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codeName="ThisWorkbook" defaultThemeVersion="124226"/>
  <xr:revisionPtr revIDLastSave="0" documentId="8_{21AA9F29-54B7-4C0D-BF19-4E3DFD6EE8CA}" xr6:coauthVersionLast="47" xr6:coauthVersionMax="47" xr10:uidLastSave="{00000000-0000-0000-0000-000000000000}"/>
  <bookViews>
    <workbookView xWindow="-120" yWindow="-120" windowWidth="29040" windowHeight="15840" xr2:uid="{4DE1A28D-CC60-4794-8566-B6398F9A3714}"/>
  </bookViews>
  <sheets>
    <sheet name="TOC" sheetId="142" r:id="rId1"/>
    <sheet name="Master " sheetId="124" r:id="rId2"/>
    <sheet name="Pivot for E-1" sheetId="162" r:id="rId3"/>
    <sheet name="Monthly CUST" sheetId="158" r:id="rId4"/>
    <sheet name="Monthly VOL" sheetId="159" r:id="rId5"/>
    <sheet name="Monthly UPC" sheetId="161" r:id="rId6"/>
    <sheet name="Regression Forecast --&gt;" sheetId="113" r:id="rId7"/>
    <sheet name="Report_Regression" sheetId="126" r:id="rId8"/>
    <sheet name="WP_Regression Summary" sheetId="114" r:id="rId9"/>
    <sheet name="WP_Regression_RES Cust Count" sheetId="116" r:id="rId10"/>
    <sheet name="WP_Regression_RES UPC" sheetId="117" r:id="rId11"/>
    <sheet name="WP_Regreession_COM Cust Count" sheetId="120" r:id="rId12"/>
    <sheet name="WP_Regression_COM UPC" sheetId="121" r:id="rId13"/>
    <sheet name="Input Sheets -&gt;" sheetId="91" r:id="rId14"/>
    <sheet name="Input 1_GRIP Factors" sheetId="79" r:id="rId15"/>
    <sheet name="Input 16_2018CUST-YTD" sheetId="149" r:id="rId16"/>
    <sheet name="Input 16.1_2018VOL-YTD" sheetId="148" r:id="rId17"/>
    <sheet name="Input 3_2019CUST-YTD" sheetId="108" r:id="rId18"/>
    <sheet name="Input 3.1_2019VOL-YTD" sheetId="107" r:id="rId19"/>
    <sheet name="Input 4_2020CUST-YTD" sheetId="81" r:id="rId20"/>
    <sheet name="Input 4.1_2020VOL-YTD" sheetId="80" r:id="rId21"/>
    <sheet name="Input 5_2021CUST-YTD" sheetId="111" r:id="rId22"/>
    <sheet name="Input 5.1_2021VOL-YTD" sheetId="110" r:id="rId23"/>
    <sheet name="Input 6_2021MARG-YTD" sheetId="127" r:id="rId24"/>
    <sheet name="WP-Peak Month UPC" sheetId="152" r:id="rId25"/>
    <sheet name="Input 7_NG Rates" sheetId="83" r:id="rId26"/>
    <sheet name="Input 13.3_2021 Min Charges" sheetId="129" r:id="rId27"/>
    <sheet name="Input 14_Ref Table" sheetId="135" r:id="rId28"/>
    <sheet name="Input 15_Fcst Inputs" sheetId="146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_123Graph_X" hidden="1">'[1]BUDGET CASH 2002'!#REF!</definedName>
    <definedName name="__FDS_HYPERLINK_TOGGLE_STATE__" hidden="1">"ON"</definedName>
    <definedName name="_1D_9">[2]Template!$A$1:$R$48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18" hidden="1">[3]FxdChg!#REF!</definedName>
    <definedName name="_Fill" localSheetId="17" hidden="1">[3]FxdChg!#REF!</definedName>
    <definedName name="_Fill" localSheetId="19" hidden="1">[3]FxdChg!#REF!</definedName>
    <definedName name="_Fill" localSheetId="23" hidden="1">[3]FxdChg!#REF!</definedName>
    <definedName name="_Fill" hidden="1">[3]FxdChg!#REF!</definedName>
    <definedName name="_xlnm._FilterDatabase" localSheetId="14" hidden="1">'Input 1_GRIP Factors'!$A$4:$AC$54</definedName>
    <definedName name="_xlnm._FilterDatabase" localSheetId="27" hidden="1">'Input 14_Ref Table'!$A$1:$M$66</definedName>
    <definedName name="_xlnm._FilterDatabase" localSheetId="16" hidden="1">'Input 16.1_2018VOL-YTD'!$A$1:$Q$227</definedName>
    <definedName name="_xlnm._FilterDatabase" localSheetId="18" hidden="1">'Input 3.1_2019VOL-YTD'!$A$1:$Q$227</definedName>
    <definedName name="_xlnm._FilterDatabase" localSheetId="20" hidden="1">'Input 4.1_2020VOL-YTD'!$A$1:$T$226</definedName>
    <definedName name="_xlnm._FilterDatabase" localSheetId="23" hidden="1">'Input 6_2021MARG-YTD'!$E$3:$AO$181</definedName>
    <definedName name="_xlnm._FilterDatabase" localSheetId="25" hidden="1">'Input 7_NG Rates'!$A$4:$L$359</definedName>
    <definedName name="_xlnm._FilterDatabase" localSheetId="1" hidden="1">'Master '!$A$1:$CC$68</definedName>
    <definedName name="_xlnm._FilterDatabase" localSheetId="4" hidden="1">'Monthly VOL'!$A$1:$DL$65</definedName>
    <definedName name="_xlnm._FilterDatabase" localSheetId="10" hidden="1">'WP_Regression_RES UPC'!$A$1:$AC$66</definedName>
    <definedName name="_xlnm._FilterDatabase" localSheetId="24" hidden="1">'WP-Peak Month UPC'!$A$2:$BK$66</definedName>
    <definedName name="_Key1" localSheetId="16" hidden="1">#REF!</definedName>
    <definedName name="_Key1" localSheetId="15" hidden="1">#REF!</definedName>
    <definedName name="_Key1" localSheetId="18" hidden="1">#REF!</definedName>
    <definedName name="_Key1" localSheetId="17" hidden="1">#REF!</definedName>
    <definedName name="_Key1" localSheetId="23" hidden="1">#REF!</definedName>
    <definedName name="_Key1" hidden="1">#REF!</definedName>
    <definedName name="_Order1" hidden="1">255</definedName>
    <definedName name="_Order2" hidden="1">255</definedName>
    <definedName name="_Sort" localSheetId="16" hidden="1">#REF!</definedName>
    <definedName name="_Sort" localSheetId="15" hidden="1">#REF!</definedName>
    <definedName name="_Sort" localSheetId="18" hidden="1">#REF!</definedName>
    <definedName name="_Sort" localSheetId="17" hidden="1">#REF!</definedName>
    <definedName name="_Sort" localSheetId="20" hidden="1">#REF!</definedName>
    <definedName name="_Sort" localSheetId="19" hidden="1">#REF!</definedName>
    <definedName name="_Sort" localSheetId="23" hidden="1">#REF!</definedName>
    <definedName name="_Sort" hidden="1">#REF!</definedName>
    <definedName name="Alloc_Factor_Name">'[4]Input-Allocators'!$B$27:$B$82</definedName>
    <definedName name="AllTables">{2}</definedName>
    <definedName name="AS2DocOpenMode" hidden="1">"AS2DocumentEdit"</definedName>
    <definedName name="bb">[5]Main!$H$8:$S$56,[5]Main!$H$16:$S$132</definedName>
    <definedName name="Cap" localSheetId="16">'[6]2002'!$A$1:$O$101</definedName>
    <definedName name="Cap" localSheetId="15">'[6]2002'!$A$1:$O$101</definedName>
    <definedName name="Cap">'[7]2002'!$A$1:$O$101</definedName>
    <definedName name="CIQWBGuid" hidden="1">"Management Deck Worksheet Q3 2012.xlsx"</definedName>
    <definedName name="Class_Factor_Names">'[4]Input-Allocators'!$B$19:$B$24</definedName>
    <definedName name="commissionrate">'[8]Cost Savings Detail'!$F$144</definedName>
    <definedName name="Corp_Inis">'[9]Corporate Model'!$A$190</definedName>
    <definedName name="currency">[10]DCEInputs!$A$25</definedName>
    <definedName name="Current_Price">[11]Inputs!$B$4</definedName>
    <definedName name="Current_Price2">[12]Inputs!$B$31</definedName>
    <definedName name="cutoff">'[13]Summary History'!$C$2</definedName>
    <definedName name="da">[14]Inputs!$B$2</definedName>
    <definedName name="Data">[15]Data!$A$1:$DY$75</definedName>
    <definedName name="DEPRBYDIST" localSheetId="16">[16]DeprCoDetail:DeprSum!$A$1:$G$36</definedName>
    <definedName name="DEPRBYDIST" localSheetId="15">[16]DeprCoDetail:DeprSum!$A$1:$G$36</definedName>
    <definedName name="DEPRBYDIST">[17]DeprCoDetail:DeprSum!$A$1:$G$36</definedName>
    <definedName name="dfdfdf" localSheetId="23" hidden="1">[3]FxdChg!#REF!</definedName>
    <definedName name="dfdfdf" hidden="1">[3]FxdChg!#REF!</definedName>
    <definedName name="ebsens">'[18]Trans Assump'!$G$56</definedName>
    <definedName name="equity">'[19]LBO Analysis'!$AB$23</definedName>
    <definedName name="euro">[20]BRKT!$C$11</definedName>
    <definedName name="EV__DECIMALSYMBOL__" hidden="1">"."</definedName>
    <definedName name="EV__EVCOM_OPTIONS__" hidden="1">8</definedName>
    <definedName name="EV__EXPOPTIONS__" hidden="1">1</definedName>
    <definedName name="EV__LASTREFTIME__" hidden="1">"(GMT-05:00)1/17/2012 10:03:55 AM"</definedName>
    <definedName name="EV__LOCKEDCVW__BUDGET" hidden="1">"50596,JUN12FCST,ALL_COMP_CODES,2901262,TOTALADJ,ALL_PROFIT_CTR,USD,2012.PER03,YTD,"</definedName>
    <definedName name="EV__LOCKEDCVW__CONSOL" hidden="1">"MGMT,ACTUAL,LC,TOPCUSTOM1,TOPCUSTOM2,TOPCUSTOM3,TOPCUSTOM4,TOTALADJ,C512,F_TOP,BW,ALLICP,1998.TOTAL,YTD,"</definedName>
    <definedName name="EV__LOCKEDCVW__DISTRIBUTIONS" hidden="1">"50596,ACTBUD,ALL_COMP_CODES,BWXTTOTALPGG,TRANSFER_CC,TOTALADJ,ALL_PROFIT_CTR,CAD,2001.TOTAL,PERIODIC,"</definedName>
    <definedName name="EV__LOCKEDCVW__FORECAST" hidden="1">"MGMT,MAR12FORECAST,USD,TOPCUSTOM1,TOPCUSTOM2,TOPCUSTOM3,TOPCUSTOM4,TOTALADJ,PGGFCSTADJ,F_TOP,BW,ALLICP,2012.MAR,PERIODIC,"</definedName>
    <definedName name="EV__LOCKEDCVW__RATE" hidden="1">"ACTBUD,CAD,AVG,GLOBAL,2001.TOTAL,PERIODIC,"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MEMORYCVW__00_R_ACTUALS_REPORT_TEMPLATE11" hidden="1">"CONSOL"</definedName>
    <definedName name="EV__MEMORYCVW__00_UNIT_TEST_CHECKLIST_TAB.XLT" hidden="1">"FORECAST"</definedName>
    <definedName name="EV__MEMORYCVW__00_UNIT_TEST_CHECKLIST_TAB.XLT_ACCOUNT" hidden="1">"CC123"</definedName>
    <definedName name="EV__MEMORYCVW__00_UNIT_TEST_CHECKLIST_TAB.XLT_CATEGORY" hidden="1">"ACTUAL"</definedName>
    <definedName name="EV__MEMORYCVW__00_UNIT_TEST_CHECKLIST_TAB.XLT_CURRENCY" hidden="1">"USD"</definedName>
    <definedName name="EV__MEMORYCVW__00_UNIT_TEST_CHECKLIST_TAB.XLT_CUSTOM1" hidden="1">"C1_NONE"</definedName>
    <definedName name="EV__MEMORYCVW__00_UNIT_TEST_CHECKLIST_TAB.XLT_CUSTOM2" hidden="1">"C2_NONE"</definedName>
    <definedName name="EV__MEMORYCVW__00_UNIT_TEST_CHECKLIST_TAB.XLT_CUSTOM3" hidden="1">"C3_NONE"</definedName>
    <definedName name="EV__MEMORYCVW__00_UNIT_TEST_CHECKLIST_TAB.XLT_CUSTOM4" hidden="1">"C4_NONE"</definedName>
    <definedName name="EV__MEMORYCVW__00_UNIT_TEST_CHECKLIST_TAB.XLT_DATASRC" hidden="1">"INPUT"</definedName>
    <definedName name="EV__MEMORYCVW__00_UNIT_TEST_CHECKLIST_TAB.XLT_ENTITY" hidden="1">"C1876"</definedName>
    <definedName name="EV__MEMORYCVW__00_UNIT_TEST_CHECKLIST_TAB.XLT_ICP" hidden="1">"NONICP"</definedName>
    <definedName name="EV__MEMORYCVW__00_UNIT_TEST_CHECKLIST_TAB.XLT_MEASURES" hidden="1">"PERIODIC"</definedName>
    <definedName name="EV__MEMORYCVW__00_UNIT_TEST_CHECKLIST_TAB.XLT_TIME" hidden="1">"2010.TOTAL"</definedName>
    <definedName name="EV__MEMORYCVW__00UNITTESTGUIDELINES11.XLS" hidden="1">"FORECAST"</definedName>
    <definedName name="EV__MEMORYCVW__00UNITTESTGUIDELINES11.XLS_ACCOUNT" hidden="1">"BAL10QK"</definedName>
    <definedName name="EV__MEMORYCVW__00UNITTESTGUIDELINES11.XLS_CATEGORY" hidden="1">"JUN09FORECAST"</definedName>
    <definedName name="EV__MEMORYCVW__00UNITTESTGUIDELINES11.XLS_CURRENCY" hidden="1">"USD"</definedName>
    <definedName name="EV__MEMORYCVW__00UNITTESTGUIDELINES11.XLS_CUSTOM1" hidden="1">"TOPCUSTOM1"</definedName>
    <definedName name="EV__MEMORYCVW__00UNITTESTGUIDELINES11.XLS_CUSTOM2" hidden="1">"TOPCUSTOM2"</definedName>
    <definedName name="EV__MEMORYCVW__00UNITTESTGUIDELINES11.XLS_CUSTOM3" hidden="1">"TOPCUSTOM3"</definedName>
    <definedName name="EV__MEMORYCVW__00UNITTESTGUIDELINES11.XLS_CUSTOM4" hidden="1">"TOPCUSTOM4"</definedName>
    <definedName name="EV__MEMORYCVW__00UNITTESTGUIDELINES11.XLS_DATASRC" hidden="1">"TOTALADJ"</definedName>
    <definedName name="EV__MEMORYCVW__00UNITTESTGUIDELINES11.XLS_ENTITY" hidden="1">"NOENTITY"</definedName>
    <definedName name="EV__MEMORYCVW__00UNITTESTGUIDELINES11.XLS_ICP" hidden="1">"ALLICP"</definedName>
    <definedName name="EV__MEMORYCVW__00UNITTESTGUIDELINES11.XLS_MEASURES" hidden="1">"PERIODIC"</definedName>
    <definedName name="EV__MEMORYCVW__00UNITTESTGUIDELINES11.XLS_TIME" hidden="1">"2009.TOTAL"</definedName>
    <definedName name="EV__MEMORYCVW__AAAA_R_EXECCORP_BS_CORP1" hidden="1">"CONSOL"</definedName>
    <definedName name="EV__MEMORYCVW__BOOK1" hidden="1">"FORECAST"</definedName>
    <definedName name="EV__MEMORYCVW__BOOK1_ACCOUNT" hidden="1">2210</definedName>
    <definedName name="EV__MEMORYCVW__BOOK1_CATEGORY" hidden="1">"DEC09FORECAST"</definedName>
    <definedName name="EV__MEMORYCVW__BOOK1_CURRENCY" hidden="1">"USD"</definedName>
    <definedName name="EV__MEMORYCVW__BOOK1_CUSTOM1" hidden="1">"TOPCUSTOM1"</definedName>
    <definedName name="EV__MEMORYCVW__BOOK1_CUSTOM2" hidden="1">"TOPCUSTOM2"</definedName>
    <definedName name="EV__MEMORYCVW__BOOK1_CUSTOM3" hidden="1">"TOPCUSTOM3"</definedName>
    <definedName name="EV__MEMORYCVW__BOOK1_CUSTOM4" hidden="1">"TOPCUSTOM4"</definedName>
    <definedName name="EV__MEMORYCVW__BOOK1_DATASRC" hidden="1">"ENTFOR"</definedName>
    <definedName name="EV__MEMORYCVW__BOOK1_ENTITY" hidden="1">"NOENTITY"</definedName>
    <definedName name="EV__MEMORYCVW__BOOK1_ICP" hidden="1">"ALLICP"</definedName>
    <definedName name="EV__MEMORYCVW__BOOK1_MEASURES" hidden="1">"PERIODIC"</definedName>
    <definedName name="EV__MEMORYCVW__BOOK1_TIME" hidden="1">"2009.Q4"</definedName>
    <definedName name="EV__MEMORYCVW__BOOK13" hidden="1">"FORECAST"</definedName>
    <definedName name="EV__MEMORYCVW__BOOK13_ACCOUNT" hidden="1">"MGMT"</definedName>
    <definedName name="EV__MEMORYCVW__BOOK13_CATEGORY" hidden="1">"DEC09FORECAST"</definedName>
    <definedName name="EV__MEMORYCVW__BOOK13_CURRENCY" hidden="1">"USD"</definedName>
    <definedName name="EV__MEMORYCVW__BOOK13_CUSTOM1" hidden="1">"TOPCUSTOM1"</definedName>
    <definedName name="EV__MEMORYCVW__BOOK13_CUSTOM2" hidden="1">"TOPCUSTOM2"</definedName>
    <definedName name="EV__MEMORYCVW__BOOK13_CUSTOM3" hidden="1">"TOPCUSTOM3"</definedName>
    <definedName name="EV__MEMORYCVW__BOOK13_CUSTOM4" hidden="1">"TOPCUSTOM4"</definedName>
    <definedName name="EV__MEMORYCVW__BOOK13_DATASRC" hidden="1">"TOTALADJ"</definedName>
    <definedName name="EV__MEMORYCVW__BOOK13_ENTITY" hidden="1">"C532"</definedName>
    <definedName name="EV__MEMORYCVW__BOOK13_ICP" hidden="1">"ALLICP"</definedName>
    <definedName name="EV__MEMORYCVW__BOOK13_MEASURES" hidden="1">"PERIODIC"</definedName>
    <definedName name="EV__MEMORYCVW__BOOK13_TIME" hidden="1">"2009.TOTAL"</definedName>
    <definedName name="EV__MEMORYCVW__BOOK3" hidden="1">"CONSOL"</definedName>
    <definedName name="EV__MEMORYCVW__BOOK3_ACCOUNT" hidden="1">"MGMT"</definedName>
    <definedName name="EV__MEMORYCVW__BOOK3_CATEGORY" hidden="1">"ACTUAL"</definedName>
    <definedName name="EV__MEMORYCVW__BOOK3_CURRENCY" hidden="1">"USD"</definedName>
    <definedName name="EV__MEMORYCVW__BOOK3_CUSTOM1" hidden="1">"TOPCUSTOM1"</definedName>
    <definedName name="EV__MEMORYCVW__BOOK3_CUSTOM2" hidden="1">"TOPCUSTOM2"</definedName>
    <definedName name="EV__MEMORYCVW__BOOK3_CUSTOM3" hidden="1">"TOPCUSTOM3"</definedName>
    <definedName name="EV__MEMORYCVW__BOOK3_CUSTOM4" hidden="1">"TOPCUSTOM4"</definedName>
    <definedName name="EV__MEMORYCVW__BOOK3_DATASRC" hidden="1">"TOTALADJ"</definedName>
    <definedName name="EV__MEMORYCVW__BOOK3_ENTITY" hidden="1">"BWHICON"</definedName>
    <definedName name="EV__MEMORYCVW__BOOK3_ICP" hidden="1">"ALLICP"</definedName>
    <definedName name="EV__MEMORYCVW__BOOK3_MEASURES" hidden="1">"PERIODIC"</definedName>
    <definedName name="EV__MEMORYCVW__BOOK3_TIME" hidden="1">"2009.DEC"</definedName>
    <definedName name="EV__MEMORYCVW__BOOK4" hidden="1">"CONSOL"</definedName>
    <definedName name="EV__MEMORYCVW__BOOK4_ACCOUNT" hidden="1">"BS12"</definedName>
    <definedName name="EV__MEMORYCVW__BOOK4_CATEGORY" hidden="1">"ACTUAL"</definedName>
    <definedName name="EV__MEMORYCVW__BOOK4_CURRENCY" hidden="1">"USD"</definedName>
    <definedName name="EV__MEMORYCVW__BOOK4_CUSTOM1" hidden="1">"TOPCUSTOM1"</definedName>
    <definedName name="EV__MEMORYCVW__BOOK4_CUSTOM2" hidden="1">"TOPCUSTOM2"</definedName>
    <definedName name="EV__MEMORYCVW__BOOK4_CUSTOM3" hidden="1">"TOPCUSTOM3"</definedName>
    <definedName name="EV__MEMORYCVW__BOOK4_CUSTOM4" hidden="1">"TOPCUSTOM4"</definedName>
    <definedName name="EV__MEMORYCVW__BOOK4_DATASRC" hidden="1">"TOTALADJ"</definedName>
    <definedName name="EV__MEMORYCVW__BOOK4_ENTITY" hidden="1">"MCDCON"</definedName>
    <definedName name="EV__MEMORYCVW__BOOK4_ICP" hidden="1">"ALLICP"</definedName>
    <definedName name="EV__MEMORYCVW__BOOK4_MEASURES" hidden="1">"YTD"</definedName>
    <definedName name="EV__MEMORYCVW__BOOK4_TIME" hidden="1">"2010.JUN"</definedName>
    <definedName name="EV__MEMORYCVW__BOOK5" hidden="1">"CONSOL"</definedName>
    <definedName name="EV__MEMORYCVW__BOOK5_ACCOUNT" hidden="1">1022</definedName>
    <definedName name="EV__MEMORYCVW__BOOK5_CATEGORY" hidden="1">"ACTUAL"</definedName>
    <definedName name="EV__MEMORYCVW__BOOK5_CURRENCY" hidden="1">"USD"</definedName>
    <definedName name="EV__MEMORYCVW__BOOK5_CUSTOM1" hidden="1">"TOPCUSTOM1"</definedName>
    <definedName name="EV__MEMORYCVW__BOOK5_CUSTOM2" hidden="1">"TOPCUSTOM2"</definedName>
    <definedName name="EV__MEMORYCVW__BOOK5_CUSTOM3" hidden="1">"TOPCUSTOM3"</definedName>
    <definedName name="EV__MEMORYCVW__BOOK5_CUSTOM4" hidden="1">"TOPCUSTOM4"</definedName>
    <definedName name="EV__MEMORYCVW__BOOK5_DATASRC" hidden="1">"TOTALADJ"</definedName>
    <definedName name="EV__MEMORYCVW__BOOK5_ENTITY" hidden="1">"NOENTITY"</definedName>
    <definedName name="EV__MEMORYCVW__BOOK5_ICP" hidden="1">"ALLICP"</definedName>
    <definedName name="EV__MEMORYCVW__BOOK5_MEASURES" hidden="1">"YTD"</definedName>
    <definedName name="EV__MEMORYCVW__BOOK5_TIME" hidden="1">"2010.JUN"</definedName>
    <definedName name="EV__MEMORYCVW__BW_CONSOLIDATIONS_FRICE.XLSX" hidden="1">"FORECAST"</definedName>
    <definedName name="EV__MEMORYCVW__BW_CONSOLIDATIONS_FRICE.XLSX_ACCOUNT" hidden="1">"9010IC"</definedName>
    <definedName name="EV__MEMORYCVW__BW_CONSOLIDATIONS_FRICE.XLSX_CATEGORY" hidden="1">"DEC09FORECAST"</definedName>
    <definedName name="EV__MEMORYCVW__BW_CONSOLIDATIONS_FRICE.XLSX_CURRENCY" hidden="1">"USD"</definedName>
    <definedName name="EV__MEMORYCVW__BW_CONSOLIDATIONS_FRICE.XLSX_CUSTOM1" hidden="1">"TOPCUSTOM1"</definedName>
    <definedName name="EV__MEMORYCVW__BW_CONSOLIDATIONS_FRICE.XLSX_CUSTOM2" hidden="1">"TOPCUSTOM2"</definedName>
    <definedName name="EV__MEMORYCVW__BW_CONSOLIDATIONS_FRICE.XLSX_CUSTOM3" hidden="1">"TOPCUSTOM3"</definedName>
    <definedName name="EV__MEMORYCVW__BW_CONSOLIDATIONS_FRICE.XLSX_CUSTOM4" hidden="1">"TOPCUSTOM4"</definedName>
    <definedName name="EV__MEMORYCVW__BW_CONSOLIDATIONS_FRICE.XLSX_DATASRC" hidden="1">"TOTALADJ"</definedName>
    <definedName name="EV__MEMORYCVW__BW_CONSOLIDATIONS_FRICE.XLSX_ENTITY" hidden="1">"BW9999"</definedName>
    <definedName name="EV__MEMORYCVW__BW_CONSOLIDATIONS_FRICE.XLSX_ICP" hidden="1">"ALLICP"</definedName>
    <definedName name="EV__MEMORYCVW__BW_CONSOLIDATIONS_FRICE.XLSX_MEASURES" hidden="1">"PERIODIC"</definedName>
    <definedName name="EV__MEMORYCVW__BW_CONSOLIDATIONS_FRICE.XLSX_TIME" hidden="1">"2008.TOTAL"</definedName>
    <definedName name="EV__MEMORYCVW__FGP_AND_SGA_ACCOUNTS.XLSX" hidden="1">"CONSOL"</definedName>
    <definedName name="EV__MEMORYCVW__FGP_AND_SGA_ACCOUNTS.XLSX_ACCOUNT" hidden="1">"CF78"</definedName>
    <definedName name="EV__MEMORYCVW__FGP_AND_SGA_ACCOUNTS.XLSX_CATEGORY" hidden="1">"DEC09FORECAST"</definedName>
    <definedName name="EV__MEMORYCVW__FGP_AND_SGA_ACCOUNTS.XLSX_CURRENCY" hidden="1">"USD"</definedName>
    <definedName name="EV__MEMORYCVW__FGP_AND_SGA_ACCOUNTS.XLSX_CUSTOM1" hidden="1">"TOPCUSTOM1"</definedName>
    <definedName name="EV__MEMORYCVW__FGP_AND_SGA_ACCOUNTS.XLSX_CUSTOM2" hidden="1">"TOPCUSTOM2"</definedName>
    <definedName name="EV__MEMORYCVW__FGP_AND_SGA_ACCOUNTS.XLSX_CUSTOM3" hidden="1">"TOPCUSTOM3"</definedName>
    <definedName name="EV__MEMORYCVW__FGP_AND_SGA_ACCOUNTS.XLSX_CUSTOM4" hidden="1">"TOPCUSTOM4"</definedName>
    <definedName name="EV__MEMORYCVW__FGP_AND_SGA_ACCOUNTS.XLSX_DATASRC" hidden="1">"TOTALADJ"</definedName>
    <definedName name="EV__MEMORYCVW__FGP_AND_SGA_ACCOUNTS.XLSX_ENTITY" hidden="1">"BWHICON"</definedName>
    <definedName name="EV__MEMORYCVW__FGP_AND_SGA_ACCOUNTS.XLSX_ICP" hidden="1">"ALLICP"</definedName>
    <definedName name="EV__MEMORYCVW__FGP_AND_SGA_ACCOUNTS.XLSX_MEASURES" hidden="1">"PERIODIC"</definedName>
    <definedName name="EV__MEMORYCVW__FGP_AND_SGA_ACCOUNTS.XLSX_TIME" hidden="1">"2009.Q1"</definedName>
    <definedName name="EV__MEMORYCVW__FIRCE_FILE_NAMES.XLSX" hidden="1">"FORECAST"</definedName>
    <definedName name="EV__MEMORYCVW__FIRCE_FILE_NAMES.XLSX_ACCOUNT" hidden="1">8008</definedName>
    <definedName name="EV__MEMORYCVW__FIRCE_FILE_NAMES.XLSX_CATEGORY" hidden="1">"SEP09FORECAST"</definedName>
    <definedName name="EV__MEMORYCVW__FIRCE_FILE_NAMES.XLSX_CURRENCY" hidden="1">"USD"</definedName>
    <definedName name="EV__MEMORYCVW__FIRCE_FILE_NAMES.XLSX_CUSTOM1" hidden="1">"TOPCUSTOM1"</definedName>
    <definedName name="EV__MEMORYCVW__FIRCE_FILE_NAMES.XLSX_CUSTOM2" hidden="1">"TOPCUSTOM2"</definedName>
    <definedName name="EV__MEMORYCVW__FIRCE_FILE_NAMES.XLSX_CUSTOM3" hidden="1">"TOPCUSTOM3"</definedName>
    <definedName name="EV__MEMORYCVW__FIRCE_FILE_NAMES.XLSX_CUSTOM4" hidden="1">"TOPCUSTOM4"</definedName>
    <definedName name="EV__MEMORYCVW__FIRCE_FILE_NAMES.XLSX_DATASRC" hidden="1">"ENTFOR"</definedName>
    <definedName name="EV__MEMORYCVW__FIRCE_FILE_NAMES.XLSX_ENTITY" hidden="1">"MCDCON"</definedName>
    <definedName name="EV__MEMORYCVW__FIRCE_FILE_NAMES.XLSX_ICP" hidden="1">"ALLICP"</definedName>
    <definedName name="EV__MEMORYCVW__FIRCE_FILE_NAMES.XLSX_MEASURES" hidden="1">"PERIODIC"</definedName>
    <definedName name="EV__MEMORYCVW__FIRCE_FILE_NAMES.XLSX_TIME" hidden="1">"2009.Q3"</definedName>
    <definedName name="EV__MEMORYCVW__INP_FORECAST_ACCOUNTS1" hidden="1">"FORECAST"</definedName>
    <definedName name="EV__MEMORYCVW__R_EXECCORP_BOOKINGSBACKLOG_CORP.XLT" hidden="1">"CONSOL"</definedName>
    <definedName name="EV__MEMORYCVW__R_EXECCORP_BS_CORP.XLT" hidden="1">"CONSOL"</definedName>
    <definedName name="EV__MEMORYCVW__R_EXECCORP_BS_CORP.XLT_ACCOUNT" hidden="1">"CF78"</definedName>
    <definedName name="EV__MEMORYCVW__R_EXECCORP_BS_CORP.XLT_CATEGORY" hidden="1">"DEC09FORECAST"</definedName>
    <definedName name="EV__MEMORYCVW__R_EXECCORP_BS_CORP.XLT_CURRENCY" hidden="1">"USD"</definedName>
    <definedName name="EV__MEMORYCVW__R_EXECCORP_BS_CORP.XLT_CUSTOM1" hidden="1">"TOPCUSTOM1"</definedName>
    <definedName name="EV__MEMORYCVW__R_EXECCORP_BS_CORP.XLT_CUSTOM2" hidden="1">"TOPCUSTOM2"</definedName>
    <definedName name="EV__MEMORYCVW__R_EXECCORP_BS_CORP.XLT_CUSTOM3" hidden="1">"TOPCUSTOM3"</definedName>
    <definedName name="EV__MEMORYCVW__R_EXECCORP_BS_CORP.XLT_CUSTOM4" hidden="1">"TOPCUSTOM4"</definedName>
    <definedName name="EV__MEMORYCVW__R_EXECCORP_BS_CORP.XLT_DATASRC" hidden="1">"TOTALADJ"</definedName>
    <definedName name="EV__MEMORYCVW__R_EXECCORP_BS_CORP.XLT_ENTITY" hidden="1">"BWHICON"</definedName>
    <definedName name="EV__MEMORYCVW__R_EXECCORP_BS_CORP.XLT_ICP" hidden="1">"ALLICP"</definedName>
    <definedName name="EV__MEMORYCVW__R_EXECCORP_BS_CORP.XLT_MEASURES" hidden="1">"PERIODIC"</definedName>
    <definedName name="EV__MEMORYCVW__R_EXECCORP_BS_CORP.XLT_TIME" hidden="1">"2009.TOTAL"</definedName>
    <definedName name="EV__MEMORYCVW__R_EXECCORP_BS_CORP1" hidden="1">"CONSOL"</definedName>
    <definedName name="EV__MEMORYCVW__R_EXECCORP_BS_CORP1.XLT" hidden="1">"CONSOL"</definedName>
    <definedName name="EV__MEMORYCVW__R_EXECCORP_BS_CORP1_ACCOUNT" hidden="1">"MGMT"</definedName>
    <definedName name="EV__MEMORYCVW__R_EXECCORP_BS_CORP1_CATEGORY" hidden="1">"ACTUAL"</definedName>
    <definedName name="EV__MEMORYCVW__R_EXECCORP_BS_CORP1_CURRENCY" hidden="1">"USD"</definedName>
    <definedName name="EV__MEMORYCVW__R_EXECCORP_BS_CORP1_CUSTOM1" hidden="1">"TOPCUSTOM1"</definedName>
    <definedName name="EV__MEMORYCVW__R_EXECCORP_BS_CORP1_CUSTOM2" hidden="1">"TOPCUSTOM2"</definedName>
    <definedName name="EV__MEMORYCVW__R_EXECCORP_BS_CORP1_CUSTOM3" hidden="1">"TOPCUSTOM3"</definedName>
    <definedName name="EV__MEMORYCVW__R_EXECCORP_BS_CORP1_CUSTOM4" hidden="1">"TOPCUSTOM4"</definedName>
    <definedName name="EV__MEMORYCVW__R_EXECCORP_BS_CORP1_DATASRC" hidden="1">"TOTALADJ"</definedName>
    <definedName name="EV__MEMORYCVW__R_EXECCORP_BS_CORP1_ENTITY" hidden="1">"BWCDOL"</definedName>
    <definedName name="EV__MEMORYCVW__R_EXECCORP_BS_CORP1_ICP" hidden="1">"ALLICP"</definedName>
    <definedName name="EV__MEMORYCVW__R_EXECCORP_BS_CORP1_MEASURES" hidden="1">"YTD"</definedName>
    <definedName name="EV__MEMORYCVW__R_EXECCORP_BS_CORP1_TIME" hidden="1">"2009.Q2"</definedName>
    <definedName name="EV__MEMORYCVW__R_EXECCORP_BS_CORP11" hidden="1">"CONSOL"</definedName>
    <definedName name="EV__MEMORYCVW__R_EXECCORP_BS_CORP131" hidden="1">"CONSOL"</definedName>
    <definedName name="EV__MEMORYCVW__R_EXECCORP_BS_CORP141" hidden="1">"CONSOL"</definedName>
    <definedName name="EV__MEMORYCVW__R_EXECCORP_BS_CORP151" hidden="1">"CONSOL"</definedName>
    <definedName name="EV__MEMORYCVW__R_EXECCORP_BS_CORP16V21" hidden="1">"CONSOL"</definedName>
    <definedName name="EV__MEMORYCVW__R_EXECCORP_BSDTL_CORP.XLT" hidden="1">"CONSOL"</definedName>
    <definedName name="EV__MEMORYCVW__R_EXECCORP_BSDTL_CORP.XLT_ACCOUNT" hidden="1">"MGMT"</definedName>
    <definedName name="EV__MEMORYCVW__R_EXECCORP_BSDTL_CORP.XLT_CATEGORY" hidden="1">"ACTUAL"</definedName>
    <definedName name="EV__MEMORYCVW__R_EXECCORP_BSDTL_CORP.XLT_CURRENCY" hidden="1">"USD"</definedName>
    <definedName name="EV__MEMORYCVW__R_EXECCORP_BSDTL_CORP.XLT_CUSTOM1" hidden="1">"TOPCUSTOM1"</definedName>
    <definedName name="EV__MEMORYCVW__R_EXECCORP_BSDTL_CORP.XLT_CUSTOM2" hidden="1">"TOPCUSTOM2"</definedName>
    <definedName name="EV__MEMORYCVW__R_EXECCORP_BSDTL_CORP.XLT_CUSTOM3" hidden="1">"TOPCUSTOM3"</definedName>
    <definedName name="EV__MEMORYCVW__R_EXECCORP_BSDTL_CORP.XLT_CUSTOM4" hidden="1">"TOPCUSTOM4"</definedName>
    <definedName name="EV__MEMORYCVW__R_EXECCORP_BSDTL_CORP.XLT_DATASRC" hidden="1">"TOTALADJ"</definedName>
    <definedName name="EV__MEMORYCVW__R_EXECCORP_BSDTL_CORP.XLT_ENTITY" hidden="1">"BWCDOL"</definedName>
    <definedName name="EV__MEMORYCVW__R_EXECCORP_BSDTL_CORP.XLT_ICP" hidden="1">"ALLICP"</definedName>
    <definedName name="EV__MEMORYCVW__R_EXECCORP_BSDTL_CORP.XLT_MEASURES" hidden="1">"YTD"</definedName>
    <definedName name="EV__MEMORYCVW__R_EXECCORP_BSDTL_CORP.XLT_TIME" hidden="1">"2009.Q2"</definedName>
    <definedName name="EV__MEMORYCVW__R_EXECCORP_BSDTL_CORP_21" hidden="1">"CONSOL"</definedName>
    <definedName name="EV__MEMORYCVW__R_EXECCORP_BSDTL_CORP1" hidden="1">"CONSOL"</definedName>
    <definedName name="EV__MEMORYCVW__R_EXECCORP_BSDTL_CORP1.XLT" hidden="1">"CONSOL"</definedName>
    <definedName name="EV__MEMORYCVW__R_EXECCORP_BSDTL_CORP11" hidden="1">"CONSOL"</definedName>
    <definedName name="EV__MEMORYCVW__R_EXECCORP_CF_CORP1" hidden="1">"CONSOL"</definedName>
    <definedName name="EV__MEMORYCVW__R_EXECCORP_CF_CORP1_ACCOUNT" hidden="1">"MGMT"</definedName>
    <definedName name="EV__MEMORYCVW__R_EXECCORP_CF_CORP1_CATEGORY" hidden="1">"ACTUAL"</definedName>
    <definedName name="EV__MEMORYCVW__R_EXECCORP_CF_CORP1_CURRENCY" hidden="1">"USD"</definedName>
    <definedName name="EV__MEMORYCVW__R_EXECCORP_CF_CORP1_CUSTOM1" hidden="1">"TOPCUSTOM1"</definedName>
    <definedName name="EV__MEMORYCVW__R_EXECCORP_CF_CORP1_CUSTOM2" hidden="1">"TOPCUSTOM2"</definedName>
    <definedName name="EV__MEMORYCVW__R_EXECCORP_CF_CORP1_CUSTOM3" hidden="1">"TOPCUSTOM3"</definedName>
    <definedName name="EV__MEMORYCVW__R_EXECCORP_CF_CORP1_CUSTOM4" hidden="1">"TOPCUSTOM4"</definedName>
    <definedName name="EV__MEMORYCVW__R_EXECCORP_CF_CORP1_DATASRC" hidden="1">"TOTALADJ"</definedName>
    <definedName name="EV__MEMORYCVW__R_EXECCORP_CF_CORP1_ENTITY" hidden="1">"C743"</definedName>
    <definedName name="EV__MEMORYCVW__R_EXECCORP_CF_CORP1_ICP" hidden="1">"ALLICP"</definedName>
    <definedName name="EV__MEMORYCVW__R_EXECCORP_CF_CORP1_MEASURES" hidden="1">"YTD"</definedName>
    <definedName name="EV__MEMORYCVW__R_EXECCORP_CF_CORP1_TIME" hidden="1">"2010.JUN"</definedName>
    <definedName name="EV__MEMORYCVW__R_EXECCORP_CFDTL_CORP.XLT" hidden="1">"CONSOL"</definedName>
    <definedName name="EV__MEMORYCVW__R_EXECCORP_CFDTL_CORP.XLT_ACCOUNT" hidden="1">"MGMT"</definedName>
    <definedName name="EV__MEMORYCVW__R_EXECCORP_CFDTL_CORP.XLT_CATEGORY" hidden="1">"ACTUAL"</definedName>
    <definedName name="EV__MEMORYCVW__R_EXECCORP_CFDTL_CORP.XLT_CURRENCY" hidden="1">"USD"</definedName>
    <definedName name="EV__MEMORYCVW__R_EXECCORP_CFDTL_CORP.XLT_CUSTOM1" hidden="1">"TOPCUSTOM1"</definedName>
    <definedName name="EV__MEMORYCVW__R_EXECCORP_CFDTL_CORP.XLT_CUSTOM2" hidden="1">"TOPCUSTOM2"</definedName>
    <definedName name="EV__MEMORYCVW__R_EXECCORP_CFDTL_CORP.XLT_CUSTOM3" hidden="1">"TOPCUSTOM3"</definedName>
    <definedName name="EV__MEMORYCVW__R_EXECCORP_CFDTL_CORP.XLT_CUSTOM4" hidden="1">"TOPCUSTOM4"</definedName>
    <definedName name="EV__MEMORYCVW__R_EXECCORP_CFDTL_CORP.XLT_DATASRC" hidden="1">"TOTALADJ"</definedName>
    <definedName name="EV__MEMORYCVW__R_EXECCORP_CFDTL_CORP.XLT_ENTITY" hidden="1">"BWCDOL"</definedName>
    <definedName name="EV__MEMORYCVW__R_EXECCORP_CFDTL_CORP.XLT_ICP" hidden="1">"ALLICP"</definedName>
    <definedName name="EV__MEMORYCVW__R_EXECCORP_CFDTL_CORP.XLT_MEASURES" hidden="1">"YTD"</definedName>
    <definedName name="EV__MEMORYCVW__R_EXECCORP_CFDTL_CORP.XLT_TIME" hidden="1">"2010.TOTAL"</definedName>
    <definedName name="EV__MEMORYCVW__R_EXECCORP_CFDTL_CORP1" hidden="1">"CONSOL"</definedName>
    <definedName name="EV__MEMORYCVW__R_EXECCORP_CFDTL_CORP1_ACCOUNT" hidden="1">"MGMT"</definedName>
    <definedName name="EV__MEMORYCVW__R_EXECCORP_CFDTL_CORP1_CATEGORY" hidden="1">"DEC10FORECAST"</definedName>
    <definedName name="EV__MEMORYCVW__R_EXECCORP_CFDTL_CORP1_CURRENCY" hidden="1">"USD"</definedName>
    <definedName name="EV__MEMORYCVW__R_EXECCORP_CFDTL_CORP1_CUSTOM1" hidden="1">"TOPCUSTOM1"</definedName>
    <definedName name="EV__MEMORYCVW__R_EXECCORP_CFDTL_CORP1_CUSTOM2" hidden="1">"TOPCUSTOM2"</definedName>
    <definedName name="EV__MEMORYCVW__R_EXECCORP_CFDTL_CORP1_CUSTOM3" hidden="1">"TOPCUSTOM3"</definedName>
    <definedName name="EV__MEMORYCVW__R_EXECCORP_CFDTL_CORP1_CUSTOM4" hidden="1">"TOPCUSTOM4"</definedName>
    <definedName name="EV__MEMORYCVW__R_EXECCORP_CFDTL_CORP1_DATASRC" hidden="1">"TOTALADJ"</definedName>
    <definedName name="EV__MEMORYCVW__R_EXECCORP_CFDTL_CORP1_ENTITY" hidden="1">"BWJV"</definedName>
    <definedName name="EV__MEMORYCVW__R_EXECCORP_CFDTL_CORP1_ICP" hidden="1">"ALLICP"</definedName>
    <definedName name="EV__MEMORYCVW__R_EXECCORP_CFDTL_CORP1_MEASURES" hidden="1">"YTD"</definedName>
    <definedName name="EV__MEMORYCVW__R_EXECCORP_CFDTL_CORP1_TIME" hidden="1">"1999.TOTAL"</definedName>
    <definedName name="EV__MEMORYCVW__R_EXECCORP_CHNGCASHCASHEQUIV.XLT" hidden="1">"CONSOL"</definedName>
    <definedName name="EV__MEMORYCVW__R_EXECCORP_CONSOLBS1" hidden="1">"CONSOL"</definedName>
    <definedName name="EV__MEMORYCVW__R_EXECCORP_CONSOLBS1_081020101" hidden="1">"CONSOL"</definedName>
    <definedName name="EV__MEMORYCVW__R_EXECCORP_CONSOLBS1_081020101.XLT" hidden="1">"CONSOL"</definedName>
    <definedName name="EV__MEMORYCVW__R_EXECCORP_CONSOLBS1_081020101V31" hidden="1">"CONSOL"</definedName>
    <definedName name="EV__MEMORYCVW__R_EXECCORP_FINSTATS_CORP.XLT" hidden="1">"CONSOL"</definedName>
    <definedName name="EV__MEMORYCVW__R_EXECCORP_FINSTATS_CORPDEP.XLT" hidden="1">"CONSOL"</definedName>
    <definedName name="EV__MEMORYCVW__R_EXECCORP_FINSTATS_CORPDEP.XLT_ACCOUNT" hidden="1">"MGMT"</definedName>
    <definedName name="EV__MEMORYCVW__R_EXECCORP_FINSTATS_CORPDEP.XLT_CATEGORY" hidden="1">"ACTUAL"</definedName>
    <definedName name="EV__MEMORYCVW__R_EXECCORP_FINSTATS_CORPDEP.XLT_CURRENCY" hidden="1">"USD"</definedName>
    <definedName name="EV__MEMORYCVW__R_EXECCORP_FINSTATS_CORPDEP.XLT_CUSTOM1" hidden="1">"TOPCUSTOM1"</definedName>
    <definedName name="EV__MEMORYCVW__R_EXECCORP_FINSTATS_CORPDEP.XLT_CUSTOM2" hidden="1">"TOPCUSTOM2"</definedName>
    <definedName name="EV__MEMORYCVW__R_EXECCORP_FINSTATS_CORPDEP.XLT_CUSTOM3" hidden="1">"TOPCUSTOM3"</definedName>
    <definedName name="EV__MEMORYCVW__R_EXECCORP_FINSTATS_CORPDEP.XLT_CUSTOM4" hidden="1">"TOPCUSTOM4"</definedName>
    <definedName name="EV__MEMORYCVW__R_EXECCORP_FINSTATS_CORPDEP.XLT_DATASRC" hidden="1">"TOTALADJ"</definedName>
    <definedName name="EV__MEMORYCVW__R_EXECCORP_FINSTATS_CORPDEP.XLT_ENTITY" hidden="1">"BWMGMT"</definedName>
    <definedName name="EV__MEMORYCVW__R_EXECCORP_FINSTATS_CORPDEP.XLT_ICP" hidden="1">"ALLICP"</definedName>
    <definedName name="EV__MEMORYCVW__R_EXECCORP_FINSTATS_CORPDEP.XLT_MEASURES" hidden="1">"YTD"</definedName>
    <definedName name="EV__MEMORYCVW__R_EXECCORP_FINSTATS_CORPDEP.XLT_TIME" hidden="1">"2009.JUN"</definedName>
    <definedName name="EV__MEMORYCVW__R_EXECCORP_FINSTATS_CORPDEP_31" hidden="1">"CONSOL"</definedName>
    <definedName name="EV__MEMORYCVW__R_EXECCORP_FINSTATS_CORPDEP_311" hidden="1">"CONSOL"</definedName>
    <definedName name="EV__MEMORYCVW__R_EXECCORP_FINSTATS_CORPDEP_FINAL.XLT" hidden="1">"CONSOL"</definedName>
    <definedName name="EV__MEMORYCVW__R_EXECCORP_FINSTATS_CORPDEP1" hidden="1">"CONSOL"</definedName>
    <definedName name="EV__MEMORYCVW__R_EXECCORP_FINSTATS_CORPDEP1_ACCOUNT" hidden="1">"MGMT"</definedName>
    <definedName name="EV__MEMORYCVW__R_EXECCORP_FINSTATS_CORPDEP1_CATEGORY" hidden="1">"DEC08FORECAST"</definedName>
    <definedName name="EV__MEMORYCVW__R_EXECCORP_FINSTATS_CORPDEP1_CURRENCY" hidden="1">"LC"</definedName>
    <definedName name="EV__MEMORYCVW__R_EXECCORP_FINSTATS_CORPDEP1_CUSTOM1" hidden="1">"TOPCUSTOM1"</definedName>
    <definedName name="EV__MEMORYCVW__R_EXECCORP_FINSTATS_CORPDEP1_CUSTOM2" hidden="1">"TOPCUSTOM2"</definedName>
    <definedName name="EV__MEMORYCVW__R_EXECCORP_FINSTATS_CORPDEP1_CUSTOM3" hidden="1">"TOPCUSTOM3"</definedName>
    <definedName name="EV__MEMORYCVW__R_EXECCORP_FINSTATS_CORPDEP1_CUSTOM4" hidden="1">"TOPCUSTOM4"</definedName>
    <definedName name="EV__MEMORYCVW__R_EXECCORP_FINSTATS_CORPDEP1_DATASRC" hidden="1">"TOT_NOELIM"</definedName>
    <definedName name="EV__MEMORYCVW__R_EXECCORP_FINSTATS_CORPDEP1_ENTITY" hidden="1">"NOENTITY"</definedName>
    <definedName name="EV__MEMORYCVW__R_EXECCORP_FINSTATS_CORPDEP1_FLOW" hidden="1">"F_CLO"</definedName>
    <definedName name="EV__MEMORYCVW__R_EXECCORP_FINSTATS_CORPDEP1_GROUPS" hidden="1">"BW"</definedName>
    <definedName name="EV__MEMORYCVW__R_EXECCORP_FINSTATS_CORPDEP1_ICP" hidden="1">"ALLICP"</definedName>
    <definedName name="EV__MEMORYCVW__R_EXECCORP_FINSTATS_CORPDEP1_MEASURES" hidden="1">"YTD"</definedName>
    <definedName name="EV__MEMORYCVW__R_EXECCORP_FINSTATS_CORPDEP1_TIME" hidden="1">"2009.Q4"</definedName>
    <definedName name="EV__MEMORYCVW__R_EXECCORP_INCSTMTOTHER_CORP.XLT" hidden="1">"CONSOL"</definedName>
    <definedName name="EV__MEMORYCVW__R_EXECCORP_INCSTMTOTHER_CORP1" hidden="1">"CONSOL"</definedName>
    <definedName name="EV__MEMORYCVW__R_EXECOU_BSDTL.XLT" hidden="1">"CONSOL"</definedName>
    <definedName name="EV__MEMORYCVW__R_EXECOU_BSDTL.XLT_ACCOUNT" hidden="1">"MGMT"</definedName>
    <definedName name="EV__MEMORYCVW__R_EXECOU_BSDTL.XLT_CATEGORY" hidden="1">"JUN10FORECAST"</definedName>
    <definedName name="EV__MEMORYCVW__R_EXECOU_BSDTL.XLT_CURRENCY" hidden="1">"USD"</definedName>
    <definedName name="EV__MEMORYCVW__R_EXECOU_BSDTL.XLT_CUSTOM1" hidden="1">"TOPCUSTOM1"</definedName>
    <definedName name="EV__MEMORYCVW__R_EXECOU_BSDTL.XLT_CUSTOM2" hidden="1">"TOPCUSTOM2"</definedName>
    <definedName name="EV__MEMORYCVW__R_EXECOU_BSDTL.XLT_CUSTOM3" hidden="1">"TOPCUSTOM3"</definedName>
    <definedName name="EV__MEMORYCVW__R_EXECOU_BSDTL.XLT_CUSTOM4" hidden="1">"TOPCUSTOM4"</definedName>
    <definedName name="EV__MEMORYCVW__R_EXECOU_BSDTL.XLT_DATASRC" hidden="1">"TOTALADJ"</definedName>
    <definedName name="EV__MEMORYCVW__R_EXECOU_BSDTL.XLT_ENTITY" hidden="1">"NOENTITY"</definedName>
    <definedName name="EV__MEMORYCVW__R_EXECOU_BSDTL.XLT_ICP" hidden="1">"ALLICP"</definedName>
    <definedName name="EV__MEMORYCVW__R_EXECOU_BSDTL.XLT_MEASURES" hidden="1">"YTD"</definedName>
    <definedName name="EV__MEMORYCVW__R_EXECOU_BSDTL.XLT_TIME" hidden="1">"2010.TOTAL"</definedName>
    <definedName name="EV__MEMORYCVW__R_EXECOU_ENDBACKLOGREVBACKLOG1" hidden="1">"CONSOL"</definedName>
    <definedName name="EV__MEMORYCVW__R_EXECOU_ENDBACKLOGREVBACKLOG1_ACCOUNT" hidden="1">"MGMT"</definedName>
    <definedName name="EV__MEMORYCVW__R_EXECOU_ENDBACKLOGREVBACKLOG1_CATEGORY" hidden="1">"DEC09FORECAST"</definedName>
    <definedName name="EV__MEMORYCVW__R_EXECOU_ENDBACKLOGREVBACKLOG1_CURRENCY" hidden="1">"USD"</definedName>
    <definedName name="EV__MEMORYCVW__R_EXECOU_ENDBACKLOGREVBACKLOG1_CUSTOM1" hidden="1">"TOPCUSTOM1"</definedName>
    <definedName name="EV__MEMORYCVW__R_EXECOU_ENDBACKLOGREVBACKLOG1_CUSTOM2" hidden="1">"TOPCUSTOM2"</definedName>
    <definedName name="EV__MEMORYCVW__R_EXECOU_ENDBACKLOGREVBACKLOG1_CUSTOM3" hidden="1">"TOPCUSTOM3"</definedName>
    <definedName name="EV__MEMORYCVW__R_EXECOU_ENDBACKLOGREVBACKLOG1_CUSTOM4" hidden="1">"TOPCUSTOM4"</definedName>
    <definedName name="EV__MEMORYCVW__R_EXECOU_ENDBACKLOGREVBACKLOG1_DATASRC" hidden="1">"TOTALADJ"</definedName>
    <definedName name="EV__MEMORYCVW__R_EXECOU_ENDBACKLOGREVBACKLOG1_ENTITY" hidden="1">"BWHICON"</definedName>
    <definedName name="EV__MEMORYCVW__R_EXECOU_ENDBACKLOGREVBACKLOG1_ICP" hidden="1">"ALLICP"</definedName>
    <definedName name="EV__MEMORYCVW__R_EXECOU_ENDBACKLOGREVBACKLOG1_MEASURES" hidden="1">"YTD"</definedName>
    <definedName name="EV__MEMORYCVW__R_EXECOU_ENDBACKLOGREVBACKLOG1_TIME" hidden="1">"2009.TOTAL"</definedName>
    <definedName name="EV__MEMORYCVW__R_FCST_1_INCSTMTCF.XLT" hidden="1">"FORECAST"</definedName>
    <definedName name="EV__MEMORYCVW__R_FCST_1_INCSTMTCF.XLT_ACCOUNT" hidden="1">"9010IC"</definedName>
    <definedName name="EV__MEMORYCVW__R_FCST_1_INCSTMTCF.XLT_CATEGORY" hidden="1">"SEP09FORECAST"</definedName>
    <definedName name="EV__MEMORYCVW__R_FCST_1_INCSTMTCF.XLT_CURRENCY" hidden="1">"USD"</definedName>
    <definedName name="EV__MEMORYCVW__R_FCST_1_INCSTMTCF.XLT_CUSTOM1" hidden="1">"TOPCUSTOM1"</definedName>
    <definedName name="EV__MEMORYCVW__R_FCST_1_INCSTMTCF.XLT_CUSTOM2" hidden="1">"TOPCUSTOM2"</definedName>
    <definedName name="EV__MEMORYCVW__R_FCST_1_INCSTMTCF.XLT_CUSTOM3" hidden="1">"TOPCUSTOM3"</definedName>
    <definedName name="EV__MEMORYCVW__R_FCST_1_INCSTMTCF.XLT_CUSTOM4" hidden="1">"TOPCUSTOM4"</definedName>
    <definedName name="EV__MEMORYCVW__R_FCST_1_INCSTMTCF.XLT_DATASRC" hidden="1">"TOTALADJ"</definedName>
    <definedName name="EV__MEMORYCVW__R_FCST_1_INCSTMTCF.XLT_ENTITY" hidden="1">"NOENTITY"</definedName>
    <definedName name="EV__MEMORYCVW__R_FCST_1_INCSTMTCF.XLT_ICP" hidden="1">"ALLICP"</definedName>
    <definedName name="EV__MEMORYCVW__R_FCST_1_INCSTMTCF.XLT_MEASURES" hidden="1">"PERIODIC"</definedName>
    <definedName name="EV__MEMORYCVW__R_FCST_1_INCSTMTCF.XLT_TIME" hidden="1">"2010.TOTAL"</definedName>
    <definedName name="EV__MEMORYCVW__R_FCST_1_INCSTMTCF_V2.1.XLS" hidden="1">"FORECAST"</definedName>
    <definedName name="EV__MEMORYCVW__R_FCST_1INCSTMTQTR_V1.0_NJK.XLS" hidden="1">"FORECAST"</definedName>
    <definedName name="EV__MEMORYCVW__R_FCST_2_INCSTMT_QTR_4.0.XLS" hidden="1">"FORECAST"</definedName>
    <definedName name="EV__MEMORYCVW__R_FCST_2_INCSTMT_QTR_5.0.XLS" hidden="1">"FORECAST"</definedName>
    <definedName name="EV__MEMORYCVW__R_FCST_2_INCSTMT_QTR_5.2.XLS" hidden="1">"FORECAST"</definedName>
    <definedName name="EV__MEMORYCVW__R_FCST_2_INCSTMT_QTR1" hidden="1">"FORECAST"</definedName>
    <definedName name="EV__MEMORYCVW__R_FCST_2_INCSTMT_QTR2.4.XLS" hidden="1">"FORECAST"</definedName>
    <definedName name="EV__MEMORYCVW__R_FCST_2_INCSTMT_QTR2.61" hidden="1">"FORECAST"</definedName>
    <definedName name="EV__MEMORYCVW__R_FCST_2_INCSTMT_QTR2.71" hidden="1">"FORECAST"</definedName>
    <definedName name="EV__MEMORYCVW__R_FCST_2_INCSTMT_QTR3.0.XLS" hidden="1">"FORECAST"</definedName>
    <definedName name="EV__MEMORYCVW__R_FCST_2_INCSTMT_QTR3.1.XLS" hidden="1">"FORECAST"</definedName>
    <definedName name="EV__MEMORYCVW__R_FCST_2_INCSTMT_QTR3.11" hidden="1">"FORECAST"</definedName>
    <definedName name="EV__MEMORYCVW__R_FCST_2A_INCSTMTTREND.XLS" hidden="1">"FORECAST"</definedName>
    <definedName name="EV__MEMORYCVW__R_FCST_2A_INCSTMTTREND_1.3.XLS" hidden="1">"FORECAST"</definedName>
    <definedName name="EV__MEMORYCVW__R_FCST_2A_INCSTMTTREND_1.41" hidden="1">"FORECAST"</definedName>
    <definedName name="EV__MEMORYCVW__R_FCST_2A_INCSTMTTREND_1.51" hidden="1">"FORECAST"</definedName>
    <definedName name="EV__MEMORYCVW__R_FCST_2A_INCSTMTTREND_1.61" hidden="1">"FORECAST"</definedName>
    <definedName name="EV__MEMORYCVW__R_FCST_2A_INCSTMTTREND_3.1.XLS" hidden="1">"FORECAST"</definedName>
    <definedName name="EV__MEMORYCVW__R_FCST_2A_INCSTMTTREND_3.3.XLS" hidden="1">"FORECAST"</definedName>
    <definedName name="EV__MEMORYCVW__R_FCST_2A_INCSTMTTREND_3.31" hidden="1">"FORECAST"</definedName>
    <definedName name="EV__MEMORYCVW__R_FCST_2INCSTMTQTR_V1.1_NJK.XLS" hidden="1">"FORECAST"</definedName>
    <definedName name="EV__MEMORYCVW__R_FCST_2INCSTMTQTR_V1.2_NJK.XLS" hidden="1">"FORECAST"</definedName>
    <definedName name="EV__MEMORYCVW__R_FCST_2INCSTMTQTR_V1.3_NJK.XLS" hidden="1">"FORECAST"</definedName>
    <definedName name="EV__MEMORYCVW__R_FCST_2INCSTMTQTR_V1.5_NJK.XLS" hidden="1">"FORECAST"</definedName>
    <definedName name="EV__MEMORYCVW__R_FCST_2INCSTMTQTR_V1.5_NJK.XLS_ACCOUNT" hidden="1">"PL16"</definedName>
    <definedName name="EV__MEMORYCVW__R_FCST_2INCSTMTQTR_V1.5_NJK.XLS_CATEGORY" hidden="1">"DEC09FORECAST"</definedName>
    <definedName name="EV__MEMORYCVW__R_FCST_2INCSTMTQTR_V1.5_NJK.XLS_CURRENCY" hidden="1">"USD"</definedName>
    <definedName name="EV__MEMORYCVW__R_FCST_2INCSTMTQTR_V1.5_NJK.XLS_CUSTOM1" hidden="1">"TOPCUSTOM1"</definedName>
    <definedName name="EV__MEMORYCVW__R_FCST_2INCSTMTQTR_V1.5_NJK.XLS_CUSTOM2" hidden="1">"TOPCUSTOM2"</definedName>
    <definedName name="EV__MEMORYCVW__R_FCST_2INCSTMTQTR_V1.5_NJK.XLS_CUSTOM3" hidden="1">"TOPCUSTOM3"</definedName>
    <definedName name="EV__MEMORYCVW__R_FCST_2INCSTMTQTR_V1.5_NJK.XLS_CUSTOM4" hidden="1">"TOPCUSTOM4"</definedName>
    <definedName name="EV__MEMORYCVW__R_FCST_2INCSTMTQTR_V1.5_NJK.XLS_DATASRC" hidden="1">"ENTFOR"</definedName>
    <definedName name="EV__MEMORYCVW__R_FCST_2INCSTMTQTR_V1.5_NJK.XLS_ENTITY" hidden="1">"BWC"</definedName>
    <definedName name="EV__MEMORYCVW__R_FCST_2INCSTMTQTR_V1.5_NJK.XLS_ICP" hidden="1">"ALLICP"</definedName>
    <definedName name="EV__MEMORYCVW__R_FCST_2INCSTMTQTR_V1.5_NJK.XLS_MEASURES" hidden="1">"PERIODIC"</definedName>
    <definedName name="EV__MEMORYCVW__R_FCST_2INCSTMTQTR_V1.5_NJK.XLS_TIME" hidden="1">"2009.TOTAL"</definedName>
    <definedName name="EV__MEMORYCVW__R_FCST_2INCSTMTQTR_V2.1_NJK.XLS" hidden="1">"FORECAST"</definedName>
    <definedName name="EV__MEMORYCVW__R_FCST_2INCSTMTQTR_V2.1_NJK1" hidden="1">"FORECAST"</definedName>
    <definedName name="EV__MEMORYCVW__R_FCST_2V_INCSTMT_VAR_PR_FCST_1.0.XLS" hidden="1">"FORECAST"</definedName>
    <definedName name="EV__MEMORYCVW__R_FCST_2V_INCSTMT_VAR_PR_FCST_1.0.XLS_ACCOUNT" hidden="1">8008</definedName>
    <definedName name="EV__MEMORYCVW__R_FCST_2V_INCSTMT_VAR_PR_FCST_1.0.XLS_CATEGORY" hidden="1">"DEC09FORECAST"</definedName>
    <definedName name="EV__MEMORYCVW__R_FCST_2V_INCSTMT_VAR_PR_FCST_1.0.XLS_CURRENCY" hidden="1">"USD"</definedName>
    <definedName name="EV__MEMORYCVW__R_FCST_2V_INCSTMT_VAR_PR_FCST_1.0.XLS_CUSTOM1" hidden="1">"TOPCUSTOM1"</definedName>
    <definedName name="EV__MEMORYCVW__R_FCST_2V_INCSTMT_VAR_PR_FCST_1.0.XLS_CUSTOM2" hidden="1">"TOPCUSTOM2"</definedName>
    <definedName name="EV__MEMORYCVW__R_FCST_2V_INCSTMT_VAR_PR_FCST_1.0.XLS_CUSTOM3" hidden="1">"TOPCUSTOM3"</definedName>
    <definedName name="EV__MEMORYCVW__R_FCST_2V_INCSTMT_VAR_PR_FCST_1.0.XLS_CUSTOM4" hidden="1">"TOPCUSTOM4"</definedName>
    <definedName name="EV__MEMORYCVW__R_FCST_2V_INCSTMT_VAR_PR_FCST_1.0.XLS_DATASRC" hidden="1">"ENTFOR"</definedName>
    <definedName name="EV__MEMORYCVW__R_FCST_2V_INCSTMT_VAR_PR_FCST_1.0.XLS_ENTITY" hidden="1">"MCDCON"</definedName>
    <definedName name="EV__MEMORYCVW__R_FCST_2V_INCSTMT_VAR_PR_FCST_1.0.XLS_ICP" hidden="1">"ALLICP"</definedName>
    <definedName name="EV__MEMORYCVW__R_FCST_2V_INCSTMT_VAR_PR_FCST_1.0.XLS_MEASURES" hidden="1">"PERIODIC"</definedName>
    <definedName name="EV__MEMORYCVW__R_FCST_2V_INCSTMT_VAR_PR_FCST_1.0.XLS_TIME" hidden="1">"2009.Q4"</definedName>
    <definedName name="EV__MEMORYCVW__R_FCST_2V_INCSTMT_VAR_PR_FCST_1.2.XLS" hidden="1">"FORECAST"</definedName>
    <definedName name="EV__MEMORYCVW__R_FCST_2V_INCSTMT_VAR_PR_FCST_1.21" hidden="1">"FORECAST"</definedName>
    <definedName name="EV__MEMORYCVW__R_FCST_2V1_INCSTMT_VAR_PR_DEC_1.1.XLS" hidden="1">"FORECAST"</definedName>
    <definedName name="EV__MEMORYCVW__R_FCST_2V1_INCSTMT_VAR_PR_DEC_2.2.XLS" hidden="1">"FORECAST"</definedName>
    <definedName name="EV__MEMORYCVW__R_FCST_2V1_INCSTMT_VAR_PR_DEC_2.3.XLS" hidden="1">"FORECAST"</definedName>
    <definedName name="EV__MEMORYCVW__R_FCST_2V1_INCSTMT_VAR_PR_DEC_2.41" hidden="1">"FORECAST"</definedName>
    <definedName name="EV__MEMORYCVW__R_FCST_BS_8_FULL_SCENARIOS_1.0.XLS" hidden="1">"FORECAST"</definedName>
    <definedName name="EV__MEMORYCVW__R_FCST_BS_8_FULL_SCENARIOS_1.2.XLS" hidden="1">"FORECAST"</definedName>
    <definedName name="EV__MEMORYCVW__R_FCST_BS_8_FULL_SCENARIOS_1.21" hidden="1">"FORECAST"</definedName>
    <definedName name="EV__MEMORYCVW__R_FCST_BS_8_FULL_SCENARIOS_1.211" hidden="1">"FORECAST"</definedName>
    <definedName name="EV__MEMORYCVW__R_FCST_BS_8_FULL_SCENARIOS_6.0.XLS" hidden="1">"FORECAST"</definedName>
    <definedName name="EV__MEMORYCVW__R_FCST_BS_8_SA__FULL_SCENARIOS_1.0.XLS" hidden="1">"FORECAST"</definedName>
    <definedName name="EV__MEMORYCVW__R_FCST_BS_8_SA__FULL_SCENARIOS_1.0.XLS_ACCOUNT" hidden="1">"PL16"</definedName>
    <definedName name="EV__MEMORYCVW__R_FCST_BS_8_SA__FULL_SCENARIOS_1.0.XLS_CATEGORY" hidden="1">"DEC09FORECAST"</definedName>
    <definedName name="EV__MEMORYCVW__R_FCST_BS_8_SA__FULL_SCENARIOS_1.0.XLS_CURRENCY" hidden="1">"USD"</definedName>
    <definedName name="EV__MEMORYCVW__R_FCST_BS_8_SA__FULL_SCENARIOS_1.0.XLS_CUSTOM1" hidden="1">"TOPCUSTOM1"</definedName>
    <definedName name="EV__MEMORYCVW__R_FCST_BS_8_SA__FULL_SCENARIOS_1.0.XLS_CUSTOM2" hidden="1">"TOPCUSTOM2"</definedName>
    <definedName name="EV__MEMORYCVW__R_FCST_BS_8_SA__FULL_SCENARIOS_1.0.XLS_CUSTOM3" hidden="1">"TOPCUSTOM3"</definedName>
    <definedName name="EV__MEMORYCVW__R_FCST_BS_8_SA__FULL_SCENARIOS_1.0.XLS_CUSTOM4" hidden="1">"TOPCUSTOM4"</definedName>
    <definedName name="EV__MEMORYCVW__R_FCST_BS_8_SA__FULL_SCENARIOS_1.0.XLS_DATASRC" hidden="1">"ENTFOR"</definedName>
    <definedName name="EV__MEMORYCVW__R_FCST_BS_8_SA__FULL_SCENARIOS_1.0.XLS_ENTITY" hidden="1">"MCDCON"</definedName>
    <definedName name="EV__MEMORYCVW__R_FCST_BS_8_SA__FULL_SCENARIOS_1.0.XLS_ICP" hidden="1">"ALLICP"</definedName>
    <definedName name="EV__MEMORYCVW__R_FCST_BS_8_SA__FULL_SCENARIOS_1.0.XLS_MEASURES" hidden="1">"PERIODIC"</definedName>
    <definedName name="EV__MEMORYCVW__R_FCST_BS_8_SA__FULL_SCENARIOS_1.0.XLS_TIME" hidden="1">"2009.TOTAL"</definedName>
    <definedName name="EV__MEMORYCVW__R_FCST_TEMPLATE_TRENDV1.XLT" hidden="1">"FORECAST"</definedName>
    <definedName name="EV__MEMORYCVW__R_FCST_TEMPLATE_TRENDV11" hidden="1">"FORECAST"</definedName>
    <definedName name="EV__MEMORYCVW__R_FCST_TEMPLATE1_TRENDV1.XLSX" hidden="1">"FORECAST"</definedName>
    <definedName name="EV__MEMORYCVW__RAJU11" hidden="1">"CONSOL"</definedName>
    <definedName name="EV__MEMORYCVW__RAJU11_ACCOUNT" hidden="1">2050</definedName>
    <definedName name="EV__MEMORYCVW__RAJU11_CATEGORY" hidden="1">"ACTUAL"</definedName>
    <definedName name="EV__MEMORYCVW__RAJU11_CURRENCY" hidden="1">"USD"</definedName>
    <definedName name="EV__MEMORYCVW__RAJU11_CUSTOM1" hidden="1">"TOPCUSTOM1"</definedName>
    <definedName name="EV__MEMORYCVW__RAJU11_CUSTOM2" hidden="1">"TOPCUSTOM2"</definedName>
    <definedName name="EV__MEMORYCVW__RAJU11_CUSTOM3" hidden="1">"TOPCUSTOM3"</definedName>
    <definedName name="EV__MEMORYCVW__RAJU11_CUSTOM4" hidden="1">"TOPCUSTOM4"</definedName>
    <definedName name="EV__MEMORYCVW__RAJU11_DATASRC" hidden="1">"TOTALADJ"</definedName>
    <definedName name="EV__MEMORYCVW__RAJU11_ENTITY" hidden="1">"NOENTITY"</definedName>
    <definedName name="EV__MEMORYCVW__RAJU11_ICP" hidden="1">"ALLICP"</definedName>
    <definedName name="EV__MEMORYCVW__RAJU11_MEASURES" hidden="1">"YTD"</definedName>
    <definedName name="EV__MEMORYCVW__RAJU11_TIME" hidden="1">"2008.MAR"</definedName>
    <definedName name="EV__WBEVMODE__" hidden="1">0</definedName>
    <definedName name="EV__WBREFOPTIONS__" hidden="1">134217735</definedName>
    <definedName name="EV__WBVERSION__" hidden="1">0</definedName>
    <definedName name="EV__WSINFO__" hidden="1">123</definedName>
    <definedName name="exchangerate">[10]DCEInputs!$I$8</definedName>
    <definedName name="fds">'[21]FRCT INPUT-CFG'!$D$41:$H$41</definedName>
    <definedName name="FileName">[22]Sheet1!$D$2</definedName>
    <definedName name="financialcase">[8]Model!$D$8</definedName>
    <definedName name="fixedmargin">[8]Model!$AA$178</definedName>
    <definedName name="Func_Factor_Name">'[4]Input-Allocators'!$B$9:$B$16</definedName>
    <definedName name="GMJanMay">'[23]FRCT INPUT-FE'!$D$41:$H$41</definedName>
    <definedName name="goodwill">[8]Model!$D$11</definedName>
    <definedName name="growth">[10]DCEInputs!$I$24</definedName>
    <definedName name="HedgeType">'[24]Financing Assumptions'!$N$12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inflation">'[8]Cost Savings Detail'!$F$143</definedName>
    <definedName name="Intref">'[19]LBO FINS'!$E$216</definedName>
    <definedName name="Intsub">'[19]LBO Analysis'!$J$10</definedName>
    <definedName name="ipocase">[8]Model!$D$41</definedName>
    <definedName name="ipoyear">[8]Model!$D$49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NNUAL_DIVIDEND" hidden="1">"c229"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ASH_OPER_ACT_OR_EST" hidden="1">"c4164"</definedName>
    <definedName name="IQ_CCE_FDIC" hidden="1">"c6296"</definedName>
    <definedName name="IQ_CH" hidden="1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LASSB_OUTSTANDING_BS_DATE" hidden="1">"c1972"</definedName>
    <definedName name="IQ_CLASSB_OUTSTANDING_FILING_DATE" hidden="1">"c1974"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 hidden="1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"c157"</definedName>
    <definedName name="IQ_EBIT_GROWTH_2" hidden="1">"c161"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GROWTH_1" hidden="1">"c156"</definedName>
    <definedName name="IQ_EBITDA_GROWTH_2" hidden="1">"c160"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_1" hidden="1">"c189"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FFO_REUT" hidden="1">"c3843"</definedName>
    <definedName name="IQ_EST_ACT_FFO_THOM" hidden="1">"c4005"</definedName>
    <definedName name="IQ_EST_EPS_SURPRISE" hidden="1">"c1635"</definedName>
    <definedName name="IQ_EST_FFO_DIFF_REUT" hidden="1">"c3890"</definedName>
    <definedName name="IQ_EST_FFO_DIFF_THOM" hidden="1">"c5186"</definedName>
    <definedName name="IQ_EST_FFO_SURPRISE_PERCENT_REUT" hidden="1">"c3891"</definedName>
    <definedName name="IQ_EST_FFO_SURPRISE_PERCENT_THOM" hidden="1">"c5187"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IMATED_ASSESSABLE_DEPOSITS_FDIC" hidden="1">"c6490"</definedName>
    <definedName name="IQ_ESTIMATED_INSURED_DEPOSITS_FDIC" hidden="1">"c6491"</definedName>
    <definedName name="IQ_EV_OVER_REVENUE_EST" hidden="1">"c165"</definedName>
    <definedName name="IQ_EV_OVER_REVENUE_EST_1" hidden="1">"c166"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FO_EST_REUT" hidden="1">"c3837"</definedName>
    <definedName name="IQ_FFO_EST_THOM" hidden="1">"c3999"</definedName>
    <definedName name="IQ_FFO_HIGH_EST_REUT" hidden="1">"c3839"</definedName>
    <definedName name="IQ_FFO_HIGH_EST_THOM" hidden="1">"c4001"</definedName>
    <definedName name="IQ_FFO_LOW_EST_REUT" hidden="1">"c3840"</definedName>
    <definedName name="IQ_FFO_LOW_EST_THOM" hidden="1">"c4002"</definedName>
    <definedName name="IQ_FFO_MEDIAN_EST_REUT" hidden="1">"c3838"</definedName>
    <definedName name="IQ_FFO_MEDIAN_EST_THOM" hidden="1">"c4000"</definedName>
    <definedName name="IQ_FFO_NUM_EST_REUT" hidden="1">"c3841"</definedName>
    <definedName name="IQ_FFO_NUM_EST_THOM" hidden="1">"c4003"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UE_AFTER_FIVE" hidden="1">"c2086"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IVE_PERCENT_AMOUNT" hidden="1">"c240"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 hidden="1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3MTH_BOUGHT" hidden="1">"c1534"</definedName>
    <definedName name="IQ_INSIDER_3MTH_NET" hidden="1">"c1535"</definedName>
    <definedName name="IQ_INSIDER_3MTH_SOLD" hidden="1">"c1533"</definedName>
    <definedName name="IQ_INSIDER_6MTH_BOUGHT" hidden="1">"c1537"</definedName>
    <definedName name="IQ_INSIDER_6MTH_NET" hidden="1">"c1538"</definedName>
    <definedName name="IQ_INSIDER_6MTH_SOLD" hidden="1">"c1536"</definedName>
    <definedName name="IQ_INSIDER_AMOUNT" hidden="1">"c238"</definedName>
    <definedName name="IQ_INSIDER_LOANS_FDIC" hidden="1">"c6365"</definedName>
    <definedName name="IQ_INSTITUTIONAL_AMOUNT" hidden="1">"c236"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_DATE" hidden="1">"IQ_LTM_DATE"</definedName>
    <definedName name="IQ_LTMMONTH" hidden="1">120000</definedName>
    <definedName name="IQ_MAINT_CAPEX_ACT_OR_EST" hidden="1">"c4458"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 hidden="1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41200.5212847222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GROWTH_1" hidden="1">"c158"</definedName>
    <definedName name="IQ_NET_INC_GROWTH_2" hidden="1">"c162"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 hidden="1">6000</definedName>
    <definedName name="IQ_NUM_OFFICES" hidden="1">"c2088"</definedName>
    <definedName name="IQ_NUMBER_DEPOSITS_LESS_THAN_100K_FDIC" hidden="1">"c6495"</definedName>
    <definedName name="IQ_NUMBER_DEPOSITS_MORE_THAN_100K_FDIC" hidden="1">"c6493"</definedName>
    <definedName name="IQ_NUMBER_SHAREHOLDERS_CLASSB" hidden="1">"c1969"</definedName>
    <definedName name="IQ_OBLIGATIONS_OF_STATES_TOTAL_LOANS_FOREIGN_FDIC" hidden="1">"c6447"</definedName>
    <definedName name="IQ_OBLIGATIONS_STATES_FDIC" hidden="1">"c6431"</definedName>
    <definedName name="IQ_OG_OTHER_ADJ" hidden="1">"c1999"</definedName>
    <definedName name="IQ_OG_TOTAL_OIL_PRODUCTON" hidden="1">"c2059"</definedName>
    <definedName name="IQ_OPENED55" hidden="1">1</definedName>
    <definedName name="IQ_OPER_INC_BR" hidden="1">"c850"</definedName>
    <definedName name="IQ_OPTIONS_EXCERCISED" hidden="1">"c2116"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FLOAT" hidden="1">"c227"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EPS_EST" hidden="1">"c174"</definedName>
    <definedName name="IQ_PRICE_OVER_EPS_EST_1" hidden="1">"c175"</definedName>
    <definedName name="IQ_PRICEDATETIME" hidden="1">"IQ_PRICEDATETIME"</definedName>
    <definedName name="IQ_PRIMARY_EPS_TYPE_THOM" hidden="1">"c5297"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_1" hidden="1">"c190"</definedName>
    <definedName name="IQ_REVENUE_GROWTH_1" hidden="1">"c155"</definedName>
    <definedName name="IQ_REVENUE_GROWTH_2" hidden="1">"c159"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HORT_INTEREST_VOLUME" hidden="1">"c228"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LASTCLOSE" hidden="1">"c1855"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 hidden="1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 hidden="1">3000</definedName>
    <definedName name="IQ_YTDMONTH" hidden="1">130000</definedName>
    <definedName name="JRM_Inis">'[9]JRM Model'!$A$191</definedName>
    <definedName name="KKR_Deal_Fee">[25]Triggers!$E$23</definedName>
    <definedName name="lbo">[26]LBOSourceUse!$D$7</definedName>
    <definedName name="LBO_MODEL">[27]TRANS!$D$10</definedName>
    <definedName name="Lcash">[28]Inputs!$P$27</definedName>
    <definedName name="Lfdshares">[28]Inputs!$P$24</definedName>
    <definedName name="Lmin">[28]Inputs!$P$29</definedName>
    <definedName name="Long_Term_Debt">[11]Inputs!$B$8</definedName>
    <definedName name="Lpref">[28]Inputs!$P$30</definedName>
    <definedName name="LTM_EBITDA">[11]Inputs!$B$21</definedName>
    <definedName name="LTM_EBITDAR">[11]Inputs!$B$20</definedName>
    <definedName name="LTM_REVENUES">[11]Inputs!$B$19</definedName>
    <definedName name="Ltotdebt">[28]Inputs!$P$28</definedName>
    <definedName name="Macro4" localSheetId="5">[29]!Macro4</definedName>
    <definedName name="Macro4" localSheetId="4">[29]!Macro4</definedName>
    <definedName name="Macro4">[29]!Macro4</definedName>
    <definedName name="mapping">[30]mapping!$A$2:$H$1143</definedName>
    <definedName name="margin">[8]Model!$AA$180</definedName>
    <definedName name="master">[31]conrol!$B$11</definedName>
    <definedName name="MaxChange">'[4]General Inputs'!$D$32</definedName>
    <definedName name="MEWarning" hidden="1">1</definedName>
    <definedName name="Mill">[32]MODEL!$L$22</definedName>
    <definedName name="MODEL_TYPE">[27]TRANS!$D$14</definedName>
    <definedName name="N12M_EPS">[11]Inputs!$B$14</definedName>
    <definedName name="NAME">[33]INPUT!$A$13:$B$30</definedName>
    <definedName name="newcutoff">'[13]Summary History'!$C$3</definedName>
    <definedName name="offer">'[26]Sources &amp; Uses'!$D$7</definedName>
    <definedName name="OFFER_PRICE">[34]Transinputs!$U$7</definedName>
    <definedName name="ownership">[8]Model!$C$22</definedName>
    <definedName name="PAGE4">[34]Calcs:tainted!$B$57:$L$73</definedName>
    <definedName name="pdate">[10]DCEInputs!$I$6</definedName>
    <definedName name="PIKK">'[35]Trans Assump'!$U$18</definedName>
    <definedName name="PIPELINE_INPUT" localSheetId="16">'[36]FPL Interconnect Actual'!$E$7:$P$53</definedName>
    <definedName name="PIPELINE_INPUT" localSheetId="15">'[36]FPL Interconnect Actual'!$E$7:$P$53</definedName>
    <definedName name="PIPELINE_INPUT">'[37]FPL Interconnect Actual'!$E$7:$P$53</definedName>
    <definedName name="pjname">{"Client Name or Project Name"}</definedName>
    <definedName name="pprice">[25]Triggers!$E$13</definedName>
    <definedName name="Preferred_Stock">[11]Inputs!$B$7</definedName>
    <definedName name="premium">[34]Transinputs!$U$13</definedName>
    <definedName name="pricecase">[28]Buildup!$Z$374</definedName>
    <definedName name="_xlnm.Print_Area" localSheetId="16">'Input 16.1_2018VOL-YTD'!$A$3:$Q$218</definedName>
    <definedName name="_xlnm.Print_Area" localSheetId="15">'Input 16_2018CUST-YTD'!$A$1:$Q$244</definedName>
    <definedName name="Print_HardRock" localSheetId="5">[38]!Print_HardRock</definedName>
    <definedName name="Print_HardRock" localSheetId="4">[38]!Print_HardRock</definedName>
    <definedName name="Print_HardRock">[38]!Print_HardRock</definedName>
    <definedName name="Print_Valmax" localSheetId="5">[39]!Print_Valmax</definedName>
    <definedName name="Print_Valmax" localSheetId="4">[39]!Print_Valmax</definedName>
    <definedName name="Print_Valmax">[39]!Print_Valmax</definedName>
    <definedName name="project">[26]Inputs!$D$5</definedName>
    <definedName name="Project_Name">[11]Inputs!$E$1</definedName>
    <definedName name="ProjectName">{"Client Name or Project Name"}</definedName>
    <definedName name="PROJNAME">'[40]Transaction Inputs'!$E$15</definedName>
    <definedName name="pur">[14]Snow_recap!$R$9</definedName>
    <definedName name="RAS" localSheetId="23" hidden="1">[41]FxdChg!#REF!</definedName>
    <definedName name="RAS" hidden="1">[42]FxdChg!#REF!</definedName>
    <definedName name="relever">[43]Controls!$E$8</definedName>
    <definedName name="rhtprice">[44]Overview!$D$8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R_System">'[4]General Inputs'!$D$19</definedName>
    <definedName name="secondary1">[8]Model!$D$56</definedName>
    <definedName name="secondary2">[8]Model!$D$59</definedName>
    <definedName name="secondary3">[8]Model!$D$62</definedName>
    <definedName name="secondarydiscount">[8]Model!$D$50</definedName>
    <definedName name="secondarymultiple">[8]Model!$D$51</definedName>
    <definedName name="secondarytiming">[8]Model!$D$45</definedName>
    <definedName name="sellerfinancerate">[8]Model!$I$8</definedName>
    <definedName name="SENSEPOOL">[34]Calcs:Summary!$M$34:$AI$122</definedName>
    <definedName name="shares">[45]DCEInputs!$M$13</definedName>
    <definedName name="Shares_Outstanding">[11]Inputs!$B$5</definedName>
    <definedName name="Short_Term_Debt">[11]Inputs!$B$9</definedName>
    <definedName name="srecap">[25]Triggers!$E$21</definedName>
    <definedName name="Summ" localSheetId="16">'[46]DEL-updated'!$A$11:$T$372</definedName>
    <definedName name="Summ" localSheetId="15">'[46]DEL-updated'!$A$11:$T$372</definedName>
    <definedName name="Summ">'[47]DEL-updated'!$A$11:$T$372</definedName>
    <definedName name="switch">[14]conrol!$B$16</definedName>
    <definedName name="t1book">'[40]Target 1'!$W$26</definedName>
    <definedName name="t1cash">'[40]Target 1'!$W$8</definedName>
    <definedName name="t1debt">'[40]Target 1'!$W$22</definedName>
    <definedName name="t1ebitda">'[40]Target 1'!$G$25</definedName>
    <definedName name="T1RENTS">'[40]Target 1'!$G$23</definedName>
    <definedName name="t1revs">'[40]Target 1'!$G$20</definedName>
    <definedName name="t1shares">'[40]Share Calculations'!$K$29</definedName>
    <definedName name="targ1fy97">'[40]Target 1'!$E$11</definedName>
    <definedName name="targ1fy98">'[40]Target 1'!$E$11</definedName>
    <definedName name="targ1price">'[40]Transaction Calculations'!$I$22</definedName>
    <definedName name="targ1shares">'[40]Transaction Calculations'!$I$29</definedName>
    <definedName name="Targ52High">[48]Input!$K$63</definedName>
    <definedName name="Targ52Low">[48]Input!$K$64</definedName>
    <definedName name="TargCalEPS1">[48]Input!$K$68</definedName>
    <definedName name="TargCalEPS2">[48]Input!$K$69</definedName>
    <definedName name="TargCalEPS3">[48]Input!$K$70</definedName>
    <definedName name="TargEBITDA">[48]Input!$K$47</definedName>
    <definedName name="Target1">'[40]Transaction Inputs'!$E$19</definedName>
    <definedName name="TargetDebt">[48]Input!$K$54</definedName>
    <definedName name="tbl">{2}</definedName>
    <definedName name="ticker">'[10]SumComp-Nortel'!$D$1</definedName>
    <definedName name="timepeiece">[48]Input!$E$9</definedName>
    <definedName name="Title">[49]Cases!$A$4</definedName>
    <definedName name="TOTAL_ACQ">'[50]Units Sold Data'!$B$123:$J$123</definedName>
    <definedName name="TOTAL_AUS">'[50]Units Sold Data'!$B$69:$J$69</definedName>
    <definedName name="TOTAL_CAN">'[50]Units Sold Data'!$B$87:$J$87</definedName>
    <definedName name="TOTAL_FM">'[51]Total Products - FM'!$B$17:$J$17</definedName>
    <definedName name="TOTAL_NAT_L">'[50]Units Sold Data'!$B$105:$J$105</definedName>
    <definedName name="TOTAL_UK">'[50]Units Sold Data'!$B$51:$J$51</definedName>
    <definedName name="TOTAL_US">'[50]Units Sold Data'!$B$33:$J$33</definedName>
    <definedName name="TOTALCustomerSheets">OFFSET('[4]Required Sheets'!$I$24:$I$35,,,12-COUNTBLANK('[4]Required Sheets'!$I$24:$I$35))</definedName>
    <definedName name="TOTALDemandSheets">OFFSET('[4]Required Sheets'!$G$24:$G$35,,,12-COUNTBLANK('[4]Required Sheets'!$G$24:$G$35))</definedName>
    <definedName name="TOTALECSheets">OFFSET('[4]Required Sheets'!$H$24:$H$35,,,12-COUNTBLANK('[4]Required Sheets'!$H$24:$H$35))</definedName>
    <definedName name="units">[31]conrol!$C$8</definedName>
    <definedName name="Useful_Life_of_Depreciable_PP_E">"PPElife"</definedName>
    <definedName name="usprice">[10]DCEInputs!$I$5</definedName>
    <definedName name="wrn.IPO._.Valuation." localSheetId="18" hidden="1">{"assumptions",#N/A,FALSE,"Scenario 1";"valuation",#N/A,FALSE,"Scenario 1"}</definedName>
    <definedName name="wrn.IPO._.Valuation." localSheetId="17" hidden="1">{"assumptions",#N/A,FALSE,"Scenario 1";"valuation",#N/A,FALSE,"Scenario 1"}</definedName>
    <definedName name="wrn.IPO._.Valuation." localSheetId="19" hidden="1">{"assumptions",#N/A,FALSE,"Scenario 1";"valuation",#N/A,FALSE,"Scenario 1"}</definedName>
    <definedName name="wrn.IPO._.Valuation." localSheetId="23" hidden="1">{"assumptions",#N/A,FALSE,"Scenario 1";"valuation",#N/A,FALSE,"Scenario 1"}</definedName>
    <definedName name="wrn.IPO._.Valuation." hidden="1">{"assumptions",#N/A,FALSE,"Scenario 1";"valuation",#N/A,FALSE,"Scenario 1"}</definedName>
    <definedName name="wrn.LBO._.Summary." localSheetId="18" hidden="1">{"LBO Summary",#N/A,FALSE,"Summary"}</definedName>
    <definedName name="wrn.LBO._.Summary." localSheetId="17" hidden="1">{"LBO Summary",#N/A,FALSE,"Summary"}</definedName>
    <definedName name="wrn.LBO._.Summary." localSheetId="19" hidden="1">{"LBO Summary",#N/A,FALSE,"Summary"}</definedName>
    <definedName name="wrn.LBO._.Summary." localSheetId="23" hidden="1">{"LBO Summary",#N/A,FALSE,"Summary"}</definedName>
    <definedName name="wrn.LBO._.Summary." hidden="1">{"LBO Summary",#N/A,FALSE,"Summary"}</definedName>
    <definedName name="wrn.Print._.All._.Pages." localSheetId="1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9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2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z_Col10">[5]Main!$P$5:$P$56,[5]Main!$P$16:$P$132,[5]Main!$P$145:$P$199,[5]Main!$P$213:$P$234</definedName>
    <definedName name="z_Col11">[5]Main!$P$5:$P$56,[5]Main!$P$16:$P$132,[5]Main!$P$145:$P$199,[5]Main!$P$213:$P$234</definedName>
    <definedName name="z_Col12">[5]Main!$P$5:$P$56,[5]Main!$P$16:$P$132,[5]Main!$P$145:$P$199,[5]Main!$P$213:$P$234</definedName>
    <definedName name="z_Col13">[5]Main!$P$5:$P$56,[5]Main!$P$16:$P$132,[5]Main!$P$145:$P$199,[5]Main!$P$213:$P$234</definedName>
    <definedName name="z_Col14">[5]Main!$P$5:$P$56,[5]Main!$P$16:$P$132,[5]Main!$P$145:$P$199,[5]Main!$P$213:$P$234</definedName>
    <definedName name="z_Col5">[5]Main!$J$5:$O$56,[5]Main!$J$16:$O$132,[5]Main!$J$145:$O$199,[5]Main!$J$213:$O$234</definedName>
    <definedName name="z_Col6">[5]Main!$N$4:$O$56,[5]Main!$N$16:$O$132,[5]Main!$N$145:$O$199,[5]Main!$N$213:$O$234</definedName>
    <definedName name="z_Col7">[5]Main!#REF!,[5]Main!#REF!,[5]Main!#REF!,[5]Main!#REF!</definedName>
    <definedName name="z_Col9">[5]Main!$P$5:$P$56,[5]Main!$P$16:$P$132,[5]Main!$P$145:$P$199,[5]Main!$P$213:$P$234</definedName>
    <definedName name="z_Printarea">[5]Main!$H$8:$S$56,[5]Main!$H$16:$S$132</definedName>
  </definedNames>
  <calcPr calcId="191028" calcOnSave="0"/>
  <pivotCaches>
    <pivotCache cacheId="0" r:id="rId8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" i="142" l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C62" i="117" l="1"/>
  <c r="D62" i="117"/>
  <c r="E62" i="117"/>
  <c r="F62" i="117"/>
  <c r="G62" i="117"/>
  <c r="H62" i="117"/>
  <c r="I62" i="117"/>
  <c r="J62" i="117"/>
  <c r="K62" i="117"/>
  <c r="L62" i="117"/>
  <c r="M62" i="117"/>
  <c r="N62" i="117"/>
  <c r="O62" i="117"/>
  <c r="P62" i="117"/>
  <c r="Q62" i="117"/>
  <c r="R62" i="117"/>
  <c r="S62" i="117"/>
  <c r="T62" i="117"/>
  <c r="U62" i="117"/>
  <c r="V62" i="117"/>
  <c r="W62" i="117"/>
  <c r="X62" i="117"/>
  <c r="Y62" i="117"/>
  <c r="Z62" i="117"/>
  <c r="AA62" i="117"/>
  <c r="AB62" i="117"/>
  <c r="AC62" i="117"/>
  <c r="C63" i="117"/>
  <c r="D63" i="117"/>
  <c r="D65" i="117" s="1"/>
  <c r="E63" i="117"/>
  <c r="F63" i="117"/>
  <c r="G63" i="117"/>
  <c r="G65" i="117" s="1"/>
  <c r="H63" i="117"/>
  <c r="I63" i="117"/>
  <c r="J63" i="117"/>
  <c r="K63" i="117"/>
  <c r="L63" i="117"/>
  <c r="L65" i="117" s="1"/>
  <c r="M63" i="117"/>
  <c r="N63" i="117"/>
  <c r="O63" i="117"/>
  <c r="O65" i="117" s="1"/>
  <c r="P63" i="117"/>
  <c r="Q63" i="117"/>
  <c r="R63" i="117"/>
  <c r="S63" i="117"/>
  <c r="T63" i="117"/>
  <c r="T65" i="117" s="1"/>
  <c r="U63" i="117"/>
  <c r="V63" i="117"/>
  <c r="W63" i="117"/>
  <c r="W65" i="117" s="1"/>
  <c r="X63" i="117"/>
  <c r="Y63" i="117"/>
  <c r="Z63" i="117"/>
  <c r="AA63" i="117"/>
  <c r="AB63" i="117"/>
  <c r="AB65" i="117" s="1"/>
  <c r="AC63" i="117"/>
  <c r="C64" i="117"/>
  <c r="D64" i="117"/>
  <c r="D66" i="117" s="1"/>
  <c r="E64" i="117"/>
  <c r="F64" i="117"/>
  <c r="G64" i="117"/>
  <c r="H64" i="117"/>
  <c r="I64" i="117"/>
  <c r="I66" i="117" s="1"/>
  <c r="J64" i="117"/>
  <c r="K64" i="117"/>
  <c r="L64" i="117"/>
  <c r="L66" i="117" s="1"/>
  <c r="M64" i="117"/>
  <c r="N64" i="117"/>
  <c r="O64" i="117"/>
  <c r="P64" i="117"/>
  <c r="Q64" i="117"/>
  <c r="Q66" i="117" s="1"/>
  <c r="R64" i="117"/>
  <c r="S64" i="117"/>
  <c r="T64" i="117"/>
  <c r="T66" i="117" s="1"/>
  <c r="U64" i="117"/>
  <c r="V64" i="117"/>
  <c r="W64" i="117"/>
  <c r="X64" i="117"/>
  <c r="Y64" i="117"/>
  <c r="Y66" i="117" s="1"/>
  <c r="Z64" i="117"/>
  <c r="AA64" i="117"/>
  <c r="AB64" i="117"/>
  <c r="AB66" i="117" s="1"/>
  <c r="AC64" i="117"/>
  <c r="C65" i="117"/>
  <c r="E65" i="117"/>
  <c r="F65" i="117"/>
  <c r="H65" i="117"/>
  <c r="I65" i="117"/>
  <c r="J65" i="117"/>
  <c r="K65" i="117"/>
  <c r="M65" i="117"/>
  <c r="N65" i="117"/>
  <c r="P65" i="117"/>
  <c r="Q65" i="117"/>
  <c r="R65" i="117"/>
  <c r="S65" i="117"/>
  <c r="U65" i="117"/>
  <c r="V65" i="117"/>
  <c r="X65" i="117"/>
  <c r="Y65" i="117"/>
  <c r="Z65" i="117"/>
  <c r="AA65" i="117"/>
  <c r="AC65" i="117"/>
  <c r="C66" i="117"/>
  <c r="E66" i="117"/>
  <c r="F66" i="117"/>
  <c r="G66" i="117"/>
  <c r="H66" i="117"/>
  <c r="J66" i="117"/>
  <c r="K66" i="117"/>
  <c r="M66" i="117"/>
  <c r="N66" i="117"/>
  <c r="O66" i="117"/>
  <c r="P66" i="117"/>
  <c r="R66" i="117"/>
  <c r="S66" i="117"/>
  <c r="U66" i="117"/>
  <c r="V66" i="117"/>
  <c r="W66" i="117"/>
  <c r="X66" i="117"/>
  <c r="Z66" i="117"/>
  <c r="AA66" i="117"/>
  <c r="AC66" i="117"/>
  <c r="T6" i="162"/>
  <c r="T7" i="162"/>
  <c r="T8" i="162"/>
  <c r="T9" i="162"/>
  <c r="T10" i="162"/>
  <c r="T11" i="162"/>
  <c r="T12" i="162"/>
  <c r="T13" i="162"/>
  <c r="T14" i="162"/>
  <c r="T15" i="162"/>
  <c r="T16" i="162"/>
  <c r="T17" i="162"/>
  <c r="T18" i="162"/>
  <c r="T19" i="162"/>
  <c r="T20" i="162"/>
  <c r="T21" i="162"/>
  <c r="T22" i="162"/>
  <c r="T23" i="162"/>
  <c r="T24" i="162"/>
  <c r="T25" i="162"/>
  <c r="T26" i="162"/>
  <c r="T27" i="162"/>
  <c r="T28" i="162"/>
  <c r="T29" i="162"/>
  <c r="T30" i="162"/>
  <c r="T31" i="162"/>
  <c r="T32" i="162"/>
  <c r="T33" i="162"/>
  <c r="T34" i="162"/>
  <c r="T35" i="162"/>
  <c r="T36" i="162"/>
  <c r="T37" i="162"/>
  <c r="T38" i="162"/>
  <c r="T39" i="162"/>
  <c r="T40" i="162"/>
  <c r="T41" i="162"/>
  <c r="T42" i="162"/>
  <c r="T43" i="162"/>
  <c r="T44" i="162"/>
  <c r="T45" i="162"/>
  <c r="T46" i="162"/>
  <c r="T47" i="162"/>
  <c r="T48" i="162"/>
  <c r="T49" i="162"/>
  <c r="T50" i="162"/>
  <c r="T51" i="162"/>
  <c r="T52" i="162"/>
  <c r="T5" i="162"/>
  <c r="G15" i="124" l="1"/>
  <c r="AK149" i="127"/>
  <c r="BY66" i="124"/>
  <c r="S5" i="162" l="1"/>
  <c r="S23" i="162"/>
  <c r="S24" i="162"/>
  <c r="S25" i="162"/>
  <c r="S26" i="162"/>
  <c r="S27" i="162"/>
  <c r="S28" i="162"/>
  <c r="S29" i="162"/>
  <c r="S30" i="162"/>
  <c r="S31" i="162"/>
  <c r="S32" i="162"/>
  <c r="S33" i="162"/>
  <c r="S34" i="162"/>
  <c r="S35" i="162"/>
  <c r="S36" i="162"/>
  <c r="S37" i="162"/>
  <c r="S38" i="162"/>
  <c r="S39" i="162"/>
  <c r="S40" i="162"/>
  <c r="S41" i="162"/>
  <c r="S42" i="162"/>
  <c r="S43" i="162"/>
  <c r="S44" i="162"/>
  <c r="S45" i="162"/>
  <c r="S46" i="162"/>
  <c r="S47" i="162"/>
  <c r="S48" i="162"/>
  <c r="S49" i="162"/>
  <c r="S50" i="162"/>
  <c r="S51" i="162"/>
  <c r="S52" i="162"/>
  <c r="S6" i="162"/>
  <c r="S7" i="162"/>
  <c r="S8" i="162"/>
  <c r="S9" i="162"/>
  <c r="S10" i="162"/>
  <c r="S11" i="162"/>
  <c r="S12" i="162"/>
  <c r="S13" i="162"/>
  <c r="S14" i="162"/>
  <c r="S15" i="162"/>
  <c r="S16" i="162"/>
  <c r="S17" i="162"/>
  <c r="S18" i="162"/>
  <c r="S19" i="162"/>
  <c r="S20" i="162"/>
  <c r="S21" i="162"/>
  <c r="S22" i="162"/>
  <c r="Y253" i="127"/>
  <c r="Z253" i="127"/>
  <c r="AA253" i="127"/>
  <c r="AB253" i="127"/>
  <c r="AC253" i="127"/>
  <c r="AD253" i="127"/>
  <c r="AE253" i="127"/>
  <c r="AF253" i="127"/>
  <c r="AG253" i="127"/>
  <c r="AH253" i="127"/>
  <c r="AI253" i="127"/>
  <c r="AJ253" i="127"/>
  <c r="AK253" i="127"/>
  <c r="Y254" i="127"/>
  <c r="Z254" i="127"/>
  <c r="AA254" i="127"/>
  <c r="AB254" i="127"/>
  <c r="AC254" i="127"/>
  <c r="AD254" i="127"/>
  <c r="AE254" i="127"/>
  <c r="AF254" i="127"/>
  <c r="AG254" i="127"/>
  <c r="AH254" i="127"/>
  <c r="AI254" i="127"/>
  <c r="AJ254" i="127"/>
  <c r="AK254" i="127"/>
  <c r="Y249" i="127"/>
  <c r="Z249" i="127"/>
  <c r="AA249" i="127"/>
  <c r="AB249" i="127"/>
  <c r="AC249" i="127"/>
  <c r="AD249" i="127"/>
  <c r="AE249" i="127"/>
  <c r="AF249" i="127"/>
  <c r="AG249" i="127"/>
  <c r="AH249" i="127"/>
  <c r="AI249" i="127"/>
  <c r="AJ249" i="127"/>
  <c r="AK249" i="127"/>
  <c r="Y250" i="127"/>
  <c r="Z250" i="127"/>
  <c r="AA250" i="127"/>
  <c r="AB250" i="127"/>
  <c r="AB255" i="127" s="1"/>
  <c r="AC250" i="127"/>
  <c r="AD250" i="127"/>
  <c r="AE250" i="127"/>
  <c r="AF250" i="127"/>
  <c r="AG250" i="127"/>
  <c r="AH250" i="127"/>
  <c r="AI250" i="127"/>
  <c r="AJ250" i="127"/>
  <c r="Y251" i="127"/>
  <c r="Z251" i="127"/>
  <c r="AA251" i="127"/>
  <c r="AB251" i="127"/>
  <c r="AC251" i="127"/>
  <c r="AD251" i="127"/>
  <c r="AE251" i="127"/>
  <c r="AF251" i="127"/>
  <c r="AG251" i="127"/>
  <c r="AH251" i="127"/>
  <c r="AI251" i="127"/>
  <c r="AJ251" i="127"/>
  <c r="AK251" i="127"/>
  <c r="Y252" i="127"/>
  <c r="Z252" i="127"/>
  <c r="AA252" i="127"/>
  <c r="AB252" i="127"/>
  <c r="AC252" i="127"/>
  <c r="AD252" i="127"/>
  <c r="AE252" i="127"/>
  <c r="AF252" i="127"/>
  <c r="AG252" i="127"/>
  <c r="AH252" i="127"/>
  <c r="AI252" i="127"/>
  <c r="AJ252" i="127"/>
  <c r="AK252" i="127"/>
  <c r="Z248" i="127"/>
  <c r="AA248" i="127"/>
  <c r="AB248" i="127"/>
  <c r="AC248" i="127"/>
  <c r="AD248" i="127"/>
  <c r="AE248" i="127"/>
  <c r="AF248" i="127"/>
  <c r="AG248" i="127"/>
  <c r="AH248" i="127"/>
  <c r="AI248" i="127"/>
  <c r="AJ248" i="127"/>
  <c r="Y248" i="127"/>
  <c r="F255" i="127"/>
  <c r="R254" i="127"/>
  <c r="Q254" i="127"/>
  <c r="P254" i="127"/>
  <c r="O254" i="127"/>
  <c r="N254" i="127"/>
  <c r="M254" i="127"/>
  <c r="L254" i="127"/>
  <c r="K254" i="127"/>
  <c r="J254" i="127"/>
  <c r="I254" i="127"/>
  <c r="H254" i="127"/>
  <c r="G254" i="127"/>
  <c r="F254" i="127"/>
  <c r="R253" i="127"/>
  <c r="Q253" i="127"/>
  <c r="P253" i="127"/>
  <c r="O253" i="127"/>
  <c r="N253" i="127"/>
  <c r="M253" i="127"/>
  <c r="L253" i="127"/>
  <c r="K253" i="127"/>
  <c r="J253" i="127"/>
  <c r="I253" i="127"/>
  <c r="H253" i="127"/>
  <c r="G253" i="127"/>
  <c r="F253" i="127"/>
  <c r="R252" i="127"/>
  <c r="Q252" i="127"/>
  <c r="P252" i="127"/>
  <c r="O252" i="127"/>
  <c r="N252" i="127"/>
  <c r="M252" i="127"/>
  <c r="L252" i="127"/>
  <c r="K252" i="127"/>
  <c r="J252" i="127"/>
  <c r="I252" i="127"/>
  <c r="H252" i="127"/>
  <c r="G252" i="127"/>
  <c r="F252" i="127"/>
  <c r="W251" i="127"/>
  <c r="V251" i="127"/>
  <c r="U251" i="127"/>
  <c r="T251" i="127"/>
  <c r="S251" i="127"/>
  <c r="R251" i="127"/>
  <c r="Q251" i="127"/>
  <c r="P251" i="127"/>
  <c r="O251" i="127"/>
  <c r="N251" i="127"/>
  <c r="M251" i="127"/>
  <c r="L251" i="127"/>
  <c r="K251" i="127"/>
  <c r="J251" i="127"/>
  <c r="I251" i="127"/>
  <c r="H251" i="127"/>
  <c r="G251" i="127"/>
  <c r="F251" i="127"/>
  <c r="R250" i="127"/>
  <c r="Q250" i="127"/>
  <c r="P250" i="127"/>
  <c r="O250" i="127"/>
  <c r="N250" i="127"/>
  <c r="M250" i="127"/>
  <c r="L250" i="127"/>
  <c r="K250" i="127"/>
  <c r="J250" i="127"/>
  <c r="I250" i="127"/>
  <c r="H250" i="127"/>
  <c r="G250" i="127"/>
  <c r="F250" i="127"/>
  <c r="W249" i="127"/>
  <c r="V249" i="127"/>
  <c r="U249" i="127"/>
  <c r="T249" i="127"/>
  <c r="S249" i="127"/>
  <c r="R249" i="127"/>
  <c r="Q249" i="127"/>
  <c r="P249" i="127"/>
  <c r="O249" i="127"/>
  <c r="N249" i="127"/>
  <c r="M249" i="127"/>
  <c r="L249" i="127"/>
  <c r="K249" i="127"/>
  <c r="J249" i="127"/>
  <c r="I249" i="127"/>
  <c r="H249" i="127"/>
  <c r="G249" i="127"/>
  <c r="F249" i="127"/>
  <c r="R248" i="127"/>
  <c r="Q248" i="127"/>
  <c r="P248" i="127"/>
  <c r="O248" i="127"/>
  <c r="N248" i="127"/>
  <c r="M248" i="127"/>
  <c r="L248" i="127"/>
  <c r="K248" i="127"/>
  <c r="J248" i="127"/>
  <c r="I248" i="127"/>
  <c r="H248" i="127"/>
  <c r="G248" i="127"/>
  <c r="F248" i="127"/>
  <c r="AM252" i="127"/>
  <c r="AA255" i="127" l="1"/>
  <c r="R255" i="127"/>
  <c r="J255" i="127"/>
  <c r="L255" i="127"/>
  <c r="H255" i="127"/>
  <c r="M255" i="127"/>
  <c r="P255" i="127"/>
  <c r="N255" i="127"/>
  <c r="G255" i="127"/>
  <c r="O255" i="127"/>
  <c r="Q255" i="127"/>
  <c r="I255" i="127"/>
  <c r="K255" i="127"/>
  <c r="AC255" i="127"/>
  <c r="AD255" i="127"/>
  <c r="AI255" i="127"/>
  <c r="AF255" i="127"/>
  <c r="AG255" i="127"/>
  <c r="Z255" i="127"/>
  <c r="AH255" i="127"/>
  <c r="AJ255" i="127"/>
  <c r="AE255" i="127"/>
  <c r="Y255" i="127"/>
  <c r="AW66" i="124" l="1"/>
  <c r="AC63" i="79" l="1"/>
  <c r="AC62" i="79"/>
  <c r="AC61" i="79"/>
  <c r="AC17" i="79"/>
  <c r="AC16" i="79"/>
  <c r="AC15" i="79"/>
  <c r="AC14" i="79"/>
  <c r="AC13" i="79"/>
  <c r="AC12" i="79"/>
  <c r="AC11" i="79"/>
  <c r="AC10" i="79"/>
  <c r="AC9" i="79"/>
  <c r="AC8" i="79"/>
  <c r="AC7" i="79"/>
  <c r="AC6" i="79"/>
  <c r="AC5" i="79"/>
  <c r="AC32" i="79"/>
  <c r="AC33" i="79"/>
  <c r="AC34" i="79"/>
  <c r="AC35" i="79"/>
  <c r="AC36" i="79"/>
  <c r="AC37" i="79"/>
  <c r="AC38" i="79"/>
  <c r="AC39" i="79"/>
  <c r="AC40" i="79"/>
  <c r="AC41" i="79"/>
  <c r="AC42" i="79"/>
  <c r="AC43" i="79"/>
  <c r="AC44" i="79"/>
  <c r="AC45" i="79"/>
  <c r="AC46" i="79"/>
  <c r="AC47" i="79"/>
  <c r="AC48" i="79"/>
  <c r="AC49" i="79"/>
  <c r="AC50" i="79"/>
  <c r="AC51" i="79"/>
  <c r="AC52" i="79"/>
  <c r="AC53" i="79"/>
  <c r="AC54" i="79"/>
  <c r="AC31" i="79"/>
  <c r="AC22" i="79"/>
  <c r="AC21" i="79"/>
  <c r="AC19" i="79"/>
  <c r="AC20" i="79"/>
  <c r="AC23" i="79"/>
  <c r="AC24" i="79"/>
  <c r="AC25" i="79"/>
  <c r="AC26" i="79"/>
  <c r="AC27" i="79"/>
  <c r="AC28" i="79"/>
  <c r="AC29" i="79"/>
  <c r="AC30" i="79"/>
  <c r="AC18" i="79"/>
  <c r="Y22" i="79"/>
  <c r="Y21" i="79"/>
  <c r="BM27" i="124" a="1"/>
  <c r="BM27" i="124" s="1"/>
  <c r="BM28" i="124" a="1"/>
  <c r="BM28" i="124" s="1"/>
  <c r="BM26" i="124" a="1"/>
  <c r="BM26" i="124" s="1"/>
  <c r="BM25" i="124" a="1"/>
  <c r="BM25" i="124" s="1"/>
  <c r="BM24" i="124" a="1"/>
  <c r="BM24" i="124" s="1"/>
  <c r="BM23" i="124" a="1"/>
  <c r="BM23" i="124" s="1"/>
  <c r="BM22" i="124" a="1"/>
  <c r="BM22" i="124" s="1"/>
  <c r="BM21" i="124" a="1"/>
  <c r="BM21" i="124" s="1"/>
  <c r="BM20" i="124" a="1"/>
  <c r="BM20" i="124" s="1"/>
  <c r="BM19" i="124" a="1"/>
  <c r="BM19" i="124" s="1"/>
  <c r="BM18" i="124" a="1"/>
  <c r="BM18" i="124" s="1"/>
  <c r="BM17" i="124" a="1"/>
  <c r="BM17" i="124" s="1"/>
  <c r="BM16" i="124" a="1"/>
  <c r="BM16" i="124" s="1"/>
  <c r="BM15" i="124" a="1"/>
  <c r="BM15" i="124" s="1"/>
  <c r="BM14" i="124" a="1"/>
  <c r="BM14" i="124" s="1"/>
  <c r="BM3" i="124" l="1" a="1"/>
  <c r="BM3" i="124" s="1"/>
  <c r="BM4" i="124" a="1"/>
  <c r="BM4" i="124" s="1"/>
  <c r="BM5" i="124" a="1"/>
  <c r="BM5" i="124" s="1"/>
  <c r="BM6" i="124" a="1"/>
  <c r="BM6" i="124" s="1"/>
  <c r="BM7" i="124" a="1"/>
  <c r="BM7" i="124" s="1"/>
  <c r="BM8" i="124" a="1"/>
  <c r="BM8" i="124" s="1"/>
  <c r="BM9" i="124" a="1"/>
  <c r="BM9" i="124" s="1"/>
  <c r="BM10" i="124" a="1"/>
  <c r="BM10" i="124" s="1"/>
  <c r="BM11" i="124" a="1"/>
  <c r="BM11" i="124" s="1"/>
  <c r="BM12" i="124" a="1"/>
  <c r="BM12" i="124" s="1"/>
  <c r="BM13" i="124" a="1"/>
  <c r="BM13" i="124" s="1"/>
  <c r="BM29" i="124" a="1"/>
  <c r="BM29" i="124" s="1"/>
  <c r="BM30" i="124" a="1"/>
  <c r="BM30" i="124" s="1"/>
  <c r="BM31" i="124" a="1"/>
  <c r="BM31" i="124" s="1"/>
  <c r="BM32" i="124" a="1"/>
  <c r="BM32" i="124" s="1"/>
  <c r="BM33" i="124" a="1"/>
  <c r="BM33" i="124" s="1"/>
  <c r="BM34" i="124" a="1"/>
  <c r="BM34" i="124" s="1"/>
  <c r="BM35" i="124" a="1"/>
  <c r="BM35" i="124" s="1"/>
  <c r="BM36" i="124" a="1"/>
  <c r="BM36" i="124" s="1"/>
  <c r="BM37" i="124" a="1"/>
  <c r="BM37" i="124" s="1"/>
  <c r="BM38" i="124" a="1"/>
  <c r="BM38" i="124" s="1"/>
  <c r="BM39" i="124" a="1"/>
  <c r="BM39" i="124" s="1"/>
  <c r="BM40" i="124" a="1"/>
  <c r="BM40" i="124" s="1"/>
  <c r="BM41" i="124" a="1"/>
  <c r="BM41" i="124" s="1"/>
  <c r="BM42" i="124" a="1"/>
  <c r="BM42" i="124" s="1"/>
  <c r="BM43" i="124" a="1"/>
  <c r="BM43" i="124" s="1"/>
  <c r="BM44" i="124" a="1"/>
  <c r="BM44" i="124" s="1"/>
  <c r="BM45" i="124" a="1"/>
  <c r="BM45" i="124" s="1"/>
  <c r="BM46" i="124" a="1"/>
  <c r="BM46" i="124" s="1"/>
  <c r="BM47" i="124" a="1"/>
  <c r="BM47" i="124" s="1"/>
  <c r="BM48" i="124" a="1"/>
  <c r="BM48" i="124" s="1"/>
  <c r="BM49" i="124" a="1"/>
  <c r="BM49" i="124" s="1"/>
  <c r="BM50" i="124" a="1"/>
  <c r="BM50" i="124" s="1"/>
  <c r="BM51" i="124" a="1"/>
  <c r="BM51" i="124" s="1"/>
  <c r="BM52" i="124" a="1"/>
  <c r="BM52" i="124" s="1"/>
  <c r="BM53" i="124" a="1"/>
  <c r="BM53" i="124" s="1"/>
  <c r="BM54" i="124" a="1"/>
  <c r="BM54" i="124" s="1"/>
  <c r="BM55" i="124" a="1"/>
  <c r="BM55" i="124" s="1"/>
  <c r="BM56" i="124" a="1"/>
  <c r="BM56" i="124" s="1"/>
  <c r="BM57" i="124" a="1"/>
  <c r="BM57" i="124" s="1"/>
  <c r="BM58" i="124" a="1"/>
  <c r="BM58" i="124" s="1"/>
  <c r="BM59" i="124" a="1"/>
  <c r="BM59" i="124" s="1"/>
  <c r="BM60" i="124" a="1"/>
  <c r="BM60" i="124" s="1"/>
  <c r="BM61" i="124" a="1"/>
  <c r="BM61" i="124" s="1"/>
  <c r="BM62" i="124" a="1"/>
  <c r="BM62" i="124" s="1"/>
  <c r="BM63" i="124" a="1"/>
  <c r="BM63" i="124" s="1"/>
  <c r="BM64" i="124" a="1"/>
  <c r="BM64" i="124" s="1"/>
  <c r="BM65" i="124" a="1"/>
  <c r="BM65" i="124" s="1"/>
  <c r="BM2" i="124" a="1"/>
  <c r="BM2" i="124" s="1"/>
  <c r="AF3" i="152"/>
  <c r="C83" i="152"/>
  <c r="C74" i="152"/>
  <c r="C75" i="152" s="1"/>
  <c r="C76" i="152" s="1"/>
  <c r="C77" i="152" s="1"/>
  <c r="C78" i="152" s="1"/>
  <c r="C79" i="152" s="1"/>
  <c r="C80" i="152" s="1"/>
  <c r="C81" i="152" s="1"/>
  <c r="C82" i="152" s="1"/>
  <c r="C73" i="152"/>
  <c r="AD7" i="124" l="1"/>
  <c r="AD8" i="124"/>
  <c r="G65" i="146" l="1"/>
  <c r="F64" i="146"/>
  <c r="G64" i="146" s="1"/>
  <c r="F63" i="146"/>
  <c r="G63" i="146" s="1"/>
  <c r="F61" i="146"/>
  <c r="G61" i="146" s="1"/>
  <c r="F60" i="146"/>
  <c r="G60" i="146" s="1"/>
  <c r="F59" i="146"/>
  <c r="G59" i="146" s="1"/>
  <c r="F58" i="146"/>
  <c r="G58" i="146" s="1"/>
  <c r="F57" i="146"/>
  <c r="G57" i="146" s="1"/>
  <c r="F56" i="146"/>
  <c r="G56" i="146" s="1"/>
  <c r="F55" i="146"/>
  <c r="G55" i="146" s="1"/>
  <c r="F54" i="146"/>
  <c r="G54" i="146" s="1"/>
  <c r="F53" i="146"/>
  <c r="G53" i="146" s="1"/>
  <c r="F52" i="146"/>
  <c r="G52" i="146" s="1"/>
  <c r="F51" i="146"/>
  <c r="G51" i="146" s="1"/>
  <c r="F50" i="146"/>
  <c r="G50" i="146" s="1"/>
  <c r="F49" i="146"/>
  <c r="G49" i="146" s="1"/>
  <c r="F48" i="146"/>
  <c r="G48" i="146" s="1"/>
  <c r="F47" i="146"/>
  <c r="G47" i="146" s="1"/>
  <c r="F46" i="146"/>
  <c r="G46" i="146" s="1"/>
  <c r="F45" i="146"/>
  <c r="G45" i="146" s="1"/>
  <c r="F44" i="146"/>
  <c r="G44" i="146" s="1"/>
  <c r="F43" i="146"/>
  <c r="G43" i="146" s="1"/>
  <c r="F42" i="146"/>
  <c r="G42" i="146" s="1"/>
  <c r="F41" i="146"/>
  <c r="G41" i="146" s="1"/>
  <c r="F40" i="146"/>
  <c r="G40" i="146" s="1"/>
  <c r="F39" i="146"/>
  <c r="G39" i="146" s="1"/>
  <c r="F38" i="146"/>
  <c r="G38" i="146" s="1"/>
  <c r="F37" i="146"/>
  <c r="G37" i="146" s="1"/>
  <c r="F36" i="146"/>
  <c r="G36" i="146" s="1"/>
  <c r="F35" i="146"/>
  <c r="G35" i="146" s="1"/>
  <c r="F34" i="146"/>
  <c r="G34" i="146" s="1"/>
  <c r="F33" i="146"/>
  <c r="G33" i="146" s="1"/>
  <c r="F32" i="146"/>
  <c r="G32" i="146" s="1"/>
  <c r="F31" i="146"/>
  <c r="G31" i="146" s="1"/>
  <c r="F30" i="146"/>
  <c r="G30" i="146" s="1"/>
  <c r="F29" i="146"/>
  <c r="G29" i="146" s="1"/>
  <c r="F28" i="146"/>
  <c r="G28" i="146" s="1"/>
  <c r="F27" i="146"/>
  <c r="G27" i="146" s="1"/>
  <c r="F26" i="146"/>
  <c r="G26" i="146" s="1"/>
  <c r="F25" i="146"/>
  <c r="G25" i="146" s="1"/>
  <c r="F24" i="146"/>
  <c r="G24" i="146" s="1"/>
  <c r="F23" i="146"/>
  <c r="G23" i="146" s="1"/>
  <c r="F22" i="146"/>
  <c r="G22" i="146" s="1"/>
  <c r="F21" i="146"/>
  <c r="G21" i="146" s="1"/>
  <c r="F20" i="146"/>
  <c r="G20" i="146" s="1"/>
  <c r="F19" i="146"/>
  <c r="G19" i="146" s="1"/>
  <c r="F18" i="146"/>
  <c r="G18" i="146" s="1"/>
  <c r="F17" i="146"/>
  <c r="G17" i="146" s="1"/>
  <c r="F16" i="146"/>
  <c r="G16" i="146" s="1"/>
  <c r="F15" i="146"/>
  <c r="G15" i="146" s="1"/>
  <c r="F14" i="146"/>
  <c r="G14" i="146" s="1"/>
  <c r="F13" i="146"/>
  <c r="G13" i="146" s="1"/>
  <c r="F12" i="146"/>
  <c r="G12" i="146" s="1"/>
  <c r="F11" i="146"/>
  <c r="G11" i="146" s="1"/>
  <c r="F10" i="146"/>
  <c r="G10" i="146" s="1"/>
  <c r="F9" i="146"/>
  <c r="G9" i="146" s="1"/>
  <c r="F8" i="146"/>
  <c r="G8" i="146" s="1"/>
  <c r="F7" i="146"/>
  <c r="G7" i="146" s="1"/>
  <c r="F6" i="146"/>
  <c r="G6" i="146" s="1"/>
  <c r="F5" i="146"/>
  <c r="G5" i="146" s="1"/>
  <c r="F4" i="146"/>
  <c r="G4" i="146" s="1"/>
  <c r="F3" i="146"/>
  <c r="G3" i="146" s="1"/>
  <c r="F2" i="146"/>
  <c r="G2" i="146" s="1"/>
  <c r="K66" i="135"/>
  <c r="F66" i="135"/>
  <c r="E66" i="135"/>
  <c r="F65" i="135"/>
  <c r="E65" i="135"/>
  <c r="K64" i="135"/>
  <c r="F64" i="135"/>
  <c r="E64" i="135"/>
  <c r="K63" i="135"/>
  <c r="F63" i="135"/>
  <c r="E63" i="135"/>
  <c r="K62" i="135"/>
  <c r="F62" i="135"/>
  <c r="E62" i="135"/>
  <c r="K61" i="135"/>
  <c r="F61" i="135"/>
  <c r="E61" i="135"/>
  <c r="F60" i="135"/>
  <c r="E60" i="135"/>
  <c r="K59" i="135"/>
  <c r="F59" i="135"/>
  <c r="E59" i="135"/>
  <c r="K58" i="135"/>
  <c r="F58" i="135"/>
  <c r="E58" i="135"/>
  <c r="K57" i="135"/>
  <c r="F57" i="135"/>
  <c r="E57" i="135"/>
  <c r="K56" i="135"/>
  <c r="F56" i="135"/>
  <c r="E56" i="135"/>
  <c r="K55" i="135"/>
  <c r="F55" i="135"/>
  <c r="E55" i="135"/>
  <c r="K54" i="135"/>
  <c r="F54" i="135"/>
  <c r="E54" i="135"/>
  <c r="F53" i="135"/>
  <c r="E53" i="135"/>
  <c r="F52" i="135"/>
  <c r="E52" i="135"/>
  <c r="K51" i="135"/>
  <c r="F51" i="135"/>
  <c r="E51" i="135"/>
  <c r="K50" i="135"/>
  <c r="F50" i="135"/>
  <c r="E50" i="135"/>
  <c r="K49" i="135"/>
  <c r="F49" i="135"/>
  <c r="E49" i="135"/>
  <c r="K48" i="135"/>
  <c r="F48" i="135"/>
  <c r="E48" i="135"/>
  <c r="F47" i="135"/>
  <c r="E47" i="135"/>
  <c r="F46" i="135"/>
  <c r="E46" i="135"/>
  <c r="K45" i="135"/>
  <c r="F45" i="135"/>
  <c r="E45" i="135"/>
  <c r="K44" i="135"/>
  <c r="F44" i="135"/>
  <c r="E44" i="135"/>
  <c r="K43" i="135"/>
  <c r="F43" i="135"/>
  <c r="E43" i="135"/>
  <c r="K42" i="135"/>
  <c r="F42" i="135"/>
  <c r="E42" i="135"/>
  <c r="K41" i="135"/>
  <c r="F41" i="135"/>
  <c r="E41" i="135"/>
  <c r="K40" i="135"/>
  <c r="F40" i="135"/>
  <c r="E40" i="135"/>
  <c r="K39" i="135"/>
  <c r="F39" i="135"/>
  <c r="E39" i="135"/>
  <c r="K38" i="135"/>
  <c r="F38" i="135"/>
  <c r="E38" i="135"/>
  <c r="K37" i="135"/>
  <c r="F37" i="135"/>
  <c r="E37" i="135"/>
  <c r="K36" i="135"/>
  <c r="F36" i="135"/>
  <c r="E36" i="135"/>
  <c r="F35" i="135"/>
  <c r="E35" i="135"/>
  <c r="F34" i="135"/>
  <c r="E34" i="135"/>
  <c r="F33" i="135"/>
  <c r="E33" i="135"/>
  <c r="F32" i="135"/>
  <c r="E32" i="135"/>
  <c r="F31" i="135"/>
  <c r="E31" i="135"/>
  <c r="F30" i="135"/>
  <c r="E30" i="135"/>
  <c r="F29" i="135"/>
  <c r="E29" i="135"/>
  <c r="F28" i="135"/>
  <c r="E28" i="135"/>
  <c r="F27" i="135"/>
  <c r="E27" i="135"/>
  <c r="F26" i="135"/>
  <c r="E26" i="135"/>
  <c r="F25" i="135"/>
  <c r="E25" i="135"/>
  <c r="F24" i="135"/>
  <c r="E24" i="135"/>
  <c r="K23" i="135"/>
  <c r="F23" i="135"/>
  <c r="E23" i="135"/>
  <c r="F22" i="135"/>
  <c r="E22" i="135"/>
  <c r="F21" i="135"/>
  <c r="E21" i="135"/>
  <c r="F20" i="135"/>
  <c r="E20" i="135"/>
  <c r="F19" i="135"/>
  <c r="E19" i="135"/>
  <c r="F18" i="135"/>
  <c r="E18" i="135"/>
  <c r="K17" i="135"/>
  <c r="K18" i="135" s="1"/>
  <c r="F17" i="135"/>
  <c r="E17" i="135"/>
  <c r="K16" i="135"/>
  <c r="F16" i="135"/>
  <c r="E16" i="135"/>
  <c r="F15" i="135"/>
  <c r="E15" i="135"/>
  <c r="K14" i="135"/>
  <c r="F14" i="135"/>
  <c r="E14" i="135"/>
  <c r="K13" i="135"/>
  <c r="F13" i="135"/>
  <c r="E13" i="135"/>
  <c r="F12" i="135"/>
  <c r="E12" i="135"/>
  <c r="F11" i="135"/>
  <c r="E11" i="135"/>
  <c r="F10" i="135"/>
  <c r="E10" i="135"/>
  <c r="F9" i="135"/>
  <c r="E9" i="135"/>
  <c r="F8" i="135"/>
  <c r="E8" i="135"/>
  <c r="F7" i="135"/>
  <c r="E7" i="135"/>
  <c r="F6" i="135"/>
  <c r="E6" i="135"/>
  <c r="F5" i="135"/>
  <c r="E5" i="135"/>
  <c r="F4" i="135"/>
  <c r="E4" i="135"/>
  <c r="F3" i="135"/>
  <c r="F2" i="135"/>
  <c r="E2" i="135"/>
  <c r="I258" i="83"/>
  <c r="I257" i="83"/>
  <c r="BJ1" i="152"/>
  <c r="BI1" i="152"/>
  <c r="BH1" i="152"/>
  <c r="BG1" i="152"/>
  <c r="BF1" i="152"/>
  <c r="BE1" i="152"/>
  <c r="BD1" i="152"/>
  <c r="BC1" i="152"/>
  <c r="BB1" i="152"/>
  <c r="BA1" i="152"/>
  <c r="AZ1" i="152"/>
  <c r="AY1" i="152"/>
  <c r="AX1" i="152"/>
  <c r="AW1" i="152"/>
  <c r="F229" i="127"/>
  <c r="AJ228" i="127"/>
  <c r="AI228" i="127"/>
  <c r="AH228" i="127"/>
  <c r="AG228" i="127"/>
  <c r="AF228" i="127"/>
  <c r="AE228" i="127"/>
  <c r="AD228" i="127"/>
  <c r="AC228" i="127"/>
  <c r="AB228" i="127"/>
  <c r="AA228" i="127"/>
  <c r="Z228" i="127"/>
  <c r="Y228" i="127"/>
  <c r="R228" i="127"/>
  <c r="Q228" i="127"/>
  <c r="P228" i="127"/>
  <c r="O228" i="127"/>
  <c r="N228" i="127"/>
  <c r="M228" i="127"/>
  <c r="L228" i="127"/>
  <c r="K228" i="127"/>
  <c r="J228" i="127"/>
  <c r="I228" i="127"/>
  <c r="H228" i="127"/>
  <c r="G228" i="127"/>
  <c r="F228" i="127"/>
  <c r="AJ227" i="127"/>
  <c r="AI227" i="127"/>
  <c r="AH227" i="127"/>
  <c r="AG227" i="127"/>
  <c r="AF227" i="127"/>
  <c r="AE227" i="127"/>
  <c r="AD227" i="127"/>
  <c r="AC227" i="127"/>
  <c r="AB227" i="127"/>
  <c r="AA227" i="127"/>
  <c r="Z227" i="127"/>
  <c r="Y227" i="127"/>
  <c r="R227" i="127"/>
  <c r="Q227" i="127"/>
  <c r="P227" i="127"/>
  <c r="O227" i="127"/>
  <c r="N227" i="127"/>
  <c r="M227" i="127"/>
  <c r="L227" i="127"/>
  <c r="K227" i="127"/>
  <c r="J227" i="127"/>
  <c r="I227" i="127"/>
  <c r="H227" i="127"/>
  <c r="G227" i="127"/>
  <c r="F227" i="127"/>
  <c r="AK226" i="127"/>
  <c r="AJ226" i="127"/>
  <c r="AI226" i="127"/>
  <c r="AH226" i="127"/>
  <c r="AG226" i="127"/>
  <c r="AF226" i="127"/>
  <c r="AE226" i="127"/>
  <c r="AD226" i="127"/>
  <c r="AC226" i="127"/>
  <c r="AB226" i="127"/>
  <c r="AA226" i="127"/>
  <c r="Z226" i="127"/>
  <c r="Y226" i="127"/>
  <c r="W226" i="127"/>
  <c r="V226" i="127"/>
  <c r="U226" i="127"/>
  <c r="T226" i="127"/>
  <c r="S226" i="127"/>
  <c r="R226" i="127"/>
  <c r="Q226" i="127"/>
  <c r="P226" i="127"/>
  <c r="O226" i="127"/>
  <c r="N226" i="127"/>
  <c r="M226" i="127"/>
  <c r="L226" i="127"/>
  <c r="K226" i="127"/>
  <c r="J226" i="127"/>
  <c r="I226" i="127"/>
  <c r="H226" i="127"/>
  <c r="G226" i="127"/>
  <c r="F226" i="127"/>
  <c r="AK225" i="127"/>
  <c r="AJ225" i="127"/>
  <c r="AI225" i="127"/>
  <c r="AH225" i="127"/>
  <c r="AG225" i="127"/>
  <c r="AF225" i="127"/>
  <c r="AE225" i="127"/>
  <c r="AD225" i="127"/>
  <c r="AC225" i="127"/>
  <c r="AB225" i="127"/>
  <c r="AA225" i="127"/>
  <c r="Z225" i="127"/>
  <c r="Y225" i="127"/>
  <c r="W225" i="127"/>
  <c r="V225" i="127"/>
  <c r="U225" i="127"/>
  <c r="T225" i="127"/>
  <c r="S225" i="127"/>
  <c r="R225" i="127"/>
  <c r="Q225" i="127"/>
  <c r="P225" i="127"/>
  <c r="O225" i="127"/>
  <c r="N225" i="127"/>
  <c r="M225" i="127"/>
  <c r="L225" i="127"/>
  <c r="K225" i="127"/>
  <c r="J225" i="127"/>
  <c r="I225" i="127"/>
  <c r="H225" i="127"/>
  <c r="G225" i="127"/>
  <c r="F225" i="127"/>
  <c r="AJ224" i="127"/>
  <c r="AI224" i="127"/>
  <c r="AH224" i="127"/>
  <c r="AG224" i="127"/>
  <c r="AF224" i="127"/>
  <c r="AE224" i="127"/>
  <c r="AD224" i="127"/>
  <c r="AC224" i="127"/>
  <c r="AB224" i="127"/>
  <c r="AA224" i="127"/>
  <c r="Z224" i="127"/>
  <c r="Y224" i="127"/>
  <c r="R224" i="127"/>
  <c r="Q224" i="127"/>
  <c r="P224" i="127"/>
  <c r="O224" i="127"/>
  <c r="N224" i="127"/>
  <c r="M224" i="127"/>
  <c r="L224" i="127"/>
  <c r="K224" i="127"/>
  <c r="J224" i="127"/>
  <c r="I224" i="127"/>
  <c r="H224" i="127"/>
  <c r="G224" i="127"/>
  <c r="F224" i="127"/>
  <c r="AK223" i="127"/>
  <c r="AJ223" i="127"/>
  <c r="AI223" i="127"/>
  <c r="AH223" i="127"/>
  <c r="AG223" i="127"/>
  <c r="AF223" i="127"/>
  <c r="AE223" i="127"/>
  <c r="AD223" i="127"/>
  <c r="AC223" i="127"/>
  <c r="AB223" i="127"/>
  <c r="AA223" i="127"/>
  <c r="Z223" i="127"/>
  <c r="Y223" i="127"/>
  <c r="W223" i="127"/>
  <c r="V223" i="127"/>
  <c r="U223" i="127"/>
  <c r="T223" i="127"/>
  <c r="S223" i="127"/>
  <c r="R223" i="127"/>
  <c r="Q223" i="127"/>
  <c r="P223" i="127"/>
  <c r="O223" i="127"/>
  <c r="N223" i="127"/>
  <c r="M223" i="127"/>
  <c r="L223" i="127"/>
  <c r="K223" i="127"/>
  <c r="J223" i="127"/>
  <c r="I223" i="127"/>
  <c r="H223" i="127"/>
  <c r="G223" i="127"/>
  <c r="F223" i="127"/>
  <c r="AJ222" i="127"/>
  <c r="AI222" i="127"/>
  <c r="AH222" i="127"/>
  <c r="AG222" i="127"/>
  <c r="AF222" i="127"/>
  <c r="AE222" i="127"/>
  <c r="AD222" i="127"/>
  <c r="AC222" i="127"/>
  <c r="AB222" i="127"/>
  <c r="AA222" i="127"/>
  <c r="Z222" i="127"/>
  <c r="Y222" i="127"/>
  <c r="R222" i="127"/>
  <c r="Q222" i="127"/>
  <c r="P222" i="127"/>
  <c r="O222" i="127"/>
  <c r="N222" i="127"/>
  <c r="M222" i="127"/>
  <c r="L222" i="127"/>
  <c r="K222" i="127"/>
  <c r="J222" i="127"/>
  <c r="I222" i="127"/>
  <c r="H222" i="127"/>
  <c r="G222" i="127"/>
  <c r="F222" i="127"/>
  <c r="F220" i="127"/>
  <c r="AJ219" i="127"/>
  <c r="AI219" i="127"/>
  <c r="AH219" i="127"/>
  <c r="AG219" i="127"/>
  <c r="AF219" i="127"/>
  <c r="AE219" i="127"/>
  <c r="AD219" i="127"/>
  <c r="AC219" i="127"/>
  <c r="AB219" i="127"/>
  <c r="AA219" i="127"/>
  <c r="Z219" i="127"/>
  <c r="Y219" i="127"/>
  <c r="R219" i="127"/>
  <c r="Q219" i="127"/>
  <c r="P219" i="127"/>
  <c r="O219" i="127"/>
  <c r="N219" i="127"/>
  <c r="M219" i="127"/>
  <c r="L219" i="127"/>
  <c r="K219" i="127"/>
  <c r="J219" i="127"/>
  <c r="I219" i="127"/>
  <c r="H219" i="127"/>
  <c r="G219" i="127"/>
  <c r="F219" i="127"/>
  <c r="AJ218" i="127"/>
  <c r="AI218" i="127"/>
  <c r="AH218" i="127"/>
  <c r="AG218" i="127"/>
  <c r="AF218" i="127"/>
  <c r="AE218" i="127"/>
  <c r="AD218" i="127"/>
  <c r="AC218" i="127"/>
  <c r="AB218" i="127"/>
  <c r="AA218" i="127"/>
  <c r="Z218" i="127"/>
  <c r="Y218" i="127"/>
  <c r="R218" i="127"/>
  <c r="Q218" i="127"/>
  <c r="P218" i="127"/>
  <c r="O218" i="127"/>
  <c r="N218" i="127"/>
  <c r="M218" i="127"/>
  <c r="L218" i="127"/>
  <c r="K218" i="127"/>
  <c r="J218" i="127"/>
  <c r="I218" i="127"/>
  <c r="H218" i="127"/>
  <c r="G218" i="127"/>
  <c r="F218" i="127"/>
  <c r="AK217" i="127"/>
  <c r="AJ217" i="127"/>
  <c r="AI217" i="127"/>
  <c r="AH217" i="127"/>
  <c r="AG217" i="127"/>
  <c r="AF217" i="127"/>
  <c r="AE217" i="127"/>
  <c r="AD217" i="127"/>
  <c r="AC217" i="127"/>
  <c r="AB217" i="127"/>
  <c r="AA217" i="127"/>
  <c r="Z217" i="127"/>
  <c r="Y217" i="127"/>
  <c r="W217" i="127"/>
  <c r="V217" i="127"/>
  <c r="U217" i="127"/>
  <c r="T217" i="127"/>
  <c r="S217" i="127"/>
  <c r="R217" i="127"/>
  <c r="Q217" i="127"/>
  <c r="P217" i="127"/>
  <c r="O217" i="127"/>
  <c r="N217" i="127"/>
  <c r="M217" i="127"/>
  <c r="L217" i="127"/>
  <c r="K217" i="127"/>
  <c r="J217" i="127"/>
  <c r="I217" i="127"/>
  <c r="H217" i="127"/>
  <c r="G217" i="127"/>
  <c r="F217" i="127"/>
  <c r="AK216" i="127"/>
  <c r="AJ216" i="127"/>
  <c r="AI216" i="127"/>
  <c r="AH216" i="127"/>
  <c r="AG216" i="127"/>
  <c r="AF216" i="127"/>
  <c r="AE216" i="127"/>
  <c r="AD216" i="127"/>
  <c r="AC216" i="127"/>
  <c r="AB216" i="127"/>
  <c r="AA216" i="127"/>
  <c r="Z216" i="127"/>
  <c r="Y216" i="127"/>
  <c r="W216" i="127"/>
  <c r="V216" i="127"/>
  <c r="U216" i="127"/>
  <c r="T216" i="127"/>
  <c r="S216" i="127"/>
  <c r="R216" i="127"/>
  <c r="Q216" i="127"/>
  <c r="P216" i="127"/>
  <c r="O216" i="127"/>
  <c r="N216" i="127"/>
  <c r="M216" i="127"/>
  <c r="L216" i="127"/>
  <c r="K216" i="127"/>
  <c r="J216" i="127"/>
  <c r="I216" i="127"/>
  <c r="H216" i="127"/>
  <c r="G216" i="127"/>
  <c r="F216" i="127"/>
  <c r="AJ215" i="127"/>
  <c r="AI215" i="127"/>
  <c r="AH215" i="127"/>
  <c r="AG215" i="127"/>
  <c r="AF215" i="127"/>
  <c r="AE215" i="127"/>
  <c r="AD215" i="127"/>
  <c r="AC215" i="127"/>
  <c r="AB215" i="127"/>
  <c r="AA215" i="127"/>
  <c r="Z215" i="127"/>
  <c r="Y215" i="127"/>
  <c r="R215" i="127"/>
  <c r="Q215" i="127"/>
  <c r="P215" i="127"/>
  <c r="O215" i="127"/>
  <c r="N215" i="127"/>
  <c r="M215" i="127"/>
  <c r="L215" i="127"/>
  <c r="K215" i="127"/>
  <c r="J215" i="127"/>
  <c r="I215" i="127"/>
  <c r="H215" i="127"/>
  <c r="G215" i="127"/>
  <c r="F215" i="127"/>
  <c r="AK214" i="127"/>
  <c r="AJ214" i="127"/>
  <c r="AI214" i="127"/>
  <c r="AH214" i="127"/>
  <c r="AG214" i="127"/>
  <c r="AF214" i="127"/>
  <c r="AE214" i="127"/>
  <c r="AD214" i="127"/>
  <c r="AC214" i="127"/>
  <c r="AB214" i="127"/>
  <c r="AA214" i="127"/>
  <c r="Z214" i="127"/>
  <c r="Y214" i="127"/>
  <c r="W214" i="127"/>
  <c r="V214" i="127"/>
  <c r="U214" i="127"/>
  <c r="T214" i="127"/>
  <c r="S214" i="127"/>
  <c r="R214" i="127"/>
  <c r="Q214" i="127"/>
  <c r="P214" i="127"/>
  <c r="O214" i="127"/>
  <c r="N214" i="127"/>
  <c r="M214" i="127"/>
  <c r="L214" i="127"/>
  <c r="K214" i="127"/>
  <c r="J214" i="127"/>
  <c r="I214" i="127"/>
  <c r="H214" i="127"/>
  <c r="G214" i="127"/>
  <c r="F214" i="127"/>
  <c r="AJ213" i="127"/>
  <c r="AI213" i="127"/>
  <c r="AH213" i="127"/>
  <c r="AG213" i="127"/>
  <c r="AF213" i="127"/>
  <c r="AE213" i="127"/>
  <c r="AD213" i="127"/>
  <c r="AC213" i="127"/>
  <c r="AB213" i="127"/>
  <c r="AA213" i="127"/>
  <c r="AA220" i="127" s="1"/>
  <c r="Z213" i="127"/>
  <c r="Y213" i="127"/>
  <c r="R213" i="127"/>
  <c r="Q213" i="127"/>
  <c r="P213" i="127"/>
  <c r="O213" i="127"/>
  <c r="N213" i="127"/>
  <c r="M213" i="127"/>
  <c r="L213" i="127"/>
  <c r="K213" i="127"/>
  <c r="J213" i="127"/>
  <c r="I213" i="127"/>
  <c r="H213" i="127"/>
  <c r="G213" i="127"/>
  <c r="F213" i="127"/>
  <c r="F211" i="127"/>
  <c r="AJ210" i="127"/>
  <c r="AI210" i="127"/>
  <c r="AH210" i="127"/>
  <c r="AG210" i="127"/>
  <c r="AF210" i="127"/>
  <c r="AE210" i="127"/>
  <c r="AD210" i="127"/>
  <c r="AC210" i="127"/>
  <c r="AB210" i="127"/>
  <c r="AA210" i="127"/>
  <c r="Z210" i="127"/>
  <c r="Y210" i="127"/>
  <c r="R210" i="127"/>
  <c r="Q210" i="127"/>
  <c r="P210" i="127"/>
  <c r="O210" i="127"/>
  <c r="N210" i="127"/>
  <c r="M210" i="127"/>
  <c r="L210" i="127"/>
  <c r="K210" i="127"/>
  <c r="J210" i="127"/>
  <c r="I210" i="127"/>
  <c r="H210" i="127"/>
  <c r="G210" i="127"/>
  <c r="F210" i="127"/>
  <c r="AJ209" i="127"/>
  <c r="AI209" i="127"/>
  <c r="AG209" i="127"/>
  <c r="AF209" i="127"/>
  <c r="AE209" i="127"/>
  <c r="AD209" i="127"/>
  <c r="AC209" i="127"/>
  <c r="AB209" i="127"/>
  <c r="AA209" i="127"/>
  <c r="Z209" i="127"/>
  <c r="Y209" i="127"/>
  <c r="R209" i="127"/>
  <c r="Q209" i="127"/>
  <c r="P209" i="127"/>
  <c r="O209" i="127"/>
  <c r="N209" i="127"/>
  <c r="M209" i="127"/>
  <c r="L209" i="127"/>
  <c r="K209" i="127"/>
  <c r="J209" i="127"/>
  <c r="I209" i="127"/>
  <c r="H209" i="127"/>
  <c r="G209" i="127"/>
  <c r="F209" i="127"/>
  <c r="AJ208" i="127"/>
  <c r="AI208" i="127"/>
  <c r="AE208" i="127"/>
  <c r="AD208" i="127"/>
  <c r="AC208" i="127"/>
  <c r="AB208" i="127"/>
  <c r="AA208" i="127"/>
  <c r="Z208" i="127"/>
  <c r="R208" i="127"/>
  <c r="Q208" i="127"/>
  <c r="P208" i="127"/>
  <c r="O208" i="127"/>
  <c r="N208" i="127"/>
  <c r="M208" i="127"/>
  <c r="L208" i="127"/>
  <c r="K208" i="127"/>
  <c r="J208" i="127"/>
  <c r="I208" i="127"/>
  <c r="H208" i="127"/>
  <c r="G208" i="127"/>
  <c r="F208" i="127"/>
  <c r="AJ207" i="127"/>
  <c r="AI207" i="127"/>
  <c r="AH207" i="127"/>
  <c r="AG207" i="127"/>
  <c r="AF207" i="127"/>
  <c r="AE207" i="127"/>
  <c r="AD207" i="127"/>
  <c r="AC207" i="127"/>
  <c r="AB207" i="127"/>
  <c r="AA207" i="127"/>
  <c r="Z207" i="127"/>
  <c r="Y207" i="127"/>
  <c r="R207" i="127"/>
  <c r="Q207" i="127"/>
  <c r="P207" i="127"/>
  <c r="O207" i="127"/>
  <c r="N207" i="127"/>
  <c r="M207" i="127"/>
  <c r="L207" i="127"/>
  <c r="K207" i="127"/>
  <c r="J207" i="127"/>
  <c r="I207" i="127"/>
  <c r="H207" i="127"/>
  <c r="G207" i="127"/>
  <c r="F207" i="127"/>
  <c r="AE206" i="127"/>
  <c r="AD206" i="127"/>
  <c r="AC206" i="127"/>
  <c r="AB206" i="127"/>
  <c r="AA206" i="127"/>
  <c r="Z206" i="127"/>
  <c r="Y206" i="127"/>
  <c r="R206" i="127"/>
  <c r="Q206" i="127"/>
  <c r="P206" i="127"/>
  <c r="O206" i="127"/>
  <c r="N206" i="127"/>
  <c r="M206" i="127"/>
  <c r="L206" i="127"/>
  <c r="K206" i="127"/>
  <c r="J206" i="127"/>
  <c r="I206" i="127"/>
  <c r="H206" i="127"/>
  <c r="G206" i="127"/>
  <c r="F206" i="127"/>
  <c r="AJ205" i="127"/>
  <c r="AI205" i="127"/>
  <c r="AH205" i="127"/>
  <c r="AG205" i="127"/>
  <c r="AF205" i="127"/>
  <c r="AE205" i="127"/>
  <c r="AD205" i="127"/>
  <c r="AC205" i="127"/>
  <c r="AB205" i="127"/>
  <c r="AA205" i="127"/>
  <c r="Z205" i="127"/>
  <c r="Y205" i="127"/>
  <c r="R205" i="127"/>
  <c r="Q205" i="127"/>
  <c r="P205" i="127"/>
  <c r="O205" i="127"/>
  <c r="N205" i="127"/>
  <c r="M205" i="127"/>
  <c r="L205" i="127"/>
  <c r="K205" i="127"/>
  <c r="J205" i="127"/>
  <c r="I205" i="127"/>
  <c r="H205" i="127"/>
  <c r="G205" i="127"/>
  <c r="F205" i="127"/>
  <c r="AJ204" i="127"/>
  <c r="AI204" i="127"/>
  <c r="AH204" i="127"/>
  <c r="AG204" i="127"/>
  <c r="AF204" i="127"/>
  <c r="AE204" i="127"/>
  <c r="AD204" i="127"/>
  <c r="AC204" i="127"/>
  <c r="AB204" i="127"/>
  <c r="AA204" i="127"/>
  <c r="Z204" i="127"/>
  <c r="Y204" i="127"/>
  <c r="R204" i="127"/>
  <c r="Q204" i="127"/>
  <c r="P204" i="127"/>
  <c r="O204" i="127"/>
  <c r="N204" i="127"/>
  <c r="M204" i="127"/>
  <c r="L204" i="127"/>
  <c r="K204" i="127"/>
  <c r="J204" i="127"/>
  <c r="I204" i="127"/>
  <c r="H204" i="127"/>
  <c r="G204" i="127"/>
  <c r="F204" i="127"/>
  <c r="F202" i="127"/>
  <c r="AJ201" i="127"/>
  <c r="AJ239" i="127" s="1"/>
  <c r="AI201" i="127"/>
  <c r="AI239" i="127" s="1"/>
  <c r="AH201" i="127"/>
  <c r="AG201" i="127"/>
  <c r="AF201" i="127"/>
  <c r="AE201" i="127"/>
  <c r="AE239" i="127" s="1"/>
  <c r="AD201" i="127"/>
  <c r="AC201" i="127"/>
  <c r="AB201" i="127"/>
  <c r="AB239" i="127" s="1"/>
  <c r="AA201" i="127"/>
  <c r="AA239" i="127" s="1"/>
  <c r="Z201" i="127"/>
  <c r="Z239" i="127" s="1"/>
  <c r="Y201" i="127"/>
  <c r="R201" i="127"/>
  <c r="Q201" i="127"/>
  <c r="P201" i="127"/>
  <c r="O201" i="127"/>
  <c r="N201" i="127"/>
  <c r="M201" i="127"/>
  <c r="L201" i="127"/>
  <c r="K201" i="127"/>
  <c r="J201" i="127"/>
  <c r="I201" i="127"/>
  <c r="H201" i="127"/>
  <c r="G201" i="127"/>
  <c r="F201" i="127"/>
  <c r="AJ200" i="127"/>
  <c r="AJ238" i="127" s="1"/>
  <c r="AI200" i="127"/>
  <c r="AI238" i="127" s="1"/>
  <c r="AG200" i="127"/>
  <c r="AF200" i="127"/>
  <c r="AE200" i="127"/>
  <c r="AE238" i="127" s="1"/>
  <c r="AD200" i="127"/>
  <c r="AD238" i="127" s="1"/>
  <c r="AC200" i="127"/>
  <c r="AC238" i="127" s="1"/>
  <c r="AB200" i="127"/>
  <c r="AB238" i="127" s="1"/>
  <c r="AA200" i="127"/>
  <c r="AA238" i="127" s="1"/>
  <c r="Z200" i="127"/>
  <c r="Z238" i="127" s="1"/>
  <c r="Y200" i="127"/>
  <c r="R200" i="127"/>
  <c r="Q200" i="127"/>
  <c r="P200" i="127"/>
  <c r="O200" i="127"/>
  <c r="N200" i="127"/>
  <c r="M200" i="127"/>
  <c r="L200" i="127"/>
  <c r="K200" i="127"/>
  <c r="J200" i="127"/>
  <c r="I200" i="127"/>
  <c r="H200" i="127"/>
  <c r="G200" i="127"/>
  <c r="F200" i="127"/>
  <c r="AJ199" i="127"/>
  <c r="AJ237" i="127" s="1"/>
  <c r="AI199" i="127"/>
  <c r="AI237" i="127" s="1"/>
  <c r="AH199" i="127"/>
  <c r="AG199" i="127"/>
  <c r="AF199" i="127"/>
  <c r="AE199" i="127"/>
  <c r="AE237" i="127" s="1"/>
  <c r="AD199" i="127"/>
  <c r="AD237" i="127" s="1"/>
  <c r="AC199" i="127"/>
  <c r="AC237" i="127" s="1"/>
  <c r="AB199" i="127"/>
  <c r="AB237" i="127" s="1"/>
  <c r="AA199" i="127"/>
  <c r="AA237" i="127" s="1"/>
  <c r="Z199" i="127"/>
  <c r="Z237" i="127" s="1"/>
  <c r="Y199" i="127"/>
  <c r="R199" i="127"/>
  <c r="Q199" i="127"/>
  <c r="P199" i="127"/>
  <c r="O199" i="127"/>
  <c r="N199" i="127"/>
  <c r="M199" i="127"/>
  <c r="L199" i="127"/>
  <c r="K199" i="127"/>
  <c r="J199" i="127"/>
  <c r="I199" i="127"/>
  <c r="H199" i="127"/>
  <c r="G199" i="127"/>
  <c r="F199" i="127"/>
  <c r="AK198" i="127"/>
  <c r="AJ198" i="127"/>
  <c r="AJ236" i="127" s="1"/>
  <c r="AI198" i="127"/>
  <c r="AI236" i="127" s="1"/>
  <c r="AH198" i="127"/>
  <c r="AG198" i="127"/>
  <c r="AF198" i="127"/>
  <c r="AE198" i="127"/>
  <c r="AE236" i="127" s="1"/>
  <c r="AD198" i="127"/>
  <c r="AD236" i="127" s="1"/>
  <c r="AC198" i="127"/>
  <c r="AC236" i="127" s="1"/>
  <c r="AB198" i="127"/>
  <c r="AB236" i="127" s="1"/>
  <c r="AA198" i="127"/>
  <c r="AA236" i="127" s="1"/>
  <c r="Z198" i="127"/>
  <c r="Z236" i="127" s="1"/>
  <c r="Y198" i="127"/>
  <c r="W198" i="127"/>
  <c r="V198" i="127"/>
  <c r="U198" i="127"/>
  <c r="T198" i="127"/>
  <c r="S198" i="127"/>
  <c r="S236" i="127" s="1"/>
  <c r="R198" i="127"/>
  <c r="Q198" i="127"/>
  <c r="P198" i="127"/>
  <c r="O198" i="127"/>
  <c r="N198" i="127"/>
  <c r="M198" i="127"/>
  <c r="L198" i="127"/>
  <c r="K198" i="127"/>
  <c r="J198" i="127"/>
  <c r="I198" i="127"/>
  <c r="H198" i="127"/>
  <c r="G198" i="127"/>
  <c r="F198" i="127"/>
  <c r="AJ197" i="127"/>
  <c r="AJ235" i="127" s="1"/>
  <c r="AI197" i="127"/>
  <c r="AI235" i="127" s="1"/>
  <c r="AH197" i="127"/>
  <c r="AG197" i="127"/>
  <c r="AF197" i="127"/>
  <c r="AE197" i="127"/>
  <c r="AE235" i="127" s="1"/>
  <c r="AD197" i="127"/>
  <c r="AD235" i="127" s="1"/>
  <c r="AC197" i="127"/>
  <c r="AC235" i="127" s="1"/>
  <c r="AB197" i="127"/>
  <c r="AB235" i="127" s="1"/>
  <c r="AA197" i="127"/>
  <c r="AA235" i="127" s="1"/>
  <c r="Z197" i="127"/>
  <c r="Y197" i="127"/>
  <c r="R197" i="127"/>
  <c r="Q197" i="127"/>
  <c r="P197" i="127"/>
  <c r="O197" i="127"/>
  <c r="N197" i="127"/>
  <c r="M197" i="127"/>
  <c r="L197" i="127"/>
  <c r="K197" i="127"/>
  <c r="J197" i="127"/>
  <c r="I197" i="127"/>
  <c r="H197" i="127"/>
  <c r="G197" i="127"/>
  <c r="F197" i="127"/>
  <c r="AK196" i="127"/>
  <c r="AJ196" i="127"/>
  <c r="AJ234" i="127" s="1"/>
  <c r="AI196" i="127"/>
  <c r="AI234" i="127" s="1"/>
  <c r="AH196" i="127"/>
  <c r="AG196" i="127"/>
  <c r="AF196" i="127"/>
  <c r="AE196" i="127"/>
  <c r="AD196" i="127"/>
  <c r="AC196" i="127"/>
  <c r="AC234" i="127" s="1"/>
  <c r="AB196" i="127"/>
  <c r="AB234" i="127" s="1"/>
  <c r="AA196" i="127"/>
  <c r="AA234" i="127" s="1"/>
  <c r="Z196" i="127"/>
  <c r="Z234" i="127" s="1"/>
  <c r="Y196" i="127"/>
  <c r="W196" i="127"/>
  <c r="V196" i="127"/>
  <c r="U196" i="127"/>
  <c r="T196" i="127"/>
  <c r="S196" i="127"/>
  <c r="S234" i="127" s="1"/>
  <c r="R196" i="127"/>
  <c r="Q196" i="127"/>
  <c r="P196" i="127"/>
  <c r="O196" i="127"/>
  <c r="N196" i="127"/>
  <c r="M196" i="127"/>
  <c r="L196" i="127"/>
  <c r="K196" i="127"/>
  <c r="J196" i="127"/>
  <c r="I196" i="127"/>
  <c r="H196" i="127"/>
  <c r="G196" i="127"/>
  <c r="F196" i="127"/>
  <c r="AJ195" i="127"/>
  <c r="AJ233" i="127" s="1"/>
  <c r="AI195" i="127"/>
  <c r="AI233" i="127" s="1"/>
  <c r="AH195" i="127"/>
  <c r="AG195" i="127"/>
  <c r="AF195" i="127"/>
  <c r="AE195" i="127"/>
  <c r="AD195" i="127"/>
  <c r="AD233" i="127" s="1"/>
  <c r="AC195" i="127"/>
  <c r="AC233" i="127" s="1"/>
  <c r="AB195" i="127"/>
  <c r="AB233" i="127" s="1"/>
  <c r="AA195" i="127"/>
  <c r="AA233" i="127" s="1"/>
  <c r="Z195" i="127"/>
  <c r="Z233" i="127" s="1"/>
  <c r="Y195" i="127"/>
  <c r="R195" i="127"/>
  <c r="Q195" i="127"/>
  <c r="P195" i="127"/>
  <c r="O195" i="127"/>
  <c r="N195" i="127"/>
  <c r="M195" i="127"/>
  <c r="L195" i="127"/>
  <c r="K195" i="127"/>
  <c r="J195" i="127"/>
  <c r="I195" i="127"/>
  <c r="H195" i="127"/>
  <c r="G195" i="127"/>
  <c r="F195" i="127"/>
  <c r="F193" i="127"/>
  <c r="AJ192" i="127"/>
  <c r="AI192" i="127"/>
  <c r="AH192" i="127"/>
  <c r="AG192" i="127"/>
  <c r="AF192" i="127"/>
  <c r="AE192" i="127"/>
  <c r="AD192" i="127"/>
  <c r="AC192" i="127"/>
  <c r="AB192" i="127"/>
  <c r="AA192" i="127"/>
  <c r="Z192" i="127"/>
  <c r="Y192" i="127"/>
  <c r="R192" i="127"/>
  <c r="Q192" i="127"/>
  <c r="P192" i="127"/>
  <c r="O192" i="127"/>
  <c r="N192" i="127"/>
  <c r="M192" i="127"/>
  <c r="L192" i="127"/>
  <c r="K192" i="127"/>
  <c r="J192" i="127"/>
  <c r="I192" i="127"/>
  <c r="H192" i="127"/>
  <c r="G192" i="127"/>
  <c r="F192" i="127"/>
  <c r="AJ191" i="127"/>
  <c r="AI191" i="127"/>
  <c r="AG191" i="127"/>
  <c r="AF191" i="127"/>
  <c r="AE191" i="127"/>
  <c r="AD191" i="127"/>
  <c r="AC191" i="127"/>
  <c r="AB191" i="127"/>
  <c r="AA191" i="127"/>
  <c r="Z191" i="127"/>
  <c r="Y191" i="127"/>
  <c r="R191" i="127"/>
  <c r="Q191" i="127"/>
  <c r="P191" i="127"/>
  <c r="O191" i="127"/>
  <c r="N191" i="127"/>
  <c r="M191" i="127"/>
  <c r="L191" i="127"/>
  <c r="K191" i="127"/>
  <c r="J191" i="127"/>
  <c r="I191" i="127"/>
  <c r="H191" i="127"/>
  <c r="G191" i="127"/>
  <c r="F191" i="127"/>
  <c r="AJ190" i="127"/>
  <c r="AI190" i="127"/>
  <c r="AE190" i="127"/>
  <c r="AD190" i="127"/>
  <c r="AC190" i="127"/>
  <c r="AB190" i="127"/>
  <c r="AA190" i="127"/>
  <c r="Z190" i="127"/>
  <c r="R190" i="127"/>
  <c r="Q190" i="127"/>
  <c r="P190" i="127"/>
  <c r="O190" i="127"/>
  <c r="N190" i="127"/>
  <c r="M190" i="127"/>
  <c r="L190" i="127"/>
  <c r="K190" i="127"/>
  <c r="J190" i="127"/>
  <c r="I190" i="127"/>
  <c r="H190" i="127"/>
  <c r="G190" i="127"/>
  <c r="F190" i="127"/>
  <c r="AJ189" i="127"/>
  <c r="AI189" i="127"/>
  <c r="AH189" i="127"/>
  <c r="AG189" i="127"/>
  <c r="AF189" i="127"/>
  <c r="AE189" i="127"/>
  <c r="AD189" i="127"/>
  <c r="AC189" i="127"/>
  <c r="AB189" i="127"/>
  <c r="AA189" i="127"/>
  <c r="Z189" i="127"/>
  <c r="Y189" i="127"/>
  <c r="R189" i="127"/>
  <c r="Q189" i="127"/>
  <c r="P189" i="127"/>
  <c r="O189" i="127"/>
  <c r="N189" i="127"/>
  <c r="M189" i="127"/>
  <c r="L189" i="127"/>
  <c r="K189" i="127"/>
  <c r="J189" i="127"/>
  <c r="I189" i="127"/>
  <c r="H189" i="127"/>
  <c r="G189" i="127"/>
  <c r="F189" i="127"/>
  <c r="AE188" i="127"/>
  <c r="AD188" i="127"/>
  <c r="AC188" i="127"/>
  <c r="AB188" i="127"/>
  <c r="AA188" i="127"/>
  <c r="Z188" i="127"/>
  <c r="Y188" i="127"/>
  <c r="R188" i="127"/>
  <c r="Q188" i="127"/>
  <c r="P188" i="127"/>
  <c r="O188" i="127"/>
  <c r="N188" i="127"/>
  <c r="M188" i="127"/>
  <c r="L188" i="127"/>
  <c r="K188" i="127"/>
  <c r="J188" i="127"/>
  <c r="I188" i="127"/>
  <c r="H188" i="127"/>
  <c r="G188" i="127"/>
  <c r="F188" i="127"/>
  <c r="AJ187" i="127"/>
  <c r="AI187" i="127"/>
  <c r="AH187" i="127"/>
  <c r="AG187" i="127"/>
  <c r="AF187" i="127"/>
  <c r="AE187" i="127"/>
  <c r="AD187" i="127"/>
  <c r="AC187" i="127"/>
  <c r="AB187" i="127"/>
  <c r="AA187" i="127"/>
  <c r="Z187" i="127"/>
  <c r="Y187" i="127"/>
  <c r="R187" i="127"/>
  <c r="Q187" i="127"/>
  <c r="P187" i="127"/>
  <c r="O187" i="127"/>
  <c r="N187" i="127"/>
  <c r="M187" i="127"/>
  <c r="L187" i="127"/>
  <c r="K187" i="127"/>
  <c r="J187" i="127"/>
  <c r="I187" i="127"/>
  <c r="H187" i="127"/>
  <c r="G187" i="127"/>
  <c r="F187" i="127"/>
  <c r="AJ186" i="127"/>
  <c r="AI186" i="127"/>
  <c r="AH186" i="127"/>
  <c r="AG186" i="127"/>
  <c r="AF186" i="127"/>
  <c r="AE186" i="127"/>
  <c r="AD186" i="127"/>
  <c r="AC186" i="127"/>
  <c r="AB186" i="127"/>
  <c r="AA186" i="127"/>
  <c r="Z186" i="127"/>
  <c r="Y186" i="127"/>
  <c r="R186" i="127"/>
  <c r="Q186" i="127"/>
  <c r="P186" i="127"/>
  <c r="O186" i="127"/>
  <c r="N186" i="127"/>
  <c r="M186" i="127"/>
  <c r="L186" i="127"/>
  <c r="K186" i="127"/>
  <c r="J186" i="127"/>
  <c r="I186" i="127"/>
  <c r="H186" i="127"/>
  <c r="G186" i="127"/>
  <c r="F186" i="127"/>
  <c r="AJ180" i="127"/>
  <c r="AI180" i="127"/>
  <c r="AH180" i="127"/>
  <c r="AG180" i="127"/>
  <c r="AF180" i="127"/>
  <c r="AE180" i="127"/>
  <c r="AD180" i="127"/>
  <c r="AC180" i="127"/>
  <c r="AB180" i="127"/>
  <c r="AA180" i="127"/>
  <c r="Z180" i="127"/>
  <c r="Y180" i="127"/>
  <c r="R180" i="127"/>
  <c r="Q180" i="127"/>
  <c r="P180" i="127"/>
  <c r="O180" i="127"/>
  <c r="N180" i="127"/>
  <c r="M180" i="127"/>
  <c r="L180" i="127"/>
  <c r="K180" i="127"/>
  <c r="J180" i="127"/>
  <c r="I180" i="127"/>
  <c r="H180" i="127"/>
  <c r="G180" i="127"/>
  <c r="AK179" i="127"/>
  <c r="AK228" i="127" s="1"/>
  <c r="W179" i="127"/>
  <c r="W228" i="127" s="1"/>
  <c r="V179" i="127"/>
  <c r="V228" i="127" s="1"/>
  <c r="U179" i="127"/>
  <c r="U228" i="127" s="1"/>
  <c r="T179" i="127"/>
  <c r="T228" i="127" s="1"/>
  <c r="S179" i="127"/>
  <c r="S228" i="127" s="1"/>
  <c r="AK178" i="127"/>
  <c r="AK219" i="127" s="1"/>
  <c r="W178" i="127"/>
  <c r="W219" i="127" s="1"/>
  <c r="V178" i="127"/>
  <c r="V219" i="127" s="1"/>
  <c r="U178" i="127"/>
  <c r="U219" i="127" s="1"/>
  <c r="T178" i="127"/>
  <c r="T219" i="127" s="1"/>
  <c r="S178" i="127"/>
  <c r="S219" i="127" s="1"/>
  <c r="AK177" i="127"/>
  <c r="AK210" i="127" s="1"/>
  <c r="W177" i="127"/>
  <c r="W210" i="127" s="1"/>
  <c r="V177" i="127"/>
  <c r="V210" i="127" s="1"/>
  <c r="U177" i="127"/>
  <c r="U210" i="127" s="1"/>
  <c r="T177" i="127"/>
  <c r="T210" i="127" s="1"/>
  <c r="S177" i="127"/>
  <c r="S210" i="127" s="1"/>
  <c r="AK176" i="127"/>
  <c r="W176" i="127"/>
  <c r="V176" i="127"/>
  <c r="U176" i="127"/>
  <c r="U254" i="127" s="1"/>
  <c r="T176" i="127"/>
  <c r="T254" i="127" s="1"/>
  <c r="S176" i="127"/>
  <c r="S254" i="127" s="1"/>
  <c r="AJ173" i="127"/>
  <c r="AI173" i="127"/>
  <c r="AG173" i="127"/>
  <c r="AF173" i="127"/>
  <c r="AE173" i="127"/>
  <c r="AD173" i="127"/>
  <c r="AC173" i="127"/>
  <c r="AB173" i="127"/>
  <c r="AA173" i="127"/>
  <c r="Z173" i="127"/>
  <c r="Y173" i="127"/>
  <c r="R173" i="127"/>
  <c r="Q173" i="127"/>
  <c r="P173" i="127"/>
  <c r="O173" i="127"/>
  <c r="N173" i="127"/>
  <c r="M173" i="127"/>
  <c r="L173" i="127"/>
  <c r="K173" i="127"/>
  <c r="J173" i="127"/>
  <c r="I173" i="127"/>
  <c r="H173" i="127"/>
  <c r="G173" i="127"/>
  <c r="AK172" i="127"/>
  <c r="W172" i="127"/>
  <c r="V172" i="127"/>
  <c r="U172" i="127"/>
  <c r="T172" i="127"/>
  <c r="S172" i="127"/>
  <c r="AK171" i="127"/>
  <c r="W171" i="127"/>
  <c r="V171" i="127"/>
  <c r="U171" i="127"/>
  <c r="T171" i="127"/>
  <c r="S171" i="127"/>
  <c r="AH170" i="127"/>
  <c r="W170" i="127"/>
  <c r="V170" i="127"/>
  <c r="U170" i="127"/>
  <c r="T170" i="127"/>
  <c r="S170" i="127"/>
  <c r="AH169" i="127"/>
  <c r="W169" i="127"/>
  <c r="V169" i="127"/>
  <c r="U169" i="127"/>
  <c r="T169" i="127"/>
  <c r="S169" i="127"/>
  <c r="W168" i="127"/>
  <c r="V168" i="127"/>
  <c r="U168" i="127"/>
  <c r="T168" i="127"/>
  <c r="S168" i="127"/>
  <c r="AK167" i="127"/>
  <c r="W167" i="127"/>
  <c r="V167" i="127"/>
  <c r="U167" i="127"/>
  <c r="T167" i="127"/>
  <c r="S167" i="127"/>
  <c r="AK166" i="127"/>
  <c r="W166" i="127"/>
  <c r="V166" i="127"/>
  <c r="U166" i="127"/>
  <c r="T166" i="127"/>
  <c r="S166" i="127"/>
  <c r="AK165" i="127"/>
  <c r="W165" i="127"/>
  <c r="V165" i="127"/>
  <c r="U165" i="127"/>
  <c r="T165" i="127"/>
  <c r="S165" i="127"/>
  <c r="AK164" i="127"/>
  <c r="W164" i="127"/>
  <c r="V164" i="127"/>
  <c r="U164" i="127"/>
  <c r="T164" i="127"/>
  <c r="S164" i="127"/>
  <c r="W163" i="127"/>
  <c r="V163" i="127"/>
  <c r="U163" i="127"/>
  <c r="T163" i="127"/>
  <c r="S163" i="127"/>
  <c r="AK157" i="127"/>
  <c r="W157" i="127"/>
  <c r="V157" i="127"/>
  <c r="U157" i="127"/>
  <c r="T157" i="127"/>
  <c r="S157" i="127"/>
  <c r="AK156" i="127"/>
  <c r="W156" i="127"/>
  <c r="V156" i="127"/>
  <c r="U156" i="127"/>
  <c r="T156" i="127"/>
  <c r="S156" i="127"/>
  <c r="AK155" i="127"/>
  <c r="W155" i="127"/>
  <c r="V155" i="127"/>
  <c r="U155" i="127"/>
  <c r="T155" i="127"/>
  <c r="S155" i="127"/>
  <c r="AK154" i="127"/>
  <c r="W154" i="127"/>
  <c r="V154" i="127"/>
  <c r="U154" i="127"/>
  <c r="T154" i="127"/>
  <c r="S154" i="127"/>
  <c r="W153" i="127"/>
  <c r="V153" i="127"/>
  <c r="U153" i="127"/>
  <c r="T153" i="127"/>
  <c r="S153" i="127"/>
  <c r="AK152" i="127"/>
  <c r="W152" i="127"/>
  <c r="V152" i="127"/>
  <c r="U152" i="127"/>
  <c r="T152" i="127"/>
  <c r="S152" i="127"/>
  <c r="AK151" i="127"/>
  <c r="W151" i="127"/>
  <c r="V151" i="127"/>
  <c r="U151" i="127"/>
  <c r="T151" i="127"/>
  <c r="S151" i="127"/>
  <c r="AK150" i="127"/>
  <c r="W150" i="127"/>
  <c r="V150" i="127"/>
  <c r="U150" i="127"/>
  <c r="T150" i="127"/>
  <c r="S150" i="127"/>
  <c r="W149" i="127"/>
  <c r="V149" i="127"/>
  <c r="U149" i="127"/>
  <c r="T149" i="127"/>
  <c r="S149" i="127"/>
  <c r="W148" i="127"/>
  <c r="V148" i="127"/>
  <c r="U148" i="127"/>
  <c r="T148" i="127"/>
  <c r="S148" i="127"/>
  <c r="AK147" i="127"/>
  <c r="BV82" i="124" s="1"/>
  <c r="W147" i="127"/>
  <c r="V147" i="127"/>
  <c r="U147" i="127"/>
  <c r="T147" i="127"/>
  <c r="S147" i="127"/>
  <c r="AK146" i="127"/>
  <c r="BV81" i="124" s="1"/>
  <c r="W146" i="127"/>
  <c r="V146" i="127"/>
  <c r="U146" i="127"/>
  <c r="T146" i="127"/>
  <c r="S146" i="127"/>
  <c r="AK145" i="127"/>
  <c r="BV84" i="124" s="1"/>
  <c r="W145" i="127"/>
  <c r="V145" i="127"/>
  <c r="U145" i="127"/>
  <c r="T145" i="127"/>
  <c r="S145" i="127"/>
  <c r="AK144" i="127"/>
  <c r="BV83" i="124" s="1"/>
  <c r="W144" i="127"/>
  <c r="V144" i="127"/>
  <c r="U144" i="127"/>
  <c r="T144" i="127"/>
  <c r="S144" i="127"/>
  <c r="W143" i="127"/>
  <c r="V143" i="127"/>
  <c r="U143" i="127"/>
  <c r="T143" i="127"/>
  <c r="S143" i="127"/>
  <c r="AK142" i="127"/>
  <c r="W142" i="127"/>
  <c r="V142" i="127"/>
  <c r="U142" i="127"/>
  <c r="T142" i="127"/>
  <c r="S142" i="127"/>
  <c r="AK141" i="127"/>
  <c r="W141" i="127"/>
  <c r="V141" i="127"/>
  <c r="U141" i="127"/>
  <c r="T141" i="127"/>
  <c r="S141" i="127"/>
  <c r="AK140" i="127"/>
  <c r="W140" i="127"/>
  <c r="V140" i="127"/>
  <c r="U140" i="127"/>
  <c r="T140" i="127"/>
  <c r="S140" i="127"/>
  <c r="AK139" i="127"/>
  <c r="W139" i="127"/>
  <c r="V139" i="127"/>
  <c r="U139" i="127"/>
  <c r="T139" i="127"/>
  <c r="S139" i="127"/>
  <c r="W138" i="127"/>
  <c r="V138" i="127"/>
  <c r="U138" i="127"/>
  <c r="T138" i="127"/>
  <c r="S138" i="127"/>
  <c r="AK137" i="127"/>
  <c r="W137" i="127"/>
  <c r="V137" i="127"/>
  <c r="U137" i="127"/>
  <c r="T137" i="127"/>
  <c r="S137" i="127"/>
  <c r="AK136" i="127"/>
  <c r="W136" i="127"/>
  <c r="V136" i="127"/>
  <c r="U136" i="127"/>
  <c r="T136" i="127"/>
  <c r="S136" i="127"/>
  <c r="AK135" i="127"/>
  <c r="W135" i="127"/>
  <c r="V135" i="127"/>
  <c r="U135" i="127"/>
  <c r="T135" i="127"/>
  <c r="S135" i="127"/>
  <c r="AK134" i="127"/>
  <c r="W134" i="127"/>
  <c r="V134" i="127"/>
  <c r="U134" i="127"/>
  <c r="T134" i="127"/>
  <c r="S134" i="127"/>
  <c r="AJ114" i="127"/>
  <c r="AI114" i="127"/>
  <c r="AH114" i="127"/>
  <c r="AG114" i="127"/>
  <c r="AF114" i="127"/>
  <c r="AE114" i="127"/>
  <c r="AD114" i="127"/>
  <c r="AC114" i="127"/>
  <c r="AB114" i="127"/>
  <c r="AA114" i="127"/>
  <c r="Z114" i="127"/>
  <c r="Y114" i="127"/>
  <c r="R114" i="127"/>
  <c r="Q114" i="127"/>
  <c r="P114" i="127"/>
  <c r="O114" i="127"/>
  <c r="N114" i="127"/>
  <c r="M114" i="127"/>
  <c r="L114" i="127"/>
  <c r="K114" i="127"/>
  <c r="J114" i="127"/>
  <c r="I114" i="127"/>
  <c r="H114" i="127"/>
  <c r="G114" i="127"/>
  <c r="AK113" i="127"/>
  <c r="W113" i="127"/>
  <c r="V113" i="127"/>
  <c r="U113" i="127"/>
  <c r="T113" i="127"/>
  <c r="S113" i="127"/>
  <c r="AK112" i="127"/>
  <c r="W112" i="127"/>
  <c r="V112" i="127"/>
  <c r="U112" i="127"/>
  <c r="T112" i="127"/>
  <c r="S112" i="127"/>
  <c r="AK111" i="127"/>
  <c r="W111" i="127"/>
  <c r="V111" i="127"/>
  <c r="U111" i="127"/>
  <c r="T111" i="127"/>
  <c r="S111" i="127"/>
  <c r="AJ109" i="127"/>
  <c r="AI109" i="127"/>
  <c r="AH109" i="127"/>
  <c r="AH115" i="127" s="1"/>
  <c r="AG109" i="127"/>
  <c r="AG115" i="127" s="1"/>
  <c r="AF109" i="127"/>
  <c r="AE109" i="127"/>
  <c r="AD109" i="127"/>
  <c r="AC109" i="127"/>
  <c r="AB109" i="127"/>
  <c r="AA109" i="127"/>
  <c r="Z109" i="127"/>
  <c r="Z115" i="127" s="1"/>
  <c r="Y109" i="127"/>
  <c r="Y115" i="127" s="1"/>
  <c r="R109" i="127"/>
  <c r="Q109" i="127"/>
  <c r="P109" i="127"/>
  <c r="O109" i="127"/>
  <c r="N109" i="127"/>
  <c r="M109" i="127"/>
  <c r="L109" i="127"/>
  <c r="L115" i="127" s="1"/>
  <c r="K109" i="127"/>
  <c r="J109" i="127"/>
  <c r="I109" i="127"/>
  <c r="H109" i="127"/>
  <c r="G109" i="127"/>
  <c r="AK108" i="127"/>
  <c r="W108" i="127"/>
  <c r="V108" i="127"/>
  <c r="U108" i="127"/>
  <c r="T108" i="127"/>
  <c r="S108" i="127"/>
  <c r="AK107" i="127"/>
  <c r="W107" i="127"/>
  <c r="V107" i="127"/>
  <c r="U107" i="127"/>
  <c r="T107" i="127"/>
  <c r="S107" i="127"/>
  <c r="AK106" i="127"/>
  <c r="W106" i="127"/>
  <c r="V106" i="127"/>
  <c r="U106" i="127"/>
  <c r="T106" i="127"/>
  <c r="S106" i="127"/>
  <c r="AJ103" i="127"/>
  <c r="AI103" i="127"/>
  <c r="AH103" i="127"/>
  <c r="AG103" i="127"/>
  <c r="AF103" i="127"/>
  <c r="AE103" i="127"/>
  <c r="AD103" i="127"/>
  <c r="AC103" i="127"/>
  <c r="AB103" i="127"/>
  <c r="AA103" i="127"/>
  <c r="Z103" i="127"/>
  <c r="Y103" i="127"/>
  <c r="R103" i="127"/>
  <c r="Q103" i="127"/>
  <c r="P103" i="127"/>
  <c r="O103" i="127"/>
  <c r="N103" i="127"/>
  <c r="M103" i="127"/>
  <c r="L103" i="127"/>
  <c r="K103" i="127"/>
  <c r="J103" i="127"/>
  <c r="I103" i="127"/>
  <c r="H103" i="127"/>
  <c r="G103" i="127"/>
  <c r="AK102" i="127"/>
  <c r="W102" i="127"/>
  <c r="V102" i="127"/>
  <c r="U102" i="127"/>
  <c r="T102" i="127"/>
  <c r="S102" i="127"/>
  <c r="AK101" i="127"/>
  <c r="W101" i="127"/>
  <c r="V101" i="127"/>
  <c r="U101" i="127"/>
  <c r="T101" i="127"/>
  <c r="S101" i="127"/>
  <c r="AJ99" i="127"/>
  <c r="AI99" i="127"/>
  <c r="AH99" i="127"/>
  <c r="AG99" i="127"/>
  <c r="AF99" i="127"/>
  <c r="AE99" i="127"/>
  <c r="AD99" i="127"/>
  <c r="AC99" i="127"/>
  <c r="AB99" i="127"/>
  <c r="AA99" i="127"/>
  <c r="Z99" i="127"/>
  <c r="Y99" i="127"/>
  <c r="R99" i="127"/>
  <c r="Q99" i="127"/>
  <c r="P99" i="127"/>
  <c r="O99" i="127"/>
  <c r="N99" i="127"/>
  <c r="M99" i="127"/>
  <c r="L99" i="127"/>
  <c r="K99" i="127"/>
  <c r="J99" i="127"/>
  <c r="I99" i="127"/>
  <c r="H99" i="127"/>
  <c r="G99" i="127"/>
  <c r="AK98" i="127"/>
  <c r="W98" i="127"/>
  <c r="V98" i="127"/>
  <c r="U98" i="127"/>
  <c r="T98" i="127"/>
  <c r="S98" i="127"/>
  <c r="AK97" i="127"/>
  <c r="W97" i="127"/>
  <c r="V97" i="127"/>
  <c r="U97" i="127"/>
  <c r="T97" i="127"/>
  <c r="S97" i="127"/>
  <c r="AK96" i="127"/>
  <c r="W96" i="127"/>
  <c r="V96" i="127"/>
  <c r="U96" i="127"/>
  <c r="T96" i="127"/>
  <c r="S96" i="127"/>
  <c r="AK95" i="127"/>
  <c r="AJ93" i="127"/>
  <c r="AI93" i="127"/>
  <c r="AE93" i="127"/>
  <c r="AD93" i="127"/>
  <c r="AC93" i="127"/>
  <c r="AB93" i="127"/>
  <c r="AA93" i="127"/>
  <c r="Z93" i="127"/>
  <c r="R93" i="127"/>
  <c r="Q93" i="127"/>
  <c r="P93" i="127"/>
  <c r="O93" i="127"/>
  <c r="N93" i="127"/>
  <c r="M93" i="127"/>
  <c r="L93" i="127"/>
  <c r="K93" i="127"/>
  <c r="J93" i="127"/>
  <c r="I93" i="127"/>
  <c r="H93" i="127"/>
  <c r="G93" i="127"/>
  <c r="AK92" i="127"/>
  <c r="W92" i="127"/>
  <c r="V92" i="127"/>
  <c r="U92" i="127"/>
  <c r="T92" i="127"/>
  <c r="S92" i="127"/>
  <c r="AK91" i="127"/>
  <c r="W91" i="127"/>
  <c r="V91" i="127"/>
  <c r="U91" i="127"/>
  <c r="T91" i="127"/>
  <c r="S91" i="127"/>
  <c r="AK90" i="127"/>
  <c r="W90" i="127"/>
  <c r="V90" i="127"/>
  <c r="U90" i="127"/>
  <c r="T90" i="127"/>
  <c r="S90" i="127"/>
  <c r="AK89" i="127"/>
  <c r="W89" i="127"/>
  <c r="V89" i="127"/>
  <c r="U89" i="127"/>
  <c r="T89" i="127"/>
  <c r="S89" i="127"/>
  <c r="AH88" i="127"/>
  <c r="AH93" i="127" s="1"/>
  <c r="AG88" i="127"/>
  <c r="AF88" i="127"/>
  <c r="Y88" i="127"/>
  <c r="W88" i="127"/>
  <c r="V88" i="127"/>
  <c r="U88" i="127"/>
  <c r="T88" i="127"/>
  <c r="S88" i="127"/>
  <c r="AK87" i="127"/>
  <c r="W87" i="127"/>
  <c r="V87" i="127"/>
  <c r="U87" i="127"/>
  <c r="T87" i="127"/>
  <c r="S87" i="127"/>
  <c r="AK86" i="127"/>
  <c r="W86" i="127"/>
  <c r="V86" i="127"/>
  <c r="U86" i="127"/>
  <c r="T86" i="127"/>
  <c r="S86" i="127"/>
  <c r="AK85" i="127"/>
  <c r="W85" i="127"/>
  <c r="V85" i="127"/>
  <c r="U85" i="127"/>
  <c r="U252" i="127" s="1"/>
  <c r="T85" i="127"/>
  <c r="S85" i="127"/>
  <c r="AK84" i="127"/>
  <c r="W84" i="127"/>
  <c r="V84" i="127"/>
  <c r="U84" i="127"/>
  <c r="T84" i="127"/>
  <c r="S84" i="127"/>
  <c r="AK83" i="127"/>
  <c r="W83" i="127"/>
  <c r="V83" i="127"/>
  <c r="U83" i="127"/>
  <c r="T83" i="127"/>
  <c r="S83" i="127"/>
  <c r="AK82" i="127"/>
  <c r="W82" i="127"/>
  <c r="V82" i="127"/>
  <c r="U82" i="127"/>
  <c r="T82" i="127"/>
  <c r="S82" i="127"/>
  <c r="AK81" i="127"/>
  <c r="W81" i="127"/>
  <c r="V81" i="127"/>
  <c r="U81" i="127"/>
  <c r="T81" i="127"/>
  <c r="S81" i="127"/>
  <c r="AK80" i="127"/>
  <c r="W80" i="127"/>
  <c r="V80" i="127"/>
  <c r="U80" i="127"/>
  <c r="T80" i="127"/>
  <c r="S80" i="127"/>
  <c r="AK79" i="127"/>
  <c r="W79" i="127"/>
  <c r="V79" i="127"/>
  <c r="U79" i="127"/>
  <c r="T79" i="127"/>
  <c r="S79" i="127"/>
  <c r="AK78" i="127"/>
  <c r="W78" i="127"/>
  <c r="V78" i="127"/>
  <c r="U78" i="127"/>
  <c r="T78" i="127"/>
  <c r="S78" i="127"/>
  <c r="AJ76" i="127"/>
  <c r="AI76" i="127"/>
  <c r="AH76" i="127"/>
  <c r="AG76" i="127"/>
  <c r="AF76" i="127"/>
  <c r="AE76" i="127"/>
  <c r="AD76" i="127"/>
  <c r="AC76" i="127"/>
  <c r="AB76" i="127"/>
  <c r="AA76" i="127"/>
  <c r="Z76" i="127"/>
  <c r="Y76" i="127"/>
  <c r="R76" i="127"/>
  <c r="Q76" i="127"/>
  <c r="P76" i="127"/>
  <c r="O76" i="127"/>
  <c r="N76" i="127"/>
  <c r="M76" i="127"/>
  <c r="L76" i="127"/>
  <c r="K76" i="127"/>
  <c r="J76" i="127"/>
  <c r="I76" i="127"/>
  <c r="H76" i="127"/>
  <c r="G76" i="127"/>
  <c r="AN75" i="127"/>
  <c r="AK75" i="127"/>
  <c r="W75" i="127"/>
  <c r="V75" i="127"/>
  <c r="U75" i="127"/>
  <c r="T75" i="127"/>
  <c r="S75" i="127"/>
  <c r="AN74" i="127"/>
  <c r="AK74" i="127"/>
  <c r="W74" i="127"/>
  <c r="V74" i="127"/>
  <c r="U74" i="127"/>
  <c r="T74" i="127"/>
  <c r="S74" i="127"/>
  <c r="AN73" i="127"/>
  <c r="AK73" i="127"/>
  <c r="W73" i="127"/>
  <c r="V73" i="127"/>
  <c r="U73" i="127"/>
  <c r="T73" i="127"/>
  <c r="S73" i="127"/>
  <c r="AN72" i="127"/>
  <c r="AK72" i="127"/>
  <c r="W72" i="127"/>
  <c r="V72" i="127"/>
  <c r="U72" i="127"/>
  <c r="T72" i="127"/>
  <c r="S72" i="127"/>
  <c r="AN71" i="127"/>
  <c r="AK71" i="127"/>
  <c r="W71" i="127"/>
  <c r="V71" i="127"/>
  <c r="U71" i="127"/>
  <c r="T71" i="127"/>
  <c r="S71" i="127"/>
  <c r="AN70" i="127"/>
  <c r="AK70" i="127"/>
  <c r="W70" i="127"/>
  <c r="V70" i="127"/>
  <c r="U70" i="127"/>
  <c r="T70" i="127"/>
  <c r="S70" i="127"/>
  <c r="AN69" i="127"/>
  <c r="AK69" i="127"/>
  <c r="W69" i="127"/>
  <c r="V69" i="127"/>
  <c r="U69" i="127"/>
  <c r="T69" i="127"/>
  <c r="S69" i="127"/>
  <c r="AE67" i="127"/>
  <c r="AD67" i="127"/>
  <c r="AC67" i="127"/>
  <c r="AB67" i="127"/>
  <c r="AA67" i="127"/>
  <c r="Z67" i="127"/>
  <c r="Y67" i="127"/>
  <c r="R67" i="127"/>
  <c r="Q67" i="127"/>
  <c r="P67" i="127"/>
  <c r="O67" i="127"/>
  <c r="N67" i="127"/>
  <c r="M67" i="127"/>
  <c r="L67" i="127"/>
  <c r="K67" i="127"/>
  <c r="J67" i="127"/>
  <c r="I67" i="127"/>
  <c r="H67" i="127"/>
  <c r="G67" i="127"/>
  <c r="AN66" i="127"/>
  <c r="AK66" i="127"/>
  <c r="W66" i="127"/>
  <c r="V66" i="127"/>
  <c r="U66" i="127"/>
  <c r="T66" i="127"/>
  <c r="S66" i="127"/>
  <c r="AN65" i="127"/>
  <c r="AK65" i="127"/>
  <c r="W65" i="127"/>
  <c r="V65" i="127"/>
  <c r="U65" i="127"/>
  <c r="T65" i="127"/>
  <c r="S65" i="127"/>
  <c r="AN64" i="127"/>
  <c r="AK64" i="127"/>
  <c r="AK215" i="127" s="1"/>
  <c r="W64" i="127"/>
  <c r="V64" i="127"/>
  <c r="U64" i="127"/>
  <c r="T64" i="127"/>
  <c r="S64" i="127"/>
  <c r="AK63" i="127"/>
  <c r="W63" i="127"/>
  <c r="V63" i="127"/>
  <c r="U63" i="127"/>
  <c r="T63" i="127"/>
  <c r="S63" i="127"/>
  <c r="AK62" i="127"/>
  <c r="W62" i="127"/>
  <c r="V62" i="127"/>
  <c r="U62" i="127"/>
  <c r="T62" i="127"/>
  <c r="S62" i="127"/>
  <c r="AK61" i="127"/>
  <c r="W61" i="127"/>
  <c r="V61" i="127"/>
  <c r="U61" i="127"/>
  <c r="T61" i="127"/>
  <c r="S61" i="127"/>
  <c r="AN60" i="127"/>
  <c r="AK60" i="127"/>
  <c r="W60" i="127"/>
  <c r="V60" i="127"/>
  <c r="U60" i="127"/>
  <c r="T60" i="127"/>
  <c r="S60" i="127"/>
  <c r="AN59" i="127"/>
  <c r="AK59" i="127"/>
  <c r="W59" i="127"/>
  <c r="V59" i="127"/>
  <c r="U59" i="127"/>
  <c r="T59" i="127"/>
  <c r="S59" i="127"/>
  <c r="AN58" i="127"/>
  <c r="AK58" i="127"/>
  <c r="W58" i="127"/>
  <c r="V58" i="127"/>
  <c r="U58" i="127"/>
  <c r="T58" i="127"/>
  <c r="S58" i="127"/>
  <c r="AN57" i="127"/>
  <c r="AK57" i="127"/>
  <c r="W57" i="127"/>
  <c r="V57" i="127"/>
  <c r="U57" i="127"/>
  <c r="T57" i="127"/>
  <c r="S57" i="127"/>
  <c r="AN56" i="127"/>
  <c r="AK56" i="127"/>
  <c r="W56" i="127"/>
  <c r="V56" i="127"/>
  <c r="U56" i="127"/>
  <c r="T56" i="127"/>
  <c r="S56" i="127"/>
  <c r="AN55" i="127"/>
  <c r="AK55" i="127"/>
  <c r="W55" i="127"/>
  <c r="V55" i="127"/>
  <c r="U55" i="127"/>
  <c r="T55" i="127"/>
  <c r="S55" i="127"/>
  <c r="AN54" i="127"/>
  <c r="AK54" i="127"/>
  <c r="W54" i="127"/>
  <c r="V54" i="127"/>
  <c r="U54" i="127"/>
  <c r="T54" i="127"/>
  <c r="S54" i="127"/>
  <c r="AN53" i="127"/>
  <c r="AK53" i="127"/>
  <c r="W53" i="127"/>
  <c r="V53" i="127"/>
  <c r="U53" i="127"/>
  <c r="T53" i="127"/>
  <c r="S53" i="127"/>
  <c r="AN52" i="127"/>
  <c r="AK52" i="127"/>
  <c r="W52" i="127"/>
  <c r="V52" i="127"/>
  <c r="U52" i="127"/>
  <c r="T52" i="127"/>
  <c r="S52" i="127"/>
  <c r="AN51" i="127"/>
  <c r="AK51" i="127"/>
  <c r="W51" i="127"/>
  <c r="V51" i="127"/>
  <c r="U51" i="127"/>
  <c r="T51" i="127"/>
  <c r="S51" i="127"/>
  <c r="AN50" i="127"/>
  <c r="AK50" i="127"/>
  <c r="W50" i="127"/>
  <c r="V50" i="127"/>
  <c r="U50" i="127"/>
  <c r="T50" i="127"/>
  <c r="S50" i="127"/>
  <c r="AN49" i="127"/>
  <c r="AK49" i="127"/>
  <c r="W49" i="127"/>
  <c r="V49" i="127"/>
  <c r="U49" i="127"/>
  <c r="T49" i="127"/>
  <c r="S49" i="127"/>
  <c r="AN48" i="127"/>
  <c r="AK48" i="127"/>
  <c r="W48" i="127"/>
  <c r="V48" i="127"/>
  <c r="U48" i="127"/>
  <c r="T48" i="127"/>
  <c r="S48" i="127"/>
  <c r="AN47" i="127"/>
  <c r="AK47" i="127"/>
  <c r="W47" i="127"/>
  <c r="V47" i="127"/>
  <c r="U47" i="127"/>
  <c r="T47" i="127"/>
  <c r="S47" i="127"/>
  <c r="AN46" i="127"/>
  <c r="AK46" i="127"/>
  <c r="W46" i="127"/>
  <c r="V46" i="127"/>
  <c r="U46" i="127"/>
  <c r="T46" i="127"/>
  <c r="S46" i="127"/>
  <c r="AN45" i="127"/>
  <c r="AK45" i="127"/>
  <c r="W45" i="127"/>
  <c r="V45" i="127"/>
  <c r="U45" i="127"/>
  <c r="T45" i="127"/>
  <c r="S45" i="127"/>
  <c r="AN44" i="127"/>
  <c r="AJ44" i="127"/>
  <c r="AI44" i="127"/>
  <c r="AG44" i="127"/>
  <c r="AF44" i="127"/>
  <c r="W44" i="127"/>
  <c r="V44" i="127"/>
  <c r="U44" i="127"/>
  <c r="T44" i="127"/>
  <c r="S44" i="127"/>
  <c r="AN43" i="127"/>
  <c r="AK43" i="127"/>
  <c r="W43" i="127"/>
  <c r="V43" i="127"/>
  <c r="U43" i="127"/>
  <c r="T43" i="127"/>
  <c r="S43" i="127"/>
  <c r="AN42" i="127"/>
  <c r="AK42" i="127"/>
  <c r="W42" i="127"/>
  <c r="V42" i="127"/>
  <c r="U42" i="127"/>
  <c r="T42" i="127"/>
  <c r="S42" i="127"/>
  <c r="AN41" i="127"/>
  <c r="AK41" i="127"/>
  <c r="W41" i="127"/>
  <c r="V41" i="127"/>
  <c r="U41" i="127"/>
  <c r="T41" i="127"/>
  <c r="S41" i="127"/>
  <c r="AN40" i="127"/>
  <c r="AK40" i="127"/>
  <c r="W40" i="127"/>
  <c r="V40" i="127"/>
  <c r="U40" i="127"/>
  <c r="T40" i="127"/>
  <c r="S40" i="127"/>
  <c r="AN39" i="127"/>
  <c r="AK39" i="127"/>
  <c r="W39" i="127"/>
  <c r="V39" i="127"/>
  <c r="U39" i="127"/>
  <c r="T39" i="127"/>
  <c r="S39" i="127"/>
  <c r="AN38" i="127"/>
  <c r="AK38" i="127"/>
  <c r="W38" i="127"/>
  <c r="V38" i="127"/>
  <c r="U38" i="127"/>
  <c r="T38" i="127"/>
  <c r="S38" i="127"/>
  <c r="AN37" i="127"/>
  <c r="AH37" i="127"/>
  <c r="AG37" i="127"/>
  <c r="W37" i="127"/>
  <c r="V37" i="127"/>
  <c r="U37" i="127"/>
  <c r="T37" i="127"/>
  <c r="S37" i="127"/>
  <c r="AN36" i="127"/>
  <c r="AK36" i="127"/>
  <c r="W36" i="127"/>
  <c r="V36" i="127"/>
  <c r="U36" i="127"/>
  <c r="T36" i="127"/>
  <c r="S36" i="127"/>
  <c r="AN35" i="127"/>
  <c r="AK35" i="127"/>
  <c r="W35" i="127"/>
  <c r="V35" i="127"/>
  <c r="U35" i="127"/>
  <c r="T35" i="127"/>
  <c r="S35" i="127"/>
  <c r="AN34" i="127"/>
  <c r="AK34" i="127"/>
  <c r="W34" i="127"/>
  <c r="V34" i="127"/>
  <c r="U34" i="127"/>
  <c r="T34" i="127"/>
  <c r="S34" i="127"/>
  <c r="AN33" i="127"/>
  <c r="AK33" i="127"/>
  <c r="W33" i="127"/>
  <c r="V33" i="127"/>
  <c r="U33" i="127"/>
  <c r="T33" i="127"/>
  <c r="S33" i="127"/>
  <c r="AN32" i="127"/>
  <c r="AK32" i="127"/>
  <c r="W32" i="127"/>
  <c r="V32" i="127"/>
  <c r="U32" i="127"/>
  <c r="T32" i="127"/>
  <c r="S32" i="127"/>
  <c r="AN31" i="127"/>
  <c r="AK31" i="127"/>
  <c r="W31" i="127"/>
  <c r="V31" i="127"/>
  <c r="U31" i="127"/>
  <c r="T31" i="127"/>
  <c r="S31" i="127"/>
  <c r="AN30" i="127"/>
  <c r="AK30" i="127"/>
  <c r="W30" i="127"/>
  <c r="V30" i="127"/>
  <c r="U30" i="127"/>
  <c r="T30" i="127"/>
  <c r="S30" i="127"/>
  <c r="AN29" i="127"/>
  <c r="AK29" i="127"/>
  <c r="W29" i="127"/>
  <c r="V29" i="127"/>
  <c r="U29" i="127"/>
  <c r="T29" i="127"/>
  <c r="S29" i="127"/>
  <c r="AN28" i="127"/>
  <c r="AK28" i="127"/>
  <c r="W28" i="127"/>
  <c r="V28" i="127"/>
  <c r="U28" i="127"/>
  <c r="T28" i="127"/>
  <c r="S28" i="127"/>
  <c r="AJ26" i="127"/>
  <c r="AI26" i="127"/>
  <c r="AH26" i="127"/>
  <c r="AG26" i="127"/>
  <c r="AF26" i="127"/>
  <c r="AE26" i="127"/>
  <c r="AD26" i="127"/>
  <c r="AC26" i="127"/>
  <c r="AB26" i="127"/>
  <c r="AA26" i="127"/>
  <c r="Z26" i="127"/>
  <c r="Y26" i="127"/>
  <c r="R26" i="127"/>
  <c r="Q26" i="127"/>
  <c r="P26" i="127"/>
  <c r="O26" i="127"/>
  <c r="N26" i="127"/>
  <c r="M26" i="127"/>
  <c r="L26" i="127"/>
  <c r="K26" i="127"/>
  <c r="J26" i="127"/>
  <c r="I26" i="127"/>
  <c r="H26" i="127"/>
  <c r="G26" i="127"/>
  <c r="AN25" i="127"/>
  <c r="AK25" i="127"/>
  <c r="W25" i="127"/>
  <c r="V25" i="127"/>
  <c r="U25" i="127"/>
  <c r="T25" i="127"/>
  <c r="S25" i="127"/>
  <c r="AN24" i="127"/>
  <c r="AK24" i="127"/>
  <c r="W24" i="127"/>
  <c r="V24" i="127"/>
  <c r="U24" i="127"/>
  <c r="T24" i="127"/>
  <c r="S24" i="127"/>
  <c r="AN23" i="127"/>
  <c r="AK23" i="127"/>
  <c r="W23" i="127"/>
  <c r="V23" i="127"/>
  <c r="U23" i="127"/>
  <c r="T23" i="127"/>
  <c r="S23" i="127"/>
  <c r="AN22" i="127"/>
  <c r="AK22" i="127"/>
  <c r="W22" i="127"/>
  <c r="V22" i="127"/>
  <c r="U22" i="127"/>
  <c r="T22" i="127"/>
  <c r="S22" i="127"/>
  <c r="AN21" i="127"/>
  <c r="AK21" i="127"/>
  <c r="W21" i="127"/>
  <c r="V21" i="127"/>
  <c r="U21" i="127"/>
  <c r="T21" i="127"/>
  <c r="S21" i="127"/>
  <c r="AN20" i="127"/>
  <c r="AK20" i="127"/>
  <c r="W20" i="127"/>
  <c r="V20" i="127"/>
  <c r="U20" i="127"/>
  <c r="T20" i="127"/>
  <c r="S20" i="127"/>
  <c r="AN19" i="127"/>
  <c r="AK19" i="127"/>
  <c r="W19" i="127"/>
  <c r="V19" i="127"/>
  <c r="U19" i="127"/>
  <c r="T19" i="127"/>
  <c r="S19" i="127"/>
  <c r="AJ17" i="127"/>
  <c r="AI17" i="127"/>
  <c r="AH17" i="127"/>
  <c r="AG17" i="127"/>
  <c r="AF17" i="127"/>
  <c r="AE17" i="127"/>
  <c r="AD17" i="127"/>
  <c r="AC17" i="127"/>
  <c r="AB17" i="127"/>
  <c r="AA17" i="127"/>
  <c r="Z17" i="127"/>
  <c r="Y17" i="127"/>
  <c r="R17" i="127"/>
  <c r="Q17" i="127"/>
  <c r="P17" i="127"/>
  <c r="O17" i="127"/>
  <c r="N17" i="127"/>
  <c r="M17" i="127"/>
  <c r="L17" i="127"/>
  <c r="K17" i="127"/>
  <c r="J17" i="127"/>
  <c r="I17" i="127"/>
  <c r="H17" i="127"/>
  <c r="G17" i="127"/>
  <c r="AN16" i="127"/>
  <c r="AK16" i="127"/>
  <c r="AK213" i="127" s="1"/>
  <c r="W16" i="127"/>
  <c r="W213" i="127" s="1"/>
  <c r="V16" i="127"/>
  <c r="V213" i="127" s="1"/>
  <c r="U16" i="127"/>
  <c r="U213" i="127" s="1"/>
  <c r="T16" i="127"/>
  <c r="T213" i="127" s="1"/>
  <c r="S16" i="127"/>
  <c r="S213" i="127" s="1"/>
  <c r="AN15" i="127"/>
  <c r="AK15" i="127"/>
  <c r="W15" i="127"/>
  <c r="W222" i="127" s="1"/>
  <c r="V15" i="127"/>
  <c r="V222" i="127" s="1"/>
  <c r="U15" i="127"/>
  <c r="U222" i="127" s="1"/>
  <c r="T15" i="127"/>
  <c r="T222" i="127" s="1"/>
  <c r="S15" i="127"/>
  <c r="S222" i="127" s="1"/>
  <c r="AN14" i="127"/>
  <c r="AK14" i="127"/>
  <c r="W14" i="127"/>
  <c r="V14" i="127"/>
  <c r="U14" i="127"/>
  <c r="T14" i="127"/>
  <c r="S14" i="127"/>
  <c r="AN13" i="127"/>
  <c r="AK13" i="127"/>
  <c r="W13" i="127"/>
  <c r="V13" i="127"/>
  <c r="U13" i="127"/>
  <c r="T13" i="127"/>
  <c r="S13" i="127"/>
  <c r="AN12" i="127"/>
  <c r="AK12" i="127"/>
  <c r="W12" i="127"/>
  <c r="V12" i="127"/>
  <c r="U12" i="127"/>
  <c r="T12" i="127"/>
  <c r="S12" i="127"/>
  <c r="AN11" i="127"/>
  <c r="AK11" i="127"/>
  <c r="W11" i="127"/>
  <c r="V11" i="127"/>
  <c r="U11" i="127"/>
  <c r="T11" i="127"/>
  <c r="S11" i="127"/>
  <c r="AN10" i="127"/>
  <c r="AK10" i="127"/>
  <c r="W10" i="127"/>
  <c r="V10" i="127"/>
  <c r="U10" i="127"/>
  <c r="T10" i="127"/>
  <c r="S10" i="127"/>
  <c r="AN9" i="127"/>
  <c r="AK9" i="127"/>
  <c r="W9" i="127"/>
  <c r="V9" i="127"/>
  <c r="U9" i="127"/>
  <c r="T9" i="127"/>
  <c r="S9" i="127"/>
  <c r="AN8" i="127"/>
  <c r="AK8" i="127"/>
  <c r="W8" i="127"/>
  <c r="V8" i="127"/>
  <c r="U8" i="127"/>
  <c r="T8" i="127"/>
  <c r="S8" i="127"/>
  <c r="AN7" i="127"/>
  <c r="AK7" i="127"/>
  <c r="W7" i="127"/>
  <c r="V7" i="127"/>
  <c r="U7" i="127"/>
  <c r="T7" i="127"/>
  <c r="S7" i="127"/>
  <c r="AN6" i="127"/>
  <c r="AK6" i="127"/>
  <c r="W6" i="127"/>
  <c r="V6" i="127"/>
  <c r="U6" i="127"/>
  <c r="T6" i="127"/>
  <c r="S6" i="127"/>
  <c r="AK5" i="127"/>
  <c r="W5" i="127"/>
  <c r="V5" i="127"/>
  <c r="U5" i="127"/>
  <c r="T5" i="127"/>
  <c r="S5" i="127"/>
  <c r="U140" i="110"/>
  <c r="V140" i="110" s="1"/>
  <c r="U139" i="110"/>
  <c r="V139" i="110" s="1"/>
  <c r="U138" i="110"/>
  <c r="V138" i="110" s="1"/>
  <c r="U137" i="110"/>
  <c r="V137" i="110" s="1"/>
  <c r="U136" i="110"/>
  <c r="V136" i="110" s="1"/>
  <c r="V135" i="110"/>
  <c r="U135" i="110"/>
  <c r="U126" i="110"/>
  <c r="V126" i="110" s="1"/>
  <c r="U125" i="110"/>
  <c r="V125" i="110" s="1"/>
  <c r="U124" i="110"/>
  <c r="V124" i="110" s="1"/>
  <c r="U123" i="110"/>
  <c r="V123" i="110" s="1"/>
  <c r="V122" i="110"/>
  <c r="U122" i="110"/>
  <c r="U121" i="110"/>
  <c r="V121" i="110" s="1"/>
  <c r="U120" i="110"/>
  <c r="V120" i="110" s="1"/>
  <c r="U119" i="110"/>
  <c r="V119" i="110" s="1"/>
  <c r="U118" i="110"/>
  <c r="V118" i="110" s="1"/>
  <c r="V117" i="110"/>
  <c r="U117" i="110"/>
  <c r="U116" i="110"/>
  <c r="V116" i="110" s="1"/>
  <c r="U115" i="110"/>
  <c r="V115" i="110" s="1"/>
  <c r="U114" i="110"/>
  <c r="V114" i="110" s="1"/>
  <c r="U113" i="110"/>
  <c r="V113" i="110" s="1"/>
  <c r="U111" i="110"/>
  <c r="N111" i="110"/>
  <c r="O111" i="110" s="1"/>
  <c r="U110" i="110"/>
  <c r="O110" i="110"/>
  <c r="U109" i="110"/>
  <c r="O109" i="110"/>
  <c r="U108" i="110"/>
  <c r="O108" i="110"/>
  <c r="U107" i="110"/>
  <c r="U106" i="110"/>
  <c r="O106" i="110"/>
  <c r="N106" i="110"/>
  <c r="U105" i="110"/>
  <c r="O105" i="110"/>
  <c r="U104" i="110"/>
  <c r="O104" i="110"/>
  <c r="O103" i="110"/>
  <c r="E101" i="110"/>
  <c r="U100" i="110"/>
  <c r="V100" i="110" s="1"/>
  <c r="O100" i="110"/>
  <c r="U99" i="110"/>
  <c r="V99" i="110" s="1"/>
  <c r="O99" i="110"/>
  <c r="O98" i="110"/>
  <c r="O97" i="110"/>
  <c r="V96" i="110"/>
  <c r="U96" i="110"/>
  <c r="O96" i="110"/>
  <c r="N96" i="110"/>
  <c r="U95" i="110"/>
  <c r="V95" i="110" s="1"/>
  <c r="O95" i="110"/>
  <c r="U94" i="110"/>
  <c r="V94" i="110" s="1"/>
  <c r="O94" i="110"/>
  <c r="V93" i="110"/>
  <c r="U93" i="110"/>
  <c r="O93" i="110"/>
  <c r="O92" i="110"/>
  <c r="O91" i="110"/>
  <c r="N90" i="110"/>
  <c r="O90" i="110" s="1"/>
  <c r="U89" i="110"/>
  <c r="V89" i="110" s="1"/>
  <c r="O89" i="110"/>
  <c r="U88" i="110"/>
  <c r="V88" i="110" s="1"/>
  <c r="O88" i="110"/>
  <c r="U87" i="110"/>
  <c r="V87" i="110" s="1"/>
  <c r="O87" i="110"/>
  <c r="U86" i="110"/>
  <c r="V86" i="110" s="1"/>
  <c r="O86" i="110"/>
  <c r="V85" i="110"/>
  <c r="U85" i="110"/>
  <c r="O85" i="110"/>
  <c r="V84" i="110"/>
  <c r="U84" i="110"/>
  <c r="O84" i="110"/>
  <c r="U83" i="110"/>
  <c r="V83" i="110" s="1"/>
  <c r="O83" i="110"/>
  <c r="U82" i="110"/>
  <c r="V82" i="110" s="1"/>
  <c r="O82" i="110"/>
  <c r="U81" i="110"/>
  <c r="V81" i="110" s="1"/>
  <c r="O81" i="110"/>
  <c r="U80" i="110"/>
  <c r="V80" i="110" s="1"/>
  <c r="O80" i="110"/>
  <c r="U79" i="110"/>
  <c r="V79" i="110" s="1"/>
  <c r="O79" i="110"/>
  <c r="U78" i="110"/>
  <c r="V78" i="110" s="1"/>
  <c r="O78" i="110"/>
  <c r="V77" i="110"/>
  <c r="U77" i="110"/>
  <c r="O77" i="110"/>
  <c r="V76" i="110"/>
  <c r="U76" i="110"/>
  <c r="O76" i="110"/>
  <c r="V75" i="110"/>
  <c r="U75" i="110"/>
  <c r="O75" i="110"/>
  <c r="O74" i="110"/>
  <c r="N73" i="110"/>
  <c r="O73" i="110" s="1"/>
  <c r="U72" i="110"/>
  <c r="V72" i="110" s="1"/>
  <c r="R72" i="110"/>
  <c r="O72" i="110"/>
  <c r="U71" i="110"/>
  <c r="V71" i="110" s="1"/>
  <c r="R71" i="110"/>
  <c r="O71" i="110"/>
  <c r="U70" i="110"/>
  <c r="V70" i="110" s="1"/>
  <c r="R70" i="110"/>
  <c r="O70" i="110"/>
  <c r="V69" i="110"/>
  <c r="U69" i="110"/>
  <c r="R69" i="110"/>
  <c r="O69" i="110"/>
  <c r="U68" i="110"/>
  <c r="V68" i="110" s="1"/>
  <c r="R68" i="110"/>
  <c r="O68" i="110"/>
  <c r="U67" i="110"/>
  <c r="V67" i="110" s="1"/>
  <c r="R67" i="110"/>
  <c r="O67" i="110"/>
  <c r="U66" i="110"/>
  <c r="V66" i="110" s="1"/>
  <c r="R66" i="110"/>
  <c r="O66" i="110"/>
  <c r="O65" i="110"/>
  <c r="N64" i="110"/>
  <c r="O64" i="110" s="1"/>
  <c r="V63" i="110"/>
  <c r="U63" i="110"/>
  <c r="R63" i="110"/>
  <c r="O63" i="110"/>
  <c r="U62" i="110"/>
  <c r="V62" i="110" s="1"/>
  <c r="R62" i="110"/>
  <c r="O62" i="110"/>
  <c r="U61" i="110"/>
  <c r="V61" i="110" s="1"/>
  <c r="R61" i="110"/>
  <c r="O61" i="110"/>
  <c r="U60" i="110"/>
  <c r="V60" i="110" s="1"/>
  <c r="R60" i="110"/>
  <c r="O60" i="110"/>
  <c r="U59" i="110"/>
  <c r="V59" i="110" s="1"/>
  <c r="R59" i="110"/>
  <c r="O59" i="110"/>
  <c r="U58" i="110"/>
  <c r="V58" i="110" s="1"/>
  <c r="R58" i="110"/>
  <c r="O58" i="110"/>
  <c r="V57" i="110"/>
  <c r="U57" i="110"/>
  <c r="R57" i="110"/>
  <c r="O57" i="110"/>
  <c r="U56" i="110"/>
  <c r="V56" i="110" s="1"/>
  <c r="R56" i="110"/>
  <c r="O56" i="110"/>
  <c r="U55" i="110"/>
  <c r="V55" i="110" s="1"/>
  <c r="R55" i="110"/>
  <c r="O55" i="110"/>
  <c r="U54" i="110"/>
  <c r="V54" i="110" s="1"/>
  <c r="R54" i="110"/>
  <c r="O54" i="110"/>
  <c r="V53" i="110"/>
  <c r="U53" i="110"/>
  <c r="R53" i="110"/>
  <c r="O53" i="110"/>
  <c r="U52" i="110"/>
  <c r="V52" i="110" s="1"/>
  <c r="R52" i="110"/>
  <c r="O52" i="110"/>
  <c r="V51" i="110"/>
  <c r="U51" i="110"/>
  <c r="R51" i="110"/>
  <c r="O51" i="110"/>
  <c r="U50" i="110"/>
  <c r="V50" i="110" s="1"/>
  <c r="R50" i="110"/>
  <c r="O50" i="110"/>
  <c r="U49" i="110"/>
  <c r="V49" i="110" s="1"/>
  <c r="R49" i="110"/>
  <c r="O49" i="110"/>
  <c r="U48" i="110"/>
  <c r="V48" i="110" s="1"/>
  <c r="R48" i="110"/>
  <c r="O48" i="110"/>
  <c r="V47" i="110"/>
  <c r="U47" i="110"/>
  <c r="R47" i="110"/>
  <c r="O47" i="110"/>
  <c r="U46" i="110"/>
  <c r="V46" i="110" s="1"/>
  <c r="R46" i="110"/>
  <c r="O46" i="110"/>
  <c r="U45" i="110"/>
  <c r="V45" i="110" s="1"/>
  <c r="R45" i="110"/>
  <c r="O45" i="110"/>
  <c r="U44" i="110"/>
  <c r="V44" i="110" s="1"/>
  <c r="R44" i="110"/>
  <c r="O44" i="110"/>
  <c r="U43" i="110"/>
  <c r="V43" i="110" s="1"/>
  <c r="R43" i="110"/>
  <c r="O43" i="110"/>
  <c r="U42" i="110"/>
  <c r="V42" i="110" s="1"/>
  <c r="R42" i="110"/>
  <c r="O42" i="110"/>
  <c r="V41" i="110"/>
  <c r="U41" i="110"/>
  <c r="R41" i="110"/>
  <c r="O41" i="110"/>
  <c r="U40" i="110"/>
  <c r="V40" i="110" s="1"/>
  <c r="R40" i="110"/>
  <c r="O40" i="110"/>
  <c r="U39" i="110"/>
  <c r="V39" i="110" s="1"/>
  <c r="R39" i="110"/>
  <c r="O39" i="110"/>
  <c r="U38" i="110"/>
  <c r="V38" i="110" s="1"/>
  <c r="R38" i="110"/>
  <c r="O38" i="110"/>
  <c r="U37" i="110"/>
  <c r="V37" i="110" s="1"/>
  <c r="R37" i="110"/>
  <c r="O37" i="110"/>
  <c r="U36" i="110"/>
  <c r="V36" i="110" s="1"/>
  <c r="R36" i="110"/>
  <c r="O36" i="110"/>
  <c r="U35" i="110"/>
  <c r="V35" i="110" s="1"/>
  <c r="R35" i="110"/>
  <c r="O35" i="110"/>
  <c r="U34" i="110"/>
  <c r="V34" i="110" s="1"/>
  <c r="R34" i="110"/>
  <c r="O34" i="110"/>
  <c r="U33" i="110"/>
  <c r="V33" i="110" s="1"/>
  <c r="R33" i="110"/>
  <c r="O33" i="110"/>
  <c r="U32" i="110"/>
  <c r="V32" i="110" s="1"/>
  <c r="R32" i="110"/>
  <c r="O32" i="110"/>
  <c r="V31" i="110"/>
  <c r="U31" i="110"/>
  <c r="R31" i="110"/>
  <c r="O31" i="110"/>
  <c r="U30" i="110"/>
  <c r="V30" i="110" s="1"/>
  <c r="R30" i="110"/>
  <c r="O30" i="110"/>
  <c r="U29" i="110"/>
  <c r="V29" i="110" s="1"/>
  <c r="R29" i="110"/>
  <c r="O29" i="110"/>
  <c r="U28" i="110"/>
  <c r="V28" i="110" s="1"/>
  <c r="R28" i="110"/>
  <c r="O28" i="110"/>
  <c r="U27" i="110"/>
  <c r="V27" i="110" s="1"/>
  <c r="R27" i="110"/>
  <c r="O27" i="110"/>
  <c r="U26" i="110"/>
  <c r="V26" i="110" s="1"/>
  <c r="R26" i="110"/>
  <c r="O26" i="110"/>
  <c r="V25" i="110"/>
  <c r="U25" i="110"/>
  <c r="R25" i="110"/>
  <c r="O25" i="110"/>
  <c r="O24" i="110"/>
  <c r="N23" i="110"/>
  <c r="O23" i="110" s="1"/>
  <c r="V22" i="110"/>
  <c r="U22" i="110"/>
  <c r="R22" i="110"/>
  <c r="O22" i="110"/>
  <c r="V21" i="110"/>
  <c r="U21" i="110"/>
  <c r="R21" i="110"/>
  <c r="O21" i="110"/>
  <c r="V20" i="110"/>
  <c r="U20" i="110"/>
  <c r="R20" i="110"/>
  <c r="O20" i="110"/>
  <c r="V19" i="110"/>
  <c r="U19" i="110"/>
  <c r="R19" i="110"/>
  <c r="O19" i="110"/>
  <c r="V18" i="110"/>
  <c r="U18" i="110"/>
  <c r="R18" i="110"/>
  <c r="O18" i="110"/>
  <c r="V17" i="110"/>
  <c r="U17" i="110"/>
  <c r="R17" i="110"/>
  <c r="O17" i="110"/>
  <c r="V16" i="110"/>
  <c r="U16" i="110"/>
  <c r="R16" i="110"/>
  <c r="O16" i="110"/>
  <c r="O15" i="110"/>
  <c r="N14" i="110"/>
  <c r="M14" i="110"/>
  <c r="M101" i="110" s="1"/>
  <c r="L14" i="110"/>
  <c r="L101" i="110" s="1"/>
  <c r="K14" i="110"/>
  <c r="K101" i="110" s="1"/>
  <c r="J14" i="110"/>
  <c r="J101" i="110" s="1"/>
  <c r="I14" i="110"/>
  <c r="I101" i="110" s="1"/>
  <c r="H14" i="110"/>
  <c r="H101" i="110" s="1"/>
  <c r="G14" i="110"/>
  <c r="G101" i="110" s="1"/>
  <c r="F14" i="110"/>
  <c r="F101" i="110" s="1"/>
  <c r="E14" i="110"/>
  <c r="D14" i="110"/>
  <c r="D101" i="110" s="1"/>
  <c r="C14" i="110"/>
  <c r="C101" i="110" s="1"/>
  <c r="U13" i="110"/>
  <c r="V13" i="110" s="1"/>
  <c r="R13" i="110"/>
  <c r="O13" i="110"/>
  <c r="V12" i="110"/>
  <c r="U12" i="110"/>
  <c r="R12" i="110"/>
  <c r="O12" i="110"/>
  <c r="U11" i="110"/>
  <c r="V11" i="110" s="1"/>
  <c r="R11" i="110"/>
  <c r="O11" i="110"/>
  <c r="U10" i="110"/>
  <c r="V10" i="110" s="1"/>
  <c r="R10" i="110"/>
  <c r="O10" i="110"/>
  <c r="U9" i="110"/>
  <c r="V9" i="110" s="1"/>
  <c r="R9" i="110"/>
  <c r="O9" i="110"/>
  <c r="U8" i="110"/>
  <c r="V8" i="110" s="1"/>
  <c r="R8" i="110"/>
  <c r="O8" i="110"/>
  <c r="U7" i="110"/>
  <c r="V7" i="110" s="1"/>
  <c r="R7" i="110"/>
  <c r="O7" i="110"/>
  <c r="V6" i="110"/>
  <c r="U6" i="110"/>
  <c r="R6" i="110"/>
  <c r="O6" i="110"/>
  <c r="U5" i="110"/>
  <c r="V5" i="110" s="1"/>
  <c r="R5" i="110"/>
  <c r="O5" i="110"/>
  <c r="U4" i="110"/>
  <c r="V4" i="110" s="1"/>
  <c r="R4" i="110"/>
  <c r="O4" i="110"/>
  <c r="U3" i="110"/>
  <c r="V3" i="110" s="1"/>
  <c r="R3" i="110"/>
  <c r="O3" i="110"/>
  <c r="R141" i="111"/>
  <c r="O141" i="111"/>
  <c r="R140" i="111"/>
  <c r="O140" i="111"/>
  <c r="O139" i="111"/>
  <c r="R139" i="111" s="1"/>
  <c r="R138" i="111"/>
  <c r="O138" i="111"/>
  <c r="R137" i="111"/>
  <c r="O137" i="111"/>
  <c r="O136" i="111"/>
  <c r="R136" i="111" s="1"/>
  <c r="B127" i="111"/>
  <c r="N126" i="111"/>
  <c r="R126" i="111" s="1"/>
  <c r="R125" i="111"/>
  <c r="O125" i="111"/>
  <c r="R124" i="111"/>
  <c r="O124" i="111"/>
  <c r="R123" i="111"/>
  <c r="O123" i="111"/>
  <c r="R122" i="111"/>
  <c r="O122" i="111"/>
  <c r="R121" i="111"/>
  <c r="N121" i="111"/>
  <c r="O121" i="111" s="1"/>
  <c r="R120" i="111"/>
  <c r="O120" i="111"/>
  <c r="R119" i="111"/>
  <c r="O119" i="111"/>
  <c r="R118" i="111"/>
  <c r="O118" i="111"/>
  <c r="R117" i="111"/>
  <c r="O117" i="111"/>
  <c r="R116" i="111"/>
  <c r="O116" i="111"/>
  <c r="R115" i="111"/>
  <c r="O115" i="111"/>
  <c r="R114" i="111"/>
  <c r="O114" i="111"/>
  <c r="R113" i="111"/>
  <c r="O113" i="111"/>
  <c r="N111" i="111"/>
  <c r="R110" i="111"/>
  <c r="O110" i="111"/>
  <c r="R109" i="111"/>
  <c r="O109" i="111"/>
  <c r="R108" i="111"/>
  <c r="O108" i="111"/>
  <c r="O107" i="111"/>
  <c r="O106" i="111"/>
  <c r="N106" i="111"/>
  <c r="R105" i="111"/>
  <c r="O105" i="111"/>
  <c r="R104" i="111"/>
  <c r="O104" i="111"/>
  <c r="R103" i="111"/>
  <c r="O103" i="111"/>
  <c r="O102" i="111"/>
  <c r="N100" i="111"/>
  <c r="O100" i="111" s="1"/>
  <c r="R99" i="111"/>
  <c r="O99" i="111"/>
  <c r="O98" i="111"/>
  <c r="O97" i="111"/>
  <c r="R96" i="111"/>
  <c r="O96" i="111"/>
  <c r="N96" i="111"/>
  <c r="R95" i="111"/>
  <c r="O95" i="111"/>
  <c r="R94" i="111"/>
  <c r="O94" i="111"/>
  <c r="R93" i="111"/>
  <c r="O93" i="111"/>
  <c r="O92" i="111"/>
  <c r="O91" i="111"/>
  <c r="N90" i="111"/>
  <c r="O90" i="111" s="1"/>
  <c r="R89" i="111"/>
  <c r="O89" i="111"/>
  <c r="R88" i="111"/>
  <c r="O88" i="111"/>
  <c r="R87" i="111"/>
  <c r="O87" i="111"/>
  <c r="R86" i="111"/>
  <c r="O86" i="111"/>
  <c r="R85" i="111"/>
  <c r="O85" i="111"/>
  <c r="R84" i="111"/>
  <c r="O84" i="111"/>
  <c r="R83" i="111"/>
  <c r="O83" i="111"/>
  <c r="R82" i="111"/>
  <c r="O82" i="111"/>
  <c r="R81" i="111"/>
  <c r="O81" i="111"/>
  <c r="R80" i="111"/>
  <c r="O80" i="111"/>
  <c r="R79" i="111"/>
  <c r="O79" i="111"/>
  <c r="R78" i="111"/>
  <c r="O78" i="111"/>
  <c r="R77" i="111"/>
  <c r="O77" i="111"/>
  <c r="R76" i="111"/>
  <c r="O76" i="111"/>
  <c r="R75" i="111"/>
  <c r="O75" i="111"/>
  <c r="O74" i="111"/>
  <c r="N73" i="111"/>
  <c r="O73" i="111" s="1"/>
  <c r="S72" i="111"/>
  <c r="R72" i="111"/>
  <c r="O72" i="111"/>
  <c r="S71" i="111"/>
  <c r="R71" i="111"/>
  <c r="O71" i="111"/>
  <c r="S70" i="111"/>
  <c r="R70" i="111"/>
  <c r="O70" i="111"/>
  <c r="S69" i="111"/>
  <c r="R69" i="111"/>
  <c r="O69" i="111"/>
  <c r="S68" i="111"/>
  <c r="R68" i="111"/>
  <c r="O68" i="111"/>
  <c r="S67" i="111"/>
  <c r="R67" i="111"/>
  <c r="O67" i="111"/>
  <c r="S66" i="111"/>
  <c r="R66" i="111"/>
  <c r="O66" i="111"/>
  <c r="O65" i="111"/>
  <c r="N64" i="111"/>
  <c r="O64" i="111" s="1"/>
  <c r="S63" i="111"/>
  <c r="R63" i="111"/>
  <c r="O63" i="111"/>
  <c r="S62" i="111"/>
  <c r="R62" i="111"/>
  <c r="O62" i="111"/>
  <c r="S61" i="111"/>
  <c r="R61" i="111"/>
  <c r="O61" i="111"/>
  <c r="S60" i="111"/>
  <c r="R60" i="111"/>
  <c r="O60" i="111"/>
  <c r="S59" i="111"/>
  <c r="R59" i="111"/>
  <c r="O59" i="111"/>
  <c r="S58" i="111"/>
  <c r="R58" i="111"/>
  <c r="T73" i="111" s="1"/>
  <c r="O58" i="111"/>
  <c r="S57" i="111"/>
  <c r="R57" i="111"/>
  <c r="O57" i="111"/>
  <c r="S56" i="111"/>
  <c r="R56" i="111"/>
  <c r="O56" i="111"/>
  <c r="S55" i="111"/>
  <c r="R55" i="111"/>
  <c r="O55" i="111"/>
  <c r="O54" i="111"/>
  <c r="S53" i="111"/>
  <c r="R53" i="111"/>
  <c r="O53" i="111"/>
  <c r="S52" i="111"/>
  <c r="R52" i="111"/>
  <c r="O52" i="111"/>
  <c r="O51" i="111"/>
  <c r="S50" i="111"/>
  <c r="R50" i="111"/>
  <c r="O50" i="111"/>
  <c r="S49" i="111"/>
  <c r="R49" i="111"/>
  <c r="O49" i="111"/>
  <c r="O48" i="111"/>
  <c r="S47" i="111"/>
  <c r="R47" i="111"/>
  <c r="O47" i="111"/>
  <c r="S46" i="111"/>
  <c r="R46" i="111"/>
  <c r="O46" i="111"/>
  <c r="S45" i="111"/>
  <c r="R45" i="111"/>
  <c r="O45" i="111"/>
  <c r="S44" i="111"/>
  <c r="R44" i="111"/>
  <c r="O44" i="111"/>
  <c r="S43" i="111"/>
  <c r="R43" i="111"/>
  <c r="O43" i="111"/>
  <c r="S42" i="111"/>
  <c r="R42" i="111"/>
  <c r="O42" i="111"/>
  <c r="S41" i="111"/>
  <c r="R41" i="111"/>
  <c r="O41" i="111"/>
  <c r="S40" i="111"/>
  <c r="R40" i="111"/>
  <c r="O40" i="111"/>
  <c r="S39" i="111"/>
  <c r="R39" i="111"/>
  <c r="O39" i="111"/>
  <c r="S38" i="111"/>
  <c r="R38" i="111"/>
  <c r="O38" i="111"/>
  <c r="S37" i="111"/>
  <c r="R37" i="111"/>
  <c r="O37" i="111"/>
  <c r="S36" i="111"/>
  <c r="R36" i="111"/>
  <c r="O36" i="111"/>
  <c r="S35" i="111"/>
  <c r="R35" i="111"/>
  <c r="O35" i="111"/>
  <c r="S34" i="111"/>
  <c r="R34" i="111"/>
  <c r="O34" i="111"/>
  <c r="S33" i="111"/>
  <c r="R33" i="111"/>
  <c r="O33" i="111"/>
  <c r="S32" i="111"/>
  <c r="R32" i="111"/>
  <c r="O32" i="111"/>
  <c r="S31" i="111"/>
  <c r="R31" i="111"/>
  <c r="O31" i="111"/>
  <c r="S30" i="111"/>
  <c r="R30" i="111"/>
  <c r="O30" i="111"/>
  <c r="S29" i="111"/>
  <c r="R29" i="111"/>
  <c r="O29" i="111"/>
  <c r="S28" i="111"/>
  <c r="R28" i="111"/>
  <c r="O28" i="111"/>
  <c r="S27" i="111"/>
  <c r="R27" i="111"/>
  <c r="O27" i="111"/>
  <c r="S26" i="111"/>
  <c r="R26" i="111"/>
  <c r="O26" i="111"/>
  <c r="S25" i="111"/>
  <c r="R25" i="111"/>
  <c r="O25" i="111"/>
  <c r="O24" i="111"/>
  <c r="N23" i="111"/>
  <c r="O23" i="111" s="1"/>
  <c r="S22" i="111"/>
  <c r="R22" i="111"/>
  <c r="O22" i="111"/>
  <c r="S21" i="111"/>
  <c r="R21" i="111"/>
  <c r="O21" i="111"/>
  <c r="S20" i="111"/>
  <c r="R20" i="111"/>
  <c r="O20" i="111"/>
  <c r="S19" i="111"/>
  <c r="R19" i="111"/>
  <c r="O19" i="111"/>
  <c r="S18" i="111"/>
  <c r="R18" i="111"/>
  <c r="O18" i="111"/>
  <c r="S17" i="111"/>
  <c r="R17" i="111"/>
  <c r="O17" i="111"/>
  <c r="S16" i="111"/>
  <c r="R16" i="111"/>
  <c r="O16" i="111"/>
  <c r="O15" i="111"/>
  <c r="N14" i="111"/>
  <c r="O14" i="111" s="1"/>
  <c r="S13" i="111"/>
  <c r="R13" i="111"/>
  <c r="O13" i="111"/>
  <c r="S12" i="111"/>
  <c r="R12" i="111"/>
  <c r="O12" i="111"/>
  <c r="S11" i="111"/>
  <c r="R11" i="111"/>
  <c r="O11" i="111"/>
  <c r="S10" i="111"/>
  <c r="R10" i="111"/>
  <c r="O10" i="111"/>
  <c r="S9" i="111"/>
  <c r="R9" i="111"/>
  <c r="O9" i="111"/>
  <c r="S8" i="111"/>
  <c r="R8" i="111"/>
  <c r="O8" i="111"/>
  <c r="S7" i="111"/>
  <c r="R7" i="111"/>
  <c r="O7" i="111"/>
  <c r="S6" i="111"/>
  <c r="R6" i="111"/>
  <c r="O6" i="111"/>
  <c r="S5" i="111"/>
  <c r="R5" i="111"/>
  <c r="O5" i="111"/>
  <c r="S4" i="111"/>
  <c r="R4" i="111"/>
  <c r="O4" i="111"/>
  <c r="S3" i="111"/>
  <c r="R3" i="111"/>
  <c r="O3" i="111"/>
  <c r="U249" i="80"/>
  <c r="V249" i="80" s="1"/>
  <c r="U248" i="80"/>
  <c r="V248" i="80" s="1"/>
  <c r="U247" i="80"/>
  <c r="V247" i="80" s="1"/>
  <c r="U246" i="80"/>
  <c r="V246" i="80" s="1"/>
  <c r="U245" i="80"/>
  <c r="V245" i="80" s="1"/>
  <c r="U244" i="80"/>
  <c r="V244" i="80" s="1"/>
  <c r="O229" i="80"/>
  <c r="O228" i="80"/>
  <c r="L221" i="80"/>
  <c r="I221" i="80"/>
  <c r="N220" i="80"/>
  <c r="M220" i="80"/>
  <c r="L220" i="80"/>
  <c r="K220" i="80"/>
  <c r="J220" i="80"/>
  <c r="J221" i="80" s="1"/>
  <c r="I220" i="80"/>
  <c r="H220" i="80"/>
  <c r="G220" i="80"/>
  <c r="F220" i="80"/>
  <c r="E220" i="80"/>
  <c r="D220" i="80"/>
  <c r="D221" i="80" s="1"/>
  <c r="C220" i="80"/>
  <c r="N219" i="80"/>
  <c r="N221" i="80" s="1"/>
  <c r="M219" i="80"/>
  <c r="M221" i="80" s="1"/>
  <c r="L219" i="80"/>
  <c r="K219" i="80"/>
  <c r="J219" i="80"/>
  <c r="I219" i="80"/>
  <c r="H219" i="80"/>
  <c r="G219" i="80"/>
  <c r="F219" i="80"/>
  <c r="F221" i="80" s="1"/>
  <c r="E219" i="80"/>
  <c r="E221" i="80" s="1"/>
  <c r="D219" i="80"/>
  <c r="C219" i="80"/>
  <c r="E217" i="80"/>
  <c r="D217" i="80"/>
  <c r="D223" i="80" s="1"/>
  <c r="N216" i="80"/>
  <c r="M216" i="80"/>
  <c r="L216" i="80"/>
  <c r="K216" i="80"/>
  <c r="J216" i="80"/>
  <c r="I216" i="80"/>
  <c r="H216" i="80"/>
  <c r="G216" i="80"/>
  <c r="F216" i="80"/>
  <c r="E216" i="80"/>
  <c r="D216" i="80"/>
  <c r="C216" i="80"/>
  <c r="N215" i="80"/>
  <c r="M215" i="80"/>
  <c r="L215" i="80"/>
  <c r="K215" i="80"/>
  <c r="K217" i="80" s="1"/>
  <c r="J215" i="80"/>
  <c r="I215" i="80"/>
  <c r="H215" i="80"/>
  <c r="G215" i="80"/>
  <c r="F215" i="80"/>
  <c r="E215" i="80"/>
  <c r="D215" i="80"/>
  <c r="C215" i="80"/>
  <c r="C217" i="80" s="1"/>
  <c r="N214" i="80"/>
  <c r="N217" i="80" s="1"/>
  <c r="M214" i="80"/>
  <c r="M217" i="80" s="1"/>
  <c r="M223" i="80" s="1"/>
  <c r="L214" i="80"/>
  <c r="L217" i="80" s="1"/>
  <c r="L223" i="80" s="1"/>
  <c r="K214" i="80"/>
  <c r="J214" i="80"/>
  <c r="I214" i="80"/>
  <c r="H214" i="80"/>
  <c r="H217" i="80" s="1"/>
  <c r="G214" i="80"/>
  <c r="G217" i="80" s="1"/>
  <c r="F214" i="80"/>
  <c r="F217" i="80" s="1"/>
  <c r="E214" i="80"/>
  <c r="D214" i="80"/>
  <c r="C214" i="80"/>
  <c r="E210" i="80"/>
  <c r="D210" i="80"/>
  <c r="N209" i="80"/>
  <c r="M209" i="80"/>
  <c r="L209" i="80"/>
  <c r="K209" i="80"/>
  <c r="J209" i="80"/>
  <c r="I209" i="80"/>
  <c r="H209" i="80"/>
  <c r="G209" i="80"/>
  <c r="G210" i="80" s="1"/>
  <c r="F209" i="80"/>
  <c r="E209" i="80"/>
  <c r="D209" i="80"/>
  <c r="C209" i="80"/>
  <c r="N208" i="80"/>
  <c r="M208" i="80"/>
  <c r="M210" i="80" s="1"/>
  <c r="L208" i="80"/>
  <c r="L210" i="80" s="1"/>
  <c r="K208" i="80"/>
  <c r="J208" i="80"/>
  <c r="I208" i="80"/>
  <c r="H208" i="80"/>
  <c r="G208" i="80"/>
  <c r="F208" i="80"/>
  <c r="E208" i="80"/>
  <c r="D208" i="80"/>
  <c r="C208" i="80"/>
  <c r="N205" i="80"/>
  <c r="M205" i="80"/>
  <c r="L205" i="80"/>
  <c r="K205" i="80"/>
  <c r="J205" i="80"/>
  <c r="I205" i="80"/>
  <c r="H205" i="80"/>
  <c r="G205" i="80"/>
  <c r="F205" i="80"/>
  <c r="E205" i="80"/>
  <c r="D205" i="80"/>
  <c r="C205" i="80"/>
  <c r="N204" i="80"/>
  <c r="M204" i="80"/>
  <c r="L204" i="80"/>
  <c r="K204" i="80"/>
  <c r="J204" i="80"/>
  <c r="I204" i="80"/>
  <c r="H204" i="80"/>
  <c r="G204" i="80"/>
  <c r="F204" i="80"/>
  <c r="E204" i="80"/>
  <c r="D204" i="80"/>
  <c r="C204" i="80"/>
  <c r="N203" i="80"/>
  <c r="M203" i="80"/>
  <c r="L203" i="80"/>
  <c r="K203" i="80"/>
  <c r="J203" i="80"/>
  <c r="I203" i="80"/>
  <c r="H203" i="80"/>
  <c r="H206" i="80" s="1"/>
  <c r="G203" i="80"/>
  <c r="F203" i="80"/>
  <c r="E203" i="80"/>
  <c r="D203" i="80"/>
  <c r="C203" i="80"/>
  <c r="N202" i="80"/>
  <c r="M202" i="80"/>
  <c r="L202" i="80"/>
  <c r="L206" i="80" s="1"/>
  <c r="K202" i="80"/>
  <c r="K206" i="80" s="1"/>
  <c r="J202" i="80"/>
  <c r="I202" i="80"/>
  <c r="H202" i="80"/>
  <c r="G202" i="80"/>
  <c r="F202" i="80"/>
  <c r="E202" i="80"/>
  <c r="D202" i="80"/>
  <c r="D206" i="80" s="1"/>
  <c r="C202" i="80"/>
  <c r="C206" i="80" s="1"/>
  <c r="N199" i="80"/>
  <c r="M199" i="80"/>
  <c r="L199" i="80"/>
  <c r="K199" i="80"/>
  <c r="J199" i="80"/>
  <c r="I199" i="80"/>
  <c r="H199" i="80"/>
  <c r="G199" i="80"/>
  <c r="F199" i="80"/>
  <c r="E199" i="80"/>
  <c r="D199" i="80"/>
  <c r="C199" i="80"/>
  <c r="N198" i="80"/>
  <c r="M198" i="80"/>
  <c r="L198" i="80"/>
  <c r="K198" i="80"/>
  <c r="J198" i="80"/>
  <c r="I198" i="80"/>
  <c r="H198" i="80"/>
  <c r="G198" i="80"/>
  <c r="F198" i="80"/>
  <c r="E198" i="80"/>
  <c r="D198" i="80"/>
  <c r="C198" i="80"/>
  <c r="N197" i="80"/>
  <c r="M197" i="80"/>
  <c r="L197" i="80"/>
  <c r="K197" i="80"/>
  <c r="J197" i="80"/>
  <c r="I197" i="80"/>
  <c r="H197" i="80"/>
  <c r="G197" i="80"/>
  <c r="F197" i="80"/>
  <c r="E197" i="80"/>
  <c r="D197" i="80"/>
  <c r="C197" i="80"/>
  <c r="N196" i="80"/>
  <c r="M196" i="80"/>
  <c r="L196" i="80"/>
  <c r="K196" i="80"/>
  <c r="J196" i="80"/>
  <c r="I196" i="80"/>
  <c r="H196" i="80"/>
  <c r="G196" i="80"/>
  <c r="F196" i="80"/>
  <c r="E196" i="80"/>
  <c r="D196" i="80"/>
  <c r="C196" i="80"/>
  <c r="N195" i="80"/>
  <c r="M195" i="80"/>
  <c r="L195" i="80"/>
  <c r="K195" i="80"/>
  <c r="J195" i="80"/>
  <c r="I195" i="80"/>
  <c r="H195" i="80"/>
  <c r="G195" i="80"/>
  <c r="F195" i="80"/>
  <c r="E195" i="80"/>
  <c r="D195" i="80"/>
  <c r="C195" i="80"/>
  <c r="N194" i="80"/>
  <c r="M194" i="80"/>
  <c r="L194" i="80"/>
  <c r="K194" i="80"/>
  <c r="J194" i="80"/>
  <c r="I194" i="80"/>
  <c r="H194" i="80"/>
  <c r="G194" i="80"/>
  <c r="F194" i="80"/>
  <c r="E194" i="80"/>
  <c r="D194" i="80"/>
  <c r="C194" i="80"/>
  <c r="N193" i="80"/>
  <c r="M193" i="80"/>
  <c r="L193" i="80"/>
  <c r="K193" i="80"/>
  <c r="J193" i="80"/>
  <c r="I193" i="80"/>
  <c r="H193" i="80"/>
  <c r="G193" i="80"/>
  <c r="F193" i="80"/>
  <c r="E193" i="80"/>
  <c r="D193" i="80"/>
  <c r="C193" i="80"/>
  <c r="N192" i="80"/>
  <c r="M192" i="80"/>
  <c r="L192" i="80"/>
  <c r="K192" i="80"/>
  <c r="J192" i="80"/>
  <c r="I192" i="80"/>
  <c r="H192" i="80"/>
  <c r="G192" i="80"/>
  <c r="F192" i="80"/>
  <c r="E192" i="80"/>
  <c r="D192" i="80"/>
  <c r="C192" i="80"/>
  <c r="N191" i="80"/>
  <c r="M191" i="80"/>
  <c r="L191" i="80"/>
  <c r="K191" i="80"/>
  <c r="J191" i="80"/>
  <c r="I191" i="80"/>
  <c r="H191" i="80"/>
  <c r="G191" i="80"/>
  <c r="F191" i="80"/>
  <c r="E191" i="80"/>
  <c r="D191" i="80"/>
  <c r="C191" i="80"/>
  <c r="N190" i="80"/>
  <c r="M190" i="80"/>
  <c r="L190" i="80"/>
  <c r="K190" i="80"/>
  <c r="J190" i="80"/>
  <c r="I190" i="80"/>
  <c r="H190" i="80"/>
  <c r="G190" i="80"/>
  <c r="F190" i="80"/>
  <c r="E190" i="80"/>
  <c r="D190" i="80"/>
  <c r="C190" i="80"/>
  <c r="N189" i="80"/>
  <c r="M189" i="80"/>
  <c r="L189" i="80"/>
  <c r="K189" i="80"/>
  <c r="J189" i="80"/>
  <c r="I189" i="80"/>
  <c r="H189" i="80"/>
  <c r="G189" i="80"/>
  <c r="F189" i="80"/>
  <c r="E189" i="80"/>
  <c r="D189" i="80"/>
  <c r="C189" i="80"/>
  <c r="N188" i="80"/>
  <c r="M188" i="80"/>
  <c r="L188" i="80"/>
  <c r="K188" i="80"/>
  <c r="J188" i="80"/>
  <c r="I188" i="80"/>
  <c r="H188" i="80"/>
  <c r="G188" i="80"/>
  <c r="F188" i="80"/>
  <c r="E188" i="80"/>
  <c r="D188" i="80"/>
  <c r="C188" i="80"/>
  <c r="N187" i="80"/>
  <c r="M187" i="80"/>
  <c r="L187" i="80"/>
  <c r="K187" i="80"/>
  <c r="J187" i="80"/>
  <c r="I187" i="80"/>
  <c r="H187" i="80"/>
  <c r="G187" i="80"/>
  <c r="F187" i="80"/>
  <c r="E187" i="80"/>
  <c r="D187" i="80"/>
  <c r="C187" i="80"/>
  <c r="N186" i="80"/>
  <c r="M186" i="80"/>
  <c r="L186" i="80"/>
  <c r="K186" i="80"/>
  <c r="J186" i="80"/>
  <c r="I186" i="80"/>
  <c r="H186" i="80"/>
  <c r="G186" i="80"/>
  <c r="F186" i="80"/>
  <c r="E186" i="80"/>
  <c r="D186" i="80"/>
  <c r="C186" i="80"/>
  <c r="N182" i="80"/>
  <c r="M182" i="80"/>
  <c r="L182" i="80"/>
  <c r="K182" i="80"/>
  <c r="J182" i="80"/>
  <c r="I182" i="80"/>
  <c r="H182" i="80"/>
  <c r="G182" i="80"/>
  <c r="F182" i="80"/>
  <c r="E182" i="80"/>
  <c r="D182" i="80"/>
  <c r="C182" i="80"/>
  <c r="N181" i="80"/>
  <c r="M181" i="80"/>
  <c r="L181" i="80"/>
  <c r="K181" i="80"/>
  <c r="J181" i="80"/>
  <c r="I181" i="80"/>
  <c r="H181" i="80"/>
  <c r="G181" i="80"/>
  <c r="F181" i="80"/>
  <c r="E181" i="80"/>
  <c r="D181" i="80"/>
  <c r="C181" i="80"/>
  <c r="N180" i="80"/>
  <c r="M180" i="80"/>
  <c r="L180" i="80"/>
  <c r="K180" i="80"/>
  <c r="J180" i="80"/>
  <c r="I180" i="80"/>
  <c r="H180" i="80"/>
  <c r="G180" i="80"/>
  <c r="F180" i="80"/>
  <c r="E180" i="80"/>
  <c r="D180" i="80"/>
  <c r="C180" i="80"/>
  <c r="N179" i="80"/>
  <c r="M179" i="80"/>
  <c r="L179" i="80"/>
  <c r="K179" i="80"/>
  <c r="J179" i="80"/>
  <c r="I179" i="80"/>
  <c r="H179" i="80"/>
  <c r="G179" i="80"/>
  <c r="F179" i="80"/>
  <c r="E179" i="80"/>
  <c r="D179" i="80"/>
  <c r="C179" i="80"/>
  <c r="N178" i="80"/>
  <c r="M178" i="80"/>
  <c r="L178" i="80"/>
  <c r="K178" i="80"/>
  <c r="J178" i="80"/>
  <c r="I178" i="80"/>
  <c r="H178" i="80"/>
  <c r="G178" i="80"/>
  <c r="F178" i="80"/>
  <c r="E178" i="80"/>
  <c r="D178" i="80"/>
  <c r="C178" i="80"/>
  <c r="N177" i="80"/>
  <c r="M177" i="80"/>
  <c r="L177" i="80"/>
  <c r="K177" i="80"/>
  <c r="J177" i="80"/>
  <c r="I177" i="80"/>
  <c r="H177" i="80"/>
  <c r="H183" i="80" s="1"/>
  <c r="G177" i="80"/>
  <c r="F177" i="80"/>
  <c r="E177" i="80"/>
  <c r="D177" i="80"/>
  <c r="C177" i="80"/>
  <c r="N176" i="80"/>
  <c r="M176" i="80"/>
  <c r="L176" i="80"/>
  <c r="L183" i="80" s="1"/>
  <c r="K176" i="80"/>
  <c r="J176" i="80"/>
  <c r="I176" i="80"/>
  <c r="H176" i="80"/>
  <c r="G176" i="80"/>
  <c r="F176" i="80"/>
  <c r="E176" i="80"/>
  <c r="D176" i="80"/>
  <c r="C176" i="80"/>
  <c r="N173" i="80"/>
  <c r="M173" i="80"/>
  <c r="L173" i="80"/>
  <c r="K173" i="80"/>
  <c r="J173" i="80"/>
  <c r="I173" i="80"/>
  <c r="H173" i="80"/>
  <c r="G173" i="80"/>
  <c r="F173" i="80"/>
  <c r="E173" i="80"/>
  <c r="D173" i="80"/>
  <c r="C173" i="80"/>
  <c r="N172" i="80"/>
  <c r="M172" i="80"/>
  <c r="L172" i="80"/>
  <c r="K172" i="80"/>
  <c r="J172" i="80"/>
  <c r="I172" i="80"/>
  <c r="H172" i="80"/>
  <c r="G172" i="80"/>
  <c r="F172" i="80"/>
  <c r="E172" i="80"/>
  <c r="D172" i="80"/>
  <c r="C172" i="80"/>
  <c r="N171" i="80"/>
  <c r="M171" i="80"/>
  <c r="L171" i="80"/>
  <c r="K171" i="80"/>
  <c r="J171" i="80"/>
  <c r="I171" i="80"/>
  <c r="H171" i="80"/>
  <c r="G171" i="80"/>
  <c r="F171" i="80"/>
  <c r="E171" i="80"/>
  <c r="D171" i="80"/>
  <c r="C171" i="80"/>
  <c r="N170" i="80"/>
  <c r="M170" i="80"/>
  <c r="L170" i="80"/>
  <c r="K170" i="80"/>
  <c r="J170" i="80"/>
  <c r="I170" i="80"/>
  <c r="H170" i="80"/>
  <c r="G170" i="80"/>
  <c r="F170" i="80"/>
  <c r="E170" i="80"/>
  <c r="D170" i="80"/>
  <c r="C170" i="80"/>
  <c r="N169" i="80"/>
  <c r="M169" i="80"/>
  <c r="L169" i="80"/>
  <c r="K169" i="80"/>
  <c r="J169" i="80"/>
  <c r="I169" i="80"/>
  <c r="H169" i="80"/>
  <c r="G169" i="80"/>
  <c r="F169" i="80"/>
  <c r="E169" i="80"/>
  <c r="D169" i="80"/>
  <c r="C169" i="80"/>
  <c r="N168" i="80"/>
  <c r="M168" i="80"/>
  <c r="L168" i="80"/>
  <c r="K168" i="80"/>
  <c r="J168" i="80"/>
  <c r="I168" i="80"/>
  <c r="H168" i="80"/>
  <c r="G168" i="80"/>
  <c r="F168" i="80"/>
  <c r="E168" i="80"/>
  <c r="D168" i="80"/>
  <c r="C168" i="80"/>
  <c r="N167" i="80"/>
  <c r="M167" i="80"/>
  <c r="L167" i="80"/>
  <c r="K167" i="80"/>
  <c r="J167" i="80"/>
  <c r="I167" i="80"/>
  <c r="H167" i="80"/>
  <c r="G167" i="80"/>
  <c r="F167" i="80"/>
  <c r="E167" i="80"/>
  <c r="D167" i="80"/>
  <c r="C167" i="80"/>
  <c r="N166" i="80"/>
  <c r="M166" i="80"/>
  <c r="L166" i="80"/>
  <c r="K166" i="80"/>
  <c r="J166" i="80"/>
  <c r="I166" i="80"/>
  <c r="H166" i="80"/>
  <c r="G166" i="80"/>
  <c r="F166" i="80"/>
  <c r="E166" i="80"/>
  <c r="D166" i="80"/>
  <c r="C166" i="80"/>
  <c r="N165" i="80"/>
  <c r="M165" i="80"/>
  <c r="L165" i="80"/>
  <c r="K165" i="80"/>
  <c r="J165" i="80"/>
  <c r="I165" i="80"/>
  <c r="H165" i="80"/>
  <c r="G165" i="80"/>
  <c r="F165" i="80"/>
  <c r="E165" i="80"/>
  <c r="D165" i="80"/>
  <c r="C165" i="80"/>
  <c r="N164" i="80"/>
  <c r="M164" i="80"/>
  <c r="L164" i="80"/>
  <c r="K164" i="80"/>
  <c r="J164" i="80"/>
  <c r="I164" i="80"/>
  <c r="H164" i="80"/>
  <c r="G164" i="80"/>
  <c r="F164" i="80"/>
  <c r="E164" i="80"/>
  <c r="D164" i="80"/>
  <c r="C164" i="80"/>
  <c r="N163" i="80"/>
  <c r="M163" i="80"/>
  <c r="L163" i="80"/>
  <c r="K163" i="80"/>
  <c r="J163" i="80"/>
  <c r="I163" i="80"/>
  <c r="H163" i="80"/>
  <c r="G163" i="80"/>
  <c r="F163" i="80"/>
  <c r="E163" i="80"/>
  <c r="D163" i="80"/>
  <c r="C163" i="80"/>
  <c r="N162" i="80"/>
  <c r="M162" i="80"/>
  <c r="L162" i="80"/>
  <c r="K162" i="80"/>
  <c r="J162" i="80"/>
  <c r="I162" i="80"/>
  <c r="H162" i="80"/>
  <c r="G162" i="80"/>
  <c r="F162" i="80"/>
  <c r="E162" i="80"/>
  <c r="D162" i="80"/>
  <c r="C162" i="80"/>
  <c r="N161" i="80"/>
  <c r="M161" i="80"/>
  <c r="L161" i="80"/>
  <c r="K161" i="80"/>
  <c r="J161" i="80"/>
  <c r="I161" i="80"/>
  <c r="H161" i="80"/>
  <c r="G161" i="80"/>
  <c r="F161" i="80"/>
  <c r="E161" i="80"/>
  <c r="D161" i="80"/>
  <c r="C161" i="80"/>
  <c r="N160" i="80"/>
  <c r="M160" i="80"/>
  <c r="L160" i="80"/>
  <c r="K160" i="80"/>
  <c r="J160" i="80"/>
  <c r="I160" i="80"/>
  <c r="H160" i="80"/>
  <c r="G160" i="80"/>
  <c r="F160" i="80"/>
  <c r="E160" i="80"/>
  <c r="D160" i="80"/>
  <c r="C160" i="80"/>
  <c r="N159" i="80"/>
  <c r="M159" i="80"/>
  <c r="L159" i="80"/>
  <c r="K159" i="80"/>
  <c r="J159" i="80"/>
  <c r="I159" i="80"/>
  <c r="H159" i="80"/>
  <c r="G159" i="80"/>
  <c r="F159" i="80"/>
  <c r="E159" i="80"/>
  <c r="D159" i="80"/>
  <c r="C159" i="80"/>
  <c r="N158" i="80"/>
  <c r="M158" i="80"/>
  <c r="L158" i="80"/>
  <c r="K158" i="80"/>
  <c r="J158" i="80"/>
  <c r="I158" i="80"/>
  <c r="H158" i="80"/>
  <c r="G158" i="80"/>
  <c r="F158" i="80"/>
  <c r="E158" i="80"/>
  <c r="D158" i="80"/>
  <c r="C158" i="80"/>
  <c r="N157" i="80"/>
  <c r="M157" i="80"/>
  <c r="L157" i="80"/>
  <c r="K157" i="80"/>
  <c r="J157" i="80"/>
  <c r="I157" i="80"/>
  <c r="H157" i="80"/>
  <c r="G157" i="80"/>
  <c r="F157" i="80"/>
  <c r="O157" i="80" s="1"/>
  <c r="E157" i="80"/>
  <c r="D157" i="80"/>
  <c r="C157" i="80"/>
  <c r="N156" i="80"/>
  <c r="M156" i="80"/>
  <c r="L156" i="80"/>
  <c r="K156" i="80"/>
  <c r="J156" i="80"/>
  <c r="I156" i="80"/>
  <c r="H156" i="80"/>
  <c r="G156" i="80"/>
  <c r="F156" i="80"/>
  <c r="E156" i="80"/>
  <c r="D156" i="80"/>
  <c r="C156" i="80"/>
  <c r="N155" i="80"/>
  <c r="M155" i="80"/>
  <c r="L155" i="80"/>
  <c r="K155" i="80"/>
  <c r="J155" i="80"/>
  <c r="I155" i="80"/>
  <c r="H155" i="80"/>
  <c r="G155" i="80"/>
  <c r="F155" i="80"/>
  <c r="E155" i="80"/>
  <c r="D155" i="80"/>
  <c r="C155" i="80"/>
  <c r="N154" i="80"/>
  <c r="M154" i="80"/>
  <c r="L154" i="80"/>
  <c r="K154" i="80"/>
  <c r="J154" i="80"/>
  <c r="I154" i="80"/>
  <c r="H154" i="80"/>
  <c r="G154" i="80"/>
  <c r="F154" i="80"/>
  <c r="E154" i="80"/>
  <c r="D154" i="80"/>
  <c r="C154" i="80"/>
  <c r="N153" i="80"/>
  <c r="M153" i="80"/>
  <c r="L153" i="80"/>
  <c r="K153" i="80"/>
  <c r="J153" i="80"/>
  <c r="I153" i="80"/>
  <c r="H153" i="80"/>
  <c r="G153" i="80"/>
  <c r="F153" i="80"/>
  <c r="O153" i="80" s="1"/>
  <c r="E153" i="80"/>
  <c r="D153" i="80"/>
  <c r="C153" i="80"/>
  <c r="N152" i="80"/>
  <c r="M152" i="80"/>
  <c r="L152" i="80"/>
  <c r="K152" i="80"/>
  <c r="J152" i="80"/>
  <c r="I152" i="80"/>
  <c r="H152" i="80"/>
  <c r="G152" i="80"/>
  <c r="F152" i="80"/>
  <c r="E152" i="80"/>
  <c r="D152" i="80"/>
  <c r="C152" i="80"/>
  <c r="N151" i="80"/>
  <c r="M151" i="80"/>
  <c r="L151" i="80"/>
  <c r="K151" i="80"/>
  <c r="J151" i="80"/>
  <c r="I151" i="80"/>
  <c r="H151" i="80"/>
  <c r="G151" i="80"/>
  <c r="F151" i="80"/>
  <c r="E151" i="80"/>
  <c r="D151" i="80"/>
  <c r="C151" i="80"/>
  <c r="N150" i="80"/>
  <c r="M150" i="80"/>
  <c r="L150" i="80"/>
  <c r="K150" i="80"/>
  <c r="J150" i="80"/>
  <c r="I150" i="80"/>
  <c r="H150" i="80"/>
  <c r="G150" i="80"/>
  <c r="F150" i="80"/>
  <c r="E150" i="80"/>
  <c r="D150" i="80"/>
  <c r="C150" i="80"/>
  <c r="N149" i="80"/>
  <c r="M149" i="80"/>
  <c r="L149" i="80"/>
  <c r="K149" i="80"/>
  <c r="J149" i="80"/>
  <c r="I149" i="80"/>
  <c r="H149" i="80"/>
  <c r="G149" i="80"/>
  <c r="F149" i="80"/>
  <c r="O149" i="80" s="1"/>
  <c r="E149" i="80"/>
  <c r="D149" i="80"/>
  <c r="C149" i="80"/>
  <c r="N148" i="80"/>
  <c r="M148" i="80"/>
  <c r="L148" i="80"/>
  <c r="K148" i="80"/>
  <c r="J148" i="80"/>
  <c r="I148" i="80"/>
  <c r="H148" i="80"/>
  <c r="G148" i="80"/>
  <c r="F148" i="80"/>
  <c r="E148" i="80"/>
  <c r="D148" i="80"/>
  <c r="C148" i="80"/>
  <c r="N147" i="80"/>
  <c r="M147" i="80"/>
  <c r="L147" i="80"/>
  <c r="K147" i="80"/>
  <c r="J147" i="80"/>
  <c r="I147" i="80"/>
  <c r="H147" i="80"/>
  <c r="G147" i="80"/>
  <c r="F147" i="80"/>
  <c r="E147" i="80"/>
  <c r="D147" i="80"/>
  <c r="C147" i="80"/>
  <c r="N146" i="80"/>
  <c r="M146" i="80"/>
  <c r="L146" i="80"/>
  <c r="K146" i="80"/>
  <c r="J146" i="80"/>
  <c r="I146" i="80"/>
  <c r="H146" i="80"/>
  <c r="G146" i="80"/>
  <c r="F146" i="80"/>
  <c r="E146" i="80"/>
  <c r="D146" i="80"/>
  <c r="C146" i="80"/>
  <c r="N145" i="80"/>
  <c r="M145" i="80"/>
  <c r="L145" i="80"/>
  <c r="K145" i="80"/>
  <c r="J145" i="80"/>
  <c r="I145" i="80"/>
  <c r="H145" i="80"/>
  <c r="G145" i="80"/>
  <c r="F145" i="80"/>
  <c r="O145" i="80" s="1"/>
  <c r="E145" i="80"/>
  <c r="D145" i="80"/>
  <c r="C145" i="80"/>
  <c r="N144" i="80"/>
  <c r="M144" i="80"/>
  <c r="L144" i="80"/>
  <c r="K144" i="80"/>
  <c r="J144" i="80"/>
  <c r="I144" i="80"/>
  <c r="H144" i="80"/>
  <c r="G144" i="80"/>
  <c r="F144" i="80"/>
  <c r="E144" i="80"/>
  <c r="D144" i="80"/>
  <c r="C144" i="80"/>
  <c r="N143" i="80"/>
  <c r="M143" i="80"/>
  <c r="L143" i="80"/>
  <c r="K143" i="80"/>
  <c r="J143" i="80"/>
  <c r="I143" i="80"/>
  <c r="H143" i="80"/>
  <c r="G143" i="80"/>
  <c r="F143" i="80"/>
  <c r="E143" i="80"/>
  <c r="D143" i="80"/>
  <c r="C143" i="80"/>
  <c r="N142" i="80"/>
  <c r="M142" i="80"/>
  <c r="L142" i="80"/>
  <c r="K142" i="80"/>
  <c r="J142" i="80"/>
  <c r="I142" i="80"/>
  <c r="H142" i="80"/>
  <c r="G142" i="80"/>
  <c r="F142" i="80"/>
  <c r="E142" i="80"/>
  <c r="D142" i="80"/>
  <c r="C142" i="80"/>
  <c r="N141" i="80"/>
  <c r="M141" i="80"/>
  <c r="L141" i="80"/>
  <c r="K141" i="80"/>
  <c r="J141" i="80"/>
  <c r="I141" i="80"/>
  <c r="H141" i="80"/>
  <c r="G141" i="80"/>
  <c r="F141" i="80"/>
  <c r="E141" i="80"/>
  <c r="D141" i="80"/>
  <c r="C141" i="80"/>
  <c r="N140" i="80"/>
  <c r="M140" i="80"/>
  <c r="L140" i="80"/>
  <c r="K140" i="80"/>
  <c r="J140" i="80"/>
  <c r="I140" i="80"/>
  <c r="H140" i="80"/>
  <c r="G140" i="80"/>
  <c r="F140" i="80"/>
  <c r="E140" i="80"/>
  <c r="D140" i="80"/>
  <c r="C140" i="80"/>
  <c r="N139" i="80"/>
  <c r="M139" i="80"/>
  <c r="L139" i="80"/>
  <c r="K139" i="80"/>
  <c r="J139" i="80"/>
  <c r="I139" i="80"/>
  <c r="H139" i="80"/>
  <c r="G139" i="80"/>
  <c r="F139" i="80"/>
  <c r="E139" i="80"/>
  <c r="D139" i="80"/>
  <c r="C139" i="80"/>
  <c r="N138" i="80"/>
  <c r="M138" i="80"/>
  <c r="L138" i="80"/>
  <c r="K138" i="80"/>
  <c r="J138" i="80"/>
  <c r="I138" i="80"/>
  <c r="I174" i="80" s="1"/>
  <c r="H138" i="80"/>
  <c r="G138" i="80"/>
  <c r="F138" i="80"/>
  <c r="E138" i="80"/>
  <c r="D138" i="80"/>
  <c r="C138" i="80"/>
  <c r="H136" i="80"/>
  <c r="N135" i="80"/>
  <c r="M135" i="80"/>
  <c r="L135" i="80"/>
  <c r="K135" i="80"/>
  <c r="J135" i="80"/>
  <c r="I135" i="80"/>
  <c r="H135" i="80"/>
  <c r="G135" i="80"/>
  <c r="F135" i="80"/>
  <c r="E135" i="80"/>
  <c r="D135" i="80"/>
  <c r="C135" i="80"/>
  <c r="N134" i="80"/>
  <c r="M134" i="80"/>
  <c r="L134" i="80"/>
  <c r="K134" i="80"/>
  <c r="J134" i="80"/>
  <c r="I134" i="80"/>
  <c r="H134" i="80"/>
  <c r="G134" i="80"/>
  <c r="F134" i="80"/>
  <c r="E134" i="80"/>
  <c r="D134" i="80"/>
  <c r="C134" i="80"/>
  <c r="O134" i="80" s="1"/>
  <c r="N133" i="80"/>
  <c r="M133" i="80"/>
  <c r="L133" i="80"/>
  <c r="K133" i="80"/>
  <c r="J133" i="80"/>
  <c r="I133" i="80"/>
  <c r="H133" i="80"/>
  <c r="G133" i="80"/>
  <c r="F133" i="80"/>
  <c r="E133" i="80"/>
  <c r="D133" i="80"/>
  <c r="C133" i="80"/>
  <c r="N132" i="80"/>
  <c r="M132" i="80"/>
  <c r="L132" i="80"/>
  <c r="K132" i="80"/>
  <c r="J132" i="80"/>
  <c r="I132" i="80"/>
  <c r="H132" i="80"/>
  <c r="G132" i="80"/>
  <c r="F132" i="80"/>
  <c r="E132" i="80"/>
  <c r="D132" i="80"/>
  <c r="C132" i="80"/>
  <c r="N131" i="80"/>
  <c r="M131" i="80"/>
  <c r="L131" i="80"/>
  <c r="K131" i="80"/>
  <c r="J131" i="80"/>
  <c r="I131" i="80"/>
  <c r="H131" i="80"/>
  <c r="G131" i="80"/>
  <c r="F131" i="80"/>
  <c r="E131" i="80"/>
  <c r="D131" i="80"/>
  <c r="C131" i="80"/>
  <c r="N130" i="80"/>
  <c r="M130" i="80"/>
  <c r="L130" i="80"/>
  <c r="K130" i="80"/>
  <c r="J130" i="80"/>
  <c r="I130" i="80"/>
  <c r="H130" i="80"/>
  <c r="G130" i="80"/>
  <c r="F130" i="80"/>
  <c r="E130" i="80"/>
  <c r="D130" i="80"/>
  <c r="C130" i="80"/>
  <c r="N129" i="80"/>
  <c r="M129" i="80"/>
  <c r="L129" i="80"/>
  <c r="K129" i="80"/>
  <c r="J129" i="80"/>
  <c r="I129" i="80"/>
  <c r="H129" i="80"/>
  <c r="G129" i="80"/>
  <c r="F129" i="80"/>
  <c r="E129" i="80"/>
  <c r="D129" i="80"/>
  <c r="C129" i="80"/>
  <c r="N126" i="80"/>
  <c r="M126" i="80"/>
  <c r="L126" i="80"/>
  <c r="K126" i="80"/>
  <c r="J126" i="80"/>
  <c r="I126" i="80"/>
  <c r="H126" i="80"/>
  <c r="G126" i="80"/>
  <c r="F126" i="80"/>
  <c r="E126" i="80"/>
  <c r="D126" i="80"/>
  <c r="C126" i="80"/>
  <c r="N125" i="80"/>
  <c r="M125" i="80"/>
  <c r="L125" i="80"/>
  <c r="K125" i="80"/>
  <c r="J125" i="80"/>
  <c r="I125" i="80"/>
  <c r="H125" i="80"/>
  <c r="G125" i="80"/>
  <c r="F125" i="80"/>
  <c r="E125" i="80"/>
  <c r="D125" i="80"/>
  <c r="C125" i="80"/>
  <c r="N124" i="80"/>
  <c r="M124" i="80"/>
  <c r="L124" i="80"/>
  <c r="K124" i="80"/>
  <c r="J124" i="80"/>
  <c r="I124" i="80"/>
  <c r="H124" i="80"/>
  <c r="G124" i="80"/>
  <c r="F124" i="80"/>
  <c r="E124" i="80"/>
  <c r="D124" i="80"/>
  <c r="C124" i="80"/>
  <c r="O124" i="80" s="1"/>
  <c r="N123" i="80"/>
  <c r="M123" i="80"/>
  <c r="L123" i="80"/>
  <c r="K123" i="80"/>
  <c r="J123" i="80"/>
  <c r="I123" i="80"/>
  <c r="H123" i="80"/>
  <c r="G123" i="80"/>
  <c r="F123" i="80"/>
  <c r="E123" i="80"/>
  <c r="D123" i="80"/>
  <c r="C123" i="80"/>
  <c r="N122" i="80"/>
  <c r="M122" i="80"/>
  <c r="L122" i="80"/>
  <c r="K122" i="80"/>
  <c r="J122" i="80"/>
  <c r="I122" i="80"/>
  <c r="H122" i="80"/>
  <c r="G122" i="80"/>
  <c r="F122" i="80"/>
  <c r="E122" i="80"/>
  <c r="D122" i="80"/>
  <c r="C122" i="80"/>
  <c r="N121" i="80"/>
  <c r="M121" i="80"/>
  <c r="L121" i="80"/>
  <c r="K121" i="80"/>
  <c r="J121" i="80"/>
  <c r="I121" i="80"/>
  <c r="H121" i="80"/>
  <c r="G121" i="80"/>
  <c r="O121" i="80" s="1"/>
  <c r="F121" i="80"/>
  <c r="E121" i="80"/>
  <c r="D121" i="80"/>
  <c r="C121" i="80"/>
  <c r="N120" i="80"/>
  <c r="M120" i="80"/>
  <c r="L120" i="80"/>
  <c r="K120" i="80"/>
  <c r="J120" i="80"/>
  <c r="I120" i="80"/>
  <c r="H120" i="80"/>
  <c r="G120" i="80"/>
  <c r="F120" i="80"/>
  <c r="E120" i="80"/>
  <c r="D120" i="80"/>
  <c r="C120" i="80"/>
  <c r="O120" i="80" s="1"/>
  <c r="N119" i="80"/>
  <c r="M119" i="80"/>
  <c r="L119" i="80"/>
  <c r="K119" i="80"/>
  <c r="J119" i="80"/>
  <c r="I119" i="80"/>
  <c r="H119" i="80"/>
  <c r="G119" i="80"/>
  <c r="F119" i="80"/>
  <c r="E119" i="80"/>
  <c r="D119" i="80"/>
  <c r="C119" i="80"/>
  <c r="N118" i="80"/>
  <c r="M118" i="80"/>
  <c r="L118" i="80"/>
  <c r="K118" i="80"/>
  <c r="J118" i="80"/>
  <c r="I118" i="80"/>
  <c r="H118" i="80"/>
  <c r="G118" i="80"/>
  <c r="F118" i="80"/>
  <c r="E118" i="80"/>
  <c r="D118" i="80"/>
  <c r="C118" i="80"/>
  <c r="N117" i="80"/>
  <c r="M117" i="80"/>
  <c r="L117" i="80"/>
  <c r="K117" i="80"/>
  <c r="J117" i="80"/>
  <c r="I117" i="80"/>
  <c r="H117" i="80"/>
  <c r="G117" i="80"/>
  <c r="F117" i="80"/>
  <c r="E117" i="80"/>
  <c r="D117" i="80"/>
  <c r="C117" i="80"/>
  <c r="N116" i="80"/>
  <c r="M116" i="80"/>
  <c r="M127" i="80" s="1"/>
  <c r="L116" i="80"/>
  <c r="K116" i="80"/>
  <c r="J116" i="80"/>
  <c r="J127" i="80" s="1"/>
  <c r="I116" i="80"/>
  <c r="H116" i="80"/>
  <c r="G116" i="80"/>
  <c r="F116" i="80"/>
  <c r="E116" i="80"/>
  <c r="E127" i="80" s="1"/>
  <c r="D116" i="80"/>
  <c r="C116" i="80"/>
  <c r="F112" i="80"/>
  <c r="C112" i="80"/>
  <c r="N110" i="80"/>
  <c r="N112" i="80" s="1"/>
  <c r="M110" i="80"/>
  <c r="L110" i="80"/>
  <c r="K110" i="80"/>
  <c r="J110" i="80"/>
  <c r="I110" i="80"/>
  <c r="H110" i="80"/>
  <c r="H113" i="80" s="1"/>
  <c r="G110" i="80"/>
  <c r="F110" i="80"/>
  <c r="E110" i="80"/>
  <c r="D110" i="80"/>
  <c r="C110" i="80"/>
  <c r="U109" i="80"/>
  <c r="V109" i="80" s="1"/>
  <c r="O109" i="80"/>
  <c r="V108" i="80"/>
  <c r="U108" i="80"/>
  <c r="O108" i="80"/>
  <c r="N105" i="80"/>
  <c r="M105" i="80"/>
  <c r="L105" i="80"/>
  <c r="K105" i="80"/>
  <c r="K112" i="80" s="1"/>
  <c r="J105" i="80"/>
  <c r="I105" i="80"/>
  <c r="I112" i="80" s="1"/>
  <c r="H105" i="80"/>
  <c r="G105" i="80"/>
  <c r="F105" i="80"/>
  <c r="E105" i="80"/>
  <c r="E112" i="80" s="1"/>
  <c r="D105" i="80"/>
  <c r="C105" i="80"/>
  <c r="U104" i="80"/>
  <c r="V104" i="80" s="1"/>
  <c r="O104" i="80"/>
  <c r="U103" i="80"/>
  <c r="V103" i="80" s="1"/>
  <c r="O103" i="80"/>
  <c r="U102" i="80"/>
  <c r="V102" i="80" s="1"/>
  <c r="O102" i="80"/>
  <c r="N98" i="80"/>
  <c r="M98" i="80"/>
  <c r="L98" i="80"/>
  <c r="K98" i="80"/>
  <c r="J98" i="80"/>
  <c r="I98" i="80"/>
  <c r="H98" i="80"/>
  <c r="G98" i="80"/>
  <c r="F98" i="80"/>
  <c r="E98" i="80"/>
  <c r="D98" i="80"/>
  <c r="C98" i="80"/>
  <c r="V97" i="80"/>
  <c r="U97" i="80"/>
  <c r="O97" i="80"/>
  <c r="U96" i="80"/>
  <c r="V96" i="80" s="1"/>
  <c r="O96" i="80"/>
  <c r="N94" i="80"/>
  <c r="M94" i="80"/>
  <c r="L94" i="80"/>
  <c r="K94" i="80"/>
  <c r="J94" i="80"/>
  <c r="I94" i="80"/>
  <c r="H94" i="80"/>
  <c r="G94" i="80"/>
  <c r="F94" i="80"/>
  <c r="E94" i="80"/>
  <c r="D94" i="80"/>
  <c r="C94" i="80"/>
  <c r="U93" i="80"/>
  <c r="V93" i="80" s="1"/>
  <c r="O93" i="80"/>
  <c r="U92" i="80"/>
  <c r="V92" i="80" s="1"/>
  <c r="O92" i="80"/>
  <c r="U91" i="80"/>
  <c r="V91" i="80" s="1"/>
  <c r="O91" i="80"/>
  <c r="O90" i="80"/>
  <c r="N88" i="80"/>
  <c r="M88" i="80"/>
  <c r="L88" i="80"/>
  <c r="K88" i="80"/>
  <c r="J88" i="80"/>
  <c r="I88" i="80"/>
  <c r="H88" i="80"/>
  <c r="C88" i="80"/>
  <c r="U87" i="80"/>
  <c r="V87" i="80" s="1"/>
  <c r="O87" i="80"/>
  <c r="O199" i="80" s="1"/>
  <c r="V86" i="80"/>
  <c r="U86" i="80"/>
  <c r="O86" i="80"/>
  <c r="U85" i="80"/>
  <c r="V85" i="80" s="1"/>
  <c r="O85" i="80"/>
  <c r="V84" i="80"/>
  <c r="U84" i="80"/>
  <c r="O84" i="80"/>
  <c r="U83" i="80"/>
  <c r="V83" i="80" s="1"/>
  <c r="O83" i="80"/>
  <c r="V82" i="80"/>
  <c r="U82" i="80"/>
  <c r="O82" i="80"/>
  <c r="U81" i="80"/>
  <c r="V81" i="80" s="1"/>
  <c r="O81" i="80"/>
  <c r="U80" i="80"/>
  <c r="V80" i="80" s="1"/>
  <c r="O80" i="80"/>
  <c r="U79" i="80"/>
  <c r="V79" i="80" s="1"/>
  <c r="O79" i="80"/>
  <c r="U78" i="80"/>
  <c r="V78" i="80" s="1"/>
  <c r="O78" i="80"/>
  <c r="U77" i="80"/>
  <c r="V77" i="80" s="1"/>
  <c r="O77" i="80"/>
  <c r="U76" i="80"/>
  <c r="V76" i="80" s="1"/>
  <c r="O76" i="80"/>
  <c r="U75" i="80"/>
  <c r="V75" i="80" s="1"/>
  <c r="O75" i="80"/>
  <c r="U74" i="80"/>
  <c r="V74" i="80" s="1"/>
  <c r="O74" i="80"/>
  <c r="U73" i="80"/>
  <c r="V73" i="80" s="1"/>
  <c r="G73" i="80"/>
  <c r="G88" i="80" s="1"/>
  <c r="G113" i="80" s="1"/>
  <c r="F73" i="80"/>
  <c r="F88" i="80" s="1"/>
  <c r="E73" i="80"/>
  <c r="E88" i="80" s="1"/>
  <c r="D73" i="80"/>
  <c r="C73" i="80"/>
  <c r="N71" i="80"/>
  <c r="M71" i="80"/>
  <c r="L71" i="80"/>
  <c r="K71" i="80"/>
  <c r="J71" i="80"/>
  <c r="I71" i="80"/>
  <c r="H71" i="80"/>
  <c r="G71" i="80"/>
  <c r="F71" i="80"/>
  <c r="E71" i="80"/>
  <c r="D71" i="80"/>
  <c r="C71" i="80"/>
  <c r="U70" i="80"/>
  <c r="V70" i="80" s="1"/>
  <c r="R70" i="80"/>
  <c r="O70" i="80"/>
  <c r="U69" i="80"/>
  <c r="V69" i="80" s="1"/>
  <c r="R69" i="80"/>
  <c r="O69" i="80"/>
  <c r="U68" i="80"/>
  <c r="V68" i="80" s="1"/>
  <c r="R68" i="80"/>
  <c r="O68" i="80"/>
  <c r="U67" i="80"/>
  <c r="V67" i="80" s="1"/>
  <c r="R67" i="80"/>
  <c r="O67" i="80"/>
  <c r="U66" i="80"/>
  <c r="V66" i="80" s="1"/>
  <c r="R66" i="80"/>
  <c r="O66" i="80"/>
  <c r="U65" i="80"/>
  <c r="V65" i="80" s="1"/>
  <c r="R65" i="80"/>
  <c r="O65" i="80"/>
  <c r="U64" i="80"/>
  <c r="V64" i="80" s="1"/>
  <c r="R64" i="80"/>
  <c r="O64" i="80"/>
  <c r="N62" i="80"/>
  <c r="M62" i="80"/>
  <c r="L62" i="80"/>
  <c r="K62" i="80"/>
  <c r="J62" i="80"/>
  <c r="I62" i="80"/>
  <c r="H62" i="80"/>
  <c r="G62" i="80"/>
  <c r="F62" i="80"/>
  <c r="E62" i="80"/>
  <c r="D62" i="80"/>
  <c r="C62" i="80"/>
  <c r="U61" i="80"/>
  <c r="V61" i="80" s="1"/>
  <c r="R61" i="80"/>
  <c r="O61" i="80"/>
  <c r="U60" i="80"/>
  <c r="V60" i="80" s="1"/>
  <c r="R60" i="80"/>
  <c r="O60" i="80"/>
  <c r="V59" i="80"/>
  <c r="U59" i="80"/>
  <c r="R59" i="80"/>
  <c r="O59" i="80"/>
  <c r="V58" i="80"/>
  <c r="U58" i="80"/>
  <c r="R58" i="80"/>
  <c r="O58" i="80"/>
  <c r="V57" i="80"/>
  <c r="U57" i="80"/>
  <c r="R57" i="80"/>
  <c r="O57" i="80"/>
  <c r="V56" i="80"/>
  <c r="U56" i="80"/>
  <c r="R56" i="80"/>
  <c r="O56" i="80"/>
  <c r="U55" i="80"/>
  <c r="V55" i="80" s="1"/>
  <c r="R55" i="80"/>
  <c r="O55" i="80"/>
  <c r="U54" i="80"/>
  <c r="V54" i="80" s="1"/>
  <c r="R54" i="80"/>
  <c r="O54" i="80"/>
  <c r="A54" i="80"/>
  <c r="A55" i="80" s="1"/>
  <c r="A56" i="80" s="1"/>
  <c r="A57" i="80" s="1"/>
  <c r="A58" i="80" s="1"/>
  <c r="A59" i="80" s="1"/>
  <c r="A60" i="80" s="1"/>
  <c r="A61" i="80" s="1"/>
  <c r="A62" i="80" s="1"/>
  <c r="A63" i="80" s="1"/>
  <c r="A64" i="80" s="1"/>
  <c r="A65" i="80" s="1"/>
  <c r="A66" i="80" s="1"/>
  <c r="A67" i="80" s="1"/>
  <c r="A68" i="80" s="1"/>
  <c r="A69" i="80" s="1"/>
  <c r="A70" i="80" s="1"/>
  <c r="A71" i="80" s="1"/>
  <c r="A72" i="80" s="1"/>
  <c r="A73" i="80" s="1"/>
  <c r="A74" i="80" s="1"/>
  <c r="A75" i="80" s="1"/>
  <c r="A76" i="80" s="1"/>
  <c r="A77" i="80" s="1"/>
  <c r="A78" i="80" s="1"/>
  <c r="A79" i="80" s="1"/>
  <c r="A80" i="80" s="1"/>
  <c r="A81" i="80" s="1"/>
  <c r="A82" i="80" s="1"/>
  <c r="A83" i="80" s="1"/>
  <c r="A84" i="80" s="1"/>
  <c r="A85" i="80" s="1"/>
  <c r="A86" i="80" s="1"/>
  <c r="A87" i="80" s="1"/>
  <c r="A88" i="80" s="1"/>
  <c r="A89" i="80" s="1"/>
  <c r="A90" i="80" s="1"/>
  <c r="A91" i="80" s="1"/>
  <c r="A92" i="80" s="1"/>
  <c r="A93" i="80" s="1"/>
  <c r="A94" i="80" s="1"/>
  <c r="A95" i="80" s="1"/>
  <c r="A96" i="80" s="1"/>
  <c r="A97" i="80" s="1"/>
  <c r="A98" i="80" s="1"/>
  <c r="A99" i="80" s="1"/>
  <c r="A100" i="80" s="1"/>
  <c r="A101" i="80" s="1"/>
  <c r="A102" i="80" s="1"/>
  <c r="A103" i="80" s="1"/>
  <c r="A104" i="80" s="1"/>
  <c r="A105" i="80" s="1"/>
  <c r="A106" i="80" s="1"/>
  <c r="A107" i="80" s="1"/>
  <c r="A108" i="80" s="1"/>
  <c r="A109" i="80" s="1"/>
  <c r="A110" i="80" s="1"/>
  <c r="A111" i="80" s="1"/>
  <c r="A112" i="80" s="1"/>
  <c r="A113" i="80" s="1"/>
  <c r="A114" i="80" s="1"/>
  <c r="A115" i="80" s="1"/>
  <c r="A116" i="80" s="1"/>
  <c r="A117" i="80" s="1"/>
  <c r="A118" i="80" s="1"/>
  <c r="A119" i="80" s="1"/>
  <c r="A120" i="80" s="1"/>
  <c r="A121" i="80" s="1"/>
  <c r="A122" i="80" s="1"/>
  <c r="A123" i="80" s="1"/>
  <c r="A124" i="80" s="1"/>
  <c r="A125" i="80" s="1"/>
  <c r="A126" i="80" s="1"/>
  <c r="A127" i="80" s="1"/>
  <c r="A128" i="80" s="1"/>
  <c r="A129" i="80" s="1"/>
  <c r="A130" i="80" s="1"/>
  <c r="A131" i="80" s="1"/>
  <c r="A132" i="80" s="1"/>
  <c r="A133" i="80" s="1"/>
  <c r="A134" i="80" s="1"/>
  <c r="A135" i="80" s="1"/>
  <c r="A136" i="80" s="1"/>
  <c r="A137" i="80" s="1"/>
  <c r="A138" i="80" s="1"/>
  <c r="A139" i="80" s="1"/>
  <c r="A140" i="80" s="1"/>
  <c r="A141" i="80" s="1"/>
  <c r="A142" i="80" s="1"/>
  <c r="A143" i="80" s="1"/>
  <c r="A144" i="80" s="1"/>
  <c r="A145" i="80" s="1"/>
  <c r="A146" i="80" s="1"/>
  <c r="A147" i="80" s="1"/>
  <c r="A148" i="80" s="1"/>
  <c r="A149" i="80" s="1"/>
  <c r="A150" i="80" s="1"/>
  <c r="A151" i="80" s="1"/>
  <c r="A152" i="80" s="1"/>
  <c r="A153" i="80" s="1"/>
  <c r="A154" i="80" s="1"/>
  <c r="A155" i="80" s="1"/>
  <c r="A156" i="80" s="1"/>
  <c r="A157" i="80" s="1"/>
  <c r="A158" i="80" s="1"/>
  <c r="A159" i="80" s="1"/>
  <c r="A160" i="80" s="1"/>
  <c r="A161" i="80" s="1"/>
  <c r="A162" i="80" s="1"/>
  <c r="A163" i="80" s="1"/>
  <c r="A164" i="80" s="1"/>
  <c r="A165" i="80" s="1"/>
  <c r="A166" i="80" s="1"/>
  <c r="A167" i="80" s="1"/>
  <c r="A168" i="80" s="1"/>
  <c r="A169" i="80" s="1"/>
  <c r="A170" i="80" s="1"/>
  <c r="A171" i="80" s="1"/>
  <c r="A172" i="80" s="1"/>
  <c r="A173" i="80" s="1"/>
  <c r="A174" i="80" s="1"/>
  <c r="A175" i="80" s="1"/>
  <c r="A176" i="80" s="1"/>
  <c r="A177" i="80" s="1"/>
  <c r="A178" i="80" s="1"/>
  <c r="A179" i="80" s="1"/>
  <c r="A180" i="80" s="1"/>
  <c r="A181" i="80" s="1"/>
  <c r="A182" i="80" s="1"/>
  <c r="A183" i="80" s="1"/>
  <c r="A184" i="80" s="1"/>
  <c r="A185" i="80" s="1"/>
  <c r="A186" i="80" s="1"/>
  <c r="A187" i="80" s="1"/>
  <c r="A188" i="80" s="1"/>
  <c r="A189" i="80" s="1"/>
  <c r="A190" i="80" s="1"/>
  <c r="A191" i="80" s="1"/>
  <c r="A192" i="80" s="1"/>
  <c r="A193" i="80" s="1"/>
  <c r="A194" i="80" s="1"/>
  <c r="A195" i="80" s="1"/>
  <c r="A196" i="80" s="1"/>
  <c r="A197" i="80" s="1"/>
  <c r="A198" i="80" s="1"/>
  <c r="A199" i="80" s="1"/>
  <c r="A200" i="80" s="1"/>
  <c r="A201" i="80" s="1"/>
  <c r="A202" i="80" s="1"/>
  <c r="A203" i="80" s="1"/>
  <c r="A204" i="80" s="1"/>
  <c r="A205" i="80" s="1"/>
  <c r="A206" i="80" s="1"/>
  <c r="A207" i="80" s="1"/>
  <c r="A208" i="80" s="1"/>
  <c r="A209" i="80" s="1"/>
  <c r="A210" i="80" s="1"/>
  <c r="A211" i="80" s="1"/>
  <c r="A212" i="80" s="1"/>
  <c r="A213" i="80" s="1"/>
  <c r="A214" i="80" s="1"/>
  <c r="A215" i="80" s="1"/>
  <c r="A216" i="80" s="1"/>
  <c r="A217" i="80" s="1"/>
  <c r="A218" i="80" s="1"/>
  <c r="A219" i="80" s="1"/>
  <c r="A220" i="80" s="1"/>
  <c r="A221" i="80" s="1"/>
  <c r="A222" i="80" s="1"/>
  <c r="A223" i="80" s="1"/>
  <c r="A224" i="80" s="1"/>
  <c r="A225" i="80" s="1"/>
  <c r="U53" i="80"/>
  <c r="V53" i="80" s="1"/>
  <c r="R53" i="80"/>
  <c r="O53" i="80"/>
  <c r="U52" i="80"/>
  <c r="V52" i="80" s="1"/>
  <c r="R52" i="80"/>
  <c r="O52" i="80"/>
  <c r="V51" i="80"/>
  <c r="U51" i="80"/>
  <c r="R51" i="80"/>
  <c r="O51" i="80"/>
  <c r="U50" i="80"/>
  <c r="V50" i="80" s="1"/>
  <c r="R50" i="80"/>
  <c r="O50" i="80"/>
  <c r="V49" i="80"/>
  <c r="U49" i="80"/>
  <c r="R49" i="80"/>
  <c r="O49" i="80"/>
  <c r="U48" i="80"/>
  <c r="V48" i="80" s="1"/>
  <c r="R48" i="80"/>
  <c r="O48" i="80"/>
  <c r="U47" i="80"/>
  <c r="V47" i="80" s="1"/>
  <c r="R47" i="80"/>
  <c r="O47" i="80"/>
  <c r="U46" i="80"/>
  <c r="V46" i="80" s="1"/>
  <c r="R46" i="80"/>
  <c r="O46" i="80"/>
  <c r="U45" i="80"/>
  <c r="V45" i="80" s="1"/>
  <c r="R45" i="80"/>
  <c r="O45" i="80"/>
  <c r="U44" i="80"/>
  <c r="V44" i="80" s="1"/>
  <c r="R44" i="80"/>
  <c r="O44" i="80"/>
  <c r="U43" i="80"/>
  <c r="V43" i="80" s="1"/>
  <c r="R43" i="80"/>
  <c r="O43" i="80"/>
  <c r="V42" i="80"/>
  <c r="U42" i="80"/>
  <c r="R42" i="80"/>
  <c r="O42" i="80"/>
  <c r="U41" i="80"/>
  <c r="V41" i="80" s="1"/>
  <c r="R41" i="80"/>
  <c r="O41" i="80"/>
  <c r="V40" i="80"/>
  <c r="U40" i="80"/>
  <c r="R40" i="80"/>
  <c r="O40" i="80"/>
  <c r="U39" i="80"/>
  <c r="V39" i="80" s="1"/>
  <c r="R39" i="80"/>
  <c r="O39" i="80"/>
  <c r="U38" i="80"/>
  <c r="V38" i="80" s="1"/>
  <c r="R38" i="80"/>
  <c r="O38" i="80"/>
  <c r="U37" i="80"/>
  <c r="V37" i="80" s="1"/>
  <c r="R37" i="80"/>
  <c r="O37" i="80"/>
  <c r="U36" i="80"/>
  <c r="V36" i="80" s="1"/>
  <c r="R36" i="80"/>
  <c r="O36" i="80"/>
  <c r="V35" i="80"/>
  <c r="U35" i="80"/>
  <c r="R35" i="80"/>
  <c r="O35" i="80"/>
  <c r="U34" i="80"/>
  <c r="V34" i="80" s="1"/>
  <c r="R34" i="80"/>
  <c r="O34" i="80"/>
  <c r="V33" i="80"/>
  <c r="U33" i="80"/>
  <c r="R33" i="80"/>
  <c r="O33" i="80"/>
  <c r="U32" i="80"/>
  <c r="V32" i="80" s="1"/>
  <c r="R32" i="80"/>
  <c r="O32" i="80"/>
  <c r="U31" i="80"/>
  <c r="V31" i="80" s="1"/>
  <c r="R31" i="80"/>
  <c r="O31" i="80"/>
  <c r="U30" i="80"/>
  <c r="V30" i="80" s="1"/>
  <c r="R30" i="80"/>
  <c r="O30" i="80"/>
  <c r="U29" i="80"/>
  <c r="V29" i="80" s="1"/>
  <c r="R29" i="80"/>
  <c r="O29" i="80"/>
  <c r="U28" i="80"/>
  <c r="V28" i="80" s="1"/>
  <c r="R28" i="80"/>
  <c r="O28" i="80"/>
  <c r="U27" i="80"/>
  <c r="V27" i="80" s="1"/>
  <c r="R27" i="80"/>
  <c r="O27" i="80"/>
  <c r="V26" i="80"/>
  <c r="U26" i="80"/>
  <c r="R26" i="80"/>
  <c r="O26" i="80"/>
  <c r="N24" i="80"/>
  <c r="M24" i="80"/>
  <c r="L24" i="80"/>
  <c r="K24" i="80"/>
  <c r="J24" i="80"/>
  <c r="I24" i="80"/>
  <c r="H24" i="80"/>
  <c r="G24" i="80"/>
  <c r="F24" i="80"/>
  <c r="E24" i="80"/>
  <c r="D24" i="80"/>
  <c r="C24" i="80"/>
  <c r="U23" i="80"/>
  <c r="V23" i="80" s="1"/>
  <c r="R23" i="80"/>
  <c r="O23" i="80"/>
  <c r="U22" i="80"/>
  <c r="V22" i="80" s="1"/>
  <c r="R22" i="80"/>
  <c r="O22" i="80"/>
  <c r="U21" i="80"/>
  <c r="V21" i="80" s="1"/>
  <c r="R21" i="80"/>
  <c r="O21" i="80"/>
  <c r="V20" i="80"/>
  <c r="U20" i="80"/>
  <c r="R20" i="80"/>
  <c r="O20" i="80"/>
  <c r="U19" i="80"/>
  <c r="V19" i="80" s="1"/>
  <c r="R19" i="80"/>
  <c r="O19" i="80"/>
  <c r="V18" i="80"/>
  <c r="U18" i="80"/>
  <c r="R18" i="80"/>
  <c r="O18" i="80"/>
  <c r="U17" i="80"/>
  <c r="V17" i="80" s="1"/>
  <c r="R17" i="80"/>
  <c r="O17" i="80"/>
  <c r="N15" i="80"/>
  <c r="N100" i="80" s="1"/>
  <c r="M15" i="80"/>
  <c r="L15" i="80"/>
  <c r="K15" i="80"/>
  <c r="J15" i="80"/>
  <c r="I15" i="80"/>
  <c r="H15" i="80"/>
  <c r="G15" i="80"/>
  <c r="G100" i="80" s="1"/>
  <c r="F15" i="80"/>
  <c r="E15" i="80"/>
  <c r="D15" i="80"/>
  <c r="C15" i="80"/>
  <c r="U14" i="80"/>
  <c r="V14" i="80" s="1"/>
  <c r="R14" i="80"/>
  <c r="O14" i="80"/>
  <c r="V13" i="80"/>
  <c r="U13" i="80"/>
  <c r="R13" i="80"/>
  <c r="O13" i="80"/>
  <c r="U12" i="80"/>
  <c r="V12" i="80" s="1"/>
  <c r="R12" i="80"/>
  <c r="O12" i="80"/>
  <c r="V11" i="80"/>
  <c r="U11" i="80"/>
  <c r="R11" i="80"/>
  <c r="O11" i="80"/>
  <c r="U10" i="80"/>
  <c r="V10" i="80" s="1"/>
  <c r="R10" i="80"/>
  <c r="O10" i="80"/>
  <c r="U9" i="80"/>
  <c r="V9" i="80" s="1"/>
  <c r="R9" i="80"/>
  <c r="O9" i="80"/>
  <c r="U8" i="80"/>
  <c r="V8" i="80" s="1"/>
  <c r="R8" i="80"/>
  <c r="O8" i="80"/>
  <c r="U7" i="80"/>
  <c r="V7" i="80" s="1"/>
  <c r="R7" i="80"/>
  <c r="O7" i="80"/>
  <c r="U6" i="80"/>
  <c r="V6" i="80" s="1"/>
  <c r="R6" i="80"/>
  <c r="O6" i="80"/>
  <c r="U5" i="80"/>
  <c r="V5" i="80" s="1"/>
  <c r="R5" i="80"/>
  <c r="O5" i="80"/>
  <c r="V4" i="80"/>
  <c r="U4" i="80"/>
  <c r="R4" i="80"/>
  <c r="O4" i="80"/>
  <c r="A3" i="80"/>
  <c r="A4" i="80" s="1"/>
  <c r="A5" i="80" s="1"/>
  <c r="A6" i="80" s="1"/>
  <c r="A7" i="80" s="1"/>
  <c r="A8" i="80" s="1"/>
  <c r="A9" i="80" s="1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A45" i="80" s="1"/>
  <c r="A46" i="80" s="1"/>
  <c r="A47" i="80" s="1"/>
  <c r="A48" i="80" s="1"/>
  <c r="A49" i="80" s="1"/>
  <c r="A50" i="80" s="1"/>
  <c r="A51" i="80" s="1"/>
  <c r="A52" i="80" s="1"/>
  <c r="A53" i="80" s="1"/>
  <c r="O268" i="81"/>
  <c r="R268" i="81" s="1"/>
  <c r="R267" i="81"/>
  <c r="O267" i="81"/>
  <c r="R266" i="81"/>
  <c r="O266" i="81"/>
  <c r="O265" i="81"/>
  <c r="R265" i="81" s="1"/>
  <c r="O264" i="81"/>
  <c r="R264" i="81" s="1"/>
  <c r="O263" i="81"/>
  <c r="R263" i="81" s="1"/>
  <c r="J253" i="81"/>
  <c r="N252" i="81"/>
  <c r="M252" i="81"/>
  <c r="L252" i="81"/>
  <c r="K252" i="81"/>
  <c r="J252" i="81"/>
  <c r="I252" i="81"/>
  <c r="H252" i="81"/>
  <c r="H253" i="81" s="1"/>
  <c r="G252" i="81"/>
  <c r="F252" i="81"/>
  <c r="E252" i="81"/>
  <c r="D252" i="81"/>
  <c r="C252" i="81"/>
  <c r="N251" i="81"/>
  <c r="N253" i="81" s="1"/>
  <c r="M251" i="81"/>
  <c r="M253" i="81" s="1"/>
  <c r="L251" i="81"/>
  <c r="L253" i="81" s="1"/>
  <c r="K251" i="81"/>
  <c r="J251" i="81"/>
  <c r="I251" i="81"/>
  <c r="H251" i="81"/>
  <c r="G251" i="81"/>
  <c r="F251" i="81"/>
  <c r="F253" i="81" s="1"/>
  <c r="E251" i="81"/>
  <c r="E253" i="81" s="1"/>
  <c r="D251" i="81"/>
  <c r="D253" i="81" s="1"/>
  <c r="C251" i="81"/>
  <c r="N247" i="81"/>
  <c r="M247" i="81"/>
  <c r="L247" i="81"/>
  <c r="K247" i="81"/>
  <c r="J247" i="81"/>
  <c r="I247" i="81"/>
  <c r="H247" i="81"/>
  <c r="G247" i="81"/>
  <c r="F247" i="81"/>
  <c r="E247" i="81"/>
  <c r="D247" i="81"/>
  <c r="C247" i="81"/>
  <c r="N246" i="81"/>
  <c r="M246" i="81"/>
  <c r="L246" i="81"/>
  <c r="K246" i="81"/>
  <c r="J246" i="81"/>
  <c r="I246" i="81"/>
  <c r="H246" i="81"/>
  <c r="G246" i="81"/>
  <c r="F246" i="81"/>
  <c r="E246" i="81"/>
  <c r="D246" i="81"/>
  <c r="C246" i="81"/>
  <c r="N245" i="81"/>
  <c r="M245" i="81"/>
  <c r="L245" i="81"/>
  <c r="K245" i="81"/>
  <c r="J245" i="81"/>
  <c r="I245" i="81"/>
  <c r="H245" i="81"/>
  <c r="G245" i="81"/>
  <c r="F245" i="81"/>
  <c r="E245" i="81"/>
  <c r="D245" i="81"/>
  <c r="C245" i="81"/>
  <c r="N244" i="81"/>
  <c r="M244" i="81"/>
  <c r="L244" i="81"/>
  <c r="K244" i="81"/>
  <c r="J244" i="81"/>
  <c r="I244" i="81"/>
  <c r="H244" i="81"/>
  <c r="G244" i="81"/>
  <c r="F244" i="81"/>
  <c r="E244" i="81"/>
  <c r="D244" i="81"/>
  <c r="C244" i="81"/>
  <c r="N243" i="81"/>
  <c r="M243" i="81"/>
  <c r="L243" i="81"/>
  <c r="K243" i="81"/>
  <c r="J243" i="81"/>
  <c r="I243" i="81"/>
  <c r="H243" i="81"/>
  <c r="G243" i="81"/>
  <c r="G248" i="81" s="1"/>
  <c r="F243" i="81"/>
  <c r="E243" i="81"/>
  <c r="D243" i="81"/>
  <c r="C243" i="81"/>
  <c r="N242" i="81"/>
  <c r="M242" i="81"/>
  <c r="M248" i="81" s="1"/>
  <c r="L242" i="81"/>
  <c r="K242" i="81"/>
  <c r="K248" i="81" s="1"/>
  <c r="J242" i="81"/>
  <c r="I242" i="81"/>
  <c r="H242" i="81"/>
  <c r="G242" i="81"/>
  <c r="F242" i="81"/>
  <c r="F248" i="81" s="1"/>
  <c r="E242" i="81"/>
  <c r="E248" i="81" s="1"/>
  <c r="D242" i="81"/>
  <c r="C242" i="81"/>
  <c r="C248" i="81" s="1"/>
  <c r="N234" i="81"/>
  <c r="M234" i="81"/>
  <c r="L234" i="81"/>
  <c r="K234" i="81"/>
  <c r="K235" i="81" s="1"/>
  <c r="J234" i="81"/>
  <c r="I234" i="81"/>
  <c r="H234" i="81"/>
  <c r="G234" i="81"/>
  <c r="F234" i="81"/>
  <c r="E234" i="81"/>
  <c r="D234" i="81"/>
  <c r="C234" i="81"/>
  <c r="N233" i="81"/>
  <c r="M233" i="81"/>
  <c r="L233" i="81"/>
  <c r="K233" i="81"/>
  <c r="J233" i="81"/>
  <c r="I233" i="81"/>
  <c r="H233" i="81"/>
  <c r="H235" i="81" s="1"/>
  <c r="G233" i="81"/>
  <c r="G235" i="81" s="1"/>
  <c r="F233" i="81"/>
  <c r="E233" i="81"/>
  <c r="D233" i="81"/>
  <c r="C233" i="81"/>
  <c r="K231" i="81"/>
  <c r="F231" i="81"/>
  <c r="N230" i="81"/>
  <c r="M230" i="81"/>
  <c r="L230" i="81"/>
  <c r="K230" i="81"/>
  <c r="J230" i="81"/>
  <c r="I230" i="81"/>
  <c r="I231" i="81" s="1"/>
  <c r="H230" i="81"/>
  <c r="G230" i="81"/>
  <c r="F230" i="81"/>
  <c r="E230" i="81"/>
  <c r="D230" i="81"/>
  <c r="C230" i="81"/>
  <c r="N229" i="81"/>
  <c r="N231" i="81" s="1"/>
  <c r="M229" i="81"/>
  <c r="M231" i="81" s="1"/>
  <c r="L229" i="81"/>
  <c r="K229" i="81"/>
  <c r="J229" i="81"/>
  <c r="J231" i="81" s="1"/>
  <c r="I229" i="81"/>
  <c r="H229" i="81"/>
  <c r="G229" i="81"/>
  <c r="F229" i="81"/>
  <c r="E229" i="81"/>
  <c r="E231" i="81" s="1"/>
  <c r="D229" i="81"/>
  <c r="C229" i="81"/>
  <c r="C231" i="81" s="1"/>
  <c r="N228" i="81"/>
  <c r="M228" i="81"/>
  <c r="L228" i="81"/>
  <c r="K228" i="81"/>
  <c r="J228" i="81"/>
  <c r="I228" i="81"/>
  <c r="H228" i="81"/>
  <c r="G228" i="81"/>
  <c r="F228" i="81"/>
  <c r="E228" i="81"/>
  <c r="D228" i="81"/>
  <c r="C228" i="81"/>
  <c r="N224" i="81"/>
  <c r="M224" i="81"/>
  <c r="K224" i="81"/>
  <c r="F224" i="81"/>
  <c r="N223" i="81"/>
  <c r="M223" i="81"/>
  <c r="L223" i="81"/>
  <c r="L224" i="81" s="1"/>
  <c r="K223" i="81"/>
  <c r="J223" i="81"/>
  <c r="J224" i="81" s="1"/>
  <c r="I223" i="81"/>
  <c r="I224" i="81" s="1"/>
  <c r="H223" i="81"/>
  <c r="H224" i="81" s="1"/>
  <c r="G223" i="81"/>
  <c r="F223" i="81"/>
  <c r="E223" i="81"/>
  <c r="E224" i="81" s="1"/>
  <c r="D223" i="81"/>
  <c r="D224" i="81" s="1"/>
  <c r="C223" i="81"/>
  <c r="C224" i="81" s="1"/>
  <c r="L220" i="81"/>
  <c r="N219" i="81"/>
  <c r="M219" i="81"/>
  <c r="L219" i="81"/>
  <c r="K219" i="81"/>
  <c r="J219" i="81"/>
  <c r="I219" i="81"/>
  <c r="H219" i="81"/>
  <c r="G219" i="81"/>
  <c r="F219" i="81"/>
  <c r="E219" i="81"/>
  <c r="D219" i="81"/>
  <c r="C219" i="81"/>
  <c r="N218" i="81"/>
  <c r="M218" i="81"/>
  <c r="L218" i="81"/>
  <c r="K218" i="81"/>
  <c r="J218" i="81"/>
  <c r="I218" i="81"/>
  <c r="H218" i="81"/>
  <c r="G218" i="81"/>
  <c r="F218" i="81"/>
  <c r="E218" i="81"/>
  <c r="D218" i="81"/>
  <c r="C218" i="81"/>
  <c r="N217" i="81"/>
  <c r="M217" i="81"/>
  <c r="L217" i="81"/>
  <c r="K217" i="81"/>
  <c r="K220" i="81" s="1"/>
  <c r="J217" i="81"/>
  <c r="J220" i="81" s="1"/>
  <c r="I217" i="81"/>
  <c r="I220" i="81" s="1"/>
  <c r="H217" i="81"/>
  <c r="G217" i="81"/>
  <c r="F217" i="81"/>
  <c r="E217" i="81"/>
  <c r="D217" i="81"/>
  <c r="D220" i="81" s="1"/>
  <c r="C217" i="81"/>
  <c r="O216" i="81"/>
  <c r="N213" i="81"/>
  <c r="M213" i="81"/>
  <c r="L213" i="81"/>
  <c r="K213" i="81"/>
  <c r="J213" i="81"/>
  <c r="I213" i="81"/>
  <c r="H213" i="81"/>
  <c r="G213" i="81"/>
  <c r="F213" i="81"/>
  <c r="E213" i="81"/>
  <c r="D213" i="81"/>
  <c r="C213" i="81"/>
  <c r="N212" i="81"/>
  <c r="M212" i="81"/>
  <c r="L212" i="81"/>
  <c r="K212" i="81"/>
  <c r="J212" i="81"/>
  <c r="I212" i="81"/>
  <c r="H212" i="81"/>
  <c r="G212" i="81"/>
  <c r="F212" i="81"/>
  <c r="E212" i="81"/>
  <c r="D212" i="81"/>
  <c r="C212" i="81"/>
  <c r="N211" i="81"/>
  <c r="M211" i="81"/>
  <c r="L211" i="81"/>
  <c r="K211" i="81"/>
  <c r="J211" i="81"/>
  <c r="I211" i="81"/>
  <c r="H211" i="81"/>
  <c r="G211" i="81"/>
  <c r="F211" i="81"/>
  <c r="E211" i="81"/>
  <c r="D211" i="81"/>
  <c r="C211" i="81"/>
  <c r="O210" i="81"/>
  <c r="N209" i="81"/>
  <c r="M209" i="81"/>
  <c r="L209" i="81"/>
  <c r="K209" i="81"/>
  <c r="J209" i="81"/>
  <c r="I209" i="81"/>
  <c r="H209" i="81"/>
  <c r="G209" i="81"/>
  <c r="F209" i="81"/>
  <c r="E209" i="81"/>
  <c r="D209" i="81"/>
  <c r="C209" i="81"/>
  <c r="N208" i="81"/>
  <c r="M208" i="81"/>
  <c r="L208" i="81"/>
  <c r="K208" i="81"/>
  <c r="J208" i="81"/>
  <c r="I208" i="81"/>
  <c r="H208" i="81"/>
  <c r="G208" i="81"/>
  <c r="F208" i="81"/>
  <c r="E208" i="81"/>
  <c r="D208" i="81"/>
  <c r="C208" i="81"/>
  <c r="N207" i="81"/>
  <c r="M207" i="81"/>
  <c r="L207" i="81"/>
  <c r="K207" i="81"/>
  <c r="J207" i="81"/>
  <c r="I207" i="81"/>
  <c r="H207" i="81"/>
  <c r="G207" i="81"/>
  <c r="F207" i="81"/>
  <c r="E207" i="81"/>
  <c r="D207" i="81"/>
  <c r="C207" i="81"/>
  <c r="N206" i="81"/>
  <c r="M206" i="81"/>
  <c r="L206" i="81"/>
  <c r="K206" i="81"/>
  <c r="J206" i="81"/>
  <c r="I206" i="81"/>
  <c r="H206" i="81"/>
  <c r="G206" i="81"/>
  <c r="F206" i="81"/>
  <c r="E206" i="81"/>
  <c r="D206" i="81"/>
  <c r="C206" i="81"/>
  <c r="N205" i="81"/>
  <c r="M205" i="81"/>
  <c r="L205" i="81"/>
  <c r="K205" i="81"/>
  <c r="J205" i="81"/>
  <c r="I205" i="81"/>
  <c r="H205" i="81"/>
  <c r="G205" i="81"/>
  <c r="F205" i="81"/>
  <c r="E205" i="81"/>
  <c r="D205" i="81"/>
  <c r="C205" i="81"/>
  <c r="N204" i="81"/>
  <c r="M204" i="81"/>
  <c r="L204" i="81"/>
  <c r="K204" i="81"/>
  <c r="J204" i="81"/>
  <c r="I204" i="81"/>
  <c r="H204" i="81"/>
  <c r="G204" i="81"/>
  <c r="F204" i="81"/>
  <c r="E204" i="81"/>
  <c r="D204" i="81"/>
  <c r="C204" i="81"/>
  <c r="N203" i="81"/>
  <c r="M203" i="81"/>
  <c r="L203" i="81"/>
  <c r="K203" i="81"/>
  <c r="J203" i="81"/>
  <c r="I203" i="81"/>
  <c r="H203" i="81"/>
  <c r="G203" i="81"/>
  <c r="F203" i="81"/>
  <c r="E203" i="81"/>
  <c r="D203" i="81"/>
  <c r="C203" i="81"/>
  <c r="N202" i="81"/>
  <c r="M202" i="81"/>
  <c r="L202" i="81"/>
  <c r="K202" i="81"/>
  <c r="J202" i="81"/>
  <c r="I202" i="81"/>
  <c r="H202" i="81"/>
  <c r="G202" i="81"/>
  <c r="F202" i="81"/>
  <c r="E202" i="81"/>
  <c r="D202" i="81"/>
  <c r="C202" i="81"/>
  <c r="N201" i="81"/>
  <c r="M201" i="81"/>
  <c r="L201" i="81"/>
  <c r="K201" i="81"/>
  <c r="J201" i="81"/>
  <c r="I201" i="81"/>
  <c r="H201" i="81"/>
  <c r="G201" i="81"/>
  <c r="F201" i="81"/>
  <c r="E201" i="81"/>
  <c r="D201" i="81"/>
  <c r="C201" i="81"/>
  <c r="N200" i="81"/>
  <c r="M200" i="81"/>
  <c r="L200" i="81"/>
  <c r="K200" i="81"/>
  <c r="J200" i="81"/>
  <c r="I200" i="81"/>
  <c r="H200" i="81"/>
  <c r="G200" i="81"/>
  <c r="G214" i="81" s="1"/>
  <c r="F200" i="81"/>
  <c r="E200" i="81"/>
  <c r="D200" i="81"/>
  <c r="C200" i="81"/>
  <c r="N199" i="81"/>
  <c r="M199" i="81"/>
  <c r="M214" i="81" s="1"/>
  <c r="L199" i="81"/>
  <c r="K199" i="81"/>
  <c r="J199" i="81"/>
  <c r="I199" i="81"/>
  <c r="H199" i="81"/>
  <c r="G199" i="81"/>
  <c r="F199" i="81"/>
  <c r="E199" i="81"/>
  <c r="E214" i="81" s="1"/>
  <c r="D199" i="81"/>
  <c r="C199" i="81"/>
  <c r="N196" i="81"/>
  <c r="M196" i="81"/>
  <c r="L196" i="81"/>
  <c r="K196" i="81"/>
  <c r="J196" i="81"/>
  <c r="I196" i="81"/>
  <c r="H196" i="81"/>
  <c r="G196" i="81"/>
  <c r="F196" i="81"/>
  <c r="E196" i="81"/>
  <c r="D196" i="81"/>
  <c r="C196" i="81"/>
  <c r="N195" i="81"/>
  <c r="M195" i="81"/>
  <c r="L195" i="81"/>
  <c r="K195" i="81"/>
  <c r="J195" i="81"/>
  <c r="I195" i="81"/>
  <c r="H195" i="81"/>
  <c r="G195" i="81"/>
  <c r="F195" i="81"/>
  <c r="E195" i="81"/>
  <c r="D195" i="81"/>
  <c r="C195" i="81"/>
  <c r="N194" i="81"/>
  <c r="M194" i="81"/>
  <c r="L194" i="81"/>
  <c r="K194" i="81"/>
  <c r="J194" i="81"/>
  <c r="I194" i="81"/>
  <c r="H194" i="81"/>
  <c r="G194" i="81"/>
  <c r="F194" i="81"/>
  <c r="E194" i="81"/>
  <c r="D194" i="81"/>
  <c r="C194" i="81"/>
  <c r="N193" i="81"/>
  <c r="M193" i="81"/>
  <c r="L193" i="81"/>
  <c r="K193" i="81"/>
  <c r="J193" i="81"/>
  <c r="I193" i="81"/>
  <c r="H193" i="81"/>
  <c r="G193" i="81"/>
  <c r="F193" i="81"/>
  <c r="E193" i="81"/>
  <c r="D193" i="81"/>
  <c r="C193" i="81"/>
  <c r="N192" i="81"/>
  <c r="M192" i="81"/>
  <c r="L192" i="81"/>
  <c r="K192" i="81"/>
  <c r="J192" i="81"/>
  <c r="I192" i="81"/>
  <c r="H192" i="81"/>
  <c r="G192" i="81"/>
  <c r="F192" i="81"/>
  <c r="E192" i="81"/>
  <c r="D192" i="81"/>
  <c r="C192" i="81"/>
  <c r="N191" i="81"/>
  <c r="M191" i="81"/>
  <c r="L191" i="81"/>
  <c r="K191" i="81"/>
  <c r="J191" i="81"/>
  <c r="I191" i="81"/>
  <c r="H191" i="81"/>
  <c r="G191" i="81"/>
  <c r="F191" i="81"/>
  <c r="E191" i="81"/>
  <c r="D191" i="81"/>
  <c r="C191" i="81"/>
  <c r="N190" i="81"/>
  <c r="M190" i="81"/>
  <c r="L190" i="81"/>
  <c r="K190" i="81"/>
  <c r="J190" i="81"/>
  <c r="J197" i="81" s="1"/>
  <c r="I190" i="81"/>
  <c r="I197" i="81" s="1"/>
  <c r="H190" i="81"/>
  <c r="G190" i="81"/>
  <c r="F190" i="81"/>
  <c r="E190" i="81"/>
  <c r="D190" i="81"/>
  <c r="C190" i="81"/>
  <c r="J188" i="81"/>
  <c r="N187" i="81"/>
  <c r="M187" i="81"/>
  <c r="L187" i="81"/>
  <c r="K187" i="81"/>
  <c r="J187" i="81"/>
  <c r="I187" i="81"/>
  <c r="H187" i="81"/>
  <c r="G187" i="81"/>
  <c r="F187" i="81"/>
  <c r="E187" i="81"/>
  <c r="D187" i="81"/>
  <c r="C187" i="81"/>
  <c r="N186" i="81"/>
  <c r="M186" i="81"/>
  <c r="L186" i="81"/>
  <c r="K186" i="81"/>
  <c r="J186" i="81"/>
  <c r="I186" i="81"/>
  <c r="H186" i="81"/>
  <c r="G186" i="81"/>
  <c r="F186" i="81"/>
  <c r="E186" i="81"/>
  <c r="D186" i="81"/>
  <c r="C186" i="81"/>
  <c r="O186" i="81" s="1"/>
  <c r="N185" i="81"/>
  <c r="M185" i="81"/>
  <c r="L185" i="81"/>
  <c r="K185" i="81"/>
  <c r="J185" i="81"/>
  <c r="I185" i="81"/>
  <c r="H185" i="81"/>
  <c r="G185" i="81"/>
  <c r="F185" i="81"/>
  <c r="E185" i="81"/>
  <c r="D185" i="81"/>
  <c r="C185" i="81"/>
  <c r="N184" i="81"/>
  <c r="M184" i="81"/>
  <c r="L184" i="81"/>
  <c r="K184" i="81"/>
  <c r="J184" i="81"/>
  <c r="I184" i="81"/>
  <c r="H184" i="81"/>
  <c r="G184" i="81"/>
  <c r="F184" i="81"/>
  <c r="E184" i="81"/>
  <c r="D184" i="81"/>
  <c r="C184" i="81"/>
  <c r="O184" i="81" s="1"/>
  <c r="N183" i="81"/>
  <c r="M183" i="81"/>
  <c r="L183" i="81"/>
  <c r="K183" i="81"/>
  <c r="J183" i="81"/>
  <c r="I183" i="81"/>
  <c r="H183" i="81"/>
  <c r="G183" i="81"/>
  <c r="F183" i="81"/>
  <c r="E183" i="81"/>
  <c r="D183" i="81"/>
  <c r="C183" i="81"/>
  <c r="N182" i="81"/>
  <c r="M182" i="81"/>
  <c r="L182" i="81"/>
  <c r="K182" i="81"/>
  <c r="J182" i="81"/>
  <c r="I182" i="81"/>
  <c r="H182" i="81"/>
  <c r="G182" i="81"/>
  <c r="F182" i="81"/>
  <c r="E182" i="81"/>
  <c r="D182" i="81"/>
  <c r="C182" i="81"/>
  <c r="O182" i="81" s="1"/>
  <c r="N181" i="81"/>
  <c r="M181" i="81"/>
  <c r="L181" i="81"/>
  <c r="K181" i="81"/>
  <c r="J181" i="81"/>
  <c r="I181" i="81"/>
  <c r="H181" i="81"/>
  <c r="G181" i="81"/>
  <c r="F181" i="81"/>
  <c r="E181" i="81"/>
  <c r="D181" i="81"/>
  <c r="C181" i="81"/>
  <c r="N180" i="81"/>
  <c r="M180" i="81"/>
  <c r="L180" i="81"/>
  <c r="K180" i="81"/>
  <c r="J180" i="81"/>
  <c r="I180" i="81"/>
  <c r="H180" i="81"/>
  <c r="G180" i="81"/>
  <c r="F180" i="81"/>
  <c r="E180" i="81"/>
  <c r="D180" i="81"/>
  <c r="C180" i="81"/>
  <c r="O180" i="81" s="1"/>
  <c r="N179" i="81"/>
  <c r="M179" i="81"/>
  <c r="L179" i="81"/>
  <c r="K179" i="81"/>
  <c r="J179" i="81"/>
  <c r="I179" i="81"/>
  <c r="H179" i="81"/>
  <c r="G179" i="81"/>
  <c r="F179" i="81"/>
  <c r="E179" i="81"/>
  <c r="D179" i="81"/>
  <c r="C179" i="81"/>
  <c r="N178" i="81"/>
  <c r="M178" i="81"/>
  <c r="L178" i="81"/>
  <c r="K178" i="81"/>
  <c r="J178" i="81"/>
  <c r="I178" i="81"/>
  <c r="H178" i="81"/>
  <c r="G178" i="81"/>
  <c r="F178" i="81"/>
  <c r="E178" i="81"/>
  <c r="D178" i="81"/>
  <c r="C178" i="81"/>
  <c r="N177" i="81"/>
  <c r="M177" i="81"/>
  <c r="L177" i="81"/>
  <c r="K177" i="81"/>
  <c r="J177" i="81"/>
  <c r="I177" i="81"/>
  <c r="H177" i="81"/>
  <c r="G177" i="81"/>
  <c r="F177" i="81"/>
  <c r="E177" i="81"/>
  <c r="D177" i="81"/>
  <c r="C177" i="81"/>
  <c r="N176" i="81"/>
  <c r="M176" i="81"/>
  <c r="L176" i="81"/>
  <c r="K176" i="81"/>
  <c r="J176" i="81"/>
  <c r="I176" i="81"/>
  <c r="H176" i="81"/>
  <c r="G176" i="81"/>
  <c r="F176" i="81"/>
  <c r="E176" i="81"/>
  <c r="D176" i="81"/>
  <c r="C176" i="81"/>
  <c r="N175" i="81"/>
  <c r="M175" i="81"/>
  <c r="L175" i="81"/>
  <c r="K175" i="81"/>
  <c r="J175" i="81"/>
  <c r="I175" i="81"/>
  <c r="H175" i="81"/>
  <c r="G175" i="81"/>
  <c r="F175" i="81"/>
  <c r="E175" i="81"/>
  <c r="D175" i="81"/>
  <c r="C175" i="81"/>
  <c r="N174" i="81"/>
  <c r="M174" i="81"/>
  <c r="L174" i="81"/>
  <c r="K174" i="81"/>
  <c r="J174" i="81"/>
  <c r="I174" i="81"/>
  <c r="H174" i="81"/>
  <c r="G174" i="81"/>
  <c r="F174" i="81"/>
  <c r="E174" i="81"/>
  <c r="D174" i="81"/>
  <c r="C174" i="81"/>
  <c r="N173" i="81"/>
  <c r="M173" i="81"/>
  <c r="L173" i="81"/>
  <c r="K173" i="81"/>
  <c r="J173" i="81"/>
  <c r="I173" i="81"/>
  <c r="H173" i="81"/>
  <c r="G173" i="81"/>
  <c r="F173" i="81"/>
  <c r="E173" i="81"/>
  <c r="D173" i="81"/>
  <c r="C173" i="81"/>
  <c r="N172" i="81"/>
  <c r="M172" i="81"/>
  <c r="L172" i="81"/>
  <c r="K172" i="81"/>
  <c r="J172" i="81"/>
  <c r="I172" i="81"/>
  <c r="H172" i="81"/>
  <c r="G172" i="81"/>
  <c r="F172" i="81"/>
  <c r="E172" i="81"/>
  <c r="D172" i="81"/>
  <c r="C172" i="81"/>
  <c r="O172" i="81" s="1"/>
  <c r="N171" i="81"/>
  <c r="M171" i="81"/>
  <c r="L171" i="81"/>
  <c r="K171" i="81"/>
  <c r="J171" i="81"/>
  <c r="I171" i="81"/>
  <c r="H171" i="81"/>
  <c r="G171" i="81"/>
  <c r="F171" i="81"/>
  <c r="E171" i="81"/>
  <c r="D171" i="81"/>
  <c r="C171" i="81"/>
  <c r="N170" i="81"/>
  <c r="M170" i="81"/>
  <c r="L170" i="81"/>
  <c r="K170" i="81"/>
  <c r="J170" i="81"/>
  <c r="I170" i="81"/>
  <c r="H170" i="81"/>
  <c r="G170" i="81"/>
  <c r="F170" i="81"/>
  <c r="E170" i="81"/>
  <c r="D170" i="81"/>
  <c r="C170" i="81"/>
  <c r="N169" i="81"/>
  <c r="M169" i="81"/>
  <c r="L169" i="81"/>
  <c r="K169" i="81"/>
  <c r="J169" i="81"/>
  <c r="I169" i="81"/>
  <c r="H169" i="81"/>
  <c r="G169" i="81"/>
  <c r="F169" i="81"/>
  <c r="E169" i="81"/>
  <c r="D169" i="81"/>
  <c r="C169" i="81"/>
  <c r="N168" i="81"/>
  <c r="M168" i="81"/>
  <c r="L168" i="81"/>
  <c r="K168" i="81"/>
  <c r="J168" i="81"/>
  <c r="I168" i="81"/>
  <c r="H168" i="81"/>
  <c r="G168" i="81"/>
  <c r="F168" i="81"/>
  <c r="E168" i="81"/>
  <c r="D168" i="81"/>
  <c r="C168" i="81"/>
  <c r="O168" i="81" s="1"/>
  <c r="N167" i="81"/>
  <c r="M167" i="81"/>
  <c r="L167" i="81"/>
  <c r="K167" i="81"/>
  <c r="J167" i="81"/>
  <c r="I167" i="81"/>
  <c r="H167" i="81"/>
  <c r="G167" i="81"/>
  <c r="F167" i="81"/>
  <c r="E167" i="81"/>
  <c r="D167" i="81"/>
  <c r="C167" i="81"/>
  <c r="N166" i="81"/>
  <c r="M166" i="81"/>
  <c r="L166" i="81"/>
  <c r="K166" i="81"/>
  <c r="J166" i="81"/>
  <c r="I166" i="81"/>
  <c r="H166" i="81"/>
  <c r="G166" i="81"/>
  <c r="F166" i="81"/>
  <c r="E166" i="81"/>
  <c r="D166" i="81"/>
  <c r="C166" i="81"/>
  <c r="N165" i="81"/>
  <c r="M165" i="81"/>
  <c r="L165" i="81"/>
  <c r="K165" i="81"/>
  <c r="J165" i="81"/>
  <c r="I165" i="81"/>
  <c r="H165" i="81"/>
  <c r="G165" i="81"/>
  <c r="F165" i="81"/>
  <c r="E165" i="81"/>
  <c r="D165" i="81"/>
  <c r="C165" i="81"/>
  <c r="N164" i="81"/>
  <c r="M164" i="81"/>
  <c r="L164" i="81"/>
  <c r="K164" i="81"/>
  <c r="J164" i="81"/>
  <c r="I164" i="81"/>
  <c r="H164" i="81"/>
  <c r="G164" i="81"/>
  <c r="F164" i="81"/>
  <c r="E164" i="81"/>
  <c r="D164" i="81"/>
  <c r="C164" i="81"/>
  <c r="O164" i="81" s="1"/>
  <c r="N163" i="81"/>
  <c r="M163" i="81"/>
  <c r="L163" i="81"/>
  <c r="K163" i="81"/>
  <c r="J163" i="81"/>
  <c r="I163" i="81"/>
  <c r="H163" i="81"/>
  <c r="G163" i="81"/>
  <c r="F163" i="81"/>
  <c r="E163" i="81"/>
  <c r="D163" i="81"/>
  <c r="C163" i="81"/>
  <c r="N162" i="81"/>
  <c r="M162" i="81"/>
  <c r="L162" i="81"/>
  <c r="K162" i="81"/>
  <c r="J162" i="81"/>
  <c r="I162" i="81"/>
  <c r="H162" i="81"/>
  <c r="G162" i="81"/>
  <c r="F162" i="81"/>
  <c r="E162" i="81"/>
  <c r="D162" i="81"/>
  <c r="C162" i="81"/>
  <c r="N161" i="81"/>
  <c r="M161" i="81"/>
  <c r="L161" i="81"/>
  <c r="K161" i="81"/>
  <c r="J161" i="81"/>
  <c r="I161" i="81"/>
  <c r="H161" i="81"/>
  <c r="G161" i="81"/>
  <c r="F161" i="81"/>
  <c r="E161" i="81"/>
  <c r="D161" i="81"/>
  <c r="C161" i="81"/>
  <c r="N160" i="81"/>
  <c r="M160" i="81"/>
  <c r="L160" i="81"/>
  <c r="K160" i="81"/>
  <c r="J160" i="81"/>
  <c r="I160" i="81"/>
  <c r="H160" i="81"/>
  <c r="G160" i="81"/>
  <c r="F160" i="81"/>
  <c r="E160" i="81"/>
  <c r="D160" i="81"/>
  <c r="C160" i="81"/>
  <c r="N159" i="81"/>
  <c r="M159" i="81"/>
  <c r="L159" i="81"/>
  <c r="K159" i="81"/>
  <c r="J159" i="81"/>
  <c r="I159" i="81"/>
  <c r="H159" i="81"/>
  <c r="G159" i="81"/>
  <c r="F159" i="81"/>
  <c r="E159" i="81"/>
  <c r="D159" i="81"/>
  <c r="C159" i="81"/>
  <c r="N158" i="81"/>
  <c r="M158" i="81"/>
  <c r="L158" i="81"/>
  <c r="K158" i="81"/>
  <c r="J158" i="81"/>
  <c r="I158" i="81"/>
  <c r="H158" i="81"/>
  <c r="G158" i="81"/>
  <c r="F158" i="81"/>
  <c r="E158" i="81"/>
  <c r="D158" i="81"/>
  <c r="C158" i="81"/>
  <c r="O158" i="81" s="1"/>
  <c r="N157" i="81"/>
  <c r="M157" i="81"/>
  <c r="L157" i="81"/>
  <c r="K157" i="81"/>
  <c r="J157" i="81"/>
  <c r="I157" i="81"/>
  <c r="H157" i="81"/>
  <c r="G157" i="81"/>
  <c r="F157" i="81"/>
  <c r="E157" i="81"/>
  <c r="D157" i="81"/>
  <c r="C157" i="81"/>
  <c r="N156" i="81"/>
  <c r="M156" i="81"/>
  <c r="L156" i="81"/>
  <c r="K156" i="81"/>
  <c r="J156" i="81"/>
  <c r="I156" i="81"/>
  <c r="H156" i="81"/>
  <c r="G156" i="81"/>
  <c r="F156" i="81"/>
  <c r="E156" i="81"/>
  <c r="D156" i="81"/>
  <c r="C156" i="81"/>
  <c r="O156" i="81" s="1"/>
  <c r="N155" i="81"/>
  <c r="M155" i="81"/>
  <c r="L155" i="81"/>
  <c r="K155" i="81"/>
  <c r="J155" i="81"/>
  <c r="I155" i="81"/>
  <c r="H155" i="81"/>
  <c r="G155" i="81"/>
  <c r="F155" i="81"/>
  <c r="E155" i="81"/>
  <c r="D155" i="81"/>
  <c r="C155" i="81"/>
  <c r="N154" i="81"/>
  <c r="M154" i="81"/>
  <c r="L154" i="81"/>
  <c r="K154" i="81"/>
  <c r="J154" i="81"/>
  <c r="I154" i="81"/>
  <c r="H154" i="81"/>
  <c r="G154" i="81"/>
  <c r="F154" i="81"/>
  <c r="E154" i="81"/>
  <c r="D154" i="81"/>
  <c r="C154" i="81"/>
  <c r="O154" i="81" s="1"/>
  <c r="N153" i="81"/>
  <c r="M153" i="81"/>
  <c r="L153" i="81"/>
  <c r="K153" i="81"/>
  <c r="J153" i="81"/>
  <c r="I153" i="81"/>
  <c r="H153" i="81"/>
  <c r="G153" i="81"/>
  <c r="F153" i="81"/>
  <c r="E153" i="81"/>
  <c r="D153" i="81"/>
  <c r="C153" i="81"/>
  <c r="N152" i="81"/>
  <c r="M152" i="81"/>
  <c r="L152" i="81"/>
  <c r="K152" i="81"/>
  <c r="K188" i="81" s="1"/>
  <c r="J152" i="81"/>
  <c r="I152" i="81"/>
  <c r="I188" i="81" s="1"/>
  <c r="H152" i="81"/>
  <c r="G152" i="81"/>
  <c r="F152" i="81"/>
  <c r="E152" i="81"/>
  <c r="D152" i="81"/>
  <c r="C152" i="81"/>
  <c r="O152" i="81" s="1"/>
  <c r="I150" i="81"/>
  <c r="N149" i="81"/>
  <c r="M149" i="81"/>
  <c r="L149" i="81"/>
  <c r="K149" i="81"/>
  <c r="J149" i="81"/>
  <c r="I149" i="81"/>
  <c r="H149" i="81"/>
  <c r="G149" i="81"/>
  <c r="F149" i="81"/>
  <c r="E149" i="81"/>
  <c r="D149" i="81"/>
  <c r="C149" i="81"/>
  <c r="N148" i="81"/>
  <c r="M148" i="81"/>
  <c r="L148" i="81"/>
  <c r="K148" i="81"/>
  <c r="J148" i="81"/>
  <c r="I148" i="81"/>
  <c r="H148" i="81"/>
  <c r="G148" i="81"/>
  <c r="F148" i="81"/>
  <c r="E148" i="81"/>
  <c r="D148" i="81"/>
  <c r="C148" i="81"/>
  <c r="N147" i="81"/>
  <c r="M147" i="81"/>
  <c r="L147" i="81"/>
  <c r="K147" i="81"/>
  <c r="J147" i="81"/>
  <c r="I147" i="81"/>
  <c r="H147" i="81"/>
  <c r="G147" i="81"/>
  <c r="F147" i="81"/>
  <c r="E147" i="81"/>
  <c r="D147" i="81"/>
  <c r="C147" i="81"/>
  <c r="N146" i="81"/>
  <c r="M146" i="81"/>
  <c r="L146" i="81"/>
  <c r="K146" i="81"/>
  <c r="J146" i="81"/>
  <c r="I146" i="81"/>
  <c r="H146" i="81"/>
  <c r="G146" i="81"/>
  <c r="F146" i="81"/>
  <c r="E146" i="81"/>
  <c r="D146" i="81"/>
  <c r="C146" i="81"/>
  <c r="N145" i="81"/>
  <c r="M145" i="81"/>
  <c r="L145" i="81"/>
  <c r="K145" i="81"/>
  <c r="J145" i="81"/>
  <c r="I145" i="81"/>
  <c r="H145" i="81"/>
  <c r="G145" i="81"/>
  <c r="F145" i="81"/>
  <c r="E145" i="81"/>
  <c r="D145" i="81"/>
  <c r="C145" i="81"/>
  <c r="N144" i="81"/>
  <c r="M144" i="81"/>
  <c r="L144" i="81"/>
  <c r="K144" i="81"/>
  <c r="J144" i="81"/>
  <c r="I144" i="81"/>
  <c r="H144" i="81"/>
  <c r="G144" i="81"/>
  <c r="F144" i="81"/>
  <c r="E144" i="81"/>
  <c r="D144" i="81"/>
  <c r="C144" i="81"/>
  <c r="N143" i="81"/>
  <c r="N150" i="81" s="1"/>
  <c r="M143" i="81"/>
  <c r="L143" i="81"/>
  <c r="K143" i="81"/>
  <c r="J143" i="81"/>
  <c r="I143" i="81"/>
  <c r="H143" i="81"/>
  <c r="G143" i="81"/>
  <c r="F143" i="81"/>
  <c r="F150" i="81" s="1"/>
  <c r="E143" i="81"/>
  <c r="D143" i="81"/>
  <c r="C143" i="81"/>
  <c r="N140" i="81"/>
  <c r="M140" i="81"/>
  <c r="L140" i="81"/>
  <c r="K140" i="81"/>
  <c r="J140" i="81"/>
  <c r="I140" i="81"/>
  <c r="H140" i="81"/>
  <c r="G140" i="81"/>
  <c r="F140" i="81"/>
  <c r="E140" i="81"/>
  <c r="D140" i="81"/>
  <c r="C140" i="81"/>
  <c r="N139" i="81"/>
  <c r="M139" i="81"/>
  <c r="L139" i="81"/>
  <c r="K139" i="81"/>
  <c r="J139" i="81"/>
  <c r="I139" i="81"/>
  <c r="H139" i="81"/>
  <c r="G139" i="81"/>
  <c r="F139" i="81"/>
  <c r="E139" i="81"/>
  <c r="D139" i="81"/>
  <c r="C139" i="81"/>
  <c r="N138" i="81"/>
  <c r="M138" i="81"/>
  <c r="L138" i="81"/>
  <c r="K138" i="81"/>
  <c r="J138" i="81"/>
  <c r="I138" i="81"/>
  <c r="H138" i="81"/>
  <c r="G138" i="81"/>
  <c r="F138" i="81"/>
  <c r="E138" i="81"/>
  <c r="D138" i="81"/>
  <c r="O138" i="81" s="1"/>
  <c r="C138" i="81"/>
  <c r="N137" i="81"/>
  <c r="M137" i="81"/>
  <c r="L137" i="81"/>
  <c r="K137" i="81"/>
  <c r="J137" i="81"/>
  <c r="I137" i="81"/>
  <c r="H137" i="81"/>
  <c r="G137" i="81"/>
  <c r="F137" i="81"/>
  <c r="E137" i="81"/>
  <c r="D137" i="81"/>
  <c r="C137" i="81"/>
  <c r="N136" i="81"/>
  <c r="M136" i="81"/>
  <c r="L136" i="81"/>
  <c r="K136" i="81"/>
  <c r="J136" i="81"/>
  <c r="I136" i="81"/>
  <c r="H136" i="81"/>
  <c r="G136" i="81"/>
  <c r="F136" i="81"/>
  <c r="E136" i="81"/>
  <c r="D136" i="81"/>
  <c r="C136" i="81"/>
  <c r="N135" i="81"/>
  <c r="M135" i="81"/>
  <c r="L135" i="81"/>
  <c r="K135" i="81"/>
  <c r="J135" i="81"/>
  <c r="I135" i="81"/>
  <c r="H135" i="81"/>
  <c r="G135" i="81"/>
  <c r="F135" i="81"/>
  <c r="E135" i="81"/>
  <c r="D135" i="81"/>
  <c r="C135" i="81"/>
  <c r="N134" i="81"/>
  <c r="M134" i="81"/>
  <c r="L134" i="81"/>
  <c r="K134" i="81"/>
  <c r="J134" i="81"/>
  <c r="I134" i="81"/>
  <c r="H134" i="81"/>
  <c r="G134" i="81"/>
  <c r="F134" i="81"/>
  <c r="E134" i="81"/>
  <c r="D134" i="81"/>
  <c r="C134" i="81"/>
  <c r="N133" i="81"/>
  <c r="M133" i="81"/>
  <c r="L133" i="81"/>
  <c r="K133" i="81"/>
  <c r="J133" i="81"/>
  <c r="I133" i="81"/>
  <c r="H133" i="81"/>
  <c r="G133" i="81"/>
  <c r="F133" i="81"/>
  <c r="E133" i="81"/>
  <c r="D133" i="81"/>
  <c r="C133" i="81"/>
  <c r="N132" i="81"/>
  <c r="M132" i="81"/>
  <c r="L132" i="81"/>
  <c r="K132" i="81"/>
  <c r="J132" i="81"/>
  <c r="I132" i="81"/>
  <c r="H132" i="81"/>
  <c r="G132" i="81"/>
  <c r="F132" i="81"/>
  <c r="E132" i="81"/>
  <c r="D132" i="81"/>
  <c r="C132" i="81"/>
  <c r="N131" i="81"/>
  <c r="M131" i="81"/>
  <c r="L131" i="81"/>
  <c r="K131" i="81"/>
  <c r="J131" i="81"/>
  <c r="I131" i="81"/>
  <c r="H131" i="81"/>
  <c r="G131" i="81"/>
  <c r="F131" i="81"/>
  <c r="E131" i="81"/>
  <c r="D131" i="81"/>
  <c r="C131" i="81"/>
  <c r="N130" i="81"/>
  <c r="M130" i="81"/>
  <c r="L130" i="81"/>
  <c r="L141" i="81" s="1"/>
  <c r="K130" i="81"/>
  <c r="K141" i="81" s="1"/>
  <c r="J130" i="81"/>
  <c r="I130" i="81"/>
  <c r="H130" i="81"/>
  <c r="G130" i="81"/>
  <c r="F130" i="81"/>
  <c r="E130" i="81"/>
  <c r="D130" i="81"/>
  <c r="C130" i="81"/>
  <c r="C141" i="81" s="1"/>
  <c r="N126" i="81"/>
  <c r="M126" i="81"/>
  <c r="L126" i="81"/>
  <c r="K126" i="81"/>
  <c r="J126" i="81"/>
  <c r="I126" i="81"/>
  <c r="H126" i="81"/>
  <c r="G126" i="81"/>
  <c r="F126" i="81"/>
  <c r="E126" i="81"/>
  <c r="D126" i="81"/>
  <c r="C126" i="81"/>
  <c r="R125" i="81"/>
  <c r="O125" i="81"/>
  <c r="R124" i="81"/>
  <c r="O124" i="81"/>
  <c r="N121" i="81"/>
  <c r="M121" i="81"/>
  <c r="L121" i="81"/>
  <c r="K121" i="81"/>
  <c r="J121" i="81"/>
  <c r="I121" i="81"/>
  <c r="H121" i="81"/>
  <c r="G121" i="81"/>
  <c r="F121" i="81"/>
  <c r="E121" i="81"/>
  <c r="D121" i="81"/>
  <c r="C121" i="81"/>
  <c r="R120" i="81"/>
  <c r="O120" i="81"/>
  <c r="R119" i="81"/>
  <c r="O119" i="81"/>
  <c r="R118" i="81"/>
  <c r="O118" i="81"/>
  <c r="R117" i="81"/>
  <c r="O117" i="81"/>
  <c r="R116" i="81"/>
  <c r="O116" i="81"/>
  <c r="R115" i="81"/>
  <c r="O115" i="81"/>
  <c r="N110" i="81"/>
  <c r="M110" i="81"/>
  <c r="L110" i="81"/>
  <c r="K110" i="81"/>
  <c r="J110" i="81"/>
  <c r="I110" i="81"/>
  <c r="I112" i="81" s="1"/>
  <c r="H110" i="81"/>
  <c r="G110" i="81"/>
  <c r="F110" i="81"/>
  <c r="E110" i="81"/>
  <c r="D110" i="81"/>
  <c r="C110" i="81"/>
  <c r="R109" i="81"/>
  <c r="O109" i="81"/>
  <c r="R108" i="81"/>
  <c r="O108" i="81"/>
  <c r="R107" i="81"/>
  <c r="O107" i="81"/>
  <c r="N105" i="81"/>
  <c r="M105" i="81"/>
  <c r="M112" i="81" s="1"/>
  <c r="L105" i="81"/>
  <c r="K105" i="81"/>
  <c r="J105" i="81"/>
  <c r="I105" i="81"/>
  <c r="H105" i="81"/>
  <c r="G105" i="81"/>
  <c r="G112" i="81" s="1"/>
  <c r="F105" i="81"/>
  <c r="F112" i="81" s="1"/>
  <c r="E105" i="81"/>
  <c r="E112" i="81" s="1"/>
  <c r="D105" i="81"/>
  <c r="D112" i="81" s="1"/>
  <c r="C105" i="81"/>
  <c r="R104" i="81"/>
  <c r="O104" i="81"/>
  <c r="R103" i="81"/>
  <c r="O103" i="81"/>
  <c r="R102" i="81"/>
  <c r="O102" i="81"/>
  <c r="O105" i="81" s="1"/>
  <c r="N98" i="81"/>
  <c r="M98" i="81"/>
  <c r="L98" i="81"/>
  <c r="K98" i="81"/>
  <c r="J98" i="81"/>
  <c r="I98" i="81"/>
  <c r="H98" i="81"/>
  <c r="G98" i="81"/>
  <c r="F98" i="81"/>
  <c r="E98" i="81"/>
  <c r="D98" i="81"/>
  <c r="C98" i="81"/>
  <c r="R97" i="81"/>
  <c r="O97" i="81"/>
  <c r="N94" i="81"/>
  <c r="M94" i="81"/>
  <c r="L94" i="81"/>
  <c r="K94" i="81"/>
  <c r="J94" i="81"/>
  <c r="I94" i="81"/>
  <c r="H94" i="81"/>
  <c r="G94" i="81"/>
  <c r="F94" i="81"/>
  <c r="E94" i="81"/>
  <c r="D94" i="81"/>
  <c r="C94" i="81"/>
  <c r="R93" i="81"/>
  <c r="O93" i="81"/>
  <c r="R92" i="81"/>
  <c r="O92" i="81"/>
  <c r="R91" i="81"/>
  <c r="O91" i="81"/>
  <c r="R90" i="81"/>
  <c r="N88" i="81"/>
  <c r="M88" i="81"/>
  <c r="L88" i="81"/>
  <c r="K88" i="81"/>
  <c r="J88" i="81"/>
  <c r="I88" i="81"/>
  <c r="H88" i="81"/>
  <c r="G88" i="81"/>
  <c r="F88" i="81"/>
  <c r="E88" i="81"/>
  <c r="D88" i="81"/>
  <c r="C88" i="81"/>
  <c r="R87" i="81"/>
  <c r="O87" i="81"/>
  <c r="R86" i="81"/>
  <c r="O86" i="81"/>
  <c r="R85" i="81"/>
  <c r="O85" i="81"/>
  <c r="R84" i="81"/>
  <c r="O84" i="81"/>
  <c r="R83" i="81"/>
  <c r="O83" i="81"/>
  <c r="R82" i="81"/>
  <c r="O82" i="81"/>
  <c r="R81" i="81"/>
  <c r="O81" i="81"/>
  <c r="R80" i="81"/>
  <c r="O80" i="81"/>
  <c r="R79" i="81"/>
  <c r="O79" i="81"/>
  <c r="R78" i="81"/>
  <c r="O78" i="81"/>
  <c r="R77" i="81"/>
  <c r="O77" i="81"/>
  <c r="R76" i="81"/>
  <c r="O76" i="81"/>
  <c r="R75" i="81"/>
  <c r="O75" i="81"/>
  <c r="R74" i="81"/>
  <c r="O74" i="81"/>
  <c r="R73" i="81"/>
  <c r="O73" i="81"/>
  <c r="W72" i="81"/>
  <c r="N71" i="81"/>
  <c r="M71" i="81"/>
  <c r="L71" i="81"/>
  <c r="K71" i="81"/>
  <c r="J71" i="81"/>
  <c r="I71" i="81"/>
  <c r="H71" i="81"/>
  <c r="G71" i="81"/>
  <c r="F71" i="81"/>
  <c r="E71" i="81"/>
  <c r="D71" i="81"/>
  <c r="C71" i="81"/>
  <c r="S70" i="81"/>
  <c r="R70" i="81"/>
  <c r="O70" i="81"/>
  <c r="S69" i="81"/>
  <c r="R69" i="81"/>
  <c r="O69" i="81"/>
  <c r="S68" i="81"/>
  <c r="R68" i="81"/>
  <c r="O68" i="81"/>
  <c r="S67" i="81"/>
  <c r="R67" i="81"/>
  <c r="O67" i="81"/>
  <c r="S66" i="81"/>
  <c r="R66" i="81"/>
  <c r="O66" i="81"/>
  <c r="S65" i="81"/>
  <c r="R65" i="81"/>
  <c r="O65" i="81"/>
  <c r="S64" i="81"/>
  <c r="R64" i="81"/>
  <c r="O64" i="81"/>
  <c r="N62" i="81"/>
  <c r="M62" i="81"/>
  <c r="L62" i="81"/>
  <c r="K62" i="81"/>
  <c r="J62" i="81"/>
  <c r="I62" i="81"/>
  <c r="H62" i="81"/>
  <c r="G62" i="81"/>
  <c r="F62" i="81"/>
  <c r="E62" i="81"/>
  <c r="D62" i="81"/>
  <c r="C62" i="81"/>
  <c r="S61" i="81"/>
  <c r="R61" i="81"/>
  <c r="O61" i="81"/>
  <c r="S60" i="81"/>
  <c r="R60" i="81"/>
  <c r="O60" i="81"/>
  <c r="S59" i="81"/>
  <c r="R59" i="81"/>
  <c r="O59" i="81"/>
  <c r="S58" i="81"/>
  <c r="R58" i="81"/>
  <c r="O58" i="81"/>
  <c r="S57" i="81"/>
  <c r="R57" i="81"/>
  <c r="W71" i="81" s="1"/>
  <c r="O57" i="81"/>
  <c r="S56" i="81"/>
  <c r="R56" i="81"/>
  <c r="O56" i="81"/>
  <c r="S55" i="81"/>
  <c r="R55" i="81"/>
  <c r="O55" i="81"/>
  <c r="S54" i="81"/>
  <c r="R54" i="81"/>
  <c r="O54" i="81"/>
  <c r="S53" i="81"/>
  <c r="R53" i="81"/>
  <c r="O53" i="81"/>
  <c r="S52" i="81"/>
  <c r="R52" i="81"/>
  <c r="O52" i="81"/>
  <c r="S51" i="81"/>
  <c r="R51" i="81"/>
  <c r="O51" i="81"/>
  <c r="S50" i="81"/>
  <c r="R50" i="81"/>
  <c r="O50" i="81"/>
  <c r="S49" i="81"/>
  <c r="R49" i="81"/>
  <c r="O49" i="81"/>
  <c r="S48" i="81"/>
  <c r="R48" i="81"/>
  <c r="O48" i="81"/>
  <c r="S47" i="81"/>
  <c r="R47" i="81"/>
  <c r="O47" i="81"/>
  <c r="S46" i="81"/>
  <c r="R46" i="81"/>
  <c r="O46" i="81"/>
  <c r="S45" i="81"/>
  <c r="R45" i="81"/>
  <c r="O45" i="81"/>
  <c r="S44" i="81"/>
  <c r="R44" i="81"/>
  <c r="O44" i="81"/>
  <c r="S43" i="81"/>
  <c r="R43" i="81"/>
  <c r="O43" i="81"/>
  <c r="S42" i="81"/>
  <c r="R42" i="81"/>
  <c r="O42" i="81"/>
  <c r="S41" i="81"/>
  <c r="R41" i="81"/>
  <c r="O41" i="81"/>
  <c r="S40" i="81"/>
  <c r="R40" i="81"/>
  <c r="O40" i="81"/>
  <c r="S39" i="81"/>
  <c r="R39" i="81"/>
  <c r="O39" i="81"/>
  <c r="S38" i="81"/>
  <c r="R38" i="81"/>
  <c r="O38" i="81"/>
  <c r="S37" i="81"/>
  <c r="R37" i="81"/>
  <c r="O37" i="81"/>
  <c r="S36" i="81"/>
  <c r="R36" i="81"/>
  <c r="O36" i="81"/>
  <c r="S35" i="81"/>
  <c r="R35" i="81"/>
  <c r="O35" i="81"/>
  <c r="S34" i="81"/>
  <c r="R34" i="81"/>
  <c r="O34" i="81"/>
  <c r="S33" i="81"/>
  <c r="R33" i="81"/>
  <c r="O33" i="81"/>
  <c r="S32" i="81"/>
  <c r="R32" i="81"/>
  <c r="O32" i="81"/>
  <c r="S31" i="81"/>
  <c r="R31" i="81"/>
  <c r="O31" i="81"/>
  <c r="S30" i="81"/>
  <c r="R30" i="81"/>
  <c r="O30" i="81"/>
  <c r="S29" i="81"/>
  <c r="R29" i="81"/>
  <c r="O29" i="81"/>
  <c r="S28" i="81"/>
  <c r="R28" i="81"/>
  <c r="O28" i="81"/>
  <c r="S27" i="81"/>
  <c r="R27" i="81"/>
  <c r="O27" i="81"/>
  <c r="S26" i="81"/>
  <c r="R26" i="81"/>
  <c r="O26" i="81"/>
  <c r="N24" i="81"/>
  <c r="M24" i="81"/>
  <c r="L24" i="81"/>
  <c r="K24" i="81"/>
  <c r="J24" i="81"/>
  <c r="I24" i="81"/>
  <c r="H24" i="81"/>
  <c r="G24" i="81"/>
  <c r="F24" i="81"/>
  <c r="E24" i="81"/>
  <c r="D24" i="81"/>
  <c r="C24" i="81"/>
  <c r="S23" i="81"/>
  <c r="R23" i="81"/>
  <c r="O23" i="81"/>
  <c r="S22" i="81"/>
  <c r="R22" i="81"/>
  <c r="O22" i="81"/>
  <c r="S21" i="81"/>
  <c r="R21" i="81"/>
  <c r="O21" i="81"/>
  <c r="S20" i="81"/>
  <c r="R20" i="81"/>
  <c r="O20" i="81"/>
  <c r="S19" i="81"/>
  <c r="R19" i="81"/>
  <c r="O19" i="81"/>
  <c r="S18" i="81"/>
  <c r="R18" i="81"/>
  <c r="O18" i="81"/>
  <c r="S17" i="81"/>
  <c r="R17" i="81"/>
  <c r="O17" i="81"/>
  <c r="N15" i="81"/>
  <c r="M15" i="81"/>
  <c r="L15" i="81"/>
  <c r="K15" i="81"/>
  <c r="J15" i="81"/>
  <c r="I15" i="81"/>
  <c r="H15" i="81"/>
  <c r="G15" i="81"/>
  <c r="G100" i="81" s="1"/>
  <c r="F15" i="81"/>
  <c r="E15" i="81"/>
  <c r="D15" i="81"/>
  <c r="C15" i="81"/>
  <c r="S14" i="81"/>
  <c r="R14" i="81"/>
  <c r="O14" i="81"/>
  <c r="S13" i="81"/>
  <c r="R13" i="81"/>
  <c r="O13" i="81"/>
  <c r="S12" i="81"/>
  <c r="R12" i="81"/>
  <c r="O12" i="81"/>
  <c r="S11" i="81"/>
  <c r="R11" i="81"/>
  <c r="O11" i="81"/>
  <c r="O15" i="81" s="1"/>
  <c r="S10" i="81"/>
  <c r="R10" i="81"/>
  <c r="O10" i="81"/>
  <c r="S9" i="81"/>
  <c r="R9" i="81"/>
  <c r="O9" i="81"/>
  <c r="S8" i="81"/>
  <c r="R8" i="81"/>
  <c r="O8" i="81"/>
  <c r="S7" i="81"/>
  <c r="R7" i="81"/>
  <c r="O7" i="81"/>
  <c r="S6" i="81"/>
  <c r="R6" i="81"/>
  <c r="O6" i="81"/>
  <c r="S5" i="81"/>
  <c r="R5" i="81"/>
  <c r="O5" i="81"/>
  <c r="S4" i="81"/>
  <c r="R4" i="81"/>
  <c r="O4" i="81"/>
  <c r="A3" i="81"/>
  <c r="A4" i="81" s="1"/>
  <c r="A5" i="81" s="1"/>
  <c r="A6" i="81" s="1"/>
  <c r="A7" i="81" s="1"/>
  <c r="A8" i="81" s="1"/>
  <c r="A9" i="81" s="1"/>
  <c r="A10" i="81" s="1"/>
  <c r="A11" i="81" s="1"/>
  <c r="A12" i="81" s="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A45" i="81" s="1"/>
  <c r="A46" i="81" s="1"/>
  <c r="A47" i="81" s="1"/>
  <c r="A48" i="81" s="1"/>
  <c r="A49" i="81" s="1"/>
  <c r="A50" i="81" s="1"/>
  <c r="A51" i="81" s="1"/>
  <c r="A52" i="81" s="1"/>
  <c r="A53" i="81" s="1"/>
  <c r="A54" i="81" s="1"/>
  <c r="A55" i="81" s="1"/>
  <c r="A56" i="81" s="1"/>
  <c r="A57" i="81" s="1"/>
  <c r="A58" i="81" s="1"/>
  <c r="A59" i="81" s="1"/>
  <c r="A60" i="81" s="1"/>
  <c r="A61" i="81" s="1"/>
  <c r="A62" i="81" s="1"/>
  <c r="A63" i="81" s="1"/>
  <c r="A64" i="81" s="1"/>
  <c r="A65" i="81" s="1"/>
  <c r="A66" i="81" s="1"/>
  <c r="A67" i="81" s="1"/>
  <c r="A68" i="81" s="1"/>
  <c r="A69" i="81" s="1"/>
  <c r="A70" i="81" s="1"/>
  <c r="A71" i="81" s="1"/>
  <c r="A72" i="81" s="1"/>
  <c r="A73" i="81" s="1"/>
  <c r="A74" i="81" s="1"/>
  <c r="A75" i="81" s="1"/>
  <c r="A76" i="81" s="1"/>
  <c r="A77" i="81" s="1"/>
  <c r="A78" i="81" s="1"/>
  <c r="A79" i="81" s="1"/>
  <c r="A80" i="81" s="1"/>
  <c r="A81" i="81" s="1"/>
  <c r="A82" i="81" s="1"/>
  <c r="A83" i="81" s="1"/>
  <c r="A84" i="81" s="1"/>
  <c r="A85" i="81" s="1"/>
  <c r="A86" i="81" s="1"/>
  <c r="A87" i="81" s="1"/>
  <c r="A88" i="81" s="1"/>
  <c r="A89" i="81" s="1"/>
  <c r="A90" i="81" s="1"/>
  <c r="A91" i="81" s="1"/>
  <c r="A92" i="81" s="1"/>
  <c r="A93" i="81" s="1"/>
  <c r="A94" i="81" s="1"/>
  <c r="A95" i="81" s="1"/>
  <c r="A96" i="81" s="1"/>
  <c r="A97" i="81" s="1"/>
  <c r="A98" i="81" s="1"/>
  <c r="A99" i="81" s="1"/>
  <c r="A100" i="81" s="1"/>
  <c r="A101" i="81" s="1"/>
  <c r="A102" i="81" s="1"/>
  <c r="A103" i="81" s="1"/>
  <c r="A104" i="81" s="1"/>
  <c r="A105" i="81" s="1"/>
  <c r="A106" i="81" s="1"/>
  <c r="A107" i="81" s="1"/>
  <c r="A108" i="81" s="1"/>
  <c r="A109" i="81" s="1"/>
  <c r="A110" i="81" s="1"/>
  <c r="A111" i="81" s="1"/>
  <c r="A112" i="81" s="1"/>
  <c r="A113" i="81" s="1"/>
  <c r="A114" i="81" s="1"/>
  <c r="A115" i="81" s="1"/>
  <c r="A116" i="81" s="1"/>
  <c r="A117" i="81" s="1"/>
  <c r="A118" i="81" s="1"/>
  <c r="A119" i="81" s="1"/>
  <c r="A120" i="81" s="1"/>
  <c r="A121" i="81" s="1"/>
  <c r="A122" i="81" s="1"/>
  <c r="A123" i="81" s="1"/>
  <c r="A124" i="81" s="1"/>
  <c r="A125" i="81" s="1"/>
  <c r="A126" i="81" s="1"/>
  <c r="A127" i="81" s="1"/>
  <c r="A128" i="81" s="1"/>
  <c r="A129" i="81" s="1"/>
  <c r="A130" i="81" s="1"/>
  <c r="A131" i="81" s="1"/>
  <c r="A132" i="81" s="1"/>
  <c r="A133" i="81" s="1"/>
  <c r="A134" i="81" s="1"/>
  <c r="A135" i="81" s="1"/>
  <c r="A136" i="81" s="1"/>
  <c r="A137" i="81" s="1"/>
  <c r="A138" i="81" s="1"/>
  <c r="A139" i="81" s="1"/>
  <c r="A140" i="81" s="1"/>
  <c r="A141" i="81" s="1"/>
  <c r="A142" i="81" s="1"/>
  <c r="A143" i="81" s="1"/>
  <c r="A144" i="81" s="1"/>
  <c r="A145" i="81" s="1"/>
  <c r="A146" i="81" s="1"/>
  <c r="A147" i="81" s="1"/>
  <c r="A148" i="81" s="1"/>
  <c r="A149" i="81" s="1"/>
  <c r="A150" i="81" s="1"/>
  <c r="A151" i="81" s="1"/>
  <c r="A152" i="81" s="1"/>
  <c r="A153" i="81" s="1"/>
  <c r="A154" i="81" s="1"/>
  <c r="A155" i="81" s="1"/>
  <c r="A156" i="81" s="1"/>
  <c r="A157" i="81" s="1"/>
  <c r="A158" i="81" s="1"/>
  <c r="A159" i="81" s="1"/>
  <c r="A160" i="81" s="1"/>
  <c r="A161" i="81" s="1"/>
  <c r="A162" i="81" s="1"/>
  <c r="A163" i="81" s="1"/>
  <c r="A164" i="81" s="1"/>
  <c r="A165" i="81" s="1"/>
  <c r="A166" i="81" s="1"/>
  <c r="A167" i="81" s="1"/>
  <c r="A168" i="81" s="1"/>
  <c r="A169" i="81" s="1"/>
  <c r="A170" i="81" s="1"/>
  <c r="A171" i="81" s="1"/>
  <c r="A172" i="81" s="1"/>
  <c r="A173" i="81" s="1"/>
  <c r="A174" i="81" s="1"/>
  <c r="A175" i="81" s="1"/>
  <c r="A176" i="81" s="1"/>
  <c r="A177" i="81" s="1"/>
  <c r="A178" i="81" s="1"/>
  <c r="A179" i="81" s="1"/>
  <c r="A180" i="81" s="1"/>
  <c r="A181" i="81" s="1"/>
  <c r="A182" i="81" s="1"/>
  <c r="A183" i="81" s="1"/>
  <c r="A184" i="81" s="1"/>
  <c r="A185" i="81" s="1"/>
  <c r="A186" i="81" s="1"/>
  <c r="A187" i="81" s="1"/>
  <c r="A188" i="81" s="1"/>
  <c r="A189" i="81" s="1"/>
  <c r="A190" i="81" s="1"/>
  <c r="A191" i="81" s="1"/>
  <c r="A192" i="81" s="1"/>
  <c r="A193" i="81" s="1"/>
  <c r="A194" i="81" s="1"/>
  <c r="A195" i="81" s="1"/>
  <c r="A196" i="81" s="1"/>
  <c r="A197" i="81" s="1"/>
  <c r="A198" i="81" s="1"/>
  <c r="A199" i="81" s="1"/>
  <c r="A200" i="81" s="1"/>
  <c r="A201" i="81" s="1"/>
  <c r="A202" i="81" s="1"/>
  <c r="A203" i="81" s="1"/>
  <c r="A204" i="81" s="1"/>
  <c r="A205" i="81" s="1"/>
  <c r="A206" i="81" s="1"/>
  <c r="A207" i="81" s="1"/>
  <c r="A208" i="81" s="1"/>
  <c r="A209" i="81" s="1"/>
  <c r="A210" i="81" s="1"/>
  <c r="A211" i="81" s="1"/>
  <c r="A212" i="81" s="1"/>
  <c r="A213" i="81" s="1"/>
  <c r="A214" i="81" s="1"/>
  <c r="A215" i="81" s="1"/>
  <c r="A216" i="81" s="1"/>
  <c r="A217" i="81" s="1"/>
  <c r="A218" i="81" s="1"/>
  <c r="A219" i="81" s="1"/>
  <c r="A220" i="81" s="1"/>
  <c r="A221" i="81" s="1"/>
  <c r="A222" i="81" s="1"/>
  <c r="A223" i="81" s="1"/>
  <c r="A224" i="81" s="1"/>
  <c r="A225" i="81" s="1"/>
  <c r="A226" i="81" s="1"/>
  <c r="A227" i="81" s="1"/>
  <c r="A228" i="81" s="1"/>
  <c r="A229" i="81" s="1"/>
  <c r="A230" i="81" s="1"/>
  <c r="A231" i="81" s="1"/>
  <c r="A232" i="81" s="1"/>
  <c r="A233" i="81" s="1"/>
  <c r="A234" i="81" s="1"/>
  <c r="A235" i="81" s="1"/>
  <c r="A236" i="81" s="1"/>
  <c r="A237" i="81" s="1"/>
  <c r="A238" i="81" s="1"/>
  <c r="A239" i="81" s="1"/>
  <c r="A240" i="81" s="1"/>
  <c r="A241" i="81" s="1"/>
  <c r="A242" i="81" s="1"/>
  <c r="A243" i="81" s="1"/>
  <c r="A244" i="81" s="1"/>
  <c r="A245" i="81" s="1"/>
  <c r="A246" i="81" s="1"/>
  <c r="A247" i="81" s="1"/>
  <c r="A248" i="81" s="1"/>
  <c r="A249" i="81" s="1"/>
  <c r="A250" i="81" s="1"/>
  <c r="A251" i="81" s="1"/>
  <c r="A252" i="81" s="1"/>
  <c r="A253" i="81" s="1"/>
  <c r="A254" i="81" s="1"/>
  <c r="U238" i="107"/>
  <c r="V238" i="107" s="1"/>
  <c r="U237" i="107"/>
  <c r="V237" i="107" s="1"/>
  <c r="V236" i="107"/>
  <c r="U236" i="107"/>
  <c r="V235" i="107"/>
  <c r="U235" i="107"/>
  <c r="U234" i="107"/>
  <c r="V234" i="107" s="1"/>
  <c r="U233" i="107"/>
  <c r="V233" i="107" s="1"/>
  <c r="O221" i="107"/>
  <c r="O220" i="107"/>
  <c r="L213" i="107"/>
  <c r="D213" i="107"/>
  <c r="N212" i="107"/>
  <c r="M212" i="107"/>
  <c r="M213" i="107" s="1"/>
  <c r="L212" i="107"/>
  <c r="K212" i="107"/>
  <c r="J212" i="107"/>
  <c r="I212" i="107"/>
  <c r="H212" i="107"/>
  <c r="G212" i="107"/>
  <c r="F212" i="107"/>
  <c r="E212" i="107"/>
  <c r="E213" i="107" s="1"/>
  <c r="D212" i="107"/>
  <c r="C212" i="107"/>
  <c r="N211" i="107"/>
  <c r="M211" i="107"/>
  <c r="L211" i="107"/>
  <c r="K211" i="107"/>
  <c r="J211" i="107"/>
  <c r="I211" i="107"/>
  <c r="I213" i="107" s="1"/>
  <c r="H211" i="107"/>
  <c r="H213" i="107" s="1"/>
  <c r="G211" i="107"/>
  <c r="G213" i="107" s="1"/>
  <c r="F211" i="107"/>
  <c r="E211" i="107"/>
  <c r="D211" i="107"/>
  <c r="C211" i="107"/>
  <c r="M209" i="107"/>
  <c r="G209" i="107"/>
  <c r="N208" i="107"/>
  <c r="M208" i="107"/>
  <c r="L208" i="107"/>
  <c r="K208" i="107"/>
  <c r="J208" i="107"/>
  <c r="I208" i="107"/>
  <c r="H208" i="107"/>
  <c r="H209" i="107" s="1"/>
  <c r="H215" i="107" s="1"/>
  <c r="G208" i="107"/>
  <c r="F208" i="107"/>
  <c r="E208" i="107"/>
  <c r="D208" i="107"/>
  <c r="C208" i="107"/>
  <c r="N207" i="107"/>
  <c r="N209" i="107" s="1"/>
  <c r="M207" i="107"/>
  <c r="L207" i="107"/>
  <c r="L209" i="107" s="1"/>
  <c r="K207" i="107"/>
  <c r="J207" i="107"/>
  <c r="I207" i="107"/>
  <c r="H207" i="107"/>
  <c r="G207" i="107"/>
  <c r="F207" i="107"/>
  <c r="F209" i="107" s="1"/>
  <c r="E207" i="107"/>
  <c r="E209" i="107" s="1"/>
  <c r="D207" i="107"/>
  <c r="D209" i="107" s="1"/>
  <c r="C207" i="107"/>
  <c r="K203" i="107"/>
  <c r="N202" i="107"/>
  <c r="M202" i="107"/>
  <c r="L202" i="107"/>
  <c r="K202" i="107"/>
  <c r="J202" i="107"/>
  <c r="I202" i="107"/>
  <c r="H202" i="107"/>
  <c r="G202" i="107"/>
  <c r="F202" i="107"/>
  <c r="E202" i="107"/>
  <c r="D202" i="107"/>
  <c r="C202" i="107"/>
  <c r="N201" i="107"/>
  <c r="M201" i="107"/>
  <c r="L201" i="107"/>
  <c r="K201" i="107"/>
  <c r="J201" i="107"/>
  <c r="J203" i="107" s="1"/>
  <c r="I201" i="107"/>
  <c r="H201" i="107"/>
  <c r="G201" i="107"/>
  <c r="G203" i="107" s="1"/>
  <c r="F201" i="107"/>
  <c r="E201" i="107"/>
  <c r="D201" i="107"/>
  <c r="C201" i="107"/>
  <c r="C203" i="107" s="1"/>
  <c r="N197" i="107"/>
  <c r="M197" i="107"/>
  <c r="L197" i="107"/>
  <c r="K197" i="107"/>
  <c r="J197" i="107"/>
  <c r="I197" i="107"/>
  <c r="H197" i="107"/>
  <c r="G197" i="107"/>
  <c r="F197" i="107"/>
  <c r="E197" i="107"/>
  <c r="D197" i="107"/>
  <c r="C197" i="107"/>
  <c r="N196" i="107"/>
  <c r="M196" i="107"/>
  <c r="L196" i="107"/>
  <c r="K196" i="107"/>
  <c r="K199" i="107" s="1"/>
  <c r="J196" i="107"/>
  <c r="J199" i="107" s="1"/>
  <c r="I196" i="107"/>
  <c r="H196" i="107"/>
  <c r="G196" i="107"/>
  <c r="F196" i="107"/>
  <c r="E196" i="107"/>
  <c r="D196" i="107"/>
  <c r="C196" i="107"/>
  <c r="N195" i="107"/>
  <c r="N199" i="107" s="1"/>
  <c r="M195" i="107"/>
  <c r="L195" i="107"/>
  <c r="K195" i="107"/>
  <c r="J195" i="107"/>
  <c r="I195" i="107"/>
  <c r="H195" i="107"/>
  <c r="H199" i="107" s="1"/>
  <c r="G195" i="107"/>
  <c r="G199" i="107" s="1"/>
  <c r="F195" i="107"/>
  <c r="F199" i="107" s="1"/>
  <c r="E195" i="107"/>
  <c r="D195" i="107"/>
  <c r="C195" i="107"/>
  <c r="N192" i="107"/>
  <c r="M192" i="107"/>
  <c r="L192" i="107"/>
  <c r="K192" i="107"/>
  <c r="J192" i="107"/>
  <c r="I192" i="107"/>
  <c r="H192" i="107"/>
  <c r="G192" i="107"/>
  <c r="F192" i="107"/>
  <c r="E192" i="107"/>
  <c r="D192" i="107"/>
  <c r="C192" i="107"/>
  <c r="N191" i="107"/>
  <c r="M191" i="107"/>
  <c r="L191" i="107"/>
  <c r="K191" i="107"/>
  <c r="J191" i="107"/>
  <c r="I191" i="107"/>
  <c r="H191" i="107"/>
  <c r="G191" i="107"/>
  <c r="F191" i="107"/>
  <c r="E191" i="107"/>
  <c r="D191" i="107"/>
  <c r="C191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N189" i="107"/>
  <c r="M189" i="107"/>
  <c r="L189" i="107"/>
  <c r="K189" i="107"/>
  <c r="J189" i="107"/>
  <c r="I189" i="107"/>
  <c r="H189" i="107"/>
  <c r="G189" i="107"/>
  <c r="F189" i="107"/>
  <c r="E189" i="107"/>
  <c r="D189" i="107"/>
  <c r="C189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N187" i="107"/>
  <c r="M187" i="107"/>
  <c r="L187" i="107"/>
  <c r="K187" i="107"/>
  <c r="J187" i="107"/>
  <c r="I187" i="107"/>
  <c r="H187" i="107"/>
  <c r="G187" i="107"/>
  <c r="F187" i="107"/>
  <c r="E187" i="107"/>
  <c r="D187" i="107"/>
  <c r="C187" i="107"/>
  <c r="N186" i="107"/>
  <c r="M186" i="107"/>
  <c r="L186" i="107"/>
  <c r="K186" i="107"/>
  <c r="J186" i="107"/>
  <c r="I186" i="107"/>
  <c r="H186" i="107"/>
  <c r="G186" i="107"/>
  <c r="F186" i="107"/>
  <c r="E186" i="107"/>
  <c r="D186" i="107"/>
  <c r="C186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D184" i="107"/>
  <c r="C184" i="107"/>
  <c r="N181" i="107"/>
  <c r="M181" i="107"/>
  <c r="L181" i="107"/>
  <c r="K181" i="107"/>
  <c r="J181" i="107"/>
  <c r="I181" i="107"/>
  <c r="H181" i="107"/>
  <c r="G181" i="107"/>
  <c r="F181" i="107"/>
  <c r="E181" i="107"/>
  <c r="D181" i="107"/>
  <c r="C181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N179" i="107"/>
  <c r="M179" i="107"/>
  <c r="L179" i="107"/>
  <c r="K179" i="107"/>
  <c r="J179" i="107"/>
  <c r="I179" i="107"/>
  <c r="H179" i="107"/>
  <c r="G179" i="107"/>
  <c r="F179" i="107"/>
  <c r="E179" i="107"/>
  <c r="D179" i="107"/>
  <c r="C179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N177" i="107"/>
  <c r="M177" i="107"/>
  <c r="L177" i="107"/>
  <c r="K177" i="107"/>
  <c r="J177" i="107"/>
  <c r="I177" i="107"/>
  <c r="H177" i="107"/>
  <c r="G177" i="107"/>
  <c r="F177" i="107"/>
  <c r="E177" i="107"/>
  <c r="D177" i="107"/>
  <c r="C177" i="107"/>
  <c r="N176" i="107"/>
  <c r="M176" i="107"/>
  <c r="L176" i="107"/>
  <c r="K176" i="107"/>
  <c r="J176" i="107"/>
  <c r="I176" i="107"/>
  <c r="H176" i="107"/>
  <c r="H182" i="107" s="1"/>
  <c r="G176" i="107"/>
  <c r="F176" i="107"/>
  <c r="E176" i="107"/>
  <c r="D176" i="107"/>
  <c r="C176" i="107"/>
  <c r="N175" i="107"/>
  <c r="N182" i="107" s="1"/>
  <c r="M175" i="107"/>
  <c r="L175" i="107"/>
  <c r="K175" i="107"/>
  <c r="J175" i="107"/>
  <c r="I175" i="107"/>
  <c r="H175" i="107"/>
  <c r="G175" i="107"/>
  <c r="G182" i="107" s="1"/>
  <c r="F175" i="107"/>
  <c r="F182" i="107" s="1"/>
  <c r="E175" i="107"/>
  <c r="E182" i="107" s="1"/>
  <c r="D175" i="107"/>
  <c r="C175" i="107"/>
  <c r="N172" i="107"/>
  <c r="M172" i="107"/>
  <c r="L172" i="107"/>
  <c r="K172" i="107"/>
  <c r="J172" i="107"/>
  <c r="I172" i="107"/>
  <c r="H172" i="107"/>
  <c r="G172" i="107"/>
  <c r="F172" i="107"/>
  <c r="E172" i="107"/>
  <c r="D172" i="107"/>
  <c r="C172" i="107"/>
  <c r="N171" i="107"/>
  <c r="M171" i="107"/>
  <c r="L171" i="107"/>
  <c r="K171" i="107"/>
  <c r="J171" i="107"/>
  <c r="I171" i="107"/>
  <c r="H171" i="107"/>
  <c r="G171" i="107"/>
  <c r="F171" i="107"/>
  <c r="E171" i="107"/>
  <c r="D171" i="107"/>
  <c r="C171" i="107"/>
  <c r="J170" i="107"/>
  <c r="I170" i="107"/>
  <c r="H170" i="107"/>
  <c r="G170" i="107"/>
  <c r="F170" i="107"/>
  <c r="E170" i="107"/>
  <c r="D170" i="107"/>
  <c r="C170" i="107"/>
  <c r="N168" i="107"/>
  <c r="M168" i="107"/>
  <c r="L168" i="107"/>
  <c r="K168" i="107"/>
  <c r="J168" i="107"/>
  <c r="I168" i="107"/>
  <c r="H168" i="107"/>
  <c r="G168" i="107"/>
  <c r="F168" i="107"/>
  <c r="E168" i="107"/>
  <c r="D168" i="107"/>
  <c r="C168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N166" i="107"/>
  <c r="M166" i="107"/>
  <c r="L166" i="107"/>
  <c r="K166" i="107"/>
  <c r="J166" i="107"/>
  <c r="I166" i="107"/>
  <c r="H166" i="107"/>
  <c r="G166" i="107"/>
  <c r="F166" i="107"/>
  <c r="E166" i="107"/>
  <c r="D166" i="107"/>
  <c r="C166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N164" i="107"/>
  <c r="M164" i="107"/>
  <c r="L164" i="107"/>
  <c r="K164" i="107"/>
  <c r="J164" i="107"/>
  <c r="I164" i="107"/>
  <c r="H164" i="107"/>
  <c r="G164" i="107"/>
  <c r="F164" i="107"/>
  <c r="E164" i="107"/>
  <c r="D164" i="107"/>
  <c r="C164" i="107"/>
  <c r="N163" i="107"/>
  <c r="M163" i="107"/>
  <c r="L163" i="107"/>
  <c r="K163" i="107"/>
  <c r="J163" i="107"/>
  <c r="I163" i="107"/>
  <c r="H163" i="107"/>
  <c r="G163" i="107"/>
  <c r="F163" i="107"/>
  <c r="E163" i="107"/>
  <c r="D163" i="107"/>
  <c r="C163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N161" i="107"/>
  <c r="M161" i="107"/>
  <c r="L161" i="107"/>
  <c r="K161" i="107"/>
  <c r="J161" i="107"/>
  <c r="I161" i="107"/>
  <c r="H161" i="107"/>
  <c r="G161" i="107"/>
  <c r="F161" i="107"/>
  <c r="E161" i="107"/>
  <c r="D161" i="107"/>
  <c r="C161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N159" i="107"/>
  <c r="M159" i="107"/>
  <c r="L159" i="107"/>
  <c r="K159" i="107"/>
  <c r="J159" i="107"/>
  <c r="I159" i="107"/>
  <c r="H159" i="107"/>
  <c r="G159" i="107"/>
  <c r="F159" i="107"/>
  <c r="E159" i="107"/>
  <c r="D159" i="107"/>
  <c r="C159" i="107"/>
  <c r="N158" i="107"/>
  <c r="M158" i="107"/>
  <c r="L158" i="107"/>
  <c r="K158" i="107"/>
  <c r="J158" i="107"/>
  <c r="I158" i="107"/>
  <c r="H158" i="107"/>
  <c r="G158" i="107"/>
  <c r="F158" i="107"/>
  <c r="E158" i="107"/>
  <c r="D158" i="107"/>
  <c r="C158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N156" i="107"/>
  <c r="M156" i="107"/>
  <c r="L156" i="107"/>
  <c r="K156" i="107"/>
  <c r="J156" i="107"/>
  <c r="I156" i="107"/>
  <c r="H156" i="107"/>
  <c r="G156" i="107"/>
  <c r="F156" i="107"/>
  <c r="E156" i="107"/>
  <c r="D156" i="107"/>
  <c r="C156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N154" i="107"/>
  <c r="M154" i="107"/>
  <c r="L154" i="107"/>
  <c r="K154" i="107"/>
  <c r="J154" i="107"/>
  <c r="I154" i="107"/>
  <c r="H154" i="107"/>
  <c r="G154" i="107"/>
  <c r="F154" i="107"/>
  <c r="E154" i="107"/>
  <c r="D154" i="107"/>
  <c r="C154" i="107"/>
  <c r="N153" i="107"/>
  <c r="M153" i="107"/>
  <c r="L153" i="107"/>
  <c r="K153" i="107"/>
  <c r="J153" i="107"/>
  <c r="I153" i="107"/>
  <c r="H153" i="107"/>
  <c r="G153" i="107"/>
  <c r="F153" i="107"/>
  <c r="E153" i="107"/>
  <c r="D153" i="107"/>
  <c r="C153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N151" i="107"/>
  <c r="M151" i="107"/>
  <c r="L151" i="107"/>
  <c r="K151" i="107"/>
  <c r="J151" i="107"/>
  <c r="I151" i="107"/>
  <c r="H151" i="107"/>
  <c r="G151" i="107"/>
  <c r="F151" i="107"/>
  <c r="E151" i="107"/>
  <c r="D151" i="107"/>
  <c r="C151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N149" i="107"/>
  <c r="M149" i="107"/>
  <c r="L149" i="107"/>
  <c r="K149" i="107"/>
  <c r="J149" i="107"/>
  <c r="I149" i="107"/>
  <c r="H149" i="107"/>
  <c r="G149" i="107"/>
  <c r="F149" i="107"/>
  <c r="E149" i="107"/>
  <c r="D149" i="107"/>
  <c r="C149" i="107"/>
  <c r="N148" i="107"/>
  <c r="M148" i="107"/>
  <c r="L148" i="107"/>
  <c r="K148" i="107"/>
  <c r="J148" i="107"/>
  <c r="I148" i="107"/>
  <c r="H148" i="107"/>
  <c r="G148" i="107"/>
  <c r="F148" i="107"/>
  <c r="E148" i="107"/>
  <c r="D148" i="107"/>
  <c r="C148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N146" i="107"/>
  <c r="M146" i="107"/>
  <c r="L146" i="107"/>
  <c r="K146" i="107"/>
  <c r="J146" i="107"/>
  <c r="I146" i="107"/>
  <c r="H146" i="107"/>
  <c r="G146" i="107"/>
  <c r="F146" i="107"/>
  <c r="E146" i="107"/>
  <c r="D146" i="107"/>
  <c r="C146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N144" i="107"/>
  <c r="M144" i="107"/>
  <c r="L144" i="107"/>
  <c r="K144" i="107"/>
  <c r="J144" i="107"/>
  <c r="I144" i="107"/>
  <c r="H144" i="107"/>
  <c r="G144" i="107"/>
  <c r="F144" i="107"/>
  <c r="E144" i="107"/>
  <c r="D144" i="107"/>
  <c r="C144" i="107"/>
  <c r="N143" i="107"/>
  <c r="M143" i="107"/>
  <c r="L143" i="107"/>
  <c r="K143" i="107"/>
  <c r="J143" i="107"/>
  <c r="I143" i="107"/>
  <c r="H143" i="107"/>
  <c r="G143" i="107"/>
  <c r="F143" i="107"/>
  <c r="E143" i="107"/>
  <c r="D143" i="107"/>
  <c r="C143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N141" i="107"/>
  <c r="M141" i="107"/>
  <c r="L141" i="107"/>
  <c r="K141" i="107"/>
  <c r="J141" i="107"/>
  <c r="I141" i="107"/>
  <c r="H141" i="107"/>
  <c r="G141" i="107"/>
  <c r="F141" i="107"/>
  <c r="E141" i="107"/>
  <c r="D141" i="107"/>
  <c r="C141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N139" i="107"/>
  <c r="M139" i="107"/>
  <c r="L139" i="107"/>
  <c r="K139" i="107"/>
  <c r="J139" i="107"/>
  <c r="I139" i="107"/>
  <c r="H139" i="107"/>
  <c r="G139" i="107"/>
  <c r="F139" i="107"/>
  <c r="E139" i="107"/>
  <c r="D139" i="107"/>
  <c r="C139" i="107"/>
  <c r="N138" i="107"/>
  <c r="M138" i="107"/>
  <c r="L138" i="107"/>
  <c r="K138" i="107"/>
  <c r="J138" i="107"/>
  <c r="I138" i="107"/>
  <c r="H138" i="107"/>
  <c r="G138" i="107"/>
  <c r="F138" i="107"/>
  <c r="E138" i="107"/>
  <c r="D138" i="107"/>
  <c r="C138" i="107"/>
  <c r="N137" i="107"/>
  <c r="N173" i="107" s="1"/>
  <c r="M137" i="107"/>
  <c r="M173" i="107" s="1"/>
  <c r="L137" i="107"/>
  <c r="K137" i="107"/>
  <c r="J137" i="107"/>
  <c r="I137" i="107"/>
  <c r="H137" i="107"/>
  <c r="G137" i="107"/>
  <c r="G173" i="107" s="1"/>
  <c r="F137" i="107"/>
  <c r="F173" i="107" s="1"/>
  <c r="E137" i="107"/>
  <c r="E173" i="107" s="1"/>
  <c r="D137" i="107"/>
  <c r="C137" i="107"/>
  <c r="M135" i="107"/>
  <c r="N134" i="107"/>
  <c r="M134" i="107"/>
  <c r="L134" i="107"/>
  <c r="K134" i="107"/>
  <c r="J134" i="107"/>
  <c r="I134" i="107"/>
  <c r="H134" i="107"/>
  <c r="G134" i="107"/>
  <c r="F134" i="107"/>
  <c r="E134" i="107"/>
  <c r="D134" i="107"/>
  <c r="C134" i="107"/>
  <c r="N133" i="107"/>
  <c r="M133" i="107"/>
  <c r="L133" i="107"/>
  <c r="K133" i="107"/>
  <c r="J133" i="107"/>
  <c r="I133" i="107"/>
  <c r="H133" i="107"/>
  <c r="G133" i="107"/>
  <c r="F133" i="107"/>
  <c r="E133" i="107"/>
  <c r="D133" i="107"/>
  <c r="C133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N131" i="107"/>
  <c r="M131" i="107"/>
  <c r="L131" i="107"/>
  <c r="K131" i="107"/>
  <c r="J131" i="107"/>
  <c r="I131" i="107"/>
  <c r="H131" i="107"/>
  <c r="G131" i="107"/>
  <c r="F131" i="107"/>
  <c r="E131" i="107"/>
  <c r="D131" i="107"/>
  <c r="C131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N129" i="107"/>
  <c r="M129" i="107"/>
  <c r="L129" i="107"/>
  <c r="K129" i="107"/>
  <c r="J129" i="107"/>
  <c r="I129" i="107"/>
  <c r="H129" i="107"/>
  <c r="G129" i="107"/>
  <c r="F129" i="107"/>
  <c r="E129" i="107"/>
  <c r="D129" i="107"/>
  <c r="C129" i="107"/>
  <c r="N128" i="107"/>
  <c r="M128" i="107"/>
  <c r="L128" i="107"/>
  <c r="K128" i="107"/>
  <c r="J128" i="107"/>
  <c r="I128" i="107"/>
  <c r="H128" i="107"/>
  <c r="G128" i="107"/>
  <c r="G135" i="107" s="1"/>
  <c r="F128" i="107"/>
  <c r="E128" i="107"/>
  <c r="D128" i="107"/>
  <c r="C128" i="107"/>
  <c r="N126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C124" i="107"/>
  <c r="N123" i="107"/>
  <c r="M123" i="107"/>
  <c r="L123" i="107"/>
  <c r="K123" i="107"/>
  <c r="J123" i="107"/>
  <c r="I123" i="107"/>
  <c r="H123" i="107"/>
  <c r="G123" i="107"/>
  <c r="F123" i="107"/>
  <c r="E123" i="107"/>
  <c r="D123" i="107"/>
  <c r="C123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N121" i="107"/>
  <c r="M121" i="107"/>
  <c r="L121" i="107"/>
  <c r="K121" i="107"/>
  <c r="J121" i="107"/>
  <c r="I121" i="107"/>
  <c r="H121" i="107"/>
  <c r="G121" i="107"/>
  <c r="F121" i="107"/>
  <c r="E121" i="107"/>
  <c r="D121" i="107"/>
  <c r="C121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N119" i="107"/>
  <c r="M119" i="107"/>
  <c r="L119" i="107"/>
  <c r="K119" i="107"/>
  <c r="J119" i="107"/>
  <c r="I119" i="107"/>
  <c r="H119" i="107"/>
  <c r="G119" i="107"/>
  <c r="F119" i="107"/>
  <c r="E119" i="107"/>
  <c r="D119" i="107"/>
  <c r="C119" i="107"/>
  <c r="N118" i="107"/>
  <c r="M118" i="107"/>
  <c r="L118" i="107"/>
  <c r="K118" i="107"/>
  <c r="J118" i="107"/>
  <c r="I118" i="107"/>
  <c r="H118" i="107"/>
  <c r="G118" i="107"/>
  <c r="F118" i="107"/>
  <c r="E118" i="107"/>
  <c r="D118" i="107"/>
  <c r="C118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N116" i="107"/>
  <c r="M116" i="107"/>
  <c r="L116" i="107"/>
  <c r="K116" i="107"/>
  <c r="J116" i="107"/>
  <c r="I116" i="107"/>
  <c r="H116" i="107"/>
  <c r="G116" i="107"/>
  <c r="F116" i="107"/>
  <c r="E116" i="107"/>
  <c r="D116" i="107"/>
  <c r="C116" i="107"/>
  <c r="N115" i="107"/>
  <c r="M115" i="107"/>
  <c r="L115" i="107"/>
  <c r="K115" i="107"/>
  <c r="J115" i="107"/>
  <c r="I115" i="107"/>
  <c r="H115" i="107"/>
  <c r="H126" i="107" s="1"/>
  <c r="G115" i="107"/>
  <c r="F115" i="107"/>
  <c r="E115" i="107"/>
  <c r="D115" i="107"/>
  <c r="C115" i="107"/>
  <c r="N109" i="107"/>
  <c r="M109" i="107"/>
  <c r="L109" i="107"/>
  <c r="K109" i="107"/>
  <c r="J109" i="107"/>
  <c r="J112" i="107" s="1"/>
  <c r="I109" i="107"/>
  <c r="H109" i="107"/>
  <c r="G109" i="107"/>
  <c r="F109" i="107"/>
  <c r="E109" i="107"/>
  <c r="D109" i="107"/>
  <c r="C109" i="107"/>
  <c r="O108" i="107"/>
  <c r="O107" i="107"/>
  <c r="N104" i="107"/>
  <c r="N111" i="107" s="1"/>
  <c r="M104" i="107"/>
  <c r="L104" i="107"/>
  <c r="L111" i="107" s="1"/>
  <c r="K104" i="107"/>
  <c r="J104" i="107"/>
  <c r="I104" i="107"/>
  <c r="H104" i="107"/>
  <c r="G104" i="107"/>
  <c r="F104" i="107"/>
  <c r="F111" i="107" s="1"/>
  <c r="E104" i="107"/>
  <c r="D104" i="107"/>
  <c r="D111" i="107" s="1"/>
  <c r="C104" i="107"/>
  <c r="O103" i="107"/>
  <c r="O102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U96" i="107"/>
  <c r="V96" i="107" s="1"/>
  <c r="O96" i="107"/>
  <c r="U95" i="107"/>
  <c r="V95" i="107" s="1"/>
  <c r="O95" i="107"/>
  <c r="N93" i="107"/>
  <c r="M93" i="107"/>
  <c r="L93" i="107"/>
  <c r="L112" i="107" s="1"/>
  <c r="K93" i="107"/>
  <c r="J93" i="107"/>
  <c r="I93" i="107"/>
  <c r="H93" i="107"/>
  <c r="G93" i="107"/>
  <c r="F93" i="107"/>
  <c r="E93" i="107"/>
  <c r="D93" i="107"/>
  <c r="D112" i="107" s="1"/>
  <c r="C93" i="107"/>
  <c r="U92" i="107"/>
  <c r="V92" i="107" s="1"/>
  <c r="O92" i="107"/>
  <c r="U91" i="107"/>
  <c r="V91" i="107" s="1"/>
  <c r="O91" i="107"/>
  <c r="U90" i="107"/>
  <c r="V90" i="107" s="1"/>
  <c r="O90" i="107"/>
  <c r="U89" i="107"/>
  <c r="V89" i="107" s="1"/>
  <c r="O89" i="107"/>
  <c r="L87" i="107"/>
  <c r="K87" i="107"/>
  <c r="J87" i="107"/>
  <c r="I87" i="107"/>
  <c r="H87" i="107"/>
  <c r="G87" i="107"/>
  <c r="F87" i="107"/>
  <c r="D87" i="107"/>
  <c r="C87" i="107"/>
  <c r="V86" i="107"/>
  <c r="U86" i="107"/>
  <c r="O86" i="107"/>
  <c r="U85" i="107"/>
  <c r="V85" i="107" s="1"/>
  <c r="O85" i="107"/>
  <c r="U84" i="107"/>
  <c r="V84" i="107" s="1"/>
  <c r="O84" i="107"/>
  <c r="U83" i="107"/>
  <c r="V83" i="107" s="1"/>
  <c r="O83" i="107"/>
  <c r="U82" i="107"/>
  <c r="V82" i="107" s="1"/>
  <c r="O82" i="107"/>
  <c r="U81" i="107"/>
  <c r="V81" i="107" s="1"/>
  <c r="O81" i="107"/>
  <c r="V80" i="107"/>
  <c r="U80" i="107"/>
  <c r="O80" i="107"/>
  <c r="U79" i="107"/>
  <c r="V79" i="107" s="1"/>
  <c r="O79" i="107"/>
  <c r="V78" i="107"/>
  <c r="U78" i="107"/>
  <c r="O78" i="107"/>
  <c r="U77" i="107"/>
  <c r="V77" i="107" s="1"/>
  <c r="O77" i="107"/>
  <c r="V76" i="107"/>
  <c r="U76" i="107"/>
  <c r="O76" i="107"/>
  <c r="U75" i="107"/>
  <c r="V75" i="107" s="1"/>
  <c r="O75" i="107"/>
  <c r="U74" i="107"/>
  <c r="V74" i="107" s="1"/>
  <c r="O74" i="107"/>
  <c r="N73" i="107"/>
  <c r="N87" i="107" s="1"/>
  <c r="M73" i="107"/>
  <c r="M87" i="107" s="1"/>
  <c r="L73" i="107"/>
  <c r="E73" i="107"/>
  <c r="N71" i="107"/>
  <c r="M71" i="107"/>
  <c r="L71" i="107"/>
  <c r="K71" i="107"/>
  <c r="J71" i="107"/>
  <c r="I71" i="107"/>
  <c r="H71" i="107"/>
  <c r="G71" i="107"/>
  <c r="F71" i="107"/>
  <c r="E71" i="107"/>
  <c r="D71" i="107"/>
  <c r="C71" i="107"/>
  <c r="V70" i="107"/>
  <c r="U70" i="107"/>
  <c r="R70" i="107"/>
  <c r="O70" i="107"/>
  <c r="U69" i="107"/>
  <c r="V69" i="107" s="1"/>
  <c r="R69" i="107"/>
  <c r="O69" i="107"/>
  <c r="V68" i="107"/>
  <c r="U68" i="107"/>
  <c r="R68" i="107"/>
  <c r="O68" i="107"/>
  <c r="U67" i="107"/>
  <c r="V67" i="107" s="1"/>
  <c r="R67" i="107"/>
  <c r="O67" i="107"/>
  <c r="V66" i="107"/>
  <c r="U66" i="107"/>
  <c r="R66" i="107"/>
  <c r="O66" i="107"/>
  <c r="U65" i="107"/>
  <c r="V65" i="107" s="1"/>
  <c r="R65" i="107"/>
  <c r="O65" i="107"/>
  <c r="U64" i="107"/>
  <c r="V64" i="107" s="1"/>
  <c r="R64" i="107"/>
  <c r="O64" i="107"/>
  <c r="N62" i="107"/>
  <c r="M62" i="107"/>
  <c r="L62" i="107"/>
  <c r="J62" i="107"/>
  <c r="I62" i="107"/>
  <c r="H62" i="107"/>
  <c r="G62" i="107"/>
  <c r="F62" i="107"/>
  <c r="E62" i="107"/>
  <c r="D62" i="107"/>
  <c r="U61" i="107"/>
  <c r="V61" i="107" s="1"/>
  <c r="R61" i="107"/>
  <c r="O61" i="107"/>
  <c r="U60" i="107"/>
  <c r="V60" i="107" s="1"/>
  <c r="R60" i="107"/>
  <c r="O60" i="107"/>
  <c r="R59" i="107"/>
  <c r="K59" i="107"/>
  <c r="R58" i="107"/>
  <c r="D58" i="107"/>
  <c r="C58" i="107"/>
  <c r="U57" i="107"/>
  <c r="V57" i="107" s="1"/>
  <c r="R57" i="107"/>
  <c r="O57" i="107"/>
  <c r="U56" i="107"/>
  <c r="V56" i="107" s="1"/>
  <c r="R56" i="107"/>
  <c r="O56" i="107"/>
  <c r="U55" i="107"/>
  <c r="V55" i="107" s="1"/>
  <c r="R55" i="107"/>
  <c r="O55" i="107"/>
  <c r="U54" i="107"/>
  <c r="V54" i="107" s="1"/>
  <c r="R54" i="107"/>
  <c r="O54" i="107"/>
  <c r="U53" i="107"/>
  <c r="V53" i="107" s="1"/>
  <c r="R53" i="107"/>
  <c r="O53" i="107"/>
  <c r="U52" i="107"/>
  <c r="V52" i="107" s="1"/>
  <c r="R52" i="107"/>
  <c r="O52" i="107"/>
  <c r="U51" i="107"/>
  <c r="V51" i="107" s="1"/>
  <c r="R51" i="107"/>
  <c r="O51" i="107"/>
  <c r="U50" i="107"/>
  <c r="V50" i="107" s="1"/>
  <c r="R50" i="107"/>
  <c r="O50" i="107"/>
  <c r="U49" i="107"/>
  <c r="V49" i="107" s="1"/>
  <c r="R49" i="107"/>
  <c r="O49" i="107"/>
  <c r="U48" i="107"/>
  <c r="V48" i="107" s="1"/>
  <c r="R48" i="107"/>
  <c r="O48" i="107"/>
  <c r="U47" i="107"/>
  <c r="V47" i="107" s="1"/>
  <c r="R47" i="107"/>
  <c r="O47" i="107"/>
  <c r="U46" i="107"/>
  <c r="V46" i="107" s="1"/>
  <c r="R46" i="107"/>
  <c r="O46" i="107"/>
  <c r="U45" i="107"/>
  <c r="V45" i="107" s="1"/>
  <c r="R45" i="107"/>
  <c r="O45" i="107"/>
  <c r="U44" i="107"/>
  <c r="V44" i="107" s="1"/>
  <c r="R44" i="107"/>
  <c r="O44" i="107"/>
  <c r="U43" i="107"/>
  <c r="V43" i="107" s="1"/>
  <c r="R43" i="107"/>
  <c r="O43" i="107"/>
  <c r="U42" i="107"/>
  <c r="V42" i="107" s="1"/>
  <c r="R42" i="107"/>
  <c r="O42" i="107"/>
  <c r="U41" i="107"/>
  <c r="V41" i="107" s="1"/>
  <c r="R41" i="107"/>
  <c r="O41" i="107"/>
  <c r="U40" i="107"/>
  <c r="V40" i="107" s="1"/>
  <c r="R40" i="107"/>
  <c r="O40" i="107"/>
  <c r="U39" i="107"/>
  <c r="V39" i="107" s="1"/>
  <c r="R39" i="107"/>
  <c r="O39" i="107"/>
  <c r="U38" i="107"/>
  <c r="V38" i="107" s="1"/>
  <c r="R38" i="107"/>
  <c r="O38" i="107"/>
  <c r="U37" i="107"/>
  <c r="V37" i="107" s="1"/>
  <c r="R37" i="107"/>
  <c r="O37" i="107"/>
  <c r="U36" i="107"/>
  <c r="V36" i="107" s="1"/>
  <c r="R36" i="107"/>
  <c r="O36" i="107"/>
  <c r="U35" i="107"/>
  <c r="V35" i="107" s="1"/>
  <c r="R35" i="107"/>
  <c r="O35" i="107"/>
  <c r="U34" i="107"/>
  <c r="V34" i="107" s="1"/>
  <c r="R34" i="107"/>
  <c r="O34" i="107"/>
  <c r="U33" i="107"/>
  <c r="V33" i="107" s="1"/>
  <c r="R33" i="107"/>
  <c r="O33" i="107"/>
  <c r="U32" i="107"/>
  <c r="V32" i="107" s="1"/>
  <c r="R32" i="107"/>
  <c r="O32" i="107"/>
  <c r="U31" i="107"/>
  <c r="V31" i="107" s="1"/>
  <c r="R31" i="107"/>
  <c r="O31" i="107"/>
  <c r="U30" i="107"/>
  <c r="V30" i="107" s="1"/>
  <c r="R30" i="107"/>
  <c r="O30" i="107"/>
  <c r="V29" i="107"/>
  <c r="U29" i="107"/>
  <c r="R29" i="107"/>
  <c r="O29" i="107"/>
  <c r="U28" i="107"/>
  <c r="V28" i="107" s="1"/>
  <c r="R28" i="107"/>
  <c r="O28" i="107"/>
  <c r="U27" i="107"/>
  <c r="V27" i="107" s="1"/>
  <c r="R27" i="107"/>
  <c r="O27" i="107"/>
  <c r="U26" i="107"/>
  <c r="V26" i="107" s="1"/>
  <c r="R26" i="107"/>
  <c r="O26" i="107"/>
  <c r="N24" i="107"/>
  <c r="M24" i="107"/>
  <c r="L24" i="107"/>
  <c r="K24" i="107"/>
  <c r="J24" i="107"/>
  <c r="I24" i="107"/>
  <c r="H24" i="107"/>
  <c r="G24" i="107"/>
  <c r="F24" i="107"/>
  <c r="E24" i="107"/>
  <c r="D24" i="107"/>
  <c r="C24" i="107"/>
  <c r="V23" i="107"/>
  <c r="U23" i="107"/>
  <c r="R23" i="107"/>
  <c r="O23" i="107"/>
  <c r="U22" i="107"/>
  <c r="V22" i="107" s="1"/>
  <c r="R22" i="107"/>
  <c r="O22" i="107"/>
  <c r="V21" i="107"/>
  <c r="U21" i="107"/>
  <c r="R21" i="107"/>
  <c r="O21" i="107"/>
  <c r="U20" i="107"/>
  <c r="V20" i="107" s="1"/>
  <c r="R20" i="107"/>
  <c r="O20" i="107"/>
  <c r="U19" i="107"/>
  <c r="V19" i="107" s="1"/>
  <c r="R19" i="107"/>
  <c r="O19" i="107"/>
  <c r="U18" i="107"/>
  <c r="V18" i="107" s="1"/>
  <c r="R18" i="107"/>
  <c r="O18" i="107"/>
  <c r="U17" i="107"/>
  <c r="V17" i="107" s="1"/>
  <c r="R17" i="107"/>
  <c r="O17" i="107"/>
  <c r="N15" i="107"/>
  <c r="M15" i="107"/>
  <c r="L15" i="107"/>
  <c r="K15" i="107"/>
  <c r="J15" i="107"/>
  <c r="I15" i="107"/>
  <c r="H15" i="107"/>
  <c r="G15" i="107"/>
  <c r="F15" i="107"/>
  <c r="E15" i="107"/>
  <c r="D15" i="107"/>
  <c r="C15" i="107"/>
  <c r="V14" i="107"/>
  <c r="U14" i="107"/>
  <c r="R14" i="107"/>
  <c r="O14" i="107"/>
  <c r="U13" i="107"/>
  <c r="V13" i="107" s="1"/>
  <c r="R13" i="107"/>
  <c r="O13" i="107"/>
  <c r="U12" i="107"/>
  <c r="V12" i="107" s="1"/>
  <c r="R12" i="107"/>
  <c r="O12" i="107"/>
  <c r="U11" i="107"/>
  <c r="V11" i="107" s="1"/>
  <c r="R11" i="107"/>
  <c r="O11" i="107"/>
  <c r="U10" i="107"/>
  <c r="V10" i="107" s="1"/>
  <c r="R10" i="107"/>
  <c r="O10" i="107"/>
  <c r="U9" i="107"/>
  <c r="V9" i="107" s="1"/>
  <c r="R9" i="107"/>
  <c r="O9" i="107"/>
  <c r="U8" i="107"/>
  <c r="V8" i="107" s="1"/>
  <c r="R8" i="107"/>
  <c r="O8" i="107"/>
  <c r="U7" i="107"/>
  <c r="V7" i="107" s="1"/>
  <c r="R7" i="107"/>
  <c r="O7" i="107"/>
  <c r="U6" i="107"/>
  <c r="V6" i="107" s="1"/>
  <c r="R6" i="107"/>
  <c r="O6" i="107"/>
  <c r="U5" i="107"/>
  <c r="V5" i="107" s="1"/>
  <c r="R5" i="107"/>
  <c r="O5" i="107"/>
  <c r="U4" i="107"/>
  <c r="V4" i="107" s="1"/>
  <c r="R4" i="107"/>
  <c r="O4" i="107"/>
  <c r="A3" i="107"/>
  <c r="A4" i="107" s="1"/>
  <c r="A5" i="107" s="1"/>
  <c r="A6" i="107" s="1"/>
  <c r="A7" i="107" s="1"/>
  <c r="A8" i="107" s="1"/>
  <c r="A9" i="107" s="1"/>
  <c r="A10" i="107" s="1"/>
  <c r="A11" i="107" s="1"/>
  <c r="A12" i="107" s="1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A45" i="107" s="1"/>
  <c r="A46" i="107" s="1"/>
  <c r="A47" i="107" s="1"/>
  <c r="A48" i="107" s="1"/>
  <c r="A49" i="107" s="1"/>
  <c r="A50" i="107" s="1"/>
  <c r="A51" i="107" s="1"/>
  <c r="A52" i="107" s="1"/>
  <c r="A53" i="107" s="1"/>
  <c r="A54" i="107" s="1"/>
  <c r="A55" i="107" s="1"/>
  <c r="A56" i="107" s="1"/>
  <c r="A57" i="107" s="1"/>
  <c r="A58" i="107" s="1"/>
  <c r="A59" i="107" s="1"/>
  <c r="A60" i="107" s="1"/>
  <c r="A61" i="107" s="1"/>
  <c r="A62" i="107" s="1"/>
  <c r="A63" i="107" s="1"/>
  <c r="A64" i="107" s="1"/>
  <c r="A65" i="107" s="1"/>
  <c r="A66" i="107" s="1"/>
  <c r="A67" i="107" s="1"/>
  <c r="A68" i="107" s="1"/>
  <c r="A69" i="107" s="1"/>
  <c r="A70" i="107" s="1"/>
  <c r="A71" i="107" s="1"/>
  <c r="A72" i="107" s="1"/>
  <c r="A73" i="107" s="1"/>
  <c r="A74" i="107" s="1"/>
  <c r="A75" i="107" s="1"/>
  <c r="A76" i="107" s="1"/>
  <c r="A77" i="107" s="1"/>
  <c r="A78" i="107" s="1"/>
  <c r="A79" i="107" s="1"/>
  <c r="A80" i="107" s="1"/>
  <c r="A81" i="107" s="1"/>
  <c r="A82" i="107" s="1"/>
  <c r="A83" i="107" s="1"/>
  <c r="A84" i="107" s="1"/>
  <c r="A85" i="107" s="1"/>
  <c r="A86" i="107" s="1"/>
  <c r="A87" i="107" s="1"/>
  <c r="A88" i="107" s="1"/>
  <c r="A89" i="107" s="1"/>
  <c r="A90" i="107" s="1"/>
  <c r="A91" i="107" s="1"/>
  <c r="A92" i="107" s="1"/>
  <c r="A93" i="107" s="1"/>
  <c r="A94" i="107" s="1"/>
  <c r="A95" i="107" s="1"/>
  <c r="A96" i="107" s="1"/>
  <c r="A97" i="107" s="1"/>
  <c r="A98" i="107" s="1"/>
  <c r="A99" i="107" s="1"/>
  <c r="A100" i="107" s="1"/>
  <c r="A101" i="107" s="1"/>
  <c r="A102" i="107" s="1"/>
  <c r="A103" i="107" s="1"/>
  <c r="A104" i="107" s="1"/>
  <c r="A105" i="107" s="1"/>
  <c r="A106" i="107" s="1"/>
  <c r="A107" i="107" s="1"/>
  <c r="A108" i="107" s="1"/>
  <c r="A109" i="107" s="1"/>
  <c r="A110" i="107" s="1"/>
  <c r="A111" i="107" s="1"/>
  <c r="A112" i="107" s="1"/>
  <c r="A113" i="107" s="1"/>
  <c r="A114" i="107" s="1"/>
  <c r="A115" i="107" s="1"/>
  <c r="A116" i="107" s="1"/>
  <c r="A117" i="107" s="1"/>
  <c r="A118" i="107" s="1"/>
  <c r="A119" i="107" s="1"/>
  <c r="A120" i="107" s="1"/>
  <c r="A121" i="107" s="1"/>
  <c r="A122" i="107" s="1"/>
  <c r="A123" i="107" s="1"/>
  <c r="A124" i="107" s="1"/>
  <c r="A125" i="107" s="1"/>
  <c r="A126" i="107" s="1"/>
  <c r="A127" i="107" s="1"/>
  <c r="A128" i="107" s="1"/>
  <c r="A129" i="107" s="1"/>
  <c r="A130" i="107" s="1"/>
  <c r="A131" i="107" s="1"/>
  <c r="A132" i="107" s="1"/>
  <c r="A133" i="107" s="1"/>
  <c r="A134" i="107" s="1"/>
  <c r="A135" i="107" s="1"/>
  <c r="A136" i="107" s="1"/>
  <c r="A137" i="107" s="1"/>
  <c r="A138" i="107" s="1"/>
  <c r="A139" i="107" s="1"/>
  <c r="A140" i="107" s="1"/>
  <c r="A141" i="107" s="1"/>
  <c r="A142" i="107" s="1"/>
  <c r="A143" i="107" s="1"/>
  <c r="A144" i="107" s="1"/>
  <c r="A145" i="107" s="1"/>
  <c r="A146" i="107" s="1"/>
  <c r="A147" i="107" s="1"/>
  <c r="A148" i="107" s="1"/>
  <c r="A149" i="107" s="1"/>
  <c r="A150" i="107" s="1"/>
  <c r="A151" i="107" s="1"/>
  <c r="A152" i="107" s="1"/>
  <c r="A153" i="107" s="1"/>
  <c r="A154" i="107" s="1"/>
  <c r="A155" i="107" s="1"/>
  <c r="A156" i="107" s="1"/>
  <c r="A157" i="107" s="1"/>
  <c r="A158" i="107" s="1"/>
  <c r="A159" i="107" s="1"/>
  <c r="A160" i="107" s="1"/>
  <c r="A161" i="107" s="1"/>
  <c r="A162" i="107" s="1"/>
  <c r="A163" i="107" s="1"/>
  <c r="A164" i="107" s="1"/>
  <c r="A165" i="107" s="1"/>
  <c r="A166" i="107" s="1"/>
  <c r="A167" i="107" s="1"/>
  <c r="A168" i="107" s="1"/>
  <c r="A169" i="107" s="1"/>
  <c r="A170" i="107" s="1"/>
  <c r="A171" i="107" s="1"/>
  <c r="A172" i="107" s="1"/>
  <c r="A173" i="107" s="1"/>
  <c r="A174" i="107" s="1"/>
  <c r="A175" i="107" s="1"/>
  <c r="A176" i="107" s="1"/>
  <c r="A177" i="107" s="1"/>
  <c r="A178" i="107" s="1"/>
  <c r="A179" i="107" s="1"/>
  <c r="A180" i="107" s="1"/>
  <c r="A181" i="107" s="1"/>
  <c r="A182" i="107" s="1"/>
  <c r="A183" i="107" s="1"/>
  <c r="A184" i="107" s="1"/>
  <c r="A185" i="107" s="1"/>
  <c r="A186" i="107" s="1"/>
  <c r="A187" i="107" s="1"/>
  <c r="A188" i="107" s="1"/>
  <c r="A189" i="107" s="1"/>
  <c r="A190" i="107" s="1"/>
  <c r="A191" i="107" s="1"/>
  <c r="A192" i="107" s="1"/>
  <c r="A193" i="107" s="1"/>
  <c r="A194" i="107" s="1"/>
  <c r="A195" i="107" s="1"/>
  <c r="A196" i="107" s="1"/>
  <c r="A197" i="107" s="1"/>
  <c r="A198" i="107" s="1"/>
  <c r="A199" i="107" s="1"/>
  <c r="A200" i="107" s="1"/>
  <c r="A201" i="107" s="1"/>
  <c r="A202" i="107" s="1"/>
  <c r="A203" i="107" s="1"/>
  <c r="A204" i="107" s="1"/>
  <c r="A205" i="107" s="1"/>
  <c r="A206" i="107" s="1"/>
  <c r="A207" i="107" s="1"/>
  <c r="A208" i="107" s="1"/>
  <c r="A209" i="107" s="1"/>
  <c r="A210" i="107" s="1"/>
  <c r="A211" i="107" s="1"/>
  <c r="A212" i="107" s="1"/>
  <c r="A213" i="107" s="1"/>
  <c r="A214" i="107" s="1"/>
  <c r="A215" i="107" s="1"/>
  <c r="A216" i="107" s="1"/>
  <c r="A217" i="107" s="1"/>
  <c r="R257" i="108"/>
  <c r="O257" i="108"/>
  <c r="O256" i="108"/>
  <c r="R256" i="108" s="1"/>
  <c r="O255" i="108"/>
  <c r="R255" i="108" s="1"/>
  <c r="O254" i="108"/>
  <c r="R254" i="108" s="1"/>
  <c r="R253" i="108"/>
  <c r="O253" i="108"/>
  <c r="O252" i="108"/>
  <c r="R252" i="108" s="1"/>
  <c r="N243" i="108"/>
  <c r="N242" i="108"/>
  <c r="M242" i="108"/>
  <c r="L242" i="108"/>
  <c r="L243" i="108" s="1"/>
  <c r="K242" i="108"/>
  <c r="J242" i="108"/>
  <c r="I242" i="108"/>
  <c r="H242" i="108"/>
  <c r="G242" i="108"/>
  <c r="F242" i="108"/>
  <c r="E242" i="108"/>
  <c r="D242" i="108"/>
  <c r="D243" i="108" s="1"/>
  <c r="C242" i="108"/>
  <c r="N241" i="108"/>
  <c r="M241" i="108"/>
  <c r="L241" i="108"/>
  <c r="K241" i="108"/>
  <c r="K243" i="108" s="1"/>
  <c r="J241" i="108"/>
  <c r="I241" i="108"/>
  <c r="H241" i="108"/>
  <c r="H243" i="108" s="1"/>
  <c r="G241" i="108"/>
  <c r="G243" i="108" s="1"/>
  <c r="F241" i="108"/>
  <c r="F243" i="108" s="1"/>
  <c r="E241" i="108"/>
  <c r="D241" i="108"/>
  <c r="C241" i="108"/>
  <c r="N237" i="108"/>
  <c r="M237" i="108"/>
  <c r="L237" i="108"/>
  <c r="K237" i="108"/>
  <c r="J237" i="108"/>
  <c r="I237" i="108"/>
  <c r="H237" i="108"/>
  <c r="G237" i="108"/>
  <c r="F237" i="108"/>
  <c r="E237" i="108"/>
  <c r="D237" i="108"/>
  <c r="C237" i="108"/>
  <c r="N236" i="108"/>
  <c r="M236" i="108"/>
  <c r="L236" i="108"/>
  <c r="K236" i="108"/>
  <c r="J236" i="108"/>
  <c r="I236" i="108"/>
  <c r="H236" i="108"/>
  <c r="G236" i="108"/>
  <c r="O236" i="108" s="1"/>
  <c r="F236" i="108"/>
  <c r="E236" i="108"/>
  <c r="D236" i="108"/>
  <c r="C236" i="108"/>
  <c r="F235" i="108"/>
  <c r="E235" i="108"/>
  <c r="D235" i="108"/>
  <c r="C235" i="108"/>
  <c r="F234" i="108"/>
  <c r="E234" i="108"/>
  <c r="D234" i="108"/>
  <c r="C234" i="108"/>
  <c r="F233" i="108"/>
  <c r="E233" i="108"/>
  <c r="D233" i="108"/>
  <c r="C233" i="108"/>
  <c r="G232" i="108"/>
  <c r="F232" i="108"/>
  <c r="E232" i="108"/>
  <c r="D232" i="108"/>
  <c r="D238" i="108" s="1"/>
  <c r="C232" i="108"/>
  <c r="L225" i="108"/>
  <c r="N224" i="108"/>
  <c r="M224" i="108"/>
  <c r="L224" i="108"/>
  <c r="K224" i="108"/>
  <c r="K225" i="108" s="1"/>
  <c r="J224" i="108"/>
  <c r="I224" i="108"/>
  <c r="H224" i="108"/>
  <c r="G224" i="108"/>
  <c r="F224" i="108"/>
  <c r="E224" i="108"/>
  <c r="D224" i="108"/>
  <c r="C224" i="108"/>
  <c r="N223" i="108"/>
  <c r="M223" i="108"/>
  <c r="M225" i="108" s="1"/>
  <c r="L223" i="108"/>
  <c r="K223" i="108"/>
  <c r="J223" i="108"/>
  <c r="I223" i="108"/>
  <c r="I225" i="108" s="1"/>
  <c r="H223" i="108"/>
  <c r="G223" i="108"/>
  <c r="G225" i="108" s="1"/>
  <c r="F223" i="108"/>
  <c r="E223" i="108"/>
  <c r="E225" i="108" s="1"/>
  <c r="D223" i="108"/>
  <c r="D225" i="108" s="1"/>
  <c r="C223" i="108"/>
  <c r="H221" i="108"/>
  <c r="N220" i="108"/>
  <c r="M220" i="108"/>
  <c r="M221" i="108" s="1"/>
  <c r="L220" i="108"/>
  <c r="K220" i="108"/>
  <c r="J220" i="108"/>
  <c r="I220" i="108"/>
  <c r="H220" i="108"/>
  <c r="G220" i="108"/>
  <c r="G221" i="108" s="1"/>
  <c r="G227" i="108" s="1"/>
  <c r="F220" i="108"/>
  <c r="E220" i="108"/>
  <c r="E221" i="108" s="1"/>
  <c r="D220" i="108"/>
  <c r="C220" i="108"/>
  <c r="N219" i="108"/>
  <c r="M219" i="108"/>
  <c r="L219" i="108"/>
  <c r="L221" i="108" s="1"/>
  <c r="L227" i="108" s="1"/>
  <c r="K219" i="108"/>
  <c r="K221" i="108" s="1"/>
  <c r="K227" i="108" s="1"/>
  <c r="J219" i="108"/>
  <c r="I219" i="108"/>
  <c r="I221" i="108" s="1"/>
  <c r="H219" i="108"/>
  <c r="G219" i="108"/>
  <c r="F219" i="108"/>
  <c r="E219" i="108"/>
  <c r="D219" i="108"/>
  <c r="D221" i="108" s="1"/>
  <c r="C219" i="108"/>
  <c r="J215" i="108"/>
  <c r="N214" i="108"/>
  <c r="N215" i="108" s="1"/>
  <c r="M214" i="108"/>
  <c r="M215" i="108" s="1"/>
  <c r="L214" i="108"/>
  <c r="L215" i="108" s="1"/>
  <c r="K214" i="108"/>
  <c r="K215" i="108" s="1"/>
  <c r="J214" i="108"/>
  <c r="I214" i="108"/>
  <c r="I215" i="108" s="1"/>
  <c r="H214" i="108"/>
  <c r="H215" i="108" s="1"/>
  <c r="G214" i="108"/>
  <c r="G215" i="108" s="1"/>
  <c r="F214" i="108"/>
  <c r="F215" i="108" s="1"/>
  <c r="E214" i="108"/>
  <c r="E215" i="108" s="1"/>
  <c r="D214" i="108"/>
  <c r="D215" i="108" s="1"/>
  <c r="C214" i="108"/>
  <c r="C215" i="108" s="1"/>
  <c r="G211" i="108"/>
  <c r="F211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N209" i="108"/>
  <c r="N211" i="108" s="1"/>
  <c r="M209" i="108"/>
  <c r="M211" i="108" s="1"/>
  <c r="L209" i="108"/>
  <c r="L211" i="108" s="1"/>
  <c r="K209" i="108"/>
  <c r="K211" i="108" s="1"/>
  <c r="J209" i="108"/>
  <c r="J211" i="108" s="1"/>
  <c r="I209" i="108"/>
  <c r="I211" i="108" s="1"/>
  <c r="H209" i="108"/>
  <c r="H211" i="108" s="1"/>
  <c r="G209" i="108"/>
  <c r="F209" i="108"/>
  <c r="E209" i="108"/>
  <c r="E211" i="108" s="1"/>
  <c r="D209" i="108"/>
  <c r="D211" i="108" s="1"/>
  <c r="C209" i="108"/>
  <c r="O208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N204" i="108"/>
  <c r="M204" i="108"/>
  <c r="L204" i="108"/>
  <c r="K204" i="108"/>
  <c r="J204" i="108"/>
  <c r="I204" i="108"/>
  <c r="H204" i="108"/>
  <c r="G204" i="108"/>
  <c r="F204" i="108"/>
  <c r="E204" i="108"/>
  <c r="D204" i="108"/>
  <c r="C204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N201" i="108"/>
  <c r="M201" i="108"/>
  <c r="L201" i="108"/>
  <c r="K201" i="108"/>
  <c r="J201" i="108"/>
  <c r="I201" i="108"/>
  <c r="H201" i="108"/>
  <c r="G201" i="108"/>
  <c r="F201" i="108"/>
  <c r="E201" i="108"/>
  <c r="D201" i="108"/>
  <c r="C201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N199" i="108"/>
  <c r="M199" i="108"/>
  <c r="L199" i="108"/>
  <c r="K199" i="108"/>
  <c r="J199" i="108"/>
  <c r="I199" i="108"/>
  <c r="H199" i="108"/>
  <c r="G199" i="108"/>
  <c r="F199" i="108"/>
  <c r="E199" i="108"/>
  <c r="D199" i="108"/>
  <c r="C199" i="108"/>
  <c r="N198" i="108"/>
  <c r="M198" i="108"/>
  <c r="L198" i="108"/>
  <c r="L206" i="108" s="1"/>
  <c r="K198" i="108"/>
  <c r="J198" i="108"/>
  <c r="I198" i="108"/>
  <c r="H198" i="108"/>
  <c r="G198" i="108"/>
  <c r="F198" i="108"/>
  <c r="E198" i="108"/>
  <c r="D198" i="108"/>
  <c r="D206" i="108" s="1"/>
  <c r="C198" i="108"/>
  <c r="N197" i="108"/>
  <c r="M197" i="108"/>
  <c r="L197" i="108"/>
  <c r="K197" i="108"/>
  <c r="J197" i="108"/>
  <c r="I197" i="108"/>
  <c r="H197" i="108"/>
  <c r="H206" i="108" s="1"/>
  <c r="G197" i="108"/>
  <c r="F197" i="108"/>
  <c r="E197" i="108"/>
  <c r="D197" i="108"/>
  <c r="C197" i="108"/>
  <c r="N194" i="108"/>
  <c r="M194" i="108"/>
  <c r="L194" i="108"/>
  <c r="K194" i="108"/>
  <c r="J194" i="108"/>
  <c r="I194" i="108"/>
  <c r="H194" i="108"/>
  <c r="G194" i="108"/>
  <c r="F194" i="108"/>
  <c r="E194" i="108"/>
  <c r="D194" i="108"/>
  <c r="C194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N192" i="108"/>
  <c r="M192" i="108"/>
  <c r="L192" i="108"/>
  <c r="K192" i="108"/>
  <c r="J192" i="108"/>
  <c r="I192" i="108"/>
  <c r="H192" i="108"/>
  <c r="G192" i="108"/>
  <c r="F192" i="108"/>
  <c r="E192" i="108"/>
  <c r="D192" i="108"/>
  <c r="C192" i="108"/>
  <c r="N191" i="108"/>
  <c r="M191" i="108"/>
  <c r="L191" i="108"/>
  <c r="K191" i="108"/>
  <c r="J191" i="108"/>
  <c r="I191" i="108"/>
  <c r="H191" i="108"/>
  <c r="G191" i="108"/>
  <c r="F191" i="108"/>
  <c r="E191" i="108"/>
  <c r="D191" i="108"/>
  <c r="C191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N189" i="108"/>
  <c r="M189" i="108"/>
  <c r="L189" i="108"/>
  <c r="K189" i="108"/>
  <c r="J189" i="108"/>
  <c r="I189" i="108"/>
  <c r="H189" i="108"/>
  <c r="G189" i="108"/>
  <c r="F189" i="108"/>
  <c r="E189" i="108"/>
  <c r="D189" i="108"/>
  <c r="C189" i="108"/>
  <c r="N188" i="108"/>
  <c r="N195" i="108" s="1"/>
  <c r="M188" i="108"/>
  <c r="L188" i="108"/>
  <c r="K188" i="108"/>
  <c r="K195" i="108" s="1"/>
  <c r="J188" i="108"/>
  <c r="I188" i="108"/>
  <c r="H188" i="108"/>
  <c r="G188" i="108"/>
  <c r="F188" i="108"/>
  <c r="F195" i="108" s="1"/>
  <c r="E188" i="108"/>
  <c r="D188" i="108"/>
  <c r="C188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N184" i="108"/>
  <c r="M184" i="108"/>
  <c r="L184" i="108"/>
  <c r="K184" i="108"/>
  <c r="J184" i="108"/>
  <c r="I184" i="108"/>
  <c r="H184" i="108"/>
  <c r="G184" i="108"/>
  <c r="F184" i="108"/>
  <c r="O184" i="108" s="1"/>
  <c r="E184" i="108"/>
  <c r="D184" i="108"/>
  <c r="C184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N182" i="108"/>
  <c r="M182" i="108"/>
  <c r="L182" i="108"/>
  <c r="K182" i="108"/>
  <c r="J182" i="108"/>
  <c r="I182" i="108"/>
  <c r="H182" i="108"/>
  <c r="G182" i="108"/>
  <c r="F182" i="108"/>
  <c r="E182" i="108"/>
  <c r="D182" i="108"/>
  <c r="C182" i="108"/>
  <c r="N181" i="108"/>
  <c r="M181" i="108"/>
  <c r="L181" i="108"/>
  <c r="K181" i="108"/>
  <c r="J181" i="108"/>
  <c r="I181" i="108"/>
  <c r="H181" i="108"/>
  <c r="G181" i="108"/>
  <c r="F181" i="108"/>
  <c r="E181" i="108"/>
  <c r="D181" i="108"/>
  <c r="C181" i="108"/>
  <c r="N180" i="108"/>
  <c r="M180" i="108"/>
  <c r="L180" i="108"/>
  <c r="K180" i="108"/>
  <c r="J180" i="108"/>
  <c r="I180" i="108"/>
  <c r="H180" i="108"/>
  <c r="G180" i="108"/>
  <c r="F180" i="108"/>
  <c r="O180" i="108" s="1"/>
  <c r="E180" i="108"/>
  <c r="D180" i="108"/>
  <c r="C180" i="108"/>
  <c r="N179" i="108"/>
  <c r="M179" i="108"/>
  <c r="L179" i="108"/>
  <c r="K179" i="108"/>
  <c r="J179" i="108"/>
  <c r="I179" i="108"/>
  <c r="H179" i="108"/>
  <c r="G179" i="108"/>
  <c r="F179" i="108"/>
  <c r="E179" i="108"/>
  <c r="D179" i="108"/>
  <c r="C179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N177" i="108"/>
  <c r="M177" i="108"/>
  <c r="L177" i="108"/>
  <c r="K177" i="108"/>
  <c r="J177" i="108"/>
  <c r="I177" i="108"/>
  <c r="H177" i="108"/>
  <c r="G177" i="108"/>
  <c r="F177" i="108"/>
  <c r="E177" i="108"/>
  <c r="D177" i="108"/>
  <c r="C177" i="108"/>
  <c r="N176" i="108"/>
  <c r="M176" i="108"/>
  <c r="L176" i="108"/>
  <c r="K176" i="108"/>
  <c r="J176" i="108"/>
  <c r="I176" i="108"/>
  <c r="H176" i="108"/>
  <c r="G176" i="108"/>
  <c r="F176" i="108"/>
  <c r="E176" i="108"/>
  <c r="D176" i="108"/>
  <c r="C176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N174" i="108"/>
  <c r="M174" i="108"/>
  <c r="L174" i="108"/>
  <c r="K174" i="108"/>
  <c r="J174" i="108"/>
  <c r="I174" i="108"/>
  <c r="H174" i="108"/>
  <c r="G174" i="108"/>
  <c r="F174" i="108"/>
  <c r="E174" i="108"/>
  <c r="D174" i="108"/>
  <c r="C174" i="108"/>
  <c r="N173" i="108"/>
  <c r="M173" i="108"/>
  <c r="L173" i="108"/>
  <c r="K173" i="108"/>
  <c r="J173" i="108"/>
  <c r="I173" i="108"/>
  <c r="H173" i="108"/>
  <c r="G173" i="108"/>
  <c r="F173" i="108"/>
  <c r="E173" i="108"/>
  <c r="D173" i="108"/>
  <c r="C173" i="108"/>
  <c r="N172" i="108"/>
  <c r="M172" i="108"/>
  <c r="L172" i="108"/>
  <c r="K172" i="108"/>
  <c r="J172" i="108"/>
  <c r="I172" i="108"/>
  <c r="H172" i="108"/>
  <c r="G172" i="108"/>
  <c r="F172" i="108"/>
  <c r="E172" i="108"/>
  <c r="D172" i="108"/>
  <c r="C172" i="108"/>
  <c r="N171" i="108"/>
  <c r="M171" i="108"/>
  <c r="L171" i="108"/>
  <c r="K171" i="108"/>
  <c r="J171" i="108"/>
  <c r="I171" i="108"/>
  <c r="H171" i="108"/>
  <c r="G171" i="108"/>
  <c r="F171" i="108"/>
  <c r="E171" i="108"/>
  <c r="D171" i="108"/>
  <c r="C171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N169" i="108"/>
  <c r="M169" i="108"/>
  <c r="L169" i="108"/>
  <c r="K169" i="108"/>
  <c r="J169" i="108"/>
  <c r="I169" i="108"/>
  <c r="H169" i="108"/>
  <c r="G169" i="108"/>
  <c r="F169" i="108"/>
  <c r="E169" i="108"/>
  <c r="D169" i="108"/>
  <c r="C169" i="108"/>
  <c r="N168" i="108"/>
  <c r="M168" i="108"/>
  <c r="L168" i="108"/>
  <c r="K168" i="108"/>
  <c r="J168" i="108"/>
  <c r="I168" i="108"/>
  <c r="H168" i="108"/>
  <c r="G168" i="108"/>
  <c r="F168" i="108"/>
  <c r="E168" i="108"/>
  <c r="D168" i="108"/>
  <c r="C168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N166" i="108"/>
  <c r="M166" i="108"/>
  <c r="L166" i="108"/>
  <c r="K166" i="108"/>
  <c r="J166" i="108"/>
  <c r="I166" i="108"/>
  <c r="H166" i="108"/>
  <c r="G166" i="108"/>
  <c r="F166" i="108"/>
  <c r="E166" i="108"/>
  <c r="D166" i="108"/>
  <c r="C166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N164" i="108"/>
  <c r="M164" i="108"/>
  <c r="L164" i="108"/>
  <c r="K164" i="108"/>
  <c r="J164" i="108"/>
  <c r="I164" i="108"/>
  <c r="H164" i="108"/>
  <c r="G164" i="108"/>
  <c r="F164" i="108"/>
  <c r="E164" i="108"/>
  <c r="D164" i="108"/>
  <c r="C164" i="108"/>
  <c r="N163" i="108"/>
  <c r="M163" i="108"/>
  <c r="L163" i="108"/>
  <c r="K163" i="108"/>
  <c r="J163" i="108"/>
  <c r="I163" i="108"/>
  <c r="H163" i="108"/>
  <c r="G163" i="108"/>
  <c r="F163" i="108"/>
  <c r="E163" i="108"/>
  <c r="D163" i="108"/>
  <c r="C163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N161" i="108"/>
  <c r="M161" i="108"/>
  <c r="L161" i="108"/>
  <c r="K161" i="108"/>
  <c r="J161" i="108"/>
  <c r="I161" i="108"/>
  <c r="H161" i="108"/>
  <c r="G161" i="108"/>
  <c r="F161" i="108"/>
  <c r="E161" i="108"/>
  <c r="D161" i="108"/>
  <c r="C161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N159" i="108"/>
  <c r="M159" i="108"/>
  <c r="L159" i="108"/>
  <c r="K159" i="108"/>
  <c r="J159" i="108"/>
  <c r="I159" i="108"/>
  <c r="H159" i="108"/>
  <c r="G159" i="108"/>
  <c r="F159" i="108"/>
  <c r="E159" i="108"/>
  <c r="D159" i="108"/>
  <c r="C159" i="108"/>
  <c r="N158" i="108"/>
  <c r="M158" i="108"/>
  <c r="L158" i="108"/>
  <c r="K158" i="108"/>
  <c r="J158" i="108"/>
  <c r="I158" i="108"/>
  <c r="H158" i="108"/>
  <c r="G158" i="108"/>
  <c r="F158" i="108"/>
  <c r="E158" i="108"/>
  <c r="D158" i="108"/>
  <c r="C158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N156" i="108"/>
  <c r="M156" i="108"/>
  <c r="L156" i="108"/>
  <c r="K156" i="108"/>
  <c r="J156" i="108"/>
  <c r="I156" i="108"/>
  <c r="H156" i="108"/>
  <c r="G156" i="108"/>
  <c r="F156" i="108"/>
  <c r="E156" i="108"/>
  <c r="D156" i="108"/>
  <c r="C156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N154" i="108"/>
  <c r="M154" i="108"/>
  <c r="L154" i="108"/>
  <c r="K154" i="108"/>
  <c r="J154" i="108"/>
  <c r="I154" i="108"/>
  <c r="H154" i="108"/>
  <c r="G154" i="108"/>
  <c r="F154" i="108"/>
  <c r="E154" i="108"/>
  <c r="D154" i="108"/>
  <c r="C154" i="108"/>
  <c r="N153" i="108"/>
  <c r="M153" i="108"/>
  <c r="L153" i="108"/>
  <c r="K153" i="108"/>
  <c r="J153" i="108"/>
  <c r="I153" i="108"/>
  <c r="H153" i="108"/>
  <c r="G153" i="108"/>
  <c r="F153" i="108"/>
  <c r="E153" i="108"/>
  <c r="D153" i="108"/>
  <c r="C153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N151" i="108"/>
  <c r="M151" i="108"/>
  <c r="L151" i="108"/>
  <c r="K151" i="108"/>
  <c r="J151" i="108"/>
  <c r="I151" i="108"/>
  <c r="H151" i="108"/>
  <c r="G151" i="108"/>
  <c r="F151" i="108"/>
  <c r="E151" i="108"/>
  <c r="D151" i="108"/>
  <c r="C151" i="108"/>
  <c r="N150" i="108"/>
  <c r="N186" i="108" s="1"/>
  <c r="M150" i="108"/>
  <c r="L150" i="108"/>
  <c r="K150" i="108"/>
  <c r="K186" i="108" s="1"/>
  <c r="J150" i="108"/>
  <c r="I150" i="108"/>
  <c r="H150" i="108"/>
  <c r="G150" i="108"/>
  <c r="F150" i="108"/>
  <c r="F186" i="108" s="1"/>
  <c r="E150" i="108"/>
  <c r="D150" i="108"/>
  <c r="C150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N146" i="108"/>
  <c r="M146" i="108"/>
  <c r="L146" i="108"/>
  <c r="K146" i="108"/>
  <c r="J146" i="108"/>
  <c r="I146" i="108"/>
  <c r="H146" i="108"/>
  <c r="G146" i="108"/>
  <c r="F146" i="108"/>
  <c r="E146" i="108"/>
  <c r="D146" i="108"/>
  <c r="C146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N144" i="108"/>
  <c r="M144" i="108"/>
  <c r="L144" i="108"/>
  <c r="K144" i="108"/>
  <c r="J144" i="108"/>
  <c r="I144" i="108"/>
  <c r="H144" i="108"/>
  <c r="G144" i="108"/>
  <c r="F144" i="108"/>
  <c r="E144" i="108"/>
  <c r="D144" i="108"/>
  <c r="C144" i="108"/>
  <c r="N143" i="108"/>
  <c r="M143" i="108"/>
  <c r="L143" i="108"/>
  <c r="K143" i="108"/>
  <c r="J143" i="108"/>
  <c r="I143" i="108"/>
  <c r="H143" i="108"/>
  <c r="G143" i="108"/>
  <c r="F143" i="108"/>
  <c r="E143" i="108"/>
  <c r="D143" i="108"/>
  <c r="C143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N141" i="108"/>
  <c r="M141" i="108"/>
  <c r="L141" i="108"/>
  <c r="K141" i="108"/>
  <c r="J141" i="108"/>
  <c r="J148" i="108" s="1"/>
  <c r="I141" i="108"/>
  <c r="H141" i="108"/>
  <c r="G141" i="108"/>
  <c r="F141" i="108"/>
  <c r="E141" i="108"/>
  <c r="D141" i="108"/>
  <c r="D148" i="108" s="1"/>
  <c r="C141" i="108"/>
  <c r="N138" i="108"/>
  <c r="M138" i="108"/>
  <c r="L138" i="108"/>
  <c r="K138" i="108"/>
  <c r="J138" i="108"/>
  <c r="I138" i="108"/>
  <c r="H138" i="108"/>
  <c r="G138" i="108"/>
  <c r="F138" i="108"/>
  <c r="E138" i="108"/>
  <c r="D138" i="108"/>
  <c r="C138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N136" i="108"/>
  <c r="M136" i="108"/>
  <c r="L136" i="108"/>
  <c r="K136" i="108"/>
  <c r="J136" i="108"/>
  <c r="I136" i="108"/>
  <c r="H136" i="108"/>
  <c r="G136" i="108"/>
  <c r="F136" i="108"/>
  <c r="E136" i="108"/>
  <c r="D136" i="108"/>
  <c r="C136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N134" i="108"/>
  <c r="M134" i="108"/>
  <c r="L134" i="108"/>
  <c r="K134" i="108"/>
  <c r="J134" i="108"/>
  <c r="I134" i="108"/>
  <c r="H134" i="108"/>
  <c r="G134" i="108"/>
  <c r="F134" i="108"/>
  <c r="O134" i="108" s="1"/>
  <c r="E134" i="108"/>
  <c r="D134" i="108"/>
  <c r="C134" i="108"/>
  <c r="N133" i="108"/>
  <c r="M133" i="108"/>
  <c r="L133" i="108"/>
  <c r="K133" i="108"/>
  <c r="J133" i="108"/>
  <c r="I133" i="108"/>
  <c r="H133" i="108"/>
  <c r="G133" i="108"/>
  <c r="F133" i="108"/>
  <c r="E133" i="108"/>
  <c r="D133" i="108"/>
  <c r="C133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N131" i="108"/>
  <c r="M131" i="108"/>
  <c r="L131" i="108"/>
  <c r="K131" i="108"/>
  <c r="J131" i="108"/>
  <c r="I131" i="108"/>
  <c r="H131" i="108"/>
  <c r="G131" i="108"/>
  <c r="F131" i="108"/>
  <c r="E131" i="108"/>
  <c r="D131" i="108"/>
  <c r="C131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N129" i="108"/>
  <c r="M129" i="108"/>
  <c r="L129" i="108"/>
  <c r="K129" i="108"/>
  <c r="J129" i="108"/>
  <c r="I129" i="108"/>
  <c r="H129" i="108"/>
  <c r="G129" i="108"/>
  <c r="F129" i="108"/>
  <c r="E129" i="108"/>
  <c r="D129" i="108"/>
  <c r="C129" i="108"/>
  <c r="N128" i="108"/>
  <c r="M128" i="108"/>
  <c r="M139" i="108" s="1"/>
  <c r="L128" i="108"/>
  <c r="K128" i="108"/>
  <c r="K139" i="108" s="1"/>
  <c r="J128" i="108"/>
  <c r="I128" i="108"/>
  <c r="H128" i="108"/>
  <c r="G128" i="108"/>
  <c r="F128" i="108"/>
  <c r="E128" i="108"/>
  <c r="E139" i="108" s="1"/>
  <c r="D128" i="108"/>
  <c r="C128" i="108"/>
  <c r="N124" i="108"/>
  <c r="M124" i="108"/>
  <c r="L124" i="108"/>
  <c r="K124" i="108"/>
  <c r="J124" i="108"/>
  <c r="I124" i="108"/>
  <c r="H124" i="108"/>
  <c r="G124" i="108"/>
  <c r="F124" i="108"/>
  <c r="E124" i="108"/>
  <c r="D124" i="108"/>
  <c r="C124" i="108"/>
  <c r="R123" i="108"/>
  <c r="O123" i="108"/>
  <c r="R122" i="108"/>
  <c r="O122" i="108"/>
  <c r="N119" i="108"/>
  <c r="M119" i="108"/>
  <c r="L119" i="108"/>
  <c r="K119" i="108"/>
  <c r="J119" i="108"/>
  <c r="I119" i="108"/>
  <c r="H119" i="108"/>
  <c r="F119" i="108"/>
  <c r="E119" i="108"/>
  <c r="D119" i="108"/>
  <c r="C119" i="108"/>
  <c r="R118" i="108"/>
  <c r="O118" i="108"/>
  <c r="R117" i="108"/>
  <c r="O117" i="108"/>
  <c r="G116" i="108"/>
  <c r="R116" i="108" s="1"/>
  <c r="G115" i="108"/>
  <c r="G114" i="108"/>
  <c r="I233" i="108" s="1"/>
  <c r="O113" i="108"/>
  <c r="G113" i="108"/>
  <c r="M232" i="108" s="1"/>
  <c r="M110" i="108"/>
  <c r="C110" i="108"/>
  <c r="N108" i="108"/>
  <c r="M108" i="108"/>
  <c r="L108" i="108"/>
  <c r="K108" i="108"/>
  <c r="J108" i="108"/>
  <c r="I108" i="108"/>
  <c r="H108" i="108"/>
  <c r="G108" i="108"/>
  <c r="F108" i="108"/>
  <c r="E108" i="108"/>
  <c r="D108" i="108"/>
  <c r="C108" i="108"/>
  <c r="R107" i="108"/>
  <c r="O107" i="108"/>
  <c r="R106" i="108"/>
  <c r="O106" i="108"/>
  <c r="R105" i="108"/>
  <c r="O105" i="108"/>
  <c r="N103" i="108"/>
  <c r="M103" i="108"/>
  <c r="L103" i="108"/>
  <c r="L110" i="108" s="1"/>
  <c r="K103" i="108"/>
  <c r="K110" i="108" s="1"/>
  <c r="J103" i="108"/>
  <c r="I103" i="108"/>
  <c r="I110" i="108" s="1"/>
  <c r="H103" i="108"/>
  <c r="H110" i="108" s="1"/>
  <c r="G103" i="108"/>
  <c r="F103" i="108"/>
  <c r="F110" i="108" s="1"/>
  <c r="E103" i="108"/>
  <c r="E110" i="108" s="1"/>
  <c r="D103" i="108"/>
  <c r="D110" i="108" s="1"/>
  <c r="C103" i="108"/>
  <c r="R102" i="108"/>
  <c r="O102" i="108"/>
  <c r="R101" i="108"/>
  <c r="O101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R96" i="108"/>
  <c r="O96" i="108"/>
  <c r="N93" i="108"/>
  <c r="M93" i="108"/>
  <c r="L93" i="108"/>
  <c r="K93" i="108"/>
  <c r="J93" i="108"/>
  <c r="I93" i="108"/>
  <c r="H93" i="108"/>
  <c r="G93" i="108"/>
  <c r="F93" i="108"/>
  <c r="E93" i="108"/>
  <c r="D93" i="108"/>
  <c r="C93" i="108"/>
  <c r="R92" i="108"/>
  <c r="O92" i="108"/>
  <c r="R91" i="108"/>
  <c r="O91" i="108"/>
  <c r="R90" i="108"/>
  <c r="O90" i="108"/>
  <c r="R89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R86" i="108"/>
  <c r="O86" i="108"/>
  <c r="R85" i="108"/>
  <c r="O85" i="108"/>
  <c r="R84" i="108"/>
  <c r="O84" i="108"/>
  <c r="R83" i="108"/>
  <c r="O83" i="108"/>
  <c r="R82" i="108"/>
  <c r="O82" i="108"/>
  <c r="R81" i="108"/>
  <c r="O81" i="108"/>
  <c r="R80" i="108"/>
  <c r="O80" i="108"/>
  <c r="R79" i="108"/>
  <c r="O79" i="108"/>
  <c r="R78" i="108"/>
  <c r="O78" i="108"/>
  <c r="O202" i="108" s="1"/>
  <c r="R77" i="108"/>
  <c r="O77" i="108"/>
  <c r="R76" i="108"/>
  <c r="O76" i="108"/>
  <c r="R75" i="108"/>
  <c r="O75" i="108"/>
  <c r="R74" i="108"/>
  <c r="O74" i="108"/>
  <c r="R73" i="108"/>
  <c r="O73" i="108"/>
  <c r="N71" i="108"/>
  <c r="M71" i="108"/>
  <c r="L71" i="108"/>
  <c r="K71" i="108"/>
  <c r="J71" i="108"/>
  <c r="I71" i="108"/>
  <c r="H71" i="108"/>
  <c r="G71" i="108"/>
  <c r="F71" i="108"/>
  <c r="E71" i="108"/>
  <c r="D71" i="108"/>
  <c r="C71" i="108"/>
  <c r="S70" i="108"/>
  <c r="R70" i="108"/>
  <c r="O70" i="108"/>
  <c r="S69" i="108"/>
  <c r="R69" i="108"/>
  <c r="O69" i="108"/>
  <c r="S68" i="108"/>
  <c r="R68" i="108"/>
  <c r="O68" i="108"/>
  <c r="S67" i="108"/>
  <c r="R67" i="108"/>
  <c r="O67" i="108"/>
  <c r="S66" i="108"/>
  <c r="R66" i="108"/>
  <c r="O66" i="108"/>
  <c r="S65" i="108"/>
  <c r="R65" i="108"/>
  <c r="O65" i="108"/>
  <c r="S64" i="108"/>
  <c r="R64" i="108"/>
  <c r="O64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R62" i="108" s="1"/>
  <c r="S61" i="108"/>
  <c r="R61" i="108"/>
  <c r="O61" i="108"/>
  <c r="S60" i="108"/>
  <c r="R60" i="108"/>
  <c r="O60" i="108"/>
  <c r="S59" i="108"/>
  <c r="R59" i="108"/>
  <c r="O59" i="108"/>
  <c r="S58" i="108"/>
  <c r="R58" i="108"/>
  <c r="O58" i="108"/>
  <c r="S57" i="108"/>
  <c r="R57" i="108"/>
  <c r="O57" i="108"/>
  <c r="S56" i="108"/>
  <c r="R56" i="108"/>
  <c r="O56" i="108"/>
  <c r="S55" i="108"/>
  <c r="R55" i="108"/>
  <c r="O55" i="108"/>
  <c r="S54" i="108"/>
  <c r="R54" i="108"/>
  <c r="O54" i="108"/>
  <c r="S53" i="108"/>
  <c r="R53" i="108"/>
  <c r="O53" i="108"/>
  <c r="S52" i="108"/>
  <c r="R52" i="108"/>
  <c r="O52" i="108"/>
  <c r="S51" i="108"/>
  <c r="R51" i="108"/>
  <c r="O51" i="108"/>
  <c r="S50" i="108"/>
  <c r="R50" i="108"/>
  <c r="O50" i="108"/>
  <c r="S49" i="108"/>
  <c r="R49" i="108"/>
  <c r="O49" i="108"/>
  <c r="S48" i="108"/>
  <c r="R48" i="108"/>
  <c r="O48" i="108"/>
  <c r="S47" i="108"/>
  <c r="R47" i="108"/>
  <c r="O47" i="108"/>
  <c r="S46" i="108"/>
  <c r="R46" i="108"/>
  <c r="O46" i="108"/>
  <c r="S45" i="108"/>
  <c r="R45" i="108"/>
  <c r="O45" i="108"/>
  <c r="S44" i="108"/>
  <c r="R44" i="108"/>
  <c r="O44" i="108"/>
  <c r="S43" i="108"/>
  <c r="R43" i="108"/>
  <c r="O43" i="108"/>
  <c r="S42" i="108"/>
  <c r="R42" i="108"/>
  <c r="O42" i="108"/>
  <c r="S41" i="108"/>
  <c r="R41" i="108"/>
  <c r="O41" i="108"/>
  <c r="S40" i="108"/>
  <c r="R40" i="108"/>
  <c r="O40" i="108"/>
  <c r="S39" i="108"/>
  <c r="R39" i="108"/>
  <c r="O39" i="108"/>
  <c r="S38" i="108"/>
  <c r="R38" i="108"/>
  <c r="O38" i="108"/>
  <c r="S37" i="108"/>
  <c r="R37" i="108"/>
  <c r="O37" i="108"/>
  <c r="S36" i="108"/>
  <c r="R36" i="108"/>
  <c r="O36" i="108"/>
  <c r="S35" i="108"/>
  <c r="R35" i="108"/>
  <c r="O35" i="108"/>
  <c r="S34" i="108"/>
  <c r="R34" i="108"/>
  <c r="O34" i="108"/>
  <c r="S33" i="108"/>
  <c r="R33" i="108"/>
  <c r="O33" i="108"/>
  <c r="S32" i="108"/>
  <c r="R32" i="108"/>
  <c r="O32" i="108"/>
  <c r="S31" i="108"/>
  <c r="R31" i="108"/>
  <c r="O31" i="108"/>
  <c r="S30" i="108"/>
  <c r="R30" i="108"/>
  <c r="O30" i="108"/>
  <c r="S29" i="108"/>
  <c r="R29" i="108"/>
  <c r="O29" i="108"/>
  <c r="S28" i="108"/>
  <c r="R28" i="108"/>
  <c r="O28" i="108"/>
  <c r="S27" i="108"/>
  <c r="R27" i="108"/>
  <c r="O27" i="108"/>
  <c r="S26" i="108"/>
  <c r="R26" i="108"/>
  <c r="O26" i="108"/>
  <c r="N24" i="108"/>
  <c r="M24" i="108"/>
  <c r="L24" i="108"/>
  <c r="K24" i="108"/>
  <c r="J24" i="108"/>
  <c r="I24" i="108"/>
  <c r="H24" i="108"/>
  <c r="G24" i="108"/>
  <c r="F24" i="108"/>
  <c r="E24" i="108"/>
  <c r="D24" i="108"/>
  <c r="C24" i="108"/>
  <c r="R24" i="108" s="1"/>
  <c r="S23" i="108"/>
  <c r="R23" i="108"/>
  <c r="O23" i="108"/>
  <c r="S22" i="108"/>
  <c r="R22" i="108"/>
  <c r="O22" i="108"/>
  <c r="S21" i="108"/>
  <c r="R21" i="108"/>
  <c r="O21" i="108"/>
  <c r="S20" i="108"/>
  <c r="R20" i="108"/>
  <c r="O20" i="108"/>
  <c r="S19" i="108"/>
  <c r="R19" i="108"/>
  <c r="O19" i="108"/>
  <c r="S18" i="108"/>
  <c r="R18" i="108"/>
  <c r="O18" i="108"/>
  <c r="S17" i="108"/>
  <c r="R17" i="108"/>
  <c r="O17" i="108"/>
  <c r="N15" i="108"/>
  <c r="M15" i="108"/>
  <c r="L15" i="108"/>
  <c r="L99" i="108" s="1"/>
  <c r="L126" i="108" s="1"/>
  <c r="K15" i="108"/>
  <c r="J15" i="108"/>
  <c r="I15" i="108"/>
  <c r="H15" i="108"/>
  <c r="G15" i="108"/>
  <c r="F15" i="108"/>
  <c r="E15" i="108"/>
  <c r="D15" i="108"/>
  <c r="R15" i="108" s="1"/>
  <c r="C15" i="108"/>
  <c r="S14" i="108"/>
  <c r="R14" i="108"/>
  <c r="O14" i="108"/>
  <c r="S13" i="108"/>
  <c r="R13" i="108"/>
  <c r="O13" i="108"/>
  <c r="S12" i="108"/>
  <c r="R12" i="108"/>
  <c r="O12" i="108"/>
  <c r="S11" i="108"/>
  <c r="R11" i="108"/>
  <c r="O11" i="108"/>
  <c r="S10" i="108"/>
  <c r="R10" i="108"/>
  <c r="O10" i="108"/>
  <c r="S9" i="108"/>
  <c r="R9" i="108"/>
  <c r="O9" i="108"/>
  <c r="S8" i="108"/>
  <c r="R8" i="108"/>
  <c r="O8" i="108"/>
  <c r="S7" i="108"/>
  <c r="R7" i="108"/>
  <c r="O7" i="108"/>
  <c r="S6" i="108"/>
  <c r="R6" i="108"/>
  <c r="O6" i="108"/>
  <c r="S5" i="108"/>
  <c r="R5" i="108"/>
  <c r="O5" i="108"/>
  <c r="S4" i="108"/>
  <c r="R4" i="108"/>
  <c r="O4" i="108"/>
  <c r="A4" i="108"/>
  <c r="A5" i="108" s="1"/>
  <c r="A6" i="108" s="1"/>
  <c r="A7" i="108" s="1"/>
  <c r="A8" i="108" s="1"/>
  <c r="A9" i="108" s="1"/>
  <c r="A10" i="108" s="1"/>
  <c r="A11" i="108" s="1"/>
  <c r="A12" i="108" s="1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A45" i="108" s="1"/>
  <c r="A46" i="108" s="1"/>
  <c r="A47" i="108" s="1"/>
  <c r="A48" i="108" s="1"/>
  <c r="A49" i="108" s="1"/>
  <c r="A50" i="108" s="1"/>
  <c r="A51" i="108" s="1"/>
  <c r="A52" i="108" s="1"/>
  <c r="A53" i="108" s="1"/>
  <c r="A54" i="108" s="1"/>
  <c r="A55" i="108" s="1"/>
  <c r="A56" i="108" s="1"/>
  <c r="A57" i="108" s="1"/>
  <c r="A58" i="108" s="1"/>
  <c r="A59" i="108" s="1"/>
  <c r="A60" i="108" s="1"/>
  <c r="A61" i="108" s="1"/>
  <c r="A62" i="108" s="1"/>
  <c r="A63" i="108" s="1"/>
  <c r="A64" i="108" s="1"/>
  <c r="A65" i="108" s="1"/>
  <c r="A66" i="108" s="1"/>
  <c r="A67" i="108" s="1"/>
  <c r="A68" i="108" s="1"/>
  <c r="A69" i="108" s="1"/>
  <c r="A70" i="108" s="1"/>
  <c r="A71" i="108" s="1"/>
  <c r="A72" i="108" s="1"/>
  <c r="A73" i="108" s="1"/>
  <c r="A74" i="108" s="1"/>
  <c r="A75" i="108" s="1"/>
  <c r="A76" i="108" s="1"/>
  <c r="A77" i="108" s="1"/>
  <c r="A78" i="108" s="1"/>
  <c r="A79" i="108" s="1"/>
  <c r="A80" i="108" s="1"/>
  <c r="A81" i="108" s="1"/>
  <c r="A82" i="108" s="1"/>
  <c r="A83" i="108" s="1"/>
  <c r="A84" i="108" s="1"/>
  <c r="A85" i="108" s="1"/>
  <c r="A86" i="108" s="1"/>
  <c r="A87" i="108" s="1"/>
  <c r="A88" i="108" s="1"/>
  <c r="A89" i="108" s="1"/>
  <c r="A90" i="108" s="1"/>
  <c r="A91" i="108" s="1"/>
  <c r="A92" i="108" s="1"/>
  <c r="A93" i="108" s="1"/>
  <c r="A94" i="108" s="1"/>
  <c r="A95" i="108" s="1"/>
  <c r="A96" i="108" s="1"/>
  <c r="A97" i="108" s="1"/>
  <c r="A98" i="108" s="1"/>
  <c r="A99" i="108" s="1"/>
  <c r="A100" i="108" s="1"/>
  <c r="A101" i="108" s="1"/>
  <c r="A102" i="108" s="1"/>
  <c r="A103" i="108" s="1"/>
  <c r="A104" i="108" s="1"/>
  <c r="A105" i="108" s="1"/>
  <c r="A106" i="108" s="1"/>
  <c r="A107" i="108" s="1"/>
  <c r="A108" i="108" s="1"/>
  <c r="A109" i="108" s="1"/>
  <c r="A110" i="108" s="1"/>
  <c r="A111" i="108" s="1"/>
  <c r="A112" i="108" s="1"/>
  <c r="A113" i="108" s="1"/>
  <c r="A114" i="108" s="1"/>
  <c r="A115" i="108" s="1"/>
  <c r="A116" i="108" s="1"/>
  <c r="A117" i="108" s="1"/>
  <c r="A118" i="108" s="1"/>
  <c r="A119" i="108" s="1"/>
  <c r="A120" i="108" s="1"/>
  <c r="A121" i="108" s="1"/>
  <c r="A122" i="108" s="1"/>
  <c r="A123" i="108" s="1"/>
  <c r="A124" i="108" s="1"/>
  <c r="A125" i="108" s="1"/>
  <c r="A126" i="108" s="1"/>
  <c r="A127" i="108" s="1"/>
  <c r="A128" i="108" s="1"/>
  <c r="A129" i="108" s="1"/>
  <c r="A130" i="108" s="1"/>
  <c r="A131" i="108" s="1"/>
  <c r="A132" i="108" s="1"/>
  <c r="A133" i="108" s="1"/>
  <c r="A134" i="108" s="1"/>
  <c r="A135" i="108" s="1"/>
  <c r="A136" i="108" s="1"/>
  <c r="A137" i="108" s="1"/>
  <c r="A138" i="108" s="1"/>
  <c r="A139" i="108" s="1"/>
  <c r="A140" i="108" s="1"/>
  <c r="A141" i="108" s="1"/>
  <c r="A142" i="108" s="1"/>
  <c r="A143" i="108" s="1"/>
  <c r="A144" i="108" s="1"/>
  <c r="A145" i="108" s="1"/>
  <c r="A146" i="108" s="1"/>
  <c r="A147" i="108" s="1"/>
  <c r="A148" i="108" s="1"/>
  <c r="A149" i="108" s="1"/>
  <c r="A150" i="108" s="1"/>
  <c r="A151" i="108" s="1"/>
  <c r="A152" i="108" s="1"/>
  <c r="A153" i="108" s="1"/>
  <c r="A154" i="108" s="1"/>
  <c r="A155" i="108" s="1"/>
  <c r="A156" i="108" s="1"/>
  <c r="A157" i="108" s="1"/>
  <c r="A158" i="108" s="1"/>
  <c r="A159" i="108" s="1"/>
  <c r="A160" i="108" s="1"/>
  <c r="A161" i="108" s="1"/>
  <c r="A162" i="108" s="1"/>
  <c r="A163" i="108" s="1"/>
  <c r="A164" i="108" s="1"/>
  <c r="A165" i="108" s="1"/>
  <c r="A166" i="108" s="1"/>
  <c r="A167" i="108" s="1"/>
  <c r="A168" i="108" s="1"/>
  <c r="A169" i="108" s="1"/>
  <c r="A170" i="108" s="1"/>
  <c r="A171" i="108" s="1"/>
  <c r="A172" i="108" s="1"/>
  <c r="A173" i="108" s="1"/>
  <c r="A174" i="108" s="1"/>
  <c r="A175" i="108" s="1"/>
  <c r="A176" i="108" s="1"/>
  <c r="A177" i="108" s="1"/>
  <c r="A178" i="108" s="1"/>
  <c r="A179" i="108" s="1"/>
  <c r="A180" i="108" s="1"/>
  <c r="A181" i="108" s="1"/>
  <c r="A182" i="108" s="1"/>
  <c r="A183" i="108" s="1"/>
  <c r="A184" i="108" s="1"/>
  <c r="A185" i="108" s="1"/>
  <c r="A186" i="108" s="1"/>
  <c r="A187" i="108" s="1"/>
  <c r="A188" i="108" s="1"/>
  <c r="A189" i="108" s="1"/>
  <c r="A190" i="108" s="1"/>
  <c r="A191" i="108" s="1"/>
  <c r="A192" i="108" s="1"/>
  <c r="A193" i="108" s="1"/>
  <c r="A194" i="108" s="1"/>
  <c r="A195" i="108" s="1"/>
  <c r="A196" i="108" s="1"/>
  <c r="A197" i="108" s="1"/>
  <c r="A198" i="108" s="1"/>
  <c r="A199" i="108" s="1"/>
  <c r="A200" i="108" s="1"/>
  <c r="A201" i="108" s="1"/>
  <c r="A202" i="108" s="1"/>
  <c r="A203" i="108" s="1"/>
  <c r="A204" i="108" s="1"/>
  <c r="A205" i="108" s="1"/>
  <c r="A206" i="108" s="1"/>
  <c r="A207" i="108" s="1"/>
  <c r="A208" i="108" s="1"/>
  <c r="A209" i="108" s="1"/>
  <c r="A210" i="108" s="1"/>
  <c r="A211" i="108" s="1"/>
  <c r="A212" i="108" s="1"/>
  <c r="A213" i="108" s="1"/>
  <c r="A214" i="108" s="1"/>
  <c r="A215" i="108" s="1"/>
  <c r="A216" i="108" s="1"/>
  <c r="A217" i="108" s="1"/>
  <c r="A218" i="108" s="1"/>
  <c r="A219" i="108" s="1"/>
  <c r="A220" i="108" s="1"/>
  <c r="A221" i="108" s="1"/>
  <c r="A222" i="108" s="1"/>
  <c r="A223" i="108" s="1"/>
  <c r="A224" i="108" s="1"/>
  <c r="A225" i="108" s="1"/>
  <c r="A226" i="108" s="1"/>
  <c r="A227" i="108" s="1"/>
  <c r="A228" i="108" s="1"/>
  <c r="A229" i="108" s="1"/>
  <c r="A230" i="108" s="1"/>
  <c r="A231" i="108" s="1"/>
  <c r="A232" i="108" s="1"/>
  <c r="A233" i="108" s="1"/>
  <c r="A234" i="108" s="1"/>
  <c r="A235" i="108" s="1"/>
  <c r="A236" i="108" s="1"/>
  <c r="A237" i="108" s="1"/>
  <c r="A238" i="108" s="1"/>
  <c r="A239" i="108" s="1"/>
  <c r="A240" i="108" s="1"/>
  <c r="A241" i="108" s="1"/>
  <c r="A242" i="108" s="1"/>
  <c r="A243" i="108" s="1"/>
  <c r="A244" i="108" s="1"/>
  <c r="A3" i="108"/>
  <c r="V233" i="148"/>
  <c r="U233" i="148"/>
  <c r="U232" i="148"/>
  <c r="V232" i="148" s="1"/>
  <c r="U231" i="148"/>
  <c r="V231" i="148" s="1"/>
  <c r="V230" i="148"/>
  <c r="U230" i="148"/>
  <c r="O221" i="148"/>
  <c r="O220" i="148"/>
  <c r="N212" i="148"/>
  <c r="N213" i="148" s="1"/>
  <c r="M212" i="148"/>
  <c r="L212" i="148"/>
  <c r="K212" i="148"/>
  <c r="J212" i="148"/>
  <c r="I212" i="148"/>
  <c r="H212" i="148"/>
  <c r="G212" i="148"/>
  <c r="F212" i="148"/>
  <c r="F213" i="148" s="1"/>
  <c r="E212" i="148"/>
  <c r="D212" i="148"/>
  <c r="C212" i="148"/>
  <c r="N211" i="148"/>
  <c r="M211" i="148"/>
  <c r="L211" i="148"/>
  <c r="L213" i="148" s="1"/>
  <c r="K211" i="148"/>
  <c r="J211" i="148"/>
  <c r="J213" i="148" s="1"/>
  <c r="I211" i="148"/>
  <c r="I213" i="148" s="1"/>
  <c r="H211" i="148"/>
  <c r="H213" i="148" s="1"/>
  <c r="G211" i="148"/>
  <c r="G213" i="148" s="1"/>
  <c r="F211" i="148"/>
  <c r="E211" i="148"/>
  <c r="D211" i="148"/>
  <c r="D213" i="148" s="1"/>
  <c r="C211" i="148"/>
  <c r="L209" i="148"/>
  <c r="N208" i="148"/>
  <c r="M208" i="148"/>
  <c r="L208" i="148"/>
  <c r="K208" i="148"/>
  <c r="J208" i="148"/>
  <c r="I208" i="148"/>
  <c r="I209" i="148" s="1"/>
  <c r="I215" i="148" s="1"/>
  <c r="H208" i="148"/>
  <c r="G208" i="148"/>
  <c r="F208" i="148"/>
  <c r="E208" i="148"/>
  <c r="D208" i="148"/>
  <c r="C208" i="148"/>
  <c r="N207" i="148"/>
  <c r="M207" i="148"/>
  <c r="M209" i="148" s="1"/>
  <c r="L207" i="148"/>
  <c r="K207" i="148"/>
  <c r="K209" i="148" s="1"/>
  <c r="J207" i="148"/>
  <c r="J209" i="148" s="1"/>
  <c r="I207" i="148"/>
  <c r="H207" i="148"/>
  <c r="G207" i="148"/>
  <c r="G209" i="148" s="1"/>
  <c r="F207" i="148"/>
  <c r="E207" i="148"/>
  <c r="E209" i="148" s="1"/>
  <c r="D207" i="148"/>
  <c r="D209" i="148" s="1"/>
  <c r="D215" i="148" s="1"/>
  <c r="C207" i="148"/>
  <c r="C209" i="148" s="1"/>
  <c r="F203" i="148"/>
  <c r="N202" i="148"/>
  <c r="M202" i="148"/>
  <c r="L202" i="148"/>
  <c r="K202" i="148"/>
  <c r="J202" i="148"/>
  <c r="I202" i="148"/>
  <c r="H202" i="148"/>
  <c r="G202" i="148"/>
  <c r="F202" i="148"/>
  <c r="E202" i="148"/>
  <c r="D202" i="148"/>
  <c r="C202" i="148"/>
  <c r="N201" i="148"/>
  <c r="N203" i="148" s="1"/>
  <c r="M201" i="148"/>
  <c r="L201" i="148"/>
  <c r="K201" i="148"/>
  <c r="K203" i="148" s="1"/>
  <c r="J201" i="148"/>
  <c r="I201" i="148"/>
  <c r="I203" i="148" s="1"/>
  <c r="H201" i="148"/>
  <c r="H203" i="148" s="1"/>
  <c r="G201" i="148"/>
  <c r="F201" i="148"/>
  <c r="E201" i="148"/>
  <c r="D201" i="148"/>
  <c r="C201" i="148"/>
  <c r="C203" i="148" s="1"/>
  <c r="N197" i="148"/>
  <c r="M197" i="148"/>
  <c r="L197" i="148"/>
  <c r="K197" i="148"/>
  <c r="J197" i="148"/>
  <c r="I197" i="148"/>
  <c r="H197" i="148"/>
  <c r="G197" i="148"/>
  <c r="F197" i="148"/>
  <c r="E197" i="148"/>
  <c r="D197" i="148"/>
  <c r="C197" i="148"/>
  <c r="N196" i="148"/>
  <c r="M196" i="148"/>
  <c r="L196" i="148"/>
  <c r="K196" i="148"/>
  <c r="J196" i="148"/>
  <c r="I196" i="148"/>
  <c r="H196" i="148"/>
  <c r="G196" i="148"/>
  <c r="F196" i="148"/>
  <c r="E196" i="148"/>
  <c r="D196" i="148"/>
  <c r="C196" i="148"/>
  <c r="N195" i="148"/>
  <c r="M195" i="148"/>
  <c r="L195" i="148"/>
  <c r="L199" i="148" s="1"/>
  <c r="K195" i="148"/>
  <c r="K199" i="148" s="1"/>
  <c r="J195" i="148"/>
  <c r="I195" i="148"/>
  <c r="I199" i="148" s="1"/>
  <c r="H195" i="148"/>
  <c r="H199" i="148" s="1"/>
  <c r="G195" i="148"/>
  <c r="F195" i="148"/>
  <c r="E195" i="148"/>
  <c r="D195" i="148"/>
  <c r="D199" i="148" s="1"/>
  <c r="C195" i="148"/>
  <c r="N192" i="148"/>
  <c r="M192" i="148"/>
  <c r="L192" i="148"/>
  <c r="K192" i="148"/>
  <c r="J192" i="148"/>
  <c r="I192" i="148"/>
  <c r="H192" i="148"/>
  <c r="G192" i="148"/>
  <c r="F192" i="148"/>
  <c r="E192" i="148"/>
  <c r="D192" i="148"/>
  <c r="C192" i="148"/>
  <c r="N191" i="148"/>
  <c r="M191" i="148"/>
  <c r="L191" i="148"/>
  <c r="K191" i="148"/>
  <c r="J191" i="148"/>
  <c r="I191" i="148"/>
  <c r="H191" i="148"/>
  <c r="G191" i="148"/>
  <c r="F191" i="148"/>
  <c r="E191" i="148"/>
  <c r="D191" i="148"/>
  <c r="C191" i="148"/>
  <c r="N190" i="148"/>
  <c r="M190" i="148"/>
  <c r="L190" i="148"/>
  <c r="K190" i="148"/>
  <c r="J190" i="148"/>
  <c r="I190" i="148"/>
  <c r="H190" i="148"/>
  <c r="G190" i="148"/>
  <c r="F190" i="148"/>
  <c r="E190" i="148"/>
  <c r="D190" i="148"/>
  <c r="C190" i="148"/>
  <c r="N189" i="148"/>
  <c r="M189" i="148"/>
  <c r="L189" i="148"/>
  <c r="K189" i="148"/>
  <c r="J189" i="148"/>
  <c r="I189" i="148"/>
  <c r="H189" i="148"/>
  <c r="G189" i="148"/>
  <c r="F189" i="148"/>
  <c r="E189" i="148"/>
  <c r="D189" i="148"/>
  <c r="C189" i="148"/>
  <c r="N188" i="148"/>
  <c r="M188" i="148"/>
  <c r="L188" i="148"/>
  <c r="K188" i="148"/>
  <c r="J188" i="148"/>
  <c r="I188" i="148"/>
  <c r="H188" i="148"/>
  <c r="G188" i="148"/>
  <c r="F188" i="148"/>
  <c r="E188" i="148"/>
  <c r="D188" i="148"/>
  <c r="C188" i="148"/>
  <c r="N187" i="148"/>
  <c r="M187" i="148"/>
  <c r="L187" i="148"/>
  <c r="K187" i="148"/>
  <c r="J187" i="148"/>
  <c r="I187" i="148"/>
  <c r="H187" i="148"/>
  <c r="G187" i="148"/>
  <c r="F187" i="148"/>
  <c r="E187" i="148"/>
  <c r="D187" i="148"/>
  <c r="C187" i="148"/>
  <c r="N186" i="148"/>
  <c r="M186" i="148"/>
  <c r="L186" i="148"/>
  <c r="K186" i="148"/>
  <c r="J186" i="148"/>
  <c r="I186" i="148"/>
  <c r="H186" i="148"/>
  <c r="G186" i="148"/>
  <c r="F186" i="148"/>
  <c r="E186" i="148"/>
  <c r="D186" i="148"/>
  <c r="C186" i="148"/>
  <c r="N185" i="148"/>
  <c r="M185" i="148"/>
  <c r="L185" i="148"/>
  <c r="K185" i="148"/>
  <c r="J185" i="148"/>
  <c r="I185" i="148"/>
  <c r="H185" i="148"/>
  <c r="G185" i="148"/>
  <c r="F185" i="148"/>
  <c r="E185" i="148"/>
  <c r="D185" i="148"/>
  <c r="C185" i="148"/>
  <c r="E184" i="148"/>
  <c r="D184" i="148"/>
  <c r="D193" i="148" s="1"/>
  <c r="C184" i="148"/>
  <c r="N181" i="148"/>
  <c r="M181" i="148"/>
  <c r="L181" i="148"/>
  <c r="K181" i="148"/>
  <c r="J181" i="148"/>
  <c r="I181" i="148"/>
  <c r="H181" i="148"/>
  <c r="G181" i="148"/>
  <c r="F181" i="148"/>
  <c r="E181" i="148"/>
  <c r="D181" i="148"/>
  <c r="C181" i="148"/>
  <c r="N180" i="148"/>
  <c r="M180" i="148"/>
  <c r="L180" i="148"/>
  <c r="K180" i="148"/>
  <c r="J180" i="148"/>
  <c r="I180" i="148"/>
  <c r="H180" i="148"/>
  <c r="G180" i="148"/>
  <c r="F180" i="148"/>
  <c r="E180" i="148"/>
  <c r="D180" i="148"/>
  <c r="C180" i="148"/>
  <c r="N179" i="148"/>
  <c r="M179" i="148"/>
  <c r="L179" i="148"/>
  <c r="K179" i="148"/>
  <c r="J179" i="148"/>
  <c r="I179" i="148"/>
  <c r="H179" i="148"/>
  <c r="G179" i="148"/>
  <c r="F179" i="148"/>
  <c r="E179" i="148"/>
  <c r="D179" i="148"/>
  <c r="C179" i="148"/>
  <c r="N178" i="148"/>
  <c r="M178" i="148"/>
  <c r="L178" i="148"/>
  <c r="K178" i="148"/>
  <c r="J178" i="148"/>
  <c r="I178" i="148"/>
  <c r="H178" i="148"/>
  <c r="G178" i="148"/>
  <c r="F178" i="148"/>
  <c r="E178" i="148"/>
  <c r="D178" i="148"/>
  <c r="C178" i="148"/>
  <c r="N177" i="148"/>
  <c r="M177" i="148"/>
  <c r="L177" i="148"/>
  <c r="K177" i="148"/>
  <c r="J177" i="148"/>
  <c r="I177" i="148"/>
  <c r="H177" i="148"/>
  <c r="G177" i="148"/>
  <c r="F177" i="148"/>
  <c r="E177" i="148"/>
  <c r="D177" i="148"/>
  <c r="C177" i="148"/>
  <c r="N176" i="148"/>
  <c r="M176" i="148"/>
  <c r="L176" i="148"/>
  <c r="K176" i="148"/>
  <c r="J176" i="148"/>
  <c r="I176" i="148"/>
  <c r="H176" i="148"/>
  <c r="G176" i="148"/>
  <c r="F176" i="148"/>
  <c r="E176" i="148"/>
  <c r="D176" i="148"/>
  <c r="C176" i="148"/>
  <c r="N175" i="148"/>
  <c r="M175" i="148"/>
  <c r="M182" i="148" s="1"/>
  <c r="L175" i="148"/>
  <c r="L182" i="148" s="1"/>
  <c r="K175" i="148"/>
  <c r="K182" i="148" s="1"/>
  <c r="J175" i="148"/>
  <c r="J182" i="148" s="1"/>
  <c r="I175" i="148"/>
  <c r="H175" i="148"/>
  <c r="G175" i="148"/>
  <c r="G182" i="148" s="1"/>
  <c r="F175" i="148"/>
  <c r="E175" i="148"/>
  <c r="E182" i="148" s="1"/>
  <c r="D175" i="148"/>
  <c r="D182" i="148" s="1"/>
  <c r="C175" i="148"/>
  <c r="C182" i="148" s="1"/>
  <c r="N172" i="148"/>
  <c r="M172" i="148"/>
  <c r="L172" i="148"/>
  <c r="K172" i="148"/>
  <c r="J172" i="148"/>
  <c r="I172" i="148"/>
  <c r="H172" i="148"/>
  <c r="G172" i="148"/>
  <c r="F172" i="148"/>
  <c r="E172" i="148"/>
  <c r="D172" i="148"/>
  <c r="C172" i="148"/>
  <c r="N171" i="148"/>
  <c r="M171" i="148"/>
  <c r="L171" i="148"/>
  <c r="K171" i="148"/>
  <c r="J171" i="148"/>
  <c r="I171" i="148"/>
  <c r="H171" i="148"/>
  <c r="G171" i="148"/>
  <c r="F171" i="148"/>
  <c r="E171" i="148"/>
  <c r="D171" i="148"/>
  <c r="C171" i="148"/>
  <c r="N170" i="148"/>
  <c r="M170" i="148"/>
  <c r="L170" i="148"/>
  <c r="K170" i="148"/>
  <c r="J170" i="148"/>
  <c r="I170" i="148"/>
  <c r="H170" i="148"/>
  <c r="G170" i="148"/>
  <c r="F170" i="148"/>
  <c r="E170" i="148"/>
  <c r="D170" i="148"/>
  <c r="C170" i="148"/>
  <c r="N169" i="148"/>
  <c r="M169" i="148"/>
  <c r="L169" i="148"/>
  <c r="K169" i="148"/>
  <c r="J169" i="148"/>
  <c r="I169" i="148"/>
  <c r="H169" i="148"/>
  <c r="G169" i="148"/>
  <c r="F169" i="148"/>
  <c r="E169" i="148"/>
  <c r="D169" i="148"/>
  <c r="C169" i="148"/>
  <c r="N168" i="148"/>
  <c r="M168" i="148"/>
  <c r="L168" i="148"/>
  <c r="K168" i="148"/>
  <c r="J168" i="148"/>
  <c r="I168" i="148"/>
  <c r="H168" i="148"/>
  <c r="G168" i="148"/>
  <c r="F168" i="148"/>
  <c r="E168" i="148"/>
  <c r="D168" i="148"/>
  <c r="C168" i="148"/>
  <c r="N167" i="148"/>
  <c r="M167" i="148"/>
  <c r="L167" i="148"/>
  <c r="K167" i="148"/>
  <c r="J167" i="148"/>
  <c r="I167" i="148"/>
  <c r="H167" i="148"/>
  <c r="G167" i="148"/>
  <c r="F167" i="148"/>
  <c r="E167" i="148"/>
  <c r="D167" i="148"/>
  <c r="C167" i="148"/>
  <c r="N166" i="148"/>
  <c r="M166" i="148"/>
  <c r="L166" i="148"/>
  <c r="K166" i="148"/>
  <c r="J166" i="148"/>
  <c r="I166" i="148"/>
  <c r="H166" i="148"/>
  <c r="G166" i="148"/>
  <c r="F166" i="148"/>
  <c r="E166" i="148"/>
  <c r="D166" i="148"/>
  <c r="C166" i="148"/>
  <c r="N165" i="148"/>
  <c r="M165" i="148"/>
  <c r="L165" i="148"/>
  <c r="K165" i="148"/>
  <c r="J165" i="148"/>
  <c r="I165" i="148"/>
  <c r="H165" i="148"/>
  <c r="G165" i="148"/>
  <c r="F165" i="148"/>
  <c r="E165" i="148"/>
  <c r="D165" i="148"/>
  <c r="C165" i="148"/>
  <c r="N164" i="148"/>
  <c r="M164" i="148"/>
  <c r="L164" i="148"/>
  <c r="K164" i="148"/>
  <c r="J164" i="148"/>
  <c r="I164" i="148"/>
  <c r="H164" i="148"/>
  <c r="G164" i="148"/>
  <c r="F164" i="148"/>
  <c r="E164" i="148"/>
  <c r="D164" i="148"/>
  <c r="C164" i="148"/>
  <c r="N163" i="148"/>
  <c r="M163" i="148"/>
  <c r="L163" i="148"/>
  <c r="K163" i="148"/>
  <c r="J163" i="148"/>
  <c r="I163" i="148"/>
  <c r="H163" i="148"/>
  <c r="G163" i="148"/>
  <c r="F163" i="148"/>
  <c r="E163" i="148"/>
  <c r="D163" i="148"/>
  <c r="C163" i="148"/>
  <c r="N162" i="148"/>
  <c r="M162" i="148"/>
  <c r="L162" i="148"/>
  <c r="K162" i="148"/>
  <c r="J162" i="148"/>
  <c r="I162" i="148"/>
  <c r="H162" i="148"/>
  <c r="G162" i="148"/>
  <c r="F162" i="148"/>
  <c r="E162" i="148"/>
  <c r="D162" i="148"/>
  <c r="C162" i="148"/>
  <c r="N161" i="148"/>
  <c r="M161" i="148"/>
  <c r="L161" i="148"/>
  <c r="K161" i="148"/>
  <c r="J161" i="148"/>
  <c r="I161" i="148"/>
  <c r="H161" i="148"/>
  <c r="G161" i="148"/>
  <c r="F161" i="148"/>
  <c r="E161" i="148"/>
  <c r="D161" i="148"/>
  <c r="C161" i="148"/>
  <c r="N160" i="148"/>
  <c r="M160" i="148"/>
  <c r="L160" i="148"/>
  <c r="K160" i="148"/>
  <c r="J160" i="148"/>
  <c r="I160" i="148"/>
  <c r="H160" i="148"/>
  <c r="G160" i="148"/>
  <c r="F160" i="148"/>
  <c r="E160" i="148"/>
  <c r="D160" i="148"/>
  <c r="C160" i="148"/>
  <c r="N159" i="148"/>
  <c r="M159" i="148"/>
  <c r="L159" i="148"/>
  <c r="K159" i="148"/>
  <c r="J159" i="148"/>
  <c r="I159" i="148"/>
  <c r="H159" i="148"/>
  <c r="G159" i="148"/>
  <c r="F159" i="148"/>
  <c r="E159" i="148"/>
  <c r="D159" i="148"/>
  <c r="C159" i="148"/>
  <c r="N158" i="148"/>
  <c r="M158" i="148"/>
  <c r="L158" i="148"/>
  <c r="K158" i="148"/>
  <c r="J158" i="148"/>
  <c r="I158" i="148"/>
  <c r="H158" i="148"/>
  <c r="G158" i="148"/>
  <c r="F158" i="148"/>
  <c r="E158" i="148"/>
  <c r="D158" i="148"/>
  <c r="C158" i="148"/>
  <c r="N157" i="148"/>
  <c r="M157" i="148"/>
  <c r="L157" i="148"/>
  <c r="K157" i="148"/>
  <c r="J157" i="148"/>
  <c r="I157" i="148"/>
  <c r="H157" i="148"/>
  <c r="G157" i="148"/>
  <c r="F157" i="148"/>
  <c r="E157" i="148"/>
  <c r="D157" i="148"/>
  <c r="C157" i="148"/>
  <c r="N156" i="148"/>
  <c r="M156" i="148"/>
  <c r="L156" i="148"/>
  <c r="K156" i="148"/>
  <c r="J156" i="148"/>
  <c r="I156" i="148"/>
  <c r="H156" i="148"/>
  <c r="G156" i="148"/>
  <c r="F156" i="148"/>
  <c r="E156" i="148"/>
  <c r="D156" i="148"/>
  <c r="C156" i="148"/>
  <c r="N155" i="148"/>
  <c r="M155" i="148"/>
  <c r="L155" i="148"/>
  <c r="K155" i="148"/>
  <c r="J155" i="148"/>
  <c r="I155" i="148"/>
  <c r="H155" i="148"/>
  <c r="G155" i="148"/>
  <c r="F155" i="148"/>
  <c r="E155" i="148"/>
  <c r="D155" i="148"/>
  <c r="C155" i="148"/>
  <c r="N154" i="148"/>
  <c r="M154" i="148"/>
  <c r="L154" i="148"/>
  <c r="K154" i="148"/>
  <c r="J154" i="148"/>
  <c r="I154" i="148"/>
  <c r="H154" i="148"/>
  <c r="G154" i="148"/>
  <c r="F154" i="148"/>
  <c r="E154" i="148"/>
  <c r="D154" i="148"/>
  <c r="C154" i="148"/>
  <c r="N153" i="148"/>
  <c r="M153" i="148"/>
  <c r="L153" i="148"/>
  <c r="K153" i="148"/>
  <c r="J153" i="148"/>
  <c r="I153" i="148"/>
  <c r="H153" i="148"/>
  <c r="G153" i="148"/>
  <c r="F153" i="148"/>
  <c r="E153" i="148"/>
  <c r="D153" i="148"/>
  <c r="C153" i="148"/>
  <c r="N152" i="148"/>
  <c r="M152" i="148"/>
  <c r="L152" i="148"/>
  <c r="K152" i="148"/>
  <c r="J152" i="148"/>
  <c r="I152" i="148"/>
  <c r="H152" i="148"/>
  <c r="G152" i="148"/>
  <c r="F152" i="148"/>
  <c r="E152" i="148"/>
  <c r="D152" i="148"/>
  <c r="C152" i="148"/>
  <c r="N151" i="148"/>
  <c r="M151" i="148"/>
  <c r="L151" i="148"/>
  <c r="K151" i="148"/>
  <c r="J151" i="148"/>
  <c r="I151" i="148"/>
  <c r="H151" i="148"/>
  <c r="G151" i="148"/>
  <c r="F151" i="148"/>
  <c r="E151" i="148"/>
  <c r="O151" i="148" s="1"/>
  <c r="D151" i="148"/>
  <c r="C151" i="148"/>
  <c r="N150" i="148"/>
  <c r="M150" i="148"/>
  <c r="L150" i="148"/>
  <c r="K150" i="148"/>
  <c r="J150" i="148"/>
  <c r="I150" i="148"/>
  <c r="H150" i="148"/>
  <c r="G150" i="148"/>
  <c r="F150" i="148"/>
  <c r="E150" i="148"/>
  <c r="D150" i="148"/>
  <c r="C150" i="148"/>
  <c r="N149" i="148"/>
  <c r="M149" i="148"/>
  <c r="L149" i="148"/>
  <c r="K149" i="148"/>
  <c r="J149" i="148"/>
  <c r="I149" i="148"/>
  <c r="H149" i="148"/>
  <c r="G149" i="148"/>
  <c r="F149" i="148"/>
  <c r="E149" i="148"/>
  <c r="D149" i="148"/>
  <c r="C149" i="148"/>
  <c r="N148" i="148"/>
  <c r="M148" i="148"/>
  <c r="L148" i="148"/>
  <c r="K148" i="148"/>
  <c r="J148" i="148"/>
  <c r="I148" i="148"/>
  <c r="H148" i="148"/>
  <c r="G148" i="148"/>
  <c r="F148" i="148"/>
  <c r="E148" i="148"/>
  <c r="D148" i="148"/>
  <c r="C148" i="148"/>
  <c r="N147" i="148"/>
  <c r="M147" i="148"/>
  <c r="L147" i="148"/>
  <c r="K147" i="148"/>
  <c r="J147" i="148"/>
  <c r="I147" i="148"/>
  <c r="H147" i="148"/>
  <c r="G147" i="148"/>
  <c r="F147" i="148"/>
  <c r="E147" i="148"/>
  <c r="O147" i="148" s="1"/>
  <c r="D147" i="148"/>
  <c r="C147" i="148"/>
  <c r="N146" i="148"/>
  <c r="M146" i="148"/>
  <c r="L146" i="148"/>
  <c r="K146" i="148"/>
  <c r="J146" i="148"/>
  <c r="I146" i="148"/>
  <c r="H146" i="148"/>
  <c r="G146" i="148"/>
  <c r="F146" i="148"/>
  <c r="E146" i="148"/>
  <c r="D146" i="148"/>
  <c r="C146" i="148"/>
  <c r="N145" i="148"/>
  <c r="M145" i="148"/>
  <c r="L145" i="148"/>
  <c r="K145" i="148"/>
  <c r="J145" i="148"/>
  <c r="I145" i="148"/>
  <c r="H145" i="148"/>
  <c r="G145" i="148"/>
  <c r="F145" i="148"/>
  <c r="E145" i="148"/>
  <c r="D145" i="148"/>
  <c r="C145" i="148"/>
  <c r="N144" i="148"/>
  <c r="M144" i="148"/>
  <c r="L144" i="148"/>
  <c r="K144" i="148"/>
  <c r="J144" i="148"/>
  <c r="I144" i="148"/>
  <c r="H144" i="148"/>
  <c r="G144" i="148"/>
  <c r="F144" i="148"/>
  <c r="E144" i="148"/>
  <c r="D144" i="148"/>
  <c r="C144" i="148"/>
  <c r="N143" i="148"/>
  <c r="M143" i="148"/>
  <c r="L143" i="148"/>
  <c r="K143" i="148"/>
  <c r="J143" i="148"/>
  <c r="I143" i="148"/>
  <c r="H143" i="148"/>
  <c r="G143" i="148"/>
  <c r="F143" i="148"/>
  <c r="E143" i="148"/>
  <c r="D143" i="148"/>
  <c r="C143" i="148"/>
  <c r="N142" i="148"/>
  <c r="M142" i="148"/>
  <c r="L142" i="148"/>
  <c r="K142" i="148"/>
  <c r="J142" i="148"/>
  <c r="I142" i="148"/>
  <c r="H142" i="148"/>
  <c r="G142" i="148"/>
  <c r="F142" i="148"/>
  <c r="E142" i="148"/>
  <c r="D142" i="148"/>
  <c r="C142" i="148"/>
  <c r="N141" i="148"/>
  <c r="M141" i="148"/>
  <c r="L141" i="148"/>
  <c r="K141" i="148"/>
  <c r="J141" i="148"/>
  <c r="I141" i="148"/>
  <c r="H141" i="148"/>
  <c r="G141" i="148"/>
  <c r="F141" i="148"/>
  <c r="E141" i="148"/>
  <c r="D141" i="148"/>
  <c r="C141" i="148"/>
  <c r="N140" i="148"/>
  <c r="M140" i="148"/>
  <c r="L140" i="148"/>
  <c r="K140" i="148"/>
  <c r="J140" i="148"/>
  <c r="I140" i="148"/>
  <c r="H140" i="148"/>
  <c r="G140" i="148"/>
  <c r="F140" i="148"/>
  <c r="E140" i="148"/>
  <c r="D140" i="148"/>
  <c r="C140" i="148"/>
  <c r="N139" i="148"/>
  <c r="M139" i="148"/>
  <c r="L139" i="148"/>
  <c r="K139" i="148"/>
  <c r="J139" i="148"/>
  <c r="I139" i="148"/>
  <c r="H139" i="148"/>
  <c r="G139" i="148"/>
  <c r="F139" i="148"/>
  <c r="E139" i="148"/>
  <c r="D139" i="148"/>
  <c r="C139" i="148"/>
  <c r="N138" i="148"/>
  <c r="M138" i="148"/>
  <c r="L138" i="148"/>
  <c r="K138" i="148"/>
  <c r="J138" i="148"/>
  <c r="I138" i="148"/>
  <c r="H138" i="148"/>
  <c r="G138" i="148"/>
  <c r="F138" i="148"/>
  <c r="E138" i="148"/>
  <c r="D138" i="148"/>
  <c r="C138" i="148"/>
  <c r="N137" i="148"/>
  <c r="M137" i="148"/>
  <c r="M173" i="148" s="1"/>
  <c r="L137" i="148"/>
  <c r="L173" i="148" s="1"/>
  <c r="K137" i="148"/>
  <c r="K173" i="148" s="1"/>
  <c r="J137" i="148"/>
  <c r="J173" i="148" s="1"/>
  <c r="I137" i="148"/>
  <c r="H137" i="148"/>
  <c r="G137" i="148"/>
  <c r="F137" i="148"/>
  <c r="E137" i="148"/>
  <c r="E173" i="148" s="1"/>
  <c r="D137" i="148"/>
  <c r="D173" i="148" s="1"/>
  <c r="C137" i="148"/>
  <c r="N134" i="148"/>
  <c r="M134" i="148"/>
  <c r="L134" i="148"/>
  <c r="K134" i="148"/>
  <c r="J134" i="148"/>
  <c r="I134" i="148"/>
  <c r="H134" i="148"/>
  <c r="G134" i="148"/>
  <c r="F134" i="148"/>
  <c r="E134" i="148"/>
  <c r="D134" i="148"/>
  <c r="C134" i="148"/>
  <c r="N133" i="148"/>
  <c r="M133" i="148"/>
  <c r="L133" i="148"/>
  <c r="K133" i="148"/>
  <c r="J133" i="148"/>
  <c r="I133" i="148"/>
  <c r="H133" i="148"/>
  <c r="G133" i="148"/>
  <c r="F133" i="148"/>
  <c r="E133" i="148"/>
  <c r="D133" i="148"/>
  <c r="C133" i="148"/>
  <c r="N132" i="148"/>
  <c r="M132" i="148"/>
  <c r="L132" i="148"/>
  <c r="K132" i="148"/>
  <c r="J132" i="148"/>
  <c r="I132" i="148"/>
  <c r="H132" i="148"/>
  <c r="G132" i="148"/>
  <c r="F132" i="148"/>
  <c r="E132" i="148"/>
  <c r="D132" i="148"/>
  <c r="C132" i="148"/>
  <c r="N131" i="148"/>
  <c r="M131" i="148"/>
  <c r="L131" i="148"/>
  <c r="K131" i="148"/>
  <c r="J131" i="148"/>
  <c r="I131" i="148"/>
  <c r="H131" i="148"/>
  <c r="G131" i="148"/>
  <c r="F131" i="148"/>
  <c r="E131" i="148"/>
  <c r="D131" i="148"/>
  <c r="C131" i="148"/>
  <c r="N130" i="148"/>
  <c r="M130" i="148"/>
  <c r="L130" i="148"/>
  <c r="K130" i="148"/>
  <c r="J130" i="148"/>
  <c r="I130" i="148"/>
  <c r="H130" i="148"/>
  <c r="G130" i="148"/>
  <c r="F130" i="148"/>
  <c r="E130" i="148"/>
  <c r="D130" i="148"/>
  <c r="C130" i="148"/>
  <c r="N129" i="148"/>
  <c r="M129" i="148"/>
  <c r="L129" i="148"/>
  <c r="K129" i="148"/>
  <c r="J129" i="148"/>
  <c r="I129" i="148"/>
  <c r="H129" i="148"/>
  <c r="G129" i="148"/>
  <c r="F129" i="148"/>
  <c r="E129" i="148"/>
  <c r="D129" i="148"/>
  <c r="C129" i="148"/>
  <c r="N128" i="148"/>
  <c r="N135" i="148" s="1"/>
  <c r="M128" i="148"/>
  <c r="L128" i="148"/>
  <c r="K128" i="148"/>
  <c r="K135" i="148" s="1"/>
  <c r="J128" i="148"/>
  <c r="I128" i="148"/>
  <c r="I135" i="148" s="1"/>
  <c r="H128" i="148"/>
  <c r="G128" i="148"/>
  <c r="G135" i="148" s="1"/>
  <c r="F128" i="148"/>
  <c r="F135" i="148" s="1"/>
  <c r="E128" i="148"/>
  <c r="D128" i="148"/>
  <c r="C128" i="148"/>
  <c r="N125" i="148"/>
  <c r="M125" i="148"/>
  <c r="L125" i="148"/>
  <c r="K125" i="148"/>
  <c r="J125" i="148"/>
  <c r="I125" i="148"/>
  <c r="H125" i="148"/>
  <c r="G125" i="148"/>
  <c r="F125" i="148"/>
  <c r="E125" i="148"/>
  <c r="D125" i="148"/>
  <c r="C125" i="148"/>
  <c r="N124" i="148"/>
  <c r="M124" i="148"/>
  <c r="L124" i="148"/>
  <c r="K124" i="148"/>
  <c r="J124" i="148"/>
  <c r="I124" i="148"/>
  <c r="H124" i="148"/>
  <c r="G124" i="148"/>
  <c r="F124" i="148"/>
  <c r="E124" i="148"/>
  <c r="D124" i="148"/>
  <c r="C124" i="148"/>
  <c r="N123" i="148"/>
  <c r="M123" i="148"/>
  <c r="L123" i="148"/>
  <c r="K123" i="148"/>
  <c r="J123" i="148"/>
  <c r="I123" i="148"/>
  <c r="H123" i="148"/>
  <c r="G123" i="148"/>
  <c r="F123" i="148"/>
  <c r="E123" i="148"/>
  <c r="D123" i="148"/>
  <c r="C123" i="148"/>
  <c r="N122" i="148"/>
  <c r="M122" i="148"/>
  <c r="L122" i="148"/>
  <c r="K122" i="148"/>
  <c r="J122" i="148"/>
  <c r="I122" i="148"/>
  <c r="H122" i="148"/>
  <c r="G122" i="148"/>
  <c r="F122" i="148"/>
  <c r="E122" i="148"/>
  <c r="D122" i="148"/>
  <c r="C122" i="148"/>
  <c r="N121" i="148"/>
  <c r="M121" i="148"/>
  <c r="L121" i="148"/>
  <c r="K121" i="148"/>
  <c r="J121" i="148"/>
  <c r="I121" i="148"/>
  <c r="H121" i="148"/>
  <c r="G121" i="148"/>
  <c r="F121" i="148"/>
  <c r="E121" i="148"/>
  <c r="D121" i="148"/>
  <c r="C121" i="148"/>
  <c r="N120" i="148"/>
  <c r="M120" i="148"/>
  <c r="L120" i="148"/>
  <c r="K120" i="148"/>
  <c r="J120" i="148"/>
  <c r="I120" i="148"/>
  <c r="H120" i="148"/>
  <c r="G120" i="148"/>
  <c r="F120" i="148"/>
  <c r="E120" i="148"/>
  <c r="D120" i="148"/>
  <c r="C120" i="148"/>
  <c r="N119" i="148"/>
  <c r="M119" i="148"/>
  <c r="L119" i="148"/>
  <c r="K119" i="148"/>
  <c r="J119" i="148"/>
  <c r="I119" i="148"/>
  <c r="H119" i="148"/>
  <c r="G119" i="148"/>
  <c r="F119" i="148"/>
  <c r="E119" i="148"/>
  <c r="D119" i="148"/>
  <c r="C119" i="148"/>
  <c r="N118" i="148"/>
  <c r="M118" i="148"/>
  <c r="L118" i="148"/>
  <c r="K118" i="148"/>
  <c r="J118" i="148"/>
  <c r="I118" i="148"/>
  <c r="H118" i="148"/>
  <c r="G118" i="148"/>
  <c r="F118" i="148"/>
  <c r="E118" i="148"/>
  <c r="D118" i="148"/>
  <c r="C118" i="148"/>
  <c r="N117" i="148"/>
  <c r="M117" i="148"/>
  <c r="L117" i="148"/>
  <c r="K117" i="148"/>
  <c r="J117" i="148"/>
  <c r="I117" i="148"/>
  <c r="H117" i="148"/>
  <c r="G117" i="148"/>
  <c r="F117" i="148"/>
  <c r="E117" i="148"/>
  <c r="D117" i="148"/>
  <c r="C117" i="148"/>
  <c r="N116" i="148"/>
  <c r="M116" i="148"/>
  <c r="L116" i="148"/>
  <c r="K116" i="148"/>
  <c r="J116" i="148"/>
  <c r="I116" i="148"/>
  <c r="H116" i="148"/>
  <c r="G116" i="148"/>
  <c r="F116" i="148"/>
  <c r="E116" i="148"/>
  <c r="D116" i="148"/>
  <c r="C116" i="148"/>
  <c r="N115" i="148"/>
  <c r="M115" i="148"/>
  <c r="M126" i="148" s="1"/>
  <c r="L115" i="148"/>
  <c r="L126" i="148" s="1"/>
  <c r="K115" i="148"/>
  <c r="K126" i="148" s="1"/>
  <c r="J115" i="148"/>
  <c r="J126" i="148" s="1"/>
  <c r="I115" i="148"/>
  <c r="H115" i="148"/>
  <c r="G115" i="148"/>
  <c r="F115" i="148"/>
  <c r="E115" i="148"/>
  <c r="E126" i="148" s="1"/>
  <c r="D115" i="148"/>
  <c r="D126" i="148" s="1"/>
  <c r="C115" i="148"/>
  <c r="T111" i="148"/>
  <c r="T110" i="148"/>
  <c r="T109" i="148"/>
  <c r="N109" i="148"/>
  <c r="M109" i="148"/>
  <c r="L109" i="148"/>
  <c r="L112" i="148" s="1"/>
  <c r="K109" i="148"/>
  <c r="J109" i="148"/>
  <c r="I109" i="148"/>
  <c r="H109" i="148"/>
  <c r="G109" i="148"/>
  <c r="F109" i="148"/>
  <c r="E109" i="148"/>
  <c r="E112" i="148" s="1"/>
  <c r="D109" i="148"/>
  <c r="D112" i="148" s="1"/>
  <c r="C109" i="148"/>
  <c r="T108" i="148"/>
  <c r="O108" i="148"/>
  <c r="T107" i="148"/>
  <c r="O107" i="148"/>
  <c r="T106" i="148"/>
  <c r="T105" i="148"/>
  <c r="T104" i="148"/>
  <c r="N104" i="148"/>
  <c r="N111" i="148" s="1"/>
  <c r="M104" i="148"/>
  <c r="L104" i="148"/>
  <c r="K104" i="148"/>
  <c r="K111" i="148" s="1"/>
  <c r="J104" i="148"/>
  <c r="I104" i="148"/>
  <c r="I111" i="148" s="1"/>
  <c r="H104" i="148"/>
  <c r="H111" i="148" s="1"/>
  <c r="G104" i="148"/>
  <c r="G111" i="148" s="1"/>
  <c r="F104" i="148"/>
  <c r="F111" i="148" s="1"/>
  <c r="E104" i="148"/>
  <c r="D104" i="148"/>
  <c r="C104" i="148"/>
  <c r="T103" i="148"/>
  <c r="O103" i="148"/>
  <c r="T102" i="148"/>
  <c r="O102" i="148"/>
  <c r="T101" i="148"/>
  <c r="T100" i="148"/>
  <c r="T99" i="148"/>
  <c r="T98" i="148"/>
  <c r="T97" i="148"/>
  <c r="N97" i="148"/>
  <c r="M97" i="148"/>
  <c r="L97" i="148"/>
  <c r="K97" i="148"/>
  <c r="J97" i="148"/>
  <c r="I97" i="148"/>
  <c r="H97" i="148"/>
  <c r="G97" i="148"/>
  <c r="F97" i="148"/>
  <c r="E97" i="148"/>
  <c r="D97" i="148"/>
  <c r="C97" i="148"/>
  <c r="T96" i="148"/>
  <c r="O96" i="148"/>
  <c r="T95" i="148"/>
  <c r="O95" i="148"/>
  <c r="T94" i="148"/>
  <c r="T93" i="148"/>
  <c r="N93" i="148"/>
  <c r="M93" i="148"/>
  <c r="L93" i="148"/>
  <c r="K93" i="148"/>
  <c r="J93" i="148"/>
  <c r="I93" i="148"/>
  <c r="H93" i="148"/>
  <c r="G93" i="148"/>
  <c r="F93" i="148"/>
  <c r="E93" i="148"/>
  <c r="D93" i="148"/>
  <c r="C93" i="148"/>
  <c r="U92" i="148"/>
  <c r="V92" i="148" s="1"/>
  <c r="T92" i="148"/>
  <c r="O92" i="148"/>
  <c r="U91" i="148"/>
  <c r="V91" i="148" s="1"/>
  <c r="T91" i="148"/>
  <c r="O91" i="148"/>
  <c r="V90" i="148"/>
  <c r="U90" i="148"/>
  <c r="T90" i="148"/>
  <c r="O90" i="148"/>
  <c r="T89" i="148"/>
  <c r="O89" i="148"/>
  <c r="O93" i="148" s="1"/>
  <c r="N87" i="148"/>
  <c r="G87" i="148"/>
  <c r="E87" i="148"/>
  <c r="D87" i="148"/>
  <c r="C87" i="148"/>
  <c r="U86" i="148"/>
  <c r="V86" i="148" s="1"/>
  <c r="T86" i="148"/>
  <c r="O86" i="148"/>
  <c r="U85" i="148"/>
  <c r="V85" i="148" s="1"/>
  <c r="T85" i="148"/>
  <c r="O85" i="148"/>
  <c r="U84" i="148"/>
  <c r="V84" i="148" s="1"/>
  <c r="T84" i="148"/>
  <c r="O84" i="148"/>
  <c r="U83" i="148"/>
  <c r="V83" i="148" s="1"/>
  <c r="T83" i="148"/>
  <c r="O83" i="148"/>
  <c r="U82" i="148"/>
  <c r="V82" i="148" s="1"/>
  <c r="T82" i="148"/>
  <c r="O82" i="148"/>
  <c r="U81" i="148"/>
  <c r="V81" i="148" s="1"/>
  <c r="T81" i="148"/>
  <c r="O81" i="148"/>
  <c r="V80" i="148"/>
  <c r="U80" i="148"/>
  <c r="T80" i="148"/>
  <c r="O80" i="148"/>
  <c r="U79" i="148"/>
  <c r="V79" i="148" s="1"/>
  <c r="T79" i="148"/>
  <c r="O79" i="148"/>
  <c r="U78" i="148"/>
  <c r="V78" i="148" s="1"/>
  <c r="T78" i="148"/>
  <c r="O78" i="148"/>
  <c r="U77" i="148"/>
  <c r="V77" i="148" s="1"/>
  <c r="T77" i="148"/>
  <c r="O77" i="148"/>
  <c r="U76" i="148"/>
  <c r="V76" i="148" s="1"/>
  <c r="T76" i="148"/>
  <c r="O76" i="148"/>
  <c r="U75" i="148"/>
  <c r="V75" i="148" s="1"/>
  <c r="T75" i="148"/>
  <c r="O75" i="148"/>
  <c r="U74" i="148"/>
  <c r="V74" i="148" s="1"/>
  <c r="T74" i="148"/>
  <c r="O74" i="148"/>
  <c r="T73" i="148"/>
  <c r="M73" i="148"/>
  <c r="M87" i="148" s="1"/>
  <c r="L73" i="148"/>
  <c r="L87" i="148" s="1"/>
  <c r="K73" i="148"/>
  <c r="K87" i="148" s="1"/>
  <c r="J73" i="148"/>
  <c r="J87" i="148" s="1"/>
  <c r="I73" i="148"/>
  <c r="I87" i="148" s="1"/>
  <c r="H73" i="148"/>
  <c r="H87" i="148" s="1"/>
  <c r="F73" i="148"/>
  <c r="H184" i="148" s="1"/>
  <c r="H193" i="148" s="1"/>
  <c r="N71" i="148"/>
  <c r="M71" i="148"/>
  <c r="L71" i="148"/>
  <c r="K71" i="148"/>
  <c r="J71" i="148"/>
  <c r="I71" i="148"/>
  <c r="H71" i="148"/>
  <c r="G71" i="148"/>
  <c r="O71" i="148" s="1"/>
  <c r="F71" i="148"/>
  <c r="E71" i="148"/>
  <c r="D71" i="148"/>
  <c r="C71" i="148"/>
  <c r="U70" i="148"/>
  <c r="V70" i="148" s="1"/>
  <c r="R70" i="148"/>
  <c r="O70" i="148"/>
  <c r="V69" i="148"/>
  <c r="U69" i="148"/>
  <c r="R69" i="148"/>
  <c r="O69" i="148"/>
  <c r="V68" i="148"/>
  <c r="U68" i="148"/>
  <c r="R68" i="148"/>
  <c r="O68" i="148"/>
  <c r="V67" i="148"/>
  <c r="U67" i="148"/>
  <c r="R67" i="148"/>
  <c r="O67" i="148"/>
  <c r="U66" i="148"/>
  <c r="V66" i="148" s="1"/>
  <c r="R66" i="148"/>
  <c r="O66" i="148"/>
  <c r="U65" i="148"/>
  <c r="V65" i="148" s="1"/>
  <c r="R65" i="148"/>
  <c r="O65" i="148"/>
  <c r="U64" i="148"/>
  <c r="V64" i="148" s="1"/>
  <c r="R64" i="148"/>
  <c r="O64" i="148"/>
  <c r="U63" i="148"/>
  <c r="V63" i="148" s="1"/>
  <c r="N62" i="148"/>
  <c r="M62" i="148"/>
  <c r="L62" i="148"/>
  <c r="K62" i="148"/>
  <c r="J62" i="148"/>
  <c r="I62" i="148"/>
  <c r="H62" i="148"/>
  <c r="G62" i="148"/>
  <c r="F62" i="148"/>
  <c r="E62" i="148"/>
  <c r="D62" i="148"/>
  <c r="C62" i="148"/>
  <c r="U61" i="148"/>
  <c r="V61" i="148" s="1"/>
  <c r="R61" i="148"/>
  <c r="O61" i="148"/>
  <c r="U60" i="148"/>
  <c r="V60" i="148" s="1"/>
  <c r="R60" i="148"/>
  <c r="O60" i="148"/>
  <c r="V59" i="148"/>
  <c r="U59" i="148"/>
  <c r="R59" i="148"/>
  <c r="O59" i="148"/>
  <c r="V58" i="148"/>
  <c r="U58" i="148"/>
  <c r="R58" i="148"/>
  <c r="O58" i="148"/>
  <c r="V57" i="148"/>
  <c r="U57" i="148"/>
  <c r="R57" i="148"/>
  <c r="O57" i="148"/>
  <c r="V56" i="148"/>
  <c r="U56" i="148"/>
  <c r="R56" i="148"/>
  <c r="O56" i="148"/>
  <c r="U55" i="148"/>
  <c r="V55" i="148" s="1"/>
  <c r="R55" i="148"/>
  <c r="O55" i="148"/>
  <c r="U54" i="148"/>
  <c r="V54" i="148" s="1"/>
  <c r="R54" i="148"/>
  <c r="O54" i="148"/>
  <c r="U53" i="148"/>
  <c r="V53" i="148" s="1"/>
  <c r="R53" i="148"/>
  <c r="O53" i="148"/>
  <c r="U52" i="148"/>
  <c r="V52" i="148" s="1"/>
  <c r="R52" i="148"/>
  <c r="O52" i="148"/>
  <c r="V51" i="148"/>
  <c r="U51" i="148"/>
  <c r="R51" i="148"/>
  <c r="O51" i="148"/>
  <c r="V50" i="148"/>
  <c r="U50" i="148"/>
  <c r="R50" i="148"/>
  <c r="O50" i="148"/>
  <c r="V49" i="148"/>
  <c r="U49" i="148"/>
  <c r="R49" i="148"/>
  <c r="O49" i="148"/>
  <c r="V48" i="148"/>
  <c r="U48" i="148"/>
  <c r="R48" i="148"/>
  <c r="O48" i="148"/>
  <c r="U47" i="148"/>
  <c r="V47" i="148" s="1"/>
  <c r="R47" i="148"/>
  <c r="O47" i="148"/>
  <c r="U46" i="148"/>
  <c r="V46" i="148" s="1"/>
  <c r="R46" i="148"/>
  <c r="O46" i="148"/>
  <c r="U45" i="148"/>
  <c r="V45" i="148" s="1"/>
  <c r="R45" i="148"/>
  <c r="O45" i="148"/>
  <c r="U44" i="148"/>
  <c r="V44" i="148" s="1"/>
  <c r="R44" i="148"/>
  <c r="O44" i="148"/>
  <c r="V43" i="148"/>
  <c r="U43" i="148"/>
  <c r="R43" i="148"/>
  <c r="O43" i="148"/>
  <c r="V42" i="148"/>
  <c r="U42" i="148"/>
  <c r="R42" i="148"/>
  <c r="O42" i="148"/>
  <c r="V41" i="148"/>
  <c r="U41" i="148"/>
  <c r="R41" i="148"/>
  <c r="O41" i="148"/>
  <c r="V40" i="148"/>
  <c r="U40" i="148"/>
  <c r="R40" i="148"/>
  <c r="O40" i="148"/>
  <c r="U39" i="148"/>
  <c r="V39" i="148" s="1"/>
  <c r="R39" i="148"/>
  <c r="O39" i="148"/>
  <c r="U38" i="148"/>
  <c r="V38" i="148" s="1"/>
  <c r="R38" i="148"/>
  <c r="O38" i="148"/>
  <c r="U37" i="148"/>
  <c r="V37" i="148" s="1"/>
  <c r="R37" i="148"/>
  <c r="O37" i="148"/>
  <c r="U36" i="148"/>
  <c r="V36" i="148" s="1"/>
  <c r="R36" i="148"/>
  <c r="O36" i="148"/>
  <c r="V35" i="148"/>
  <c r="U35" i="148"/>
  <c r="R35" i="148"/>
  <c r="O35" i="148"/>
  <c r="V34" i="148"/>
  <c r="U34" i="148"/>
  <c r="R34" i="148"/>
  <c r="O34" i="148"/>
  <c r="V33" i="148"/>
  <c r="U33" i="148"/>
  <c r="R33" i="148"/>
  <c r="O33" i="148"/>
  <c r="V32" i="148"/>
  <c r="U32" i="148"/>
  <c r="R32" i="148"/>
  <c r="O32" i="148"/>
  <c r="U31" i="148"/>
  <c r="V31" i="148" s="1"/>
  <c r="R31" i="148"/>
  <c r="O31" i="148"/>
  <c r="U30" i="148"/>
  <c r="V30" i="148" s="1"/>
  <c r="R30" i="148"/>
  <c r="O30" i="148"/>
  <c r="U29" i="148"/>
  <c r="V29" i="148" s="1"/>
  <c r="R29" i="148"/>
  <c r="O29" i="148"/>
  <c r="U28" i="148"/>
  <c r="V28" i="148" s="1"/>
  <c r="R28" i="148"/>
  <c r="O28" i="148"/>
  <c r="V27" i="148"/>
  <c r="U27" i="148"/>
  <c r="R27" i="148"/>
  <c r="O27" i="148"/>
  <c r="V26" i="148"/>
  <c r="U26" i="148"/>
  <c r="R26" i="148"/>
  <c r="O26" i="148"/>
  <c r="V25" i="148"/>
  <c r="U25" i="148"/>
  <c r="N24" i="148"/>
  <c r="M24" i="148"/>
  <c r="L24" i="148"/>
  <c r="K24" i="148"/>
  <c r="J24" i="148"/>
  <c r="I24" i="148"/>
  <c r="H24" i="148"/>
  <c r="G24" i="148"/>
  <c r="F24" i="148"/>
  <c r="E24" i="148"/>
  <c r="D24" i="148"/>
  <c r="C24" i="148"/>
  <c r="U23" i="148"/>
  <c r="V23" i="148" s="1"/>
  <c r="R23" i="148"/>
  <c r="O23" i="148"/>
  <c r="V22" i="148"/>
  <c r="U22" i="148"/>
  <c r="R22" i="148"/>
  <c r="O22" i="148"/>
  <c r="U21" i="148"/>
  <c r="V21" i="148" s="1"/>
  <c r="R21" i="148"/>
  <c r="O21" i="148"/>
  <c r="U20" i="148"/>
  <c r="V20" i="148" s="1"/>
  <c r="R20" i="148"/>
  <c r="O20" i="148"/>
  <c r="U19" i="148"/>
  <c r="V19" i="148" s="1"/>
  <c r="R19" i="148"/>
  <c r="O19" i="148"/>
  <c r="U18" i="148"/>
  <c r="V18" i="148" s="1"/>
  <c r="R18" i="148"/>
  <c r="O18" i="148"/>
  <c r="U17" i="148"/>
  <c r="V17" i="148" s="1"/>
  <c r="R17" i="148"/>
  <c r="O17" i="148"/>
  <c r="U16" i="148"/>
  <c r="V16" i="148" s="1"/>
  <c r="N15" i="148"/>
  <c r="M15" i="148"/>
  <c r="L15" i="148"/>
  <c r="K15" i="148"/>
  <c r="J15" i="148"/>
  <c r="J99" i="148" s="1"/>
  <c r="I15" i="148"/>
  <c r="H15" i="148"/>
  <c r="G15" i="148"/>
  <c r="F15" i="148"/>
  <c r="E15" i="148"/>
  <c r="D15" i="148"/>
  <c r="C15" i="148"/>
  <c r="U14" i="148"/>
  <c r="V14" i="148" s="1"/>
  <c r="R14" i="148"/>
  <c r="O14" i="148"/>
  <c r="V13" i="148"/>
  <c r="U13" i="148"/>
  <c r="R13" i="148"/>
  <c r="O13" i="148"/>
  <c r="U12" i="148"/>
  <c r="V12" i="148" s="1"/>
  <c r="R12" i="148"/>
  <c r="O12" i="148"/>
  <c r="U11" i="148"/>
  <c r="V11" i="148" s="1"/>
  <c r="R11" i="148"/>
  <c r="O11" i="148"/>
  <c r="U10" i="148"/>
  <c r="V10" i="148" s="1"/>
  <c r="R10" i="148"/>
  <c r="O10" i="148"/>
  <c r="U9" i="148"/>
  <c r="V9" i="148" s="1"/>
  <c r="R9" i="148"/>
  <c r="O9" i="148"/>
  <c r="U8" i="148"/>
  <c r="V8" i="148" s="1"/>
  <c r="R8" i="148"/>
  <c r="O8" i="148"/>
  <c r="U7" i="148"/>
  <c r="V7" i="148" s="1"/>
  <c r="R7" i="148"/>
  <c r="O7" i="148"/>
  <c r="U6" i="148"/>
  <c r="V6" i="148" s="1"/>
  <c r="R6" i="148"/>
  <c r="O6" i="148"/>
  <c r="U5" i="148"/>
  <c r="V5" i="148" s="1"/>
  <c r="R5" i="148"/>
  <c r="O5" i="148"/>
  <c r="V4" i="148"/>
  <c r="U4" i="148"/>
  <c r="R4" i="148"/>
  <c r="O4" i="148"/>
  <c r="A3" i="148"/>
  <c r="A4" i="148" s="1"/>
  <c r="A5" i="148" s="1"/>
  <c r="A6" i="148" s="1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A43" i="148" s="1"/>
  <c r="A44" i="148" s="1"/>
  <c r="A45" i="148" s="1"/>
  <c r="A46" i="148" s="1"/>
  <c r="A47" i="148" s="1"/>
  <c r="A48" i="148" s="1"/>
  <c r="A49" i="148" s="1"/>
  <c r="A50" i="148" s="1"/>
  <c r="A51" i="148" s="1"/>
  <c r="A52" i="148" s="1"/>
  <c r="A53" i="148" s="1"/>
  <c r="A54" i="148" s="1"/>
  <c r="A55" i="148" s="1"/>
  <c r="A56" i="148" s="1"/>
  <c r="A57" i="148" s="1"/>
  <c r="A58" i="148" s="1"/>
  <c r="A59" i="148" s="1"/>
  <c r="A60" i="148" s="1"/>
  <c r="A61" i="148" s="1"/>
  <c r="A62" i="148" s="1"/>
  <c r="A63" i="148" s="1"/>
  <c r="A64" i="148" s="1"/>
  <c r="A65" i="148" s="1"/>
  <c r="A66" i="148" s="1"/>
  <c r="A67" i="148" s="1"/>
  <c r="A68" i="148" s="1"/>
  <c r="A69" i="148" s="1"/>
  <c r="A70" i="148" s="1"/>
  <c r="A71" i="148" s="1"/>
  <c r="A72" i="148" s="1"/>
  <c r="A73" i="148" s="1"/>
  <c r="A74" i="148" s="1"/>
  <c r="A75" i="148" s="1"/>
  <c r="A76" i="148" s="1"/>
  <c r="A77" i="148" s="1"/>
  <c r="A78" i="148" s="1"/>
  <c r="A79" i="148" s="1"/>
  <c r="A80" i="148" s="1"/>
  <c r="A81" i="148" s="1"/>
  <c r="A82" i="148" s="1"/>
  <c r="A83" i="148" s="1"/>
  <c r="A84" i="148" s="1"/>
  <c r="A85" i="148" s="1"/>
  <c r="A86" i="148" s="1"/>
  <c r="A87" i="148" s="1"/>
  <c r="A88" i="148" s="1"/>
  <c r="A89" i="148" s="1"/>
  <c r="A90" i="148" s="1"/>
  <c r="A91" i="148" s="1"/>
  <c r="A92" i="148" s="1"/>
  <c r="A93" i="148" s="1"/>
  <c r="A94" i="148" s="1"/>
  <c r="A95" i="148" s="1"/>
  <c r="A96" i="148" s="1"/>
  <c r="A97" i="148" s="1"/>
  <c r="A98" i="148" s="1"/>
  <c r="A99" i="148" s="1"/>
  <c r="A100" i="148" s="1"/>
  <c r="A101" i="148" s="1"/>
  <c r="A102" i="148" s="1"/>
  <c r="A103" i="148" s="1"/>
  <c r="A104" i="148" s="1"/>
  <c r="A105" i="148" s="1"/>
  <c r="A106" i="148" s="1"/>
  <c r="A107" i="148" s="1"/>
  <c r="A108" i="148" s="1"/>
  <c r="A109" i="148" s="1"/>
  <c r="A110" i="148" s="1"/>
  <c r="A111" i="148" s="1"/>
  <c r="A112" i="148" s="1"/>
  <c r="A113" i="148" s="1"/>
  <c r="A114" i="148" s="1"/>
  <c r="A115" i="148" s="1"/>
  <c r="A116" i="148" s="1"/>
  <c r="A117" i="148" s="1"/>
  <c r="A118" i="148" s="1"/>
  <c r="A119" i="148" s="1"/>
  <c r="A120" i="148" s="1"/>
  <c r="A121" i="148" s="1"/>
  <c r="A122" i="148" s="1"/>
  <c r="A123" i="148" s="1"/>
  <c r="A124" i="148" s="1"/>
  <c r="A125" i="148" s="1"/>
  <c r="A126" i="148" s="1"/>
  <c r="A127" i="148" s="1"/>
  <c r="A128" i="148" s="1"/>
  <c r="A129" i="148" s="1"/>
  <c r="A130" i="148" s="1"/>
  <c r="A131" i="148" s="1"/>
  <c r="A132" i="148" s="1"/>
  <c r="A133" i="148" s="1"/>
  <c r="A134" i="148" s="1"/>
  <c r="A135" i="148" s="1"/>
  <c r="A136" i="148" s="1"/>
  <c r="A137" i="148" s="1"/>
  <c r="A138" i="148" s="1"/>
  <c r="A139" i="148" s="1"/>
  <c r="A140" i="148" s="1"/>
  <c r="A141" i="148" s="1"/>
  <c r="A142" i="148" s="1"/>
  <c r="A143" i="148" s="1"/>
  <c r="A144" i="148" s="1"/>
  <c r="A145" i="148" s="1"/>
  <c r="A146" i="148" s="1"/>
  <c r="A147" i="148" s="1"/>
  <c r="A148" i="148" s="1"/>
  <c r="A149" i="148" s="1"/>
  <c r="A150" i="148" s="1"/>
  <c r="A151" i="148" s="1"/>
  <c r="A152" i="148" s="1"/>
  <c r="A153" i="148" s="1"/>
  <c r="A154" i="148" s="1"/>
  <c r="A155" i="148" s="1"/>
  <c r="A156" i="148" s="1"/>
  <c r="A157" i="148" s="1"/>
  <c r="A158" i="148" s="1"/>
  <c r="A159" i="148" s="1"/>
  <c r="A160" i="148" s="1"/>
  <c r="A161" i="148" s="1"/>
  <c r="A162" i="148" s="1"/>
  <c r="A163" i="148" s="1"/>
  <c r="A164" i="148" s="1"/>
  <c r="A165" i="148" s="1"/>
  <c r="A166" i="148" s="1"/>
  <c r="A167" i="148" s="1"/>
  <c r="A168" i="148" s="1"/>
  <c r="A169" i="148" s="1"/>
  <c r="A170" i="148" s="1"/>
  <c r="A171" i="148" s="1"/>
  <c r="A172" i="148" s="1"/>
  <c r="A173" i="148" s="1"/>
  <c r="A174" i="148" s="1"/>
  <c r="A175" i="148" s="1"/>
  <c r="A176" i="148" s="1"/>
  <c r="A177" i="148" s="1"/>
  <c r="A178" i="148" s="1"/>
  <c r="A179" i="148" s="1"/>
  <c r="A180" i="148" s="1"/>
  <c r="A181" i="148" s="1"/>
  <c r="A182" i="148" s="1"/>
  <c r="A183" i="148" s="1"/>
  <c r="A184" i="148" s="1"/>
  <c r="A185" i="148" s="1"/>
  <c r="A186" i="148" s="1"/>
  <c r="A187" i="148" s="1"/>
  <c r="A188" i="148" s="1"/>
  <c r="A189" i="148" s="1"/>
  <c r="A190" i="148" s="1"/>
  <c r="A191" i="148" s="1"/>
  <c r="A192" i="148" s="1"/>
  <c r="A193" i="148" s="1"/>
  <c r="A194" i="148" s="1"/>
  <c r="A195" i="148" s="1"/>
  <c r="A196" i="148" s="1"/>
  <c r="A197" i="148" s="1"/>
  <c r="A198" i="148" s="1"/>
  <c r="A199" i="148" s="1"/>
  <c r="A200" i="148" s="1"/>
  <c r="A201" i="148" s="1"/>
  <c r="A202" i="148" s="1"/>
  <c r="A203" i="148" s="1"/>
  <c r="A204" i="148" s="1"/>
  <c r="A205" i="148" s="1"/>
  <c r="A206" i="148" s="1"/>
  <c r="A207" i="148" s="1"/>
  <c r="A208" i="148" s="1"/>
  <c r="A209" i="148" s="1"/>
  <c r="A210" i="148" s="1"/>
  <c r="A211" i="148" s="1"/>
  <c r="A212" i="148" s="1"/>
  <c r="A213" i="148" s="1"/>
  <c r="A214" i="148" s="1"/>
  <c r="A215" i="148" s="1"/>
  <c r="A216" i="148" s="1"/>
  <c r="A217" i="148" s="1"/>
  <c r="N2" i="148"/>
  <c r="K2" i="148"/>
  <c r="J2" i="148"/>
  <c r="I2" i="148"/>
  <c r="H2" i="148"/>
  <c r="G2" i="148"/>
  <c r="F2" i="148"/>
  <c r="E2" i="148"/>
  <c r="D2" i="148"/>
  <c r="C2" i="148"/>
  <c r="R258" i="149"/>
  <c r="O258" i="149"/>
  <c r="O257" i="149"/>
  <c r="R257" i="149" s="1"/>
  <c r="O256" i="149"/>
  <c r="R256" i="149" s="1"/>
  <c r="R255" i="149"/>
  <c r="O255" i="149"/>
  <c r="I243" i="149"/>
  <c r="F243" i="149"/>
  <c r="N242" i="149"/>
  <c r="M242" i="149"/>
  <c r="L242" i="149"/>
  <c r="K242" i="149"/>
  <c r="J242" i="149"/>
  <c r="I242" i="149"/>
  <c r="H242" i="149"/>
  <c r="G242" i="149"/>
  <c r="F242" i="149"/>
  <c r="E242" i="149"/>
  <c r="D242" i="149"/>
  <c r="C242" i="149"/>
  <c r="N241" i="149"/>
  <c r="N243" i="149" s="1"/>
  <c r="M241" i="149"/>
  <c r="L241" i="149"/>
  <c r="K241" i="149"/>
  <c r="K243" i="149" s="1"/>
  <c r="J241" i="149"/>
  <c r="I241" i="149"/>
  <c r="H241" i="149"/>
  <c r="G241" i="149"/>
  <c r="F241" i="149"/>
  <c r="E241" i="149"/>
  <c r="D241" i="149"/>
  <c r="C241" i="149"/>
  <c r="C243" i="149" s="1"/>
  <c r="N237" i="149"/>
  <c r="M237" i="149"/>
  <c r="L237" i="149"/>
  <c r="K237" i="149"/>
  <c r="J237" i="149"/>
  <c r="I237" i="149"/>
  <c r="H237" i="149"/>
  <c r="G237" i="149"/>
  <c r="F237" i="149"/>
  <c r="E237" i="149"/>
  <c r="D237" i="149"/>
  <c r="C237" i="149"/>
  <c r="N236" i="149"/>
  <c r="M236" i="149"/>
  <c r="L236" i="149"/>
  <c r="K236" i="149"/>
  <c r="J236" i="149"/>
  <c r="I236" i="149"/>
  <c r="H236" i="149"/>
  <c r="G236" i="149"/>
  <c r="F236" i="149"/>
  <c r="E236" i="149"/>
  <c r="D236" i="149"/>
  <c r="O236" i="149" s="1"/>
  <c r="C236" i="149"/>
  <c r="N234" i="149"/>
  <c r="M234" i="149"/>
  <c r="L234" i="149"/>
  <c r="K234" i="149"/>
  <c r="J234" i="149"/>
  <c r="I234" i="149"/>
  <c r="H234" i="149"/>
  <c r="G234" i="149"/>
  <c r="F234" i="149"/>
  <c r="E234" i="149"/>
  <c r="D234" i="149"/>
  <c r="C234" i="149"/>
  <c r="N233" i="149"/>
  <c r="M233" i="149"/>
  <c r="L233" i="149"/>
  <c r="K233" i="149"/>
  <c r="J233" i="149"/>
  <c r="I233" i="149"/>
  <c r="H233" i="149"/>
  <c r="G233" i="149"/>
  <c r="F233" i="149"/>
  <c r="E233" i="149"/>
  <c r="D233" i="149"/>
  <c r="C233" i="149"/>
  <c r="N232" i="149"/>
  <c r="M232" i="149"/>
  <c r="L232" i="149"/>
  <c r="K232" i="149"/>
  <c r="J232" i="149"/>
  <c r="I232" i="149"/>
  <c r="H232" i="149"/>
  <c r="G232" i="149"/>
  <c r="F232" i="149"/>
  <c r="E232" i="149"/>
  <c r="D232" i="149"/>
  <c r="C232" i="149"/>
  <c r="D225" i="149"/>
  <c r="N224" i="149"/>
  <c r="M224" i="149"/>
  <c r="L224" i="149"/>
  <c r="K224" i="149"/>
  <c r="J224" i="149"/>
  <c r="I224" i="149"/>
  <c r="H224" i="149"/>
  <c r="G224" i="149"/>
  <c r="F224" i="149"/>
  <c r="E224" i="149"/>
  <c r="D224" i="149"/>
  <c r="C224" i="149"/>
  <c r="N223" i="149"/>
  <c r="M223" i="149"/>
  <c r="L223" i="149"/>
  <c r="K223" i="149"/>
  <c r="J223" i="149"/>
  <c r="J225" i="149" s="1"/>
  <c r="I223" i="149"/>
  <c r="H223" i="149"/>
  <c r="H225" i="149" s="1"/>
  <c r="G223" i="149"/>
  <c r="G225" i="149" s="1"/>
  <c r="F223" i="149"/>
  <c r="E223" i="149"/>
  <c r="D223" i="149"/>
  <c r="C223" i="149"/>
  <c r="M221" i="149"/>
  <c r="N220" i="149"/>
  <c r="M220" i="149"/>
  <c r="L220" i="149"/>
  <c r="K220" i="149"/>
  <c r="J220" i="149"/>
  <c r="I220" i="149"/>
  <c r="H220" i="149"/>
  <c r="G220" i="149"/>
  <c r="F220" i="149"/>
  <c r="E220" i="149"/>
  <c r="D220" i="149"/>
  <c r="C220" i="149"/>
  <c r="N219" i="149"/>
  <c r="M219" i="149"/>
  <c r="L219" i="149"/>
  <c r="L221" i="149" s="1"/>
  <c r="K219" i="149"/>
  <c r="K221" i="149" s="1"/>
  <c r="J219" i="149"/>
  <c r="I219" i="149"/>
  <c r="I221" i="149" s="1"/>
  <c r="H219" i="149"/>
  <c r="G219" i="149"/>
  <c r="F219" i="149"/>
  <c r="E219" i="149"/>
  <c r="D219" i="149"/>
  <c r="D221" i="149" s="1"/>
  <c r="D227" i="149" s="1"/>
  <c r="C219" i="149"/>
  <c r="N215" i="149"/>
  <c r="J215" i="149"/>
  <c r="G215" i="149"/>
  <c r="F215" i="149"/>
  <c r="N214" i="149"/>
  <c r="M214" i="149"/>
  <c r="M215" i="149" s="1"/>
  <c r="L214" i="149"/>
  <c r="L215" i="149" s="1"/>
  <c r="K214" i="149"/>
  <c r="K215" i="149" s="1"/>
  <c r="J214" i="149"/>
  <c r="I214" i="149"/>
  <c r="I215" i="149" s="1"/>
  <c r="H214" i="149"/>
  <c r="H215" i="149" s="1"/>
  <c r="G214" i="149"/>
  <c r="F214" i="149"/>
  <c r="E214" i="149"/>
  <c r="E215" i="149" s="1"/>
  <c r="D214" i="149"/>
  <c r="D215" i="149" s="1"/>
  <c r="C214" i="149"/>
  <c r="C215" i="149" s="1"/>
  <c r="M211" i="149"/>
  <c r="L211" i="149"/>
  <c r="N210" i="149"/>
  <c r="M210" i="149"/>
  <c r="L210" i="149"/>
  <c r="K210" i="149"/>
  <c r="J210" i="149"/>
  <c r="I210" i="149"/>
  <c r="H210" i="149"/>
  <c r="G210" i="149"/>
  <c r="F210" i="149"/>
  <c r="E210" i="149"/>
  <c r="D210" i="149"/>
  <c r="C210" i="149"/>
  <c r="N209" i="149"/>
  <c r="N211" i="149" s="1"/>
  <c r="M209" i="149"/>
  <c r="L209" i="149"/>
  <c r="K209" i="149"/>
  <c r="K211" i="149" s="1"/>
  <c r="J209" i="149"/>
  <c r="J211" i="149" s="1"/>
  <c r="I209" i="149"/>
  <c r="I211" i="149" s="1"/>
  <c r="H209" i="149"/>
  <c r="H211" i="149" s="1"/>
  <c r="G209" i="149"/>
  <c r="F209" i="149"/>
  <c r="F211" i="149" s="1"/>
  <c r="E209" i="149"/>
  <c r="E211" i="149" s="1"/>
  <c r="D209" i="149"/>
  <c r="D211" i="149" s="1"/>
  <c r="C209" i="149"/>
  <c r="C211" i="149" s="1"/>
  <c r="O208" i="149"/>
  <c r="N205" i="149"/>
  <c r="M205" i="149"/>
  <c r="L205" i="149"/>
  <c r="K205" i="149"/>
  <c r="J205" i="149"/>
  <c r="I205" i="149"/>
  <c r="H205" i="149"/>
  <c r="G205" i="149"/>
  <c r="F205" i="149"/>
  <c r="E205" i="149"/>
  <c r="D205" i="149"/>
  <c r="C205" i="149"/>
  <c r="N204" i="149"/>
  <c r="M204" i="149"/>
  <c r="L204" i="149"/>
  <c r="K204" i="149"/>
  <c r="J204" i="149"/>
  <c r="I204" i="149"/>
  <c r="H204" i="149"/>
  <c r="G204" i="149"/>
  <c r="F204" i="149"/>
  <c r="E204" i="149"/>
  <c r="D204" i="149"/>
  <c r="C204" i="149"/>
  <c r="N203" i="149"/>
  <c r="M203" i="149"/>
  <c r="L203" i="149"/>
  <c r="K203" i="149"/>
  <c r="J203" i="149"/>
  <c r="I203" i="149"/>
  <c r="H203" i="149"/>
  <c r="G203" i="149"/>
  <c r="F203" i="149"/>
  <c r="E203" i="149"/>
  <c r="D203" i="149"/>
  <c r="C203" i="149"/>
  <c r="N202" i="149"/>
  <c r="M202" i="149"/>
  <c r="L202" i="149"/>
  <c r="K202" i="149"/>
  <c r="J202" i="149"/>
  <c r="I202" i="149"/>
  <c r="H202" i="149"/>
  <c r="G202" i="149"/>
  <c r="F202" i="149"/>
  <c r="E202" i="149"/>
  <c r="D202" i="149"/>
  <c r="C202" i="149"/>
  <c r="N201" i="149"/>
  <c r="M201" i="149"/>
  <c r="L201" i="149"/>
  <c r="K201" i="149"/>
  <c r="J201" i="149"/>
  <c r="I201" i="149"/>
  <c r="H201" i="149"/>
  <c r="G201" i="149"/>
  <c r="F201" i="149"/>
  <c r="E201" i="149"/>
  <c r="D201" i="149"/>
  <c r="C201" i="149"/>
  <c r="N200" i="149"/>
  <c r="M200" i="149"/>
  <c r="L200" i="149"/>
  <c r="K200" i="149"/>
  <c r="J200" i="149"/>
  <c r="I200" i="149"/>
  <c r="H200" i="149"/>
  <c r="G200" i="149"/>
  <c r="F200" i="149"/>
  <c r="E200" i="149"/>
  <c r="D200" i="149"/>
  <c r="C200" i="149"/>
  <c r="N199" i="149"/>
  <c r="M199" i="149"/>
  <c r="L199" i="149"/>
  <c r="K199" i="149"/>
  <c r="J199" i="149"/>
  <c r="I199" i="149"/>
  <c r="H199" i="149"/>
  <c r="G199" i="149"/>
  <c r="F199" i="149"/>
  <c r="E199" i="149"/>
  <c r="D199" i="149"/>
  <c r="C199" i="149"/>
  <c r="N198" i="149"/>
  <c r="M198" i="149"/>
  <c r="L198" i="149"/>
  <c r="K198" i="149"/>
  <c r="J198" i="149"/>
  <c r="I198" i="149"/>
  <c r="I206" i="149" s="1"/>
  <c r="H198" i="149"/>
  <c r="G198" i="149"/>
  <c r="F198" i="149"/>
  <c r="E198" i="149"/>
  <c r="D198" i="149"/>
  <c r="C198" i="149"/>
  <c r="N197" i="149"/>
  <c r="N206" i="149" s="1"/>
  <c r="M197" i="149"/>
  <c r="L197" i="149"/>
  <c r="K197" i="149"/>
  <c r="J197" i="149"/>
  <c r="I197" i="149"/>
  <c r="H197" i="149"/>
  <c r="G197" i="149"/>
  <c r="G206" i="149" s="1"/>
  <c r="F197" i="149"/>
  <c r="F206" i="149" s="1"/>
  <c r="E197" i="149"/>
  <c r="D197" i="149"/>
  <c r="C197" i="149"/>
  <c r="N194" i="149"/>
  <c r="M194" i="149"/>
  <c r="L194" i="149"/>
  <c r="K194" i="149"/>
  <c r="J194" i="149"/>
  <c r="I194" i="149"/>
  <c r="H194" i="149"/>
  <c r="G194" i="149"/>
  <c r="F194" i="149"/>
  <c r="E194" i="149"/>
  <c r="D194" i="149"/>
  <c r="C194" i="149"/>
  <c r="N193" i="149"/>
  <c r="M193" i="149"/>
  <c r="L193" i="149"/>
  <c r="K193" i="149"/>
  <c r="J193" i="149"/>
  <c r="I193" i="149"/>
  <c r="H193" i="149"/>
  <c r="G193" i="149"/>
  <c r="F193" i="149"/>
  <c r="E193" i="149"/>
  <c r="D193" i="149"/>
  <c r="C193" i="149"/>
  <c r="N192" i="149"/>
  <c r="M192" i="149"/>
  <c r="L192" i="149"/>
  <c r="K192" i="149"/>
  <c r="J192" i="149"/>
  <c r="I192" i="149"/>
  <c r="H192" i="149"/>
  <c r="G192" i="149"/>
  <c r="F192" i="149"/>
  <c r="E192" i="149"/>
  <c r="D192" i="149"/>
  <c r="C192" i="149"/>
  <c r="N191" i="149"/>
  <c r="M191" i="149"/>
  <c r="L191" i="149"/>
  <c r="K191" i="149"/>
  <c r="J191" i="149"/>
  <c r="I191" i="149"/>
  <c r="H191" i="149"/>
  <c r="G191" i="149"/>
  <c r="F191" i="149"/>
  <c r="E191" i="149"/>
  <c r="D191" i="149"/>
  <c r="C191" i="149"/>
  <c r="N190" i="149"/>
  <c r="M190" i="149"/>
  <c r="L190" i="149"/>
  <c r="K190" i="149"/>
  <c r="J190" i="149"/>
  <c r="I190" i="149"/>
  <c r="H190" i="149"/>
  <c r="G190" i="149"/>
  <c r="F190" i="149"/>
  <c r="E190" i="149"/>
  <c r="D190" i="149"/>
  <c r="C190" i="149"/>
  <c r="N189" i="149"/>
  <c r="M189" i="149"/>
  <c r="L189" i="149"/>
  <c r="K189" i="149"/>
  <c r="J189" i="149"/>
  <c r="I189" i="149"/>
  <c r="H189" i="149"/>
  <c r="G189" i="149"/>
  <c r="F189" i="149"/>
  <c r="E189" i="149"/>
  <c r="D189" i="149"/>
  <c r="C189" i="149"/>
  <c r="N188" i="149"/>
  <c r="M188" i="149"/>
  <c r="L188" i="149"/>
  <c r="K188" i="149"/>
  <c r="J188" i="149"/>
  <c r="I188" i="149"/>
  <c r="H188" i="149"/>
  <c r="G188" i="149"/>
  <c r="F188" i="149"/>
  <c r="E188" i="149"/>
  <c r="D188" i="149"/>
  <c r="C188" i="149"/>
  <c r="N185" i="149"/>
  <c r="M185" i="149"/>
  <c r="L185" i="149"/>
  <c r="K185" i="149"/>
  <c r="J185" i="149"/>
  <c r="I185" i="149"/>
  <c r="H185" i="149"/>
  <c r="G185" i="149"/>
  <c r="F185" i="149"/>
  <c r="E185" i="149"/>
  <c r="D185" i="149"/>
  <c r="C185" i="149"/>
  <c r="N184" i="149"/>
  <c r="M184" i="149"/>
  <c r="L184" i="149"/>
  <c r="K184" i="149"/>
  <c r="J184" i="149"/>
  <c r="I184" i="149"/>
  <c r="H184" i="149"/>
  <c r="G184" i="149"/>
  <c r="F184" i="149"/>
  <c r="E184" i="149"/>
  <c r="D184" i="149"/>
  <c r="C184" i="149"/>
  <c r="N183" i="149"/>
  <c r="M183" i="149"/>
  <c r="L183" i="149"/>
  <c r="K183" i="149"/>
  <c r="J183" i="149"/>
  <c r="I183" i="149"/>
  <c r="H183" i="149"/>
  <c r="G183" i="149"/>
  <c r="F183" i="149"/>
  <c r="E183" i="149"/>
  <c r="D183" i="149"/>
  <c r="C183" i="149"/>
  <c r="N182" i="149"/>
  <c r="M182" i="149"/>
  <c r="L182" i="149"/>
  <c r="K182" i="149"/>
  <c r="J182" i="149"/>
  <c r="I182" i="149"/>
  <c r="H182" i="149"/>
  <c r="G182" i="149"/>
  <c r="F182" i="149"/>
  <c r="E182" i="149"/>
  <c r="D182" i="149"/>
  <c r="C182" i="149"/>
  <c r="N181" i="149"/>
  <c r="M181" i="149"/>
  <c r="L181" i="149"/>
  <c r="K181" i="149"/>
  <c r="J181" i="149"/>
  <c r="I181" i="149"/>
  <c r="H181" i="149"/>
  <c r="G181" i="149"/>
  <c r="F181" i="149"/>
  <c r="E181" i="149"/>
  <c r="D181" i="149"/>
  <c r="C181" i="149"/>
  <c r="N180" i="149"/>
  <c r="M180" i="149"/>
  <c r="L180" i="149"/>
  <c r="K180" i="149"/>
  <c r="J180" i="149"/>
  <c r="I180" i="149"/>
  <c r="H180" i="149"/>
  <c r="G180" i="149"/>
  <c r="F180" i="149"/>
  <c r="E180" i="149"/>
  <c r="D180" i="149"/>
  <c r="C180" i="149"/>
  <c r="N179" i="149"/>
  <c r="M179" i="149"/>
  <c r="L179" i="149"/>
  <c r="K179" i="149"/>
  <c r="J179" i="149"/>
  <c r="I179" i="149"/>
  <c r="H179" i="149"/>
  <c r="G179" i="149"/>
  <c r="F179" i="149"/>
  <c r="E179" i="149"/>
  <c r="D179" i="149"/>
  <c r="C179" i="149"/>
  <c r="N178" i="149"/>
  <c r="M178" i="149"/>
  <c r="L178" i="149"/>
  <c r="K178" i="149"/>
  <c r="J178" i="149"/>
  <c r="I178" i="149"/>
  <c r="H178" i="149"/>
  <c r="G178" i="149"/>
  <c r="F178" i="149"/>
  <c r="E178" i="149"/>
  <c r="D178" i="149"/>
  <c r="C178" i="149"/>
  <c r="N177" i="149"/>
  <c r="M177" i="149"/>
  <c r="L177" i="149"/>
  <c r="K177" i="149"/>
  <c r="J177" i="149"/>
  <c r="I177" i="149"/>
  <c r="H177" i="149"/>
  <c r="G177" i="149"/>
  <c r="F177" i="149"/>
  <c r="E177" i="149"/>
  <c r="D177" i="149"/>
  <c r="C177" i="149"/>
  <c r="N176" i="149"/>
  <c r="M176" i="149"/>
  <c r="L176" i="149"/>
  <c r="K176" i="149"/>
  <c r="J176" i="149"/>
  <c r="I176" i="149"/>
  <c r="H176" i="149"/>
  <c r="G176" i="149"/>
  <c r="F176" i="149"/>
  <c r="E176" i="149"/>
  <c r="D176" i="149"/>
  <c r="C176" i="149"/>
  <c r="N175" i="149"/>
  <c r="M175" i="149"/>
  <c r="L175" i="149"/>
  <c r="K175" i="149"/>
  <c r="J175" i="149"/>
  <c r="I175" i="149"/>
  <c r="H175" i="149"/>
  <c r="G175" i="149"/>
  <c r="F175" i="149"/>
  <c r="E175" i="149"/>
  <c r="D175" i="149"/>
  <c r="C175" i="149"/>
  <c r="N174" i="149"/>
  <c r="M174" i="149"/>
  <c r="L174" i="149"/>
  <c r="K174" i="149"/>
  <c r="J174" i="149"/>
  <c r="I174" i="149"/>
  <c r="H174" i="149"/>
  <c r="G174" i="149"/>
  <c r="F174" i="149"/>
  <c r="E174" i="149"/>
  <c r="D174" i="149"/>
  <c r="C174" i="149"/>
  <c r="N173" i="149"/>
  <c r="M173" i="149"/>
  <c r="L173" i="149"/>
  <c r="K173" i="149"/>
  <c r="J173" i="149"/>
  <c r="I173" i="149"/>
  <c r="H173" i="149"/>
  <c r="G173" i="149"/>
  <c r="F173" i="149"/>
  <c r="E173" i="149"/>
  <c r="D173" i="149"/>
  <c r="C173" i="149"/>
  <c r="N172" i="149"/>
  <c r="M172" i="149"/>
  <c r="L172" i="149"/>
  <c r="K172" i="149"/>
  <c r="J172" i="149"/>
  <c r="I172" i="149"/>
  <c r="H172" i="149"/>
  <c r="G172" i="149"/>
  <c r="F172" i="149"/>
  <c r="E172" i="149"/>
  <c r="D172" i="149"/>
  <c r="C172" i="149"/>
  <c r="N171" i="149"/>
  <c r="M171" i="149"/>
  <c r="L171" i="149"/>
  <c r="K171" i="149"/>
  <c r="J171" i="149"/>
  <c r="I171" i="149"/>
  <c r="H171" i="149"/>
  <c r="G171" i="149"/>
  <c r="F171" i="149"/>
  <c r="E171" i="149"/>
  <c r="D171" i="149"/>
  <c r="C171" i="149"/>
  <c r="N170" i="149"/>
  <c r="M170" i="149"/>
  <c r="L170" i="149"/>
  <c r="K170" i="149"/>
  <c r="J170" i="149"/>
  <c r="I170" i="149"/>
  <c r="H170" i="149"/>
  <c r="G170" i="149"/>
  <c r="F170" i="149"/>
  <c r="E170" i="149"/>
  <c r="D170" i="149"/>
  <c r="C170" i="149"/>
  <c r="N169" i="149"/>
  <c r="M169" i="149"/>
  <c r="L169" i="149"/>
  <c r="K169" i="149"/>
  <c r="J169" i="149"/>
  <c r="I169" i="149"/>
  <c r="H169" i="149"/>
  <c r="G169" i="149"/>
  <c r="F169" i="149"/>
  <c r="E169" i="149"/>
  <c r="D169" i="149"/>
  <c r="C169" i="149"/>
  <c r="N168" i="149"/>
  <c r="M168" i="149"/>
  <c r="L168" i="149"/>
  <c r="K168" i="149"/>
  <c r="J168" i="149"/>
  <c r="I168" i="149"/>
  <c r="H168" i="149"/>
  <c r="G168" i="149"/>
  <c r="F168" i="149"/>
  <c r="E168" i="149"/>
  <c r="D168" i="149"/>
  <c r="C168" i="149"/>
  <c r="N167" i="149"/>
  <c r="M167" i="149"/>
  <c r="L167" i="149"/>
  <c r="K167" i="149"/>
  <c r="J167" i="149"/>
  <c r="I167" i="149"/>
  <c r="H167" i="149"/>
  <c r="G167" i="149"/>
  <c r="F167" i="149"/>
  <c r="E167" i="149"/>
  <c r="D167" i="149"/>
  <c r="C167" i="149"/>
  <c r="N166" i="149"/>
  <c r="M166" i="149"/>
  <c r="L166" i="149"/>
  <c r="K166" i="149"/>
  <c r="J166" i="149"/>
  <c r="I166" i="149"/>
  <c r="H166" i="149"/>
  <c r="G166" i="149"/>
  <c r="F166" i="149"/>
  <c r="E166" i="149"/>
  <c r="D166" i="149"/>
  <c r="C166" i="149"/>
  <c r="N165" i="149"/>
  <c r="M165" i="149"/>
  <c r="L165" i="149"/>
  <c r="K165" i="149"/>
  <c r="J165" i="149"/>
  <c r="I165" i="149"/>
  <c r="H165" i="149"/>
  <c r="G165" i="149"/>
  <c r="F165" i="149"/>
  <c r="E165" i="149"/>
  <c r="D165" i="149"/>
  <c r="C165" i="149"/>
  <c r="N164" i="149"/>
  <c r="M164" i="149"/>
  <c r="L164" i="149"/>
  <c r="K164" i="149"/>
  <c r="J164" i="149"/>
  <c r="I164" i="149"/>
  <c r="H164" i="149"/>
  <c r="G164" i="149"/>
  <c r="F164" i="149"/>
  <c r="E164" i="149"/>
  <c r="D164" i="149"/>
  <c r="C164" i="149"/>
  <c r="N163" i="149"/>
  <c r="M163" i="149"/>
  <c r="L163" i="149"/>
  <c r="K163" i="149"/>
  <c r="J163" i="149"/>
  <c r="I163" i="149"/>
  <c r="H163" i="149"/>
  <c r="G163" i="149"/>
  <c r="F163" i="149"/>
  <c r="E163" i="149"/>
  <c r="D163" i="149"/>
  <c r="C163" i="149"/>
  <c r="N162" i="149"/>
  <c r="M162" i="149"/>
  <c r="L162" i="149"/>
  <c r="K162" i="149"/>
  <c r="J162" i="149"/>
  <c r="I162" i="149"/>
  <c r="H162" i="149"/>
  <c r="G162" i="149"/>
  <c r="F162" i="149"/>
  <c r="E162" i="149"/>
  <c r="D162" i="149"/>
  <c r="C162" i="149"/>
  <c r="N161" i="149"/>
  <c r="M161" i="149"/>
  <c r="L161" i="149"/>
  <c r="K161" i="149"/>
  <c r="J161" i="149"/>
  <c r="I161" i="149"/>
  <c r="H161" i="149"/>
  <c r="G161" i="149"/>
  <c r="F161" i="149"/>
  <c r="E161" i="149"/>
  <c r="D161" i="149"/>
  <c r="C161" i="149"/>
  <c r="N160" i="149"/>
  <c r="M160" i="149"/>
  <c r="L160" i="149"/>
  <c r="K160" i="149"/>
  <c r="J160" i="149"/>
  <c r="I160" i="149"/>
  <c r="H160" i="149"/>
  <c r="G160" i="149"/>
  <c r="F160" i="149"/>
  <c r="E160" i="149"/>
  <c r="D160" i="149"/>
  <c r="C160" i="149"/>
  <c r="N159" i="149"/>
  <c r="M159" i="149"/>
  <c r="L159" i="149"/>
  <c r="K159" i="149"/>
  <c r="J159" i="149"/>
  <c r="I159" i="149"/>
  <c r="H159" i="149"/>
  <c r="G159" i="149"/>
  <c r="F159" i="149"/>
  <c r="E159" i="149"/>
  <c r="D159" i="149"/>
  <c r="C159" i="149"/>
  <c r="N158" i="149"/>
  <c r="M158" i="149"/>
  <c r="L158" i="149"/>
  <c r="K158" i="149"/>
  <c r="J158" i="149"/>
  <c r="I158" i="149"/>
  <c r="H158" i="149"/>
  <c r="G158" i="149"/>
  <c r="F158" i="149"/>
  <c r="E158" i="149"/>
  <c r="D158" i="149"/>
  <c r="C158" i="149"/>
  <c r="N157" i="149"/>
  <c r="M157" i="149"/>
  <c r="L157" i="149"/>
  <c r="K157" i="149"/>
  <c r="J157" i="149"/>
  <c r="I157" i="149"/>
  <c r="H157" i="149"/>
  <c r="G157" i="149"/>
  <c r="F157" i="149"/>
  <c r="E157" i="149"/>
  <c r="D157" i="149"/>
  <c r="C157" i="149"/>
  <c r="N156" i="149"/>
  <c r="M156" i="149"/>
  <c r="L156" i="149"/>
  <c r="K156" i="149"/>
  <c r="J156" i="149"/>
  <c r="I156" i="149"/>
  <c r="H156" i="149"/>
  <c r="G156" i="149"/>
  <c r="F156" i="149"/>
  <c r="E156" i="149"/>
  <c r="D156" i="149"/>
  <c r="C156" i="149"/>
  <c r="N155" i="149"/>
  <c r="M155" i="149"/>
  <c r="L155" i="149"/>
  <c r="K155" i="149"/>
  <c r="J155" i="149"/>
  <c r="I155" i="149"/>
  <c r="H155" i="149"/>
  <c r="G155" i="149"/>
  <c r="F155" i="149"/>
  <c r="E155" i="149"/>
  <c r="D155" i="149"/>
  <c r="C155" i="149"/>
  <c r="N154" i="149"/>
  <c r="M154" i="149"/>
  <c r="L154" i="149"/>
  <c r="K154" i="149"/>
  <c r="J154" i="149"/>
  <c r="I154" i="149"/>
  <c r="H154" i="149"/>
  <c r="G154" i="149"/>
  <c r="F154" i="149"/>
  <c r="E154" i="149"/>
  <c r="D154" i="149"/>
  <c r="C154" i="149"/>
  <c r="N153" i="149"/>
  <c r="M153" i="149"/>
  <c r="L153" i="149"/>
  <c r="K153" i="149"/>
  <c r="J153" i="149"/>
  <c r="I153" i="149"/>
  <c r="H153" i="149"/>
  <c r="G153" i="149"/>
  <c r="F153" i="149"/>
  <c r="E153" i="149"/>
  <c r="D153" i="149"/>
  <c r="C153" i="149"/>
  <c r="N152" i="149"/>
  <c r="M152" i="149"/>
  <c r="L152" i="149"/>
  <c r="K152" i="149"/>
  <c r="J152" i="149"/>
  <c r="I152" i="149"/>
  <c r="H152" i="149"/>
  <c r="G152" i="149"/>
  <c r="F152" i="149"/>
  <c r="E152" i="149"/>
  <c r="D152" i="149"/>
  <c r="C152" i="149"/>
  <c r="N151" i="149"/>
  <c r="M151" i="149"/>
  <c r="L151" i="149"/>
  <c r="K151" i="149"/>
  <c r="J151" i="149"/>
  <c r="I151" i="149"/>
  <c r="H151" i="149"/>
  <c r="G151" i="149"/>
  <c r="F151" i="149"/>
  <c r="E151" i="149"/>
  <c r="D151" i="149"/>
  <c r="C151" i="149"/>
  <c r="N150" i="149"/>
  <c r="M150" i="149"/>
  <c r="L150" i="149"/>
  <c r="K150" i="149"/>
  <c r="K186" i="149" s="1"/>
  <c r="J150" i="149"/>
  <c r="I150" i="149"/>
  <c r="H150" i="149"/>
  <c r="G150" i="149"/>
  <c r="F150" i="149"/>
  <c r="E150" i="149"/>
  <c r="D150" i="149"/>
  <c r="C150" i="149"/>
  <c r="C186" i="149" s="1"/>
  <c r="N147" i="149"/>
  <c r="M147" i="149"/>
  <c r="L147" i="149"/>
  <c r="K147" i="149"/>
  <c r="J147" i="149"/>
  <c r="I147" i="149"/>
  <c r="H147" i="149"/>
  <c r="G147" i="149"/>
  <c r="F147" i="149"/>
  <c r="E147" i="149"/>
  <c r="D147" i="149"/>
  <c r="C147" i="149"/>
  <c r="N146" i="149"/>
  <c r="M146" i="149"/>
  <c r="L146" i="149"/>
  <c r="K146" i="149"/>
  <c r="J146" i="149"/>
  <c r="I146" i="149"/>
  <c r="H146" i="149"/>
  <c r="G146" i="149"/>
  <c r="F146" i="149"/>
  <c r="E146" i="149"/>
  <c r="D146" i="149"/>
  <c r="C146" i="149"/>
  <c r="N145" i="149"/>
  <c r="M145" i="149"/>
  <c r="L145" i="149"/>
  <c r="K145" i="149"/>
  <c r="J145" i="149"/>
  <c r="I145" i="149"/>
  <c r="H145" i="149"/>
  <c r="G145" i="149"/>
  <c r="F145" i="149"/>
  <c r="E145" i="149"/>
  <c r="D145" i="149"/>
  <c r="C145" i="149"/>
  <c r="N144" i="149"/>
  <c r="M144" i="149"/>
  <c r="L144" i="149"/>
  <c r="K144" i="149"/>
  <c r="J144" i="149"/>
  <c r="I144" i="149"/>
  <c r="H144" i="149"/>
  <c r="G144" i="149"/>
  <c r="F144" i="149"/>
  <c r="E144" i="149"/>
  <c r="D144" i="149"/>
  <c r="C144" i="149"/>
  <c r="N143" i="149"/>
  <c r="M143" i="149"/>
  <c r="L143" i="149"/>
  <c r="K143" i="149"/>
  <c r="J143" i="149"/>
  <c r="I143" i="149"/>
  <c r="H143" i="149"/>
  <c r="G143" i="149"/>
  <c r="F143" i="149"/>
  <c r="E143" i="149"/>
  <c r="D143" i="149"/>
  <c r="C143" i="149"/>
  <c r="N142" i="149"/>
  <c r="M142" i="149"/>
  <c r="L142" i="149"/>
  <c r="K142" i="149"/>
  <c r="J142" i="149"/>
  <c r="I142" i="149"/>
  <c r="H142" i="149"/>
  <c r="G142" i="149"/>
  <c r="F142" i="149"/>
  <c r="E142" i="149"/>
  <c r="D142" i="149"/>
  <c r="C142" i="149"/>
  <c r="N141" i="149"/>
  <c r="M141" i="149"/>
  <c r="L141" i="149"/>
  <c r="K141" i="149"/>
  <c r="J141" i="149"/>
  <c r="I141" i="149"/>
  <c r="H141" i="149"/>
  <c r="G141" i="149"/>
  <c r="G148" i="149" s="1"/>
  <c r="F141" i="149"/>
  <c r="E141" i="149"/>
  <c r="D141" i="149"/>
  <c r="C141" i="149"/>
  <c r="N138" i="149"/>
  <c r="M138" i="149"/>
  <c r="L138" i="149"/>
  <c r="K138" i="149"/>
  <c r="J138" i="149"/>
  <c r="I138" i="149"/>
  <c r="H138" i="149"/>
  <c r="G138" i="149"/>
  <c r="F138" i="149"/>
  <c r="E138" i="149"/>
  <c r="D138" i="149"/>
  <c r="C138" i="149"/>
  <c r="O138" i="149" s="1"/>
  <c r="N137" i="149"/>
  <c r="M137" i="149"/>
  <c r="L137" i="149"/>
  <c r="K137" i="149"/>
  <c r="J137" i="149"/>
  <c r="I137" i="149"/>
  <c r="H137" i="149"/>
  <c r="G137" i="149"/>
  <c r="F137" i="149"/>
  <c r="E137" i="149"/>
  <c r="D137" i="149"/>
  <c r="C137" i="149"/>
  <c r="N136" i="149"/>
  <c r="M136" i="149"/>
  <c r="L136" i="149"/>
  <c r="K136" i="149"/>
  <c r="J136" i="149"/>
  <c r="I136" i="149"/>
  <c r="H136" i="149"/>
  <c r="G136" i="149"/>
  <c r="F136" i="149"/>
  <c r="E136" i="149"/>
  <c r="D136" i="149"/>
  <c r="C136" i="149"/>
  <c r="O136" i="149" s="1"/>
  <c r="N135" i="149"/>
  <c r="M135" i="149"/>
  <c r="L135" i="149"/>
  <c r="K135" i="149"/>
  <c r="J135" i="149"/>
  <c r="I135" i="149"/>
  <c r="H135" i="149"/>
  <c r="G135" i="149"/>
  <c r="O135" i="149" s="1"/>
  <c r="F135" i="149"/>
  <c r="E135" i="149"/>
  <c r="D135" i="149"/>
  <c r="C135" i="149"/>
  <c r="N134" i="149"/>
  <c r="M134" i="149"/>
  <c r="L134" i="149"/>
  <c r="K134" i="149"/>
  <c r="J134" i="149"/>
  <c r="I134" i="149"/>
  <c r="H134" i="149"/>
  <c r="G134" i="149"/>
  <c r="F134" i="149"/>
  <c r="E134" i="149"/>
  <c r="D134" i="149"/>
  <c r="C134" i="149"/>
  <c r="N133" i="149"/>
  <c r="M133" i="149"/>
  <c r="L133" i="149"/>
  <c r="K133" i="149"/>
  <c r="J133" i="149"/>
  <c r="I133" i="149"/>
  <c r="H133" i="149"/>
  <c r="G133" i="149"/>
  <c r="F133" i="149"/>
  <c r="E133" i="149"/>
  <c r="D133" i="149"/>
  <c r="C133" i="149"/>
  <c r="N132" i="149"/>
  <c r="M132" i="149"/>
  <c r="L132" i="149"/>
  <c r="K132" i="149"/>
  <c r="J132" i="149"/>
  <c r="I132" i="149"/>
  <c r="H132" i="149"/>
  <c r="G132" i="149"/>
  <c r="F132" i="149"/>
  <c r="E132" i="149"/>
  <c r="D132" i="149"/>
  <c r="C132" i="149"/>
  <c r="N131" i="149"/>
  <c r="M131" i="149"/>
  <c r="L131" i="149"/>
  <c r="K131" i="149"/>
  <c r="J131" i="149"/>
  <c r="I131" i="149"/>
  <c r="H131" i="149"/>
  <c r="G131" i="149"/>
  <c r="F131" i="149"/>
  <c r="E131" i="149"/>
  <c r="D131" i="149"/>
  <c r="C131" i="149"/>
  <c r="N130" i="149"/>
  <c r="M130" i="149"/>
  <c r="L130" i="149"/>
  <c r="K130" i="149"/>
  <c r="J130" i="149"/>
  <c r="I130" i="149"/>
  <c r="H130" i="149"/>
  <c r="G130" i="149"/>
  <c r="F130" i="149"/>
  <c r="E130" i="149"/>
  <c r="D130" i="149"/>
  <c r="C130" i="149"/>
  <c r="N129" i="149"/>
  <c r="M129" i="149"/>
  <c r="L129" i="149"/>
  <c r="K129" i="149"/>
  <c r="J129" i="149"/>
  <c r="I129" i="149"/>
  <c r="H129" i="149"/>
  <c r="G129" i="149"/>
  <c r="F129" i="149"/>
  <c r="E129" i="149"/>
  <c r="D129" i="149"/>
  <c r="C129" i="149"/>
  <c r="N128" i="149"/>
  <c r="M128" i="149"/>
  <c r="L128" i="149"/>
  <c r="K128" i="149"/>
  <c r="J128" i="149"/>
  <c r="I128" i="149"/>
  <c r="H128" i="149"/>
  <c r="G128" i="149"/>
  <c r="F128" i="149"/>
  <c r="E128" i="149"/>
  <c r="D128" i="149"/>
  <c r="C128" i="149"/>
  <c r="N124" i="149"/>
  <c r="M124" i="149"/>
  <c r="L124" i="149"/>
  <c r="K124" i="149"/>
  <c r="J124" i="149"/>
  <c r="I124" i="149"/>
  <c r="H124" i="149"/>
  <c r="G124" i="149"/>
  <c r="F124" i="149"/>
  <c r="E124" i="149"/>
  <c r="D124" i="149"/>
  <c r="C124" i="149"/>
  <c r="R123" i="149"/>
  <c r="O123" i="149"/>
  <c r="R122" i="149"/>
  <c r="O122" i="149"/>
  <c r="N119" i="149"/>
  <c r="M119" i="149"/>
  <c r="L119" i="149"/>
  <c r="K119" i="149"/>
  <c r="J119" i="149"/>
  <c r="I119" i="149"/>
  <c r="G119" i="149"/>
  <c r="F119" i="149"/>
  <c r="E119" i="149"/>
  <c r="R118" i="149"/>
  <c r="O118" i="149"/>
  <c r="R117" i="149"/>
  <c r="O117" i="149"/>
  <c r="H116" i="149"/>
  <c r="H119" i="149" s="1"/>
  <c r="D116" i="149"/>
  <c r="D119" i="149" s="1"/>
  <c r="C116" i="149"/>
  <c r="C119" i="149" s="1"/>
  <c r="R115" i="149"/>
  <c r="O115" i="149"/>
  <c r="R114" i="149"/>
  <c r="O114" i="149"/>
  <c r="R113" i="149"/>
  <c r="O113" i="149"/>
  <c r="R107" i="149"/>
  <c r="O107" i="149"/>
  <c r="R106" i="149"/>
  <c r="O106" i="149"/>
  <c r="N108" i="149"/>
  <c r="N110" i="149" s="1"/>
  <c r="M108" i="149"/>
  <c r="M110" i="149" s="1"/>
  <c r="L108" i="149"/>
  <c r="K108" i="149"/>
  <c r="J108" i="149"/>
  <c r="I108" i="149"/>
  <c r="H108" i="149"/>
  <c r="G108" i="149"/>
  <c r="F108" i="149"/>
  <c r="E108" i="149"/>
  <c r="E110" i="149" s="1"/>
  <c r="D108" i="149"/>
  <c r="N103" i="149"/>
  <c r="M103" i="149"/>
  <c r="L103" i="149"/>
  <c r="K103" i="149"/>
  <c r="J103" i="149"/>
  <c r="I103" i="149"/>
  <c r="H103" i="149"/>
  <c r="H110" i="149" s="1"/>
  <c r="G103" i="149"/>
  <c r="F103" i="149"/>
  <c r="E103" i="149"/>
  <c r="D103" i="149"/>
  <c r="C103" i="149"/>
  <c r="R102" i="149"/>
  <c r="O102" i="149"/>
  <c r="R101" i="149"/>
  <c r="O101" i="149"/>
  <c r="N97" i="149"/>
  <c r="M97" i="149"/>
  <c r="L97" i="149"/>
  <c r="K97" i="149"/>
  <c r="J97" i="149"/>
  <c r="I97" i="149"/>
  <c r="I99" i="149" s="1"/>
  <c r="H97" i="149"/>
  <c r="G97" i="149"/>
  <c r="F97" i="149"/>
  <c r="E97" i="149"/>
  <c r="D97" i="149"/>
  <c r="C97" i="149"/>
  <c r="R96" i="149"/>
  <c r="O96" i="149"/>
  <c r="N93" i="149"/>
  <c r="M93" i="149"/>
  <c r="L93" i="149"/>
  <c r="K93" i="149"/>
  <c r="J93" i="149"/>
  <c r="I93" i="149"/>
  <c r="H93" i="149"/>
  <c r="G93" i="149"/>
  <c r="F93" i="149"/>
  <c r="E93" i="149"/>
  <c r="D93" i="149"/>
  <c r="C93" i="149"/>
  <c r="R92" i="149"/>
  <c r="O92" i="149"/>
  <c r="R91" i="149"/>
  <c r="O91" i="149"/>
  <c r="O93" i="149" s="1"/>
  <c r="R90" i="149"/>
  <c r="O90" i="149"/>
  <c r="R89" i="149"/>
  <c r="N87" i="149"/>
  <c r="M87" i="149"/>
  <c r="L87" i="149"/>
  <c r="K87" i="149"/>
  <c r="J87" i="149"/>
  <c r="I87" i="149"/>
  <c r="H87" i="149"/>
  <c r="G87" i="149"/>
  <c r="F87" i="149"/>
  <c r="E87" i="149"/>
  <c r="D87" i="149"/>
  <c r="C87" i="149"/>
  <c r="R86" i="149"/>
  <c r="O86" i="149"/>
  <c r="R85" i="149"/>
  <c r="O85" i="149"/>
  <c r="R84" i="149"/>
  <c r="O84" i="149"/>
  <c r="R83" i="149"/>
  <c r="O83" i="149"/>
  <c r="R82" i="149"/>
  <c r="O82" i="149"/>
  <c r="R81" i="149"/>
  <c r="O81" i="149"/>
  <c r="R80" i="149"/>
  <c r="O80" i="149"/>
  <c r="R79" i="149"/>
  <c r="O79" i="149"/>
  <c r="R78" i="149"/>
  <c r="O78" i="149"/>
  <c r="O202" i="149" s="1"/>
  <c r="R77" i="149"/>
  <c r="O77" i="149"/>
  <c r="R76" i="149"/>
  <c r="O76" i="149"/>
  <c r="R75" i="149"/>
  <c r="O75" i="149"/>
  <c r="R74" i="149"/>
  <c r="O74" i="149"/>
  <c r="R73" i="149"/>
  <c r="O73" i="149"/>
  <c r="N71" i="149"/>
  <c r="M71" i="149"/>
  <c r="L71" i="149"/>
  <c r="K71" i="149"/>
  <c r="J71" i="149"/>
  <c r="I71" i="149"/>
  <c r="H71" i="149"/>
  <c r="G71" i="149"/>
  <c r="F71" i="149"/>
  <c r="E71" i="149"/>
  <c r="D71" i="149"/>
  <c r="C71" i="149"/>
  <c r="S70" i="149"/>
  <c r="R70" i="149"/>
  <c r="O70" i="149"/>
  <c r="S69" i="149"/>
  <c r="R69" i="149"/>
  <c r="O69" i="149"/>
  <c r="S68" i="149"/>
  <c r="R68" i="149"/>
  <c r="O68" i="149"/>
  <c r="S67" i="149"/>
  <c r="R67" i="149"/>
  <c r="O67" i="149"/>
  <c r="S66" i="149"/>
  <c r="R66" i="149"/>
  <c r="O66" i="149"/>
  <c r="S65" i="149"/>
  <c r="R65" i="149"/>
  <c r="O65" i="149"/>
  <c r="S64" i="149"/>
  <c r="R64" i="149"/>
  <c r="O64" i="149"/>
  <c r="N62" i="149"/>
  <c r="M62" i="149"/>
  <c r="L62" i="149"/>
  <c r="K62" i="149"/>
  <c r="J62" i="149"/>
  <c r="I62" i="149"/>
  <c r="H62" i="149"/>
  <c r="G62" i="149"/>
  <c r="F62" i="149"/>
  <c r="E62" i="149"/>
  <c r="D62" i="149"/>
  <c r="C62" i="149"/>
  <c r="O62" i="149" s="1"/>
  <c r="S61" i="149"/>
  <c r="R61" i="149"/>
  <c r="O61" i="149"/>
  <c r="S60" i="149"/>
  <c r="R60" i="149"/>
  <c r="O60" i="149"/>
  <c r="S59" i="149"/>
  <c r="R59" i="149"/>
  <c r="O59" i="149"/>
  <c r="S58" i="149"/>
  <c r="R58" i="149"/>
  <c r="O58" i="149"/>
  <c r="S57" i="149"/>
  <c r="R57" i="149"/>
  <c r="O57" i="149"/>
  <c r="S56" i="149"/>
  <c r="R56" i="149"/>
  <c r="O56" i="149"/>
  <c r="S55" i="149"/>
  <c r="R55" i="149"/>
  <c r="O55" i="149"/>
  <c r="S54" i="149"/>
  <c r="R54" i="149"/>
  <c r="O54" i="149"/>
  <c r="S53" i="149"/>
  <c r="R53" i="149"/>
  <c r="O53" i="149"/>
  <c r="S52" i="149"/>
  <c r="R52" i="149"/>
  <c r="O52" i="149"/>
  <c r="S51" i="149"/>
  <c r="R51" i="149"/>
  <c r="O51" i="149"/>
  <c r="S50" i="149"/>
  <c r="R50" i="149"/>
  <c r="O50" i="149"/>
  <c r="S49" i="149"/>
  <c r="R49" i="149"/>
  <c r="O49" i="149"/>
  <c r="S48" i="149"/>
  <c r="R48" i="149"/>
  <c r="O48" i="149"/>
  <c r="S47" i="149"/>
  <c r="R47" i="149"/>
  <c r="O47" i="149"/>
  <c r="S46" i="149"/>
  <c r="R46" i="149"/>
  <c r="O46" i="149"/>
  <c r="S45" i="149"/>
  <c r="R45" i="149"/>
  <c r="O45" i="149"/>
  <c r="S44" i="149"/>
  <c r="R44" i="149"/>
  <c r="O44" i="149"/>
  <c r="S43" i="149"/>
  <c r="R43" i="149"/>
  <c r="O43" i="149"/>
  <c r="S42" i="149"/>
  <c r="R42" i="149"/>
  <c r="O42" i="149"/>
  <c r="S41" i="149"/>
  <c r="R41" i="149"/>
  <c r="O41" i="149"/>
  <c r="S40" i="149"/>
  <c r="R40" i="149"/>
  <c r="O40" i="149"/>
  <c r="S39" i="149"/>
  <c r="R39" i="149"/>
  <c r="O39" i="149"/>
  <c r="S38" i="149"/>
  <c r="R38" i="149"/>
  <c r="O38" i="149"/>
  <c r="S37" i="149"/>
  <c r="R37" i="149"/>
  <c r="O37" i="149"/>
  <c r="S36" i="149"/>
  <c r="R36" i="149"/>
  <c r="O36" i="149"/>
  <c r="S35" i="149"/>
  <c r="R35" i="149"/>
  <c r="O35" i="149"/>
  <c r="A35" i="149"/>
  <c r="A36" i="149" s="1"/>
  <c r="A37" i="149" s="1"/>
  <c r="A38" i="149" s="1"/>
  <c r="A39" i="149" s="1"/>
  <c r="A40" i="149" s="1"/>
  <c r="A41" i="149" s="1"/>
  <c r="A42" i="149" s="1"/>
  <c r="A43" i="149" s="1"/>
  <c r="A44" i="149" s="1"/>
  <c r="A45" i="149" s="1"/>
  <c r="A46" i="149" s="1"/>
  <c r="A47" i="149" s="1"/>
  <c r="A48" i="149" s="1"/>
  <c r="A49" i="149" s="1"/>
  <c r="A50" i="149" s="1"/>
  <c r="A51" i="149" s="1"/>
  <c r="A52" i="149" s="1"/>
  <c r="A53" i="149" s="1"/>
  <c r="A54" i="149" s="1"/>
  <c r="A55" i="149" s="1"/>
  <c r="A56" i="149" s="1"/>
  <c r="A57" i="149" s="1"/>
  <c r="A58" i="149" s="1"/>
  <c r="A59" i="149" s="1"/>
  <c r="A60" i="149" s="1"/>
  <c r="A61" i="149" s="1"/>
  <c r="A62" i="149" s="1"/>
  <c r="A63" i="149" s="1"/>
  <c r="A64" i="149" s="1"/>
  <c r="A65" i="149" s="1"/>
  <c r="A66" i="149" s="1"/>
  <c r="A67" i="149" s="1"/>
  <c r="A68" i="149" s="1"/>
  <c r="A69" i="149" s="1"/>
  <c r="A70" i="149" s="1"/>
  <c r="A71" i="149" s="1"/>
  <c r="A72" i="149" s="1"/>
  <c r="A73" i="149" s="1"/>
  <c r="A74" i="149" s="1"/>
  <c r="A75" i="149" s="1"/>
  <c r="A76" i="149" s="1"/>
  <c r="A77" i="149" s="1"/>
  <c r="A78" i="149" s="1"/>
  <c r="A79" i="149" s="1"/>
  <c r="A80" i="149" s="1"/>
  <c r="A81" i="149" s="1"/>
  <c r="A82" i="149" s="1"/>
  <c r="A83" i="149" s="1"/>
  <c r="A84" i="149" s="1"/>
  <c r="A85" i="149" s="1"/>
  <c r="A86" i="149" s="1"/>
  <c r="A87" i="149" s="1"/>
  <c r="A88" i="149" s="1"/>
  <c r="A89" i="149" s="1"/>
  <c r="A90" i="149" s="1"/>
  <c r="A91" i="149" s="1"/>
  <c r="A92" i="149" s="1"/>
  <c r="A93" i="149" s="1"/>
  <c r="A94" i="149" s="1"/>
  <c r="A95" i="149" s="1"/>
  <c r="A96" i="149" s="1"/>
  <c r="A97" i="149" s="1"/>
  <c r="A98" i="149" s="1"/>
  <c r="A99" i="149" s="1"/>
  <c r="A100" i="149" s="1"/>
  <c r="A101" i="149" s="1"/>
  <c r="A102" i="149" s="1"/>
  <c r="A103" i="149" s="1"/>
  <c r="A104" i="149" s="1"/>
  <c r="A105" i="149" s="1"/>
  <c r="A106" i="149" s="1"/>
  <c r="A107" i="149" s="1"/>
  <c r="A108" i="149" s="1"/>
  <c r="A109" i="149" s="1"/>
  <c r="A110" i="149" s="1"/>
  <c r="A111" i="149" s="1"/>
  <c r="A112" i="149" s="1"/>
  <c r="A113" i="149" s="1"/>
  <c r="A114" i="149" s="1"/>
  <c r="A115" i="149" s="1"/>
  <c r="A116" i="149" s="1"/>
  <c r="A117" i="149" s="1"/>
  <c r="A118" i="149" s="1"/>
  <c r="A119" i="149" s="1"/>
  <c r="A120" i="149" s="1"/>
  <c r="A121" i="149" s="1"/>
  <c r="A122" i="149" s="1"/>
  <c r="A123" i="149" s="1"/>
  <c r="A124" i="149" s="1"/>
  <c r="A125" i="149" s="1"/>
  <c r="A126" i="149" s="1"/>
  <c r="A127" i="149" s="1"/>
  <c r="A128" i="149" s="1"/>
  <c r="A129" i="149" s="1"/>
  <c r="A130" i="149" s="1"/>
  <c r="A131" i="149" s="1"/>
  <c r="A132" i="149" s="1"/>
  <c r="A133" i="149" s="1"/>
  <c r="A134" i="149" s="1"/>
  <c r="A135" i="149" s="1"/>
  <c r="A136" i="149" s="1"/>
  <c r="A137" i="149" s="1"/>
  <c r="A138" i="149" s="1"/>
  <c r="A139" i="149" s="1"/>
  <c r="A140" i="149" s="1"/>
  <c r="A141" i="149" s="1"/>
  <c r="A142" i="149" s="1"/>
  <c r="A143" i="149" s="1"/>
  <c r="A144" i="149" s="1"/>
  <c r="A145" i="149" s="1"/>
  <c r="A146" i="149" s="1"/>
  <c r="A147" i="149" s="1"/>
  <c r="A148" i="149" s="1"/>
  <c r="A149" i="149" s="1"/>
  <c r="A150" i="149" s="1"/>
  <c r="A151" i="149" s="1"/>
  <c r="A152" i="149" s="1"/>
  <c r="A153" i="149" s="1"/>
  <c r="A154" i="149" s="1"/>
  <c r="A155" i="149" s="1"/>
  <c r="A156" i="149" s="1"/>
  <c r="A157" i="149" s="1"/>
  <c r="A158" i="149" s="1"/>
  <c r="A159" i="149" s="1"/>
  <c r="A160" i="149" s="1"/>
  <c r="A161" i="149" s="1"/>
  <c r="A162" i="149" s="1"/>
  <c r="A163" i="149" s="1"/>
  <c r="A164" i="149" s="1"/>
  <c r="A165" i="149" s="1"/>
  <c r="A166" i="149" s="1"/>
  <c r="A167" i="149" s="1"/>
  <c r="A168" i="149" s="1"/>
  <c r="A169" i="149" s="1"/>
  <c r="A170" i="149" s="1"/>
  <c r="A171" i="149" s="1"/>
  <c r="A172" i="149" s="1"/>
  <c r="A173" i="149" s="1"/>
  <c r="A174" i="149" s="1"/>
  <c r="A175" i="149" s="1"/>
  <c r="A176" i="149" s="1"/>
  <c r="A177" i="149" s="1"/>
  <c r="A178" i="149" s="1"/>
  <c r="A179" i="149" s="1"/>
  <c r="A180" i="149" s="1"/>
  <c r="A181" i="149" s="1"/>
  <c r="A182" i="149" s="1"/>
  <c r="A183" i="149" s="1"/>
  <c r="A184" i="149" s="1"/>
  <c r="A185" i="149" s="1"/>
  <c r="A186" i="149" s="1"/>
  <c r="A187" i="149" s="1"/>
  <c r="A188" i="149" s="1"/>
  <c r="A189" i="149" s="1"/>
  <c r="A190" i="149" s="1"/>
  <c r="A191" i="149" s="1"/>
  <c r="A192" i="149" s="1"/>
  <c r="A193" i="149" s="1"/>
  <c r="A194" i="149" s="1"/>
  <c r="A195" i="149" s="1"/>
  <c r="A196" i="149" s="1"/>
  <c r="A197" i="149" s="1"/>
  <c r="A198" i="149" s="1"/>
  <c r="A199" i="149" s="1"/>
  <c r="A200" i="149" s="1"/>
  <c r="A201" i="149" s="1"/>
  <c r="A202" i="149" s="1"/>
  <c r="A203" i="149" s="1"/>
  <c r="A204" i="149" s="1"/>
  <c r="A205" i="149" s="1"/>
  <c r="A206" i="149" s="1"/>
  <c r="A207" i="149" s="1"/>
  <c r="A208" i="149" s="1"/>
  <c r="A209" i="149" s="1"/>
  <c r="A210" i="149" s="1"/>
  <c r="A211" i="149" s="1"/>
  <c r="A212" i="149" s="1"/>
  <c r="A213" i="149" s="1"/>
  <c r="A214" i="149" s="1"/>
  <c r="A215" i="149" s="1"/>
  <c r="A216" i="149" s="1"/>
  <c r="A217" i="149" s="1"/>
  <c r="A218" i="149" s="1"/>
  <c r="A219" i="149" s="1"/>
  <c r="A220" i="149" s="1"/>
  <c r="A221" i="149" s="1"/>
  <c r="A222" i="149" s="1"/>
  <c r="A223" i="149" s="1"/>
  <c r="A224" i="149" s="1"/>
  <c r="A225" i="149" s="1"/>
  <c r="A226" i="149" s="1"/>
  <c r="A227" i="149" s="1"/>
  <c r="A228" i="149" s="1"/>
  <c r="A229" i="149" s="1"/>
  <c r="A230" i="149" s="1"/>
  <c r="A231" i="149" s="1"/>
  <c r="A232" i="149" s="1"/>
  <c r="A233" i="149" s="1"/>
  <c r="A234" i="149" s="1"/>
  <c r="A235" i="149" s="1"/>
  <c r="A236" i="149" s="1"/>
  <c r="A237" i="149" s="1"/>
  <c r="A238" i="149" s="1"/>
  <c r="A239" i="149" s="1"/>
  <c r="A240" i="149" s="1"/>
  <c r="A241" i="149" s="1"/>
  <c r="A242" i="149" s="1"/>
  <c r="A243" i="149" s="1"/>
  <c r="A244" i="149" s="1"/>
  <c r="S34" i="149"/>
  <c r="R34" i="149"/>
  <c r="O34" i="149"/>
  <c r="S33" i="149"/>
  <c r="R33" i="149"/>
  <c r="O33" i="149"/>
  <c r="S32" i="149"/>
  <c r="R32" i="149"/>
  <c r="O32" i="149"/>
  <c r="S31" i="149"/>
  <c r="R31" i="149"/>
  <c r="O31" i="149"/>
  <c r="S30" i="149"/>
  <c r="R30" i="149"/>
  <c r="O30" i="149"/>
  <c r="S29" i="149"/>
  <c r="R29" i="149"/>
  <c r="O29" i="149"/>
  <c r="S28" i="149"/>
  <c r="R28" i="149"/>
  <c r="O28" i="149"/>
  <c r="S27" i="149"/>
  <c r="R27" i="149"/>
  <c r="O27" i="149"/>
  <c r="S26" i="149"/>
  <c r="R26" i="149"/>
  <c r="O26" i="149"/>
  <c r="N24" i="149"/>
  <c r="M24" i="149"/>
  <c r="L24" i="149"/>
  <c r="K24" i="149"/>
  <c r="J24" i="149"/>
  <c r="I24" i="149"/>
  <c r="H24" i="149"/>
  <c r="G24" i="149"/>
  <c r="F24" i="149"/>
  <c r="E24" i="149"/>
  <c r="D24" i="149"/>
  <c r="C24" i="149"/>
  <c r="S23" i="149"/>
  <c r="R23" i="149"/>
  <c r="O23" i="149"/>
  <c r="S22" i="149"/>
  <c r="R22" i="149"/>
  <c r="O22" i="149"/>
  <c r="S21" i="149"/>
  <c r="R21" i="149"/>
  <c r="O21" i="149"/>
  <c r="S20" i="149"/>
  <c r="R20" i="149"/>
  <c r="O20" i="149"/>
  <c r="S19" i="149"/>
  <c r="R19" i="149"/>
  <c r="O19" i="149"/>
  <c r="S18" i="149"/>
  <c r="R18" i="149"/>
  <c r="O18" i="149"/>
  <c r="S17" i="149"/>
  <c r="R17" i="149"/>
  <c r="O17" i="149"/>
  <c r="N15" i="149"/>
  <c r="M15" i="149"/>
  <c r="L15" i="149"/>
  <c r="K15" i="149"/>
  <c r="J15" i="149"/>
  <c r="I15" i="149"/>
  <c r="H15" i="149"/>
  <c r="G15" i="149"/>
  <c r="F15" i="149"/>
  <c r="E15" i="149"/>
  <c r="D15" i="149"/>
  <c r="C15" i="149"/>
  <c r="S14" i="149"/>
  <c r="R14" i="149"/>
  <c r="O14" i="149"/>
  <c r="S13" i="149"/>
  <c r="R13" i="149"/>
  <c r="O13" i="149"/>
  <c r="S12" i="149"/>
  <c r="R12" i="149"/>
  <c r="O12" i="149"/>
  <c r="S11" i="149"/>
  <c r="R11" i="149"/>
  <c r="O11" i="149"/>
  <c r="A11" i="149"/>
  <c r="A12" i="149" s="1"/>
  <c r="A13" i="149" s="1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S10" i="149"/>
  <c r="R10" i="149"/>
  <c r="O10" i="149"/>
  <c r="S9" i="149"/>
  <c r="R9" i="149"/>
  <c r="O9" i="149"/>
  <c r="S8" i="149"/>
  <c r="R8" i="149"/>
  <c r="O8" i="149"/>
  <c r="S7" i="149"/>
  <c r="R7" i="149"/>
  <c r="O7" i="149"/>
  <c r="S6" i="149"/>
  <c r="R6" i="149"/>
  <c r="O6" i="149"/>
  <c r="S5" i="149"/>
  <c r="R5" i="149"/>
  <c r="O5" i="149"/>
  <c r="S4" i="149"/>
  <c r="R4" i="149"/>
  <c r="O4" i="149"/>
  <c r="A3" i="149"/>
  <c r="A4" i="149" s="1"/>
  <c r="A5" i="149" s="1"/>
  <c r="A6" i="149" s="1"/>
  <c r="A7" i="149" s="1"/>
  <c r="A8" i="149" s="1"/>
  <c r="A9" i="149" s="1"/>
  <c r="A10" i="149" s="1"/>
  <c r="N2" i="149"/>
  <c r="M2" i="149"/>
  <c r="L2" i="149"/>
  <c r="K2" i="149"/>
  <c r="J2" i="149"/>
  <c r="I2" i="149"/>
  <c r="H2" i="149"/>
  <c r="G2" i="149"/>
  <c r="F2" i="149"/>
  <c r="E2" i="149"/>
  <c r="D2" i="149"/>
  <c r="C2" i="149"/>
  <c r="U54" i="79"/>
  <c r="S54" i="79"/>
  <c r="O54" i="79"/>
  <c r="M54" i="79"/>
  <c r="I54" i="79"/>
  <c r="G54" i="79"/>
  <c r="C54" i="79"/>
  <c r="A54" i="79"/>
  <c r="U53" i="79"/>
  <c r="S53" i="79"/>
  <c r="O53" i="79"/>
  <c r="M53" i="79"/>
  <c r="I53" i="79"/>
  <c r="G53" i="79"/>
  <c r="C53" i="79"/>
  <c r="A53" i="79"/>
  <c r="U52" i="79"/>
  <c r="S52" i="79"/>
  <c r="O52" i="79"/>
  <c r="M52" i="79"/>
  <c r="I52" i="79"/>
  <c r="G52" i="79"/>
  <c r="C52" i="79"/>
  <c r="A52" i="79"/>
  <c r="U51" i="79"/>
  <c r="S51" i="79"/>
  <c r="O51" i="79"/>
  <c r="M51" i="79"/>
  <c r="I51" i="79"/>
  <c r="G51" i="79"/>
  <c r="C51" i="79"/>
  <c r="A51" i="79"/>
  <c r="U50" i="79"/>
  <c r="S50" i="79"/>
  <c r="O50" i="79"/>
  <c r="M50" i="79"/>
  <c r="I50" i="79"/>
  <c r="G50" i="79"/>
  <c r="C50" i="79"/>
  <c r="A50" i="79"/>
  <c r="U49" i="79"/>
  <c r="S49" i="79"/>
  <c r="O49" i="79"/>
  <c r="M49" i="79"/>
  <c r="I49" i="79"/>
  <c r="G49" i="79"/>
  <c r="C49" i="79"/>
  <c r="A49" i="79"/>
  <c r="U48" i="79"/>
  <c r="S48" i="79"/>
  <c r="O48" i="79"/>
  <c r="M48" i="79"/>
  <c r="I48" i="79"/>
  <c r="G48" i="79"/>
  <c r="C48" i="79"/>
  <c r="A48" i="79"/>
  <c r="S47" i="79"/>
  <c r="M47" i="79"/>
  <c r="G47" i="79"/>
  <c r="A47" i="79"/>
  <c r="S46" i="79"/>
  <c r="M46" i="79"/>
  <c r="G46" i="79"/>
  <c r="A46" i="79"/>
  <c r="S45" i="79"/>
  <c r="M45" i="79"/>
  <c r="G45" i="79"/>
  <c r="A45" i="79"/>
  <c r="S44" i="79"/>
  <c r="M44" i="79"/>
  <c r="G44" i="79"/>
  <c r="A44" i="79"/>
  <c r="S43" i="79"/>
  <c r="M43" i="79"/>
  <c r="G43" i="79"/>
  <c r="A43" i="79"/>
  <c r="S42" i="79"/>
  <c r="M42" i="79"/>
  <c r="G42" i="79"/>
  <c r="A42" i="79"/>
  <c r="S41" i="79"/>
  <c r="M41" i="79"/>
  <c r="G41" i="79"/>
  <c r="A41" i="79"/>
  <c r="S40" i="79"/>
  <c r="M40" i="79"/>
  <c r="G40" i="79"/>
  <c r="A40" i="79"/>
  <c r="S39" i="79"/>
  <c r="M39" i="79"/>
  <c r="G39" i="79"/>
  <c r="A39" i="79"/>
  <c r="S38" i="79"/>
  <c r="M38" i="79"/>
  <c r="G38" i="79"/>
  <c r="A38" i="79"/>
  <c r="S37" i="79"/>
  <c r="M37" i="79"/>
  <c r="G37" i="79"/>
  <c r="A37" i="79"/>
  <c r="S36" i="79"/>
  <c r="M36" i="79"/>
  <c r="G36" i="79"/>
  <c r="A36" i="79"/>
  <c r="S35" i="79"/>
  <c r="M35" i="79"/>
  <c r="G35" i="79"/>
  <c r="A35" i="79"/>
  <c r="S34" i="79"/>
  <c r="M34" i="79"/>
  <c r="G34" i="79"/>
  <c r="A34" i="79"/>
  <c r="S33" i="79"/>
  <c r="M33" i="79"/>
  <c r="G33" i="79"/>
  <c r="A33" i="79"/>
  <c r="S32" i="79"/>
  <c r="M32" i="79"/>
  <c r="G32" i="79"/>
  <c r="A32" i="79"/>
  <c r="S31" i="79"/>
  <c r="M31" i="79"/>
  <c r="G31" i="79"/>
  <c r="A31" i="79"/>
  <c r="S30" i="79"/>
  <c r="M30" i="79"/>
  <c r="G30" i="79"/>
  <c r="A30" i="79"/>
  <c r="S29" i="79"/>
  <c r="M29" i="79"/>
  <c r="G29" i="79"/>
  <c r="A29" i="79"/>
  <c r="S28" i="79"/>
  <c r="M28" i="79"/>
  <c r="G28" i="79"/>
  <c r="A28" i="79"/>
  <c r="S27" i="79"/>
  <c r="M27" i="79"/>
  <c r="G27" i="79"/>
  <c r="A27" i="79"/>
  <c r="S26" i="79"/>
  <c r="M26" i="79"/>
  <c r="G26" i="79"/>
  <c r="A26" i="79"/>
  <c r="S25" i="79"/>
  <c r="M25" i="79"/>
  <c r="G25" i="79"/>
  <c r="A25" i="79"/>
  <c r="S24" i="79"/>
  <c r="M24" i="79"/>
  <c r="G24" i="79"/>
  <c r="A24" i="79"/>
  <c r="S23" i="79"/>
  <c r="M23" i="79"/>
  <c r="G23" i="79"/>
  <c r="A23" i="79"/>
  <c r="S22" i="79"/>
  <c r="M22" i="79"/>
  <c r="G22" i="79"/>
  <c r="A22" i="79"/>
  <c r="S21" i="79"/>
  <c r="M21" i="79"/>
  <c r="G21" i="79"/>
  <c r="A21" i="79"/>
  <c r="S20" i="79"/>
  <c r="M20" i="79"/>
  <c r="G20" i="79"/>
  <c r="A20" i="79"/>
  <c r="S19" i="79"/>
  <c r="M19" i="79"/>
  <c r="G19" i="79"/>
  <c r="A19" i="79"/>
  <c r="S18" i="79"/>
  <c r="M18" i="79"/>
  <c r="G18" i="79"/>
  <c r="A18" i="79"/>
  <c r="S17" i="79"/>
  <c r="M17" i="79"/>
  <c r="G17" i="79"/>
  <c r="A17" i="79"/>
  <c r="S16" i="79"/>
  <c r="M16" i="79"/>
  <c r="G16" i="79"/>
  <c r="A16" i="79"/>
  <c r="S11" i="79"/>
  <c r="M11" i="79"/>
  <c r="G11" i="79"/>
  <c r="A11" i="79"/>
  <c r="S10" i="79"/>
  <c r="M10" i="79"/>
  <c r="G10" i="79"/>
  <c r="A10" i="79"/>
  <c r="S8" i="79"/>
  <c r="M8" i="79"/>
  <c r="G8" i="79"/>
  <c r="A8" i="79"/>
  <c r="S6" i="79"/>
  <c r="M6" i="79"/>
  <c r="G6" i="79"/>
  <c r="A6" i="79"/>
  <c r="S5" i="79"/>
  <c r="M5" i="79"/>
  <c r="G5" i="79"/>
  <c r="A5" i="79"/>
  <c r="AM66" i="121"/>
  <c r="AL66" i="121"/>
  <c r="AH66" i="121"/>
  <c r="AE66" i="121"/>
  <c r="AD66" i="121"/>
  <c r="W66" i="121"/>
  <c r="O66" i="121"/>
  <c r="N66" i="121"/>
  <c r="G66" i="121"/>
  <c r="F66" i="121"/>
  <c r="AG65" i="121"/>
  <c r="AD65" i="121"/>
  <c r="V65" i="121"/>
  <c r="U65" i="121"/>
  <c r="N65" i="121"/>
  <c r="M65" i="121"/>
  <c r="I65" i="121"/>
  <c r="F65" i="121"/>
  <c r="E65" i="121"/>
  <c r="AO64" i="121"/>
  <c r="AO66" i="121" s="1"/>
  <c r="AN64" i="121"/>
  <c r="AN66" i="121" s="1"/>
  <c r="AM64" i="121"/>
  <c r="AL64" i="121"/>
  <c r="AK64" i="121"/>
  <c r="AK66" i="121" s="1"/>
  <c r="AJ64" i="121"/>
  <c r="AJ66" i="121" s="1"/>
  <c r="AI64" i="121"/>
  <c r="AI66" i="121" s="1"/>
  <c r="AH64" i="121"/>
  <c r="AG64" i="121"/>
  <c r="AG66" i="121" s="1"/>
  <c r="AF64" i="121"/>
  <c r="AF66" i="121" s="1"/>
  <c r="AE64" i="121"/>
  <c r="AD64" i="121"/>
  <c r="AC64" i="121"/>
  <c r="AC66" i="121" s="1"/>
  <c r="AB64" i="121"/>
  <c r="AB66" i="121" s="1"/>
  <c r="AA64" i="121"/>
  <c r="AA66" i="121" s="1"/>
  <c r="Z64" i="121"/>
  <c r="Z66" i="121" s="1"/>
  <c r="Y64" i="121"/>
  <c r="Y66" i="121" s="1"/>
  <c r="X64" i="121"/>
  <c r="X66" i="121" s="1"/>
  <c r="W64" i="121"/>
  <c r="V64" i="121"/>
  <c r="V66" i="121" s="1"/>
  <c r="U64" i="121"/>
  <c r="U66" i="121" s="1"/>
  <c r="T64" i="121"/>
  <c r="T66" i="121" s="1"/>
  <c r="S64" i="121"/>
  <c r="S66" i="121" s="1"/>
  <c r="R64" i="121"/>
  <c r="R66" i="121" s="1"/>
  <c r="Q64" i="121"/>
  <c r="Q66" i="121" s="1"/>
  <c r="P64" i="121"/>
  <c r="P66" i="121" s="1"/>
  <c r="O64" i="121"/>
  <c r="N64" i="121"/>
  <c r="M64" i="121"/>
  <c r="M66" i="121" s="1"/>
  <c r="L64" i="121"/>
  <c r="L66" i="121" s="1"/>
  <c r="K64" i="121"/>
  <c r="K66" i="121" s="1"/>
  <c r="J64" i="121"/>
  <c r="J66" i="121" s="1"/>
  <c r="I64" i="121"/>
  <c r="I66" i="121" s="1"/>
  <c r="H64" i="121"/>
  <c r="H66" i="121" s="1"/>
  <c r="G64" i="121"/>
  <c r="F64" i="121"/>
  <c r="E64" i="121"/>
  <c r="E66" i="121" s="1"/>
  <c r="D64" i="121"/>
  <c r="D66" i="121" s="1"/>
  <c r="C64" i="121"/>
  <c r="C66" i="121" s="1"/>
  <c r="AO63" i="121"/>
  <c r="AO65" i="121" s="1"/>
  <c r="AN63" i="121"/>
  <c r="AN65" i="121" s="1"/>
  <c r="AM63" i="121"/>
  <c r="AM65" i="121" s="1"/>
  <c r="AL63" i="121"/>
  <c r="AL65" i="121" s="1"/>
  <c r="AK63" i="121"/>
  <c r="AK65" i="121" s="1"/>
  <c r="AJ63" i="121"/>
  <c r="AJ65" i="121" s="1"/>
  <c r="AI63" i="121"/>
  <c r="AI65" i="121" s="1"/>
  <c r="AH63" i="121"/>
  <c r="AH65" i="121" s="1"/>
  <c r="AG63" i="121"/>
  <c r="AF63" i="121"/>
  <c r="AF65" i="121" s="1"/>
  <c r="AE63" i="121"/>
  <c r="AE65" i="121" s="1"/>
  <c r="AD63" i="121"/>
  <c r="AC63" i="121"/>
  <c r="AC65" i="121" s="1"/>
  <c r="AB63" i="121"/>
  <c r="AB65" i="121" s="1"/>
  <c r="AA63" i="121"/>
  <c r="AA65" i="121" s="1"/>
  <c r="Z63" i="121"/>
  <c r="Z65" i="121" s="1"/>
  <c r="Y63" i="121"/>
  <c r="Y65" i="121" s="1"/>
  <c r="X63" i="121"/>
  <c r="X65" i="121" s="1"/>
  <c r="W63" i="121"/>
  <c r="W65" i="121" s="1"/>
  <c r="V63" i="121"/>
  <c r="U63" i="121"/>
  <c r="T63" i="121"/>
  <c r="T65" i="121" s="1"/>
  <c r="S63" i="121"/>
  <c r="S65" i="121" s="1"/>
  <c r="R63" i="121"/>
  <c r="R65" i="121" s="1"/>
  <c r="Q63" i="121"/>
  <c r="Q65" i="121" s="1"/>
  <c r="P63" i="121"/>
  <c r="P65" i="121" s="1"/>
  <c r="O63" i="121"/>
  <c r="O65" i="121" s="1"/>
  <c r="N63" i="121"/>
  <c r="M63" i="121"/>
  <c r="L63" i="121"/>
  <c r="L65" i="121" s="1"/>
  <c r="K63" i="121"/>
  <c r="K65" i="121" s="1"/>
  <c r="J63" i="121"/>
  <c r="J65" i="121" s="1"/>
  <c r="I63" i="121"/>
  <c r="H63" i="121"/>
  <c r="H65" i="121" s="1"/>
  <c r="G63" i="121"/>
  <c r="G65" i="121" s="1"/>
  <c r="F63" i="121"/>
  <c r="E63" i="121"/>
  <c r="D63" i="121"/>
  <c r="D65" i="121" s="1"/>
  <c r="C63" i="121"/>
  <c r="C65" i="121" s="1"/>
  <c r="AO62" i="121"/>
  <c r="AN62" i="121"/>
  <c r="AM62" i="121"/>
  <c r="AL62" i="121"/>
  <c r="AK62" i="121"/>
  <c r="AJ62" i="121"/>
  <c r="AI62" i="121"/>
  <c r="AH62" i="121"/>
  <c r="AG62" i="121"/>
  <c r="AF62" i="121"/>
  <c r="AE62" i="121"/>
  <c r="AD62" i="121"/>
  <c r="AC62" i="121"/>
  <c r="AB62" i="121"/>
  <c r="AA62" i="121"/>
  <c r="Z62" i="121"/>
  <c r="Y62" i="121"/>
  <c r="X62" i="121"/>
  <c r="W62" i="121"/>
  <c r="V62" i="121"/>
  <c r="U62" i="121"/>
  <c r="T62" i="121"/>
  <c r="S62" i="121"/>
  <c r="R62" i="121"/>
  <c r="Q62" i="121"/>
  <c r="P62" i="121"/>
  <c r="O62" i="121"/>
  <c r="N62" i="121"/>
  <c r="M62" i="121"/>
  <c r="L62" i="121"/>
  <c r="K62" i="121"/>
  <c r="J62" i="121"/>
  <c r="X62" i="114" s="1"/>
  <c r="I62" i="121"/>
  <c r="H62" i="121"/>
  <c r="X50" i="114" s="1"/>
  <c r="G62" i="121"/>
  <c r="F62" i="121"/>
  <c r="E62" i="121"/>
  <c r="D62" i="121"/>
  <c r="C62" i="121"/>
  <c r="B61" i="121"/>
  <c r="B60" i="121"/>
  <c r="B59" i="121"/>
  <c r="B58" i="121"/>
  <c r="B57" i="121"/>
  <c r="B56" i="121"/>
  <c r="B55" i="121"/>
  <c r="B54" i="121"/>
  <c r="B53" i="121"/>
  <c r="B52" i="121"/>
  <c r="B51" i="121"/>
  <c r="B50" i="121"/>
  <c r="B49" i="121"/>
  <c r="B48" i="121"/>
  <c r="B47" i="121"/>
  <c r="B46" i="121"/>
  <c r="B45" i="121"/>
  <c r="B44" i="121"/>
  <c r="B43" i="121"/>
  <c r="B42" i="121"/>
  <c r="B41" i="121"/>
  <c r="B40" i="121"/>
  <c r="B39" i="121"/>
  <c r="B38" i="121"/>
  <c r="B37" i="121"/>
  <c r="B36" i="121"/>
  <c r="B35" i="121"/>
  <c r="B34" i="121"/>
  <c r="B33" i="121"/>
  <c r="B32" i="121"/>
  <c r="B31" i="121"/>
  <c r="B30" i="121"/>
  <c r="B29" i="121"/>
  <c r="B28" i="121"/>
  <c r="B27" i="121"/>
  <c r="B26" i="121"/>
  <c r="B25" i="121"/>
  <c r="B24" i="121"/>
  <c r="B23" i="121"/>
  <c r="B22" i="121"/>
  <c r="B21" i="121"/>
  <c r="B20" i="121"/>
  <c r="B19" i="121"/>
  <c r="B18" i="121"/>
  <c r="B17" i="121"/>
  <c r="B16" i="121"/>
  <c r="B15" i="121"/>
  <c r="B14" i="121"/>
  <c r="B13" i="121"/>
  <c r="B12" i="121"/>
  <c r="B11" i="121"/>
  <c r="B10" i="121"/>
  <c r="B9" i="121"/>
  <c r="B8" i="121"/>
  <c r="B7" i="121"/>
  <c r="B6" i="121"/>
  <c r="B5" i="121"/>
  <c r="Q59" i="114" s="1"/>
  <c r="B4" i="121"/>
  <c r="B3" i="121"/>
  <c r="Q55" i="114" s="1"/>
  <c r="B2" i="121"/>
  <c r="B61" i="120"/>
  <c r="B60" i="120"/>
  <c r="B59" i="120"/>
  <c r="B58" i="120"/>
  <c r="B57" i="120"/>
  <c r="B56" i="120"/>
  <c r="B55" i="120"/>
  <c r="B54" i="120"/>
  <c r="B53" i="120"/>
  <c r="B52" i="120"/>
  <c r="B51" i="120"/>
  <c r="B50" i="120"/>
  <c r="B49" i="120"/>
  <c r="B48" i="120"/>
  <c r="B47" i="120"/>
  <c r="B46" i="120"/>
  <c r="B45" i="120"/>
  <c r="B44" i="120"/>
  <c r="B43" i="120"/>
  <c r="B42" i="120"/>
  <c r="B41" i="120"/>
  <c r="B40" i="120"/>
  <c r="B39" i="120"/>
  <c r="B38" i="120"/>
  <c r="B37" i="120"/>
  <c r="B36" i="120"/>
  <c r="B35" i="120"/>
  <c r="B34" i="120"/>
  <c r="B33" i="120"/>
  <c r="B32" i="120"/>
  <c r="B31" i="120"/>
  <c r="B30" i="120"/>
  <c r="B29" i="120"/>
  <c r="B28" i="120"/>
  <c r="B27" i="120"/>
  <c r="B26" i="120"/>
  <c r="B25" i="120"/>
  <c r="B24" i="120"/>
  <c r="B23" i="120"/>
  <c r="B22" i="120"/>
  <c r="B21" i="120"/>
  <c r="B20" i="120"/>
  <c r="B19" i="120"/>
  <c r="B18" i="120"/>
  <c r="B17" i="120"/>
  <c r="B16" i="120"/>
  <c r="B15" i="120"/>
  <c r="B14" i="120"/>
  <c r="B13" i="120"/>
  <c r="B12" i="120"/>
  <c r="B11" i="120"/>
  <c r="B10" i="120"/>
  <c r="B9" i="120"/>
  <c r="G62" i="114" s="1"/>
  <c r="B8" i="120"/>
  <c r="B7" i="120"/>
  <c r="G44" i="114" s="1"/>
  <c r="B6" i="120"/>
  <c r="B5" i="120"/>
  <c r="B4" i="120"/>
  <c r="B3" i="120"/>
  <c r="B2" i="120"/>
  <c r="B61" i="117"/>
  <c r="B60" i="117"/>
  <c r="B59" i="117"/>
  <c r="B58" i="117"/>
  <c r="B57" i="117"/>
  <c r="B56" i="117"/>
  <c r="B55" i="117"/>
  <c r="B54" i="117"/>
  <c r="B53" i="117"/>
  <c r="B52" i="117"/>
  <c r="B51" i="117"/>
  <c r="B50" i="117"/>
  <c r="B49" i="117"/>
  <c r="B48" i="117"/>
  <c r="B47" i="117"/>
  <c r="B46" i="117"/>
  <c r="B45" i="117"/>
  <c r="B44" i="117"/>
  <c r="B43" i="117"/>
  <c r="B42" i="117"/>
  <c r="B41" i="117"/>
  <c r="B40" i="117"/>
  <c r="B39" i="117"/>
  <c r="B38" i="117"/>
  <c r="B37" i="117"/>
  <c r="B36" i="117"/>
  <c r="B35" i="117"/>
  <c r="B34" i="117"/>
  <c r="B33" i="117"/>
  <c r="B32" i="117"/>
  <c r="B31" i="117"/>
  <c r="B30" i="117"/>
  <c r="B29" i="117"/>
  <c r="B28" i="117"/>
  <c r="B27" i="117"/>
  <c r="B26" i="117"/>
  <c r="B25" i="117"/>
  <c r="B24" i="117"/>
  <c r="B23" i="117"/>
  <c r="B22" i="117"/>
  <c r="B21" i="117"/>
  <c r="B20" i="117"/>
  <c r="B19" i="117"/>
  <c r="B18" i="117"/>
  <c r="B17" i="117"/>
  <c r="B16" i="117"/>
  <c r="B15" i="117"/>
  <c r="B14" i="117"/>
  <c r="B13" i="117"/>
  <c r="B12" i="117"/>
  <c r="B11" i="117"/>
  <c r="B10" i="117"/>
  <c r="B9" i="117"/>
  <c r="B8" i="117"/>
  <c r="B7" i="117"/>
  <c r="B6" i="117"/>
  <c r="B5" i="117"/>
  <c r="B4" i="117"/>
  <c r="B3" i="117"/>
  <c r="B2" i="117"/>
  <c r="B61" i="116"/>
  <c r="B60" i="116"/>
  <c r="B59" i="116"/>
  <c r="B58" i="116"/>
  <c r="B57" i="116"/>
  <c r="B56" i="116"/>
  <c r="B55" i="116"/>
  <c r="B54" i="116"/>
  <c r="B53" i="116"/>
  <c r="B52" i="116"/>
  <c r="B51" i="116"/>
  <c r="B50" i="116"/>
  <c r="B49" i="116"/>
  <c r="B48" i="116"/>
  <c r="B47" i="116"/>
  <c r="B46" i="116"/>
  <c r="B45" i="116"/>
  <c r="B44" i="116"/>
  <c r="B43" i="116"/>
  <c r="B42" i="116"/>
  <c r="B41" i="116"/>
  <c r="B40" i="116"/>
  <c r="B39" i="116"/>
  <c r="B38" i="116"/>
  <c r="B37" i="116"/>
  <c r="B36" i="116"/>
  <c r="B35" i="116"/>
  <c r="B34" i="116"/>
  <c r="B33" i="116"/>
  <c r="B32" i="116"/>
  <c r="B31" i="116"/>
  <c r="B30" i="116"/>
  <c r="B29" i="116"/>
  <c r="B28" i="116"/>
  <c r="B27" i="116"/>
  <c r="B26" i="116"/>
  <c r="B25" i="116"/>
  <c r="B24" i="116"/>
  <c r="B23" i="116"/>
  <c r="B22" i="116"/>
  <c r="B21" i="116"/>
  <c r="B20" i="116"/>
  <c r="B19" i="116"/>
  <c r="B18" i="116"/>
  <c r="B17" i="116"/>
  <c r="B16" i="116"/>
  <c r="B15" i="116"/>
  <c r="B14" i="116"/>
  <c r="B13" i="116"/>
  <c r="B12" i="116"/>
  <c r="B11" i="116"/>
  <c r="B10" i="116"/>
  <c r="B9" i="116"/>
  <c r="B8" i="116"/>
  <c r="B7" i="116"/>
  <c r="B6" i="116"/>
  <c r="B5" i="116"/>
  <c r="B4" i="116"/>
  <c r="B3" i="116"/>
  <c r="B2" i="116"/>
  <c r="T66" i="114"/>
  <c r="M66" i="114"/>
  <c r="V66" i="114" s="1"/>
  <c r="C66" i="114"/>
  <c r="V65" i="114"/>
  <c r="T65" i="114"/>
  <c r="M65" i="114"/>
  <c r="C65" i="114"/>
  <c r="T64" i="114"/>
  <c r="M64" i="114"/>
  <c r="V64" i="114" s="1"/>
  <c r="C64" i="114"/>
  <c r="T63" i="114"/>
  <c r="M63" i="114"/>
  <c r="V63" i="114" s="1"/>
  <c r="C63" i="114"/>
  <c r="T62" i="114"/>
  <c r="M62" i="114"/>
  <c r="V62" i="114" s="1"/>
  <c r="C62" i="114"/>
  <c r="V61" i="114"/>
  <c r="T61" i="114"/>
  <c r="M61" i="114"/>
  <c r="C61" i="114"/>
  <c r="T60" i="114"/>
  <c r="Y60" i="114" s="1"/>
  <c r="M60" i="114"/>
  <c r="V60" i="114" s="1"/>
  <c r="C60" i="114"/>
  <c r="V59" i="114"/>
  <c r="T59" i="114"/>
  <c r="M59" i="114"/>
  <c r="C59" i="114"/>
  <c r="T58" i="114"/>
  <c r="M58" i="114"/>
  <c r="V58" i="114" s="1"/>
  <c r="C58" i="114"/>
  <c r="V57" i="114"/>
  <c r="T57" i="114"/>
  <c r="M57" i="114"/>
  <c r="C57" i="114"/>
  <c r="T56" i="114"/>
  <c r="X56" i="114" s="1"/>
  <c r="M56" i="114"/>
  <c r="V56" i="114" s="1"/>
  <c r="C56" i="114"/>
  <c r="V55" i="114"/>
  <c r="T55" i="114"/>
  <c r="M55" i="114"/>
  <c r="C55" i="114"/>
  <c r="T54" i="114"/>
  <c r="M54" i="114"/>
  <c r="V54" i="114" s="1"/>
  <c r="G54" i="114"/>
  <c r="C54" i="114"/>
  <c r="T53" i="114"/>
  <c r="M53" i="114"/>
  <c r="V53" i="114" s="1"/>
  <c r="C53" i="114"/>
  <c r="V52" i="114"/>
  <c r="T52" i="114"/>
  <c r="M52" i="114"/>
  <c r="G52" i="114"/>
  <c r="C52" i="114"/>
  <c r="T51" i="114"/>
  <c r="M51" i="114"/>
  <c r="V51" i="114" s="1"/>
  <c r="C51" i="114"/>
  <c r="V50" i="114"/>
  <c r="T50" i="114"/>
  <c r="M50" i="114"/>
  <c r="C50" i="114"/>
  <c r="T49" i="114"/>
  <c r="M49" i="114"/>
  <c r="V49" i="114" s="1"/>
  <c r="C49" i="114"/>
  <c r="X48" i="114"/>
  <c r="V48" i="114"/>
  <c r="T48" i="114"/>
  <c r="M48" i="114"/>
  <c r="C48" i="114"/>
  <c r="V47" i="114"/>
  <c r="T47" i="114"/>
  <c r="M47" i="114"/>
  <c r="C47" i="114"/>
  <c r="T46" i="114"/>
  <c r="Y46" i="114" s="1"/>
  <c r="M46" i="114"/>
  <c r="V46" i="114" s="1"/>
  <c r="C46" i="114"/>
  <c r="V45" i="114"/>
  <c r="T45" i="114"/>
  <c r="M45" i="114"/>
  <c r="C45" i="114"/>
  <c r="T44" i="114"/>
  <c r="M44" i="114"/>
  <c r="V44" i="114" s="1"/>
  <c r="C44" i="114"/>
  <c r="T43" i="114"/>
  <c r="Q43" i="114"/>
  <c r="M43" i="114"/>
  <c r="V43" i="114" s="1"/>
  <c r="C43" i="114"/>
  <c r="V42" i="114"/>
  <c r="T42" i="114"/>
  <c r="M42" i="114"/>
  <c r="C42" i="114"/>
  <c r="V41" i="114"/>
  <c r="T41" i="114"/>
  <c r="M41" i="114"/>
  <c r="C41" i="114"/>
  <c r="X40" i="114"/>
  <c r="V40" i="114"/>
  <c r="T40" i="114"/>
  <c r="M40" i="114"/>
  <c r="C40" i="114"/>
  <c r="T39" i="114"/>
  <c r="M39" i="114"/>
  <c r="V39" i="114" s="1"/>
  <c r="C39" i="114"/>
  <c r="T38" i="114"/>
  <c r="M38" i="114"/>
  <c r="V38" i="114" s="1"/>
  <c r="C38" i="114"/>
  <c r="T37" i="114"/>
  <c r="M37" i="114"/>
  <c r="V37" i="114" s="1"/>
  <c r="C37" i="114"/>
  <c r="X36" i="114"/>
  <c r="V36" i="114"/>
  <c r="T36" i="114"/>
  <c r="M36" i="114"/>
  <c r="C36" i="114"/>
  <c r="V35" i="114"/>
  <c r="T35" i="114"/>
  <c r="M35" i="114"/>
  <c r="C35" i="114"/>
  <c r="T34" i="114"/>
  <c r="Y34" i="114" s="1"/>
  <c r="M34" i="114"/>
  <c r="V34" i="114" s="1"/>
  <c r="C34" i="114"/>
  <c r="X33" i="114"/>
  <c r="V33" i="114"/>
  <c r="T33" i="114"/>
  <c r="M33" i="114"/>
  <c r="C33" i="114"/>
  <c r="Y32" i="114"/>
  <c r="X32" i="114"/>
  <c r="T32" i="114"/>
  <c r="M32" i="114"/>
  <c r="V32" i="114" s="1"/>
  <c r="C32" i="114"/>
  <c r="T31" i="114"/>
  <c r="X31" i="114" s="1"/>
  <c r="M31" i="114"/>
  <c r="V31" i="114" s="1"/>
  <c r="C31" i="114"/>
  <c r="T30" i="114"/>
  <c r="M30" i="114"/>
  <c r="V30" i="114" s="1"/>
  <c r="C30" i="114"/>
  <c r="T29" i="114"/>
  <c r="M29" i="114"/>
  <c r="V29" i="114" s="1"/>
  <c r="C29" i="114"/>
  <c r="V28" i="114"/>
  <c r="T28" i="114"/>
  <c r="M28" i="114"/>
  <c r="C28" i="114"/>
  <c r="T27" i="114"/>
  <c r="M27" i="114"/>
  <c r="V27" i="114" s="1"/>
  <c r="C27" i="114"/>
  <c r="T26" i="114"/>
  <c r="M26" i="114"/>
  <c r="V26" i="114" s="1"/>
  <c r="G26" i="114"/>
  <c r="C26" i="114"/>
  <c r="T25" i="114"/>
  <c r="M25" i="114"/>
  <c r="V25" i="114" s="1"/>
  <c r="C25" i="114"/>
  <c r="T24" i="114"/>
  <c r="M24" i="114"/>
  <c r="V24" i="114" s="1"/>
  <c r="C24" i="114"/>
  <c r="T23" i="114"/>
  <c r="M23" i="114"/>
  <c r="V23" i="114" s="1"/>
  <c r="C23" i="114"/>
  <c r="T22" i="114"/>
  <c r="M22" i="114"/>
  <c r="V22" i="114" s="1"/>
  <c r="C22" i="114"/>
  <c r="T21" i="114"/>
  <c r="M21" i="114"/>
  <c r="V21" i="114" s="1"/>
  <c r="C21" i="114"/>
  <c r="T20" i="114"/>
  <c r="M20" i="114"/>
  <c r="V20" i="114" s="1"/>
  <c r="C20" i="114"/>
  <c r="T19" i="114"/>
  <c r="M19" i="114"/>
  <c r="V19" i="114" s="1"/>
  <c r="C19" i="114"/>
  <c r="V18" i="114"/>
  <c r="T18" i="114"/>
  <c r="M18" i="114"/>
  <c r="C18" i="114"/>
  <c r="T17" i="114"/>
  <c r="M17" i="114"/>
  <c r="V17" i="114" s="1"/>
  <c r="C17" i="114"/>
  <c r="V16" i="114"/>
  <c r="T16" i="114"/>
  <c r="M16" i="114"/>
  <c r="C16" i="114"/>
  <c r="T15" i="114"/>
  <c r="M15" i="114"/>
  <c r="V15" i="114" s="1"/>
  <c r="C15" i="114"/>
  <c r="V14" i="114"/>
  <c r="T14" i="114"/>
  <c r="M14" i="114"/>
  <c r="C14" i="114"/>
  <c r="T13" i="114"/>
  <c r="M13" i="114"/>
  <c r="V13" i="114" s="1"/>
  <c r="C13" i="114"/>
  <c r="V12" i="114"/>
  <c r="T12" i="114"/>
  <c r="M12" i="114"/>
  <c r="C12" i="114"/>
  <c r="T11" i="114"/>
  <c r="M11" i="114"/>
  <c r="V11" i="114" s="1"/>
  <c r="C11" i="114"/>
  <c r="V10" i="114"/>
  <c r="T10" i="114"/>
  <c r="M10" i="114"/>
  <c r="C10" i="114"/>
  <c r="T9" i="114"/>
  <c r="M9" i="114"/>
  <c r="V9" i="114" s="1"/>
  <c r="C9" i="114"/>
  <c r="V8" i="114"/>
  <c r="T8" i="114"/>
  <c r="M8" i="114"/>
  <c r="C8" i="114"/>
  <c r="T7" i="114"/>
  <c r="M7" i="114"/>
  <c r="C7" i="114"/>
  <c r="L30" i="126"/>
  <c r="AJ16" i="126"/>
  <c r="AF16" i="126"/>
  <c r="A98" i="161"/>
  <c r="A97" i="161"/>
  <c r="A96" i="161"/>
  <c r="A95" i="161"/>
  <c r="I65" i="161"/>
  <c r="H65" i="161"/>
  <c r="G65" i="161"/>
  <c r="E65" i="161"/>
  <c r="I64" i="161"/>
  <c r="H64" i="161"/>
  <c r="G64" i="161"/>
  <c r="E64" i="161"/>
  <c r="I63" i="161"/>
  <c r="H63" i="161"/>
  <c r="G63" i="161"/>
  <c r="E63" i="161"/>
  <c r="I62" i="161"/>
  <c r="H62" i="161"/>
  <c r="G62" i="161"/>
  <c r="E62" i="161"/>
  <c r="I61" i="161"/>
  <c r="H61" i="161"/>
  <c r="G61" i="161"/>
  <c r="E61" i="161"/>
  <c r="I60" i="161"/>
  <c r="H60" i="161"/>
  <c r="G60" i="161"/>
  <c r="E60" i="161"/>
  <c r="I59" i="161"/>
  <c r="H59" i="161"/>
  <c r="G59" i="161"/>
  <c r="E59" i="161"/>
  <c r="I58" i="161"/>
  <c r="H58" i="161"/>
  <c r="G58" i="161"/>
  <c r="E58" i="161"/>
  <c r="I57" i="161"/>
  <c r="H57" i="161"/>
  <c r="G57" i="161"/>
  <c r="E57" i="161"/>
  <c r="I56" i="161"/>
  <c r="H56" i="161"/>
  <c r="G56" i="161"/>
  <c r="E56" i="161"/>
  <c r="I55" i="161"/>
  <c r="H55" i="161"/>
  <c r="G55" i="161"/>
  <c r="E55" i="161"/>
  <c r="I54" i="161"/>
  <c r="H54" i="161"/>
  <c r="G54" i="161"/>
  <c r="E54" i="161"/>
  <c r="I53" i="161"/>
  <c r="H53" i="161"/>
  <c r="G53" i="161"/>
  <c r="E53" i="161"/>
  <c r="I52" i="161"/>
  <c r="H52" i="161"/>
  <c r="G52" i="161"/>
  <c r="E52" i="161"/>
  <c r="I51" i="161"/>
  <c r="H51" i="161"/>
  <c r="G51" i="161"/>
  <c r="E51" i="161"/>
  <c r="I50" i="161"/>
  <c r="H50" i="161"/>
  <c r="G50" i="161"/>
  <c r="E50" i="161"/>
  <c r="I49" i="161"/>
  <c r="H49" i="161"/>
  <c r="G49" i="161"/>
  <c r="E49" i="161"/>
  <c r="I48" i="161"/>
  <c r="H48" i="161"/>
  <c r="G48" i="161"/>
  <c r="E48" i="161"/>
  <c r="I47" i="161"/>
  <c r="H47" i="161"/>
  <c r="G47" i="161"/>
  <c r="E47" i="161"/>
  <c r="I46" i="161"/>
  <c r="H46" i="161"/>
  <c r="G46" i="161"/>
  <c r="E46" i="161"/>
  <c r="I45" i="161"/>
  <c r="H45" i="161"/>
  <c r="G45" i="161"/>
  <c r="E45" i="161"/>
  <c r="I44" i="161"/>
  <c r="H44" i="161"/>
  <c r="G44" i="161"/>
  <c r="E44" i="161"/>
  <c r="I43" i="161"/>
  <c r="H43" i="161"/>
  <c r="G43" i="161"/>
  <c r="E43" i="161"/>
  <c r="I42" i="161"/>
  <c r="H42" i="161"/>
  <c r="G42" i="161"/>
  <c r="E42" i="161"/>
  <c r="I41" i="161"/>
  <c r="H41" i="161"/>
  <c r="G41" i="161"/>
  <c r="E41" i="161"/>
  <c r="I40" i="161"/>
  <c r="H40" i="161"/>
  <c r="G40" i="161"/>
  <c r="E40" i="161"/>
  <c r="I39" i="161"/>
  <c r="H39" i="161"/>
  <c r="G39" i="161"/>
  <c r="E39" i="161"/>
  <c r="I38" i="161"/>
  <c r="H38" i="161"/>
  <c r="G38" i="161"/>
  <c r="E38" i="161"/>
  <c r="I37" i="161"/>
  <c r="H37" i="161"/>
  <c r="G37" i="161"/>
  <c r="E37" i="161"/>
  <c r="I36" i="161"/>
  <c r="H36" i="161"/>
  <c r="G36" i="161"/>
  <c r="E36" i="161"/>
  <c r="I35" i="161"/>
  <c r="H35" i="161"/>
  <c r="G35" i="161"/>
  <c r="E35" i="161"/>
  <c r="I34" i="161"/>
  <c r="H34" i="161"/>
  <c r="G34" i="161"/>
  <c r="E34" i="161"/>
  <c r="I33" i="161"/>
  <c r="H33" i="161"/>
  <c r="G33" i="161"/>
  <c r="E33" i="161"/>
  <c r="I32" i="161"/>
  <c r="H32" i="161"/>
  <c r="G32" i="161"/>
  <c r="E32" i="161"/>
  <c r="I31" i="161"/>
  <c r="H31" i="161"/>
  <c r="G31" i="161"/>
  <c r="E31" i="161"/>
  <c r="I30" i="161"/>
  <c r="H30" i="161"/>
  <c r="G30" i="161"/>
  <c r="E30" i="161"/>
  <c r="I29" i="161"/>
  <c r="H29" i="161"/>
  <c r="G29" i="161"/>
  <c r="E29" i="161"/>
  <c r="I28" i="161"/>
  <c r="H28" i="161"/>
  <c r="G28" i="161"/>
  <c r="E28" i="161"/>
  <c r="I27" i="161"/>
  <c r="H27" i="161"/>
  <c r="G27" i="161"/>
  <c r="E27" i="161"/>
  <c r="I26" i="161"/>
  <c r="H26" i="161"/>
  <c r="G26" i="161"/>
  <c r="E26" i="161"/>
  <c r="I25" i="161"/>
  <c r="H25" i="161"/>
  <c r="G25" i="161"/>
  <c r="E25" i="161"/>
  <c r="I24" i="161"/>
  <c r="H24" i="161"/>
  <c r="G24" i="161"/>
  <c r="E24" i="161"/>
  <c r="I23" i="161"/>
  <c r="H23" i="161"/>
  <c r="G23" i="161"/>
  <c r="E23" i="161"/>
  <c r="I22" i="161"/>
  <c r="H22" i="161"/>
  <c r="G22" i="161"/>
  <c r="E22" i="161"/>
  <c r="I21" i="161"/>
  <c r="H21" i="161"/>
  <c r="G21" i="161"/>
  <c r="E21" i="161"/>
  <c r="I20" i="161"/>
  <c r="H20" i="161"/>
  <c r="G20" i="161"/>
  <c r="E20" i="161"/>
  <c r="I19" i="161"/>
  <c r="H19" i="161"/>
  <c r="G19" i="161"/>
  <c r="E19" i="161"/>
  <c r="I18" i="161"/>
  <c r="H18" i="161"/>
  <c r="G18" i="161"/>
  <c r="E18" i="161"/>
  <c r="I17" i="161"/>
  <c r="H17" i="161"/>
  <c r="G17" i="161"/>
  <c r="E17" i="161"/>
  <c r="I16" i="161"/>
  <c r="H16" i="161"/>
  <c r="G16" i="161"/>
  <c r="E16" i="161"/>
  <c r="I15" i="161"/>
  <c r="H15" i="161"/>
  <c r="G15" i="161"/>
  <c r="E15" i="161"/>
  <c r="I14" i="161"/>
  <c r="H14" i="161"/>
  <c r="G14" i="161"/>
  <c r="E14" i="161"/>
  <c r="I13" i="161"/>
  <c r="H13" i="161"/>
  <c r="G13" i="161"/>
  <c r="E13" i="161"/>
  <c r="I12" i="161"/>
  <c r="H12" i="161"/>
  <c r="G12" i="161"/>
  <c r="E12" i="161"/>
  <c r="I11" i="161"/>
  <c r="H11" i="161"/>
  <c r="G11" i="161"/>
  <c r="E11" i="161"/>
  <c r="I10" i="161"/>
  <c r="H10" i="161"/>
  <c r="G10" i="161"/>
  <c r="E10" i="161"/>
  <c r="I9" i="161"/>
  <c r="H9" i="161"/>
  <c r="G9" i="161"/>
  <c r="E9" i="161"/>
  <c r="I8" i="161"/>
  <c r="H8" i="161"/>
  <c r="G8" i="161"/>
  <c r="E8" i="161"/>
  <c r="I7" i="161"/>
  <c r="H7" i="161"/>
  <c r="G7" i="161"/>
  <c r="E7" i="161"/>
  <c r="I6" i="161"/>
  <c r="H6" i="161"/>
  <c r="G6" i="161"/>
  <c r="E6" i="161"/>
  <c r="I5" i="161"/>
  <c r="H5" i="161"/>
  <c r="G5" i="161"/>
  <c r="E5" i="161"/>
  <c r="I4" i="161"/>
  <c r="H4" i="161"/>
  <c r="G4" i="161"/>
  <c r="E4" i="161"/>
  <c r="I3" i="161"/>
  <c r="H3" i="161"/>
  <c r="G3" i="161"/>
  <c r="E3" i="161"/>
  <c r="I2" i="161"/>
  <c r="H2" i="161"/>
  <c r="G2" i="161"/>
  <c r="E2" i="161"/>
  <c r="M1" i="161"/>
  <c r="L1" i="161"/>
  <c r="K1" i="161"/>
  <c r="J1" i="161"/>
  <c r="H65" i="159"/>
  <c r="G65" i="159"/>
  <c r="E65" i="159"/>
  <c r="H64" i="159"/>
  <c r="G64" i="159"/>
  <c r="E64" i="159"/>
  <c r="H63" i="159"/>
  <c r="G63" i="159"/>
  <c r="E63" i="159"/>
  <c r="H62" i="159"/>
  <c r="G62" i="159"/>
  <c r="E62" i="159"/>
  <c r="H61" i="159"/>
  <c r="G61" i="159"/>
  <c r="E61" i="159"/>
  <c r="H60" i="159"/>
  <c r="G60" i="159"/>
  <c r="E60" i="159"/>
  <c r="H59" i="159"/>
  <c r="G59" i="159"/>
  <c r="E59" i="159"/>
  <c r="H58" i="159"/>
  <c r="G58" i="159"/>
  <c r="E58" i="159"/>
  <c r="H57" i="159"/>
  <c r="G57" i="159"/>
  <c r="X57" i="159" s="1"/>
  <c r="E57" i="159"/>
  <c r="H56" i="159"/>
  <c r="G56" i="159"/>
  <c r="E56" i="159"/>
  <c r="H55" i="159"/>
  <c r="G55" i="159"/>
  <c r="E55" i="159"/>
  <c r="H54" i="159"/>
  <c r="G54" i="159"/>
  <c r="E54" i="159"/>
  <c r="H53" i="159"/>
  <c r="G53" i="159"/>
  <c r="E53" i="159"/>
  <c r="H52" i="159"/>
  <c r="G52" i="159"/>
  <c r="E52" i="159"/>
  <c r="H51" i="159"/>
  <c r="G51" i="159"/>
  <c r="E51" i="159"/>
  <c r="H50" i="159"/>
  <c r="G50" i="159"/>
  <c r="E50" i="159"/>
  <c r="H49" i="159"/>
  <c r="G49" i="159"/>
  <c r="E49" i="159"/>
  <c r="H48" i="159"/>
  <c r="G48" i="159"/>
  <c r="E48" i="159"/>
  <c r="H47" i="159"/>
  <c r="G47" i="159"/>
  <c r="E47" i="159"/>
  <c r="S46" i="159"/>
  <c r="H46" i="159"/>
  <c r="G46" i="159"/>
  <c r="E46" i="159"/>
  <c r="H45" i="159"/>
  <c r="G45" i="159"/>
  <c r="E45" i="159"/>
  <c r="H44" i="159"/>
  <c r="G44" i="159"/>
  <c r="E44" i="159"/>
  <c r="S43" i="159"/>
  <c r="H43" i="159"/>
  <c r="G43" i="159"/>
  <c r="E43" i="159"/>
  <c r="H42" i="159"/>
  <c r="G42" i="159"/>
  <c r="E42" i="159"/>
  <c r="H41" i="159"/>
  <c r="G41" i="159"/>
  <c r="E41" i="159"/>
  <c r="H40" i="159"/>
  <c r="G40" i="159"/>
  <c r="E40" i="159"/>
  <c r="H39" i="159"/>
  <c r="G39" i="159"/>
  <c r="E39" i="159"/>
  <c r="AF38" i="159"/>
  <c r="H38" i="159"/>
  <c r="G38" i="159"/>
  <c r="E38" i="159"/>
  <c r="H37" i="159"/>
  <c r="G37" i="159"/>
  <c r="E37" i="159"/>
  <c r="AY36" i="159"/>
  <c r="H36" i="159"/>
  <c r="G36" i="159"/>
  <c r="E36" i="159"/>
  <c r="H35" i="159"/>
  <c r="G35" i="159"/>
  <c r="E35" i="159"/>
  <c r="H34" i="159"/>
  <c r="G34" i="159"/>
  <c r="E34" i="159"/>
  <c r="H33" i="159"/>
  <c r="G33" i="159"/>
  <c r="E33" i="159"/>
  <c r="H32" i="159"/>
  <c r="G32" i="159"/>
  <c r="E32" i="159"/>
  <c r="H31" i="159"/>
  <c r="G31" i="159"/>
  <c r="E31" i="159"/>
  <c r="N30" i="159"/>
  <c r="H30" i="159"/>
  <c r="G30" i="159"/>
  <c r="AV30" i="159" s="1"/>
  <c r="E30" i="159"/>
  <c r="AZ29" i="159"/>
  <c r="AR29" i="159"/>
  <c r="AA29" i="159"/>
  <c r="O29" i="159"/>
  <c r="H29" i="159"/>
  <c r="G29" i="159"/>
  <c r="S29" i="159" s="1"/>
  <c r="E29" i="159"/>
  <c r="H28" i="159"/>
  <c r="G28" i="159"/>
  <c r="E28" i="159"/>
  <c r="AI27" i="159"/>
  <c r="H27" i="159"/>
  <c r="G27" i="159"/>
  <c r="AV27" i="159" s="1"/>
  <c r="E27" i="159"/>
  <c r="H26" i="159"/>
  <c r="G26" i="159"/>
  <c r="E26" i="159"/>
  <c r="H25" i="159"/>
  <c r="G25" i="159"/>
  <c r="E25" i="159"/>
  <c r="H24" i="159"/>
  <c r="G24" i="159"/>
  <c r="E24" i="159"/>
  <c r="H23" i="159"/>
  <c r="G23" i="159"/>
  <c r="E23" i="159"/>
  <c r="H22" i="159"/>
  <c r="G22" i="159"/>
  <c r="E22" i="159"/>
  <c r="H21" i="159"/>
  <c r="G21" i="159"/>
  <c r="E21" i="159"/>
  <c r="H20" i="159"/>
  <c r="G20" i="159"/>
  <c r="E20" i="159"/>
  <c r="H19" i="159"/>
  <c r="G19" i="159"/>
  <c r="E19" i="159"/>
  <c r="H18" i="159"/>
  <c r="G18" i="159"/>
  <c r="E18" i="159"/>
  <c r="H17" i="159"/>
  <c r="G17" i="159"/>
  <c r="E17" i="159"/>
  <c r="H16" i="159"/>
  <c r="G16" i="159"/>
  <c r="E16" i="159"/>
  <c r="H15" i="159"/>
  <c r="G15" i="159"/>
  <c r="E15" i="159"/>
  <c r="H14" i="159"/>
  <c r="G14" i="159"/>
  <c r="E14" i="159"/>
  <c r="H13" i="159"/>
  <c r="G13" i="159"/>
  <c r="E13" i="159"/>
  <c r="AN12" i="159"/>
  <c r="H12" i="159"/>
  <c r="G12" i="159"/>
  <c r="BA12" i="159" s="1"/>
  <c r="E12" i="159"/>
  <c r="H11" i="159"/>
  <c r="G11" i="159"/>
  <c r="E11" i="159"/>
  <c r="AJ10" i="159"/>
  <c r="H10" i="159"/>
  <c r="G10" i="159"/>
  <c r="AW10" i="159" s="1"/>
  <c r="E10" i="159"/>
  <c r="H9" i="159"/>
  <c r="G9" i="159"/>
  <c r="E9" i="159"/>
  <c r="R8" i="159"/>
  <c r="H8" i="159"/>
  <c r="G8" i="159"/>
  <c r="BB8" i="159" s="1"/>
  <c r="E8" i="159"/>
  <c r="H7" i="159"/>
  <c r="G7" i="159"/>
  <c r="E7" i="159"/>
  <c r="H6" i="159"/>
  <c r="G6" i="159"/>
  <c r="CV6" i="159" s="1"/>
  <c r="E6" i="159"/>
  <c r="H5" i="159"/>
  <c r="G5" i="159"/>
  <c r="E5" i="159"/>
  <c r="H4" i="159"/>
  <c r="G4" i="159"/>
  <c r="E4" i="159"/>
  <c r="H3" i="159"/>
  <c r="G3" i="159"/>
  <c r="E3" i="159"/>
  <c r="H2" i="159"/>
  <c r="G2" i="159"/>
  <c r="E2" i="159"/>
  <c r="M1" i="159"/>
  <c r="L1" i="159"/>
  <c r="K1" i="159"/>
  <c r="J1" i="159"/>
  <c r="H65" i="158"/>
  <c r="G65" i="158"/>
  <c r="E65" i="158"/>
  <c r="H64" i="158"/>
  <c r="G64" i="158"/>
  <c r="AN64" i="158" s="1"/>
  <c r="E64" i="158"/>
  <c r="H63" i="158"/>
  <c r="G63" i="158"/>
  <c r="AO63" i="158" s="1"/>
  <c r="E63" i="158"/>
  <c r="H62" i="158"/>
  <c r="G62" i="158"/>
  <c r="E62" i="158"/>
  <c r="AH61" i="158"/>
  <c r="H61" i="158"/>
  <c r="G61" i="158"/>
  <c r="AP61" i="158" s="1"/>
  <c r="E61" i="158"/>
  <c r="AA60" i="158"/>
  <c r="H60" i="158"/>
  <c r="G60" i="158"/>
  <c r="AJ60" i="158" s="1"/>
  <c r="E60" i="158"/>
  <c r="S59" i="158"/>
  <c r="H59" i="158"/>
  <c r="G59" i="158"/>
  <c r="AI59" i="158" s="1"/>
  <c r="E59" i="158"/>
  <c r="H58" i="158"/>
  <c r="G58" i="158"/>
  <c r="Z58" i="158" s="1"/>
  <c r="E58" i="158"/>
  <c r="H57" i="158"/>
  <c r="G57" i="158"/>
  <c r="E57" i="158"/>
  <c r="H56" i="158"/>
  <c r="G56" i="158"/>
  <c r="AH56" i="158" s="1"/>
  <c r="E56" i="158"/>
  <c r="H55" i="158"/>
  <c r="G55" i="158"/>
  <c r="V55" i="158" s="1"/>
  <c r="E55" i="158"/>
  <c r="H54" i="158"/>
  <c r="G54" i="158"/>
  <c r="AL54" i="158" s="1"/>
  <c r="E54" i="158"/>
  <c r="H53" i="158"/>
  <c r="G53" i="158"/>
  <c r="AT53" i="158" s="1"/>
  <c r="E53" i="158"/>
  <c r="H52" i="158"/>
  <c r="G52" i="158"/>
  <c r="AO52" i="158" s="1"/>
  <c r="E52" i="158"/>
  <c r="H51" i="158"/>
  <c r="G51" i="158"/>
  <c r="U51" i="158" s="1"/>
  <c r="E51" i="158"/>
  <c r="H50" i="158"/>
  <c r="G50" i="158"/>
  <c r="AN50" i="158" s="1"/>
  <c r="E50" i="158"/>
  <c r="H49" i="158"/>
  <c r="G49" i="158"/>
  <c r="E49" i="158"/>
  <c r="H48" i="158"/>
  <c r="G48" i="158"/>
  <c r="E48" i="158"/>
  <c r="H47" i="158"/>
  <c r="G47" i="158"/>
  <c r="Y47" i="158" s="1"/>
  <c r="E47" i="158"/>
  <c r="H46" i="158"/>
  <c r="G46" i="158"/>
  <c r="E46" i="158"/>
  <c r="H45" i="158"/>
  <c r="G45" i="158"/>
  <c r="E45" i="158"/>
  <c r="H44" i="158"/>
  <c r="G44" i="158"/>
  <c r="AQ44" i="158" s="1"/>
  <c r="E44" i="158"/>
  <c r="H43" i="158"/>
  <c r="G43" i="158"/>
  <c r="E43" i="158"/>
  <c r="H42" i="158"/>
  <c r="G42" i="158"/>
  <c r="AQ42" i="158" s="1"/>
  <c r="E42" i="158"/>
  <c r="H41" i="158"/>
  <c r="G41" i="158"/>
  <c r="S41" i="158" s="1"/>
  <c r="E41" i="158"/>
  <c r="H40" i="158"/>
  <c r="G40" i="158"/>
  <c r="AN40" i="158" s="1"/>
  <c r="E40" i="158"/>
  <c r="H39" i="158"/>
  <c r="G39" i="158"/>
  <c r="AO39" i="158" s="1"/>
  <c r="E39" i="158"/>
  <c r="H38" i="158"/>
  <c r="G38" i="158"/>
  <c r="E38" i="158"/>
  <c r="H37" i="158"/>
  <c r="G37" i="158"/>
  <c r="E37" i="158"/>
  <c r="H36" i="158"/>
  <c r="G36" i="158"/>
  <c r="W36" i="158" s="1"/>
  <c r="E36" i="158"/>
  <c r="H35" i="158"/>
  <c r="G35" i="158"/>
  <c r="E35" i="158"/>
  <c r="H34" i="158"/>
  <c r="G34" i="158"/>
  <c r="E34" i="158"/>
  <c r="H33" i="158"/>
  <c r="G33" i="158"/>
  <c r="E33" i="158"/>
  <c r="H32" i="158"/>
  <c r="G32" i="158"/>
  <c r="E32" i="158"/>
  <c r="H31" i="158"/>
  <c r="G31" i="158"/>
  <c r="AV31" i="158" s="1"/>
  <c r="E31" i="158"/>
  <c r="H30" i="158"/>
  <c r="G30" i="158"/>
  <c r="E30" i="158"/>
  <c r="H29" i="158"/>
  <c r="G29" i="158"/>
  <c r="AP29" i="158" s="1"/>
  <c r="E29" i="158"/>
  <c r="H28" i="158"/>
  <c r="G28" i="158"/>
  <c r="E28" i="158"/>
  <c r="H27" i="158"/>
  <c r="G27" i="158"/>
  <c r="Z27" i="158" s="1"/>
  <c r="E27" i="158"/>
  <c r="H26" i="158"/>
  <c r="G26" i="158"/>
  <c r="R26" i="158" s="1"/>
  <c r="E26" i="158"/>
  <c r="H25" i="158"/>
  <c r="G25" i="158"/>
  <c r="E25" i="158"/>
  <c r="Q24" i="158"/>
  <c r="H24" i="158"/>
  <c r="G24" i="158"/>
  <c r="O24" i="158" s="1"/>
  <c r="E24" i="158"/>
  <c r="H23" i="158"/>
  <c r="G23" i="158"/>
  <c r="U23" i="158" s="1"/>
  <c r="E23" i="158"/>
  <c r="H22" i="158"/>
  <c r="G22" i="158"/>
  <c r="AK22" i="158" s="1"/>
  <c r="E22" i="158"/>
  <c r="H21" i="158"/>
  <c r="G21" i="158"/>
  <c r="E21" i="158"/>
  <c r="H20" i="158"/>
  <c r="G20" i="158"/>
  <c r="AU20" i="158" s="1"/>
  <c r="E20" i="158"/>
  <c r="H19" i="158"/>
  <c r="G19" i="158"/>
  <c r="AU19" i="158" s="1"/>
  <c r="E19" i="158"/>
  <c r="CL18" i="158"/>
  <c r="W18" i="158"/>
  <c r="H18" i="158"/>
  <c r="G18" i="158"/>
  <c r="AF18" i="158" s="1"/>
  <c r="E18" i="158"/>
  <c r="H17" i="158"/>
  <c r="G17" i="158"/>
  <c r="AU17" i="158" s="1"/>
  <c r="E17" i="158"/>
  <c r="H16" i="158"/>
  <c r="G16" i="158"/>
  <c r="AJ16" i="158" s="1"/>
  <c r="E16" i="158"/>
  <c r="H15" i="158"/>
  <c r="G15" i="158"/>
  <c r="R15" i="158" s="1"/>
  <c r="E15" i="158"/>
  <c r="H14" i="158"/>
  <c r="G14" i="158"/>
  <c r="AW14" i="158" s="1"/>
  <c r="E14" i="158"/>
  <c r="H13" i="158"/>
  <c r="G13" i="158"/>
  <c r="E13" i="158"/>
  <c r="H12" i="158"/>
  <c r="G12" i="158"/>
  <c r="E12" i="158"/>
  <c r="H11" i="158"/>
  <c r="G11" i="158"/>
  <c r="E11" i="158"/>
  <c r="H10" i="158"/>
  <c r="G10" i="158"/>
  <c r="E10" i="158"/>
  <c r="H9" i="158"/>
  <c r="G9" i="158"/>
  <c r="AR9" i="158" s="1"/>
  <c r="E9" i="158"/>
  <c r="H8" i="158"/>
  <c r="G8" i="158"/>
  <c r="E8" i="158"/>
  <c r="H7" i="158"/>
  <c r="G7" i="158"/>
  <c r="Z7" i="158" s="1"/>
  <c r="E7" i="158"/>
  <c r="H6" i="158"/>
  <c r="G6" i="158"/>
  <c r="E6" i="158"/>
  <c r="CP5" i="158"/>
  <c r="H5" i="158"/>
  <c r="G5" i="158"/>
  <c r="AA5" i="158" s="1"/>
  <c r="E5" i="158"/>
  <c r="H4" i="158"/>
  <c r="G4" i="158"/>
  <c r="AL4" i="158" s="1"/>
  <c r="E4" i="158"/>
  <c r="AT3" i="158"/>
  <c r="H3" i="158"/>
  <c r="G3" i="158"/>
  <c r="AD3" i="158" s="1"/>
  <c r="E3" i="158"/>
  <c r="H2" i="158"/>
  <c r="G2" i="158"/>
  <c r="E2" i="158"/>
  <c r="M1" i="158"/>
  <c r="L1" i="158"/>
  <c r="K1" i="158"/>
  <c r="J1" i="158"/>
  <c r="AE71" i="124"/>
  <c r="AE70" i="124"/>
  <c r="BG66" i="124"/>
  <c r="AQ65" i="124"/>
  <c r="AD65" i="124"/>
  <c r="H65" i="124"/>
  <c r="P65" i="124" s="1"/>
  <c r="G65" i="124"/>
  <c r="E65" i="124"/>
  <c r="AP65" i="124" s="1"/>
  <c r="AQ64" i="124"/>
  <c r="AD64" i="124"/>
  <c r="H64" i="124"/>
  <c r="G64" i="124"/>
  <c r="E64" i="124"/>
  <c r="AP64" i="124" s="1"/>
  <c r="AQ63" i="124"/>
  <c r="AD63" i="124"/>
  <c r="H63" i="124"/>
  <c r="P63" i="124" s="1"/>
  <c r="G63" i="124"/>
  <c r="E63" i="124"/>
  <c r="AP63" i="124" s="1"/>
  <c r="AQ62" i="124"/>
  <c r="AD62" i="124"/>
  <c r="H62" i="124"/>
  <c r="R62" i="124" s="1"/>
  <c r="G62" i="124"/>
  <c r="E62" i="124"/>
  <c r="AQ61" i="124"/>
  <c r="AD61" i="124"/>
  <c r="H61" i="124"/>
  <c r="Q61" i="124" s="1"/>
  <c r="G61" i="124"/>
  <c r="E61" i="124"/>
  <c r="AQ60" i="124"/>
  <c r="AD60" i="124"/>
  <c r="H60" i="124"/>
  <c r="G60" i="124"/>
  <c r="E60" i="124"/>
  <c r="AP60" i="124" s="1"/>
  <c r="AQ59" i="124"/>
  <c r="AD59" i="124"/>
  <c r="H59" i="124"/>
  <c r="T59" i="124" s="1"/>
  <c r="G59" i="124"/>
  <c r="E59" i="124"/>
  <c r="AQ58" i="124"/>
  <c r="AD58" i="124"/>
  <c r="H58" i="124"/>
  <c r="R58" i="124" s="1"/>
  <c r="G58" i="124"/>
  <c r="E58" i="124"/>
  <c r="I58" i="124" s="1"/>
  <c r="AQ57" i="124"/>
  <c r="AD57" i="124"/>
  <c r="H57" i="124"/>
  <c r="G57" i="124"/>
  <c r="E57" i="124"/>
  <c r="AP57" i="124" s="1"/>
  <c r="AQ56" i="124"/>
  <c r="AD56" i="124"/>
  <c r="H56" i="124"/>
  <c r="U56" i="124" s="1"/>
  <c r="G56" i="124"/>
  <c r="E56" i="124"/>
  <c r="AQ55" i="124"/>
  <c r="AD55" i="124"/>
  <c r="H55" i="124"/>
  <c r="O55" i="124" s="1"/>
  <c r="G55" i="124"/>
  <c r="E55" i="124"/>
  <c r="AQ54" i="124"/>
  <c r="AD54" i="124"/>
  <c r="H54" i="124"/>
  <c r="G54" i="124"/>
  <c r="E54" i="124"/>
  <c r="AQ53" i="124"/>
  <c r="AD53" i="124"/>
  <c r="H53" i="124"/>
  <c r="O53" i="124" s="1"/>
  <c r="G53" i="124"/>
  <c r="E53" i="124"/>
  <c r="AQ52" i="124"/>
  <c r="AD52" i="124"/>
  <c r="H52" i="124"/>
  <c r="G52" i="124"/>
  <c r="E52" i="124"/>
  <c r="AO52" i="124" s="1"/>
  <c r="AQ51" i="124"/>
  <c r="AD51" i="124"/>
  <c r="H51" i="124"/>
  <c r="G51" i="124"/>
  <c r="E51" i="124"/>
  <c r="AQ50" i="124"/>
  <c r="AD50" i="124"/>
  <c r="H50" i="124"/>
  <c r="G50" i="124"/>
  <c r="E50" i="124"/>
  <c r="AO50" i="124" s="1"/>
  <c r="AQ49" i="124"/>
  <c r="AD49" i="124"/>
  <c r="H49" i="124"/>
  <c r="G49" i="124"/>
  <c r="E49" i="124"/>
  <c r="AP49" i="124" s="1"/>
  <c r="AQ48" i="124"/>
  <c r="AD48" i="124"/>
  <c r="H48" i="124"/>
  <c r="G48" i="124"/>
  <c r="E48" i="124"/>
  <c r="AP48" i="124" s="1"/>
  <c r="AQ47" i="124"/>
  <c r="AD47" i="124"/>
  <c r="H47" i="124"/>
  <c r="G47" i="124"/>
  <c r="E47" i="124"/>
  <c r="AQ46" i="124"/>
  <c r="AD46" i="124"/>
  <c r="H46" i="124"/>
  <c r="G46" i="124"/>
  <c r="E46" i="124"/>
  <c r="AP46" i="124" s="1"/>
  <c r="AQ45" i="124"/>
  <c r="AD45" i="124"/>
  <c r="H45" i="124"/>
  <c r="G45" i="124"/>
  <c r="E45" i="124"/>
  <c r="AP45" i="124" s="1"/>
  <c r="AQ44" i="124"/>
  <c r="AD44" i="124"/>
  <c r="H44" i="124"/>
  <c r="O44" i="124" s="1"/>
  <c r="G44" i="124"/>
  <c r="E44" i="124"/>
  <c r="AP44" i="124" s="1"/>
  <c r="AQ43" i="124"/>
  <c r="AD43" i="124"/>
  <c r="H43" i="124"/>
  <c r="G43" i="124"/>
  <c r="E43" i="124"/>
  <c r="AP43" i="124" s="1"/>
  <c r="AQ42" i="124"/>
  <c r="AD42" i="124"/>
  <c r="H42" i="124"/>
  <c r="G42" i="124"/>
  <c r="E42" i="124"/>
  <c r="AQ41" i="124"/>
  <c r="AD41" i="124"/>
  <c r="H41" i="124"/>
  <c r="G41" i="124"/>
  <c r="E41" i="124"/>
  <c r="AP41" i="124" s="1"/>
  <c r="AQ40" i="124"/>
  <c r="AD40" i="124"/>
  <c r="H40" i="124"/>
  <c r="G40" i="124"/>
  <c r="E40" i="124"/>
  <c r="AQ39" i="124"/>
  <c r="AD39" i="124"/>
  <c r="H39" i="124"/>
  <c r="G39" i="124"/>
  <c r="E39" i="124"/>
  <c r="AP39" i="124" s="1"/>
  <c r="AQ38" i="124"/>
  <c r="AD38" i="124"/>
  <c r="H38" i="124"/>
  <c r="G38" i="124"/>
  <c r="E38" i="124"/>
  <c r="AP38" i="124" s="1"/>
  <c r="AQ37" i="124"/>
  <c r="AD37" i="124"/>
  <c r="H37" i="124"/>
  <c r="G37" i="124"/>
  <c r="E37" i="124"/>
  <c r="AP37" i="124" s="1"/>
  <c r="AQ36" i="124"/>
  <c r="AD36" i="124"/>
  <c r="H36" i="124"/>
  <c r="G36" i="124"/>
  <c r="E36" i="124"/>
  <c r="AP36" i="124" s="1"/>
  <c r="AQ35" i="124"/>
  <c r="AD35" i="124"/>
  <c r="H35" i="124"/>
  <c r="G35" i="124"/>
  <c r="E35" i="124"/>
  <c r="AO35" i="124" s="1"/>
  <c r="AQ34" i="124"/>
  <c r="AD34" i="124"/>
  <c r="H34" i="124"/>
  <c r="G34" i="124"/>
  <c r="E34" i="124"/>
  <c r="AP34" i="124" s="1"/>
  <c r="AQ33" i="124"/>
  <c r="AD33" i="124"/>
  <c r="H33" i="124"/>
  <c r="G33" i="124"/>
  <c r="E33" i="124"/>
  <c r="AQ32" i="124"/>
  <c r="AD32" i="124"/>
  <c r="H32" i="124"/>
  <c r="G32" i="124"/>
  <c r="E32" i="124"/>
  <c r="AP32" i="124" s="1"/>
  <c r="AQ31" i="124"/>
  <c r="AD31" i="124"/>
  <c r="H31" i="124"/>
  <c r="G31" i="124"/>
  <c r="E31" i="124"/>
  <c r="AO31" i="124" s="1"/>
  <c r="AQ30" i="124"/>
  <c r="AD30" i="124"/>
  <c r="H30" i="124"/>
  <c r="G30" i="124"/>
  <c r="E30" i="124"/>
  <c r="AQ29" i="124"/>
  <c r="AD29" i="124"/>
  <c r="H29" i="124"/>
  <c r="G29" i="124"/>
  <c r="E29" i="124"/>
  <c r="AQ28" i="124"/>
  <c r="AD28" i="124"/>
  <c r="H28" i="124"/>
  <c r="V28" i="124" s="1"/>
  <c r="G28" i="124"/>
  <c r="E28" i="124"/>
  <c r="AP28" i="124" s="1"/>
  <c r="AQ27" i="124"/>
  <c r="AD27" i="124"/>
  <c r="H27" i="124"/>
  <c r="P27" i="124" s="1"/>
  <c r="G27" i="124"/>
  <c r="E27" i="124"/>
  <c r="AO27" i="124" s="1"/>
  <c r="AQ26" i="124"/>
  <c r="AD26" i="124"/>
  <c r="H26" i="124"/>
  <c r="P26" i="124" s="1"/>
  <c r="G26" i="124"/>
  <c r="E26" i="124"/>
  <c r="AQ25" i="124"/>
  <c r="AD25" i="124"/>
  <c r="H25" i="124"/>
  <c r="G25" i="124"/>
  <c r="E25" i="124"/>
  <c r="AO25" i="124" s="1"/>
  <c r="AQ24" i="124"/>
  <c r="AD24" i="124"/>
  <c r="H24" i="124"/>
  <c r="G24" i="124"/>
  <c r="E24" i="124"/>
  <c r="AO24" i="124" s="1"/>
  <c r="AQ23" i="124"/>
  <c r="AD23" i="124"/>
  <c r="H23" i="124"/>
  <c r="P23" i="124" s="1"/>
  <c r="G23" i="124"/>
  <c r="E23" i="124"/>
  <c r="AO23" i="124" s="1"/>
  <c r="AQ22" i="124"/>
  <c r="AD22" i="124"/>
  <c r="H22" i="124"/>
  <c r="G22" i="124"/>
  <c r="E22" i="124"/>
  <c r="AQ21" i="124"/>
  <c r="AD21" i="124"/>
  <c r="H21" i="124"/>
  <c r="G21" i="124"/>
  <c r="E21" i="124"/>
  <c r="AQ20" i="124"/>
  <c r="AD20" i="124"/>
  <c r="H20" i="124"/>
  <c r="G20" i="124"/>
  <c r="E20" i="124"/>
  <c r="AP20" i="124" s="1"/>
  <c r="AQ19" i="124"/>
  <c r="AD19" i="124"/>
  <c r="H19" i="124"/>
  <c r="G19" i="124"/>
  <c r="E19" i="124"/>
  <c r="AQ18" i="124"/>
  <c r="AD18" i="124"/>
  <c r="H18" i="124"/>
  <c r="G18" i="124"/>
  <c r="E18" i="124"/>
  <c r="AO18" i="124" s="1"/>
  <c r="AQ17" i="124"/>
  <c r="AD17" i="124"/>
  <c r="H17" i="124"/>
  <c r="G17" i="124"/>
  <c r="E17" i="124"/>
  <c r="I17" i="124" s="1"/>
  <c r="AQ16" i="124"/>
  <c r="AD16" i="124"/>
  <c r="H16" i="124"/>
  <c r="G16" i="124"/>
  <c r="E16" i="124"/>
  <c r="AP16" i="124" s="1"/>
  <c r="AQ15" i="124"/>
  <c r="AD15" i="124"/>
  <c r="H15" i="124"/>
  <c r="E15" i="124"/>
  <c r="AQ14" i="124"/>
  <c r="AD14" i="124"/>
  <c r="H14" i="124"/>
  <c r="G14" i="124"/>
  <c r="E14" i="124"/>
  <c r="AQ13" i="124"/>
  <c r="AD13" i="124"/>
  <c r="H13" i="124"/>
  <c r="R13" i="124" s="1"/>
  <c r="G13" i="124"/>
  <c r="E13" i="124"/>
  <c r="I13" i="124" s="1"/>
  <c r="AQ12" i="124"/>
  <c r="AD12" i="124"/>
  <c r="H12" i="124"/>
  <c r="U12" i="124" s="1"/>
  <c r="G12" i="124"/>
  <c r="E12" i="124"/>
  <c r="AO12" i="124" s="1"/>
  <c r="AQ11" i="124"/>
  <c r="AD11" i="124"/>
  <c r="H11" i="124"/>
  <c r="P11" i="124" s="1"/>
  <c r="G11" i="124"/>
  <c r="E11" i="124"/>
  <c r="I11" i="124" s="1"/>
  <c r="AQ10" i="124"/>
  <c r="AD10" i="124"/>
  <c r="H10" i="124"/>
  <c r="J10" i="124" s="1"/>
  <c r="N10" i="124" s="1"/>
  <c r="G10" i="124"/>
  <c r="E10" i="124"/>
  <c r="AO10" i="124" s="1"/>
  <c r="AQ9" i="124"/>
  <c r="AD9" i="124"/>
  <c r="H9" i="124"/>
  <c r="G9" i="124"/>
  <c r="E9" i="124"/>
  <c r="AP9" i="124" s="1"/>
  <c r="AQ8" i="124"/>
  <c r="H8" i="124"/>
  <c r="J8" i="124" s="1"/>
  <c r="G8" i="124"/>
  <c r="E8" i="124"/>
  <c r="AP8" i="124" s="1"/>
  <c r="AQ7" i="124"/>
  <c r="H7" i="124"/>
  <c r="G7" i="124"/>
  <c r="E7" i="124"/>
  <c r="AP7" i="124" s="1"/>
  <c r="AQ6" i="124"/>
  <c r="AD6" i="124"/>
  <c r="H6" i="124"/>
  <c r="Q6" i="124" s="1"/>
  <c r="G6" i="124"/>
  <c r="E6" i="124"/>
  <c r="AP6" i="124" s="1"/>
  <c r="AQ5" i="124"/>
  <c r="AD5" i="124"/>
  <c r="H5" i="124"/>
  <c r="R5" i="124" s="1"/>
  <c r="G5" i="124"/>
  <c r="E5" i="124"/>
  <c r="AQ4" i="124"/>
  <c r="AD4" i="124"/>
  <c r="H4" i="124"/>
  <c r="P4" i="124" s="1"/>
  <c r="G4" i="124"/>
  <c r="E4" i="124"/>
  <c r="AQ3" i="124"/>
  <c r="AD3" i="124"/>
  <c r="H3" i="124"/>
  <c r="P3" i="124" s="1"/>
  <c r="G3" i="124"/>
  <c r="E3" i="124"/>
  <c r="AP3" i="124" s="1"/>
  <c r="AQ2" i="124"/>
  <c r="AD2" i="124"/>
  <c r="H2" i="124"/>
  <c r="G2" i="124"/>
  <c r="E2" i="124"/>
  <c r="I2" i="124" s="1"/>
  <c r="A7" i="142"/>
  <c r="A8" i="142" s="1"/>
  <c r="A9" i="142" s="1"/>
  <c r="A10" i="142" s="1"/>
  <c r="A11" i="142" s="1"/>
  <c r="A12" i="142" s="1"/>
  <c r="A13" i="142" s="1"/>
  <c r="A14" i="142" s="1"/>
  <c r="A15" i="142" s="1"/>
  <c r="A16" i="142" s="1"/>
  <c r="A17" i="142" s="1"/>
  <c r="A18" i="142" s="1"/>
  <c r="V236" i="127" l="1"/>
  <c r="W234" i="127"/>
  <c r="U236" i="127"/>
  <c r="AP18" i="158"/>
  <c r="Z24" i="158"/>
  <c r="AY20" i="159"/>
  <c r="CV20" i="159"/>
  <c r="AZ25" i="159"/>
  <c r="CV25" i="159"/>
  <c r="CV52" i="159"/>
  <c r="BC65" i="159"/>
  <c r="CV65" i="159"/>
  <c r="CV17" i="159"/>
  <c r="BE37" i="159"/>
  <c r="CV37" i="159"/>
  <c r="AY62" i="159"/>
  <c r="CV62" i="159"/>
  <c r="AD23" i="158"/>
  <c r="AE24" i="158"/>
  <c r="AB4" i="159"/>
  <c r="CV4" i="159"/>
  <c r="BH6" i="159"/>
  <c r="AI15" i="159"/>
  <c r="CV15" i="159"/>
  <c r="CV23" i="159"/>
  <c r="BD33" i="159"/>
  <c r="CV33" i="159"/>
  <c r="AU40" i="159"/>
  <c r="CV40" i="159"/>
  <c r="AV47" i="159"/>
  <c r="CV47" i="159"/>
  <c r="BD55" i="159"/>
  <c r="CV55" i="159"/>
  <c r="CV60" i="159"/>
  <c r="BA42" i="159"/>
  <c r="CV42" i="159"/>
  <c r="AP23" i="158"/>
  <c r="AR24" i="158"/>
  <c r="AJ26" i="158"/>
  <c r="AS18" i="159"/>
  <c r="CV18" i="159"/>
  <c r="BH36" i="159"/>
  <c r="CV36" i="159"/>
  <c r="S38" i="159"/>
  <c r="CV38" i="159"/>
  <c r="CV43" i="159"/>
  <c r="AZ45" i="159"/>
  <c r="CV45" i="159"/>
  <c r="AY50" i="159"/>
  <c r="CV50" i="159"/>
  <c r="BG63" i="159"/>
  <c r="CV63" i="159"/>
  <c r="CV44" i="159"/>
  <c r="AU24" i="158"/>
  <c r="AS26" i="158"/>
  <c r="CV2" i="159"/>
  <c r="CV7" i="159"/>
  <c r="CV9" i="159"/>
  <c r="U11" i="159"/>
  <c r="CV11" i="159"/>
  <c r="AG13" i="159"/>
  <c r="CV13" i="159"/>
  <c r="BI21" i="159"/>
  <c r="CV21" i="159"/>
  <c r="BF26" i="159"/>
  <c r="CV26" i="159"/>
  <c r="AL28" i="159"/>
  <c r="CV28" i="159"/>
  <c r="CV31" i="159"/>
  <c r="CV53" i="159"/>
  <c r="BI58" i="159"/>
  <c r="CV58" i="159"/>
  <c r="AP49" i="159"/>
  <c r="CV49" i="159"/>
  <c r="CV5" i="159"/>
  <c r="AG16" i="159"/>
  <c r="CV16" i="159"/>
  <c r="CV24" i="159"/>
  <c r="AM34" i="159"/>
  <c r="CV34" i="159"/>
  <c r="AF41" i="159"/>
  <c r="CV41" i="159"/>
  <c r="BG48" i="159"/>
  <c r="CV48" i="159"/>
  <c r="CV56" i="159"/>
  <c r="AP61" i="159"/>
  <c r="CV61" i="159"/>
  <c r="R29" i="158"/>
  <c r="CV19" i="159"/>
  <c r="AZ36" i="159"/>
  <c r="AR43" i="159"/>
  <c r="BD46" i="159"/>
  <c r="CV46" i="159"/>
  <c r="AC51" i="159"/>
  <c r="CV51" i="159"/>
  <c r="AT64" i="159"/>
  <c r="CV64" i="159"/>
  <c r="AK35" i="159"/>
  <c r="CV35" i="159"/>
  <c r="BI57" i="159"/>
  <c r="CV57" i="159"/>
  <c r="P18" i="158"/>
  <c r="AC29" i="158"/>
  <c r="AJ55" i="158"/>
  <c r="AV64" i="158"/>
  <c r="BD3" i="159"/>
  <c r="CV3" i="159"/>
  <c r="AT8" i="159"/>
  <c r="CV8" i="159"/>
  <c r="AV10" i="159"/>
  <c r="CV10" i="159"/>
  <c r="U12" i="159"/>
  <c r="CV12" i="159"/>
  <c r="CV14" i="159"/>
  <c r="CV22" i="159"/>
  <c r="AY24" i="159"/>
  <c r="BI27" i="159"/>
  <c r="CV27" i="159"/>
  <c r="AB29" i="159"/>
  <c r="CV29" i="159"/>
  <c r="CV30" i="159"/>
  <c r="CV32" i="159"/>
  <c r="AY39" i="159"/>
  <c r="CV39" i="159"/>
  <c r="BI54" i="159"/>
  <c r="CV54" i="159"/>
  <c r="BI59" i="159"/>
  <c r="CV59" i="159"/>
  <c r="V248" i="127"/>
  <c r="AB104" i="127"/>
  <c r="W248" i="127"/>
  <c r="N115" i="127"/>
  <c r="AE115" i="127"/>
  <c r="AD115" i="127"/>
  <c r="AB211" i="127"/>
  <c r="AA130" i="127"/>
  <c r="V252" i="127"/>
  <c r="J115" i="127"/>
  <c r="R115" i="127"/>
  <c r="AF115" i="127"/>
  <c r="W252" i="127"/>
  <c r="V17" i="127"/>
  <c r="U250" i="127"/>
  <c r="M115" i="127"/>
  <c r="U253" i="127"/>
  <c r="U195" i="127"/>
  <c r="U233" i="127" s="1"/>
  <c r="U248" i="127"/>
  <c r="V250" i="127"/>
  <c r="W215" i="127"/>
  <c r="W114" i="127"/>
  <c r="V253" i="127"/>
  <c r="V201" i="127"/>
  <c r="V239" i="127" s="1"/>
  <c r="V254" i="127"/>
  <c r="W250" i="127"/>
  <c r="V93" i="127"/>
  <c r="W99" i="127"/>
  <c r="W253" i="127"/>
  <c r="U218" i="127"/>
  <c r="W201" i="127"/>
  <c r="W239" i="127" s="1"/>
  <c r="W254" i="127"/>
  <c r="AK250" i="127"/>
  <c r="V114" i="127"/>
  <c r="T248" i="127"/>
  <c r="G110" i="149"/>
  <c r="AK248" i="127"/>
  <c r="M238" i="127"/>
  <c r="T253" i="127"/>
  <c r="T250" i="127"/>
  <c r="T252" i="127"/>
  <c r="AG3" i="124"/>
  <c r="AG16" i="124"/>
  <c r="BN16" i="124" s="1"/>
  <c r="AG19" i="124"/>
  <c r="Z27" i="124"/>
  <c r="AF35" i="124"/>
  <c r="AF43" i="124"/>
  <c r="AE51" i="124"/>
  <c r="AE59" i="124"/>
  <c r="AG12" i="124"/>
  <c r="AE23" i="124"/>
  <c r="Z31" i="124"/>
  <c r="AE63" i="124"/>
  <c r="AG4" i="124"/>
  <c r="AG7" i="124"/>
  <c r="Z9" i="124"/>
  <c r="Y17" i="124"/>
  <c r="Y44" i="124"/>
  <c r="AF60" i="124"/>
  <c r="AU22" i="124"/>
  <c r="AE30" i="124"/>
  <c r="AU62" i="124"/>
  <c r="AE14" i="124"/>
  <c r="AG41" i="124"/>
  <c r="AG49" i="124"/>
  <c r="BS49" i="124" s="1" a="1"/>
  <c r="BS49" i="124" s="1"/>
  <c r="AE57" i="124"/>
  <c r="AF65" i="124"/>
  <c r="AU6" i="124"/>
  <c r="AE13" i="124"/>
  <c r="Z24" i="124"/>
  <c r="AE48" i="124"/>
  <c r="AE56" i="124"/>
  <c r="AF38" i="124"/>
  <c r="AE10" i="124"/>
  <c r="AG18" i="124"/>
  <c r="AG21" i="124"/>
  <c r="AE29" i="124"/>
  <c r="AF37" i="124"/>
  <c r="AF45" i="124"/>
  <c r="AG53" i="124"/>
  <c r="AU15" i="124"/>
  <c r="AG25" i="124"/>
  <c r="BN25" i="124" s="1"/>
  <c r="S253" i="127"/>
  <c r="S250" i="127"/>
  <c r="S252" i="127"/>
  <c r="S248" i="127"/>
  <c r="BQ3" i="124" a="1"/>
  <c r="BQ3" i="124" s="1"/>
  <c r="BS3" i="124" a="1"/>
  <c r="BS3" i="124" s="1"/>
  <c r="BQ4" i="124" a="1"/>
  <c r="BQ4" i="124" s="1"/>
  <c r="BS4" i="124" a="1"/>
  <c r="BS4" i="124" s="1"/>
  <c r="BS7" i="124" a="1"/>
  <c r="BS7" i="124" s="1"/>
  <c r="BQ7" i="124" a="1"/>
  <c r="BQ7" i="124" s="1"/>
  <c r="BS25" i="124" a="1"/>
  <c r="BS25" i="124" s="1"/>
  <c r="BQ41" i="124" a="1"/>
  <c r="BQ41" i="124" s="1"/>
  <c r="BS41" i="124" a="1"/>
  <c r="BS41" i="124" s="1"/>
  <c r="BQ19" i="124" a="1"/>
  <c r="BQ19" i="124" s="1"/>
  <c r="BS19" i="124" a="1"/>
  <c r="BS19" i="124" s="1"/>
  <c r="BQ18" i="124" a="1"/>
  <c r="BQ18" i="124" s="1"/>
  <c r="BS18" i="124" a="1"/>
  <c r="BS18" i="124" s="1"/>
  <c r="BS21" i="124" a="1"/>
  <c r="BS21" i="124" s="1"/>
  <c r="BQ21" i="124" a="1"/>
  <c r="BQ21" i="124" s="1"/>
  <c r="BQ53" i="124" a="1"/>
  <c r="BQ53" i="124" s="1"/>
  <c r="BS53" i="124" a="1"/>
  <c r="BS53" i="124" s="1"/>
  <c r="BQ12" i="124" a="1"/>
  <c r="BQ12" i="124" s="1"/>
  <c r="BS12" i="124" a="1"/>
  <c r="BS12" i="124" s="1"/>
  <c r="BN7" i="124"/>
  <c r="BN4" i="124"/>
  <c r="BN41" i="124"/>
  <c r="BN49" i="124"/>
  <c r="BN19" i="124"/>
  <c r="BN3" i="124"/>
  <c r="BN21" i="124"/>
  <c r="BN53" i="124"/>
  <c r="BN12" i="124"/>
  <c r="BN18" i="124"/>
  <c r="AV21" i="124"/>
  <c r="P46" i="159"/>
  <c r="X36" i="159"/>
  <c r="U46" i="159"/>
  <c r="AX57" i="159"/>
  <c r="AI63" i="159"/>
  <c r="O65" i="159"/>
  <c r="AH36" i="159"/>
  <c r="X46" i="159"/>
  <c r="BA57" i="159"/>
  <c r="Q59" i="159"/>
  <c r="BE61" i="159"/>
  <c r="AS63" i="159"/>
  <c r="AK65" i="159"/>
  <c r="AI46" i="159"/>
  <c r="AX59" i="159"/>
  <c r="AV46" i="159"/>
  <c r="BF35" i="159"/>
  <c r="BA46" i="159"/>
  <c r="AW21" i="159"/>
  <c r="O46" i="159"/>
  <c r="G238" i="127"/>
  <c r="O238" i="127"/>
  <c r="Y24" i="114"/>
  <c r="Y18" i="114"/>
  <c r="X20" i="114"/>
  <c r="Y22" i="114"/>
  <c r="X29" i="114"/>
  <c r="Y16" i="114"/>
  <c r="Y14" i="114"/>
  <c r="Y12" i="114"/>
  <c r="Y28" i="114"/>
  <c r="Y30" i="114"/>
  <c r="Y10" i="114"/>
  <c r="Y21" i="114"/>
  <c r="Y8" i="114"/>
  <c r="Y26" i="114"/>
  <c r="Y25" i="114"/>
  <c r="T195" i="127"/>
  <c r="T233" i="127" s="1"/>
  <c r="AF235" i="127"/>
  <c r="N239" i="127"/>
  <c r="AF238" i="127"/>
  <c r="K233" i="127"/>
  <c r="G234" i="127"/>
  <c r="O234" i="127"/>
  <c r="AF234" i="127"/>
  <c r="M235" i="127"/>
  <c r="I236" i="127"/>
  <c r="Q236" i="127"/>
  <c r="AH236" i="127"/>
  <c r="G237" i="127"/>
  <c r="O237" i="127"/>
  <c r="I234" i="127"/>
  <c r="Q234" i="127"/>
  <c r="AH234" i="127"/>
  <c r="G235" i="127"/>
  <c r="O235" i="127"/>
  <c r="K236" i="127"/>
  <c r="I237" i="127"/>
  <c r="Q237" i="127"/>
  <c r="Y239" i="127"/>
  <c r="AG239" i="127"/>
  <c r="AH237" i="127"/>
  <c r="T224" i="127"/>
  <c r="H234" i="127"/>
  <c r="P234" i="127"/>
  <c r="Y234" i="127"/>
  <c r="AG234" i="127"/>
  <c r="N235" i="127"/>
  <c r="AE23" i="158"/>
  <c r="AY38" i="159"/>
  <c r="AE65" i="158"/>
  <c r="AN65" i="158"/>
  <c r="AS61" i="158"/>
  <c r="AU61" i="158"/>
  <c r="T61" i="158"/>
  <c r="AJ61" i="158"/>
  <c r="AC61" i="158"/>
  <c r="X15" i="159"/>
  <c r="AG55" i="159"/>
  <c r="AJ31" i="158"/>
  <c r="O31" i="158"/>
  <c r="AT31" i="158"/>
  <c r="Q31" i="158"/>
  <c r="AT61" i="158"/>
  <c r="AV15" i="159"/>
  <c r="BH31" i="159"/>
  <c r="AB31" i="159"/>
  <c r="AW24" i="158"/>
  <c r="AI24" i="158"/>
  <c r="P24" i="158"/>
  <c r="AT24" i="158"/>
  <c r="AO59" i="158"/>
  <c r="O61" i="158"/>
  <c r="BA29" i="159"/>
  <c r="AP29" i="159"/>
  <c r="BH29" i="159"/>
  <c r="R29" i="159"/>
  <c r="AY29" i="159"/>
  <c r="BI29" i="159"/>
  <c r="AI54" i="159"/>
  <c r="U54" i="159"/>
  <c r="AO34" i="158"/>
  <c r="AM34" i="158"/>
  <c r="P34" i="158"/>
  <c r="AR61" i="158"/>
  <c r="AH2" i="158"/>
  <c r="S2" i="158"/>
  <c r="N31" i="158"/>
  <c r="AA40" i="158"/>
  <c r="P61" i="158"/>
  <c r="AF52" i="159"/>
  <c r="N52" i="159"/>
  <c r="P31" i="158"/>
  <c r="P56" i="158"/>
  <c r="AT56" i="158"/>
  <c r="S61" i="158"/>
  <c r="BI30" i="159"/>
  <c r="AX30" i="159"/>
  <c r="AF30" i="159"/>
  <c r="AC65" i="158"/>
  <c r="W16" i="159"/>
  <c r="AU16" i="159"/>
  <c r="AK2" i="158"/>
  <c r="P23" i="158"/>
  <c r="X31" i="158"/>
  <c r="W61" i="158"/>
  <c r="O16" i="159"/>
  <c r="AK43" i="159"/>
  <c r="AH43" i="159"/>
  <c r="AY43" i="159"/>
  <c r="AU52" i="159"/>
  <c r="AE52" i="124"/>
  <c r="AT18" i="158"/>
  <c r="Y26" i="158"/>
  <c r="T25" i="159"/>
  <c r="X27" i="159"/>
  <c r="P36" i="159"/>
  <c r="AS46" i="159"/>
  <c r="Y62" i="159"/>
  <c r="S21" i="126" a="1"/>
  <c r="S21" i="126" s="1"/>
  <c r="Y7" i="114"/>
  <c r="X8" i="114"/>
  <c r="Y9" i="114"/>
  <c r="X10" i="114"/>
  <c r="Y11" i="114"/>
  <c r="AI9" i="126" s="1" a="1"/>
  <c r="AI9" i="126" s="1"/>
  <c r="AJ9" i="126" s="1"/>
  <c r="X12" i="114"/>
  <c r="Y13" i="114"/>
  <c r="X14" i="114"/>
  <c r="Y15" i="114"/>
  <c r="X16" i="114"/>
  <c r="Y17" i="114"/>
  <c r="X18" i="114"/>
  <c r="Y19" i="114"/>
  <c r="AG12" i="126" s="1" a="1"/>
  <c r="AG12" i="126" s="1"/>
  <c r="Y20" i="114"/>
  <c r="G24" i="114"/>
  <c r="P27" i="114"/>
  <c r="H27" i="126" a="1"/>
  <c r="H27" i="126" s="1"/>
  <c r="U26" i="126" a="1"/>
  <c r="U26" i="126" s="1"/>
  <c r="I110" i="149"/>
  <c r="I126" i="149" s="1"/>
  <c r="I251" i="149" s="1"/>
  <c r="G139" i="149"/>
  <c r="H14" i="126" a="1"/>
  <c r="H14" i="126" s="1"/>
  <c r="F24" i="126" a="1"/>
  <c r="F24" i="126" s="1"/>
  <c r="H21" i="126" a="1"/>
  <c r="H21" i="126" s="1"/>
  <c r="G22" i="114"/>
  <c r="F13" i="126" s="1" a="1"/>
  <c r="F13" i="126" s="1"/>
  <c r="X28" i="114"/>
  <c r="Q34" i="114"/>
  <c r="S18" i="126" s="1" a="1"/>
  <c r="S18" i="126" s="1"/>
  <c r="Y52" i="114"/>
  <c r="Q29" i="114"/>
  <c r="U15" i="126" s="1" a="1"/>
  <c r="U15" i="126" s="1"/>
  <c r="Q26" i="114"/>
  <c r="U14" i="126" s="1" a="1"/>
  <c r="U14" i="126" s="1"/>
  <c r="Q24" i="114"/>
  <c r="Q22" i="114"/>
  <c r="S13" i="126" s="1" a="1"/>
  <c r="S13" i="126" s="1"/>
  <c r="Q20" i="114"/>
  <c r="U12" i="126" s="1" a="1"/>
  <c r="U12" i="126" s="1"/>
  <c r="U2" i="124" s="1"/>
  <c r="Q18" i="114"/>
  <c r="Q16" i="114"/>
  <c r="S11" i="126" s="1" a="1"/>
  <c r="S11" i="126" s="1"/>
  <c r="Q14" i="114"/>
  <c r="Q12" i="114"/>
  <c r="Q10" i="114"/>
  <c r="S9" i="126" s="1" a="1"/>
  <c r="S9" i="126" s="1"/>
  <c r="Q8" i="114"/>
  <c r="U8" i="126" s="1" a="1"/>
  <c r="U8" i="126" s="1"/>
  <c r="P29" i="114"/>
  <c r="R15" i="126" s="1" a="1"/>
  <c r="R15" i="126" s="1"/>
  <c r="P26" i="114"/>
  <c r="R14" i="126" s="1" a="1"/>
  <c r="R14" i="126" s="1"/>
  <c r="P24" i="114"/>
  <c r="P22" i="114"/>
  <c r="P20" i="114"/>
  <c r="R12" i="126" s="1" a="1"/>
  <c r="R12" i="126" s="1"/>
  <c r="P18" i="114"/>
  <c r="P16" i="114"/>
  <c r="P14" i="114"/>
  <c r="R10" i="126" s="1" a="1"/>
  <c r="R10" i="126" s="1"/>
  <c r="P12" i="114"/>
  <c r="P10" i="114"/>
  <c r="P9" i="126" s="1" a="1"/>
  <c r="P9" i="126" s="1"/>
  <c r="P8" i="114"/>
  <c r="R8" i="126" s="1" a="1"/>
  <c r="R8" i="126" s="1"/>
  <c r="Q28" i="114"/>
  <c r="Q27" i="114"/>
  <c r="P25" i="114"/>
  <c r="P23" i="114"/>
  <c r="R13" i="126" s="1" a="1"/>
  <c r="R13" i="126" s="1"/>
  <c r="P21" i="114"/>
  <c r="P19" i="114"/>
  <c r="P12" i="126" s="1" a="1"/>
  <c r="P12" i="126" s="1"/>
  <c r="Q12" i="126" s="1"/>
  <c r="P17" i="114"/>
  <c r="R11" i="126" s="1" a="1"/>
  <c r="R11" i="126" s="1"/>
  <c r="P15" i="114"/>
  <c r="P13" i="114"/>
  <c r="P10" i="126" s="1" a="1"/>
  <c r="P10" i="126" s="1"/>
  <c r="P11" i="114"/>
  <c r="P9" i="114"/>
  <c r="P7" i="114"/>
  <c r="P8" i="126" s="1" a="1"/>
  <c r="P8" i="126" s="1"/>
  <c r="G64" i="114"/>
  <c r="F28" i="126" s="1" a="1"/>
  <c r="F28" i="126" s="1"/>
  <c r="G40" i="114"/>
  <c r="F20" i="126" s="1" a="1"/>
  <c r="F20" i="126" s="1"/>
  <c r="G60" i="114"/>
  <c r="G56" i="114"/>
  <c r="G46" i="114"/>
  <c r="F22" i="126" s="1" a="1"/>
  <c r="F22" i="126" s="1"/>
  <c r="G34" i="114"/>
  <c r="F18" i="126" s="1" a="1"/>
  <c r="F18" i="126" s="1"/>
  <c r="G33" i="114"/>
  <c r="G31" i="114"/>
  <c r="F17" i="126" s="1" a="1"/>
  <c r="F17" i="126" s="1"/>
  <c r="G32" i="114"/>
  <c r="H17" i="126" s="1" a="1"/>
  <c r="H17" i="126" s="1"/>
  <c r="Y64" i="114"/>
  <c r="Y62" i="114"/>
  <c r="Y50" i="114"/>
  <c r="R62" i="149"/>
  <c r="C99" i="149"/>
  <c r="K99" i="149"/>
  <c r="H139" i="149"/>
  <c r="O132" i="149"/>
  <c r="O164" i="149"/>
  <c r="O180" i="149"/>
  <c r="O191" i="149"/>
  <c r="O201" i="149"/>
  <c r="O205" i="149"/>
  <c r="O152" i="108"/>
  <c r="O160" i="108"/>
  <c r="C100" i="80"/>
  <c r="C114" i="80" s="1"/>
  <c r="G8" i="114"/>
  <c r="H8" i="126" s="1" a="1"/>
  <c r="H8" i="126" s="1"/>
  <c r="G10" i="114"/>
  <c r="F9" i="126" s="1" a="1"/>
  <c r="F9" i="126" s="1"/>
  <c r="G12" i="114"/>
  <c r="G14" i="114"/>
  <c r="H10" i="126" s="1" a="1"/>
  <c r="H10" i="126" s="1"/>
  <c r="G16" i="114"/>
  <c r="F11" i="126" s="1" a="1"/>
  <c r="F11" i="126" s="1"/>
  <c r="G18" i="114"/>
  <c r="G20" i="114"/>
  <c r="H12" i="126" s="1" a="1"/>
  <c r="H12" i="126" s="1"/>
  <c r="Q25" i="114"/>
  <c r="S14" i="126" s="1" a="1"/>
  <c r="S14" i="126" s="1"/>
  <c r="V15" i="124" s="1"/>
  <c r="Y27" i="114"/>
  <c r="X27" i="114"/>
  <c r="Q33" i="114"/>
  <c r="Y54" i="114"/>
  <c r="Y58" i="114"/>
  <c r="X58" i="114"/>
  <c r="X60" i="114"/>
  <c r="H243" i="149"/>
  <c r="D243" i="149"/>
  <c r="L243" i="149"/>
  <c r="G99" i="148"/>
  <c r="G113" i="148" s="1"/>
  <c r="G222" i="148" s="1"/>
  <c r="O24" i="148"/>
  <c r="I126" i="148"/>
  <c r="J139" i="108"/>
  <c r="L100" i="80"/>
  <c r="Q23" i="114"/>
  <c r="U13" i="126" s="1" a="1"/>
  <c r="U13" i="126" s="1"/>
  <c r="X13" i="126" s="1"/>
  <c r="G29" i="114"/>
  <c r="H15" i="126" s="1" a="1"/>
  <c r="H15" i="126" s="1"/>
  <c r="X30" i="114"/>
  <c r="X34" i="114"/>
  <c r="G36" i="114"/>
  <c r="X42" i="114"/>
  <c r="Q49" i="114"/>
  <c r="S23" i="126" s="1" a="1"/>
  <c r="S23" i="126" s="1"/>
  <c r="X52" i="114"/>
  <c r="F139" i="149"/>
  <c r="N139" i="149"/>
  <c r="N148" i="149"/>
  <c r="H221" i="149"/>
  <c r="H227" i="149" s="1"/>
  <c r="F225" i="149"/>
  <c r="N225" i="149"/>
  <c r="E10" i="126" a="1"/>
  <c r="E10" i="126" s="1"/>
  <c r="C15" i="126" a="1"/>
  <c r="C15" i="126" s="1"/>
  <c r="P14" i="126" a="1"/>
  <c r="P14" i="126" s="1"/>
  <c r="V7" i="114"/>
  <c r="P13" i="126" a="1"/>
  <c r="P13" i="126" s="1"/>
  <c r="U10" i="126" a="1"/>
  <c r="U10" i="126" s="1"/>
  <c r="U42" i="124" s="1"/>
  <c r="U9" i="126" a="1"/>
  <c r="U9" i="126" s="1"/>
  <c r="S25" i="126" a="1"/>
  <c r="S25" i="126" s="1"/>
  <c r="P11" i="126" a="1"/>
  <c r="P11" i="126" s="1"/>
  <c r="R9" i="126" a="1"/>
  <c r="R9" i="126" s="1"/>
  <c r="Q21" i="114"/>
  <c r="X26" i="114"/>
  <c r="F28" i="114"/>
  <c r="Q32" i="114"/>
  <c r="U17" i="126" s="1" a="1"/>
  <c r="U17" i="126" s="1"/>
  <c r="G38" i="114"/>
  <c r="H19" i="126" s="1" a="1"/>
  <c r="H19" i="126" s="1"/>
  <c r="Y42" i="114"/>
  <c r="Y44" i="114"/>
  <c r="X44" i="114"/>
  <c r="X46" i="114"/>
  <c r="G48" i="114"/>
  <c r="X66" i="114"/>
  <c r="K139" i="149"/>
  <c r="O137" i="149"/>
  <c r="C148" i="149"/>
  <c r="K148" i="149"/>
  <c r="O147" i="149"/>
  <c r="F195" i="149"/>
  <c r="N195" i="149"/>
  <c r="F15" i="126" a="1"/>
  <c r="F15" i="126" s="1"/>
  <c r="I15" i="126" s="1"/>
  <c r="U18" i="126" a="1"/>
  <c r="U18" i="126" s="1"/>
  <c r="H25" i="126" a="1"/>
  <c r="H25" i="126" s="1"/>
  <c r="Q7" i="114"/>
  <c r="S8" i="126" s="1" a="1"/>
  <c r="S8" i="126" s="1"/>
  <c r="Q9" i="114"/>
  <c r="Q11" i="114"/>
  <c r="Q13" i="114"/>
  <c r="S10" i="126" s="1" a="1"/>
  <c r="S10" i="126" s="1"/>
  <c r="V41" i="124" s="1"/>
  <c r="Q15" i="114"/>
  <c r="Q17" i="114"/>
  <c r="U11" i="126" s="1" a="1"/>
  <c r="U11" i="126" s="1"/>
  <c r="Q19" i="114"/>
  <c r="S12" i="126" s="1" a="1"/>
  <c r="S12" i="126" s="1"/>
  <c r="X24" i="114"/>
  <c r="Y36" i="114"/>
  <c r="X64" i="114"/>
  <c r="G30" i="114"/>
  <c r="Q65" i="114"/>
  <c r="U28" i="126" s="1" a="1"/>
  <c r="U28" i="126" s="1"/>
  <c r="U36" i="124" s="1"/>
  <c r="Q61" i="114"/>
  <c r="S27" i="126" s="1" a="1"/>
  <c r="S27" i="126" s="1"/>
  <c r="Q47" i="114"/>
  <c r="U22" i="126" s="1" a="1"/>
  <c r="U22" i="126" s="1"/>
  <c r="Q41" i="114"/>
  <c r="U20" i="126" s="1" a="1"/>
  <c r="U20" i="126" s="1"/>
  <c r="Q35" i="114"/>
  <c r="Q57" i="114"/>
  <c r="Q53" i="114"/>
  <c r="U24" i="126" s="1" a="1"/>
  <c r="U24" i="126" s="1"/>
  <c r="Q37" i="114"/>
  <c r="S19" i="126" s="1" a="1"/>
  <c r="S19" i="126" s="1"/>
  <c r="Q63" i="114"/>
  <c r="Q45" i="114"/>
  <c r="Q39" i="114"/>
  <c r="J99" i="149"/>
  <c r="G99" i="149"/>
  <c r="F110" i="149"/>
  <c r="O233" i="149"/>
  <c r="O242" i="149"/>
  <c r="I195" i="108"/>
  <c r="X18" i="158"/>
  <c r="AE29" i="158"/>
  <c r="S15" i="126" a="1"/>
  <c r="S15" i="126" s="1"/>
  <c r="T15" i="126" s="1"/>
  <c r="X22" i="114"/>
  <c r="Y23" i="114"/>
  <c r="AI13" i="126" s="1" a="1"/>
  <c r="AI13" i="126" s="1"/>
  <c r="AJ13" i="126" s="1"/>
  <c r="Y38" i="114"/>
  <c r="AI19" i="126" s="1" a="1"/>
  <c r="AI19" i="126" s="1"/>
  <c r="X38" i="114"/>
  <c r="G25" i="114"/>
  <c r="F14" i="126" s="1" a="1"/>
  <c r="F14" i="126" s="1"/>
  <c r="G23" i="114"/>
  <c r="H13" i="126" s="1" a="1"/>
  <c r="H13" i="126" s="1"/>
  <c r="G21" i="114"/>
  <c r="G19" i="114"/>
  <c r="F12" i="126" s="1" a="1"/>
  <c r="F12" i="126" s="1"/>
  <c r="G17" i="114"/>
  <c r="H11" i="126" s="1" a="1"/>
  <c r="H11" i="126" s="1"/>
  <c r="G15" i="114"/>
  <c r="G13" i="114"/>
  <c r="F10" i="126" s="1" a="1"/>
  <c r="F10" i="126" s="1"/>
  <c r="G11" i="114"/>
  <c r="H9" i="126" s="1" a="1"/>
  <c r="H9" i="126" s="1"/>
  <c r="G9" i="114"/>
  <c r="G7" i="114"/>
  <c r="F8" i="126" s="1" a="1"/>
  <c r="F8" i="126" s="1"/>
  <c r="F25" i="114"/>
  <c r="C14" i="126" s="1" a="1"/>
  <c r="C14" i="126" s="1"/>
  <c r="F23" i="114"/>
  <c r="E13" i="126" s="1" a="1"/>
  <c r="E13" i="126" s="1"/>
  <c r="F21" i="114"/>
  <c r="F19" i="114"/>
  <c r="C12" i="126" s="1" a="1"/>
  <c r="C12" i="126" s="1"/>
  <c r="F17" i="114"/>
  <c r="E11" i="126" s="1" a="1"/>
  <c r="E11" i="126" s="1"/>
  <c r="F15" i="114"/>
  <c r="F13" i="114"/>
  <c r="C10" i="126" s="1" a="1"/>
  <c r="C10" i="126" s="1"/>
  <c r="F11" i="114"/>
  <c r="E9" i="126" s="1" a="1"/>
  <c r="E9" i="126" s="1"/>
  <c r="F9" i="114"/>
  <c r="F7" i="114"/>
  <c r="C8" i="126" s="1" a="1"/>
  <c r="C8" i="126" s="1"/>
  <c r="F30" i="114"/>
  <c r="G28" i="114"/>
  <c r="F26" i="114"/>
  <c r="E14" i="126" s="1" a="1"/>
  <c r="E14" i="126" s="1"/>
  <c r="K14" i="126" s="1"/>
  <c r="F24" i="114"/>
  <c r="F22" i="114"/>
  <c r="C13" i="126" s="1" a="1"/>
  <c r="C13" i="126" s="1"/>
  <c r="F20" i="114"/>
  <c r="E12" i="126" s="1" a="1"/>
  <c r="E12" i="126" s="1"/>
  <c r="F18" i="114"/>
  <c r="F16" i="114"/>
  <c r="C11" i="126" s="1" a="1"/>
  <c r="C11" i="126" s="1"/>
  <c r="F14" i="114"/>
  <c r="F12" i="114"/>
  <c r="F10" i="114"/>
  <c r="C9" i="126" s="1" a="1"/>
  <c r="C9" i="126" s="1"/>
  <c r="D9" i="126" s="1"/>
  <c r="F8" i="114"/>
  <c r="E8" i="126" s="1" a="1"/>
  <c r="E8" i="126" s="1"/>
  <c r="X25" i="114"/>
  <c r="X23" i="114"/>
  <c r="X21" i="114"/>
  <c r="X19" i="114"/>
  <c r="X17" i="114"/>
  <c r="X15" i="114"/>
  <c r="X13" i="114"/>
  <c r="X11" i="114"/>
  <c r="X9" i="114"/>
  <c r="X7" i="114"/>
  <c r="H99" i="149"/>
  <c r="H126" i="149" s="1"/>
  <c r="H251" i="149" s="1"/>
  <c r="K227" i="149"/>
  <c r="D150" i="81"/>
  <c r="L150" i="81"/>
  <c r="C237" i="81"/>
  <c r="AE193" i="127"/>
  <c r="D99" i="149"/>
  <c r="L99" i="149"/>
  <c r="R97" i="149"/>
  <c r="J206" i="149"/>
  <c r="C238" i="108"/>
  <c r="M215" i="107"/>
  <c r="O98" i="80"/>
  <c r="J183" i="80"/>
  <c r="O188" i="80"/>
  <c r="O192" i="80"/>
  <c r="N112" i="111"/>
  <c r="O111" i="111"/>
  <c r="Y29" i="114"/>
  <c r="G186" i="149"/>
  <c r="O154" i="149"/>
  <c r="O155" i="149"/>
  <c r="O158" i="149"/>
  <c r="O162" i="149"/>
  <c r="O165" i="149"/>
  <c r="O170" i="149"/>
  <c r="O171" i="149"/>
  <c r="O174" i="149"/>
  <c r="O178" i="149"/>
  <c r="O181" i="149"/>
  <c r="O182" i="149"/>
  <c r="O193" i="149"/>
  <c r="E221" i="149"/>
  <c r="K225" i="149"/>
  <c r="U62" i="148"/>
  <c r="V62" i="148" s="1"/>
  <c r="I234" i="108"/>
  <c r="J234" i="108"/>
  <c r="R115" i="108"/>
  <c r="O115" i="108"/>
  <c r="O119" i="108" s="1"/>
  <c r="J195" i="108"/>
  <c r="E227" i="108"/>
  <c r="M227" i="108"/>
  <c r="N248" i="81"/>
  <c r="G27" i="114"/>
  <c r="E148" i="149"/>
  <c r="M148" i="149"/>
  <c r="F221" i="149"/>
  <c r="F227" i="149" s="1"/>
  <c r="J221" i="149"/>
  <c r="J227" i="149" s="1"/>
  <c r="L225" i="149"/>
  <c r="L227" i="149" s="1"/>
  <c r="O15" i="149"/>
  <c r="O124" i="149"/>
  <c r="J139" i="149"/>
  <c r="I195" i="149"/>
  <c r="O199" i="149"/>
  <c r="O203" i="149"/>
  <c r="O219" i="149"/>
  <c r="O237" i="149"/>
  <c r="N99" i="148"/>
  <c r="H182" i="148"/>
  <c r="E199" i="148"/>
  <c r="M199" i="148"/>
  <c r="C99" i="108"/>
  <c r="C126" i="108" s="1"/>
  <c r="K99" i="108"/>
  <c r="K126" i="108" s="1"/>
  <c r="K234" i="108"/>
  <c r="O126" i="81"/>
  <c r="O132" i="81"/>
  <c r="O136" i="81"/>
  <c r="G150" i="81"/>
  <c r="O149" i="81"/>
  <c r="E243" i="149"/>
  <c r="M243" i="149"/>
  <c r="H99" i="148"/>
  <c r="H113" i="148" s="1"/>
  <c r="H222" i="148" s="1"/>
  <c r="N112" i="148"/>
  <c r="F126" i="148"/>
  <c r="N126" i="148"/>
  <c r="J135" i="148"/>
  <c r="F173" i="148"/>
  <c r="N173" i="148"/>
  <c r="F182" i="148"/>
  <c r="N182" i="148"/>
  <c r="O186" i="148"/>
  <c r="O187" i="148"/>
  <c r="O188" i="148"/>
  <c r="O190" i="148"/>
  <c r="O191" i="148"/>
  <c r="O192" i="148"/>
  <c r="G199" i="148"/>
  <c r="O196" i="148"/>
  <c r="J203" i="148"/>
  <c r="F209" i="148"/>
  <c r="F215" i="148" s="1"/>
  <c r="N209" i="148"/>
  <c r="N215" i="148" s="1"/>
  <c r="C213" i="148"/>
  <c r="K213" i="148"/>
  <c r="K215" i="148" s="1"/>
  <c r="O212" i="148"/>
  <c r="E99" i="108"/>
  <c r="E126" i="108" s="1"/>
  <c r="M99" i="108"/>
  <c r="M126" i="108" s="1"/>
  <c r="O71" i="108"/>
  <c r="R87" i="108"/>
  <c r="J110" i="108"/>
  <c r="O130" i="108"/>
  <c r="O131" i="108"/>
  <c r="O138" i="108"/>
  <c r="O144" i="108"/>
  <c r="O145" i="108"/>
  <c r="G195" i="108"/>
  <c r="O194" i="108"/>
  <c r="E206" i="108"/>
  <c r="M206" i="108"/>
  <c r="E238" i="108"/>
  <c r="O242" i="108"/>
  <c r="F99" i="107"/>
  <c r="F113" i="107" s="1"/>
  <c r="F222" i="107" s="1"/>
  <c r="N99" i="107"/>
  <c r="N113" i="107" s="1"/>
  <c r="N222" i="107" s="1"/>
  <c r="I99" i="107"/>
  <c r="E126" i="107"/>
  <c r="E215" i="107"/>
  <c r="R24" i="81"/>
  <c r="R62" i="81"/>
  <c r="I100" i="80"/>
  <c r="I114" i="80" s="1"/>
  <c r="I230" i="80" s="1"/>
  <c r="O141" i="80"/>
  <c r="O142" i="80"/>
  <c r="O154" i="80"/>
  <c r="O161" i="80"/>
  <c r="O162" i="80"/>
  <c r="O165" i="80"/>
  <c r="O169" i="80"/>
  <c r="O173" i="80"/>
  <c r="O179" i="80"/>
  <c r="O182" i="80"/>
  <c r="O193" i="80"/>
  <c r="I99" i="148"/>
  <c r="U24" i="148"/>
  <c r="V24" i="148" s="1"/>
  <c r="J111" i="148"/>
  <c r="J113" i="148" s="1"/>
  <c r="J222" i="148" s="1"/>
  <c r="G112" i="148"/>
  <c r="G126" i="148"/>
  <c r="O116" i="148"/>
  <c r="O117" i="148"/>
  <c r="O118" i="148"/>
  <c r="O120" i="148"/>
  <c r="O121" i="148"/>
  <c r="O122" i="148"/>
  <c r="O124" i="148"/>
  <c r="O125" i="148"/>
  <c r="O128" i="148"/>
  <c r="O130" i="148"/>
  <c r="O132" i="148"/>
  <c r="O134" i="148"/>
  <c r="G173" i="148"/>
  <c r="O138" i="148"/>
  <c r="O142" i="148"/>
  <c r="O146" i="148"/>
  <c r="O150" i="148"/>
  <c r="O154" i="148"/>
  <c r="O158" i="148"/>
  <c r="O162" i="148"/>
  <c r="O166" i="148"/>
  <c r="O170" i="148"/>
  <c r="O176" i="148"/>
  <c r="O178" i="148"/>
  <c r="O179" i="148"/>
  <c r="O180" i="148"/>
  <c r="F99" i="108"/>
  <c r="F126" i="108" s="1"/>
  <c r="N99" i="108"/>
  <c r="N126" i="108" s="1"/>
  <c r="R108" i="108"/>
  <c r="O133" i="108"/>
  <c r="H139" i="108"/>
  <c r="L148" i="108"/>
  <c r="O200" i="108"/>
  <c r="F238" i="108"/>
  <c r="J99" i="107"/>
  <c r="C112" i="107"/>
  <c r="C111" i="107"/>
  <c r="K112" i="107"/>
  <c r="F215" i="107"/>
  <c r="O112" i="81"/>
  <c r="O140" i="80"/>
  <c r="O144" i="80"/>
  <c r="O152" i="80"/>
  <c r="O156" i="80"/>
  <c r="O164" i="80"/>
  <c r="O172" i="80"/>
  <c r="O104" i="148"/>
  <c r="H112" i="148"/>
  <c r="H126" i="148"/>
  <c r="D135" i="148"/>
  <c r="L135" i="148"/>
  <c r="H135" i="148"/>
  <c r="H173" i="148"/>
  <c r="D203" i="148"/>
  <c r="L203" i="148"/>
  <c r="H209" i="148"/>
  <c r="O209" i="148" s="1"/>
  <c r="E213" i="148"/>
  <c r="M213" i="148"/>
  <c r="R97" i="108"/>
  <c r="I139" i="108"/>
  <c r="E148" i="108"/>
  <c r="M148" i="108"/>
  <c r="I148" i="108"/>
  <c r="K206" i="108"/>
  <c r="G206" i="108"/>
  <c r="I243" i="108"/>
  <c r="E243" i="108"/>
  <c r="M243" i="108"/>
  <c r="M237" i="81"/>
  <c r="K237" i="81"/>
  <c r="O105" i="80"/>
  <c r="C223" i="80"/>
  <c r="C99" i="148"/>
  <c r="K99" i="148"/>
  <c r="K113" i="148" s="1"/>
  <c r="K222" i="148" s="1"/>
  <c r="D111" i="148"/>
  <c r="L111" i="148"/>
  <c r="E135" i="148"/>
  <c r="E205" i="148" s="1"/>
  <c r="E217" i="148" s="1"/>
  <c r="M135" i="148"/>
  <c r="I173" i="148"/>
  <c r="I182" i="148"/>
  <c r="E193" i="148"/>
  <c r="J199" i="148"/>
  <c r="F199" i="148"/>
  <c r="N199" i="148"/>
  <c r="E203" i="148"/>
  <c r="M203" i="148"/>
  <c r="H99" i="108"/>
  <c r="H126" i="108" s="1"/>
  <c r="R93" i="108"/>
  <c r="O116" i="108"/>
  <c r="O129" i="108"/>
  <c r="O137" i="108"/>
  <c r="O147" i="108"/>
  <c r="J186" i="108"/>
  <c r="O153" i="108"/>
  <c r="O161" i="108"/>
  <c r="O173" i="108"/>
  <c r="O185" i="108"/>
  <c r="N225" i="108"/>
  <c r="J225" i="108"/>
  <c r="N232" i="108"/>
  <c r="K111" i="107"/>
  <c r="O134" i="107"/>
  <c r="O188" i="107"/>
  <c r="O189" i="107"/>
  <c r="O192" i="107"/>
  <c r="C235" i="81"/>
  <c r="U15" i="148"/>
  <c r="V15" i="148" s="1"/>
  <c r="L99" i="148"/>
  <c r="L113" i="148" s="1"/>
  <c r="L222" i="148" s="1"/>
  <c r="E111" i="148"/>
  <c r="M111" i="148"/>
  <c r="O185" i="148"/>
  <c r="O189" i="148"/>
  <c r="O195" i="148"/>
  <c r="O197" i="148"/>
  <c r="J215" i="148"/>
  <c r="I99" i="108"/>
  <c r="I126" i="108" s="1"/>
  <c r="N110" i="108"/>
  <c r="O124" i="108"/>
  <c r="O142" i="108"/>
  <c r="G148" i="108"/>
  <c r="O150" i="108"/>
  <c r="O157" i="108"/>
  <c r="O158" i="108"/>
  <c r="O178" i="108"/>
  <c r="O182" i="108"/>
  <c r="O210" i="108"/>
  <c r="H111" i="107"/>
  <c r="M126" i="107"/>
  <c r="O143" i="107"/>
  <c r="O144" i="107"/>
  <c r="O147" i="107"/>
  <c r="O152" i="107"/>
  <c r="O155" i="107"/>
  <c r="O156" i="107"/>
  <c r="O163" i="107"/>
  <c r="O164" i="107"/>
  <c r="O171" i="107"/>
  <c r="O179" i="107"/>
  <c r="O202" i="107"/>
  <c r="O203" i="81"/>
  <c r="O207" i="81"/>
  <c r="O244" i="81"/>
  <c r="I225" i="149"/>
  <c r="I227" i="149" s="1"/>
  <c r="J243" i="149"/>
  <c r="O62" i="148"/>
  <c r="O97" i="148"/>
  <c r="O109" i="148"/>
  <c r="K112" i="148"/>
  <c r="O115" i="148"/>
  <c r="O119" i="148"/>
  <c r="O123" i="148"/>
  <c r="O129" i="148"/>
  <c r="O131" i="148"/>
  <c r="O133" i="148"/>
  <c r="O137" i="148"/>
  <c r="O139" i="148"/>
  <c r="O140" i="148"/>
  <c r="O141" i="148"/>
  <c r="O143" i="148"/>
  <c r="O144" i="148"/>
  <c r="O145" i="148"/>
  <c r="O148" i="148"/>
  <c r="O149" i="148"/>
  <c r="O152" i="148"/>
  <c r="O153" i="148"/>
  <c r="O155" i="148"/>
  <c r="O156" i="148"/>
  <c r="O157" i="148"/>
  <c r="O159" i="148"/>
  <c r="O160" i="148"/>
  <c r="O161" i="148"/>
  <c r="O163" i="148"/>
  <c r="O164" i="148"/>
  <c r="O165" i="148"/>
  <c r="O167" i="148"/>
  <c r="O168" i="148"/>
  <c r="O169" i="148"/>
  <c r="O171" i="148"/>
  <c r="O172" i="148"/>
  <c r="O182" i="148"/>
  <c r="O177" i="148"/>
  <c r="O181" i="148"/>
  <c r="O201" i="148"/>
  <c r="O203" i="148" s="1"/>
  <c r="O202" i="148"/>
  <c r="O208" i="148"/>
  <c r="O15" i="108"/>
  <c r="J99" i="108"/>
  <c r="J126" i="108" s="1"/>
  <c r="R71" i="108"/>
  <c r="O93" i="108"/>
  <c r="G99" i="108"/>
  <c r="G126" i="108" s="1"/>
  <c r="G110" i="108"/>
  <c r="R113" i="108"/>
  <c r="H148" i="108"/>
  <c r="O156" i="108"/>
  <c r="O164" i="108"/>
  <c r="O168" i="108"/>
  <c r="O172" i="108"/>
  <c r="O176" i="108"/>
  <c r="O199" i="108"/>
  <c r="O203" i="108"/>
  <c r="J221" i="108"/>
  <c r="F221" i="108"/>
  <c r="N221" i="108"/>
  <c r="N227" i="108" s="1"/>
  <c r="H225" i="108"/>
  <c r="H227" i="108" s="1"/>
  <c r="O93" i="107"/>
  <c r="F126" i="107"/>
  <c r="O121" i="81"/>
  <c r="J141" i="81"/>
  <c r="D197" i="81"/>
  <c r="L197" i="81"/>
  <c r="O212" i="81"/>
  <c r="H112" i="80"/>
  <c r="O196" i="80"/>
  <c r="AF93" i="127"/>
  <c r="D99" i="107"/>
  <c r="D113" i="107" s="1"/>
  <c r="D222" i="107" s="1"/>
  <c r="L99" i="107"/>
  <c r="L113" i="107" s="1"/>
  <c r="L222" i="107" s="1"/>
  <c r="G99" i="107"/>
  <c r="K126" i="107"/>
  <c r="D182" i="107"/>
  <c r="L182" i="107"/>
  <c r="C193" i="107"/>
  <c r="I199" i="107"/>
  <c r="L112" i="81"/>
  <c r="I141" i="81"/>
  <c r="D188" i="81"/>
  <c r="L188" i="81"/>
  <c r="O194" i="81"/>
  <c r="H220" i="81"/>
  <c r="J235" i="81"/>
  <c r="F235" i="81"/>
  <c r="N235" i="81"/>
  <c r="N237" i="81" s="1"/>
  <c r="J100" i="80"/>
  <c r="E100" i="80"/>
  <c r="E114" i="80" s="1"/>
  <c r="E230" i="80" s="1"/>
  <c r="O118" i="80"/>
  <c r="J136" i="80"/>
  <c r="E183" i="80"/>
  <c r="M183" i="80"/>
  <c r="O191" i="80"/>
  <c r="O195" i="80"/>
  <c r="O202" i="80"/>
  <c r="F210" i="80"/>
  <c r="N210" i="80"/>
  <c r="J210" i="80"/>
  <c r="AG93" i="127"/>
  <c r="J243" i="108"/>
  <c r="M99" i="107"/>
  <c r="H99" i="107"/>
  <c r="F135" i="107"/>
  <c r="N135" i="107"/>
  <c r="O132" i="107"/>
  <c r="I173" i="107"/>
  <c r="I182" i="107"/>
  <c r="M182" i="107"/>
  <c r="D203" i="107"/>
  <c r="L203" i="107"/>
  <c r="H203" i="107"/>
  <c r="I209" i="107"/>
  <c r="J100" i="81"/>
  <c r="O24" i="81"/>
  <c r="R88" i="81"/>
  <c r="R94" i="81"/>
  <c r="H112" i="81"/>
  <c r="O110" i="81"/>
  <c r="J150" i="81"/>
  <c r="E188" i="81"/>
  <c r="M188" i="81"/>
  <c r="O176" i="81"/>
  <c r="H197" i="81"/>
  <c r="C214" i="81"/>
  <c r="K214" i="81"/>
  <c r="O202" i="81"/>
  <c r="O206" i="81"/>
  <c r="G231" i="81"/>
  <c r="G237" i="81" s="1"/>
  <c r="O247" i="81"/>
  <c r="G253" i="81"/>
  <c r="O252" i="81"/>
  <c r="K253" i="81"/>
  <c r="K100" i="80"/>
  <c r="K114" i="80" s="1"/>
  <c r="K230" i="80" s="1"/>
  <c r="D112" i="80"/>
  <c r="L112" i="80"/>
  <c r="J113" i="80"/>
  <c r="G127" i="80"/>
  <c r="C127" i="80"/>
  <c r="O122" i="80"/>
  <c r="O123" i="80"/>
  <c r="O126" i="80"/>
  <c r="O131" i="80"/>
  <c r="O132" i="80"/>
  <c r="O203" i="80"/>
  <c r="O209" i="80"/>
  <c r="J217" i="80"/>
  <c r="J223" i="80" s="1"/>
  <c r="U17" i="127"/>
  <c r="J182" i="107"/>
  <c r="O180" i="107"/>
  <c r="O190" i="107"/>
  <c r="O191" i="107"/>
  <c r="E203" i="107"/>
  <c r="M203" i="107"/>
  <c r="I203" i="107"/>
  <c r="J209" i="107"/>
  <c r="J215" i="107" s="1"/>
  <c r="F213" i="107"/>
  <c r="N213" i="107"/>
  <c r="N215" i="107" s="1"/>
  <c r="J213" i="107"/>
  <c r="O94" i="81"/>
  <c r="N112" i="81"/>
  <c r="R112" i="81" s="1"/>
  <c r="G141" i="81"/>
  <c r="O137" i="81"/>
  <c r="O146" i="81"/>
  <c r="O147" i="81"/>
  <c r="H214" i="81"/>
  <c r="O200" i="81"/>
  <c r="L214" i="81"/>
  <c r="O204" i="81"/>
  <c r="O208" i="81"/>
  <c r="O211" i="81"/>
  <c r="F220" i="81"/>
  <c r="N220" i="81"/>
  <c r="H231" i="81"/>
  <c r="D231" i="81"/>
  <c r="L231" i="81"/>
  <c r="L235" i="81"/>
  <c r="O235" i="81" s="1"/>
  <c r="I248" i="81"/>
  <c r="O73" i="80"/>
  <c r="H127" i="80"/>
  <c r="O117" i="80"/>
  <c r="O125" i="80"/>
  <c r="L136" i="80"/>
  <c r="G174" i="80"/>
  <c r="K174" i="80"/>
  <c r="O148" i="80"/>
  <c r="O159" i="80"/>
  <c r="O160" i="80"/>
  <c r="O163" i="80"/>
  <c r="O168" i="80"/>
  <c r="O177" i="80"/>
  <c r="H210" i="80"/>
  <c r="O216" i="80"/>
  <c r="C221" i="80"/>
  <c r="K221" i="80"/>
  <c r="K223" i="80" s="1"/>
  <c r="D135" i="107"/>
  <c r="L135" i="107"/>
  <c r="C173" i="107"/>
  <c r="K173" i="107"/>
  <c r="O138" i="107"/>
  <c r="O141" i="107"/>
  <c r="O142" i="107"/>
  <c r="O149" i="107"/>
  <c r="O150" i="107"/>
  <c r="O161" i="107"/>
  <c r="O162" i="107"/>
  <c r="O165" i="107"/>
  <c r="K182" i="107"/>
  <c r="O181" i="107"/>
  <c r="D199" i="107"/>
  <c r="L199" i="107"/>
  <c r="F203" i="107"/>
  <c r="N203" i="107"/>
  <c r="K209" i="107"/>
  <c r="O211" i="107"/>
  <c r="C213" i="107"/>
  <c r="O213" i="107" s="1"/>
  <c r="K213" i="107"/>
  <c r="D100" i="81"/>
  <c r="L100" i="81"/>
  <c r="J112" i="81"/>
  <c r="H150" i="81"/>
  <c r="G188" i="81"/>
  <c r="O159" i="81"/>
  <c r="O163" i="81"/>
  <c r="O167" i="81"/>
  <c r="O171" i="81"/>
  <c r="O175" i="81"/>
  <c r="F197" i="81"/>
  <c r="N197" i="81"/>
  <c r="I214" i="81"/>
  <c r="G220" i="81"/>
  <c r="E235" i="81"/>
  <c r="E237" i="81" s="1"/>
  <c r="M235" i="81"/>
  <c r="I235" i="81"/>
  <c r="I237" i="81" s="1"/>
  <c r="I253" i="81"/>
  <c r="E113" i="80"/>
  <c r="I127" i="80"/>
  <c r="E136" i="80"/>
  <c r="M136" i="80"/>
  <c r="H174" i="80"/>
  <c r="O187" i="80"/>
  <c r="O190" i="80"/>
  <c r="O198" i="80"/>
  <c r="J206" i="80"/>
  <c r="I210" i="80"/>
  <c r="E111" i="107"/>
  <c r="M111" i="107"/>
  <c r="O119" i="107"/>
  <c r="O123" i="107"/>
  <c r="E135" i="107"/>
  <c r="E199" i="107"/>
  <c r="M199" i="107"/>
  <c r="D215" i="107"/>
  <c r="L215" i="107"/>
  <c r="E100" i="81"/>
  <c r="E101" i="81" s="1"/>
  <c r="M100" i="81"/>
  <c r="C112" i="81"/>
  <c r="K112" i="81"/>
  <c r="E141" i="81"/>
  <c r="M141" i="81"/>
  <c r="O153" i="81"/>
  <c r="O157" i="81"/>
  <c r="O161" i="81"/>
  <c r="O165" i="81"/>
  <c r="O169" i="81"/>
  <c r="O173" i="81"/>
  <c r="O177" i="81"/>
  <c r="O181" i="81"/>
  <c r="O185" i="81"/>
  <c r="O196" i="81"/>
  <c r="J214" i="81"/>
  <c r="J226" i="81" s="1"/>
  <c r="O246" i="81"/>
  <c r="F100" i="80"/>
  <c r="N114" i="80"/>
  <c r="N230" i="80" s="1"/>
  <c r="G112" i="80"/>
  <c r="G114" i="80" s="1"/>
  <c r="G230" i="80" s="1"/>
  <c r="M112" i="80"/>
  <c r="AD220" i="127"/>
  <c r="AE229" i="127"/>
  <c r="N127" i="110"/>
  <c r="N112" i="110"/>
  <c r="W195" i="127"/>
  <c r="W233" i="127" s="1"/>
  <c r="O104" i="127"/>
  <c r="AC104" i="127"/>
  <c r="AK26" i="127"/>
  <c r="U224" i="127"/>
  <c r="V218" i="127"/>
  <c r="AD211" i="127"/>
  <c r="AE220" i="127"/>
  <c r="AD104" i="127"/>
  <c r="V197" i="127"/>
  <c r="V224" i="127"/>
  <c r="V199" i="127"/>
  <c r="V237" i="127" s="1"/>
  <c r="AA115" i="127"/>
  <c r="AI115" i="127"/>
  <c r="U209" i="127"/>
  <c r="W218" i="127"/>
  <c r="Z193" i="127"/>
  <c r="AE130" i="127"/>
  <c r="U26" i="127"/>
  <c r="V26" i="127"/>
  <c r="W26" i="127"/>
  <c r="W199" i="127"/>
  <c r="W237" i="127" s="1"/>
  <c r="V103" i="127"/>
  <c r="AB115" i="127"/>
  <c r="AB174" i="127" s="1"/>
  <c r="AB181" i="127" s="1"/>
  <c r="AJ115" i="127"/>
  <c r="K115" i="127"/>
  <c r="V209" i="127"/>
  <c r="AA193" i="127"/>
  <c r="Z229" i="127"/>
  <c r="V76" i="127"/>
  <c r="W103" i="127"/>
  <c r="U109" i="127"/>
  <c r="G115" i="127"/>
  <c r="O115" i="127"/>
  <c r="AC115" i="127"/>
  <c r="W209" i="127"/>
  <c r="AB193" i="127"/>
  <c r="I233" i="127"/>
  <c r="Q233" i="127"/>
  <c r="AE233" i="127"/>
  <c r="U234" i="127"/>
  <c r="AD234" i="127"/>
  <c r="Y235" i="127"/>
  <c r="AG235" i="127"/>
  <c r="W236" i="127"/>
  <c r="Z220" i="127"/>
  <c r="AA229" i="127"/>
  <c r="AI229" i="127"/>
  <c r="W93" i="127"/>
  <c r="U99" i="127"/>
  <c r="V109" i="127"/>
  <c r="V115" i="127" s="1"/>
  <c r="H115" i="127"/>
  <c r="P115" i="127"/>
  <c r="U114" i="127"/>
  <c r="U192" i="127"/>
  <c r="AC193" i="127"/>
  <c r="V234" i="127"/>
  <c r="AE234" i="127"/>
  <c r="Z235" i="127"/>
  <c r="AH235" i="127"/>
  <c r="AC239" i="127"/>
  <c r="Z211" i="127"/>
  <c r="AI220" i="127"/>
  <c r="AD229" i="127"/>
  <c r="AB229" i="127"/>
  <c r="AJ229" i="127"/>
  <c r="Z130" i="127"/>
  <c r="AK76" i="127"/>
  <c r="U76" i="127"/>
  <c r="V99" i="127"/>
  <c r="U103" i="127"/>
  <c r="W109" i="127"/>
  <c r="I115" i="127"/>
  <c r="Q115" i="127"/>
  <c r="AD193" i="127"/>
  <c r="AD239" i="127"/>
  <c r="AB220" i="127"/>
  <c r="AJ220" i="127"/>
  <c r="AC229" i="127"/>
  <c r="AS13" i="158"/>
  <c r="X25" i="158"/>
  <c r="AH25" i="158"/>
  <c r="AI25" i="158"/>
  <c r="AO48" i="158"/>
  <c r="AD22" i="158"/>
  <c r="AC59" i="158"/>
  <c r="AF59" i="158"/>
  <c r="AP59" i="158"/>
  <c r="BB32" i="159"/>
  <c r="AK32" i="159"/>
  <c r="AY32" i="159"/>
  <c r="W4" i="158"/>
  <c r="O25" i="158"/>
  <c r="AL29" i="158"/>
  <c r="AJ39" i="158"/>
  <c r="P48" i="158"/>
  <c r="AT59" i="158"/>
  <c r="AO4" i="159"/>
  <c r="AE4" i="159"/>
  <c r="BC4" i="159"/>
  <c r="BI6" i="159"/>
  <c r="T6" i="159"/>
  <c r="AB6" i="159"/>
  <c r="AS33" i="159"/>
  <c r="S35" i="159"/>
  <c r="W51" i="159"/>
  <c r="BH57" i="159"/>
  <c r="O57" i="159"/>
  <c r="P9" i="158"/>
  <c r="T13" i="158"/>
  <c r="AA24" i="158"/>
  <c r="R25" i="158"/>
  <c r="N29" i="158"/>
  <c r="AB41" i="158"/>
  <c r="AP48" i="158"/>
  <c r="P59" i="158"/>
  <c r="AV59" i="158"/>
  <c r="AY16" i="159"/>
  <c r="AZ16" i="159"/>
  <c r="R32" i="159"/>
  <c r="Z45" i="159"/>
  <c r="AF49" i="159"/>
  <c r="AO6" i="158"/>
  <c r="AQ35" i="159"/>
  <c r="V35" i="159"/>
  <c r="AG35" i="159"/>
  <c r="AN51" i="159"/>
  <c r="BD51" i="159"/>
  <c r="BH51" i="159"/>
  <c r="AQ26" i="158"/>
  <c r="N26" i="158"/>
  <c r="T29" i="158"/>
  <c r="AB29" i="158"/>
  <c r="AK29" i="158"/>
  <c r="O56" i="158"/>
  <c r="AE33" i="159"/>
  <c r="R13" i="158"/>
  <c r="S20" i="158"/>
  <c r="AN9" i="158"/>
  <c r="AA13" i="158"/>
  <c r="AL24" i="158"/>
  <c r="R24" i="158"/>
  <c r="AO24" i="158"/>
  <c r="S24" i="158"/>
  <c r="AB24" i="158"/>
  <c r="AJ25" i="158"/>
  <c r="X26" i="158"/>
  <c r="O29" i="158"/>
  <c r="AS29" i="158"/>
  <c r="AJ35" i="158"/>
  <c r="Z56" i="158"/>
  <c r="R59" i="158"/>
  <c r="N4" i="159"/>
  <c r="AV6" i="159"/>
  <c r="W32" i="159"/>
  <c r="AP35" i="159"/>
  <c r="BD38" i="159"/>
  <c r="AI38" i="159"/>
  <c r="AQ38" i="159"/>
  <c r="BH45" i="159"/>
  <c r="AP51" i="159"/>
  <c r="W57" i="159"/>
  <c r="AA12" i="158"/>
  <c r="AK13" i="158"/>
  <c r="AE34" i="158"/>
  <c r="R34" i="158"/>
  <c r="Y34" i="158"/>
  <c r="AI58" i="158"/>
  <c r="BE15" i="159"/>
  <c r="BI15" i="159"/>
  <c r="AO18" i="159"/>
  <c r="BH18" i="159"/>
  <c r="BH18" i="161" s="1"/>
  <c r="AZ32" i="159"/>
  <c r="AW35" i="159"/>
  <c r="O8" i="158"/>
  <c r="N24" i="158"/>
  <c r="AH24" i="158"/>
  <c r="AA26" i="158"/>
  <c r="S29" i="158"/>
  <c r="AI56" i="158"/>
  <c r="T59" i="158"/>
  <c r="AU3" i="159"/>
  <c r="AG3" i="159"/>
  <c r="AH3" i="159"/>
  <c r="BD35" i="159"/>
  <c r="Q38" i="159"/>
  <c r="BH44" i="159"/>
  <c r="W44" i="159"/>
  <c r="AE57" i="159"/>
  <c r="AS31" i="158"/>
  <c r="AK29" i="159"/>
  <c r="O144" i="149"/>
  <c r="F148" i="149"/>
  <c r="C139" i="149"/>
  <c r="O129" i="149"/>
  <c r="K9" i="126"/>
  <c r="AE17" i="126" a="1"/>
  <c r="AE17" i="126" s="1"/>
  <c r="AF17" i="126" s="1"/>
  <c r="AC22" i="126" a="1"/>
  <c r="AC22" i="126" s="1"/>
  <c r="AC18" i="126" a="1"/>
  <c r="AC18" i="126" s="1"/>
  <c r="AG15" i="126" a="1"/>
  <c r="AG15" i="126" s="1"/>
  <c r="AI21" i="126" a="1"/>
  <c r="AI21" i="126" s="1"/>
  <c r="AI17" i="126" a="1"/>
  <c r="AI17" i="126" s="1"/>
  <c r="AG22" i="126" a="1"/>
  <c r="AG22" i="126" s="1"/>
  <c r="AG18" i="126" a="1"/>
  <c r="AG18" i="126" s="1"/>
  <c r="AC17" i="126" a="1"/>
  <c r="AC17" i="126" s="1"/>
  <c r="AD17" i="126" s="1"/>
  <c r="AE15" i="126" a="1"/>
  <c r="AE15" i="126" s="1"/>
  <c r="AF15" i="126" s="1"/>
  <c r="AC28" i="126" a="1"/>
  <c r="AC28" i="126" s="1"/>
  <c r="AI23" i="126" a="1"/>
  <c r="AI23" i="126" s="1"/>
  <c r="AI15" i="126" a="1"/>
  <c r="AI15" i="126" s="1"/>
  <c r="AG24" i="126" a="1"/>
  <c r="AG24" i="126" s="1"/>
  <c r="AC15" i="126" a="1"/>
  <c r="AC15" i="126" s="1"/>
  <c r="H186" i="149"/>
  <c r="O166" i="149"/>
  <c r="O197" i="149"/>
  <c r="R119" i="149"/>
  <c r="AK31" i="158"/>
  <c r="AE61" i="158"/>
  <c r="AJ29" i="159"/>
  <c r="AN46" i="159"/>
  <c r="T8" i="126"/>
  <c r="T14" i="124" s="1"/>
  <c r="T11" i="126"/>
  <c r="V14" i="126"/>
  <c r="R15" i="124" s="1"/>
  <c r="T14" i="126"/>
  <c r="AG28" i="126" a="1"/>
  <c r="AG28" i="126" s="1"/>
  <c r="AG26" i="126" a="1"/>
  <c r="AG26" i="126" s="1"/>
  <c r="F29" i="114"/>
  <c r="E15" i="126" s="1" a="1"/>
  <c r="E15" i="126" s="1"/>
  <c r="F27" i="114"/>
  <c r="P30" i="114"/>
  <c r="P28" i="114"/>
  <c r="P15" i="126" s="1" a="1"/>
  <c r="P15" i="126" s="1"/>
  <c r="R24" i="149"/>
  <c r="R87" i="149"/>
  <c r="E139" i="149"/>
  <c r="M139" i="149"/>
  <c r="O134" i="149"/>
  <c r="I148" i="149"/>
  <c r="O145" i="149"/>
  <c r="F186" i="149"/>
  <c r="N186" i="149"/>
  <c r="N217" i="149" s="1"/>
  <c r="H195" i="149"/>
  <c r="C195" i="149"/>
  <c r="O189" i="149"/>
  <c r="K195" i="149"/>
  <c r="O209" i="149"/>
  <c r="C215" i="148"/>
  <c r="Y66" i="114"/>
  <c r="R93" i="149"/>
  <c r="C108" i="149"/>
  <c r="R105" i="149"/>
  <c r="O105" i="149"/>
  <c r="R124" i="149"/>
  <c r="F217" i="149"/>
  <c r="F229" i="149" s="1"/>
  <c r="O146" i="149"/>
  <c r="O150" i="149"/>
  <c r="O156" i="149"/>
  <c r="O163" i="149"/>
  <c r="O172" i="149"/>
  <c r="O179" i="149"/>
  <c r="O192" i="149"/>
  <c r="O210" i="149"/>
  <c r="D205" i="148"/>
  <c r="D217" i="148" s="1"/>
  <c r="AE19" i="126" a="1"/>
  <c r="AE19" i="126" s="1"/>
  <c r="AF19" i="126" s="1"/>
  <c r="AE23" i="126" a="1"/>
  <c r="AE23" i="126" s="1"/>
  <c r="AF23" i="126" s="1"/>
  <c r="Q30" i="114"/>
  <c r="Q31" i="114"/>
  <c r="S17" i="126" s="1" a="1"/>
  <c r="S17" i="126" s="1"/>
  <c r="Y40" i="114"/>
  <c r="AG20" i="126" s="1" a="1"/>
  <c r="AG20" i="126" s="1"/>
  <c r="G42" i="114"/>
  <c r="Y48" i="114"/>
  <c r="G50" i="114"/>
  <c r="H23" i="126" s="1" a="1"/>
  <c r="H23" i="126" s="1"/>
  <c r="Y56" i="114"/>
  <c r="AI25" i="126" s="1" a="1"/>
  <c r="AI25" i="126" s="1"/>
  <c r="G58" i="114"/>
  <c r="F26" i="126" s="1" a="1"/>
  <c r="F26" i="126" s="1"/>
  <c r="G66" i="114"/>
  <c r="R15" i="149"/>
  <c r="M99" i="149"/>
  <c r="M126" i="149" s="1"/>
  <c r="M251" i="149" s="1"/>
  <c r="R71" i="149"/>
  <c r="O97" i="149"/>
  <c r="D148" i="149"/>
  <c r="L148" i="149"/>
  <c r="O143" i="149"/>
  <c r="I186" i="149"/>
  <c r="O151" i="149"/>
  <c r="O153" i="149"/>
  <c r="O160" i="149"/>
  <c r="O167" i="149"/>
  <c r="O169" i="149"/>
  <c r="O176" i="149"/>
  <c r="O183" i="149"/>
  <c r="O185" i="149"/>
  <c r="G195" i="149"/>
  <c r="H206" i="149"/>
  <c r="Q51" i="114"/>
  <c r="X54" i="114"/>
  <c r="F99" i="149"/>
  <c r="F126" i="149" s="1"/>
  <c r="F251" i="149" s="1"/>
  <c r="N99" i="149"/>
  <c r="N126" i="149" s="1"/>
  <c r="N251" i="149" s="1"/>
  <c r="J110" i="149"/>
  <c r="J126" i="149" s="1"/>
  <c r="J251" i="149" s="1"/>
  <c r="I139" i="149"/>
  <c r="O133" i="149"/>
  <c r="J186" i="149"/>
  <c r="D195" i="149"/>
  <c r="L195" i="149"/>
  <c r="O190" i="149"/>
  <c r="O200" i="149"/>
  <c r="C110" i="149"/>
  <c r="C126" i="149" s="1"/>
  <c r="R103" i="149"/>
  <c r="O103" i="149"/>
  <c r="K110" i="149"/>
  <c r="K126" i="149" s="1"/>
  <c r="K251" i="149" s="1"/>
  <c r="O157" i="149"/>
  <c r="O173" i="149"/>
  <c r="O198" i="149"/>
  <c r="P65" i="114"/>
  <c r="R28" i="126" s="1" a="1"/>
  <c r="R28" i="126" s="1"/>
  <c r="P63" i="114"/>
  <c r="P61" i="114"/>
  <c r="P27" i="126" s="1" a="1"/>
  <c r="P27" i="126" s="1"/>
  <c r="P59" i="114"/>
  <c r="R26" i="126" s="1" a="1"/>
  <c r="R26" i="126" s="1"/>
  <c r="X26" i="126" s="1"/>
  <c r="Q55" i="124" s="1"/>
  <c r="P57" i="114"/>
  <c r="P55" i="114"/>
  <c r="P25" i="126" s="1" a="1"/>
  <c r="P25" i="126" s="1"/>
  <c r="V25" i="126" s="1"/>
  <c r="P53" i="114"/>
  <c r="R24" i="126" s="1" a="1"/>
  <c r="R24" i="126" s="1"/>
  <c r="X24" i="126" s="1"/>
  <c r="P51" i="114"/>
  <c r="P49" i="114"/>
  <c r="P23" i="126" s="1" a="1"/>
  <c r="P23" i="126" s="1"/>
  <c r="P47" i="114"/>
  <c r="R22" i="126" s="1" a="1"/>
  <c r="R22" i="126" s="1"/>
  <c r="P45" i="114"/>
  <c r="P43" i="114"/>
  <c r="P21" i="126" s="1" a="1"/>
  <c r="P21" i="126" s="1"/>
  <c r="P41" i="114"/>
  <c r="R20" i="126" s="1" a="1"/>
  <c r="R20" i="126" s="1"/>
  <c r="P39" i="114"/>
  <c r="P37" i="114"/>
  <c r="P19" i="126" s="1" a="1"/>
  <c r="P19" i="126" s="1"/>
  <c r="V19" i="126" s="1"/>
  <c r="P35" i="114"/>
  <c r="R18" i="126" s="1" a="1"/>
  <c r="R18" i="126" s="1"/>
  <c r="X18" i="126" s="1"/>
  <c r="P33" i="114"/>
  <c r="P31" i="114"/>
  <c r="P17" i="126" s="1" a="1"/>
  <c r="P17" i="126" s="1"/>
  <c r="Q66" i="114"/>
  <c r="Q64" i="114"/>
  <c r="S28" i="126" s="1" a="1"/>
  <c r="S28" i="126" s="1"/>
  <c r="V35" i="124" s="1"/>
  <c r="Q62" i="114"/>
  <c r="U27" i="126" s="1" a="1"/>
  <c r="U27" i="126" s="1"/>
  <c r="U16" i="124" s="1"/>
  <c r="Q60" i="114"/>
  <c r="Q58" i="114"/>
  <c r="S26" i="126" s="1" a="1"/>
  <c r="S26" i="126" s="1"/>
  <c r="V55" i="124" s="1"/>
  <c r="Q56" i="114"/>
  <c r="U25" i="126" s="1" a="1"/>
  <c r="U25" i="126" s="1"/>
  <c r="Q54" i="114"/>
  <c r="Q52" i="114"/>
  <c r="S24" i="126" s="1" a="1"/>
  <c r="S24" i="126" s="1"/>
  <c r="Q50" i="114"/>
  <c r="U23" i="126" s="1" a="1"/>
  <c r="U23" i="126" s="1"/>
  <c r="Q48" i="114"/>
  <c r="Q46" i="114"/>
  <c r="S22" i="126" s="1" a="1"/>
  <c r="S22" i="126" s="1"/>
  <c r="V44" i="124" s="1"/>
  <c r="Q44" i="114"/>
  <c r="U21" i="126" s="1" a="1"/>
  <c r="U21" i="126" s="1"/>
  <c r="Q42" i="114"/>
  <c r="Q40" i="114"/>
  <c r="S20" i="126" s="1" a="1"/>
  <c r="S20" i="126" s="1"/>
  <c r="Q38" i="114"/>
  <c r="U19" i="126" s="1" a="1"/>
  <c r="U19" i="126" s="1"/>
  <c r="Q36" i="114"/>
  <c r="P66" i="114"/>
  <c r="P64" i="114"/>
  <c r="P28" i="126" s="1" a="1"/>
  <c r="P28" i="126" s="1"/>
  <c r="P62" i="114"/>
  <c r="R27" i="126" s="1" a="1"/>
  <c r="R27" i="126" s="1"/>
  <c r="P60" i="114"/>
  <c r="P58" i="114"/>
  <c r="P26" i="126" s="1" a="1"/>
  <c r="P26" i="126" s="1"/>
  <c r="P56" i="114"/>
  <c r="R25" i="126" s="1" a="1"/>
  <c r="R25" i="126" s="1"/>
  <c r="P54" i="114"/>
  <c r="P52" i="114"/>
  <c r="P24" i="126" s="1" a="1"/>
  <c r="P24" i="126" s="1"/>
  <c r="P50" i="114"/>
  <c r="R23" i="126" s="1" a="1"/>
  <c r="R23" i="126" s="1"/>
  <c r="P48" i="114"/>
  <c r="P46" i="114"/>
  <c r="P22" i="126" s="1" a="1"/>
  <c r="P22" i="126" s="1"/>
  <c r="P44" i="114"/>
  <c r="R21" i="126" s="1" a="1"/>
  <c r="R21" i="126" s="1"/>
  <c r="P42" i="114"/>
  <c r="P40" i="114"/>
  <c r="P20" i="126" s="1" a="1"/>
  <c r="P20" i="126" s="1"/>
  <c r="P38" i="114"/>
  <c r="R19" i="126" s="1" a="1"/>
  <c r="R19" i="126" s="1"/>
  <c r="P36" i="114"/>
  <c r="P34" i="114"/>
  <c r="P18" i="126" s="1" a="1"/>
  <c r="P18" i="126" s="1"/>
  <c r="P32" i="114"/>
  <c r="R17" i="126" s="1" a="1"/>
  <c r="R17" i="126" s="1"/>
  <c r="O71" i="149"/>
  <c r="D110" i="149"/>
  <c r="L110" i="149"/>
  <c r="L126" i="149" s="1"/>
  <c r="L251" i="149" s="1"/>
  <c r="O128" i="149"/>
  <c r="O130" i="149"/>
  <c r="O131" i="149"/>
  <c r="O141" i="149"/>
  <c r="J148" i="149"/>
  <c r="D186" i="149"/>
  <c r="L186" i="149"/>
  <c r="E195" i="149"/>
  <c r="M195" i="149"/>
  <c r="O194" i="149"/>
  <c r="C206" i="149"/>
  <c r="K206" i="149"/>
  <c r="E206" i="149"/>
  <c r="M206" i="149"/>
  <c r="O204" i="149"/>
  <c r="C221" i="149"/>
  <c r="O220" i="149"/>
  <c r="C225" i="149"/>
  <c r="O223" i="149"/>
  <c r="AE21" i="126" a="1"/>
  <c r="AE21" i="126" s="1"/>
  <c r="AF21" i="126" s="1"/>
  <c r="AE25" i="126" a="1"/>
  <c r="AE25" i="126" s="1"/>
  <c r="AF25" i="126" s="1"/>
  <c r="AI27" i="126" a="1"/>
  <c r="AI27" i="126" s="1"/>
  <c r="F66" i="114"/>
  <c r="F64" i="114"/>
  <c r="C28" i="126" s="1" a="1"/>
  <c r="C28" i="126" s="1"/>
  <c r="I28" i="126" s="1"/>
  <c r="F62" i="114"/>
  <c r="E27" i="126" s="1" a="1"/>
  <c r="E27" i="126" s="1"/>
  <c r="K27" i="126" s="1"/>
  <c r="L16" i="124" s="1"/>
  <c r="F60" i="114"/>
  <c r="F58" i="114"/>
  <c r="C26" i="126" s="1" a="1"/>
  <c r="C26" i="126" s="1"/>
  <c r="F56" i="114"/>
  <c r="E25" i="126" s="1" a="1"/>
  <c r="E25" i="126" s="1"/>
  <c r="K25" i="126" s="1"/>
  <c r="F54" i="114"/>
  <c r="F52" i="114"/>
  <c r="C24" i="126" s="1" a="1"/>
  <c r="C24" i="126" s="1"/>
  <c r="F50" i="114"/>
  <c r="E23" i="126" s="1" a="1"/>
  <c r="E23" i="126" s="1"/>
  <c r="F48" i="114"/>
  <c r="F46" i="114"/>
  <c r="C22" i="126" s="1" a="1"/>
  <c r="C22" i="126" s="1"/>
  <c r="F44" i="114"/>
  <c r="E21" i="126" s="1" a="1"/>
  <c r="E21" i="126" s="1"/>
  <c r="F42" i="114"/>
  <c r="F40" i="114"/>
  <c r="C20" i="126" s="1" a="1"/>
  <c r="C20" i="126" s="1"/>
  <c r="F38" i="114"/>
  <c r="E19" i="126" s="1" a="1"/>
  <c r="E19" i="126" s="1"/>
  <c r="F36" i="114"/>
  <c r="F34" i="114"/>
  <c r="C18" i="126" s="1" a="1"/>
  <c r="C18" i="126" s="1"/>
  <c r="I18" i="126" s="1"/>
  <c r="F32" i="114"/>
  <c r="E17" i="126" s="1" a="1"/>
  <c r="E17" i="126" s="1"/>
  <c r="G65" i="114"/>
  <c r="H28" i="126" s="1" a="1"/>
  <c r="H28" i="126" s="1"/>
  <c r="G63" i="114"/>
  <c r="G61" i="114"/>
  <c r="F27" i="126" s="1" a="1"/>
  <c r="F27" i="126" s="1"/>
  <c r="G59" i="114"/>
  <c r="H26" i="126" s="1" a="1"/>
  <c r="H26" i="126" s="1"/>
  <c r="G57" i="114"/>
  <c r="G55" i="114"/>
  <c r="F25" i="126" s="1" a="1"/>
  <c r="F25" i="126" s="1"/>
  <c r="G53" i="114"/>
  <c r="H24" i="126" s="1" a="1"/>
  <c r="H24" i="126" s="1"/>
  <c r="G24" i="126" s="1"/>
  <c r="G51" i="114"/>
  <c r="G49" i="114"/>
  <c r="F23" i="126" s="1" a="1"/>
  <c r="F23" i="126" s="1"/>
  <c r="G47" i="114"/>
  <c r="H22" i="126" s="1" a="1"/>
  <c r="H22" i="126" s="1"/>
  <c r="G45" i="114"/>
  <c r="G43" i="114"/>
  <c r="F21" i="126" s="1" a="1"/>
  <c r="F21" i="126" s="1"/>
  <c r="G41" i="114"/>
  <c r="H20" i="126" s="1" a="1"/>
  <c r="H20" i="126" s="1"/>
  <c r="G39" i="114"/>
  <c r="G37" i="114"/>
  <c r="F19" i="126" s="1" a="1"/>
  <c r="F19" i="126" s="1"/>
  <c r="G35" i="114"/>
  <c r="H18" i="126" s="1" a="1"/>
  <c r="H18" i="126" s="1"/>
  <c r="F65" i="114"/>
  <c r="E28" i="126" s="1" a="1"/>
  <c r="E28" i="126" s="1"/>
  <c r="F63" i="114"/>
  <c r="F61" i="114"/>
  <c r="C27" i="126" s="1" a="1"/>
  <c r="C27" i="126" s="1"/>
  <c r="D27" i="126" s="1"/>
  <c r="F59" i="114"/>
  <c r="E26" i="126" s="1" a="1"/>
  <c r="E26" i="126" s="1"/>
  <c r="F57" i="114"/>
  <c r="F55" i="114"/>
  <c r="C25" i="126" s="1" a="1"/>
  <c r="C25" i="126" s="1"/>
  <c r="F53" i="114"/>
  <c r="E24" i="126" s="1" a="1"/>
  <c r="E24" i="126" s="1"/>
  <c r="F51" i="114"/>
  <c r="F49" i="114"/>
  <c r="C23" i="126" s="1" a="1"/>
  <c r="C23" i="126" s="1"/>
  <c r="D23" i="126" s="1"/>
  <c r="F47" i="114"/>
  <c r="E22" i="126" s="1" a="1"/>
  <c r="E22" i="126" s="1"/>
  <c r="F45" i="114"/>
  <c r="F43" i="114"/>
  <c r="C21" i="126" s="1" a="1"/>
  <c r="C21" i="126" s="1"/>
  <c r="D21" i="126" s="1"/>
  <c r="F41" i="114"/>
  <c r="E20" i="126" s="1" a="1"/>
  <c r="E20" i="126" s="1"/>
  <c r="F39" i="114"/>
  <c r="F37" i="114"/>
  <c r="C19" i="126" s="1" a="1"/>
  <c r="C19" i="126" s="1"/>
  <c r="D19" i="126" s="1"/>
  <c r="F35" i="114"/>
  <c r="E18" i="126" s="1" a="1"/>
  <c r="E18" i="126" s="1"/>
  <c r="F33" i="114"/>
  <c r="F31" i="114"/>
  <c r="C17" i="126" s="1" a="1"/>
  <c r="C17" i="126" s="1"/>
  <c r="Y65" i="114"/>
  <c r="AI28" i="126" s="1" a="1"/>
  <c r="AI28" i="126" s="1"/>
  <c r="Y63" i="114"/>
  <c r="Y61" i="114"/>
  <c r="AG27" i="126" s="1" a="1"/>
  <c r="AG27" i="126" s="1"/>
  <c r="Y59" i="114"/>
  <c r="AI26" i="126" s="1" a="1"/>
  <c r="AI26" i="126" s="1"/>
  <c r="Y57" i="114"/>
  <c r="Y55" i="114"/>
  <c r="AG25" i="126" s="1" a="1"/>
  <c r="AG25" i="126" s="1"/>
  <c r="Y53" i="114"/>
  <c r="AI24" i="126" s="1" a="1"/>
  <c r="AI24" i="126" s="1"/>
  <c r="Y51" i="114"/>
  <c r="Y49" i="114"/>
  <c r="AG23" i="126" s="1" a="1"/>
  <c r="AG23" i="126" s="1"/>
  <c r="Y47" i="114"/>
  <c r="AI22" i="126" s="1" a="1"/>
  <c r="AI22" i="126" s="1"/>
  <c r="Y45" i="114"/>
  <c r="Y43" i="114"/>
  <c r="AG21" i="126" s="1" a="1"/>
  <c r="AG21" i="126" s="1"/>
  <c r="Y41" i="114"/>
  <c r="AI20" i="126" s="1" a="1"/>
  <c r="AI20" i="126" s="1"/>
  <c r="Y39" i="114"/>
  <c r="Y37" i="114"/>
  <c r="AG19" i="126" s="1" a="1"/>
  <c r="AG19" i="126" s="1"/>
  <c r="Y35" i="114"/>
  <c r="AI18" i="126" s="1" a="1"/>
  <c r="AI18" i="126" s="1"/>
  <c r="Y33" i="114"/>
  <c r="Y31" i="114"/>
  <c r="AG17" i="126" s="1" a="1"/>
  <c r="AG17" i="126" s="1"/>
  <c r="X65" i="114"/>
  <c r="AE28" i="126" s="1" a="1"/>
  <c r="AE28" i="126" s="1"/>
  <c r="AF28" i="126" s="1"/>
  <c r="X63" i="114"/>
  <c r="X61" i="114"/>
  <c r="AC27" i="126" s="1" a="1"/>
  <c r="AC27" i="126" s="1"/>
  <c r="X59" i="114"/>
  <c r="AE26" i="126" s="1" a="1"/>
  <c r="AE26" i="126" s="1"/>
  <c r="X57" i="114"/>
  <c r="X55" i="114"/>
  <c r="AC25" i="126" s="1" a="1"/>
  <c r="AC25" i="126" s="1"/>
  <c r="AD25" i="126" s="1"/>
  <c r="X53" i="114"/>
  <c r="AE24" i="126" s="1" a="1"/>
  <c r="AE24" i="126" s="1"/>
  <c r="X51" i="114"/>
  <c r="X49" i="114"/>
  <c r="AC23" i="126" s="1" a="1"/>
  <c r="AC23" i="126" s="1"/>
  <c r="X47" i="114"/>
  <c r="AE22" i="126" s="1" a="1"/>
  <c r="AE22" i="126" s="1"/>
  <c r="AF22" i="126" s="1"/>
  <c r="X45" i="114"/>
  <c r="X43" i="114"/>
  <c r="AC21" i="126" s="1" a="1"/>
  <c r="AC21" i="126" s="1"/>
  <c r="X41" i="114"/>
  <c r="AE20" i="126" s="1" a="1"/>
  <c r="AE20" i="126" s="1"/>
  <c r="X39" i="114"/>
  <c r="X37" i="114"/>
  <c r="AC19" i="126" s="1" a="1"/>
  <c r="AC19" i="126" s="1"/>
  <c r="X35" i="114"/>
  <c r="AE18" i="126" s="1" a="1"/>
  <c r="AE18" i="126" s="1"/>
  <c r="AF18" i="126" s="1"/>
  <c r="O24" i="149"/>
  <c r="G126" i="149"/>
  <c r="G251" i="149" s="1"/>
  <c r="O87" i="149"/>
  <c r="D139" i="149"/>
  <c r="L139" i="149"/>
  <c r="L217" i="149" s="1"/>
  <c r="H148" i="149"/>
  <c r="H217" i="149" s="1"/>
  <c r="H229" i="149" s="1"/>
  <c r="O142" i="149"/>
  <c r="E186" i="149"/>
  <c r="M186" i="149"/>
  <c r="O152" i="149"/>
  <c r="O159" i="149"/>
  <c r="O161" i="149"/>
  <c r="O168" i="149"/>
  <c r="O175" i="149"/>
  <c r="O177" i="149"/>
  <c r="O184" i="149"/>
  <c r="O188" i="149"/>
  <c r="J195" i="149"/>
  <c r="D206" i="149"/>
  <c r="L206" i="149"/>
  <c r="O116" i="149"/>
  <c r="O119" i="149" s="1"/>
  <c r="G235" i="149"/>
  <c r="G238" i="149" s="1"/>
  <c r="G243" i="149"/>
  <c r="E99" i="148"/>
  <c r="E113" i="148" s="1"/>
  <c r="E222" i="148" s="1"/>
  <c r="M99" i="148"/>
  <c r="M113" i="148" s="1"/>
  <c r="M222" i="148" s="1"/>
  <c r="M112" i="148"/>
  <c r="I205" i="148"/>
  <c r="I217" i="148" s="1"/>
  <c r="E215" i="148"/>
  <c r="M215" i="148"/>
  <c r="L215" i="148"/>
  <c r="T62" i="108"/>
  <c r="R110" i="108"/>
  <c r="R116" i="149"/>
  <c r="G211" i="149"/>
  <c r="O211" i="149" s="1"/>
  <c r="O214" i="149"/>
  <c r="O215" i="149" s="1"/>
  <c r="G221" i="149"/>
  <c r="G227" i="149" s="1"/>
  <c r="E225" i="149"/>
  <c r="E227" i="149" s="1"/>
  <c r="M225" i="149"/>
  <c r="M227" i="149" s="1"/>
  <c r="N113" i="148"/>
  <c r="N222" i="148" s="1"/>
  <c r="O213" i="148"/>
  <c r="G215" i="148"/>
  <c r="H217" i="108"/>
  <c r="E99" i="149"/>
  <c r="E126" i="149" s="1"/>
  <c r="E251" i="149" s="1"/>
  <c r="O111" i="148"/>
  <c r="H205" i="148"/>
  <c r="N221" i="149"/>
  <c r="N227" i="149" s="1"/>
  <c r="O224" i="149"/>
  <c r="C238" i="149"/>
  <c r="O234" i="149"/>
  <c r="I113" i="148"/>
  <c r="I222" i="148" s="1"/>
  <c r="I112" i="148"/>
  <c r="N235" i="149"/>
  <c r="N238" i="149" s="1"/>
  <c r="F235" i="149"/>
  <c r="F238" i="149" s="1"/>
  <c r="M235" i="149"/>
  <c r="M238" i="149" s="1"/>
  <c r="E235" i="149"/>
  <c r="E238" i="149" s="1"/>
  <c r="L235" i="149"/>
  <c r="D235" i="149"/>
  <c r="K235" i="149"/>
  <c r="K238" i="149" s="1"/>
  <c r="C235" i="149"/>
  <c r="J235" i="149"/>
  <c r="J238" i="149" s="1"/>
  <c r="I235" i="149"/>
  <c r="I238" i="149" s="1"/>
  <c r="H235" i="149"/>
  <c r="H238" i="149" s="1"/>
  <c r="D238" i="149"/>
  <c r="L238" i="149"/>
  <c r="J112" i="148"/>
  <c r="I184" i="148"/>
  <c r="I193" i="148" s="1"/>
  <c r="C193" i="148"/>
  <c r="O97" i="108"/>
  <c r="O143" i="108"/>
  <c r="C206" i="108"/>
  <c r="O197" i="108"/>
  <c r="M169" i="107"/>
  <c r="E169" i="107"/>
  <c r="L169" i="107"/>
  <c r="D169" i="107"/>
  <c r="K169" i="107"/>
  <c r="C169" i="107"/>
  <c r="J169" i="107"/>
  <c r="U58" i="107"/>
  <c r="V58" i="107" s="1"/>
  <c r="I169" i="107"/>
  <c r="H169" i="107"/>
  <c r="O58" i="107"/>
  <c r="G169" i="107"/>
  <c r="G128" i="81"/>
  <c r="G101" i="81"/>
  <c r="J184" i="148"/>
  <c r="J193" i="148" s="1"/>
  <c r="J205" i="148" s="1"/>
  <c r="J217" i="148" s="1"/>
  <c r="G203" i="148"/>
  <c r="O87" i="108"/>
  <c r="R103" i="108"/>
  <c r="R124" i="108"/>
  <c r="F139" i="108"/>
  <c r="N139" i="108"/>
  <c r="O135" i="108"/>
  <c r="G186" i="108"/>
  <c r="O154" i="108"/>
  <c r="O162" i="108"/>
  <c r="O167" i="108"/>
  <c r="O189" i="108"/>
  <c r="O190" i="108"/>
  <c r="O214" i="108"/>
  <c r="O215" i="108" s="1"/>
  <c r="I227" i="108"/>
  <c r="I111" i="107"/>
  <c r="I113" i="107" s="1"/>
  <c r="I222" i="107" s="1"/>
  <c r="I112" i="107"/>
  <c r="J111" i="107"/>
  <c r="J113" i="107" s="1"/>
  <c r="J222" i="107" s="1"/>
  <c r="O118" i="107"/>
  <c r="O124" i="107"/>
  <c r="O125" i="107"/>
  <c r="O129" i="107"/>
  <c r="O153" i="107"/>
  <c r="O154" i="107"/>
  <c r="O167" i="107"/>
  <c r="O168" i="107"/>
  <c r="O241" i="149"/>
  <c r="O243" i="149" s="1"/>
  <c r="O73" i="148"/>
  <c r="D99" i="148"/>
  <c r="D113" i="148" s="1"/>
  <c r="D222" i="148" s="1"/>
  <c r="C126" i="148"/>
  <c r="C173" i="148"/>
  <c r="O173" i="148" s="1"/>
  <c r="K184" i="148"/>
  <c r="K193" i="148" s="1"/>
  <c r="K205" i="148" s="1"/>
  <c r="C199" i="148"/>
  <c r="O211" i="148"/>
  <c r="O24" i="108"/>
  <c r="O99" i="108" s="1"/>
  <c r="O62" i="108"/>
  <c r="G139" i="108"/>
  <c r="O132" i="108"/>
  <c r="H186" i="108"/>
  <c r="O151" i="108"/>
  <c r="O186" i="108" s="1"/>
  <c r="O159" i="108"/>
  <c r="O165" i="108"/>
  <c r="O174" i="108"/>
  <c r="O179" i="108"/>
  <c r="C186" i="108"/>
  <c r="H195" i="108"/>
  <c r="O201" i="108"/>
  <c r="O204" i="108"/>
  <c r="J227" i="108"/>
  <c r="O223" i="108"/>
  <c r="O71" i="107"/>
  <c r="J126" i="107"/>
  <c r="J135" i="107"/>
  <c r="H173" i="107"/>
  <c r="O139" i="107"/>
  <c r="O140" i="107"/>
  <c r="O157" i="107"/>
  <c r="O158" i="107"/>
  <c r="O185" i="107"/>
  <c r="O197" i="107"/>
  <c r="O217" i="81"/>
  <c r="C220" i="81"/>
  <c r="L66" i="152"/>
  <c r="I66" i="152"/>
  <c r="H66" i="152"/>
  <c r="O66" i="152"/>
  <c r="G66" i="152"/>
  <c r="D66" i="152"/>
  <c r="N65" i="152"/>
  <c r="F65" i="152"/>
  <c r="N64" i="152"/>
  <c r="F64" i="152"/>
  <c r="N63" i="152"/>
  <c r="F63" i="152"/>
  <c r="N62" i="152"/>
  <c r="F62" i="152"/>
  <c r="N61" i="152"/>
  <c r="F61" i="152"/>
  <c r="N60" i="152"/>
  <c r="F60" i="152"/>
  <c r="N59" i="152"/>
  <c r="F59" i="152"/>
  <c r="N58" i="152"/>
  <c r="F58" i="152"/>
  <c r="N57" i="152"/>
  <c r="F57" i="152"/>
  <c r="N56" i="152"/>
  <c r="F56" i="152"/>
  <c r="M65" i="152"/>
  <c r="E65" i="152"/>
  <c r="M64" i="152"/>
  <c r="E64" i="152"/>
  <c r="M63" i="152"/>
  <c r="E63" i="152"/>
  <c r="M62" i="152"/>
  <c r="E62" i="152"/>
  <c r="M66" i="152"/>
  <c r="K65" i="152"/>
  <c r="K64" i="152"/>
  <c r="K63" i="152"/>
  <c r="K62" i="152"/>
  <c r="K61" i="152"/>
  <c r="K60" i="152"/>
  <c r="K59" i="152"/>
  <c r="K58" i="152"/>
  <c r="K57" i="152"/>
  <c r="K56" i="152"/>
  <c r="K66" i="152"/>
  <c r="J65" i="152"/>
  <c r="J64" i="152"/>
  <c r="J63" i="152"/>
  <c r="J62" i="152"/>
  <c r="J61" i="152"/>
  <c r="J60" i="152"/>
  <c r="J59" i="152"/>
  <c r="J58" i="152"/>
  <c r="J57" i="152"/>
  <c r="J56" i="152"/>
  <c r="J66" i="152"/>
  <c r="I65" i="152"/>
  <c r="I64" i="152"/>
  <c r="I63" i="152"/>
  <c r="I62" i="152"/>
  <c r="I61" i="152"/>
  <c r="I60" i="152"/>
  <c r="I59" i="152"/>
  <c r="I58" i="152"/>
  <c r="I57" i="152"/>
  <c r="I56" i="152"/>
  <c r="I55" i="152"/>
  <c r="F66" i="152"/>
  <c r="H65" i="152"/>
  <c r="H64" i="152"/>
  <c r="H63" i="152"/>
  <c r="H62" i="152"/>
  <c r="H61" i="152"/>
  <c r="H60" i="152"/>
  <c r="H59" i="152"/>
  <c r="H58" i="152"/>
  <c r="H57" i="152"/>
  <c r="H56" i="152"/>
  <c r="E66" i="152"/>
  <c r="O65" i="152"/>
  <c r="G65" i="152"/>
  <c r="O64" i="152"/>
  <c r="G64" i="152"/>
  <c r="O63" i="152"/>
  <c r="G63" i="152"/>
  <c r="O62" i="152"/>
  <c r="G62" i="152"/>
  <c r="O61" i="152"/>
  <c r="G61" i="152"/>
  <c r="O60" i="152"/>
  <c r="G60" i="152"/>
  <c r="O59" i="152"/>
  <c r="G59" i="152"/>
  <c r="O58" i="152"/>
  <c r="G58" i="152"/>
  <c r="O57" i="152"/>
  <c r="G57" i="152"/>
  <c r="L62" i="152"/>
  <c r="M61" i="152"/>
  <c r="E60" i="152"/>
  <c r="M57" i="152"/>
  <c r="D56" i="152"/>
  <c r="H55" i="152"/>
  <c r="L54" i="152"/>
  <c r="D54" i="152"/>
  <c r="L53" i="152"/>
  <c r="D53" i="152"/>
  <c r="L52" i="152"/>
  <c r="D52" i="152"/>
  <c r="L51" i="152"/>
  <c r="D51" i="152"/>
  <c r="L50" i="152"/>
  <c r="D50" i="152"/>
  <c r="L49" i="152"/>
  <c r="D49" i="152"/>
  <c r="L48" i="152"/>
  <c r="D48" i="152"/>
  <c r="L47" i="152"/>
  <c r="D47" i="152"/>
  <c r="L46" i="152"/>
  <c r="D46" i="152"/>
  <c r="L63" i="152"/>
  <c r="D62" i="152"/>
  <c r="L61" i="152"/>
  <c r="D60" i="152"/>
  <c r="L57" i="152"/>
  <c r="G55" i="152"/>
  <c r="K54" i="152"/>
  <c r="K53" i="152"/>
  <c r="K52" i="152"/>
  <c r="K51" i="152"/>
  <c r="K50" i="152"/>
  <c r="K49" i="152"/>
  <c r="K48" i="152"/>
  <c r="K47" i="152"/>
  <c r="K46" i="152"/>
  <c r="L64" i="152"/>
  <c r="D63" i="152"/>
  <c r="E61" i="152"/>
  <c r="M58" i="152"/>
  <c r="E57" i="152"/>
  <c r="O55" i="152"/>
  <c r="F55" i="152"/>
  <c r="J54" i="152"/>
  <c r="J53" i="152"/>
  <c r="J52" i="152"/>
  <c r="J51" i="152"/>
  <c r="J50" i="152"/>
  <c r="J49" i="152"/>
  <c r="J48" i="152"/>
  <c r="J47" i="152"/>
  <c r="J46" i="152"/>
  <c r="L65" i="152"/>
  <c r="D64" i="152"/>
  <c r="D61" i="152"/>
  <c r="L58" i="152"/>
  <c r="D57" i="152"/>
  <c r="O56" i="152"/>
  <c r="N55" i="152"/>
  <c r="E55" i="152"/>
  <c r="I54" i="152"/>
  <c r="I53" i="152"/>
  <c r="I52" i="152"/>
  <c r="I51" i="152"/>
  <c r="I50" i="152"/>
  <c r="I49" i="152"/>
  <c r="I48" i="152"/>
  <c r="I47" i="152"/>
  <c r="D65" i="152"/>
  <c r="M59" i="152"/>
  <c r="E58" i="152"/>
  <c r="M56" i="152"/>
  <c r="M55" i="152"/>
  <c r="D55" i="152"/>
  <c r="H54" i="152"/>
  <c r="H53" i="152"/>
  <c r="H52" i="152"/>
  <c r="H51" i="152"/>
  <c r="H50" i="152"/>
  <c r="H49" i="152"/>
  <c r="H48" i="152"/>
  <c r="H47" i="152"/>
  <c r="L59" i="152"/>
  <c r="D58" i="152"/>
  <c r="L56" i="152"/>
  <c r="L55" i="152"/>
  <c r="O54" i="152"/>
  <c r="G54" i="152"/>
  <c r="O53" i="152"/>
  <c r="G53" i="152"/>
  <c r="O52" i="152"/>
  <c r="G52" i="152"/>
  <c r="O51" i="152"/>
  <c r="G51" i="152"/>
  <c r="O50" i="152"/>
  <c r="G50" i="152"/>
  <c r="O49" i="152"/>
  <c r="G49" i="152"/>
  <c r="O48" i="152"/>
  <c r="G48" i="152"/>
  <c r="O47" i="152"/>
  <c r="G47" i="152"/>
  <c r="O46" i="152"/>
  <c r="G46" i="152"/>
  <c r="N66" i="152"/>
  <c r="M60" i="152"/>
  <c r="E59" i="152"/>
  <c r="G56" i="152"/>
  <c r="K55" i="152"/>
  <c r="N54" i="152"/>
  <c r="F54" i="152"/>
  <c r="N53" i="152"/>
  <c r="F53" i="152"/>
  <c r="N52" i="152"/>
  <c r="F52" i="152"/>
  <c r="N51" i="152"/>
  <c r="F51" i="152"/>
  <c r="N50" i="152"/>
  <c r="F50" i="152"/>
  <c r="L60" i="152"/>
  <c r="D59" i="152"/>
  <c r="E56" i="152"/>
  <c r="J55" i="152"/>
  <c r="M54" i="152"/>
  <c r="E54" i="152"/>
  <c r="M53" i="152"/>
  <c r="E53" i="152"/>
  <c r="M52" i="152"/>
  <c r="E52" i="152"/>
  <c r="M51" i="152"/>
  <c r="E51" i="152"/>
  <c r="M50" i="152"/>
  <c r="E50" i="152"/>
  <c r="M49" i="152"/>
  <c r="E49" i="152"/>
  <c r="M48" i="152"/>
  <c r="E48" i="152"/>
  <c r="E46" i="152"/>
  <c r="L45" i="152"/>
  <c r="D45" i="152"/>
  <c r="L44" i="152"/>
  <c r="D44" i="152"/>
  <c r="L43" i="152"/>
  <c r="D43" i="152"/>
  <c r="L42" i="152"/>
  <c r="D42" i="152"/>
  <c r="L41" i="152"/>
  <c r="D41" i="152"/>
  <c r="L40" i="152"/>
  <c r="D40" i="152"/>
  <c r="K45" i="152"/>
  <c r="K44" i="152"/>
  <c r="K43" i="152"/>
  <c r="K42" i="152"/>
  <c r="K41" i="152"/>
  <c r="K40" i="152"/>
  <c r="K39" i="152"/>
  <c r="K38" i="152"/>
  <c r="K37" i="152"/>
  <c r="K36" i="152"/>
  <c r="K35" i="152"/>
  <c r="J45" i="152"/>
  <c r="J44" i="152"/>
  <c r="J43" i="152"/>
  <c r="J42" i="152"/>
  <c r="J41" i="152"/>
  <c r="J40" i="152"/>
  <c r="N47" i="152"/>
  <c r="N46" i="152"/>
  <c r="I45" i="152"/>
  <c r="I44" i="152"/>
  <c r="I43" i="152"/>
  <c r="I42" i="152"/>
  <c r="I41" i="152"/>
  <c r="I40" i="152"/>
  <c r="I39" i="152"/>
  <c r="I38" i="152"/>
  <c r="I37" i="152"/>
  <c r="I36" i="152"/>
  <c r="I35" i="152"/>
  <c r="N48" i="152"/>
  <c r="M47" i="152"/>
  <c r="M46" i="152"/>
  <c r="H45" i="152"/>
  <c r="H44" i="152"/>
  <c r="H43" i="152"/>
  <c r="H42" i="152"/>
  <c r="H41" i="152"/>
  <c r="H40" i="152"/>
  <c r="H39" i="152"/>
  <c r="H38" i="152"/>
  <c r="H37" i="152"/>
  <c r="H36" i="152"/>
  <c r="H35" i="152"/>
  <c r="N49" i="152"/>
  <c r="F48" i="152"/>
  <c r="F47" i="152"/>
  <c r="I46" i="152"/>
  <c r="O45" i="152"/>
  <c r="G45" i="152"/>
  <c r="O44" i="152"/>
  <c r="G44" i="152"/>
  <c r="O43" i="152"/>
  <c r="G43" i="152"/>
  <c r="O42" i="152"/>
  <c r="G42" i="152"/>
  <c r="O41" i="152"/>
  <c r="G41" i="152"/>
  <c r="O40" i="152"/>
  <c r="G40" i="152"/>
  <c r="O39" i="152"/>
  <c r="G39" i="152"/>
  <c r="O38" i="152"/>
  <c r="G38" i="152"/>
  <c r="O37" i="152"/>
  <c r="G37" i="152"/>
  <c r="O36" i="152"/>
  <c r="G36" i="152"/>
  <c r="O35" i="152"/>
  <c r="G35" i="152"/>
  <c r="F49" i="152"/>
  <c r="E47" i="152"/>
  <c r="H46" i="152"/>
  <c r="N45" i="152"/>
  <c r="F45" i="152"/>
  <c r="N44" i="152"/>
  <c r="F44" i="152"/>
  <c r="N43" i="152"/>
  <c r="F43" i="152"/>
  <c r="N42" i="152"/>
  <c r="F42" i="152"/>
  <c r="N41" i="152"/>
  <c r="F41" i="152"/>
  <c r="N40" i="152"/>
  <c r="F40" i="152"/>
  <c r="N39" i="152"/>
  <c r="F39" i="152"/>
  <c r="N38" i="152"/>
  <c r="F38" i="152"/>
  <c r="N37" i="152"/>
  <c r="F37" i="152"/>
  <c r="N36" i="152"/>
  <c r="F36" i="152"/>
  <c r="N35" i="152"/>
  <c r="F35" i="152"/>
  <c r="M41" i="152"/>
  <c r="E40" i="152"/>
  <c r="E39" i="152"/>
  <c r="L37" i="152"/>
  <c r="D36" i="152"/>
  <c r="J34" i="152"/>
  <c r="J33" i="152"/>
  <c r="J32" i="152"/>
  <c r="J31" i="152"/>
  <c r="M42" i="152"/>
  <c r="E41" i="152"/>
  <c r="D39" i="152"/>
  <c r="J37" i="152"/>
  <c r="M35" i="152"/>
  <c r="I34" i="152"/>
  <c r="I33" i="152"/>
  <c r="I32" i="152"/>
  <c r="I31" i="152"/>
  <c r="I30" i="152"/>
  <c r="I29" i="152"/>
  <c r="I28" i="152"/>
  <c r="I27" i="152"/>
  <c r="I26" i="152"/>
  <c r="I25" i="152"/>
  <c r="M43" i="152"/>
  <c r="E42" i="152"/>
  <c r="M38" i="152"/>
  <c r="E37" i="152"/>
  <c r="L35" i="152"/>
  <c r="H34" i="152"/>
  <c r="H33" i="152"/>
  <c r="H32" i="152"/>
  <c r="H31" i="152"/>
  <c r="M44" i="152"/>
  <c r="E43" i="152"/>
  <c r="L38" i="152"/>
  <c r="D37" i="152"/>
  <c r="J35" i="152"/>
  <c r="O34" i="152"/>
  <c r="G34" i="152"/>
  <c r="O33" i="152"/>
  <c r="G33" i="152"/>
  <c r="O32" i="152"/>
  <c r="G32" i="152"/>
  <c r="O31" i="152"/>
  <c r="G31" i="152"/>
  <c r="O30" i="152"/>
  <c r="G30" i="152"/>
  <c r="O29" i="152"/>
  <c r="G29" i="152"/>
  <c r="O28" i="152"/>
  <c r="G28" i="152"/>
  <c r="O27" i="152"/>
  <c r="G27" i="152"/>
  <c r="O26" i="152"/>
  <c r="G26" i="152"/>
  <c r="O25" i="152"/>
  <c r="G25" i="152"/>
  <c r="M45" i="152"/>
  <c r="E44" i="152"/>
  <c r="J38" i="152"/>
  <c r="M36" i="152"/>
  <c r="E35" i="152"/>
  <c r="N34" i="152"/>
  <c r="F34" i="152"/>
  <c r="N33" i="152"/>
  <c r="F33" i="152"/>
  <c r="N32" i="152"/>
  <c r="F32" i="152"/>
  <c r="N31" i="152"/>
  <c r="F31" i="152"/>
  <c r="N30" i="152"/>
  <c r="F30" i="152"/>
  <c r="N29" i="152"/>
  <c r="F29" i="152"/>
  <c r="N28" i="152"/>
  <c r="F28" i="152"/>
  <c r="N27" i="152"/>
  <c r="F27" i="152"/>
  <c r="N26" i="152"/>
  <c r="F26" i="152"/>
  <c r="E45" i="152"/>
  <c r="M39" i="152"/>
  <c r="E38" i="152"/>
  <c r="L36" i="152"/>
  <c r="D35" i="152"/>
  <c r="M34" i="152"/>
  <c r="E34" i="152"/>
  <c r="M33" i="152"/>
  <c r="E33" i="152"/>
  <c r="M32" i="152"/>
  <c r="E32" i="152"/>
  <c r="M31" i="152"/>
  <c r="E31" i="152"/>
  <c r="M30" i="152"/>
  <c r="E30" i="152"/>
  <c r="M29" i="152"/>
  <c r="E29" i="152"/>
  <c r="M28" i="152"/>
  <c r="E28" i="152"/>
  <c r="M27" i="152"/>
  <c r="E27" i="152"/>
  <c r="M26" i="152"/>
  <c r="E26" i="152"/>
  <c r="L39" i="152"/>
  <c r="D38" i="152"/>
  <c r="J36" i="152"/>
  <c r="L34" i="152"/>
  <c r="D34" i="152"/>
  <c r="L33" i="152"/>
  <c r="D33" i="152"/>
  <c r="L32" i="152"/>
  <c r="D32" i="152"/>
  <c r="L31" i="152"/>
  <c r="D31" i="152"/>
  <c r="L30" i="152"/>
  <c r="D30" i="152"/>
  <c r="L29" i="152"/>
  <c r="D29" i="152"/>
  <c r="L28" i="152"/>
  <c r="D28" i="152"/>
  <c r="L27" i="152"/>
  <c r="D27" i="152"/>
  <c r="L26" i="152"/>
  <c r="D26" i="152"/>
  <c r="M40" i="152"/>
  <c r="K33" i="152"/>
  <c r="K30" i="152"/>
  <c r="J27" i="152"/>
  <c r="H25" i="152"/>
  <c r="N24" i="152"/>
  <c r="F24" i="152"/>
  <c r="N23" i="152"/>
  <c r="F23" i="152"/>
  <c r="N22" i="152"/>
  <c r="F22" i="152"/>
  <c r="K34" i="152"/>
  <c r="J30" i="152"/>
  <c r="H27" i="152"/>
  <c r="F25" i="152"/>
  <c r="M24" i="152"/>
  <c r="E24" i="152"/>
  <c r="M23" i="152"/>
  <c r="E23" i="152"/>
  <c r="M22" i="152"/>
  <c r="E22" i="152"/>
  <c r="M21" i="152"/>
  <c r="E21" i="152"/>
  <c r="M20" i="152"/>
  <c r="E20" i="152"/>
  <c r="M19" i="152"/>
  <c r="E19" i="152"/>
  <c r="M18" i="152"/>
  <c r="E18" i="152"/>
  <c r="M17" i="152"/>
  <c r="E17" i="152"/>
  <c r="M16" i="152"/>
  <c r="E16" i="152"/>
  <c r="J39" i="152"/>
  <c r="E36" i="152"/>
  <c r="H30" i="152"/>
  <c r="K28" i="152"/>
  <c r="E25" i="152"/>
  <c r="L24" i="152"/>
  <c r="D24" i="152"/>
  <c r="L23" i="152"/>
  <c r="D23" i="152"/>
  <c r="L22" i="152"/>
  <c r="D22" i="152"/>
  <c r="F46" i="152"/>
  <c r="J28" i="152"/>
  <c r="N25" i="152"/>
  <c r="D25" i="152"/>
  <c r="K24" i="152"/>
  <c r="K23" i="152"/>
  <c r="K22" i="152"/>
  <c r="K21" i="152"/>
  <c r="K20" i="152"/>
  <c r="K19" i="152"/>
  <c r="K18" i="152"/>
  <c r="K17" i="152"/>
  <c r="K16" i="152"/>
  <c r="H28" i="152"/>
  <c r="K26" i="152"/>
  <c r="M25" i="152"/>
  <c r="J24" i="152"/>
  <c r="J23" i="152"/>
  <c r="J22" i="152"/>
  <c r="J21" i="152"/>
  <c r="J20" i="152"/>
  <c r="J19" i="152"/>
  <c r="J18" i="152"/>
  <c r="J17" i="152"/>
  <c r="J16" i="152"/>
  <c r="K29" i="152"/>
  <c r="J26" i="152"/>
  <c r="L25" i="152"/>
  <c r="I24" i="152"/>
  <c r="I23" i="152"/>
  <c r="I22" i="152"/>
  <c r="I21" i="152"/>
  <c r="I20" i="152"/>
  <c r="I19" i="152"/>
  <c r="I18" i="152"/>
  <c r="I17" i="152"/>
  <c r="I16" i="152"/>
  <c r="K31" i="152"/>
  <c r="J29" i="152"/>
  <c r="H26" i="152"/>
  <c r="K25" i="152"/>
  <c r="H24" i="152"/>
  <c r="H23" i="152"/>
  <c r="H22" i="152"/>
  <c r="H21" i="152"/>
  <c r="H20" i="152"/>
  <c r="H19" i="152"/>
  <c r="H18" i="152"/>
  <c r="H17" i="152"/>
  <c r="H16" i="152"/>
  <c r="J25" i="152"/>
  <c r="G21" i="152"/>
  <c r="N19" i="152"/>
  <c r="F18" i="152"/>
  <c r="L16" i="152"/>
  <c r="L15" i="152"/>
  <c r="D15" i="152"/>
  <c r="L14" i="152"/>
  <c r="D14" i="152"/>
  <c r="L13" i="152"/>
  <c r="D13" i="152"/>
  <c r="L12" i="152"/>
  <c r="D12" i="152"/>
  <c r="L11" i="152"/>
  <c r="D11" i="152"/>
  <c r="L10" i="152"/>
  <c r="D10" i="152"/>
  <c r="L9" i="152"/>
  <c r="D9" i="152"/>
  <c r="L8" i="152"/>
  <c r="F21" i="152"/>
  <c r="L19" i="152"/>
  <c r="D18" i="152"/>
  <c r="O17" i="152"/>
  <c r="G16" i="152"/>
  <c r="K15" i="152"/>
  <c r="K14" i="152"/>
  <c r="K13" i="152"/>
  <c r="K12" i="152"/>
  <c r="K11" i="152"/>
  <c r="K10" i="152"/>
  <c r="K9" i="152"/>
  <c r="K8" i="152"/>
  <c r="K7" i="152"/>
  <c r="K6" i="152"/>
  <c r="K5" i="152"/>
  <c r="K4" i="152"/>
  <c r="K3" i="152"/>
  <c r="K27" i="152"/>
  <c r="D21" i="152"/>
  <c r="O20" i="152"/>
  <c r="G19" i="152"/>
  <c r="N17" i="152"/>
  <c r="F16" i="152"/>
  <c r="J15" i="152"/>
  <c r="J14" i="152"/>
  <c r="J13" i="152"/>
  <c r="J12" i="152"/>
  <c r="J11" i="152"/>
  <c r="N20" i="152"/>
  <c r="F19" i="152"/>
  <c r="L17" i="152"/>
  <c r="D16" i="152"/>
  <c r="I15" i="152"/>
  <c r="I14" i="152"/>
  <c r="I13" i="152"/>
  <c r="I12" i="152"/>
  <c r="I11" i="152"/>
  <c r="I10" i="152"/>
  <c r="I9" i="152"/>
  <c r="I8" i="152"/>
  <c r="I7" i="152"/>
  <c r="I6" i="152"/>
  <c r="I5" i="152"/>
  <c r="I4" i="152"/>
  <c r="I3" i="152"/>
  <c r="M37" i="152"/>
  <c r="O22" i="152"/>
  <c r="L20" i="152"/>
  <c r="D19" i="152"/>
  <c r="O18" i="152"/>
  <c r="G17" i="152"/>
  <c r="H15" i="152"/>
  <c r="H14" i="152"/>
  <c r="H13" i="152"/>
  <c r="H12" i="152"/>
  <c r="H11" i="152"/>
  <c r="H10" i="152"/>
  <c r="H9" i="152"/>
  <c r="H8" i="152"/>
  <c r="H7" i="152"/>
  <c r="H6" i="152"/>
  <c r="H5" i="152"/>
  <c r="H4" i="152"/>
  <c r="H3" i="152"/>
  <c r="H29" i="152"/>
  <c r="O23" i="152"/>
  <c r="G22" i="152"/>
  <c r="O21" i="152"/>
  <c r="G20" i="152"/>
  <c r="N18" i="152"/>
  <c r="F17" i="152"/>
  <c r="O15" i="152"/>
  <c r="G15" i="152"/>
  <c r="O14" i="152"/>
  <c r="G14" i="152"/>
  <c r="O13" i="152"/>
  <c r="G13" i="152"/>
  <c r="O12" i="152"/>
  <c r="G12" i="152"/>
  <c r="O11" i="152"/>
  <c r="G11" i="152"/>
  <c r="O10" i="152"/>
  <c r="G10" i="152"/>
  <c r="O9" i="152"/>
  <c r="G9" i="152"/>
  <c r="O8" i="152"/>
  <c r="G8" i="152"/>
  <c r="O7" i="152"/>
  <c r="G7" i="152"/>
  <c r="O6" i="152"/>
  <c r="G6" i="152"/>
  <c r="O5" i="152"/>
  <c r="G5" i="152"/>
  <c r="O4" i="152"/>
  <c r="G4" i="152"/>
  <c r="O3" i="152"/>
  <c r="G3" i="152"/>
  <c r="O24" i="152"/>
  <c r="G23" i="152"/>
  <c r="N21" i="152"/>
  <c r="F20" i="152"/>
  <c r="L18" i="152"/>
  <c r="D17" i="152"/>
  <c r="O16" i="152"/>
  <c r="N15" i="152"/>
  <c r="F15" i="152"/>
  <c r="N14" i="152"/>
  <c r="F14" i="152"/>
  <c r="N13" i="152"/>
  <c r="F13" i="152"/>
  <c r="N12" i="152"/>
  <c r="F12" i="152"/>
  <c r="N11" i="152"/>
  <c r="F11" i="152"/>
  <c r="N10" i="152"/>
  <c r="F10" i="152"/>
  <c r="N9" i="152"/>
  <c r="F9" i="152"/>
  <c r="N8" i="152"/>
  <c r="F8" i="152"/>
  <c r="N7" i="152"/>
  <c r="F7" i="152"/>
  <c r="N6" i="152"/>
  <c r="F6" i="152"/>
  <c r="N5" i="152"/>
  <c r="F5" i="152"/>
  <c r="N4" i="152"/>
  <c r="F4" i="152"/>
  <c r="N3" i="152"/>
  <c r="F3" i="152"/>
  <c r="M10" i="152"/>
  <c r="E9" i="152"/>
  <c r="M7" i="152"/>
  <c r="E6" i="152"/>
  <c r="L4" i="152"/>
  <c r="D3" i="152"/>
  <c r="M11" i="152"/>
  <c r="J10" i="152"/>
  <c r="L7" i="152"/>
  <c r="D6" i="152"/>
  <c r="J4" i="152"/>
  <c r="L21" i="152"/>
  <c r="G18" i="152"/>
  <c r="M12" i="152"/>
  <c r="E11" i="152"/>
  <c r="E10" i="152"/>
  <c r="J7" i="152"/>
  <c r="M5" i="152"/>
  <c r="E4" i="152"/>
  <c r="K32" i="152"/>
  <c r="M13" i="152"/>
  <c r="E12" i="152"/>
  <c r="E7" i="152"/>
  <c r="L5" i="152"/>
  <c r="D4" i="152"/>
  <c r="M14" i="152"/>
  <c r="E13" i="152"/>
  <c r="M8" i="152"/>
  <c r="D7" i="152"/>
  <c r="J5" i="152"/>
  <c r="M3" i="152"/>
  <c r="D20" i="152"/>
  <c r="M15" i="152"/>
  <c r="E14" i="152"/>
  <c r="J8" i="152"/>
  <c r="M6" i="152"/>
  <c r="E5" i="152"/>
  <c r="L3" i="152"/>
  <c r="G24" i="152"/>
  <c r="E15" i="152"/>
  <c r="M9" i="152"/>
  <c r="E8" i="152"/>
  <c r="L6" i="152"/>
  <c r="D5" i="152"/>
  <c r="J3" i="152"/>
  <c r="O19" i="152"/>
  <c r="N16" i="152"/>
  <c r="J9" i="152"/>
  <c r="D8" i="152"/>
  <c r="J6" i="152"/>
  <c r="M4" i="152"/>
  <c r="E3" i="152"/>
  <c r="F87" i="148"/>
  <c r="F112" i="148" s="1"/>
  <c r="C112" i="148"/>
  <c r="C135" i="148"/>
  <c r="L184" i="148"/>
  <c r="L193" i="148" s="1"/>
  <c r="L205" i="148" s="1"/>
  <c r="L217" i="148" s="1"/>
  <c r="I186" i="108"/>
  <c r="O177" i="108"/>
  <c r="E195" i="108"/>
  <c r="M195" i="108"/>
  <c r="O193" i="108"/>
  <c r="F206" i="108"/>
  <c r="N206" i="108"/>
  <c r="C221" i="108"/>
  <c r="O219" i="108"/>
  <c r="N170" i="107"/>
  <c r="M170" i="107"/>
  <c r="L170" i="107"/>
  <c r="K170" i="107"/>
  <c r="U59" i="107"/>
  <c r="V59" i="107" s="1"/>
  <c r="M184" i="107"/>
  <c r="M193" i="107" s="1"/>
  <c r="M205" i="107" s="1"/>
  <c r="M217" i="107" s="1"/>
  <c r="E184" i="107"/>
  <c r="E193" i="107" s="1"/>
  <c r="E205" i="107" s="1"/>
  <c r="E217" i="107" s="1"/>
  <c r="L184" i="107"/>
  <c r="L193" i="107" s="1"/>
  <c r="E87" i="107"/>
  <c r="O87" i="107" s="1"/>
  <c r="K184" i="107"/>
  <c r="K193" i="107" s="1"/>
  <c r="U73" i="107"/>
  <c r="V73" i="107" s="1"/>
  <c r="J184" i="107"/>
  <c r="J193" i="107" s="1"/>
  <c r="O73" i="107"/>
  <c r="I184" i="107"/>
  <c r="I193" i="107" s="1"/>
  <c r="H184" i="107"/>
  <c r="H193" i="107" s="1"/>
  <c r="G184" i="107"/>
  <c r="G193" i="107" s="1"/>
  <c r="O97" i="107"/>
  <c r="O122" i="107"/>
  <c r="H135" i="107"/>
  <c r="C135" i="107"/>
  <c r="O130" i="107"/>
  <c r="K135" i="107"/>
  <c r="O133" i="107"/>
  <c r="O176" i="107"/>
  <c r="C182" i="107"/>
  <c r="O182" i="107" s="1"/>
  <c r="O177" i="107"/>
  <c r="D193" i="107"/>
  <c r="J101" i="81"/>
  <c r="J128" i="81"/>
  <c r="U73" i="148"/>
  <c r="V73" i="148" s="1"/>
  <c r="C111" i="148"/>
  <c r="C113" i="148" s="1"/>
  <c r="M184" i="148"/>
  <c r="M193" i="148" s="1"/>
  <c r="M205" i="148" s="1"/>
  <c r="M217" i="148" s="1"/>
  <c r="K235" i="108"/>
  <c r="J235" i="108"/>
  <c r="I235" i="108"/>
  <c r="H235" i="108"/>
  <c r="G235" i="108"/>
  <c r="N235" i="108"/>
  <c r="O141" i="108"/>
  <c r="C148" i="108"/>
  <c r="K148" i="108"/>
  <c r="O146" i="108"/>
  <c r="O166" i="108"/>
  <c r="O171" i="108"/>
  <c r="O183" i="108"/>
  <c r="O198" i="108"/>
  <c r="O205" i="108"/>
  <c r="D227" i="108"/>
  <c r="C225" i="108"/>
  <c r="O224" i="108"/>
  <c r="L235" i="108"/>
  <c r="C243" i="108"/>
  <c r="O241" i="108"/>
  <c r="O243" i="108" s="1"/>
  <c r="O15" i="107"/>
  <c r="O59" i="107"/>
  <c r="E112" i="107"/>
  <c r="J173" i="107"/>
  <c r="O148" i="107"/>
  <c r="O166" i="107"/>
  <c r="O172" i="107"/>
  <c r="F184" i="107"/>
  <c r="F193" i="107" s="1"/>
  <c r="F205" i="107" s="1"/>
  <c r="F217" i="107" s="1"/>
  <c r="O201" i="107"/>
  <c r="O203" i="107" s="1"/>
  <c r="O15" i="148"/>
  <c r="O175" i="148"/>
  <c r="F184" i="148"/>
  <c r="F193" i="148" s="1"/>
  <c r="N184" i="148"/>
  <c r="N193" i="148" s="1"/>
  <c r="N205" i="148" s="1"/>
  <c r="N217" i="148" s="1"/>
  <c r="D99" i="108"/>
  <c r="D126" i="108" s="1"/>
  <c r="R126" i="108" s="1"/>
  <c r="O103" i="108"/>
  <c r="G233" i="108"/>
  <c r="N233" i="108"/>
  <c r="M233" i="108"/>
  <c r="L233" i="108"/>
  <c r="G119" i="108"/>
  <c r="R119" i="108" s="1"/>
  <c r="K233" i="108"/>
  <c r="J233" i="108"/>
  <c r="C139" i="108"/>
  <c r="O169" i="108"/>
  <c r="O188" i="108"/>
  <c r="C195" i="108"/>
  <c r="C211" i="108"/>
  <c r="O211" i="108" s="1"/>
  <c r="O209" i="108"/>
  <c r="M235" i="108"/>
  <c r="V248" i="107"/>
  <c r="V249" i="107"/>
  <c r="V247" i="107"/>
  <c r="V246" i="107"/>
  <c r="V245" i="107"/>
  <c r="V254" i="107"/>
  <c r="V244" i="107"/>
  <c r="V243" i="107"/>
  <c r="V252" i="107"/>
  <c r="O116" i="107"/>
  <c r="C126" i="107"/>
  <c r="O117" i="107"/>
  <c r="O128" i="107"/>
  <c r="O151" i="107"/>
  <c r="F169" i="107"/>
  <c r="N184" i="107"/>
  <c r="N193" i="107" s="1"/>
  <c r="O195" i="107"/>
  <c r="D101" i="81"/>
  <c r="D128" i="81"/>
  <c r="L101" i="81"/>
  <c r="L128" i="81"/>
  <c r="O232" i="149"/>
  <c r="G184" i="148"/>
  <c r="G193" i="148" s="1"/>
  <c r="O114" i="108"/>
  <c r="O128" i="108"/>
  <c r="O136" i="108"/>
  <c r="D186" i="108"/>
  <c r="L186" i="108"/>
  <c r="O155" i="108"/>
  <c r="O163" i="108"/>
  <c r="O181" i="108"/>
  <c r="D195" i="108"/>
  <c r="L195" i="108"/>
  <c r="I206" i="108"/>
  <c r="O237" i="108"/>
  <c r="E99" i="107"/>
  <c r="E113" i="107" s="1"/>
  <c r="E222" i="107" s="1"/>
  <c r="C62" i="107"/>
  <c r="K62" i="107"/>
  <c r="K99" i="107" s="1"/>
  <c r="K113" i="107" s="1"/>
  <c r="K222" i="107" s="1"/>
  <c r="F112" i="107"/>
  <c r="N112" i="107"/>
  <c r="M112" i="107"/>
  <c r="D126" i="107"/>
  <c r="L126" i="107"/>
  <c r="D173" i="107"/>
  <c r="O173" i="107" s="1"/>
  <c r="L173" i="107"/>
  <c r="N169" i="107"/>
  <c r="O175" i="107"/>
  <c r="C199" i="107"/>
  <c r="O196" i="107"/>
  <c r="D235" i="81"/>
  <c r="D237" i="81" s="1"/>
  <c r="O233" i="81"/>
  <c r="O207" i="148"/>
  <c r="O108" i="108"/>
  <c r="R114" i="108"/>
  <c r="D139" i="108"/>
  <c r="D217" i="108" s="1"/>
  <c r="L139" i="108"/>
  <c r="F148" i="108"/>
  <c r="N148" i="108"/>
  <c r="E186" i="108"/>
  <c r="M186" i="108"/>
  <c r="M217" i="108" s="1"/>
  <c r="M229" i="108" s="1"/>
  <c r="O170" i="108"/>
  <c r="O175" i="108"/>
  <c r="O191" i="108"/>
  <c r="O192" i="108"/>
  <c r="J206" i="108"/>
  <c r="O220" i="108"/>
  <c r="H233" i="108"/>
  <c r="O109" i="107"/>
  <c r="G126" i="107"/>
  <c r="O115" i="107"/>
  <c r="I126" i="107"/>
  <c r="O120" i="107"/>
  <c r="O121" i="107"/>
  <c r="I135" i="107"/>
  <c r="O131" i="107"/>
  <c r="O145" i="107"/>
  <c r="O146" i="107"/>
  <c r="O159" i="107"/>
  <c r="O160" i="107"/>
  <c r="O178" i="107"/>
  <c r="O186" i="107"/>
  <c r="O187" i="107"/>
  <c r="L226" i="81"/>
  <c r="F225" i="108"/>
  <c r="F227" i="108" s="1"/>
  <c r="H232" i="108"/>
  <c r="L234" i="108"/>
  <c r="AC66" i="152"/>
  <c r="U66" i="152"/>
  <c r="AB66" i="152"/>
  <c r="AA66" i="152"/>
  <c r="Z66" i="152"/>
  <c r="Z65" i="152"/>
  <c r="Y66" i="152"/>
  <c r="X66" i="152"/>
  <c r="X65" i="152"/>
  <c r="T66" i="152"/>
  <c r="W65" i="152"/>
  <c r="W64" i="152"/>
  <c r="W63" i="152"/>
  <c r="W62" i="152"/>
  <c r="W61" i="152"/>
  <c r="W60" i="152"/>
  <c r="W59" i="152"/>
  <c r="W58" i="152"/>
  <c r="W57" i="152"/>
  <c r="W56" i="152"/>
  <c r="S66" i="152"/>
  <c r="V65" i="152"/>
  <c r="AD64" i="152"/>
  <c r="V64" i="152"/>
  <c r="AD63" i="152"/>
  <c r="V63" i="152"/>
  <c r="AD62" i="152"/>
  <c r="V62" i="152"/>
  <c r="AD61" i="152"/>
  <c r="AD65" i="152"/>
  <c r="T65" i="152"/>
  <c r="AB64" i="152"/>
  <c r="T64" i="152"/>
  <c r="AB63" i="152"/>
  <c r="T63" i="152"/>
  <c r="AB62" i="152"/>
  <c r="T62" i="152"/>
  <c r="AB61" i="152"/>
  <c r="T61" i="152"/>
  <c r="AB60" i="152"/>
  <c r="T60" i="152"/>
  <c r="AB59" i="152"/>
  <c r="T59" i="152"/>
  <c r="AB58" i="152"/>
  <c r="T58" i="152"/>
  <c r="AB57" i="152"/>
  <c r="T57" i="152"/>
  <c r="AB56" i="152"/>
  <c r="T56" i="152"/>
  <c r="AB55" i="152"/>
  <c r="AC65" i="152"/>
  <c r="S65" i="152"/>
  <c r="AA64" i="152"/>
  <c r="S64" i="152"/>
  <c r="AA63" i="152"/>
  <c r="S63" i="152"/>
  <c r="AA62" i="152"/>
  <c r="S62" i="152"/>
  <c r="AA61" i="152"/>
  <c r="S61" i="152"/>
  <c r="AA60" i="152"/>
  <c r="S60" i="152"/>
  <c r="AA59" i="152"/>
  <c r="S59" i="152"/>
  <c r="AA58" i="152"/>
  <c r="S58" i="152"/>
  <c r="AA57" i="152"/>
  <c r="S57" i="152"/>
  <c r="AA56" i="152"/>
  <c r="S56" i="152"/>
  <c r="AD66" i="152"/>
  <c r="AB65" i="152"/>
  <c r="Z64" i="152"/>
  <c r="Z63" i="152"/>
  <c r="Z62" i="152"/>
  <c r="Z61" i="152"/>
  <c r="Z60" i="152"/>
  <c r="Z59" i="152"/>
  <c r="Z58" i="152"/>
  <c r="Z57" i="152"/>
  <c r="Z56" i="152"/>
  <c r="Z55" i="152"/>
  <c r="W66" i="152"/>
  <c r="AA65" i="152"/>
  <c r="Y64" i="152"/>
  <c r="Y63" i="152"/>
  <c r="Y62" i="152"/>
  <c r="Y61" i="152"/>
  <c r="Y60" i="152"/>
  <c r="Y59" i="152"/>
  <c r="Y58" i="152"/>
  <c r="Y57" i="152"/>
  <c r="Y56" i="152"/>
  <c r="V66" i="152"/>
  <c r="Y65" i="152"/>
  <c r="X64" i="152"/>
  <c r="X63" i="152"/>
  <c r="X62" i="152"/>
  <c r="X61" i="152"/>
  <c r="X60" i="152"/>
  <c r="X59" i="152"/>
  <c r="X58" i="152"/>
  <c r="X57" i="152"/>
  <c r="AC64" i="152"/>
  <c r="U63" i="152"/>
  <c r="AD59" i="152"/>
  <c r="V58" i="152"/>
  <c r="X56" i="152"/>
  <c r="AC55" i="152"/>
  <c r="S55" i="152"/>
  <c r="AC54" i="152"/>
  <c r="U54" i="152"/>
  <c r="AC53" i="152"/>
  <c r="U53" i="152"/>
  <c r="AC52" i="152"/>
  <c r="U52" i="152"/>
  <c r="AC51" i="152"/>
  <c r="U51" i="152"/>
  <c r="AC50" i="152"/>
  <c r="U50" i="152"/>
  <c r="AC49" i="152"/>
  <c r="U49" i="152"/>
  <c r="AC48" i="152"/>
  <c r="U48" i="152"/>
  <c r="AC47" i="152"/>
  <c r="U47" i="152"/>
  <c r="AC46" i="152"/>
  <c r="U46" i="152"/>
  <c r="U64" i="152"/>
  <c r="AC59" i="152"/>
  <c r="U58" i="152"/>
  <c r="V56" i="152"/>
  <c r="AA55" i="152"/>
  <c r="AB54" i="152"/>
  <c r="T54" i="152"/>
  <c r="AB53" i="152"/>
  <c r="T53" i="152"/>
  <c r="AB52" i="152"/>
  <c r="T52" i="152"/>
  <c r="AB51" i="152"/>
  <c r="T51" i="152"/>
  <c r="AB50" i="152"/>
  <c r="T50" i="152"/>
  <c r="AB49" i="152"/>
  <c r="T49" i="152"/>
  <c r="AB48" i="152"/>
  <c r="T48" i="152"/>
  <c r="AB47" i="152"/>
  <c r="T47" i="152"/>
  <c r="AB46" i="152"/>
  <c r="T46" i="152"/>
  <c r="U65" i="152"/>
  <c r="AD60" i="152"/>
  <c r="V59" i="152"/>
  <c r="U56" i="152"/>
  <c r="Y55" i="152"/>
  <c r="AA54" i="152"/>
  <c r="S54" i="152"/>
  <c r="AA53" i="152"/>
  <c r="S53" i="152"/>
  <c r="AA52" i="152"/>
  <c r="S52" i="152"/>
  <c r="AA51" i="152"/>
  <c r="S51" i="152"/>
  <c r="AJ47" i="124" s="1"/>
  <c r="AA50" i="152"/>
  <c r="S50" i="152"/>
  <c r="AA49" i="152"/>
  <c r="S49" i="152"/>
  <c r="AA48" i="152"/>
  <c r="S48" i="152"/>
  <c r="AA47" i="152"/>
  <c r="S47" i="152"/>
  <c r="AJ64" i="124" s="1"/>
  <c r="AA46" i="152"/>
  <c r="S46" i="152"/>
  <c r="AC60" i="152"/>
  <c r="U59" i="152"/>
  <c r="X55" i="152"/>
  <c r="Z54" i="152"/>
  <c r="Z53" i="152"/>
  <c r="Z52" i="152"/>
  <c r="Z51" i="152"/>
  <c r="Z50" i="152"/>
  <c r="Z49" i="152"/>
  <c r="Z48" i="152"/>
  <c r="Z47" i="152"/>
  <c r="Z46" i="152"/>
  <c r="V60" i="152"/>
  <c r="AD57" i="152"/>
  <c r="W55" i="152"/>
  <c r="Y54" i="152"/>
  <c r="Y53" i="152"/>
  <c r="Y52" i="152"/>
  <c r="Y51" i="152"/>
  <c r="Y50" i="152"/>
  <c r="Y49" i="152"/>
  <c r="Y48" i="152"/>
  <c r="Y47" i="152"/>
  <c r="Y46" i="152"/>
  <c r="AC61" i="152"/>
  <c r="U60" i="152"/>
  <c r="AC57" i="152"/>
  <c r="V55" i="152"/>
  <c r="X54" i="152"/>
  <c r="X53" i="152"/>
  <c r="X52" i="152"/>
  <c r="X51" i="152"/>
  <c r="X50" i="152"/>
  <c r="X49" i="152"/>
  <c r="X48" i="152"/>
  <c r="X47" i="152"/>
  <c r="X46" i="152"/>
  <c r="AC62" i="152"/>
  <c r="V61" i="152"/>
  <c r="AD58" i="152"/>
  <c r="V57" i="152"/>
  <c r="AD56" i="152"/>
  <c r="U55" i="152"/>
  <c r="W54" i="152"/>
  <c r="W53" i="152"/>
  <c r="W52" i="152"/>
  <c r="W51" i="152"/>
  <c r="W50" i="152"/>
  <c r="AC63" i="152"/>
  <c r="U62" i="152"/>
  <c r="U61" i="152"/>
  <c r="AC58" i="152"/>
  <c r="U57" i="152"/>
  <c r="AC56" i="152"/>
  <c r="AD55" i="152"/>
  <c r="T55" i="152"/>
  <c r="AD54" i="152"/>
  <c r="V54" i="152"/>
  <c r="AD53" i="152"/>
  <c r="V53" i="152"/>
  <c r="AD52" i="152"/>
  <c r="V52" i="152"/>
  <c r="AD51" i="152"/>
  <c r="V51" i="152"/>
  <c r="AD50" i="152"/>
  <c r="V50" i="152"/>
  <c r="AD49" i="152"/>
  <c r="V49" i="152"/>
  <c r="AD48" i="152"/>
  <c r="V48" i="152"/>
  <c r="AD47" i="152"/>
  <c r="V47" i="152"/>
  <c r="V46" i="152"/>
  <c r="AC45" i="152"/>
  <c r="U45" i="152"/>
  <c r="AC44" i="152"/>
  <c r="U44" i="152"/>
  <c r="AC43" i="152"/>
  <c r="U43" i="152"/>
  <c r="AC42" i="152"/>
  <c r="U42" i="152"/>
  <c r="AC41" i="152"/>
  <c r="U41" i="152"/>
  <c r="AC40" i="152"/>
  <c r="U40" i="152"/>
  <c r="AB45" i="152"/>
  <c r="T45" i="152"/>
  <c r="AB44" i="152"/>
  <c r="T44" i="152"/>
  <c r="AB43" i="152"/>
  <c r="T43" i="152"/>
  <c r="AB42" i="152"/>
  <c r="T42" i="152"/>
  <c r="AB41" i="152"/>
  <c r="T41" i="152"/>
  <c r="AB40" i="152"/>
  <c r="T40" i="152"/>
  <c r="AB39" i="152"/>
  <c r="T39" i="152"/>
  <c r="AB38" i="152"/>
  <c r="T38" i="152"/>
  <c r="AB37" i="152"/>
  <c r="T37" i="152"/>
  <c r="AB36" i="152"/>
  <c r="T36" i="152"/>
  <c r="AB35" i="152"/>
  <c r="T35" i="152"/>
  <c r="W47" i="152"/>
  <c r="AA45" i="152"/>
  <c r="S45" i="152"/>
  <c r="AJ62" i="124" s="1"/>
  <c r="AA44" i="152"/>
  <c r="S44" i="152"/>
  <c r="AA43" i="152"/>
  <c r="S43" i="152"/>
  <c r="AA42" i="152"/>
  <c r="S42" i="152"/>
  <c r="AA41" i="152"/>
  <c r="S41" i="152"/>
  <c r="AJ28" i="124" s="1"/>
  <c r="AA40" i="152"/>
  <c r="S40" i="152"/>
  <c r="W48" i="152"/>
  <c r="Z45" i="152"/>
  <c r="Z44" i="152"/>
  <c r="Z43" i="152"/>
  <c r="Z42" i="152"/>
  <c r="Z41" i="152"/>
  <c r="Z40" i="152"/>
  <c r="Z39" i="152"/>
  <c r="Z38" i="152"/>
  <c r="Z37" i="152"/>
  <c r="Z36" i="152"/>
  <c r="Z35" i="152"/>
  <c r="W49" i="152"/>
  <c r="Y45" i="152"/>
  <c r="Y44" i="152"/>
  <c r="Y43" i="152"/>
  <c r="Y42" i="152"/>
  <c r="Y41" i="152"/>
  <c r="Y40" i="152"/>
  <c r="Y39" i="152"/>
  <c r="Y38" i="152"/>
  <c r="Y37" i="152"/>
  <c r="Y36" i="152"/>
  <c r="Y35" i="152"/>
  <c r="X45" i="152"/>
  <c r="X44" i="152"/>
  <c r="X43" i="152"/>
  <c r="X42" i="152"/>
  <c r="X41" i="152"/>
  <c r="X40" i="152"/>
  <c r="X39" i="152"/>
  <c r="X38" i="152"/>
  <c r="X37" i="152"/>
  <c r="X36" i="152"/>
  <c r="X35" i="152"/>
  <c r="X34" i="152"/>
  <c r="AD46" i="152"/>
  <c r="W45" i="152"/>
  <c r="W44" i="152"/>
  <c r="W43" i="152"/>
  <c r="W42" i="152"/>
  <c r="W41" i="152"/>
  <c r="W40" i="152"/>
  <c r="W39" i="152"/>
  <c r="W38" i="152"/>
  <c r="W37" i="152"/>
  <c r="W36" i="152"/>
  <c r="W35" i="152"/>
  <c r="AD43" i="152"/>
  <c r="V42" i="152"/>
  <c r="AC39" i="152"/>
  <c r="U38" i="152"/>
  <c r="AA36" i="152"/>
  <c r="S35" i="152"/>
  <c r="AB34" i="152"/>
  <c r="S34" i="152"/>
  <c r="AA33" i="152"/>
  <c r="S33" i="152"/>
  <c r="AA32" i="152"/>
  <c r="S32" i="152"/>
  <c r="AA31" i="152"/>
  <c r="S31" i="152"/>
  <c r="AJ17" i="124" s="1"/>
  <c r="AD44" i="152"/>
  <c r="V43" i="152"/>
  <c r="AA39" i="152"/>
  <c r="S38" i="152"/>
  <c r="AD37" i="152"/>
  <c r="V36" i="152"/>
  <c r="AA34" i="152"/>
  <c r="Z33" i="152"/>
  <c r="Z32" i="152"/>
  <c r="Z31" i="152"/>
  <c r="Z30" i="152"/>
  <c r="Z29" i="152"/>
  <c r="Z28" i="152"/>
  <c r="Z27" i="152"/>
  <c r="Z26" i="152"/>
  <c r="Z25" i="152"/>
  <c r="AD45" i="152"/>
  <c r="V44" i="152"/>
  <c r="V39" i="152"/>
  <c r="AC37" i="152"/>
  <c r="U36" i="152"/>
  <c r="Z34" i="152"/>
  <c r="Y33" i="152"/>
  <c r="Y32" i="152"/>
  <c r="Y31" i="152"/>
  <c r="V45" i="152"/>
  <c r="U39" i="152"/>
  <c r="AA37" i="152"/>
  <c r="S36" i="152"/>
  <c r="AJ24" i="124" s="1"/>
  <c r="AD35" i="152"/>
  <c r="Y34" i="152"/>
  <c r="X33" i="152"/>
  <c r="X32" i="152"/>
  <c r="X31" i="152"/>
  <c r="X30" i="152"/>
  <c r="X29" i="152"/>
  <c r="X28" i="152"/>
  <c r="X27" i="152"/>
  <c r="X26" i="152"/>
  <c r="X25" i="152"/>
  <c r="S39" i="152"/>
  <c r="AD38" i="152"/>
  <c r="V37" i="152"/>
  <c r="AC35" i="152"/>
  <c r="W34" i="152"/>
  <c r="W33" i="152"/>
  <c r="W32" i="152"/>
  <c r="W31" i="152"/>
  <c r="W30" i="152"/>
  <c r="W29" i="152"/>
  <c r="W28" i="152"/>
  <c r="W27" i="152"/>
  <c r="W26" i="152"/>
  <c r="W25" i="152"/>
  <c r="AD40" i="152"/>
  <c r="AC38" i="152"/>
  <c r="U37" i="152"/>
  <c r="AA35" i="152"/>
  <c r="V34" i="152"/>
  <c r="AD33" i="152"/>
  <c r="V33" i="152"/>
  <c r="AD32" i="152"/>
  <c r="V32" i="152"/>
  <c r="AD31" i="152"/>
  <c r="V31" i="152"/>
  <c r="AD30" i="152"/>
  <c r="V30" i="152"/>
  <c r="AD29" i="152"/>
  <c r="V29" i="152"/>
  <c r="AD28" i="152"/>
  <c r="V28" i="152"/>
  <c r="AD27" i="152"/>
  <c r="V27" i="152"/>
  <c r="AD26" i="152"/>
  <c r="V26" i="152"/>
  <c r="W46" i="152"/>
  <c r="AD41" i="152"/>
  <c r="V40" i="152"/>
  <c r="AA38" i="152"/>
  <c r="S37" i="152"/>
  <c r="AD36" i="152"/>
  <c r="V35" i="152"/>
  <c r="AD34" i="152"/>
  <c r="U34" i="152"/>
  <c r="AC33" i="152"/>
  <c r="U33" i="152"/>
  <c r="AC32" i="152"/>
  <c r="U32" i="152"/>
  <c r="AC31" i="152"/>
  <c r="U31" i="152"/>
  <c r="AC30" i="152"/>
  <c r="U30" i="152"/>
  <c r="AC29" i="152"/>
  <c r="U29" i="152"/>
  <c r="AC28" i="152"/>
  <c r="U28" i="152"/>
  <c r="AC27" i="152"/>
  <c r="U27" i="152"/>
  <c r="AC26" i="152"/>
  <c r="U26" i="152"/>
  <c r="AC25" i="152"/>
  <c r="U25" i="152"/>
  <c r="T34" i="152"/>
  <c r="AA29" i="152"/>
  <c r="S28" i="152"/>
  <c r="Y26" i="152"/>
  <c r="T25" i="152"/>
  <c r="W24" i="152"/>
  <c r="W23" i="152"/>
  <c r="W22" i="152"/>
  <c r="AD39" i="152"/>
  <c r="AC36" i="152"/>
  <c r="Y29" i="152"/>
  <c r="AB27" i="152"/>
  <c r="T26" i="152"/>
  <c r="S25" i="152"/>
  <c r="AD24" i="152"/>
  <c r="V24" i="152"/>
  <c r="AD23" i="152"/>
  <c r="V23" i="152"/>
  <c r="AD22" i="152"/>
  <c r="V22" i="152"/>
  <c r="AD21" i="152"/>
  <c r="V21" i="152"/>
  <c r="AD20" i="152"/>
  <c r="V20" i="152"/>
  <c r="AD19" i="152"/>
  <c r="V19" i="152"/>
  <c r="AD18" i="152"/>
  <c r="V18" i="152"/>
  <c r="AD17" i="152"/>
  <c r="V17" i="152"/>
  <c r="AD16" i="152"/>
  <c r="V16" i="152"/>
  <c r="AB30" i="152"/>
  <c r="T29" i="152"/>
  <c r="AA27" i="152"/>
  <c r="S26" i="152"/>
  <c r="AC24" i="152"/>
  <c r="U24" i="152"/>
  <c r="AC23" i="152"/>
  <c r="U23" i="152"/>
  <c r="AC22" i="152"/>
  <c r="U22" i="152"/>
  <c r="AA30" i="152"/>
  <c r="S29" i="152"/>
  <c r="Y27" i="152"/>
  <c r="AD25" i="152"/>
  <c r="AB24" i="152"/>
  <c r="T24" i="152"/>
  <c r="AB23" i="152"/>
  <c r="T23" i="152"/>
  <c r="AB22" i="152"/>
  <c r="T22" i="152"/>
  <c r="AB21" i="152"/>
  <c r="T21" i="152"/>
  <c r="AB20" i="152"/>
  <c r="T20" i="152"/>
  <c r="AB19" i="152"/>
  <c r="T19" i="152"/>
  <c r="AB18" i="152"/>
  <c r="T18" i="152"/>
  <c r="AB17" i="152"/>
  <c r="T17" i="152"/>
  <c r="AB16" i="152"/>
  <c r="T16" i="152"/>
  <c r="V38" i="152"/>
  <c r="U35" i="152"/>
  <c r="AB31" i="152"/>
  <c r="Y30" i="152"/>
  <c r="AB28" i="152"/>
  <c r="T27" i="152"/>
  <c r="AB25" i="152"/>
  <c r="AA24" i="152"/>
  <c r="S24" i="152"/>
  <c r="AA23" i="152"/>
  <c r="S23" i="152"/>
  <c r="AA22" i="152"/>
  <c r="S22" i="152"/>
  <c r="AA21" i="152"/>
  <c r="S21" i="152"/>
  <c r="AJ4" i="124" s="1"/>
  <c r="AA20" i="152"/>
  <c r="S20" i="152"/>
  <c r="AA19" i="152"/>
  <c r="S19" i="152"/>
  <c r="AA18" i="152"/>
  <c r="S18" i="152"/>
  <c r="AA17" i="152"/>
  <c r="S17" i="152"/>
  <c r="AA16" i="152"/>
  <c r="S16" i="152"/>
  <c r="AB32" i="152"/>
  <c r="T31" i="152"/>
  <c r="T30" i="152"/>
  <c r="AA28" i="152"/>
  <c r="S27" i="152"/>
  <c r="AA25" i="152"/>
  <c r="Z24" i="152"/>
  <c r="Z23" i="152"/>
  <c r="Z22" i="152"/>
  <c r="Z21" i="152"/>
  <c r="Z20" i="152"/>
  <c r="Z19" i="152"/>
  <c r="Z18" i="152"/>
  <c r="Z17" i="152"/>
  <c r="Z16" i="152"/>
  <c r="AD42" i="152"/>
  <c r="AB33" i="152"/>
  <c r="T32" i="152"/>
  <c r="S30" i="152"/>
  <c r="AE30" i="152" s="1"/>
  <c r="AF30" i="152" s="1"/>
  <c r="Y28" i="152"/>
  <c r="AB26" i="152"/>
  <c r="Y25" i="152"/>
  <c r="Y24" i="152"/>
  <c r="Y23" i="152"/>
  <c r="Y22" i="152"/>
  <c r="Y21" i="152"/>
  <c r="Y20" i="152"/>
  <c r="Y19" i="152"/>
  <c r="Y18" i="152"/>
  <c r="Y17" i="152"/>
  <c r="Y16" i="152"/>
  <c r="W20" i="152"/>
  <c r="AC18" i="152"/>
  <c r="U17" i="152"/>
  <c r="AC15" i="152"/>
  <c r="U15" i="152"/>
  <c r="AC14" i="152"/>
  <c r="U14" i="152"/>
  <c r="AC13" i="152"/>
  <c r="U13" i="152"/>
  <c r="AC12" i="152"/>
  <c r="U12" i="152"/>
  <c r="AC11" i="152"/>
  <c r="U11" i="152"/>
  <c r="AC10" i="152"/>
  <c r="U10" i="152"/>
  <c r="AC9" i="152"/>
  <c r="U9" i="152"/>
  <c r="AC8" i="152"/>
  <c r="U8" i="152"/>
  <c r="AC21" i="152"/>
  <c r="U20" i="152"/>
  <c r="X18" i="152"/>
  <c r="AB15" i="152"/>
  <c r="T15" i="152"/>
  <c r="AB14" i="152"/>
  <c r="T14" i="152"/>
  <c r="AB13" i="152"/>
  <c r="T13" i="152"/>
  <c r="AB12" i="152"/>
  <c r="T12" i="152"/>
  <c r="AB11" i="152"/>
  <c r="T11" i="152"/>
  <c r="AB10" i="152"/>
  <c r="T10" i="152"/>
  <c r="AB9" i="152"/>
  <c r="T9" i="152"/>
  <c r="AB8" i="152"/>
  <c r="T8" i="152"/>
  <c r="AB7" i="152"/>
  <c r="T7" i="152"/>
  <c r="AB6" i="152"/>
  <c r="T6" i="152"/>
  <c r="AB5" i="152"/>
  <c r="T5" i="152"/>
  <c r="AB4" i="152"/>
  <c r="T4" i="152"/>
  <c r="AB3" i="152"/>
  <c r="T3" i="152"/>
  <c r="X21" i="152"/>
  <c r="W18" i="152"/>
  <c r="AC16" i="152"/>
  <c r="AA15" i="152"/>
  <c r="S15" i="152"/>
  <c r="AA14" i="152"/>
  <c r="S14" i="152"/>
  <c r="AJ50" i="124" s="1"/>
  <c r="AA13" i="152"/>
  <c r="S13" i="152"/>
  <c r="AA12" i="152"/>
  <c r="S12" i="152"/>
  <c r="AA11" i="152"/>
  <c r="S11" i="152"/>
  <c r="AA10" i="152"/>
  <c r="S10" i="152"/>
  <c r="AJ42" i="124" s="1"/>
  <c r="V41" i="152"/>
  <c r="X22" i="152"/>
  <c r="W21" i="152"/>
  <c r="AC19" i="152"/>
  <c r="U18" i="152"/>
  <c r="X16" i="152"/>
  <c r="Z15" i="152"/>
  <c r="Z14" i="152"/>
  <c r="Z13" i="152"/>
  <c r="Z12" i="152"/>
  <c r="Z11" i="152"/>
  <c r="Z10" i="152"/>
  <c r="Z9" i="152"/>
  <c r="Z8" i="152"/>
  <c r="Z7" i="152"/>
  <c r="Z6" i="152"/>
  <c r="Z5" i="152"/>
  <c r="Z4" i="152"/>
  <c r="Z3" i="152"/>
  <c r="AB29" i="152"/>
  <c r="AA26" i="152"/>
  <c r="X23" i="152"/>
  <c r="U21" i="152"/>
  <c r="X19" i="152"/>
  <c r="W16" i="152"/>
  <c r="Y15" i="152"/>
  <c r="Y14" i="152"/>
  <c r="Y13" i="152"/>
  <c r="Y12" i="152"/>
  <c r="Y11" i="152"/>
  <c r="Y10" i="152"/>
  <c r="Y9" i="152"/>
  <c r="Y8" i="152"/>
  <c r="Y7" i="152"/>
  <c r="Y6" i="152"/>
  <c r="Y5" i="152"/>
  <c r="Y4" i="152"/>
  <c r="Y3" i="152"/>
  <c r="AC34" i="152"/>
  <c r="X24" i="152"/>
  <c r="W19" i="152"/>
  <c r="AC17" i="152"/>
  <c r="U16" i="152"/>
  <c r="X15" i="152"/>
  <c r="X14" i="152"/>
  <c r="X13" i="152"/>
  <c r="X12" i="152"/>
  <c r="X11" i="152"/>
  <c r="X10" i="152"/>
  <c r="X9" i="152"/>
  <c r="X8" i="152"/>
  <c r="X7" i="152"/>
  <c r="X6" i="152"/>
  <c r="X5" i="152"/>
  <c r="X4" i="152"/>
  <c r="X3" i="152"/>
  <c r="T33" i="152"/>
  <c r="AC20" i="152"/>
  <c r="U19" i="152"/>
  <c r="X17" i="152"/>
  <c r="W15" i="152"/>
  <c r="W14" i="152"/>
  <c r="W13" i="152"/>
  <c r="W12" i="152"/>
  <c r="W11" i="152"/>
  <c r="W10" i="152"/>
  <c r="W9" i="152"/>
  <c r="W8" i="152"/>
  <c r="W7" i="152"/>
  <c r="W6" i="152"/>
  <c r="W5" i="152"/>
  <c r="W4" i="152"/>
  <c r="W3" i="152"/>
  <c r="AD12" i="152"/>
  <c r="V11" i="152"/>
  <c r="AD8" i="152"/>
  <c r="AC6" i="152"/>
  <c r="U5" i="152"/>
  <c r="AA3" i="152"/>
  <c r="AD13" i="152"/>
  <c r="V12" i="152"/>
  <c r="AA8" i="152"/>
  <c r="AA6" i="152"/>
  <c r="S5" i="152"/>
  <c r="AD4" i="152"/>
  <c r="V3" i="152"/>
  <c r="AD14" i="152"/>
  <c r="V13" i="152"/>
  <c r="AD9" i="152"/>
  <c r="V8" i="152"/>
  <c r="AD7" i="152"/>
  <c r="V6" i="152"/>
  <c r="AC4" i="152"/>
  <c r="U3" i="152"/>
  <c r="AD15" i="152"/>
  <c r="V14" i="152"/>
  <c r="AA9" i="152"/>
  <c r="S8" i="152"/>
  <c r="AC7" i="152"/>
  <c r="U6" i="152"/>
  <c r="AA4" i="152"/>
  <c r="S3" i="152"/>
  <c r="T28" i="152"/>
  <c r="X20" i="152"/>
  <c r="W17" i="152"/>
  <c r="V15" i="152"/>
  <c r="V9" i="152"/>
  <c r="AA7" i="152"/>
  <c r="S6" i="152"/>
  <c r="AD5" i="152"/>
  <c r="V4" i="152"/>
  <c r="V25" i="152"/>
  <c r="S9" i="152"/>
  <c r="V7" i="152"/>
  <c r="AC5" i="152"/>
  <c r="U4" i="152"/>
  <c r="AD10" i="152"/>
  <c r="U7" i="152"/>
  <c r="AA5" i="152"/>
  <c r="S4" i="152"/>
  <c r="AJ7" i="124" s="1"/>
  <c r="AD3" i="152"/>
  <c r="AD11" i="152"/>
  <c r="V10" i="152"/>
  <c r="S7" i="152"/>
  <c r="AD6" i="152"/>
  <c r="V5" i="152"/>
  <c r="AC3" i="152"/>
  <c r="O104" i="107"/>
  <c r="O137" i="107"/>
  <c r="O208" i="107"/>
  <c r="G215" i="107"/>
  <c r="H100" i="81"/>
  <c r="O62" i="81"/>
  <c r="R121" i="81"/>
  <c r="F141" i="81"/>
  <c r="N141" i="81"/>
  <c r="O134" i="81"/>
  <c r="O140" i="81"/>
  <c r="E150" i="81"/>
  <c r="M150" i="81"/>
  <c r="O160" i="81"/>
  <c r="O179" i="81"/>
  <c r="O190" i="81"/>
  <c r="C197" i="81"/>
  <c r="K197" i="81"/>
  <c r="O199" i="81"/>
  <c r="O201" i="81"/>
  <c r="O213" i="81"/>
  <c r="J237" i="81"/>
  <c r="K127" i="80"/>
  <c r="I232" i="108"/>
  <c r="I238" i="108" s="1"/>
  <c r="M234" i="108"/>
  <c r="G112" i="107"/>
  <c r="I215" i="107"/>
  <c r="I100" i="81"/>
  <c r="O131" i="81"/>
  <c r="F188" i="81"/>
  <c r="N188" i="81"/>
  <c r="O162" i="81"/>
  <c r="O166" i="81"/>
  <c r="O183" i="81"/>
  <c r="O193" i="81"/>
  <c r="O205" i="81"/>
  <c r="E220" i="81"/>
  <c r="M220" i="81"/>
  <c r="J232" i="108"/>
  <c r="N234" i="108"/>
  <c r="H112" i="107"/>
  <c r="O212" i="107"/>
  <c r="O88" i="81"/>
  <c r="H141" i="81"/>
  <c r="O133" i="81"/>
  <c r="O144" i="81"/>
  <c r="O145" i="81"/>
  <c r="O155" i="81"/>
  <c r="O188" i="81" s="1"/>
  <c r="O170" i="81"/>
  <c r="O187" i="81"/>
  <c r="E197" i="81"/>
  <c r="E226" i="81" s="1"/>
  <c r="M197" i="81"/>
  <c r="O209" i="81"/>
  <c r="O230" i="81"/>
  <c r="O245" i="81"/>
  <c r="V263" i="80"/>
  <c r="V262" i="80"/>
  <c r="V261" i="80"/>
  <c r="V260" i="80"/>
  <c r="V267" i="80"/>
  <c r="V259" i="80"/>
  <c r="V266" i="80"/>
  <c r="V258" i="80"/>
  <c r="V265" i="80"/>
  <c r="V257" i="80"/>
  <c r="V264" i="80"/>
  <c r="V256" i="80"/>
  <c r="O71" i="80"/>
  <c r="K232" i="108"/>
  <c r="K238" i="108" s="1"/>
  <c r="G234" i="108"/>
  <c r="G111" i="107"/>
  <c r="C209" i="107"/>
  <c r="O207" i="107"/>
  <c r="C100" i="81"/>
  <c r="R15" i="81"/>
  <c r="K100" i="81"/>
  <c r="O71" i="81"/>
  <c r="R98" i="81"/>
  <c r="R110" i="81"/>
  <c r="R126" i="81"/>
  <c r="O135" i="81"/>
  <c r="O148" i="81"/>
  <c r="H188" i="81"/>
  <c r="O174" i="81"/>
  <c r="F214" i="81"/>
  <c r="N214" i="81"/>
  <c r="O218" i="81"/>
  <c r="O219" i="81"/>
  <c r="F237" i="81"/>
  <c r="O234" i="81"/>
  <c r="H248" i="81"/>
  <c r="D248" i="81"/>
  <c r="O243" i="81"/>
  <c r="L248" i="81"/>
  <c r="O15" i="80"/>
  <c r="O94" i="80"/>
  <c r="L232" i="108"/>
  <c r="L238" i="108" s="1"/>
  <c r="H234" i="108"/>
  <c r="O24" i="107"/>
  <c r="R71" i="81"/>
  <c r="O98" i="81"/>
  <c r="O139" i="81"/>
  <c r="O178" i="81"/>
  <c r="O191" i="81"/>
  <c r="G197" i="81"/>
  <c r="O192" i="81"/>
  <c r="D214" i="81"/>
  <c r="O223" i="81"/>
  <c r="O224" i="81" s="1"/>
  <c r="H100" i="80"/>
  <c r="H114" i="80" s="1"/>
  <c r="H230" i="80" s="1"/>
  <c r="M101" i="81"/>
  <c r="M128" i="81"/>
  <c r="O195" i="81"/>
  <c r="O228" i="81"/>
  <c r="O229" i="81"/>
  <c r="O231" i="81" s="1"/>
  <c r="J248" i="81"/>
  <c r="O62" i="80"/>
  <c r="H212" i="80"/>
  <c r="F100" i="81"/>
  <c r="N100" i="81"/>
  <c r="O130" i="81"/>
  <c r="D141" i="81"/>
  <c r="O143" i="81"/>
  <c r="C150" i="81"/>
  <c r="K150" i="81"/>
  <c r="K226" i="81" s="1"/>
  <c r="H237" i="81"/>
  <c r="C230" i="80"/>
  <c r="C115" i="80"/>
  <c r="R105" i="81"/>
  <c r="C188" i="81"/>
  <c r="O251" i="81"/>
  <c r="O253" i="81" s="1"/>
  <c r="C253" i="81"/>
  <c r="N101" i="80"/>
  <c r="C113" i="80"/>
  <c r="K113" i="80"/>
  <c r="O139" i="80"/>
  <c r="O166" i="80"/>
  <c r="O171" i="80"/>
  <c r="O180" i="80"/>
  <c r="E206" i="80"/>
  <c r="M206" i="80"/>
  <c r="O204" i="80"/>
  <c r="O206" i="80" s="1"/>
  <c r="G206" i="80"/>
  <c r="F223" i="80"/>
  <c r="N223" i="80"/>
  <c r="O24" i="80"/>
  <c r="G185" i="80"/>
  <c r="G200" i="80" s="1"/>
  <c r="N185" i="80"/>
  <c r="N200" i="80" s="1"/>
  <c r="F185" i="80"/>
  <c r="F200" i="80" s="1"/>
  <c r="M185" i="80"/>
  <c r="M200" i="80" s="1"/>
  <c r="E185" i="80"/>
  <c r="E200" i="80" s="1"/>
  <c r="L185" i="80"/>
  <c r="L200" i="80" s="1"/>
  <c r="D185" i="80"/>
  <c r="D200" i="80" s="1"/>
  <c r="J185" i="80"/>
  <c r="J200" i="80" s="1"/>
  <c r="J212" i="80" s="1"/>
  <c r="L113" i="80"/>
  <c r="M113" i="80"/>
  <c r="F136" i="80"/>
  <c r="N136" i="80"/>
  <c r="O135" i="80"/>
  <c r="O146" i="80"/>
  <c r="O151" i="80"/>
  <c r="C185" i="80"/>
  <c r="F206" i="80"/>
  <c r="N206" i="80"/>
  <c r="O214" i="80"/>
  <c r="S73" i="111"/>
  <c r="O119" i="80"/>
  <c r="O130" i="80"/>
  <c r="O133" i="80"/>
  <c r="J174" i="80"/>
  <c r="O158" i="80"/>
  <c r="I183" i="80"/>
  <c r="H185" i="80"/>
  <c r="H200" i="80" s="1"/>
  <c r="O197" i="80"/>
  <c r="G224" i="81"/>
  <c r="D88" i="80"/>
  <c r="D113" i="80" s="1"/>
  <c r="J112" i="80"/>
  <c r="J114" i="80" s="1"/>
  <c r="J230" i="80" s="1"/>
  <c r="F113" i="80"/>
  <c r="N113" i="80"/>
  <c r="O116" i="80"/>
  <c r="F127" i="80"/>
  <c r="N127" i="80"/>
  <c r="O138" i="80"/>
  <c r="O143" i="80"/>
  <c r="O170" i="80"/>
  <c r="F183" i="80"/>
  <c r="N183" i="80"/>
  <c r="O181" i="80"/>
  <c r="I185" i="80"/>
  <c r="I200" i="80" s="1"/>
  <c r="I217" i="80"/>
  <c r="I223" i="80" s="1"/>
  <c r="E223" i="80"/>
  <c r="H221" i="80"/>
  <c r="H223" i="80" s="1"/>
  <c r="O242" i="81"/>
  <c r="O110" i="80"/>
  <c r="O112" i="80" s="1"/>
  <c r="D127" i="80"/>
  <c r="L127" i="80"/>
  <c r="I136" i="80"/>
  <c r="D174" i="80"/>
  <c r="L174" i="80"/>
  <c r="O150" i="80"/>
  <c r="O155" i="80"/>
  <c r="C183" i="80"/>
  <c r="K183" i="80"/>
  <c r="O178" i="80"/>
  <c r="G183" i="80"/>
  <c r="K185" i="80"/>
  <c r="K200" i="80" s="1"/>
  <c r="O189" i="80"/>
  <c r="O194" i="80"/>
  <c r="I206" i="80"/>
  <c r="O205" i="80"/>
  <c r="C210" i="80"/>
  <c r="K210" i="80"/>
  <c r="R112" i="111"/>
  <c r="O112" i="111"/>
  <c r="AL66" i="152"/>
  <c r="AS66" i="152"/>
  <c r="AK66" i="152"/>
  <c r="AR66" i="152"/>
  <c r="AJ66" i="152"/>
  <c r="AQ66" i="152"/>
  <c r="AI66" i="152"/>
  <c r="AQ65" i="152"/>
  <c r="AI65" i="152"/>
  <c r="AP66" i="152"/>
  <c r="AH66" i="152"/>
  <c r="AP65" i="152"/>
  <c r="AH65" i="152"/>
  <c r="AK34" i="124" s="1"/>
  <c r="AO66" i="152"/>
  <c r="AO65" i="152"/>
  <c r="AK65" i="152"/>
  <c r="AN64" i="152"/>
  <c r="AN63" i="152"/>
  <c r="AN62" i="152"/>
  <c r="AN61" i="152"/>
  <c r="AN60" i="152"/>
  <c r="AN59" i="152"/>
  <c r="AN58" i="152"/>
  <c r="AN57" i="152"/>
  <c r="AN56" i="152"/>
  <c r="AN55" i="152"/>
  <c r="AJ65" i="152"/>
  <c r="AM64" i="152"/>
  <c r="AM63" i="152"/>
  <c r="AM62" i="152"/>
  <c r="AM61" i="152"/>
  <c r="AM66" i="152"/>
  <c r="AS65" i="152"/>
  <c r="AS64" i="152"/>
  <c r="AK64" i="152"/>
  <c r="AS63" i="152"/>
  <c r="AK63" i="152"/>
  <c r="AS62" i="152"/>
  <c r="AK62" i="152"/>
  <c r="AS61" i="152"/>
  <c r="AK61" i="152"/>
  <c r="AS60" i="152"/>
  <c r="AK60" i="152"/>
  <c r="AS59" i="152"/>
  <c r="AK59" i="152"/>
  <c r="AS58" i="152"/>
  <c r="AK58" i="152"/>
  <c r="AS57" i="152"/>
  <c r="AK57" i="152"/>
  <c r="AS56" i="152"/>
  <c r="AK56" i="152"/>
  <c r="AS55" i="152"/>
  <c r="AK55" i="152"/>
  <c r="AR65" i="152"/>
  <c r="AR64" i="152"/>
  <c r="AJ64" i="152"/>
  <c r="AR63" i="152"/>
  <c r="AJ63" i="152"/>
  <c r="AR62" i="152"/>
  <c r="AJ62" i="152"/>
  <c r="AR61" i="152"/>
  <c r="AJ61" i="152"/>
  <c r="AR60" i="152"/>
  <c r="AJ60" i="152"/>
  <c r="AR59" i="152"/>
  <c r="AJ59" i="152"/>
  <c r="AR58" i="152"/>
  <c r="AJ58" i="152"/>
  <c r="AR57" i="152"/>
  <c r="AJ57" i="152"/>
  <c r="AR56" i="152"/>
  <c r="AJ56" i="152"/>
  <c r="AN65" i="152"/>
  <c r="AQ64" i="152"/>
  <c r="AI64" i="152"/>
  <c r="AQ63" i="152"/>
  <c r="AI63" i="152"/>
  <c r="AQ62" i="152"/>
  <c r="AI62" i="152"/>
  <c r="AQ61" i="152"/>
  <c r="AI61" i="152"/>
  <c r="AQ60" i="152"/>
  <c r="AI60" i="152"/>
  <c r="AQ59" i="152"/>
  <c r="AI59" i="152"/>
  <c r="AQ58" i="152"/>
  <c r="AI58" i="152"/>
  <c r="AQ57" i="152"/>
  <c r="AI57" i="152"/>
  <c r="AQ56" i="152"/>
  <c r="AI56" i="152"/>
  <c r="AQ55" i="152"/>
  <c r="AI55" i="152"/>
  <c r="AQ54" i="152"/>
  <c r="AI54" i="152"/>
  <c r="AM65" i="152"/>
  <c r="AP64" i="152"/>
  <c r="AH64" i="152"/>
  <c r="AP63" i="152"/>
  <c r="AH63" i="152"/>
  <c r="AK33" i="124" s="1"/>
  <c r="AP62" i="152"/>
  <c r="AH62" i="152"/>
  <c r="AP61" i="152"/>
  <c r="AH61" i="152"/>
  <c r="AP60" i="152"/>
  <c r="AH60" i="152"/>
  <c r="AP59" i="152"/>
  <c r="AH59" i="152"/>
  <c r="AK58" i="124" s="1"/>
  <c r="AP58" i="152"/>
  <c r="AH58" i="152"/>
  <c r="AP57" i="152"/>
  <c r="AH57" i="152"/>
  <c r="AP56" i="152"/>
  <c r="AH56" i="152"/>
  <c r="AL65" i="152"/>
  <c r="AO64" i="152"/>
  <c r="AO63" i="152"/>
  <c r="AO62" i="152"/>
  <c r="AO61" i="152"/>
  <c r="AO60" i="152"/>
  <c r="AO59" i="152"/>
  <c r="AO58" i="152"/>
  <c r="AO57" i="152"/>
  <c r="AM60" i="152"/>
  <c r="AP55" i="152"/>
  <c r="AM54" i="152"/>
  <c r="AL53" i="152"/>
  <c r="AL52" i="152"/>
  <c r="AL51" i="152"/>
  <c r="AL50" i="152"/>
  <c r="AL49" i="152"/>
  <c r="AL48" i="152"/>
  <c r="AL47" i="152"/>
  <c r="AL46" i="152"/>
  <c r="AL45" i="152"/>
  <c r="AL60" i="152"/>
  <c r="AO55" i="152"/>
  <c r="AL54" i="152"/>
  <c r="AS53" i="152"/>
  <c r="AK53" i="152"/>
  <c r="AS52" i="152"/>
  <c r="AK52" i="152"/>
  <c r="AS51" i="152"/>
  <c r="AK51" i="152"/>
  <c r="AS50" i="152"/>
  <c r="AK50" i="152"/>
  <c r="AS49" i="152"/>
  <c r="AK49" i="152"/>
  <c r="AS48" i="152"/>
  <c r="AK48" i="152"/>
  <c r="AS47" i="152"/>
  <c r="AK47" i="152"/>
  <c r="AS46" i="152"/>
  <c r="AK46" i="152"/>
  <c r="AS45" i="152"/>
  <c r="AM57" i="152"/>
  <c r="AO56" i="152"/>
  <c r="AM55" i="152"/>
  <c r="AK54" i="152"/>
  <c r="AR53" i="152"/>
  <c r="AJ53" i="152"/>
  <c r="AR52" i="152"/>
  <c r="AJ52" i="152"/>
  <c r="AR51" i="152"/>
  <c r="AJ51" i="152"/>
  <c r="AR50" i="152"/>
  <c r="AJ50" i="152"/>
  <c r="AR49" i="152"/>
  <c r="AJ49" i="152"/>
  <c r="AR48" i="152"/>
  <c r="AJ48" i="152"/>
  <c r="AR47" i="152"/>
  <c r="AJ47" i="152"/>
  <c r="AR46" i="152"/>
  <c r="AJ46" i="152"/>
  <c r="AL57" i="152"/>
  <c r="AM56" i="152"/>
  <c r="AL55" i="152"/>
  <c r="AS54" i="152"/>
  <c r="AJ54" i="152"/>
  <c r="AQ53" i="152"/>
  <c r="AI53" i="152"/>
  <c r="AQ52" i="152"/>
  <c r="AI52" i="152"/>
  <c r="AQ51" i="152"/>
  <c r="AI51" i="152"/>
  <c r="AQ50" i="152"/>
  <c r="AI50" i="152"/>
  <c r="AQ49" i="152"/>
  <c r="AI49" i="152"/>
  <c r="AQ48" i="152"/>
  <c r="AI48" i="152"/>
  <c r="AQ47" i="152"/>
  <c r="AI47" i="152"/>
  <c r="AQ46" i="152"/>
  <c r="AI46" i="152"/>
  <c r="AL61" i="152"/>
  <c r="AM58" i="152"/>
  <c r="AL56" i="152"/>
  <c r="AJ55" i="152"/>
  <c r="AR54" i="152"/>
  <c r="AH54" i="152"/>
  <c r="AP53" i="152"/>
  <c r="AH53" i="152"/>
  <c r="AK51" i="124" s="1"/>
  <c r="AP52" i="152"/>
  <c r="AH52" i="152"/>
  <c r="AP51" i="152"/>
  <c r="AH51" i="152"/>
  <c r="AP50" i="152"/>
  <c r="AH50" i="152"/>
  <c r="AP49" i="152"/>
  <c r="AH49" i="152"/>
  <c r="AK43" i="124" s="1"/>
  <c r="AP48" i="152"/>
  <c r="AH48" i="152"/>
  <c r="AP47" i="152"/>
  <c r="AH47" i="152"/>
  <c r="AP46" i="152"/>
  <c r="AH46" i="152"/>
  <c r="AN66" i="152"/>
  <c r="AL62" i="152"/>
  <c r="AL58" i="152"/>
  <c r="AH55" i="152"/>
  <c r="AP54" i="152"/>
  <c r="AO53" i="152"/>
  <c r="AO52" i="152"/>
  <c r="AO51" i="152"/>
  <c r="AO50" i="152"/>
  <c r="AO49" i="152"/>
  <c r="AO48" i="152"/>
  <c r="AO47" i="152"/>
  <c r="AO46" i="152"/>
  <c r="AL63" i="152"/>
  <c r="AM59" i="152"/>
  <c r="AO54" i="152"/>
  <c r="AN53" i="152"/>
  <c r="AN52" i="152"/>
  <c r="AN51" i="152"/>
  <c r="AN50" i="152"/>
  <c r="AN49" i="152"/>
  <c r="AL64" i="152"/>
  <c r="AL59" i="152"/>
  <c r="AR55" i="152"/>
  <c r="AN54" i="152"/>
  <c r="AM53" i="152"/>
  <c r="AM52" i="152"/>
  <c r="AM51" i="152"/>
  <c r="AM50" i="152"/>
  <c r="AM49" i="152"/>
  <c r="AM48" i="152"/>
  <c r="AM47" i="152"/>
  <c r="AN47" i="152"/>
  <c r="AM45" i="152"/>
  <c r="AL44" i="152"/>
  <c r="AL43" i="152"/>
  <c r="AL42" i="152"/>
  <c r="AL41" i="152"/>
  <c r="AL40" i="152"/>
  <c r="AN48" i="152"/>
  <c r="AK45" i="152"/>
  <c r="AS44" i="152"/>
  <c r="AK44" i="152"/>
  <c r="AS43" i="152"/>
  <c r="AK43" i="152"/>
  <c r="AS42" i="152"/>
  <c r="AK42" i="152"/>
  <c r="AS41" i="152"/>
  <c r="AK41" i="152"/>
  <c r="AS40" i="152"/>
  <c r="AK40" i="152"/>
  <c r="AS39" i="152"/>
  <c r="AK39" i="152"/>
  <c r="AS38" i="152"/>
  <c r="AK38" i="152"/>
  <c r="AS37" i="152"/>
  <c r="AK37" i="152"/>
  <c r="AS36" i="152"/>
  <c r="AK36" i="152"/>
  <c r="AS35" i="152"/>
  <c r="AK35" i="152"/>
  <c r="AS34" i="152"/>
  <c r="AK34" i="152"/>
  <c r="AJ45" i="152"/>
  <c r="AR44" i="152"/>
  <c r="AJ44" i="152"/>
  <c r="AR43" i="152"/>
  <c r="AJ43" i="152"/>
  <c r="AR42" i="152"/>
  <c r="AJ42" i="152"/>
  <c r="AR41" i="152"/>
  <c r="AJ41" i="152"/>
  <c r="AR40" i="152"/>
  <c r="AJ40" i="152"/>
  <c r="AR39" i="152"/>
  <c r="AN46" i="152"/>
  <c r="AR45" i="152"/>
  <c r="AI45" i="152"/>
  <c r="AQ44" i="152"/>
  <c r="AI44" i="152"/>
  <c r="AQ43" i="152"/>
  <c r="AI43" i="152"/>
  <c r="AQ42" i="152"/>
  <c r="AI42" i="152"/>
  <c r="AQ41" i="152"/>
  <c r="AI41" i="152"/>
  <c r="AQ40" i="152"/>
  <c r="AI40" i="152"/>
  <c r="AQ39" i="152"/>
  <c r="AI39" i="152"/>
  <c r="AQ38" i="152"/>
  <c r="AI38" i="152"/>
  <c r="AQ37" i="152"/>
  <c r="AI37" i="152"/>
  <c r="AQ36" i="152"/>
  <c r="AI36" i="152"/>
  <c r="AQ35" i="152"/>
  <c r="AI35" i="152"/>
  <c r="AQ34" i="152"/>
  <c r="AI34" i="152"/>
  <c r="AM46" i="152"/>
  <c r="AQ45" i="152"/>
  <c r="AH45" i="152"/>
  <c r="AP44" i="152"/>
  <c r="AH44" i="152"/>
  <c r="AP43" i="152"/>
  <c r="AH43" i="152"/>
  <c r="AP42" i="152"/>
  <c r="AH42" i="152"/>
  <c r="AP41" i="152"/>
  <c r="AH41" i="152"/>
  <c r="AP40" i="152"/>
  <c r="AH40" i="152"/>
  <c r="AP39" i="152"/>
  <c r="AH39" i="152"/>
  <c r="AP38" i="152"/>
  <c r="AH38" i="152"/>
  <c r="AP37" i="152"/>
  <c r="AH37" i="152"/>
  <c r="AP36" i="152"/>
  <c r="AH36" i="152"/>
  <c r="AP35" i="152"/>
  <c r="AH35" i="152"/>
  <c r="AP45" i="152"/>
  <c r="AO44" i="152"/>
  <c r="AO43" i="152"/>
  <c r="AO42" i="152"/>
  <c r="AO41" i="152"/>
  <c r="AO40" i="152"/>
  <c r="AO39" i="152"/>
  <c r="AO38" i="152"/>
  <c r="AO37" i="152"/>
  <c r="AO36" i="152"/>
  <c r="AO35" i="152"/>
  <c r="AO34" i="152"/>
  <c r="AO45" i="152"/>
  <c r="AN44" i="152"/>
  <c r="AN43" i="152"/>
  <c r="AN42" i="152"/>
  <c r="AN41" i="152"/>
  <c r="AN40" i="152"/>
  <c r="AN39" i="152"/>
  <c r="AN38" i="152"/>
  <c r="AN37" i="152"/>
  <c r="AN36" i="152"/>
  <c r="AN35" i="152"/>
  <c r="AM44" i="152"/>
  <c r="AR38" i="152"/>
  <c r="AJ37" i="152"/>
  <c r="AM35" i="152"/>
  <c r="AN34" i="152"/>
  <c r="AR33" i="152"/>
  <c r="AJ33" i="152"/>
  <c r="AR32" i="152"/>
  <c r="AJ32" i="152"/>
  <c r="AR31" i="152"/>
  <c r="AJ31" i="152"/>
  <c r="AN45" i="152"/>
  <c r="AM38" i="152"/>
  <c r="AL35" i="152"/>
  <c r="AM34" i="152"/>
  <c r="AQ33" i="152"/>
  <c r="AI33" i="152"/>
  <c r="AQ32" i="152"/>
  <c r="AI32" i="152"/>
  <c r="AQ31" i="152"/>
  <c r="AI31" i="152"/>
  <c r="AQ30" i="152"/>
  <c r="AI30" i="152"/>
  <c r="AQ29" i="152"/>
  <c r="AI29" i="152"/>
  <c r="AQ28" i="152"/>
  <c r="AI28" i="152"/>
  <c r="AQ27" i="152"/>
  <c r="AI27" i="152"/>
  <c r="AQ26" i="152"/>
  <c r="AI26" i="152"/>
  <c r="AQ25" i="152"/>
  <c r="AI25" i="152"/>
  <c r="AL38" i="152"/>
  <c r="AR36" i="152"/>
  <c r="AJ35" i="152"/>
  <c r="AL34" i="152"/>
  <c r="AP33" i="152"/>
  <c r="AH33" i="152"/>
  <c r="AP32" i="152"/>
  <c r="AH32" i="152"/>
  <c r="AP31" i="152"/>
  <c r="AH31" i="152"/>
  <c r="AK17" i="124" s="1"/>
  <c r="AJ38" i="152"/>
  <c r="AM36" i="152"/>
  <c r="AJ34" i="152"/>
  <c r="AO33" i="152"/>
  <c r="AO32" i="152"/>
  <c r="AO31" i="152"/>
  <c r="AO30" i="152"/>
  <c r="AO29" i="152"/>
  <c r="AO28" i="152"/>
  <c r="AO27" i="152"/>
  <c r="AO26" i="152"/>
  <c r="AO25" i="152"/>
  <c r="AM40" i="152"/>
  <c r="AM39" i="152"/>
  <c r="AL36" i="152"/>
  <c r="AH34" i="152"/>
  <c r="AK20" i="124" s="1"/>
  <c r="AN33" i="152"/>
  <c r="AN32" i="152"/>
  <c r="AN31" i="152"/>
  <c r="AN30" i="152"/>
  <c r="AN29" i="152"/>
  <c r="AN28" i="152"/>
  <c r="AN27" i="152"/>
  <c r="AN26" i="152"/>
  <c r="AN25" i="152"/>
  <c r="AM41" i="152"/>
  <c r="AL39" i="152"/>
  <c r="AR37" i="152"/>
  <c r="AJ36" i="152"/>
  <c r="AM33" i="152"/>
  <c r="AM32" i="152"/>
  <c r="AM31" i="152"/>
  <c r="AM30" i="152"/>
  <c r="AM29" i="152"/>
  <c r="AM28" i="152"/>
  <c r="AM27" i="152"/>
  <c r="AM26" i="152"/>
  <c r="AM25" i="152"/>
  <c r="AM42" i="152"/>
  <c r="AJ39" i="152"/>
  <c r="AM37" i="152"/>
  <c r="AR34" i="152"/>
  <c r="AL33" i="152"/>
  <c r="AL32" i="152"/>
  <c r="AL31" i="152"/>
  <c r="AL30" i="152"/>
  <c r="AL29" i="152"/>
  <c r="AL28" i="152"/>
  <c r="AL27" i="152"/>
  <c r="AL26" i="152"/>
  <c r="AL25" i="152"/>
  <c r="AJ30" i="152"/>
  <c r="AP28" i="152"/>
  <c r="AH27" i="152"/>
  <c r="AS26" i="152"/>
  <c r="AK25" i="152"/>
  <c r="AN24" i="152"/>
  <c r="AN23" i="152"/>
  <c r="AN22" i="152"/>
  <c r="AH30" i="152"/>
  <c r="AS29" i="152"/>
  <c r="AK28" i="152"/>
  <c r="AR26" i="152"/>
  <c r="AJ25" i="152"/>
  <c r="AM24" i="152"/>
  <c r="AM23" i="152"/>
  <c r="AM22" i="152"/>
  <c r="AM21" i="152"/>
  <c r="AM20" i="152"/>
  <c r="AM19" i="152"/>
  <c r="AM18" i="152"/>
  <c r="AM17" i="152"/>
  <c r="AM16" i="152"/>
  <c r="AS31" i="152"/>
  <c r="AR29" i="152"/>
  <c r="AJ28" i="152"/>
  <c r="AP26" i="152"/>
  <c r="AH25" i="152"/>
  <c r="AL24" i="152"/>
  <c r="AL23" i="152"/>
  <c r="AL22" i="152"/>
  <c r="AR35" i="152"/>
  <c r="AS32" i="152"/>
  <c r="AK31" i="152"/>
  <c r="AP29" i="152"/>
  <c r="AH28" i="152"/>
  <c r="AS27" i="152"/>
  <c r="AK26" i="152"/>
  <c r="AS24" i="152"/>
  <c r="AK24" i="152"/>
  <c r="AS23" i="152"/>
  <c r="AK23" i="152"/>
  <c r="AS22" i="152"/>
  <c r="AK22" i="152"/>
  <c r="AS21" i="152"/>
  <c r="AK21" i="152"/>
  <c r="AS20" i="152"/>
  <c r="AK20" i="152"/>
  <c r="AS19" i="152"/>
  <c r="AK19" i="152"/>
  <c r="AS18" i="152"/>
  <c r="AK18" i="152"/>
  <c r="AS17" i="152"/>
  <c r="AK17" i="152"/>
  <c r="AS16" i="152"/>
  <c r="AK16" i="152"/>
  <c r="AS33" i="152"/>
  <c r="AK32" i="152"/>
  <c r="AS30" i="152"/>
  <c r="AK29" i="152"/>
  <c r="AR27" i="152"/>
  <c r="AJ26" i="152"/>
  <c r="AR24" i="152"/>
  <c r="AJ24" i="152"/>
  <c r="AR23" i="152"/>
  <c r="AJ23" i="152"/>
  <c r="AR22" i="152"/>
  <c r="AJ22" i="152"/>
  <c r="AR21" i="152"/>
  <c r="AJ21" i="152"/>
  <c r="AR20" i="152"/>
  <c r="AJ20" i="152"/>
  <c r="AR19" i="152"/>
  <c r="AJ19" i="152"/>
  <c r="AR18" i="152"/>
  <c r="AJ18" i="152"/>
  <c r="AR17" i="152"/>
  <c r="AJ17" i="152"/>
  <c r="AR16" i="152"/>
  <c r="AJ16" i="152"/>
  <c r="AM43" i="152"/>
  <c r="AK33" i="152"/>
  <c r="AR30" i="152"/>
  <c r="AJ29" i="152"/>
  <c r="AP27" i="152"/>
  <c r="AH26" i="152"/>
  <c r="AK11" i="124" s="1"/>
  <c r="AS25" i="152"/>
  <c r="AQ24" i="152"/>
  <c r="AI24" i="152"/>
  <c r="AQ23" i="152"/>
  <c r="AI23" i="152"/>
  <c r="AQ22" i="152"/>
  <c r="AI22" i="152"/>
  <c r="AQ21" i="152"/>
  <c r="AI21" i="152"/>
  <c r="AQ20" i="152"/>
  <c r="AI20" i="152"/>
  <c r="AQ19" i="152"/>
  <c r="AI19" i="152"/>
  <c r="AQ18" i="152"/>
  <c r="AI18" i="152"/>
  <c r="AQ17" i="152"/>
  <c r="AI17" i="152"/>
  <c r="AQ16" i="152"/>
  <c r="AI16" i="152"/>
  <c r="AL37" i="152"/>
  <c r="AP34" i="152"/>
  <c r="AP30" i="152"/>
  <c r="AH29" i="152"/>
  <c r="AS28" i="152"/>
  <c r="AK27" i="152"/>
  <c r="AR25" i="152"/>
  <c r="AP24" i="152"/>
  <c r="AH24" i="152"/>
  <c r="AP23" i="152"/>
  <c r="AH23" i="152"/>
  <c r="AP22" i="152"/>
  <c r="AH22" i="152"/>
  <c r="AP21" i="152"/>
  <c r="AH21" i="152"/>
  <c r="AP20" i="152"/>
  <c r="AH20" i="152"/>
  <c r="AP19" i="152"/>
  <c r="AH19" i="152"/>
  <c r="AP18" i="152"/>
  <c r="AH18" i="152"/>
  <c r="AK32" i="124" s="1"/>
  <c r="AP17" i="152"/>
  <c r="AH17" i="152"/>
  <c r="AP16" i="152"/>
  <c r="AH16" i="152"/>
  <c r="AL19" i="152"/>
  <c r="AO17" i="152"/>
  <c r="AL15" i="152"/>
  <c r="AL14" i="152"/>
  <c r="AL13" i="152"/>
  <c r="AL12" i="152"/>
  <c r="AL11" i="152"/>
  <c r="AL10" i="152"/>
  <c r="AL9" i="152"/>
  <c r="AL8" i="152"/>
  <c r="AK30" i="152"/>
  <c r="AJ27" i="152"/>
  <c r="AO22" i="152"/>
  <c r="AO20" i="152"/>
  <c r="AN17" i="152"/>
  <c r="AS15" i="152"/>
  <c r="AK15" i="152"/>
  <c r="AS14" i="152"/>
  <c r="AK14" i="152"/>
  <c r="AS13" i="152"/>
  <c r="AK13" i="152"/>
  <c r="AS12" i="152"/>
  <c r="AK12" i="152"/>
  <c r="AS11" i="152"/>
  <c r="AK11" i="152"/>
  <c r="AS10" i="152"/>
  <c r="AK10" i="152"/>
  <c r="AS9" i="152"/>
  <c r="AK9" i="152"/>
  <c r="AS8" i="152"/>
  <c r="AK8" i="152"/>
  <c r="AS7" i="152"/>
  <c r="AK7" i="152"/>
  <c r="AS6" i="152"/>
  <c r="AK6" i="152"/>
  <c r="AS5" i="152"/>
  <c r="AK5" i="152"/>
  <c r="AS4" i="152"/>
  <c r="AK4" i="152"/>
  <c r="AS3" i="152"/>
  <c r="AK3" i="152"/>
  <c r="AO23" i="152"/>
  <c r="AN20" i="152"/>
  <c r="AL17" i="152"/>
  <c r="AR15" i="152"/>
  <c r="AJ15" i="152"/>
  <c r="AR14" i="152"/>
  <c r="AJ14" i="152"/>
  <c r="AR13" i="152"/>
  <c r="AJ13" i="152"/>
  <c r="AR12" i="152"/>
  <c r="AJ12" i="152"/>
  <c r="AR11" i="152"/>
  <c r="AJ11" i="152"/>
  <c r="AR10" i="152"/>
  <c r="AJ10" i="152"/>
  <c r="AO24" i="152"/>
  <c r="AL20" i="152"/>
  <c r="AO18" i="152"/>
  <c r="AQ15" i="152"/>
  <c r="AI15" i="152"/>
  <c r="AQ14" i="152"/>
  <c r="AI14" i="152"/>
  <c r="AQ13" i="152"/>
  <c r="AI13" i="152"/>
  <c r="AQ12" i="152"/>
  <c r="AI12" i="152"/>
  <c r="AQ11" i="152"/>
  <c r="AI11" i="152"/>
  <c r="AQ10" i="152"/>
  <c r="AI10" i="152"/>
  <c r="AQ9" i="152"/>
  <c r="AI9" i="152"/>
  <c r="AQ8" i="152"/>
  <c r="AI8" i="152"/>
  <c r="AQ7" i="152"/>
  <c r="AI7" i="152"/>
  <c r="AQ6" i="152"/>
  <c r="AI6" i="152"/>
  <c r="AQ5" i="152"/>
  <c r="AI5" i="152"/>
  <c r="AQ4" i="152"/>
  <c r="AI4" i="152"/>
  <c r="AQ3" i="152"/>
  <c r="AI3" i="152"/>
  <c r="AO21" i="152"/>
  <c r="AN18" i="152"/>
  <c r="AP15" i="152"/>
  <c r="AH15" i="152"/>
  <c r="AK49" i="124" s="1"/>
  <c r="AP14" i="152"/>
  <c r="AH14" i="152"/>
  <c r="AP13" i="152"/>
  <c r="AH13" i="152"/>
  <c r="AP12" i="152"/>
  <c r="AH12" i="152"/>
  <c r="AP11" i="152"/>
  <c r="AH11" i="152"/>
  <c r="AK41" i="124" s="1"/>
  <c r="AP10" i="152"/>
  <c r="AH10" i="152"/>
  <c r="AK42" i="124" s="1"/>
  <c r="AP9" i="152"/>
  <c r="AH9" i="152"/>
  <c r="AP8" i="152"/>
  <c r="AH8" i="152"/>
  <c r="AP7" i="152"/>
  <c r="AH7" i="152"/>
  <c r="AK15" i="124" s="1"/>
  <c r="AP6" i="152"/>
  <c r="AH6" i="152"/>
  <c r="AP5" i="152"/>
  <c r="AH5" i="152"/>
  <c r="AP4" i="152"/>
  <c r="AH4" i="152"/>
  <c r="AP3" i="152"/>
  <c r="AH3" i="152"/>
  <c r="AN21" i="152"/>
  <c r="AL18" i="152"/>
  <c r="AO16" i="152"/>
  <c r="AO15" i="152"/>
  <c r="AO14" i="152"/>
  <c r="AO13" i="152"/>
  <c r="AO12" i="152"/>
  <c r="AO11" i="152"/>
  <c r="AO10" i="152"/>
  <c r="AO9" i="152"/>
  <c r="AO8" i="152"/>
  <c r="AO7" i="152"/>
  <c r="AO6" i="152"/>
  <c r="AO5" i="152"/>
  <c r="AO4" i="152"/>
  <c r="AO3" i="152"/>
  <c r="AR28" i="152"/>
  <c r="AP25" i="152"/>
  <c r="AL21" i="152"/>
  <c r="AO19" i="152"/>
  <c r="AN16" i="152"/>
  <c r="AN15" i="152"/>
  <c r="AN14" i="152"/>
  <c r="AN13" i="152"/>
  <c r="AN12" i="152"/>
  <c r="AN11" i="152"/>
  <c r="AN10" i="152"/>
  <c r="AN9" i="152"/>
  <c r="AN8" i="152"/>
  <c r="AN7" i="152"/>
  <c r="AN6" i="152"/>
  <c r="AN5" i="152"/>
  <c r="AN4" i="152"/>
  <c r="AN3" i="152"/>
  <c r="AM13" i="152"/>
  <c r="AM9" i="152"/>
  <c r="AL7" i="152"/>
  <c r="AR5" i="152"/>
  <c r="AJ4" i="152"/>
  <c r="AM14" i="152"/>
  <c r="AJ9" i="152"/>
  <c r="AJ7" i="152"/>
  <c r="AM5" i="152"/>
  <c r="AM15" i="152"/>
  <c r="AL5" i="152"/>
  <c r="AR3" i="152"/>
  <c r="AR6" i="152"/>
  <c r="AJ5" i="152"/>
  <c r="AM3" i="152"/>
  <c r="AM6" i="152"/>
  <c r="AL3" i="152"/>
  <c r="AM10" i="152"/>
  <c r="AR8" i="152"/>
  <c r="AL6" i="152"/>
  <c r="AR4" i="152"/>
  <c r="AJ3" i="152"/>
  <c r="AN19" i="152"/>
  <c r="AL16" i="152"/>
  <c r="AM11" i="152"/>
  <c r="AM8" i="152"/>
  <c r="AR7" i="152"/>
  <c r="AJ6" i="152"/>
  <c r="AM4" i="152"/>
  <c r="AM12" i="152"/>
  <c r="AR9" i="152"/>
  <c r="AJ8" i="152"/>
  <c r="AM7" i="152"/>
  <c r="AL4" i="152"/>
  <c r="M100" i="80"/>
  <c r="M114" i="80" s="1"/>
  <c r="M230" i="80" s="1"/>
  <c r="M212" i="80"/>
  <c r="M225" i="80" s="1"/>
  <c r="E174" i="80"/>
  <c r="E212" i="80" s="1"/>
  <c r="E225" i="80" s="1"/>
  <c r="M174" i="80"/>
  <c r="O167" i="80"/>
  <c r="O176" i="80"/>
  <c r="D183" i="80"/>
  <c r="F114" i="80"/>
  <c r="F230" i="80" s="1"/>
  <c r="C136" i="80"/>
  <c r="K136" i="80"/>
  <c r="G136" i="80"/>
  <c r="G212" i="80" s="1"/>
  <c r="F174" i="80"/>
  <c r="N174" i="80"/>
  <c r="O147" i="80"/>
  <c r="C174" i="80"/>
  <c r="O186" i="80"/>
  <c r="O220" i="80"/>
  <c r="N128" i="110"/>
  <c r="O128" i="110" s="1"/>
  <c r="U127" i="110"/>
  <c r="V127" i="110" s="1"/>
  <c r="O127" i="110"/>
  <c r="U112" i="110"/>
  <c r="O112" i="110"/>
  <c r="O129" i="80"/>
  <c r="D136" i="80"/>
  <c r="I113" i="80"/>
  <c r="O219" i="80"/>
  <c r="R111" i="111"/>
  <c r="O126" i="111"/>
  <c r="W204" i="127"/>
  <c r="W186" i="127"/>
  <c r="V195" i="127"/>
  <c r="V233" i="127" s="1"/>
  <c r="U188" i="127"/>
  <c r="U206" i="127"/>
  <c r="U197" i="127"/>
  <c r="W189" i="127"/>
  <c r="W207" i="127"/>
  <c r="AE104" i="127"/>
  <c r="AE174" i="127" s="1"/>
  <c r="AE181" i="127" s="1"/>
  <c r="AE231" i="127" s="1"/>
  <c r="AB130" i="127"/>
  <c r="V188" i="127"/>
  <c r="V206" i="127"/>
  <c r="U67" i="127"/>
  <c r="AK207" i="127"/>
  <c r="AK189" i="127"/>
  <c r="AC130" i="127"/>
  <c r="U191" i="127"/>
  <c r="U200" i="127"/>
  <c r="U173" i="127"/>
  <c r="O14" i="110"/>
  <c r="N101" i="110"/>
  <c r="U101" i="110" s="1"/>
  <c r="V101" i="110" s="1"/>
  <c r="W188" i="127"/>
  <c r="W206" i="127"/>
  <c r="W197" i="127"/>
  <c r="W224" i="127"/>
  <c r="U215" i="127"/>
  <c r="V67" i="127"/>
  <c r="U190" i="127"/>
  <c r="U208" i="127"/>
  <c r="AF190" i="127"/>
  <c r="AF208" i="127"/>
  <c r="AD130" i="127"/>
  <c r="V200" i="127"/>
  <c r="V173" i="127"/>
  <c r="V191" i="127"/>
  <c r="N127" i="111"/>
  <c r="BC66" i="152"/>
  <c r="BB66" i="152"/>
  <c r="BA66" i="152"/>
  <c r="BH66" i="152"/>
  <c r="AZ66" i="152"/>
  <c r="BH65" i="152"/>
  <c r="AZ65" i="152"/>
  <c r="BG66" i="152"/>
  <c r="AY66" i="152"/>
  <c r="BG65" i="152"/>
  <c r="AY65" i="152"/>
  <c r="BF66" i="152"/>
  <c r="AX66" i="152"/>
  <c r="BF65" i="152"/>
  <c r="AX65" i="152"/>
  <c r="AW66" i="152"/>
  <c r="AW65" i="152"/>
  <c r="BE64" i="152"/>
  <c r="AW64" i="152"/>
  <c r="BE63" i="152"/>
  <c r="AW63" i="152"/>
  <c r="AL33" i="124" s="1"/>
  <c r="BE62" i="152"/>
  <c r="AW62" i="152"/>
  <c r="AL35" i="124" s="1"/>
  <c r="BE61" i="152"/>
  <c r="AW61" i="152"/>
  <c r="BE60" i="152"/>
  <c r="AW60" i="152"/>
  <c r="BE59" i="152"/>
  <c r="AW59" i="152"/>
  <c r="BE58" i="152"/>
  <c r="AW58" i="152"/>
  <c r="AL57" i="124" s="1"/>
  <c r="AN57" i="124" s="1"/>
  <c r="BE57" i="152"/>
  <c r="AW57" i="152"/>
  <c r="BE56" i="152"/>
  <c r="AW56" i="152"/>
  <c r="BE55" i="152"/>
  <c r="AW55" i="152"/>
  <c r="BD64" i="152"/>
  <c r="BD63" i="152"/>
  <c r="BD62" i="152"/>
  <c r="BD61" i="152"/>
  <c r="BE65" i="152"/>
  <c r="BB64" i="152"/>
  <c r="BB63" i="152"/>
  <c r="BB62" i="152"/>
  <c r="BB61" i="152"/>
  <c r="BB60" i="152"/>
  <c r="BB59" i="152"/>
  <c r="BB58" i="152"/>
  <c r="BB57" i="152"/>
  <c r="BB56" i="152"/>
  <c r="BB55" i="152"/>
  <c r="BD65" i="152"/>
  <c r="BA64" i="152"/>
  <c r="BA63" i="152"/>
  <c r="BA62" i="152"/>
  <c r="BA61" i="152"/>
  <c r="BA60" i="152"/>
  <c r="BA59" i="152"/>
  <c r="BA58" i="152"/>
  <c r="BA57" i="152"/>
  <c r="BA56" i="152"/>
  <c r="BA55" i="152"/>
  <c r="BC65" i="152"/>
  <c r="BH64" i="152"/>
  <c r="AZ64" i="152"/>
  <c r="BH63" i="152"/>
  <c r="AZ63" i="152"/>
  <c r="BH62" i="152"/>
  <c r="AZ62" i="152"/>
  <c r="BH61" i="152"/>
  <c r="AZ61" i="152"/>
  <c r="BH60" i="152"/>
  <c r="AZ60" i="152"/>
  <c r="BH59" i="152"/>
  <c r="AZ59" i="152"/>
  <c r="BH58" i="152"/>
  <c r="AZ58" i="152"/>
  <c r="BH57" i="152"/>
  <c r="AZ57" i="152"/>
  <c r="BH56" i="152"/>
  <c r="AZ56" i="152"/>
  <c r="BH55" i="152"/>
  <c r="AZ55" i="152"/>
  <c r="BH54" i="152"/>
  <c r="AZ54" i="152"/>
  <c r="BE66" i="152"/>
  <c r="BB65" i="152"/>
  <c r="BG64" i="152"/>
  <c r="AY64" i="152"/>
  <c r="BG63" i="152"/>
  <c r="AY63" i="152"/>
  <c r="BG62" i="152"/>
  <c r="AY62" i="152"/>
  <c r="BG61" i="152"/>
  <c r="AY61" i="152"/>
  <c r="BG60" i="152"/>
  <c r="AY60" i="152"/>
  <c r="BG59" i="152"/>
  <c r="AY59" i="152"/>
  <c r="BG58" i="152"/>
  <c r="AY58" i="152"/>
  <c r="BG57" i="152"/>
  <c r="AY57" i="152"/>
  <c r="BG56" i="152"/>
  <c r="AY56" i="152"/>
  <c r="BG55" i="152"/>
  <c r="AY55" i="152"/>
  <c r="BD66" i="152"/>
  <c r="BA65" i="152"/>
  <c r="BF64" i="152"/>
  <c r="AX64" i="152"/>
  <c r="BF63" i="152"/>
  <c r="AX63" i="152"/>
  <c r="BF62" i="152"/>
  <c r="AX62" i="152"/>
  <c r="BF61" i="152"/>
  <c r="AX61" i="152"/>
  <c r="BF60" i="152"/>
  <c r="AX60" i="152"/>
  <c r="BF59" i="152"/>
  <c r="AX59" i="152"/>
  <c r="BF58" i="152"/>
  <c r="AX58" i="152"/>
  <c r="BF57" i="152"/>
  <c r="AX57" i="152"/>
  <c r="BD58" i="152"/>
  <c r="BF54" i="152"/>
  <c r="AW54" i="152"/>
  <c r="BC53" i="152"/>
  <c r="BC52" i="152"/>
  <c r="BC51" i="152"/>
  <c r="BC50" i="152"/>
  <c r="BC49" i="152"/>
  <c r="BC48" i="152"/>
  <c r="BC47" i="152"/>
  <c r="BC46" i="152"/>
  <c r="BC45" i="152"/>
  <c r="BC58" i="152"/>
  <c r="BF55" i="152"/>
  <c r="BE54" i="152"/>
  <c r="BB53" i="152"/>
  <c r="BB52" i="152"/>
  <c r="BB51" i="152"/>
  <c r="BB50" i="152"/>
  <c r="BB49" i="152"/>
  <c r="BB48" i="152"/>
  <c r="BB47" i="152"/>
  <c r="BB46" i="152"/>
  <c r="BB45" i="152"/>
  <c r="BC61" i="152"/>
  <c r="BD59" i="152"/>
  <c r="BD55" i="152"/>
  <c r="BD54" i="152"/>
  <c r="BA53" i="152"/>
  <c r="BA52" i="152"/>
  <c r="BA51" i="152"/>
  <c r="BA50" i="152"/>
  <c r="BA49" i="152"/>
  <c r="BA48" i="152"/>
  <c r="BA47" i="152"/>
  <c r="BA46" i="152"/>
  <c r="BA45" i="152"/>
  <c r="BC62" i="152"/>
  <c r="BC59" i="152"/>
  <c r="BC55" i="152"/>
  <c r="BC54" i="152"/>
  <c r="BH53" i="152"/>
  <c r="AZ53" i="152"/>
  <c r="BH52" i="152"/>
  <c r="AZ52" i="152"/>
  <c r="BH51" i="152"/>
  <c r="AZ51" i="152"/>
  <c r="BH50" i="152"/>
  <c r="AZ50" i="152"/>
  <c r="BH49" i="152"/>
  <c r="AZ49" i="152"/>
  <c r="BH48" i="152"/>
  <c r="AZ48" i="152"/>
  <c r="BH47" i="152"/>
  <c r="AZ47" i="152"/>
  <c r="BH46" i="152"/>
  <c r="AZ46" i="152"/>
  <c r="BC63" i="152"/>
  <c r="BD60" i="152"/>
  <c r="BF56" i="152"/>
  <c r="AX55" i="152"/>
  <c r="BB54" i="152"/>
  <c r="BG53" i="152"/>
  <c r="AY53" i="152"/>
  <c r="BG52" i="152"/>
  <c r="AY52" i="152"/>
  <c r="BG51" i="152"/>
  <c r="AY51" i="152"/>
  <c r="BG50" i="152"/>
  <c r="AY50" i="152"/>
  <c r="BG49" i="152"/>
  <c r="AY49" i="152"/>
  <c r="BG48" i="152"/>
  <c r="AY48" i="152"/>
  <c r="BG47" i="152"/>
  <c r="AY47" i="152"/>
  <c r="BG46" i="152"/>
  <c r="AY46" i="152"/>
  <c r="BC64" i="152"/>
  <c r="BC60" i="152"/>
  <c r="BD56" i="152"/>
  <c r="BA54" i="152"/>
  <c r="BF53" i="152"/>
  <c r="AX53" i="152"/>
  <c r="BF52" i="152"/>
  <c r="AX52" i="152"/>
  <c r="BF51" i="152"/>
  <c r="AX51" i="152"/>
  <c r="BF50" i="152"/>
  <c r="AX50" i="152"/>
  <c r="BF49" i="152"/>
  <c r="AX49" i="152"/>
  <c r="BF48" i="152"/>
  <c r="AX48" i="152"/>
  <c r="BF47" i="152"/>
  <c r="AX47" i="152"/>
  <c r="BF46" i="152"/>
  <c r="AX46" i="152"/>
  <c r="BD57" i="152"/>
  <c r="BC56" i="152"/>
  <c r="AY54" i="152"/>
  <c r="BE53" i="152"/>
  <c r="AW53" i="152"/>
  <c r="BE52" i="152"/>
  <c r="AW52" i="152"/>
  <c r="BE51" i="152"/>
  <c r="AW51" i="152"/>
  <c r="BE50" i="152"/>
  <c r="AW50" i="152"/>
  <c r="BE49" i="152"/>
  <c r="AW49" i="152"/>
  <c r="BC57" i="152"/>
  <c r="AX56" i="152"/>
  <c r="BG54" i="152"/>
  <c r="AX54" i="152"/>
  <c r="BD53" i="152"/>
  <c r="BD52" i="152"/>
  <c r="BD51" i="152"/>
  <c r="BD50" i="152"/>
  <c r="BD49" i="152"/>
  <c r="BD48" i="152"/>
  <c r="BD47" i="152"/>
  <c r="AW48" i="152"/>
  <c r="BD46" i="152"/>
  <c r="AX45" i="152"/>
  <c r="BC44" i="152"/>
  <c r="BC43" i="152"/>
  <c r="BC42" i="152"/>
  <c r="BC41" i="152"/>
  <c r="BC40" i="152"/>
  <c r="BC39" i="152"/>
  <c r="AW46" i="152"/>
  <c r="BH45" i="152"/>
  <c r="AW45" i="152"/>
  <c r="AL62" i="124" s="1"/>
  <c r="AM62" i="124" s="1"/>
  <c r="BB44" i="152"/>
  <c r="BB43" i="152"/>
  <c r="BB42" i="152"/>
  <c r="BB41" i="152"/>
  <c r="BB40" i="152"/>
  <c r="BB39" i="152"/>
  <c r="BB38" i="152"/>
  <c r="BB37" i="152"/>
  <c r="BB36" i="152"/>
  <c r="BB35" i="152"/>
  <c r="BB34" i="152"/>
  <c r="BG45" i="152"/>
  <c r="BA44" i="152"/>
  <c r="BA43" i="152"/>
  <c r="BA42" i="152"/>
  <c r="BA41" i="152"/>
  <c r="BA40" i="152"/>
  <c r="BA39" i="152"/>
  <c r="BF45" i="152"/>
  <c r="BH44" i="152"/>
  <c r="AZ44" i="152"/>
  <c r="BH43" i="152"/>
  <c r="AZ43" i="152"/>
  <c r="BH42" i="152"/>
  <c r="AZ42" i="152"/>
  <c r="BH41" i="152"/>
  <c r="AZ41" i="152"/>
  <c r="BH40" i="152"/>
  <c r="AZ40" i="152"/>
  <c r="BH39" i="152"/>
  <c r="AZ39" i="152"/>
  <c r="BH38" i="152"/>
  <c r="AZ38" i="152"/>
  <c r="BH37" i="152"/>
  <c r="AZ37" i="152"/>
  <c r="BH36" i="152"/>
  <c r="AZ36" i="152"/>
  <c r="BH35" i="152"/>
  <c r="AZ35" i="152"/>
  <c r="BH34" i="152"/>
  <c r="AZ34" i="152"/>
  <c r="BE45" i="152"/>
  <c r="BG44" i="152"/>
  <c r="AY44" i="152"/>
  <c r="BG43" i="152"/>
  <c r="AY43" i="152"/>
  <c r="BG42" i="152"/>
  <c r="AY42" i="152"/>
  <c r="BG41" i="152"/>
  <c r="AY41" i="152"/>
  <c r="BG40" i="152"/>
  <c r="AY40" i="152"/>
  <c r="BG39" i="152"/>
  <c r="AY39" i="152"/>
  <c r="BG38" i="152"/>
  <c r="AY38" i="152"/>
  <c r="BG37" i="152"/>
  <c r="AY37" i="152"/>
  <c r="BG36" i="152"/>
  <c r="AY36" i="152"/>
  <c r="BG35" i="152"/>
  <c r="AY35" i="152"/>
  <c r="BG34" i="152"/>
  <c r="AY34" i="152"/>
  <c r="BD45" i="152"/>
  <c r="BF44" i="152"/>
  <c r="AX44" i="152"/>
  <c r="BF43" i="152"/>
  <c r="AX43" i="152"/>
  <c r="BF42" i="152"/>
  <c r="AX42" i="152"/>
  <c r="BF41" i="152"/>
  <c r="AX41" i="152"/>
  <c r="BF40" i="152"/>
  <c r="AX40" i="152"/>
  <c r="BF39" i="152"/>
  <c r="AX39" i="152"/>
  <c r="BF38" i="152"/>
  <c r="AX38" i="152"/>
  <c r="BF37" i="152"/>
  <c r="AX37" i="152"/>
  <c r="BF36" i="152"/>
  <c r="AX36" i="152"/>
  <c r="BF35" i="152"/>
  <c r="AX35" i="152"/>
  <c r="BF34" i="152"/>
  <c r="AX34" i="152"/>
  <c r="BE47" i="152"/>
  <c r="AZ45" i="152"/>
  <c r="BE44" i="152"/>
  <c r="AW44" i="152"/>
  <c r="AL61" i="124" s="1"/>
  <c r="AN61" i="124" s="1"/>
  <c r="BE43" i="152"/>
  <c r="AW43" i="152"/>
  <c r="BE42" i="152"/>
  <c r="AW42" i="152"/>
  <c r="BE41" i="152"/>
  <c r="AW41" i="152"/>
  <c r="BE40" i="152"/>
  <c r="AW40" i="152"/>
  <c r="AL25" i="124" s="1"/>
  <c r="BE39" i="152"/>
  <c r="AW39" i="152"/>
  <c r="BE38" i="152"/>
  <c r="AW38" i="152"/>
  <c r="BE37" i="152"/>
  <c r="AW37" i="152"/>
  <c r="BE36" i="152"/>
  <c r="AW36" i="152"/>
  <c r="AL24" i="124" s="1"/>
  <c r="BE35" i="152"/>
  <c r="AW35" i="152"/>
  <c r="AY45" i="152"/>
  <c r="BD37" i="152"/>
  <c r="BD34" i="152"/>
  <c r="BA33" i="152"/>
  <c r="BA32" i="152"/>
  <c r="BA31" i="152"/>
  <c r="BD39" i="152"/>
  <c r="BC37" i="152"/>
  <c r="BC34" i="152"/>
  <c r="BH33" i="152"/>
  <c r="AZ33" i="152"/>
  <c r="BH32" i="152"/>
  <c r="AZ32" i="152"/>
  <c r="BH31" i="152"/>
  <c r="AZ31" i="152"/>
  <c r="BH30" i="152"/>
  <c r="AZ30" i="152"/>
  <c r="BH29" i="152"/>
  <c r="AZ29" i="152"/>
  <c r="BH28" i="152"/>
  <c r="AZ28" i="152"/>
  <c r="BH27" i="152"/>
  <c r="AZ27" i="152"/>
  <c r="BH26" i="152"/>
  <c r="AZ26" i="152"/>
  <c r="BH25" i="152"/>
  <c r="AZ25" i="152"/>
  <c r="BH24" i="152"/>
  <c r="BD40" i="152"/>
  <c r="BA37" i="152"/>
  <c r="BD35" i="152"/>
  <c r="BA34" i="152"/>
  <c r="BG33" i="152"/>
  <c r="AY33" i="152"/>
  <c r="BG32" i="152"/>
  <c r="AY32" i="152"/>
  <c r="BG31" i="152"/>
  <c r="AY31" i="152"/>
  <c r="BG30" i="152"/>
  <c r="BE48" i="152"/>
  <c r="BD41" i="152"/>
  <c r="BD38" i="152"/>
  <c r="BC35" i="152"/>
  <c r="AW34" i="152"/>
  <c r="AL20" i="124" s="1"/>
  <c r="BF33" i="152"/>
  <c r="AX33" i="152"/>
  <c r="BF32" i="152"/>
  <c r="AX32" i="152"/>
  <c r="BF31" i="152"/>
  <c r="AX31" i="152"/>
  <c r="BF30" i="152"/>
  <c r="AX30" i="152"/>
  <c r="BF29" i="152"/>
  <c r="AX29" i="152"/>
  <c r="BF28" i="152"/>
  <c r="AX28" i="152"/>
  <c r="BF27" i="152"/>
  <c r="AX27" i="152"/>
  <c r="BF26" i="152"/>
  <c r="AX26" i="152"/>
  <c r="BF25" i="152"/>
  <c r="AX25" i="152"/>
  <c r="AW47" i="152"/>
  <c r="BD42" i="152"/>
  <c r="BC38" i="152"/>
  <c r="BA35" i="152"/>
  <c r="BE33" i="152"/>
  <c r="AW33" i="152"/>
  <c r="BE32" i="152"/>
  <c r="AW32" i="152"/>
  <c r="BE31" i="152"/>
  <c r="AW31" i="152"/>
  <c r="BE30" i="152"/>
  <c r="AW30" i="152"/>
  <c r="BE29" i="152"/>
  <c r="AW29" i="152"/>
  <c r="BE28" i="152"/>
  <c r="AW28" i="152"/>
  <c r="AL13" i="124" s="1"/>
  <c r="AM13" i="124" s="1"/>
  <c r="BE27" i="152"/>
  <c r="AW27" i="152"/>
  <c r="BE26" i="152"/>
  <c r="AW26" i="152"/>
  <c r="BE25" i="152"/>
  <c r="AW25" i="152"/>
  <c r="BE46" i="152"/>
  <c r="BD43" i="152"/>
  <c r="BA38" i="152"/>
  <c r="BD36" i="152"/>
  <c r="BD33" i="152"/>
  <c r="BD32" i="152"/>
  <c r="BD31" i="152"/>
  <c r="BD30" i="152"/>
  <c r="BD29" i="152"/>
  <c r="BD28" i="152"/>
  <c r="BD27" i="152"/>
  <c r="BD26" i="152"/>
  <c r="BD25" i="152"/>
  <c r="BD44" i="152"/>
  <c r="BC36" i="152"/>
  <c r="BC33" i="152"/>
  <c r="BC32" i="152"/>
  <c r="BC31" i="152"/>
  <c r="BC30" i="152"/>
  <c r="BC29" i="152"/>
  <c r="BC28" i="152"/>
  <c r="BC27" i="152"/>
  <c r="BC26" i="152"/>
  <c r="BC25" i="152"/>
  <c r="BA36" i="152"/>
  <c r="AY29" i="152"/>
  <c r="BB27" i="152"/>
  <c r="BE24" i="152"/>
  <c r="AW24" i="152"/>
  <c r="BE23" i="152"/>
  <c r="AW23" i="152"/>
  <c r="AL6" i="124" s="1"/>
  <c r="AM6" i="124" s="1"/>
  <c r="BE22" i="152"/>
  <c r="AW22" i="152"/>
  <c r="BB31" i="152"/>
  <c r="BB30" i="152"/>
  <c r="BA27" i="152"/>
  <c r="BG25" i="152"/>
  <c r="BD24" i="152"/>
  <c r="BD23" i="152"/>
  <c r="BD22" i="152"/>
  <c r="BD21" i="152"/>
  <c r="BD20" i="152"/>
  <c r="BD19" i="152"/>
  <c r="BD18" i="152"/>
  <c r="BD17" i="152"/>
  <c r="BD16" i="152"/>
  <c r="BD15" i="152"/>
  <c r="BB32" i="152"/>
  <c r="BA30" i="152"/>
  <c r="BG28" i="152"/>
  <c r="AY27" i="152"/>
  <c r="BB25" i="152"/>
  <c r="BC24" i="152"/>
  <c r="BC23" i="152"/>
  <c r="BC22" i="152"/>
  <c r="BB33" i="152"/>
  <c r="AY30" i="152"/>
  <c r="BB28" i="152"/>
  <c r="BA25" i="152"/>
  <c r="BB24" i="152"/>
  <c r="BB23" i="152"/>
  <c r="BB22" i="152"/>
  <c r="BB21" i="152"/>
  <c r="BB20" i="152"/>
  <c r="BB19" i="152"/>
  <c r="BB18" i="152"/>
  <c r="BB17" i="152"/>
  <c r="BB16" i="152"/>
  <c r="BB15" i="152"/>
  <c r="BA28" i="152"/>
  <c r="BG26" i="152"/>
  <c r="AY25" i="152"/>
  <c r="BA24" i="152"/>
  <c r="BA23" i="152"/>
  <c r="BA22" i="152"/>
  <c r="BA21" i="152"/>
  <c r="BA20" i="152"/>
  <c r="BA19" i="152"/>
  <c r="BA18" i="152"/>
  <c r="BA17" i="152"/>
  <c r="BA16" i="152"/>
  <c r="BE34" i="152"/>
  <c r="BG29" i="152"/>
  <c r="AY28" i="152"/>
  <c r="BB26" i="152"/>
  <c r="AZ24" i="152"/>
  <c r="BH23" i="152"/>
  <c r="AZ23" i="152"/>
  <c r="BH22" i="152"/>
  <c r="AZ22" i="152"/>
  <c r="BH21" i="152"/>
  <c r="AZ21" i="152"/>
  <c r="BH20" i="152"/>
  <c r="AZ20" i="152"/>
  <c r="BH19" i="152"/>
  <c r="AZ19" i="152"/>
  <c r="BH18" i="152"/>
  <c r="AZ18" i="152"/>
  <c r="BH17" i="152"/>
  <c r="AZ17" i="152"/>
  <c r="BH16" i="152"/>
  <c r="AZ16" i="152"/>
  <c r="BB29" i="152"/>
  <c r="BA26" i="152"/>
  <c r="BG24" i="152"/>
  <c r="AY24" i="152"/>
  <c r="BG23" i="152"/>
  <c r="AY23" i="152"/>
  <c r="BG22" i="152"/>
  <c r="AY22" i="152"/>
  <c r="BG21" i="152"/>
  <c r="AY21" i="152"/>
  <c r="BG20" i="152"/>
  <c r="AY20" i="152"/>
  <c r="BG19" i="152"/>
  <c r="AY19" i="152"/>
  <c r="BG18" i="152"/>
  <c r="AY18" i="152"/>
  <c r="BG17" i="152"/>
  <c r="AY17" i="152"/>
  <c r="BG16" i="152"/>
  <c r="AY16" i="152"/>
  <c r="BG27" i="152"/>
  <c r="BF23" i="152"/>
  <c r="AX22" i="152"/>
  <c r="BC21" i="152"/>
  <c r="BF19" i="152"/>
  <c r="AX18" i="152"/>
  <c r="BE16" i="152"/>
  <c r="BE15" i="152"/>
  <c r="BC14" i="152"/>
  <c r="BC13" i="152"/>
  <c r="BC12" i="152"/>
  <c r="BC11" i="152"/>
  <c r="BC10" i="152"/>
  <c r="BC9" i="152"/>
  <c r="BC8" i="152"/>
  <c r="BF24" i="152"/>
  <c r="AX23" i="152"/>
  <c r="AX21" i="152"/>
  <c r="BE19" i="152"/>
  <c r="AW18" i="152"/>
  <c r="BC16" i="152"/>
  <c r="BC15" i="152"/>
  <c r="BB14" i="152"/>
  <c r="BB13" i="152"/>
  <c r="BB12" i="152"/>
  <c r="BB11" i="152"/>
  <c r="BB10" i="152"/>
  <c r="BB9" i="152"/>
  <c r="BB8" i="152"/>
  <c r="BB7" i="152"/>
  <c r="BB6" i="152"/>
  <c r="BB5" i="152"/>
  <c r="BB4" i="152"/>
  <c r="BB3" i="152"/>
  <c r="AX24" i="152"/>
  <c r="AW21" i="152"/>
  <c r="BC19" i="152"/>
  <c r="BF17" i="152"/>
  <c r="AX16" i="152"/>
  <c r="BA15" i="152"/>
  <c r="BA14" i="152"/>
  <c r="BA13" i="152"/>
  <c r="BA12" i="152"/>
  <c r="BA11" i="152"/>
  <c r="BA10" i="152"/>
  <c r="BA29" i="152"/>
  <c r="AY26" i="152"/>
  <c r="BF20" i="152"/>
  <c r="AX19" i="152"/>
  <c r="BE17" i="152"/>
  <c r="AW16" i="152"/>
  <c r="AZ15" i="152"/>
  <c r="BH14" i="152"/>
  <c r="AZ14" i="152"/>
  <c r="BH13" i="152"/>
  <c r="AZ13" i="152"/>
  <c r="BH12" i="152"/>
  <c r="AZ12" i="152"/>
  <c r="BH11" i="152"/>
  <c r="AZ11" i="152"/>
  <c r="BH10" i="152"/>
  <c r="AZ10" i="152"/>
  <c r="BH9" i="152"/>
  <c r="AZ9" i="152"/>
  <c r="BH8" i="152"/>
  <c r="AZ8" i="152"/>
  <c r="BH7" i="152"/>
  <c r="AZ7" i="152"/>
  <c r="BH6" i="152"/>
  <c r="AZ6" i="152"/>
  <c r="BH5" i="152"/>
  <c r="AZ5" i="152"/>
  <c r="BH4" i="152"/>
  <c r="AZ4" i="152"/>
  <c r="BH3" i="152"/>
  <c r="AZ3" i="152"/>
  <c r="BE20" i="152"/>
  <c r="AW19" i="152"/>
  <c r="BC17" i="152"/>
  <c r="AY15" i="152"/>
  <c r="BG14" i="152"/>
  <c r="AY14" i="152"/>
  <c r="BG13" i="152"/>
  <c r="AY13" i="152"/>
  <c r="BG12" i="152"/>
  <c r="AY12" i="152"/>
  <c r="BG11" i="152"/>
  <c r="AY11" i="152"/>
  <c r="BG10" i="152"/>
  <c r="AY10" i="152"/>
  <c r="BG9" i="152"/>
  <c r="AY9" i="152"/>
  <c r="BG8" i="152"/>
  <c r="AY8" i="152"/>
  <c r="BG7" i="152"/>
  <c r="AY7" i="152"/>
  <c r="BG6" i="152"/>
  <c r="AY6" i="152"/>
  <c r="BG5" i="152"/>
  <c r="AY5" i="152"/>
  <c r="BG4" i="152"/>
  <c r="AY4" i="152"/>
  <c r="BG3" i="152"/>
  <c r="AY3" i="152"/>
  <c r="BC20" i="152"/>
  <c r="BF18" i="152"/>
  <c r="AX17" i="152"/>
  <c r="BH15" i="152"/>
  <c r="AX15" i="152"/>
  <c r="BF14" i="152"/>
  <c r="AX14" i="152"/>
  <c r="BF13" i="152"/>
  <c r="AX13" i="152"/>
  <c r="BF12" i="152"/>
  <c r="AX12" i="152"/>
  <c r="BF11" i="152"/>
  <c r="AX11" i="152"/>
  <c r="BF10" i="152"/>
  <c r="AX10" i="152"/>
  <c r="BF9" i="152"/>
  <c r="AX9" i="152"/>
  <c r="BF8" i="152"/>
  <c r="AX8" i="152"/>
  <c r="BF7" i="152"/>
  <c r="AX7" i="152"/>
  <c r="BF6" i="152"/>
  <c r="AX6" i="152"/>
  <c r="BF5" i="152"/>
  <c r="AX5" i="152"/>
  <c r="BF4" i="152"/>
  <c r="AX4" i="152"/>
  <c r="BF3" i="152"/>
  <c r="AX3" i="152"/>
  <c r="BF21" i="152"/>
  <c r="AX20" i="152"/>
  <c r="BE18" i="152"/>
  <c r="AW17" i="152"/>
  <c r="BG15" i="152"/>
  <c r="AW15" i="152"/>
  <c r="BE14" i="152"/>
  <c r="AW14" i="152"/>
  <c r="AL50" i="124" s="1"/>
  <c r="BE13" i="152"/>
  <c r="AW13" i="152"/>
  <c r="BE12" i="152"/>
  <c r="AW12" i="152"/>
  <c r="BE11" i="152"/>
  <c r="AW11" i="152"/>
  <c r="BE10" i="152"/>
  <c r="AW10" i="152"/>
  <c r="AL42" i="124" s="1"/>
  <c r="BE9" i="152"/>
  <c r="AW9" i="152"/>
  <c r="BE8" i="152"/>
  <c r="AW8" i="152"/>
  <c r="BE7" i="152"/>
  <c r="AW7" i="152"/>
  <c r="BE6" i="152"/>
  <c r="AW6" i="152"/>
  <c r="AL14" i="124" s="1"/>
  <c r="BE5" i="152"/>
  <c r="AW5" i="152"/>
  <c r="BE4" i="152"/>
  <c r="AW4" i="152"/>
  <c r="BE3" i="152"/>
  <c r="AW3" i="152"/>
  <c r="BE21" i="152"/>
  <c r="BC18" i="152"/>
  <c r="BF15" i="152"/>
  <c r="BA6" i="152"/>
  <c r="BD4" i="152"/>
  <c r="BD7" i="152"/>
  <c r="BC4" i="152"/>
  <c r="BD8" i="152"/>
  <c r="BC7" i="152"/>
  <c r="BA4" i="152"/>
  <c r="AW20" i="152"/>
  <c r="BD10" i="152"/>
  <c r="BA8" i="152"/>
  <c r="BA7" i="152"/>
  <c r="BD5" i="152"/>
  <c r="BD11" i="152"/>
  <c r="BD9" i="152"/>
  <c r="BC5" i="152"/>
  <c r="BF16" i="152"/>
  <c r="BD12" i="152"/>
  <c r="BA9" i="152"/>
  <c r="BA5" i="152"/>
  <c r="BD3" i="152"/>
  <c r="BD13" i="152"/>
  <c r="BD6" i="152"/>
  <c r="BC3" i="152"/>
  <c r="BF22" i="152"/>
  <c r="BD14" i="152"/>
  <c r="BC6" i="152"/>
  <c r="BA3" i="152"/>
  <c r="AH188" i="127"/>
  <c r="AH206" i="127"/>
  <c r="AK197" i="127"/>
  <c r="AK224" i="127"/>
  <c r="V215" i="127"/>
  <c r="W67" i="127"/>
  <c r="AH67" i="127"/>
  <c r="AH130" i="127" s="1"/>
  <c r="W76" i="127"/>
  <c r="V190" i="127"/>
  <c r="V208" i="127"/>
  <c r="AG208" i="127"/>
  <c r="AG190" i="127"/>
  <c r="Z104" i="127"/>
  <c r="Z174" i="127" s="1"/>
  <c r="Z181" i="127" s="1"/>
  <c r="Z231" i="127" s="1"/>
  <c r="W200" i="127"/>
  <c r="W173" i="127"/>
  <c r="W191" i="127"/>
  <c r="U227" i="127"/>
  <c r="G221" i="80"/>
  <c r="G223" i="80" s="1"/>
  <c r="N101" i="111"/>
  <c r="O101" i="111" s="1"/>
  <c r="U205" i="127"/>
  <c r="U187" i="127"/>
  <c r="AI188" i="127"/>
  <c r="AI193" i="127" s="1"/>
  <c r="AI206" i="127"/>
  <c r="AI211" i="127" s="1"/>
  <c r="AI67" i="127"/>
  <c r="AI104" i="127" s="1"/>
  <c r="AI174" i="127" s="1"/>
  <c r="AI181" i="127" s="1"/>
  <c r="W208" i="127"/>
  <c r="W190" i="127"/>
  <c r="U199" i="127"/>
  <c r="U237" i="127" s="1"/>
  <c r="AH208" i="127"/>
  <c r="AH190" i="127"/>
  <c r="AA104" i="127"/>
  <c r="O208" i="80"/>
  <c r="O210" i="80" s="1"/>
  <c r="O215" i="80"/>
  <c r="V205" i="127"/>
  <c r="V187" i="127"/>
  <c r="AJ188" i="127"/>
  <c r="AJ193" i="127" s="1"/>
  <c r="AJ206" i="127"/>
  <c r="AJ67" i="127"/>
  <c r="AJ104" i="127" s="1"/>
  <c r="AJ174" i="127" s="1"/>
  <c r="AJ181" i="127" s="1"/>
  <c r="U204" i="127"/>
  <c r="U186" i="127"/>
  <c r="W205" i="127"/>
  <c r="W187" i="127"/>
  <c r="U189" i="127"/>
  <c r="U207" i="127"/>
  <c r="V204" i="127"/>
  <c r="V186" i="127"/>
  <c r="W17" i="127"/>
  <c r="AK205" i="127"/>
  <c r="AK187" i="127"/>
  <c r="V189" i="127"/>
  <c r="V207" i="127"/>
  <c r="U93" i="127"/>
  <c r="V192" i="127"/>
  <c r="AD202" i="127"/>
  <c r="AD240" i="127" s="1"/>
  <c r="AA211" i="127"/>
  <c r="W192" i="127"/>
  <c r="AE202" i="127"/>
  <c r="AE240" i="127" s="1"/>
  <c r="AJ211" i="127"/>
  <c r="V227" i="127"/>
  <c r="AI202" i="127"/>
  <c r="AC211" i="127"/>
  <c r="W227" i="127"/>
  <c r="U180" i="127"/>
  <c r="U201" i="127"/>
  <c r="AJ202" i="127"/>
  <c r="V180" i="127"/>
  <c r="Z202" i="127"/>
  <c r="Z240" i="127" s="1"/>
  <c r="AE211" i="127"/>
  <c r="AC220" i="127"/>
  <c r="W180" i="127"/>
  <c r="AA202" i="127"/>
  <c r="AB202" i="127"/>
  <c r="W220" i="127"/>
  <c r="AC202" i="127"/>
  <c r="H239" i="127"/>
  <c r="P239" i="127"/>
  <c r="M236" i="127"/>
  <c r="K237" i="127"/>
  <c r="I238" i="127"/>
  <c r="Q238" i="127"/>
  <c r="AF233" i="127"/>
  <c r="K234" i="127"/>
  <c r="I235" i="127"/>
  <c r="Q235" i="127"/>
  <c r="T103" i="127"/>
  <c r="M220" i="127"/>
  <c r="AZ5" i="158"/>
  <c r="AB13" i="158"/>
  <c r="BF13" i="158"/>
  <c r="AK16" i="158"/>
  <c r="BB16" i="158"/>
  <c r="AM32" i="158"/>
  <c r="Y32" i="158"/>
  <c r="R32" i="158"/>
  <c r="R32" i="161" s="1"/>
  <c r="BE34" i="158"/>
  <c r="BC39" i="158"/>
  <c r="AV39" i="158"/>
  <c r="N39" i="158"/>
  <c r="Q40" i="158"/>
  <c r="X56" i="158"/>
  <c r="Q58" i="158"/>
  <c r="BC58" i="158"/>
  <c r="R60" i="158"/>
  <c r="BE60" i="158"/>
  <c r="BF34" i="159"/>
  <c r="V34" i="159"/>
  <c r="BE34" i="159"/>
  <c r="U34" i="159"/>
  <c r="BB34" i="159"/>
  <c r="Q34" i="159"/>
  <c r="AS34" i="159"/>
  <c r="P34" i="159"/>
  <c r="AR34" i="159"/>
  <c r="AJ34" i="159"/>
  <c r="AE34" i="159"/>
  <c r="AY48" i="159"/>
  <c r="AF48" i="159"/>
  <c r="AC48" i="159"/>
  <c r="W48" i="159"/>
  <c r="T48" i="159"/>
  <c r="BE48" i="159"/>
  <c r="AG48" i="159"/>
  <c r="AK53" i="159"/>
  <c r="AT53" i="159"/>
  <c r="AJ2" i="158"/>
  <c r="BA2" i="158"/>
  <c r="U2" i="158"/>
  <c r="AP2" i="158"/>
  <c r="AQ2" i="158"/>
  <c r="AD40" i="158"/>
  <c r="AA58" i="158"/>
  <c r="BI58" i="158"/>
  <c r="AB60" i="158"/>
  <c r="AX2" i="158"/>
  <c r="AJ4" i="158"/>
  <c r="BC4" i="158"/>
  <c r="V5" i="158"/>
  <c r="AI40" i="158"/>
  <c r="BB44" i="158"/>
  <c r="V44" i="158"/>
  <c r="AH58" i="158"/>
  <c r="AI60" i="158"/>
  <c r="AM63" i="158"/>
  <c r="R63" i="158"/>
  <c r="AX63" i="158"/>
  <c r="AW63" i="158"/>
  <c r="U63" i="158"/>
  <c r="S63" i="158"/>
  <c r="BD8" i="159"/>
  <c r="BC8" i="159"/>
  <c r="AM8" i="159"/>
  <c r="S8" i="159"/>
  <c r="BA8" i="159"/>
  <c r="AH8" i="159"/>
  <c r="P8" i="159"/>
  <c r="AY8" i="159"/>
  <c r="AE8" i="159"/>
  <c r="N8" i="159"/>
  <c r="AX8" i="159"/>
  <c r="AD8" i="159"/>
  <c r="AQ8" i="159"/>
  <c r="X8" i="159"/>
  <c r="AN8" i="159"/>
  <c r="V8" i="159"/>
  <c r="BF24" i="159"/>
  <c r="AH24" i="159"/>
  <c r="AA24" i="159"/>
  <c r="U24" i="159"/>
  <c r="BI24" i="159"/>
  <c r="T24" i="159"/>
  <c r="BC24" i="159"/>
  <c r="AS24" i="159"/>
  <c r="AN24" i="159"/>
  <c r="AH58" i="159"/>
  <c r="AQ60" i="159"/>
  <c r="AU60" i="159"/>
  <c r="AE60" i="159"/>
  <c r="Z60" i="159"/>
  <c r="R2" i="158"/>
  <c r="AZ2" i="158"/>
  <c r="BE25" i="158"/>
  <c r="BC25" i="158"/>
  <c r="Y25" i="158"/>
  <c r="AQ25" i="158"/>
  <c r="Q25" i="158"/>
  <c r="AP25" i="158"/>
  <c r="P25" i="158"/>
  <c r="AY25" i="158"/>
  <c r="AU56" i="158"/>
  <c r="AA56" i="158"/>
  <c r="BG56" i="158"/>
  <c r="AL56" i="158"/>
  <c r="V56" i="158"/>
  <c r="BA56" i="158"/>
  <c r="AK56" i="158"/>
  <c r="Q56" i="158"/>
  <c r="AW56" i="158"/>
  <c r="AC56" i="158"/>
  <c r="N56" i="158"/>
  <c r="AO56" i="158"/>
  <c r="BD5" i="158"/>
  <c r="U5" i="158"/>
  <c r="AI5" i="158"/>
  <c r="BD58" i="159"/>
  <c r="BB58" i="159"/>
  <c r="V58" i="159"/>
  <c r="AS58" i="159"/>
  <c r="U58" i="159"/>
  <c r="AO58" i="159"/>
  <c r="Q58" i="159"/>
  <c r="AN58" i="159"/>
  <c r="P58" i="159"/>
  <c r="AK58" i="159"/>
  <c r="BG58" i="159"/>
  <c r="AF58" i="159"/>
  <c r="BC58" i="159"/>
  <c r="Y58" i="159"/>
  <c r="AF5" i="158"/>
  <c r="BF10" i="158"/>
  <c r="N10" i="158"/>
  <c r="AW38" i="158"/>
  <c r="AT38" i="158"/>
  <c r="BE40" i="158"/>
  <c r="BF40" i="158"/>
  <c r="AE40" i="158"/>
  <c r="AV40" i="158"/>
  <c r="U40" i="158"/>
  <c r="AT40" i="158"/>
  <c r="R40" i="158"/>
  <c r="BG40" i="158"/>
  <c r="AF40" i="158"/>
  <c r="N40" i="158"/>
  <c r="AW40" i="158"/>
  <c r="AX58" i="158"/>
  <c r="BE58" i="158"/>
  <c r="AM58" i="158"/>
  <c r="R58" i="158"/>
  <c r="AV58" i="158"/>
  <c r="AC58" i="158"/>
  <c r="O58" i="158"/>
  <c r="AU58" i="158"/>
  <c r="AB58" i="158"/>
  <c r="BG58" i="158"/>
  <c r="AO58" i="158"/>
  <c r="T58" i="158"/>
  <c r="AP58" i="158"/>
  <c r="AU60" i="158"/>
  <c r="AC60" i="158"/>
  <c r="N60" i="158"/>
  <c r="BH60" i="158"/>
  <c r="AP60" i="158"/>
  <c r="W60" i="158"/>
  <c r="BG60" i="158"/>
  <c r="AO60" i="158"/>
  <c r="T60" i="158"/>
  <c r="AX60" i="158"/>
  <c r="AH60" i="158"/>
  <c r="O60" i="158"/>
  <c r="AS60" i="158"/>
  <c r="T2" i="158"/>
  <c r="AK5" i="158"/>
  <c r="AS22" i="158"/>
  <c r="BC40" i="158"/>
  <c r="AZ44" i="158"/>
  <c r="AS58" i="158"/>
  <c r="AT60" i="158"/>
  <c r="AY63" i="158"/>
  <c r="AC8" i="159"/>
  <c r="AM12" i="159"/>
  <c r="AO12" i="159"/>
  <c r="AE12" i="159"/>
  <c r="AD12" i="159"/>
  <c r="BG12" i="159"/>
  <c r="AC12" i="159"/>
  <c r="AX12" i="159"/>
  <c r="S12" i="159"/>
  <c r="AW12" i="159"/>
  <c r="R12" i="159"/>
  <c r="AR40" i="159"/>
  <c r="Z40" i="159"/>
  <c r="Y40" i="159"/>
  <c r="U40" i="159"/>
  <c r="O40" i="159"/>
  <c r="BC40" i="159"/>
  <c r="AP40" i="159"/>
  <c r="AO40" i="159"/>
  <c r="Z2" i="158"/>
  <c r="AU4" i="158"/>
  <c r="AV5" i="158"/>
  <c r="AO10" i="158"/>
  <c r="AO18" i="158"/>
  <c r="T18" i="158"/>
  <c r="AJ18" i="158"/>
  <c r="AX34" i="158"/>
  <c r="AP34" i="158"/>
  <c r="S34" i="158"/>
  <c r="BG34" i="158"/>
  <c r="AK34" i="158"/>
  <c r="O34" i="158"/>
  <c r="BF34" i="158"/>
  <c r="AF34" i="158"/>
  <c r="AV34" i="158"/>
  <c r="U34" i="158"/>
  <c r="AY34" i="158"/>
  <c r="O40" i="158"/>
  <c r="P58" i="158"/>
  <c r="AZ58" i="158"/>
  <c r="Q60" i="158"/>
  <c r="BB60" i="158"/>
  <c r="AL8" i="159"/>
  <c r="AY3" i="159"/>
  <c r="AL6" i="159"/>
  <c r="AH13" i="159"/>
  <c r="P15" i="159"/>
  <c r="AQ15" i="159"/>
  <c r="AL16" i="159"/>
  <c r="Q25" i="159"/>
  <c r="BC25" i="159"/>
  <c r="Z29" i="159"/>
  <c r="AO29" i="159"/>
  <c r="BD29" i="159"/>
  <c r="AI32" i="159"/>
  <c r="BH33" i="159"/>
  <c r="Y35" i="159"/>
  <c r="AT35" i="159"/>
  <c r="AP36" i="159"/>
  <c r="AA38" i="159"/>
  <c r="AT38" i="159"/>
  <c r="R39" i="159"/>
  <c r="AX47" i="159"/>
  <c r="O54" i="159"/>
  <c r="BA54" i="159"/>
  <c r="BC3" i="159"/>
  <c r="AQ6" i="159"/>
  <c r="T15" i="159"/>
  <c r="AR15" i="159"/>
  <c r="S25" i="159"/>
  <c r="BD25" i="159"/>
  <c r="AJ32" i="159"/>
  <c r="AE35" i="159"/>
  <c r="AU35" i="159"/>
  <c r="AD38" i="159"/>
  <c r="AV38" i="159"/>
  <c r="P54" i="159"/>
  <c r="BD54" i="159"/>
  <c r="X23" i="158"/>
  <c r="Y24" i="158"/>
  <c r="AN24" i="158"/>
  <c r="BD24" i="158"/>
  <c r="P29" i="158"/>
  <c r="AF29" i="158"/>
  <c r="AZ29" i="158"/>
  <c r="AM31" i="158"/>
  <c r="U48" i="158"/>
  <c r="AU55" i="158"/>
  <c r="AA59" i="158"/>
  <c r="AR59" i="158"/>
  <c r="BH59" i="158"/>
  <c r="R61" i="158"/>
  <c r="AI61" i="158"/>
  <c r="BC61" i="158"/>
  <c r="N3" i="159"/>
  <c r="BE4" i="159"/>
  <c r="P6" i="159"/>
  <c r="AW6" i="159"/>
  <c r="Z15" i="159"/>
  <c r="AZ15" i="159"/>
  <c r="Q16" i="159"/>
  <c r="BA16" i="159"/>
  <c r="U18" i="159"/>
  <c r="AC25" i="159"/>
  <c r="P29" i="159"/>
  <c r="AC29" i="159"/>
  <c r="AV29" i="159"/>
  <c r="N32" i="159"/>
  <c r="AT32" i="159"/>
  <c r="P33" i="159"/>
  <c r="Q35" i="159"/>
  <c r="AH35" i="159"/>
  <c r="BB35" i="159"/>
  <c r="S36" i="159"/>
  <c r="BF36" i="159"/>
  <c r="N38" i="159"/>
  <c r="AG38" i="159"/>
  <c r="BB38" i="159"/>
  <c r="AN45" i="159"/>
  <c r="X54" i="159"/>
  <c r="AP57" i="159"/>
  <c r="R63" i="159"/>
  <c r="AB59" i="158"/>
  <c r="AS59" i="158"/>
  <c r="P3" i="159"/>
  <c r="BH4" i="159"/>
  <c r="S6" i="159"/>
  <c r="AY6" i="159"/>
  <c r="AC15" i="159"/>
  <c r="BB15" i="159"/>
  <c r="T16" i="159"/>
  <c r="BB16" i="159"/>
  <c r="Y18" i="159"/>
  <c r="AG25" i="159"/>
  <c r="Q29" i="159"/>
  <c r="AF29" i="159"/>
  <c r="AX29" i="159"/>
  <c r="P32" i="159"/>
  <c r="AX32" i="159"/>
  <c r="AC33" i="159"/>
  <c r="R35" i="159"/>
  <c r="AI35" i="159"/>
  <c r="BC35" i="159"/>
  <c r="V36" i="159"/>
  <c r="O38" i="159"/>
  <c r="AH38" i="159"/>
  <c r="BG38" i="159"/>
  <c r="AO45" i="159"/>
  <c r="Z54" i="159"/>
  <c r="AR57" i="159"/>
  <c r="S63" i="159"/>
  <c r="AG15" i="159"/>
  <c r="BH15" i="159"/>
  <c r="AK25" i="159"/>
  <c r="AN54" i="159"/>
  <c r="AV25" i="159"/>
  <c r="AQ54" i="159"/>
  <c r="AA29" i="158"/>
  <c r="AQ29" i="158"/>
  <c r="Q59" i="158"/>
  <c r="AH59" i="158"/>
  <c r="BB59" i="158"/>
  <c r="AB61" i="158"/>
  <c r="AM65" i="158"/>
  <c r="AI3" i="159"/>
  <c r="T4" i="159"/>
  <c r="AC6" i="159"/>
  <c r="N15" i="159"/>
  <c r="AP15" i="159"/>
  <c r="AJ16" i="159"/>
  <c r="Y29" i="159"/>
  <c r="AM29" i="159"/>
  <c r="BC29" i="159"/>
  <c r="AC30" i="159"/>
  <c r="AB32" i="159"/>
  <c r="BI32" i="159"/>
  <c r="AT33" i="159"/>
  <c r="X35" i="159"/>
  <c r="AJ36" i="159"/>
  <c r="U38" i="159"/>
  <c r="AS38" i="159"/>
  <c r="AW41" i="159"/>
  <c r="AB43" i="159"/>
  <c r="AM46" i="159"/>
  <c r="O47" i="159"/>
  <c r="AN52" i="159"/>
  <c r="AS54" i="159"/>
  <c r="BG55" i="159"/>
  <c r="P57" i="159"/>
  <c r="BF57" i="159"/>
  <c r="AG59" i="159"/>
  <c r="BF62" i="159"/>
  <c r="AD19" i="159"/>
  <c r="AN19" i="159"/>
  <c r="U19" i="159"/>
  <c r="S19" i="159"/>
  <c r="BI19" i="159"/>
  <c r="AY19" i="159"/>
  <c r="AX19" i="159"/>
  <c r="AO19" i="159"/>
  <c r="AE19" i="159"/>
  <c r="W8" i="158"/>
  <c r="U10" i="158"/>
  <c r="AP10" i="158"/>
  <c r="Y11" i="158"/>
  <c r="AL11" i="158"/>
  <c r="BA11" i="158"/>
  <c r="AK20" i="158"/>
  <c r="Z28" i="158"/>
  <c r="AO28" i="158"/>
  <c r="BC28" i="158"/>
  <c r="AI32" i="158"/>
  <c r="AE46" i="158"/>
  <c r="AG46" i="158"/>
  <c r="AB46" i="158"/>
  <c r="BF53" i="158"/>
  <c r="AF53" i="158"/>
  <c r="BG53" i="158"/>
  <c r="AU53" i="158"/>
  <c r="AY11" i="158"/>
  <c r="AZ4" i="158"/>
  <c r="X8" i="158"/>
  <c r="V10" i="158"/>
  <c r="AW10" i="158"/>
  <c r="N11" i="158"/>
  <c r="Z11" i="158"/>
  <c r="AO11" i="158"/>
  <c r="BB11" i="158"/>
  <c r="BC20" i="158"/>
  <c r="N27" i="158"/>
  <c r="N28" i="158"/>
  <c r="AB28" i="158"/>
  <c r="AP28" i="158"/>
  <c r="BE28" i="158"/>
  <c r="S30" i="158"/>
  <c r="W33" i="158"/>
  <c r="AB42" i="158"/>
  <c r="AO54" i="158"/>
  <c r="BF62" i="158"/>
  <c r="BI62" i="158"/>
  <c r="AV62" i="158"/>
  <c r="AG62" i="158"/>
  <c r="T62" i="158"/>
  <c r="AX62" i="158"/>
  <c r="AJ62" i="158"/>
  <c r="Q62" i="158"/>
  <c r="AW62" i="158"/>
  <c r="AE62" i="158"/>
  <c r="P62" i="158"/>
  <c r="AS62" i="158"/>
  <c r="AD62" i="158"/>
  <c r="O62" i="158"/>
  <c r="BH62" i="158"/>
  <c r="AR62" i="158"/>
  <c r="AC62" i="158"/>
  <c r="N62" i="158"/>
  <c r="BE62" i="158"/>
  <c r="AO62" i="158"/>
  <c r="Z62" i="158"/>
  <c r="AZ62" i="158"/>
  <c r="AL62" i="158"/>
  <c r="U62" i="158"/>
  <c r="AQ6" i="158"/>
  <c r="Q6" i="158"/>
  <c r="AP8" i="158"/>
  <c r="W10" i="158"/>
  <c r="AZ10" i="158"/>
  <c r="O11" i="158"/>
  <c r="AA11" i="158"/>
  <c r="AP11" i="158"/>
  <c r="BD11" i="158"/>
  <c r="R27" i="158"/>
  <c r="Q28" i="158"/>
  <c r="AC28" i="158"/>
  <c r="AR28" i="158"/>
  <c r="AQ30" i="158"/>
  <c r="AE32" i="158"/>
  <c r="BE32" i="158"/>
  <c r="AC32" i="158"/>
  <c r="AP32" i="158"/>
  <c r="AG33" i="158"/>
  <c r="AF42" i="158"/>
  <c r="V46" i="158"/>
  <c r="S50" i="158"/>
  <c r="U53" i="158"/>
  <c r="BD26" i="159"/>
  <c r="AH26" i="159"/>
  <c r="AX26" i="159"/>
  <c r="AS26" i="159"/>
  <c r="AL26" i="159"/>
  <c r="Y26" i="159"/>
  <c r="AT26" i="159"/>
  <c r="W26" i="159"/>
  <c r="Q26" i="159"/>
  <c r="N26" i="159"/>
  <c r="BC26" i="159"/>
  <c r="BB28" i="158"/>
  <c r="AY28" i="158"/>
  <c r="AL28" i="158"/>
  <c r="AA28" i="158"/>
  <c r="O28" i="158"/>
  <c r="Y28" i="158"/>
  <c r="AK28" i="158"/>
  <c r="AZ28" i="158"/>
  <c r="O4" i="158"/>
  <c r="BI7" i="158"/>
  <c r="AQ8" i="158"/>
  <c r="X10" i="158"/>
  <c r="BE10" i="158"/>
  <c r="P11" i="158"/>
  <c r="AC11" i="158"/>
  <c r="AS11" i="158"/>
  <c r="BD13" i="158"/>
  <c r="AW13" i="158"/>
  <c r="U13" i="158"/>
  <c r="AM13" i="158"/>
  <c r="AC17" i="158"/>
  <c r="BC19" i="158"/>
  <c r="BF23" i="158"/>
  <c r="AL23" i="158"/>
  <c r="AF23" i="158"/>
  <c r="BE26" i="158"/>
  <c r="BB26" i="158"/>
  <c r="AI26" i="158"/>
  <c r="P26" i="158"/>
  <c r="AG26" i="158"/>
  <c r="BA26" i="158"/>
  <c r="AI27" i="158"/>
  <c r="R28" i="158"/>
  <c r="AE28" i="158"/>
  <c r="AS28" i="158"/>
  <c r="BH28" i="158"/>
  <c r="AT32" i="158"/>
  <c r="AQ33" i="158"/>
  <c r="AU39" i="158"/>
  <c r="Z39" i="158"/>
  <c r="Q39" i="158"/>
  <c r="BE39" i="158"/>
  <c r="AX44" i="158"/>
  <c r="AH44" i="158"/>
  <c r="AE44" i="158"/>
  <c r="AL45" i="158"/>
  <c r="AF45" i="158"/>
  <c r="R45" i="158"/>
  <c r="AQ46" i="158"/>
  <c r="AX48" i="158"/>
  <c r="AD48" i="158"/>
  <c r="AM48" i="158"/>
  <c r="AF48" i="158"/>
  <c r="BE48" i="158"/>
  <c r="AE50" i="158"/>
  <c r="V53" i="158"/>
  <c r="AH55" i="158"/>
  <c r="U55" i="158"/>
  <c r="BE55" i="158"/>
  <c r="X62" i="158"/>
  <c r="BG5" i="159"/>
  <c r="S5" i="159"/>
  <c r="BI5" i="159"/>
  <c r="AA5" i="159"/>
  <c r="AN5" i="159"/>
  <c r="AK5" i="159"/>
  <c r="AC5" i="159"/>
  <c r="AB5" i="159"/>
  <c r="P5" i="159"/>
  <c r="AX5" i="159"/>
  <c r="Y22" i="159"/>
  <c r="BH22" i="159"/>
  <c r="AP22" i="159"/>
  <c r="AA22" i="159"/>
  <c r="AT22" i="159"/>
  <c r="BH11" i="158"/>
  <c r="BC11" i="158"/>
  <c r="AQ11" i="158"/>
  <c r="AF11" i="158"/>
  <c r="R11" i="158"/>
  <c r="X11" i="158"/>
  <c r="AK11" i="158"/>
  <c r="BC36" i="158"/>
  <c r="AJ36" i="158"/>
  <c r="AH42" i="158"/>
  <c r="W42" i="158"/>
  <c r="T4" i="158"/>
  <c r="BB5" i="158"/>
  <c r="AU5" i="158"/>
  <c r="P5" i="158"/>
  <c r="AN5" i="158"/>
  <c r="Y6" i="158"/>
  <c r="AF10" i="158"/>
  <c r="Q11" i="158"/>
  <c r="AG11" i="158"/>
  <c r="AT11" i="158"/>
  <c r="BI11" i="158"/>
  <c r="AN13" i="158"/>
  <c r="BD14" i="158"/>
  <c r="R16" i="158"/>
  <c r="AO23" i="158"/>
  <c r="AH26" i="158"/>
  <c r="BH26" i="158"/>
  <c r="AS27" i="158"/>
  <c r="S28" i="158"/>
  <c r="AH28" i="158"/>
  <c r="AT28" i="158"/>
  <c r="BI28" i="158"/>
  <c r="O32" i="158"/>
  <c r="AW32" i="158"/>
  <c r="AL35" i="158"/>
  <c r="AX42" i="158"/>
  <c r="AW46" i="158"/>
  <c r="AM50" i="158"/>
  <c r="AJ53" i="158"/>
  <c r="BH56" i="158"/>
  <c r="BB56" i="158"/>
  <c r="AQ56" i="158"/>
  <c r="AG56" i="158"/>
  <c r="W56" i="158"/>
  <c r="BD56" i="158"/>
  <c r="AS56" i="158"/>
  <c r="AF56" i="158"/>
  <c r="S56" i="158"/>
  <c r="BC56" i="158"/>
  <c r="AP56" i="158"/>
  <c r="AE56" i="158"/>
  <c r="R56" i="158"/>
  <c r="Y56" i="158"/>
  <c r="AN56" i="158"/>
  <c r="BF56" i="158"/>
  <c r="Y62" i="158"/>
  <c r="AM62" i="158"/>
  <c r="AY5" i="159"/>
  <c r="BG8" i="158"/>
  <c r="AI8" i="158"/>
  <c r="AX10" i="158"/>
  <c r="BI10" i="158"/>
  <c r="AN10" i="158"/>
  <c r="O10" i="158"/>
  <c r="AG10" i="158"/>
  <c r="BH10" i="158"/>
  <c r="S11" i="158"/>
  <c r="AH11" i="158"/>
  <c r="AU11" i="158"/>
  <c r="AZ27" i="158"/>
  <c r="T28" i="158"/>
  <c r="AI28" i="158"/>
  <c r="AU28" i="158"/>
  <c r="AZ42" i="158"/>
  <c r="AE4" i="158"/>
  <c r="AR6" i="158"/>
  <c r="BI9" i="158"/>
  <c r="Y9" i="158"/>
  <c r="AM10" i="158"/>
  <c r="W11" i="158"/>
  <c r="AI11" i="158"/>
  <c r="AX11" i="158"/>
  <c r="AJ12" i="158"/>
  <c r="AL12" i="158"/>
  <c r="S13" i="158"/>
  <c r="AU13" i="158"/>
  <c r="AS16" i="158"/>
  <c r="S23" i="158"/>
  <c r="AW23" i="158"/>
  <c r="Q26" i="158"/>
  <c r="AP26" i="158"/>
  <c r="W28" i="158"/>
  <c r="AJ28" i="158"/>
  <c r="AX28" i="158"/>
  <c r="U32" i="158"/>
  <c r="AD38" i="158"/>
  <c r="AB38" i="158"/>
  <c r="AH39" i="158"/>
  <c r="BC42" i="158"/>
  <c r="AB44" i="158"/>
  <c r="BH45" i="158"/>
  <c r="BB46" i="158"/>
  <c r="R48" i="158"/>
  <c r="AD55" i="158"/>
  <c r="AN62" i="158"/>
  <c r="BH5" i="159"/>
  <c r="AK11" i="159"/>
  <c r="T11" i="159"/>
  <c r="AB11" i="159"/>
  <c r="BD11" i="159"/>
  <c r="BA31" i="159"/>
  <c r="AY31" i="159"/>
  <c r="AL31" i="159"/>
  <c r="AA31" i="159"/>
  <c r="O31" i="159"/>
  <c r="BI31" i="159"/>
  <c r="AX31" i="159"/>
  <c r="AK31" i="159"/>
  <c r="Z31" i="159"/>
  <c r="N31" i="159"/>
  <c r="BE31" i="159"/>
  <c r="AP31" i="159"/>
  <c r="Y31" i="159"/>
  <c r="BC31" i="159"/>
  <c r="AO31" i="159"/>
  <c r="W31" i="159"/>
  <c r="BB31" i="159"/>
  <c r="AJ31" i="159"/>
  <c r="T31" i="159"/>
  <c r="AZ31" i="159"/>
  <c r="AI31" i="159"/>
  <c r="S31" i="159"/>
  <c r="AU31" i="159"/>
  <c r="AH31" i="159"/>
  <c r="R31" i="159"/>
  <c r="AT31" i="159"/>
  <c r="AE31" i="159"/>
  <c r="Q31" i="159"/>
  <c r="X24" i="158"/>
  <c r="AJ24" i="158"/>
  <c r="AX24" i="158"/>
  <c r="AG25" i="158"/>
  <c r="BA25" i="158"/>
  <c r="Z29" i="158"/>
  <c r="AN29" i="158"/>
  <c r="Y31" i="158"/>
  <c r="BH31" i="158"/>
  <c r="AC34" i="158"/>
  <c r="V40" i="158"/>
  <c r="AO40" i="158"/>
  <c r="X58" i="158"/>
  <c r="AJ58" i="158"/>
  <c r="X59" i="158"/>
  <c r="AJ59" i="158"/>
  <c r="BA60" i="158"/>
  <c r="BC60" i="158"/>
  <c r="AR60" i="158"/>
  <c r="AE60" i="158"/>
  <c r="S60" i="158"/>
  <c r="Y60" i="158"/>
  <c r="AK60" i="158"/>
  <c r="AY60" i="158"/>
  <c r="BA61" i="158"/>
  <c r="BI61" i="158"/>
  <c r="AX61" i="158"/>
  <c r="AK61" i="158"/>
  <c r="Z61" i="158"/>
  <c r="N61" i="158"/>
  <c r="X61" i="158"/>
  <c r="AL61" i="158"/>
  <c r="AZ61" i="158"/>
  <c r="AC63" i="158"/>
  <c r="BI63" i="158"/>
  <c r="Q3" i="159"/>
  <c r="AL3" i="159"/>
  <c r="BG3" i="159"/>
  <c r="AM4" i="159"/>
  <c r="AD6" i="159"/>
  <c r="AF11" i="159"/>
  <c r="BI14" i="159"/>
  <c r="AQ14" i="159"/>
  <c r="BH14" i="159"/>
  <c r="AR14" i="159"/>
  <c r="Z14" i="159"/>
  <c r="AC31" i="159"/>
  <c r="Z40" i="158"/>
  <c r="AS40" i="158"/>
  <c r="AX41" i="158"/>
  <c r="AD41" i="158"/>
  <c r="BA58" i="158"/>
  <c r="BD58" i="158"/>
  <c r="AR58" i="158"/>
  <c r="AF58" i="158"/>
  <c r="S58" i="158"/>
  <c r="Y58" i="158"/>
  <c r="AK58" i="158"/>
  <c r="AY58" i="158"/>
  <c r="BA59" i="158"/>
  <c r="BI59" i="158"/>
  <c r="AX59" i="158"/>
  <c r="AK59" i="158"/>
  <c r="Z59" i="158"/>
  <c r="N59" i="158"/>
  <c r="Y59" i="158"/>
  <c r="AL59" i="158"/>
  <c r="AZ59" i="158"/>
  <c r="Z60" i="158"/>
  <c r="AL60" i="158"/>
  <c r="AZ60" i="158"/>
  <c r="AA61" i="158"/>
  <c r="AN61" i="158"/>
  <c r="BB61" i="158"/>
  <c r="AE63" i="158"/>
  <c r="S3" i="159"/>
  <c r="AO3" i="159"/>
  <c r="AZ6" i="159"/>
  <c r="AJ6" i="159"/>
  <c r="Q6" i="159"/>
  <c r="AT6" i="159"/>
  <c r="U6" i="159"/>
  <c r="BE6" i="159"/>
  <c r="AF6" i="159"/>
  <c r="N6" i="159"/>
  <c r="AK6" i="159"/>
  <c r="AJ11" i="159"/>
  <c r="AJ21" i="159"/>
  <c r="AX21" i="159"/>
  <c r="AK21" i="159"/>
  <c r="X21" i="159"/>
  <c r="U21" i="159"/>
  <c r="AY25" i="159"/>
  <c r="BI25" i="159"/>
  <c r="AT25" i="159"/>
  <c r="AD25" i="159"/>
  <c r="N25" i="159"/>
  <c r="AW25" i="159"/>
  <c r="AE25" i="159"/>
  <c r="AS25" i="159"/>
  <c r="AA25" i="159"/>
  <c r="BH25" i="159"/>
  <c r="AO25" i="159"/>
  <c r="X25" i="159"/>
  <c r="BE25" i="159"/>
  <c r="AN25" i="159"/>
  <c r="U25" i="159"/>
  <c r="AL25" i="159"/>
  <c r="AR31" i="159"/>
  <c r="X3" i="159"/>
  <c r="AQ3" i="159"/>
  <c r="AR4" i="159"/>
  <c r="AY4" i="159"/>
  <c r="W4" i="159"/>
  <c r="AT4" i="159"/>
  <c r="R4" i="159"/>
  <c r="AH4" i="159"/>
  <c r="AP4" i="159"/>
  <c r="AX11" i="159"/>
  <c r="AH23" i="159"/>
  <c r="AG23" i="159"/>
  <c r="AQ23" i="159"/>
  <c r="AS31" i="159"/>
  <c r="BC37" i="159"/>
  <c r="Y37" i="159"/>
  <c r="T37" i="159"/>
  <c r="AZ37" i="159"/>
  <c r="AU37" i="159"/>
  <c r="AT37" i="159"/>
  <c r="AD37" i="159"/>
  <c r="Z37" i="159"/>
  <c r="BG63" i="158"/>
  <c r="AD63" i="158"/>
  <c r="AN63" i="158"/>
  <c r="Y3" i="159"/>
  <c r="BG31" i="159"/>
  <c r="BI3" i="159"/>
  <c r="BE3" i="159"/>
  <c r="AS3" i="159"/>
  <c r="AD3" i="159"/>
  <c r="BB3" i="159"/>
  <c r="AK3" i="159"/>
  <c r="W3" i="159"/>
  <c r="AT3" i="159"/>
  <c r="AA3" i="159"/>
  <c r="O3" i="159"/>
  <c r="Z3" i="159"/>
  <c r="AV3" i="159"/>
  <c r="AN9" i="159"/>
  <c r="BB9" i="159"/>
  <c r="R15" i="159"/>
  <c r="AJ15" i="159"/>
  <c r="R16" i="159"/>
  <c r="AD24" i="159"/>
  <c r="R30" i="159"/>
  <c r="AI30" i="159"/>
  <c r="AY30" i="159"/>
  <c r="X32" i="159"/>
  <c r="AL32" i="159"/>
  <c r="Q33" i="159"/>
  <c r="AG33" i="159"/>
  <c r="AU33" i="159"/>
  <c r="AV34" i="159"/>
  <c r="BA34" i="159"/>
  <c r="AB34" i="159"/>
  <c r="AT34" i="159"/>
  <c r="Y34" i="159"/>
  <c r="AK34" i="159"/>
  <c r="BH35" i="159"/>
  <c r="BA35" i="159"/>
  <c r="AN35" i="159"/>
  <c r="AA35" i="159"/>
  <c r="P35" i="159"/>
  <c r="AY35" i="159"/>
  <c r="AL35" i="159"/>
  <c r="Z35" i="159"/>
  <c r="O35" i="159"/>
  <c r="AC35" i="159"/>
  <c r="AS35" i="159"/>
  <c r="BI35" i="159"/>
  <c r="V39" i="159"/>
  <c r="AO44" i="159"/>
  <c r="BG51" i="159"/>
  <c r="AY51" i="159"/>
  <c r="T51" i="159"/>
  <c r="AX51" i="159"/>
  <c r="N51" i="159"/>
  <c r="AL51" i="159"/>
  <c r="AE51" i="159"/>
  <c r="S30" i="159"/>
  <c r="AJ30" i="159"/>
  <c r="AZ30" i="159"/>
  <c r="BA32" i="159"/>
  <c r="BD32" i="159"/>
  <c r="AS32" i="159"/>
  <c r="AH32" i="159"/>
  <c r="T32" i="159"/>
  <c r="BC32" i="159"/>
  <c r="AR32" i="159"/>
  <c r="AE32" i="159"/>
  <c r="S32" i="159"/>
  <c r="Z32" i="159"/>
  <c r="AN32" i="159"/>
  <c r="BG32" i="159"/>
  <c r="S33" i="159"/>
  <c r="AI33" i="159"/>
  <c r="AZ33" i="159"/>
  <c r="AI39" i="159"/>
  <c r="X10" i="159"/>
  <c r="W10" i="159"/>
  <c r="AZ24" i="159"/>
  <c r="AU24" i="159"/>
  <c r="W24" i="159"/>
  <c r="AK24" i="159"/>
  <c r="T30" i="159"/>
  <c r="AK30" i="159"/>
  <c r="BG30" i="159"/>
  <c r="AA32" i="159"/>
  <c r="AP32" i="159"/>
  <c r="BH32" i="159"/>
  <c r="T33" i="159"/>
  <c r="AJ33" i="159"/>
  <c r="BB33" i="159"/>
  <c r="AL39" i="159"/>
  <c r="AA43" i="159"/>
  <c r="AZ43" i="159"/>
  <c r="X43" i="159"/>
  <c r="AV43" i="159"/>
  <c r="AU45" i="159"/>
  <c r="T45" i="159"/>
  <c r="X30" i="159"/>
  <c r="AL30" i="159"/>
  <c r="BH30" i="159"/>
  <c r="W33" i="159"/>
  <c r="AN33" i="159"/>
  <c r="BC33" i="159"/>
  <c r="AX39" i="159"/>
  <c r="AH10" i="159"/>
  <c r="BD15" i="159"/>
  <c r="AY15" i="159"/>
  <c r="AH15" i="159"/>
  <c r="Q15" i="159"/>
  <c r="AA15" i="159"/>
  <c r="AS15" i="159"/>
  <c r="BH16" i="159"/>
  <c r="AI16" i="159"/>
  <c r="AH16" i="159"/>
  <c r="O24" i="159"/>
  <c r="AP24" i="159"/>
  <c r="Y30" i="159"/>
  <c r="AR30" i="159"/>
  <c r="O32" i="159"/>
  <c r="AC32" i="159"/>
  <c r="AU32" i="159"/>
  <c r="X33" i="159"/>
  <c r="AO33" i="159"/>
  <c r="AK41" i="159"/>
  <c r="N43" i="159"/>
  <c r="V45" i="159"/>
  <c r="W47" i="159"/>
  <c r="BD30" i="159"/>
  <c r="AP30" i="159"/>
  <c r="AB30" i="159"/>
  <c r="Q30" i="159"/>
  <c r="BB30" i="159"/>
  <c r="AO30" i="159"/>
  <c r="AA30" i="159"/>
  <c r="P30" i="159"/>
  <c r="Z30" i="159"/>
  <c r="AT30" i="159"/>
  <c r="BA33" i="159"/>
  <c r="AY33" i="159"/>
  <c r="AL33" i="159"/>
  <c r="AA33" i="159"/>
  <c r="O33" i="159"/>
  <c r="BI33" i="159"/>
  <c r="AW33" i="159"/>
  <c r="AK33" i="159"/>
  <c r="Y33" i="159"/>
  <c r="N33" i="159"/>
  <c r="AB33" i="159"/>
  <c r="AR33" i="159"/>
  <c r="BG33" i="159"/>
  <c r="BD39" i="159"/>
  <c r="AH39" i="159"/>
  <c r="W39" i="159"/>
  <c r="BB39" i="159"/>
  <c r="R59" i="159"/>
  <c r="AL59" i="159"/>
  <c r="BB59" i="159"/>
  <c r="AY63" i="159"/>
  <c r="V59" i="159"/>
  <c r="AM59" i="159"/>
  <c r="BD59" i="159"/>
  <c r="BI63" i="159"/>
  <c r="X59" i="159"/>
  <c r="AN59" i="159"/>
  <c r="BE59" i="159"/>
  <c r="Y59" i="159"/>
  <c r="AP59" i="159"/>
  <c r="BF59" i="159"/>
  <c r="AA8" i="159"/>
  <c r="AP8" i="159"/>
  <c r="BG8" i="159"/>
  <c r="T29" i="159"/>
  <c r="AH29" i="159"/>
  <c r="AS29" i="159"/>
  <c r="BE29" i="159"/>
  <c r="AL36" i="159"/>
  <c r="W38" i="159"/>
  <c r="AO38" i="159"/>
  <c r="BC38" i="159"/>
  <c r="AD46" i="159"/>
  <c r="BB46" i="159"/>
  <c r="AP48" i="159"/>
  <c r="AG49" i="159"/>
  <c r="T52" i="159"/>
  <c r="AG54" i="159"/>
  <c r="AH57" i="159"/>
  <c r="AA58" i="159"/>
  <c r="AT58" i="159"/>
  <c r="Z59" i="159"/>
  <c r="AT59" i="159"/>
  <c r="AO62" i="159"/>
  <c r="AC63" i="159"/>
  <c r="X29" i="159"/>
  <c r="AI29" i="159"/>
  <c r="AU29" i="159"/>
  <c r="BG29" i="159"/>
  <c r="Y38" i="159"/>
  <c r="AP38" i="159"/>
  <c r="AE46" i="159"/>
  <c r="AJ57" i="159"/>
  <c r="AD58" i="159"/>
  <c r="AW58" i="159"/>
  <c r="N59" i="159"/>
  <c r="AE59" i="159"/>
  <c r="AU59" i="159"/>
  <c r="R61" i="159"/>
  <c r="AP62" i="159"/>
  <c r="AH63" i="159"/>
  <c r="AB64" i="159"/>
  <c r="O59" i="159"/>
  <c r="AF59" i="159"/>
  <c r="AW59" i="159"/>
  <c r="AY64" i="159"/>
  <c r="BC7" i="158"/>
  <c r="BG7" i="158"/>
  <c r="AQ7" i="158"/>
  <c r="AC7" i="158"/>
  <c r="N7" i="158"/>
  <c r="AX7" i="158"/>
  <c r="AG7" i="158"/>
  <c r="O7" i="158"/>
  <c r="AU7" i="158"/>
  <c r="AE7" i="158"/>
  <c r="BH7" i="158"/>
  <c r="AP7" i="158"/>
  <c r="Y7" i="158"/>
  <c r="BE7" i="158"/>
  <c r="AO7" i="158"/>
  <c r="W7" i="158"/>
  <c r="BA7" i="158"/>
  <c r="AL7" i="158"/>
  <c r="V7" i="158"/>
  <c r="AZ7" i="158"/>
  <c r="AI7" i="158"/>
  <c r="T7" i="158"/>
  <c r="AY7" i="158"/>
  <c r="AH7" i="158"/>
  <c r="Q7" i="158"/>
  <c r="AR7" i="158"/>
  <c r="W5" i="158"/>
  <c r="AL5" i="158"/>
  <c r="N6" i="158"/>
  <c r="AG6" i="158"/>
  <c r="BA6" i="158"/>
  <c r="AC8" i="158"/>
  <c r="AY8" i="158"/>
  <c r="N9" i="158"/>
  <c r="AF9" i="158"/>
  <c r="BA9" i="158"/>
  <c r="R12" i="158"/>
  <c r="BC12" i="158"/>
  <c r="S14" i="158"/>
  <c r="BF16" i="158"/>
  <c r="AD16" i="158"/>
  <c r="BC16" i="158"/>
  <c r="AB16" i="158"/>
  <c r="AT16" i="158"/>
  <c r="AL18" i="158"/>
  <c r="Z18" i="158"/>
  <c r="O18" i="158"/>
  <c r="AK18" i="158"/>
  <c r="Y18" i="158"/>
  <c r="N18" i="158"/>
  <c r="AB18" i="158"/>
  <c r="AR18" i="158"/>
  <c r="S19" i="158"/>
  <c r="Q22" i="158"/>
  <c r="V23" i="158"/>
  <c r="AG23" i="158"/>
  <c r="AU23" i="158"/>
  <c r="BG27" i="158"/>
  <c r="AQ27" i="158"/>
  <c r="Y27" i="158"/>
  <c r="AP27" i="158"/>
  <c r="W27" i="158"/>
  <c r="AG27" i="158"/>
  <c r="BB27" i="158"/>
  <c r="AA30" i="158"/>
  <c r="AY30" i="158"/>
  <c r="BF47" i="158"/>
  <c r="AM47" i="158"/>
  <c r="N47" i="158"/>
  <c r="AX47" i="158"/>
  <c r="Q47" i="158"/>
  <c r="AP47" i="158"/>
  <c r="P47" i="158"/>
  <c r="AO47" i="158"/>
  <c r="O47" i="158"/>
  <c r="BA47" i="158"/>
  <c r="Z47" i="158"/>
  <c r="BB47" i="158"/>
  <c r="AZ47" i="158"/>
  <c r="AN47" i="158"/>
  <c r="AE47" i="158"/>
  <c r="AD47" i="158"/>
  <c r="AY57" i="158"/>
  <c r="AL57" i="158"/>
  <c r="Z57" i="158"/>
  <c r="O57" i="158"/>
  <c r="BB57" i="158"/>
  <c r="AO57" i="158"/>
  <c r="Y57" i="158"/>
  <c r="BC57" i="158"/>
  <c r="AJ57" i="158"/>
  <c r="W57" i="158"/>
  <c r="AZ57" i="158"/>
  <c r="AI57" i="158"/>
  <c r="S57" i="158"/>
  <c r="AX57" i="158"/>
  <c r="AH57" i="158"/>
  <c r="R57" i="158"/>
  <c r="BG57" i="158"/>
  <c r="AQ57" i="158"/>
  <c r="AA57" i="158"/>
  <c r="AP57" i="158"/>
  <c r="AF57" i="158"/>
  <c r="BH57" i="158"/>
  <c r="AB57" i="158"/>
  <c r="BD57" i="158"/>
  <c r="X57" i="158"/>
  <c r="AU57" i="158"/>
  <c r="Q57" i="158"/>
  <c r="AT57" i="158"/>
  <c r="P57" i="158"/>
  <c r="BI5" i="158"/>
  <c r="BE5" i="158"/>
  <c r="AS5" i="158"/>
  <c r="AE5" i="158"/>
  <c r="S5" i="158"/>
  <c r="X5" i="158"/>
  <c r="AM5" i="158"/>
  <c r="BC5" i="158"/>
  <c r="O6" i="158"/>
  <c r="AI6" i="158"/>
  <c r="BG6" i="158"/>
  <c r="N8" i="158"/>
  <c r="AH8" i="158"/>
  <c r="AZ8" i="158"/>
  <c r="O9" i="158"/>
  <c r="AL9" i="158"/>
  <c r="BD9" i="158"/>
  <c r="V12" i="158"/>
  <c r="BD12" i="158"/>
  <c r="AV16" i="158"/>
  <c r="AC18" i="158"/>
  <c r="AS18" i="158"/>
  <c r="AK19" i="158"/>
  <c r="R22" i="158"/>
  <c r="BH23" i="158"/>
  <c r="BC23" i="158"/>
  <c r="AT23" i="158"/>
  <c r="AK23" i="158"/>
  <c r="AA23" i="158"/>
  <c r="R23" i="158"/>
  <c r="BB23" i="158"/>
  <c r="AS23" i="158"/>
  <c r="AI23" i="158"/>
  <c r="Z23" i="158"/>
  <c r="Q23" i="158"/>
  <c r="W23" i="158"/>
  <c r="AH23" i="158"/>
  <c r="AV23" i="158"/>
  <c r="BG23" i="158"/>
  <c r="AH27" i="158"/>
  <c r="BD27" i="158"/>
  <c r="AE30" i="158"/>
  <c r="AU21" i="158"/>
  <c r="AK21" i="158"/>
  <c r="S21" i="158"/>
  <c r="BB30" i="158"/>
  <c r="AR30" i="158"/>
  <c r="AG30" i="158"/>
  <c r="W30" i="158"/>
  <c r="BD30" i="158"/>
  <c r="AS30" i="158"/>
  <c r="AF30" i="158"/>
  <c r="T30" i="158"/>
  <c r="T30" i="161" s="1"/>
  <c r="BA30" i="158"/>
  <c r="AO30" i="158"/>
  <c r="AC30" i="158"/>
  <c r="Q30" i="158"/>
  <c r="AZ30" i="158"/>
  <c r="AN30" i="158"/>
  <c r="AB30" i="158"/>
  <c r="P30" i="158"/>
  <c r="P30" i="161" s="1"/>
  <c r="BI30" i="158"/>
  <c r="AW30" i="158"/>
  <c r="AK30" i="158"/>
  <c r="Y30" i="158"/>
  <c r="N30" i="158"/>
  <c r="AI30" i="158"/>
  <c r="BG30" i="158"/>
  <c r="BG43" i="158"/>
  <c r="AV43" i="158"/>
  <c r="AK43" i="158"/>
  <c r="AA43" i="158"/>
  <c r="Q43" i="158"/>
  <c r="BE43" i="158"/>
  <c r="AT43" i="158"/>
  <c r="AJ43" i="158"/>
  <c r="Z43" i="158"/>
  <c r="P43" i="158"/>
  <c r="BD43" i="158"/>
  <c r="AS43" i="158"/>
  <c r="AI43" i="158"/>
  <c r="Y43" i="158"/>
  <c r="N43" i="158"/>
  <c r="BI43" i="158"/>
  <c r="AY43" i="158"/>
  <c r="AO43" i="158"/>
  <c r="AC43" i="158"/>
  <c r="S43" i="158"/>
  <c r="BB43" i="158"/>
  <c r="AH43" i="158"/>
  <c r="AZ43" i="158"/>
  <c r="AF43" i="158"/>
  <c r="AX43" i="158"/>
  <c r="AB43" i="158"/>
  <c r="AR43" i="158"/>
  <c r="X43" i="158"/>
  <c r="AQ43" i="158"/>
  <c r="V43" i="158"/>
  <c r="AP43" i="158"/>
  <c r="T43" i="158"/>
  <c r="N57" i="158"/>
  <c r="N5" i="158"/>
  <c r="AC5" i="158"/>
  <c r="AC5" i="161" s="1"/>
  <c r="AQ5" i="158"/>
  <c r="BH5" i="158"/>
  <c r="V6" i="158"/>
  <c r="AP6" i="158"/>
  <c r="BI6" i="158"/>
  <c r="T8" i="158"/>
  <c r="AL8" i="158"/>
  <c r="BD8" i="158"/>
  <c r="W9" i="158"/>
  <c r="AO9" i="158"/>
  <c r="BH9" i="158"/>
  <c r="AB12" i="158"/>
  <c r="BF12" i="158"/>
  <c r="S16" i="158"/>
  <c r="Q18" i="158"/>
  <c r="AG18" i="158"/>
  <c r="AU18" i="158"/>
  <c r="AJ22" i="158"/>
  <c r="N23" i="158"/>
  <c r="Y23" i="158"/>
  <c r="AM23" i="158"/>
  <c r="AX23" i="158"/>
  <c r="O27" i="158"/>
  <c r="AJ27" i="158"/>
  <c r="AJ30" i="158"/>
  <c r="BH30" i="158"/>
  <c r="AZ35" i="158"/>
  <c r="AT35" i="158"/>
  <c r="Y35" i="158"/>
  <c r="AX35" i="158"/>
  <c r="AC35" i="158"/>
  <c r="BH35" i="158"/>
  <c r="AK35" i="158"/>
  <c r="BF35" i="158"/>
  <c r="AB35" i="158"/>
  <c r="BE35" i="158"/>
  <c r="AA35" i="158"/>
  <c r="AW35" i="158"/>
  <c r="S35" i="158"/>
  <c r="AV35" i="158"/>
  <c r="R35" i="158"/>
  <c r="R35" i="161" s="1"/>
  <c r="AN35" i="158"/>
  <c r="P35" i="158"/>
  <c r="BI38" i="158"/>
  <c r="AV38" i="158"/>
  <c r="AJ38" i="158"/>
  <c r="T38" i="158"/>
  <c r="AZ38" i="158"/>
  <c r="AM38" i="158"/>
  <c r="AA38" i="158"/>
  <c r="AU38" i="158"/>
  <c r="AC38" i="158"/>
  <c r="BH38" i="158"/>
  <c r="AO38" i="158"/>
  <c r="X38" i="158"/>
  <c r="BG38" i="158"/>
  <c r="AN38" i="158"/>
  <c r="U38" i="158"/>
  <c r="BE38" i="158"/>
  <c r="AL38" i="158"/>
  <c r="S38" i="158"/>
  <c r="BD38" i="158"/>
  <c r="AK38" i="158"/>
  <c r="Q38" i="158"/>
  <c r="AY38" i="158"/>
  <c r="AE38" i="158"/>
  <c r="O38" i="158"/>
  <c r="AG57" i="158"/>
  <c r="AY2" i="158"/>
  <c r="AA2" i="158"/>
  <c r="AI2" i="158"/>
  <c r="BF2" i="158"/>
  <c r="BB4" i="158"/>
  <c r="V4" i="158"/>
  <c r="AM4" i="158"/>
  <c r="O5" i="158"/>
  <c r="AD5" i="158"/>
  <c r="AT5" i="158"/>
  <c r="X6" i="158"/>
  <c r="V8" i="158"/>
  <c r="V8" i="161" s="1"/>
  <c r="AN8" i="158"/>
  <c r="X9" i="158"/>
  <c r="AQ9" i="158"/>
  <c r="AT15" i="158"/>
  <c r="BB15" i="158"/>
  <c r="AJ15" i="158"/>
  <c r="AA16" i="158"/>
  <c r="R18" i="158"/>
  <c r="AH18" i="158"/>
  <c r="BC21" i="158"/>
  <c r="O23" i="158"/>
  <c r="AC23" i="158"/>
  <c r="AN23" i="158"/>
  <c r="AY23" i="158"/>
  <c r="Q27" i="158"/>
  <c r="AR27" i="158"/>
  <c r="O30" i="158"/>
  <c r="AL30" i="158"/>
  <c r="R43" i="158"/>
  <c r="AR57" i="158"/>
  <c r="N35" i="158"/>
  <c r="N38" i="158"/>
  <c r="AG43" i="158"/>
  <c r="BG45" i="158"/>
  <c r="AU45" i="158"/>
  <c r="AK45" i="158"/>
  <c r="AA45" i="158"/>
  <c r="P45" i="158"/>
  <c r="BD45" i="158"/>
  <c r="AT45" i="158"/>
  <c r="AJ45" i="158"/>
  <c r="Z45" i="158"/>
  <c r="O45" i="158"/>
  <c r="BC45" i="158"/>
  <c r="AS45" i="158"/>
  <c r="AI45" i="158"/>
  <c r="X45" i="158"/>
  <c r="N45" i="158"/>
  <c r="BI45" i="158"/>
  <c r="AY45" i="158"/>
  <c r="AN45" i="158"/>
  <c r="AC45" i="158"/>
  <c r="S45" i="158"/>
  <c r="BB45" i="158"/>
  <c r="AH45" i="158"/>
  <c r="AZ45" i="158"/>
  <c r="AE45" i="158"/>
  <c r="AX45" i="158"/>
  <c r="AB45" i="158"/>
  <c r="AR45" i="158"/>
  <c r="W45" i="158"/>
  <c r="AQ45" i="158"/>
  <c r="V45" i="158"/>
  <c r="AP45" i="158"/>
  <c r="T45" i="158"/>
  <c r="BD6" i="158"/>
  <c r="AZ6" i="158"/>
  <c r="AH6" i="158"/>
  <c r="P6" i="158"/>
  <c r="Z6" i="158"/>
  <c r="AX6" i="158"/>
  <c r="BC9" i="158"/>
  <c r="AY9" i="158"/>
  <c r="AI9" i="158"/>
  <c r="V9" i="158"/>
  <c r="AW9" i="158"/>
  <c r="AG9" i="158"/>
  <c r="T9" i="158"/>
  <c r="AC9" i="158"/>
  <c r="AU9" i="158"/>
  <c r="AT12" i="158"/>
  <c r="T12" i="158"/>
  <c r="AN12" i="158"/>
  <c r="S12" i="158"/>
  <c r="AM12" i="158"/>
  <c r="AT14" i="158"/>
  <c r="AK14" i="158"/>
  <c r="AD14" i="158"/>
  <c r="BE22" i="158"/>
  <c r="BC22" i="158"/>
  <c r="AB22" i="158"/>
  <c r="BB22" i="158"/>
  <c r="Z22" i="158"/>
  <c r="AT22" i="158"/>
  <c r="V30" i="158"/>
  <c r="AT30" i="158"/>
  <c r="AL43" i="158"/>
  <c r="BG3" i="158"/>
  <c r="N3" i="158"/>
  <c r="AF6" i="158"/>
  <c r="AY6" i="158"/>
  <c r="BC8" i="158"/>
  <c r="BI8" i="158"/>
  <c r="AU8" i="158"/>
  <c r="AF8" i="158"/>
  <c r="P8" i="158"/>
  <c r="BH8" i="158"/>
  <c r="AR8" i="158"/>
  <c r="AE8" i="158"/>
  <c r="Z8" i="158"/>
  <c r="AX8" i="158"/>
  <c r="AE9" i="158"/>
  <c r="AZ9" i="158"/>
  <c r="AU12" i="158"/>
  <c r="AV22" i="158"/>
  <c r="AQ23" i="158"/>
  <c r="BE23" i="158"/>
  <c r="AA27" i="158"/>
  <c r="BA27" i="158"/>
  <c r="X30" i="158"/>
  <c r="AU30" i="158"/>
  <c r="BA43" i="158"/>
  <c r="BH32" i="158"/>
  <c r="BG32" i="158"/>
  <c r="AX32" i="158"/>
  <c r="AO32" i="158"/>
  <c r="AF32" i="158"/>
  <c r="W32" i="158"/>
  <c r="N32" i="158"/>
  <c r="BB32" i="158"/>
  <c r="V32" i="158"/>
  <c r="AG32" i="158"/>
  <c r="AQ32" i="158"/>
  <c r="BC32" i="158"/>
  <c r="AZ36" i="158"/>
  <c r="AS36" i="158"/>
  <c r="BE36" i="158"/>
  <c r="N36" i="158"/>
  <c r="X32" i="158"/>
  <c r="X32" i="161" s="1"/>
  <c r="AH32" i="158"/>
  <c r="AS32" i="158"/>
  <c r="BD32" i="158"/>
  <c r="BB37" i="158"/>
  <c r="AQ37" i="158"/>
  <c r="P39" i="158"/>
  <c r="AK39" i="158"/>
  <c r="BF39" i="158"/>
  <c r="BG42" i="158"/>
  <c r="AV42" i="158"/>
  <c r="AK42" i="158"/>
  <c r="AA42" i="158"/>
  <c r="Q42" i="158"/>
  <c r="BE42" i="158"/>
  <c r="AU42" i="158"/>
  <c r="AJ42" i="158"/>
  <c r="Z42" i="158"/>
  <c r="P42" i="158"/>
  <c r="BD42" i="158"/>
  <c r="AS42" i="158"/>
  <c r="AI42" i="158"/>
  <c r="Y42" i="158"/>
  <c r="O42" i="158"/>
  <c r="BI42" i="158"/>
  <c r="AY42" i="158"/>
  <c r="AO42" i="158"/>
  <c r="AC42" i="158"/>
  <c r="S42" i="158"/>
  <c r="AG42" i="158"/>
  <c r="BA42" i="158"/>
  <c r="BG44" i="158"/>
  <c r="AU44" i="158"/>
  <c r="AK44" i="158"/>
  <c r="AA44" i="158"/>
  <c r="Q44" i="158"/>
  <c r="BE44" i="158"/>
  <c r="AT44" i="158"/>
  <c r="AJ44" i="158"/>
  <c r="Z44" i="158"/>
  <c r="O44" i="158"/>
  <c r="BC44" i="158"/>
  <c r="AS44" i="158"/>
  <c r="AI44" i="158"/>
  <c r="Y44" i="158"/>
  <c r="N44" i="158"/>
  <c r="BI44" i="158"/>
  <c r="AY44" i="158"/>
  <c r="AO44" i="158"/>
  <c r="AC44" i="158"/>
  <c r="S44" i="158"/>
  <c r="AG44" i="158"/>
  <c r="BA44" i="158"/>
  <c r="BG46" i="158"/>
  <c r="AU46" i="158"/>
  <c r="AK46" i="158"/>
  <c r="AA46" i="158"/>
  <c r="P46" i="158"/>
  <c r="BD46" i="158"/>
  <c r="AT46" i="158"/>
  <c r="AJ46" i="158"/>
  <c r="Y46" i="158"/>
  <c r="O46" i="158"/>
  <c r="BC46" i="158"/>
  <c r="AS46" i="158"/>
  <c r="AI46" i="158"/>
  <c r="X46" i="158"/>
  <c r="N46" i="158"/>
  <c r="BI46" i="158"/>
  <c r="AY46" i="158"/>
  <c r="AN46" i="158"/>
  <c r="AC46" i="158"/>
  <c r="S46" i="158"/>
  <c r="AF46" i="158"/>
  <c r="BA46" i="158"/>
  <c r="BG52" i="158"/>
  <c r="AM52" i="158"/>
  <c r="N52" i="158"/>
  <c r="AY52" i="158"/>
  <c r="AA52" i="158"/>
  <c r="BC52" i="158"/>
  <c r="AB52" i="158"/>
  <c r="BB52" i="158"/>
  <c r="S52" i="158"/>
  <c r="AX52" i="158"/>
  <c r="R52" i="158"/>
  <c r="AD52" i="158"/>
  <c r="BG54" i="158"/>
  <c r="AW54" i="158"/>
  <c r="AA54" i="158"/>
  <c r="AN54" i="158"/>
  <c r="N54" i="158"/>
  <c r="BC54" i="158"/>
  <c r="AB54" i="158"/>
  <c r="BB54" i="158"/>
  <c r="S54" i="158"/>
  <c r="AY54" i="158"/>
  <c r="Q54" i="158"/>
  <c r="AD54" i="158"/>
  <c r="U11" i="158"/>
  <c r="U11" i="161" s="1"/>
  <c r="AD11" i="158"/>
  <c r="AM11" i="158"/>
  <c r="AV11" i="158"/>
  <c r="BE11" i="158"/>
  <c r="AE13" i="158"/>
  <c r="BC13" i="158"/>
  <c r="V24" i="158"/>
  <c r="AF24" i="158"/>
  <c r="AP24" i="158"/>
  <c r="AZ24" i="158"/>
  <c r="Z25" i="158"/>
  <c r="AR25" i="158"/>
  <c r="BB29" i="158"/>
  <c r="AR29" i="158"/>
  <c r="AH29" i="158"/>
  <c r="W29" i="158"/>
  <c r="V29" i="158"/>
  <c r="AI29" i="158"/>
  <c r="AT29" i="158"/>
  <c r="BG29" i="158"/>
  <c r="AZ31" i="158"/>
  <c r="AW31" i="158"/>
  <c r="AB31" i="158"/>
  <c r="Z31" i="158"/>
  <c r="BC31" i="158"/>
  <c r="P32" i="158"/>
  <c r="Z32" i="158"/>
  <c r="AK32" i="158"/>
  <c r="AU32" i="158"/>
  <c r="BF32" i="158"/>
  <c r="Y36" i="158"/>
  <c r="V37" i="158"/>
  <c r="U39" i="158"/>
  <c r="AS39" i="158"/>
  <c r="BH40" i="158"/>
  <c r="BA40" i="158"/>
  <c r="AQ40" i="158"/>
  <c r="AH40" i="158"/>
  <c r="Y40" i="158"/>
  <c r="P40" i="158"/>
  <c r="BI40" i="158"/>
  <c r="AY40" i="158"/>
  <c r="AP40" i="158"/>
  <c r="AG40" i="158"/>
  <c r="BD40" i="158"/>
  <c r="AU40" i="158"/>
  <c r="AL40" i="158"/>
  <c r="AC40" i="158"/>
  <c r="S40" i="158"/>
  <c r="W40" i="158"/>
  <c r="AK40" i="158"/>
  <c r="AX40" i="158"/>
  <c r="R42" i="158"/>
  <c r="AM42" i="158"/>
  <c r="BH42" i="158"/>
  <c r="R44" i="158"/>
  <c r="AL44" i="158"/>
  <c r="BH44" i="158"/>
  <c r="Q46" i="158"/>
  <c r="AL46" i="158"/>
  <c r="BH46" i="158"/>
  <c r="V48" i="158"/>
  <c r="AS48" i="158"/>
  <c r="AC52" i="158"/>
  <c r="AE10" i="158"/>
  <c r="V11" i="158"/>
  <c r="AE11" i="158"/>
  <c r="AN11" i="158"/>
  <c r="AW11" i="158"/>
  <c r="BF11" i="158"/>
  <c r="AJ13" i="158"/>
  <c r="W24" i="158"/>
  <c r="AG24" i="158"/>
  <c r="AQ24" i="158"/>
  <c r="AA25" i="158"/>
  <c r="AS25" i="158"/>
  <c r="Z26" i="158"/>
  <c r="AR26" i="158"/>
  <c r="V28" i="158"/>
  <c r="AG28" i="158"/>
  <c r="AQ28" i="158"/>
  <c r="BA28" i="158"/>
  <c r="X29" i="158"/>
  <c r="AJ29" i="158"/>
  <c r="AU29" i="158"/>
  <c r="BH29" i="158"/>
  <c r="AH31" i="158"/>
  <c r="BE31" i="158"/>
  <c r="Q32" i="158"/>
  <c r="AA32" i="158"/>
  <c r="AL32" i="158"/>
  <c r="AV32" i="158"/>
  <c r="BI32" i="158"/>
  <c r="BI34" i="158"/>
  <c r="AW34" i="158"/>
  <c r="AJ34" i="158"/>
  <c r="T34" i="158"/>
  <c r="AZ34" i="158"/>
  <c r="AN34" i="158"/>
  <c r="AA34" i="158"/>
  <c r="AB34" i="158"/>
  <c r="AU34" i="158"/>
  <c r="AH36" i="158"/>
  <c r="Y39" i="158"/>
  <c r="X40" i="158"/>
  <c r="AM40" i="158"/>
  <c r="BB40" i="158"/>
  <c r="T42" i="158"/>
  <c r="AP42" i="158"/>
  <c r="T44" i="158"/>
  <c r="AP44" i="158"/>
  <c r="T46" i="158"/>
  <c r="AO46" i="158"/>
  <c r="Z48" i="158"/>
  <c r="BG50" i="158"/>
  <c r="BC50" i="158"/>
  <c r="AC50" i="158"/>
  <c r="BD50" i="158"/>
  <c r="AB50" i="158"/>
  <c r="AX50" i="158"/>
  <c r="R50" i="158"/>
  <c r="AP50" i="158"/>
  <c r="O50" i="158"/>
  <c r="AO50" i="158"/>
  <c r="AA50" i="158"/>
  <c r="AJ51" i="158"/>
  <c r="AV51" i="158"/>
  <c r="AT51" i="158"/>
  <c r="AG51" i="158"/>
  <c r="V51" i="158"/>
  <c r="BG51" i="158"/>
  <c r="AL52" i="158"/>
  <c r="AC54" i="158"/>
  <c r="BC17" i="159"/>
  <c r="AS17" i="159"/>
  <c r="AF17" i="159"/>
  <c r="P17" i="159"/>
  <c r="BD17" i="159"/>
  <c r="AP17" i="159"/>
  <c r="X17" i="159"/>
  <c r="BB17" i="159"/>
  <c r="AL17" i="159"/>
  <c r="W17" i="159"/>
  <c r="BA17" i="159"/>
  <c r="AJ17" i="159"/>
  <c r="T17" i="159"/>
  <c r="AZ17" i="159"/>
  <c r="AI17" i="159"/>
  <c r="R17" i="159"/>
  <c r="AY17" i="159"/>
  <c r="AH17" i="159"/>
  <c r="O17" i="159"/>
  <c r="AU17" i="159"/>
  <c r="AC17" i="159"/>
  <c r="N17" i="159"/>
  <c r="BI17" i="159"/>
  <c r="AR17" i="159"/>
  <c r="AQ17" i="159"/>
  <c r="AA17" i="159"/>
  <c r="Z17" i="159"/>
  <c r="S32" i="158"/>
  <c r="AD32" i="158"/>
  <c r="AN32" i="158"/>
  <c r="AY32" i="158"/>
  <c r="AT36" i="158"/>
  <c r="AX39" i="158"/>
  <c r="BD39" i="158"/>
  <c r="AL39" i="158"/>
  <c r="W39" i="158"/>
  <c r="AT39" i="158"/>
  <c r="AB39" i="158"/>
  <c r="AE39" i="158"/>
  <c r="BA39" i="158"/>
  <c r="X42" i="158"/>
  <c r="AR42" i="158"/>
  <c r="W44" i="158"/>
  <c r="W44" i="161" s="1"/>
  <c r="AR44" i="158"/>
  <c r="W46" i="158"/>
  <c r="AR46" i="158"/>
  <c r="BH48" i="158"/>
  <c r="BD48" i="158"/>
  <c r="AU48" i="158"/>
  <c r="AL48" i="158"/>
  <c r="AC48" i="158"/>
  <c r="S48" i="158"/>
  <c r="BB48" i="158"/>
  <c r="AQ48" i="158"/>
  <c r="AG48" i="158"/>
  <c r="BI48" i="158"/>
  <c r="AW48" i="158"/>
  <c r="AK48" i="158"/>
  <c r="Y48" i="158"/>
  <c r="O48" i="158"/>
  <c r="BG48" i="158"/>
  <c r="AV48" i="158"/>
  <c r="AI48" i="158"/>
  <c r="X48" i="158"/>
  <c r="N48" i="158"/>
  <c r="BF48" i="158"/>
  <c r="AT48" i="158"/>
  <c r="AH48" i="158"/>
  <c r="W48" i="158"/>
  <c r="AY48" i="158"/>
  <c r="AN48" i="158"/>
  <c r="AA48" i="158"/>
  <c r="Q48" i="158"/>
  <c r="AE48" i="158"/>
  <c r="BC48" i="158"/>
  <c r="AP52" i="158"/>
  <c r="AM54" i="158"/>
  <c r="R41" i="158"/>
  <c r="BH41" i="158"/>
  <c r="AS55" i="158"/>
  <c r="T55" i="158"/>
  <c r="AT55" i="158"/>
  <c r="R55" i="158"/>
  <c r="AR55" i="158"/>
  <c r="W9" i="159"/>
  <c r="BD9" i="159"/>
  <c r="BD9" i="161" s="1"/>
  <c r="AR7" i="159"/>
  <c r="V7" i="159"/>
  <c r="BC7" i="159"/>
  <c r="AS7" i="159"/>
  <c r="W7" i="159"/>
  <c r="X9" i="159"/>
  <c r="BD14" i="159"/>
  <c r="AY14" i="159"/>
  <c r="AI14" i="159"/>
  <c r="T14" i="159"/>
  <c r="BE14" i="159"/>
  <c r="AP14" i="159"/>
  <c r="Y14" i="159"/>
  <c r="BC14" i="159"/>
  <c r="AM14" i="159"/>
  <c r="X14" i="159"/>
  <c r="BA14" i="159"/>
  <c r="AJ14" i="159"/>
  <c r="R14" i="159"/>
  <c r="AZ14" i="159"/>
  <c r="AH14" i="159"/>
  <c r="Q14" i="159"/>
  <c r="AV14" i="159"/>
  <c r="AG14" i="159"/>
  <c r="P14" i="159"/>
  <c r="AS14" i="159"/>
  <c r="AC14" i="159"/>
  <c r="O14" i="159"/>
  <c r="Y9" i="159"/>
  <c r="AL9" i="159"/>
  <c r="BH27" i="159"/>
  <c r="BG27" i="159"/>
  <c r="AX27" i="159"/>
  <c r="AO27" i="159"/>
  <c r="AF27" i="159"/>
  <c r="W27" i="159"/>
  <c r="N27" i="159"/>
  <c r="BD27" i="159"/>
  <c r="AU27" i="159"/>
  <c r="AL27" i="159"/>
  <c r="AC27" i="159"/>
  <c r="S27" i="159"/>
  <c r="BF27" i="159"/>
  <c r="AT27" i="159"/>
  <c r="AH27" i="159"/>
  <c r="V27" i="159"/>
  <c r="BE27" i="159"/>
  <c r="AS27" i="159"/>
  <c r="AG27" i="159"/>
  <c r="U27" i="159"/>
  <c r="BC27" i="159"/>
  <c r="AQ27" i="159"/>
  <c r="AE27" i="159"/>
  <c r="R27" i="159"/>
  <c r="BB27" i="159"/>
  <c r="AP27" i="159"/>
  <c r="AD27" i="159"/>
  <c r="Q27" i="159"/>
  <c r="BA27" i="159"/>
  <c r="AN27" i="159"/>
  <c r="AA27" i="159"/>
  <c r="P27" i="159"/>
  <c r="AY27" i="159"/>
  <c r="AM27" i="159"/>
  <c r="Z27" i="159"/>
  <c r="O27" i="159"/>
  <c r="AW27" i="159"/>
  <c r="AK27" i="159"/>
  <c r="Y27" i="159"/>
  <c r="AM41" i="158"/>
  <c r="AM9" i="159"/>
  <c r="AA14" i="159"/>
  <c r="AO41" i="158"/>
  <c r="AE55" i="158"/>
  <c r="BF55" i="158"/>
  <c r="AR2" i="159"/>
  <c r="BC2" i="159"/>
  <c r="AP2" i="159"/>
  <c r="U2" i="159"/>
  <c r="BI9" i="159"/>
  <c r="BC9" i="159"/>
  <c r="AO9" i="159"/>
  <c r="AD9" i="159"/>
  <c r="P9" i="159"/>
  <c r="AW9" i="159"/>
  <c r="AI9" i="159"/>
  <c r="V9" i="159"/>
  <c r="AV9" i="159"/>
  <c r="AG9" i="159"/>
  <c r="S9" i="159"/>
  <c r="AU9" i="159"/>
  <c r="AF9" i="159"/>
  <c r="Q9" i="159"/>
  <c r="BG9" i="159"/>
  <c r="AT9" i="159"/>
  <c r="AE9" i="159"/>
  <c r="O9" i="159"/>
  <c r="BE9" i="159"/>
  <c r="AQ9" i="159"/>
  <c r="AA9" i="159"/>
  <c r="N9" i="159"/>
  <c r="AY9" i="159"/>
  <c r="AY13" i="159"/>
  <c r="BH13" i="159"/>
  <c r="AD13" i="159"/>
  <c r="AJ13" i="159"/>
  <c r="BI18" i="159"/>
  <c r="BE18" i="159"/>
  <c r="AM18" i="159"/>
  <c r="X18" i="159"/>
  <c r="Z18" i="159"/>
  <c r="AT18" i="159"/>
  <c r="BH19" i="159"/>
  <c r="BA19" i="159"/>
  <c r="AQ19" i="159"/>
  <c r="AH19" i="159"/>
  <c r="Y19" i="159"/>
  <c r="P19" i="159"/>
  <c r="V19" i="159"/>
  <c r="AF19" i="159"/>
  <c r="AP19" i="159"/>
  <c r="BB19" i="159"/>
  <c r="AF20" i="159"/>
  <c r="AZ20" i="159"/>
  <c r="BE21" i="159"/>
  <c r="AS21" i="159"/>
  <c r="AF21" i="159"/>
  <c r="T21" i="159"/>
  <c r="Y21" i="159"/>
  <c r="AM21" i="159"/>
  <c r="AY21" i="159"/>
  <c r="BI22" i="159"/>
  <c r="AV22" i="159"/>
  <c r="AC22" i="159"/>
  <c r="N22" i="159"/>
  <c r="AB22" i="159"/>
  <c r="AW22" i="159"/>
  <c r="AS23" i="159"/>
  <c r="BH63" i="158"/>
  <c r="BA63" i="158"/>
  <c r="AQ63" i="158"/>
  <c r="AH63" i="158"/>
  <c r="Y63" i="158"/>
  <c r="P63" i="158"/>
  <c r="V63" i="158"/>
  <c r="AF63" i="158"/>
  <c r="AP63" i="158"/>
  <c r="BB63" i="158"/>
  <c r="BE64" i="158"/>
  <c r="AW64" i="158"/>
  <c r="AR65" i="158"/>
  <c r="BH12" i="159"/>
  <c r="BI12" i="159"/>
  <c r="AY12" i="159"/>
  <c r="AP12" i="159"/>
  <c r="AG12" i="159"/>
  <c r="X12" i="159"/>
  <c r="O12" i="159"/>
  <c r="V12" i="159"/>
  <c r="AF12" i="159"/>
  <c r="AQ12" i="159"/>
  <c r="BB12" i="159"/>
  <c r="AR13" i="159"/>
  <c r="AB18" i="159"/>
  <c r="AV18" i="159"/>
  <c r="W19" i="159"/>
  <c r="AG19" i="159"/>
  <c r="AS19" i="159"/>
  <c r="BC19" i="159"/>
  <c r="AA21" i="159"/>
  <c r="AN21" i="159"/>
  <c r="AZ21" i="159"/>
  <c r="AF22" i="159"/>
  <c r="AX22" i="159"/>
  <c r="AU23" i="159"/>
  <c r="W63" i="158"/>
  <c r="AG63" i="158"/>
  <c r="AS63" i="158"/>
  <c r="BC63" i="158"/>
  <c r="AW65" i="158"/>
  <c r="W12" i="159"/>
  <c r="AH12" i="159"/>
  <c r="AS12" i="159"/>
  <c r="BC12" i="159"/>
  <c r="P13" i="159"/>
  <c r="AT13" i="159"/>
  <c r="N18" i="159"/>
  <c r="AE18" i="159"/>
  <c r="AW18" i="159"/>
  <c r="N19" i="159"/>
  <c r="X19" i="159"/>
  <c r="AI19" i="159"/>
  <c r="AT19" i="159"/>
  <c r="BD19" i="159"/>
  <c r="T20" i="159"/>
  <c r="O21" i="159"/>
  <c r="AB21" i="159"/>
  <c r="AO21" i="159"/>
  <c r="BD21" i="159"/>
  <c r="P22" i="159"/>
  <c r="AJ22" i="159"/>
  <c r="AZ22" i="159"/>
  <c r="O23" i="159"/>
  <c r="BB23" i="159"/>
  <c r="AM28" i="159"/>
  <c r="N63" i="158"/>
  <c r="X63" i="158"/>
  <c r="AI63" i="158"/>
  <c r="AT63" i="158"/>
  <c r="BD63" i="158"/>
  <c r="Q64" i="158"/>
  <c r="Q65" i="158"/>
  <c r="BA65" i="158"/>
  <c r="R3" i="159"/>
  <c r="AC3" i="159"/>
  <c r="AM3" i="159"/>
  <c r="AX3" i="159"/>
  <c r="Y4" i="159"/>
  <c r="BA5" i="159"/>
  <c r="AV5" i="159"/>
  <c r="R5" i="159"/>
  <c r="AM5" i="159"/>
  <c r="BD6" i="159"/>
  <c r="BA6" i="159"/>
  <c r="AN6" i="159"/>
  <c r="AA6" i="159"/>
  <c r="Y6" i="159"/>
  <c r="AO6" i="159"/>
  <c r="BG6" i="159"/>
  <c r="U8" i="159"/>
  <c r="AF8" i="159"/>
  <c r="AS8" i="159"/>
  <c r="N12" i="159"/>
  <c r="Y12" i="159"/>
  <c r="AI12" i="159"/>
  <c r="AT12" i="159"/>
  <c r="BD12" i="159"/>
  <c r="Q13" i="159"/>
  <c r="AV13" i="159"/>
  <c r="Y16" i="159"/>
  <c r="AP16" i="159"/>
  <c r="O18" i="159"/>
  <c r="AH18" i="159"/>
  <c r="AZ18" i="159"/>
  <c r="O19" i="159"/>
  <c r="Z19" i="159"/>
  <c r="AK19" i="159"/>
  <c r="AU19" i="159"/>
  <c r="BE19" i="159"/>
  <c r="V20" i="159"/>
  <c r="P21" i="159"/>
  <c r="AC21" i="159"/>
  <c r="AP21" i="159"/>
  <c r="BF21" i="159"/>
  <c r="R22" i="159"/>
  <c r="AK22" i="159"/>
  <c r="BE22" i="159"/>
  <c r="V23" i="159"/>
  <c r="BC23" i="159"/>
  <c r="AD26" i="159"/>
  <c r="O63" i="158"/>
  <c r="Z63" i="158"/>
  <c r="AK63" i="158"/>
  <c r="AU63" i="158"/>
  <c r="BE63" i="158"/>
  <c r="V64" i="158"/>
  <c r="T65" i="158"/>
  <c r="BE65" i="158"/>
  <c r="BB11" i="159"/>
  <c r="AU11" i="159"/>
  <c r="R11" i="159"/>
  <c r="AO11" i="159"/>
  <c r="P12" i="159"/>
  <c r="Z12" i="159"/>
  <c r="AK12" i="159"/>
  <c r="AU12" i="159"/>
  <c r="BE12" i="159"/>
  <c r="R13" i="159"/>
  <c r="R13" i="161" s="1"/>
  <c r="AZ13" i="159"/>
  <c r="BC16" i="159"/>
  <c r="BE16" i="159"/>
  <c r="AQ16" i="159"/>
  <c r="AA16" i="159"/>
  <c r="N16" i="159"/>
  <c r="Z16" i="159"/>
  <c r="AR16" i="159"/>
  <c r="BI16" i="159"/>
  <c r="P18" i="159"/>
  <c r="AJ18" i="159"/>
  <c r="BC18" i="159"/>
  <c r="Q19" i="159"/>
  <c r="AA19" i="159"/>
  <c r="AL19" i="159"/>
  <c r="AV19" i="159"/>
  <c r="BF19" i="159"/>
  <c r="X20" i="159"/>
  <c r="R21" i="159"/>
  <c r="AE21" i="159"/>
  <c r="AU21" i="159"/>
  <c r="BG21" i="159"/>
  <c r="S22" i="159"/>
  <c r="AL22" i="159"/>
  <c r="BF22" i="159"/>
  <c r="W23" i="159"/>
  <c r="W23" i="161" s="1"/>
  <c r="BF23" i="159"/>
  <c r="Q63" i="158"/>
  <c r="AA63" i="158"/>
  <c r="AL63" i="158"/>
  <c r="AV63" i="158"/>
  <c r="BF63" i="158"/>
  <c r="Z64" i="158"/>
  <c r="Z65" i="158"/>
  <c r="BH3" i="159"/>
  <c r="BF3" i="159"/>
  <c r="AW3" i="159"/>
  <c r="AN3" i="159"/>
  <c r="AE3" i="159"/>
  <c r="V3" i="159"/>
  <c r="U3" i="159"/>
  <c r="AF3" i="159"/>
  <c r="AP3" i="159"/>
  <c r="BA3" i="159"/>
  <c r="BG4" i="159"/>
  <c r="AZ4" i="159"/>
  <c r="AI4" i="159"/>
  <c r="S4" i="159"/>
  <c r="AD4" i="159"/>
  <c r="AX4" i="159"/>
  <c r="BH8" i="159"/>
  <c r="BF8" i="159"/>
  <c r="AU8" i="159"/>
  <c r="AK8" i="159"/>
  <c r="Z8" i="159"/>
  <c r="O8" i="159"/>
  <c r="W8" i="159"/>
  <c r="AI8" i="159"/>
  <c r="AV8" i="159"/>
  <c r="BI8" i="159"/>
  <c r="AV11" i="159"/>
  <c r="Q12" i="159"/>
  <c r="AA12" i="159"/>
  <c r="AL12" i="159"/>
  <c r="AV12" i="159"/>
  <c r="BF12" i="159"/>
  <c r="X13" i="159"/>
  <c r="AC16" i="159"/>
  <c r="AS16" i="159"/>
  <c r="Q18" i="159"/>
  <c r="AK18" i="159"/>
  <c r="BF18" i="159"/>
  <c r="R19" i="159"/>
  <c r="AC19" i="159"/>
  <c r="AM19" i="159"/>
  <c r="AW19" i="159"/>
  <c r="BG19" i="159"/>
  <c r="AT20" i="159"/>
  <c r="S21" i="159"/>
  <c r="AH21" i="159"/>
  <c r="AV21" i="159"/>
  <c r="BH21" i="159"/>
  <c r="U22" i="159"/>
  <c r="AN22" i="159"/>
  <c r="BG22" i="159"/>
  <c r="AA23" i="159"/>
  <c r="BA26" i="159"/>
  <c r="AV26" i="159"/>
  <c r="AB26" i="159"/>
  <c r="AN26" i="159"/>
  <c r="T26" i="159"/>
  <c r="AJ26" i="159"/>
  <c r="AP50" i="159"/>
  <c r="T50" i="159"/>
  <c r="BE50" i="159"/>
  <c r="AE50" i="159"/>
  <c r="AE50" i="161" s="1"/>
  <c r="BG50" i="159"/>
  <c r="W50" i="159"/>
  <c r="AX50" i="159"/>
  <c r="N50" i="159"/>
  <c r="AO50" i="159"/>
  <c r="AL50" i="159"/>
  <c r="AG50" i="159"/>
  <c r="AC50" i="159"/>
  <c r="V50" i="159"/>
  <c r="BH50" i="159"/>
  <c r="AU50" i="159"/>
  <c r="N36" i="159"/>
  <c r="AG36" i="159"/>
  <c r="AX36" i="159"/>
  <c r="O37" i="159"/>
  <c r="AS37" i="159"/>
  <c r="O39" i="159"/>
  <c r="AG39" i="159"/>
  <c r="AW39" i="159"/>
  <c r="AZ40" i="159"/>
  <c r="AI40" i="159"/>
  <c r="S40" i="159"/>
  <c r="BD40" i="159"/>
  <c r="AJ40" i="159"/>
  <c r="P40" i="159"/>
  <c r="AY40" i="159"/>
  <c r="AF40" i="159"/>
  <c r="AH40" i="159"/>
  <c r="BI40" i="159"/>
  <c r="U44" i="159"/>
  <c r="O45" i="159"/>
  <c r="AL45" i="159"/>
  <c r="BF45" i="159"/>
  <c r="N47" i="159"/>
  <c r="X49" i="159"/>
  <c r="AA55" i="159"/>
  <c r="R60" i="159"/>
  <c r="BC61" i="159"/>
  <c r="BD61" i="159"/>
  <c r="AN61" i="159"/>
  <c r="AN61" i="161" s="1"/>
  <c r="X61" i="159"/>
  <c r="AV61" i="159"/>
  <c r="AF61" i="159"/>
  <c r="P61" i="159"/>
  <c r="BG61" i="159"/>
  <c r="AQ61" i="159"/>
  <c r="AA61" i="159"/>
  <c r="AY61" i="159"/>
  <c r="Z61" i="159"/>
  <c r="AX61" i="159"/>
  <c r="Y61" i="159"/>
  <c r="AW61" i="159"/>
  <c r="S61" i="159"/>
  <c r="AO61" i="159"/>
  <c r="Q61" i="159"/>
  <c r="AI61" i="159"/>
  <c r="AI61" i="161" s="1"/>
  <c r="BH41" i="159"/>
  <c r="BF41" i="159"/>
  <c r="AJ41" i="159"/>
  <c r="P41" i="159"/>
  <c r="AT41" i="159"/>
  <c r="U41" i="159"/>
  <c r="AO41" i="159"/>
  <c r="Q41" i="159"/>
  <c r="AP41" i="159"/>
  <c r="BH55" i="159"/>
  <c r="BE55" i="159"/>
  <c r="AQ55" i="159"/>
  <c r="AF55" i="159"/>
  <c r="R55" i="159"/>
  <c r="AX55" i="159"/>
  <c r="AM55" i="159"/>
  <c r="Y55" i="159"/>
  <c r="BF55" i="159"/>
  <c r="AO55" i="159"/>
  <c r="X55" i="159"/>
  <c r="BC55" i="159"/>
  <c r="AI55" i="159"/>
  <c r="S55" i="159"/>
  <c r="AV55" i="159"/>
  <c r="AE55" i="159"/>
  <c r="O55" i="159"/>
  <c r="AH55" i="159"/>
  <c r="AT44" i="159"/>
  <c r="W45" i="159"/>
  <c r="AR45" i="159"/>
  <c r="AR45" i="161" s="1"/>
  <c r="BH46" i="159"/>
  <c r="BC46" i="159"/>
  <c r="AT46" i="159"/>
  <c r="AK46" i="159"/>
  <c r="AA46" i="159"/>
  <c r="R46" i="159"/>
  <c r="BG46" i="159"/>
  <c r="AX46" i="159"/>
  <c r="AO46" i="159"/>
  <c r="AF46" i="159"/>
  <c r="W46" i="159"/>
  <c r="N46" i="159"/>
  <c r="AW46" i="159"/>
  <c r="AL46" i="159"/>
  <c r="Y46" i="159"/>
  <c r="BF46" i="159"/>
  <c r="AU46" i="159"/>
  <c r="AH46" i="159"/>
  <c r="V46" i="159"/>
  <c r="Z46" i="159"/>
  <c r="AP46" i="159"/>
  <c r="BE46" i="159"/>
  <c r="AG47" i="159"/>
  <c r="AL49" i="159"/>
  <c r="AW52" i="159"/>
  <c r="W52" i="159"/>
  <c r="BH52" i="159"/>
  <c r="AL52" i="159"/>
  <c r="AE52" i="159"/>
  <c r="BD52" i="159"/>
  <c r="V52" i="159"/>
  <c r="AO52" i="159"/>
  <c r="AY52" i="159"/>
  <c r="BH54" i="159"/>
  <c r="BG54" i="159"/>
  <c r="AX54" i="159"/>
  <c r="AO54" i="159"/>
  <c r="AF54" i="159"/>
  <c r="W54" i="159"/>
  <c r="N54" i="159"/>
  <c r="BC54" i="159"/>
  <c r="AT54" i="159"/>
  <c r="AK54" i="159"/>
  <c r="AA54" i="159"/>
  <c r="R54" i="159"/>
  <c r="AW54" i="159"/>
  <c r="AL54" i="159"/>
  <c r="Y54" i="159"/>
  <c r="BF54" i="159"/>
  <c r="AU54" i="159"/>
  <c r="AH54" i="159"/>
  <c r="V54" i="159"/>
  <c r="BB54" i="159"/>
  <c r="AP54" i="159"/>
  <c r="AD54" i="159"/>
  <c r="Q54" i="159"/>
  <c r="AC54" i="159"/>
  <c r="AV54" i="159"/>
  <c r="AN55" i="159"/>
  <c r="AI60" i="159"/>
  <c r="AG61" i="159"/>
  <c r="W25" i="159"/>
  <c r="AJ25" i="159"/>
  <c r="AU25" i="159"/>
  <c r="BG25" i="159"/>
  <c r="W36" i="159"/>
  <c r="W36" i="161" s="1"/>
  <c r="AN36" i="159"/>
  <c r="AC37" i="159"/>
  <c r="X39" i="159"/>
  <c r="AN39" i="159"/>
  <c r="X40" i="159"/>
  <c r="AS40" i="159"/>
  <c r="S41" i="159"/>
  <c r="AY41" i="159"/>
  <c r="BI43" i="159"/>
  <c r="AS43" i="159"/>
  <c r="AF43" i="159"/>
  <c r="R43" i="159"/>
  <c r="BA43" i="159"/>
  <c r="AM43" i="159"/>
  <c r="Z43" i="159"/>
  <c r="BF43" i="159"/>
  <c r="AP43" i="159"/>
  <c r="U43" i="159"/>
  <c r="BB43" i="159"/>
  <c r="AJ43" i="159"/>
  <c r="P43" i="159"/>
  <c r="AD43" i="159"/>
  <c r="BC43" i="159"/>
  <c r="Y45" i="159"/>
  <c r="AC46" i="159"/>
  <c r="AQ46" i="159"/>
  <c r="BI46" i="159"/>
  <c r="BG52" i="159"/>
  <c r="AE54" i="159"/>
  <c r="AY54" i="159"/>
  <c r="P55" i="159"/>
  <c r="AP55" i="159"/>
  <c r="AH61" i="159"/>
  <c r="BF39" i="159"/>
  <c r="AU39" i="159"/>
  <c r="AJ39" i="159"/>
  <c r="Z39" i="159"/>
  <c r="P39" i="159"/>
  <c r="BC39" i="159"/>
  <c r="AQ39" i="159"/>
  <c r="AF39" i="159"/>
  <c r="S39" i="159"/>
  <c r="AZ39" i="159"/>
  <c r="AO39" i="159"/>
  <c r="AB39" i="159"/>
  <c r="Q39" i="159"/>
  <c r="Y39" i="159"/>
  <c r="AP39" i="159"/>
  <c r="BG39" i="159"/>
  <c r="Z41" i="159"/>
  <c r="AZ41" i="159"/>
  <c r="AY49" i="159"/>
  <c r="AC49" i="159"/>
  <c r="AO49" i="159"/>
  <c r="N49" i="159"/>
  <c r="BE49" i="159"/>
  <c r="V49" i="159"/>
  <c r="AV49" i="159"/>
  <c r="AX49" i="159"/>
  <c r="Q55" i="159"/>
  <c r="AU55" i="159"/>
  <c r="BD36" i="159"/>
  <c r="AQ36" i="159"/>
  <c r="AF36" i="159"/>
  <c r="BG36" i="159"/>
  <c r="AT36" i="159"/>
  <c r="AE36" i="159"/>
  <c r="R36" i="159"/>
  <c r="BC36" i="159"/>
  <c r="AO36" i="159"/>
  <c r="AA36" i="159"/>
  <c r="O36" i="159"/>
  <c r="Y36" i="159"/>
  <c r="AU36" i="159"/>
  <c r="BA37" i="159"/>
  <c r="AW37" i="159"/>
  <c r="AH37" i="159"/>
  <c r="P37" i="159"/>
  <c r="BI37" i="159"/>
  <c r="AN37" i="159"/>
  <c r="X37" i="159"/>
  <c r="BD37" i="159"/>
  <c r="AK37" i="159"/>
  <c r="R37" i="159"/>
  <c r="AJ37" i="159"/>
  <c r="AA39" i="159"/>
  <c r="AR39" i="159"/>
  <c r="BH39" i="159"/>
  <c r="AA41" i="159"/>
  <c r="BG41" i="159"/>
  <c r="BB44" i="159"/>
  <c r="AI44" i="159"/>
  <c r="BA44" i="159"/>
  <c r="P44" i="159"/>
  <c r="AS44" i="159"/>
  <c r="AB44" i="159"/>
  <c r="BC45" i="159"/>
  <c r="BI45" i="159"/>
  <c r="AW45" i="159"/>
  <c r="AJ45" i="159"/>
  <c r="X45" i="159"/>
  <c r="BB45" i="159"/>
  <c r="BB45" i="161" s="1"/>
  <c r="AP45" i="159"/>
  <c r="AE45" i="159"/>
  <c r="Q45" i="159"/>
  <c r="AX45" i="159"/>
  <c r="AG45" i="159"/>
  <c r="P45" i="159"/>
  <c r="AS45" i="159"/>
  <c r="AC45" i="159"/>
  <c r="N45" i="159"/>
  <c r="AF45" i="159"/>
  <c r="BA45" i="159"/>
  <c r="AP47" i="159"/>
  <c r="AO47" i="159"/>
  <c r="BG47" i="159"/>
  <c r="X47" i="159"/>
  <c r="AM47" i="159"/>
  <c r="AD47" i="159"/>
  <c r="AY47" i="159"/>
  <c r="BG49" i="159"/>
  <c r="BD53" i="159"/>
  <c r="R53" i="159"/>
  <c r="BC53" i="159"/>
  <c r="AB53" i="159"/>
  <c r="W55" i="159"/>
  <c r="AW55" i="159"/>
  <c r="BB60" i="159"/>
  <c r="BG60" i="159"/>
  <c r="AV60" i="159"/>
  <c r="AH60" i="159"/>
  <c r="W60" i="159"/>
  <c r="BC60" i="159"/>
  <c r="AO60" i="159"/>
  <c r="AA60" i="159"/>
  <c r="P60" i="159"/>
  <c r="BF60" i="159"/>
  <c r="AP60" i="159"/>
  <c r="Y60" i="159"/>
  <c r="BE60" i="159"/>
  <c r="AN60" i="159"/>
  <c r="X60" i="159"/>
  <c r="BD60" i="159"/>
  <c r="AM60" i="159"/>
  <c r="S60" i="159"/>
  <c r="AX60" i="159"/>
  <c r="AG60" i="159"/>
  <c r="Q60" i="159"/>
  <c r="AW60" i="159"/>
  <c r="AF60" i="159"/>
  <c r="O60" i="159"/>
  <c r="AY60" i="159"/>
  <c r="U56" i="158"/>
  <c r="AD56" i="158"/>
  <c r="AM56" i="158"/>
  <c r="AV56" i="158"/>
  <c r="BE56" i="158"/>
  <c r="W58" i="158"/>
  <c r="AG58" i="158"/>
  <c r="AQ58" i="158"/>
  <c r="V59" i="158"/>
  <c r="AG59" i="158"/>
  <c r="AQ59" i="158"/>
  <c r="V60" i="158"/>
  <c r="AG60" i="158"/>
  <c r="AQ60" i="158"/>
  <c r="V61" i="158"/>
  <c r="AF61" i="158"/>
  <c r="AQ61" i="158"/>
  <c r="W62" i="158"/>
  <c r="AH62" i="158"/>
  <c r="AU62" i="158"/>
  <c r="Y15" i="159"/>
  <c r="AL15" i="159"/>
  <c r="BA15" i="159"/>
  <c r="AE24" i="159"/>
  <c r="O25" i="159"/>
  <c r="AB25" i="159"/>
  <c r="AM25" i="159"/>
  <c r="W29" i="159"/>
  <c r="AG29" i="159"/>
  <c r="AQ29" i="159"/>
  <c r="BA30" i="159"/>
  <c r="AQ30" i="159"/>
  <c r="AG30" i="159"/>
  <c r="V30" i="159"/>
  <c r="AH30" i="159"/>
  <c r="AS30" i="159"/>
  <c r="BE30" i="159"/>
  <c r="AB36" i="159"/>
  <c r="AW36" i="159"/>
  <c r="AM37" i="159"/>
  <c r="BH38" i="159"/>
  <c r="BF38" i="159"/>
  <c r="AW38" i="159"/>
  <c r="AN38" i="159"/>
  <c r="AE38" i="159"/>
  <c r="V38" i="159"/>
  <c r="BI38" i="159"/>
  <c r="AX38" i="159"/>
  <c r="AM38" i="159"/>
  <c r="AC38" i="159"/>
  <c r="R38" i="159"/>
  <c r="BE38" i="159"/>
  <c r="AU38" i="159"/>
  <c r="AK38" i="159"/>
  <c r="Z38" i="159"/>
  <c r="P38" i="159"/>
  <c r="X38" i="159"/>
  <c r="AL38" i="159"/>
  <c r="BA38" i="159"/>
  <c r="N39" i="159"/>
  <c r="AE39" i="159"/>
  <c r="AT39" i="159"/>
  <c r="AE40" i="159"/>
  <c r="BF40" i="159"/>
  <c r="AD41" i="159"/>
  <c r="BI41" i="159"/>
  <c r="O43" i="159"/>
  <c r="AQ43" i="159"/>
  <c r="AH45" i="159"/>
  <c r="BD45" i="159"/>
  <c r="Q46" i="159"/>
  <c r="AG46" i="159"/>
  <c r="AY46" i="159"/>
  <c r="BH47" i="159"/>
  <c r="T49" i="159"/>
  <c r="BH49" i="159"/>
  <c r="AC52" i="159"/>
  <c r="S54" i="159"/>
  <c r="AM54" i="159"/>
  <c r="BE54" i="159"/>
  <c r="Z55" i="159"/>
  <c r="AY55" i="159"/>
  <c r="BF61" i="159"/>
  <c r="V57" i="159"/>
  <c r="AN57" i="159"/>
  <c r="R58" i="159"/>
  <c r="AE58" i="159"/>
  <c r="AQ58" i="159"/>
  <c r="AX62" i="159"/>
  <c r="AZ62" i="159"/>
  <c r="T62" i="159"/>
  <c r="AJ62" i="159"/>
  <c r="AI62" i="159"/>
  <c r="BE62" i="159"/>
  <c r="U35" i="159"/>
  <c r="AD35" i="159"/>
  <c r="AM35" i="159"/>
  <c r="AV35" i="159"/>
  <c r="BE35" i="159"/>
  <c r="BH48" i="159"/>
  <c r="AM48" i="159"/>
  <c r="AX48" i="159"/>
  <c r="X48" i="159"/>
  <c r="AO48" i="159"/>
  <c r="BD57" i="159"/>
  <c r="BB57" i="159"/>
  <c r="AO57" i="159"/>
  <c r="Y57" i="159"/>
  <c r="AW57" i="159"/>
  <c r="AG57" i="159"/>
  <c r="Q57" i="159"/>
  <c r="Z57" i="159"/>
  <c r="AS57" i="159"/>
  <c r="BH58" i="159"/>
  <c r="BA58" i="159"/>
  <c r="AP58" i="159"/>
  <c r="AG58" i="159"/>
  <c r="X58" i="159"/>
  <c r="O58" i="159"/>
  <c r="BE58" i="159"/>
  <c r="AU58" i="159"/>
  <c r="AL58" i="159"/>
  <c r="AC58" i="159"/>
  <c r="S58" i="159"/>
  <c r="W58" i="159"/>
  <c r="AI58" i="159"/>
  <c r="AV58" i="159"/>
  <c r="S62" i="159"/>
  <c r="AZ65" i="159"/>
  <c r="AJ65" i="159"/>
  <c r="BH65" i="159"/>
  <c r="V31" i="159"/>
  <c r="AG31" i="159"/>
  <c r="AQ31" i="159"/>
  <c r="V32" i="159"/>
  <c r="AF32" i="159"/>
  <c r="AQ32" i="159"/>
  <c r="V33" i="159"/>
  <c r="AF33" i="159"/>
  <c r="AQ33" i="159"/>
  <c r="AD34" i="159"/>
  <c r="AW34" i="159"/>
  <c r="N35" i="159"/>
  <c r="W35" i="159"/>
  <c r="AF35" i="159"/>
  <c r="AO35" i="159"/>
  <c r="AX35" i="159"/>
  <c r="BG35" i="159"/>
  <c r="O48" i="159"/>
  <c r="AV48" i="159"/>
  <c r="N57" i="159"/>
  <c r="N57" i="161" s="1"/>
  <c r="AF57" i="159"/>
  <c r="AZ57" i="159"/>
  <c r="N58" i="159"/>
  <c r="Z58" i="159"/>
  <c r="AM58" i="159"/>
  <c r="AY58" i="159"/>
  <c r="Z62" i="159"/>
  <c r="V51" i="159"/>
  <c r="AU51" i="159"/>
  <c r="P59" i="159"/>
  <c r="AD59" i="159"/>
  <c r="AO59" i="159"/>
  <c r="BC59" i="159"/>
  <c r="AX63" i="159"/>
  <c r="AF51" i="159"/>
  <c r="W59" i="159"/>
  <c r="AH59" i="159"/>
  <c r="AV59" i="159"/>
  <c r="AE36" i="124"/>
  <c r="AL36" i="124"/>
  <c r="AG61" i="124"/>
  <c r="U21" i="124"/>
  <c r="BF17" i="158"/>
  <c r="AX17" i="158"/>
  <c r="AP17" i="158"/>
  <c r="AH17" i="158"/>
  <c r="Z17" i="158"/>
  <c r="R17" i="158"/>
  <c r="BA17" i="158"/>
  <c r="BA17" i="161" s="1"/>
  <c r="AR17" i="158"/>
  <c r="AI17" i="158"/>
  <c r="Y17" i="158"/>
  <c r="P17" i="158"/>
  <c r="BI17" i="158"/>
  <c r="BI17" i="161" s="1"/>
  <c r="AZ17" i="158"/>
  <c r="AQ17" i="158"/>
  <c r="AG17" i="158"/>
  <c r="X17" i="158"/>
  <c r="O17" i="158"/>
  <c r="BH17" i="158"/>
  <c r="AY17" i="158"/>
  <c r="AO17" i="158"/>
  <c r="AF17" i="158"/>
  <c r="W17" i="158"/>
  <c r="W17" i="161" s="1"/>
  <c r="N17" i="158"/>
  <c r="BG17" i="158"/>
  <c r="AW17" i="158"/>
  <c r="AN17" i="158"/>
  <c r="AE17" i="158"/>
  <c r="V17" i="158"/>
  <c r="AT17" i="158"/>
  <c r="AB17" i="158"/>
  <c r="AS17" i="158"/>
  <c r="AS17" i="161" s="1"/>
  <c r="AA17" i="158"/>
  <c r="BE17" i="158"/>
  <c r="AM17" i="158"/>
  <c r="U17" i="158"/>
  <c r="BD17" i="158"/>
  <c r="AL17" i="158"/>
  <c r="T17" i="158"/>
  <c r="BC17" i="158"/>
  <c r="AK17" i="158"/>
  <c r="S17" i="158"/>
  <c r="BB17" i="158"/>
  <c r="AJ17" i="158"/>
  <c r="Q17" i="158"/>
  <c r="AV17" i="158"/>
  <c r="AD17" i="158"/>
  <c r="S3" i="158"/>
  <c r="AI3" i="158"/>
  <c r="AY3" i="158"/>
  <c r="T14" i="158"/>
  <c r="AL14" i="158"/>
  <c r="BE14" i="158"/>
  <c r="S15" i="158"/>
  <c r="AK15" i="158"/>
  <c r="BC15" i="158"/>
  <c r="T19" i="158"/>
  <c r="AL19" i="158"/>
  <c r="BE19" i="158"/>
  <c r="T20" i="158"/>
  <c r="AL20" i="158"/>
  <c r="BD20" i="158"/>
  <c r="T21" i="158"/>
  <c r="AL21" i="158"/>
  <c r="BD21" i="158"/>
  <c r="T3" i="158"/>
  <c r="AJ3" i="158"/>
  <c r="AZ3" i="158"/>
  <c r="BG4" i="158"/>
  <c r="AY4" i="158"/>
  <c r="AQ4" i="158"/>
  <c r="AI4" i="158"/>
  <c r="AA4" i="158"/>
  <c r="S4" i="158"/>
  <c r="BF4" i="158"/>
  <c r="AX4" i="158"/>
  <c r="AP4" i="158"/>
  <c r="AH4" i="158"/>
  <c r="Z4" i="158"/>
  <c r="R4" i="158"/>
  <c r="R4" i="161" s="1"/>
  <c r="BE4" i="158"/>
  <c r="AW4" i="158"/>
  <c r="AO4" i="158"/>
  <c r="AG4" i="158"/>
  <c r="Y4" i="158"/>
  <c r="Q4" i="158"/>
  <c r="BD4" i="158"/>
  <c r="AV4" i="158"/>
  <c r="AN4" i="158"/>
  <c r="AF4" i="158"/>
  <c r="X4" i="158"/>
  <c r="P4" i="158"/>
  <c r="AB4" i="158"/>
  <c r="AR4" i="158"/>
  <c r="BH4" i="158"/>
  <c r="U14" i="158"/>
  <c r="AN14" i="158"/>
  <c r="BF14" i="158"/>
  <c r="T15" i="158"/>
  <c r="AL15" i="158"/>
  <c r="BE15" i="158"/>
  <c r="BE15" i="161" s="1"/>
  <c r="U19" i="158"/>
  <c r="AM19" i="158"/>
  <c r="BF19" i="158"/>
  <c r="U20" i="158"/>
  <c r="AM20" i="158"/>
  <c r="BF20" i="158"/>
  <c r="U21" i="158"/>
  <c r="U21" i="161" s="1"/>
  <c r="AM21" i="158"/>
  <c r="BE21" i="158"/>
  <c r="BI49" i="158"/>
  <c r="BA49" i="158"/>
  <c r="AS49" i="158"/>
  <c r="AK49" i="158"/>
  <c r="AC49" i="158"/>
  <c r="U49" i="158"/>
  <c r="BB49" i="158"/>
  <c r="AR49" i="158"/>
  <c r="AI49" i="158"/>
  <c r="Z49" i="158"/>
  <c r="Q49" i="158"/>
  <c r="AZ49" i="158"/>
  <c r="AQ49" i="158"/>
  <c r="AH49" i="158"/>
  <c r="Y49" i="158"/>
  <c r="P49" i="158"/>
  <c r="BE49" i="158"/>
  <c r="AT49" i="158"/>
  <c r="AF49" i="158"/>
  <c r="T49" i="158"/>
  <c r="BD49" i="158"/>
  <c r="AP49" i="158"/>
  <c r="AE49" i="158"/>
  <c r="S49" i="158"/>
  <c r="BC49" i="158"/>
  <c r="AO49" i="158"/>
  <c r="AD49" i="158"/>
  <c r="R49" i="158"/>
  <c r="AY49" i="158"/>
  <c r="AN49" i="158"/>
  <c r="AB49" i="158"/>
  <c r="O49" i="158"/>
  <c r="AX49" i="158"/>
  <c r="AX49" i="161" s="1"/>
  <c r="AM49" i="158"/>
  <c r="AA49" i="158"/>
  <c r="N49" i="158"/>
  <c r="BH49" i="158"/>
  <c r="AW49" i="158"/>
  <c r="AL49" i="158"/>
  <c r="X49" i="158"/>
  <c r="BF49" i="158"/>
  <c r="AU49" i="158"/>
  <c r="AG49" i="158"/>
  <c r="V49" i="158"/>
  <c r="BE2" i="158"/>
  <c r="AW2" i="158"/>
  <c r="AO2" i="158"/>
  <c r="AG2" i="158"/>
  <c r="Y2" i="158"/>
  <c r="Q2" i="158"/>
  <c r="BD2" i="158"/>
  <c r="AV2" i="158"/>
  <c r="AN2" i="158"/>
  <c r="AF2" i="158"/>
  <c r="X2" i="158"/>
  <c r="P2" i="158"/>
  <c r="BC2" i="158"/>
  <c r="AU2" i="158"/>
  <c r="AM2" i="158"/>
  <c r="AE2" i="158"/>
  <c r="W2" i="158"/>
  <c r="O2" i="158"/>
  <c r="BB2" i="158"/>
  <c r="AT2" i="158"/>
  <c r="AL2" i="158"/>
  <c r="AD2" i="158"/>
  <c r="V2" i="158"/>
  <c r="N2" i="158"/>
  <c r="AB2" i="158"/>
  <c r="AR2" i="158"/>
  <c r="BH2" i="158"/>
  <c r="U3" i="158"/>
  <c r="AK3" i="158"/>
  <c r="BA3" i="158"/>
  <c r="AC4" i="158"/>
  <c r="AS4" i="158"/>
  <c r="BI4" i="158"/>
  <c r="BI12" i="158"/>
  <c r="BA12" i="158"/>
  <c r="AS12" i="158"/>
  <c r="AK12" i="158"/>
  <c r="AC12" i="158"/>
  <c r="U12" i="158"/>
  <c r="BB12" i="158"/>
  <c r="AR12" i="158"/>
  <c r="AI12" i="158"/>
  <c r="Z12" i="158"/>
  <c r="Q12" i="158"/>
  <c r="AZ12" i="158"/>
  <c r="AQ12" i="158"/>
  <c r="AH12" i="158"/>
  <c r="Y12" i="158"/>
  <c r="P12" i="158"/>
  <c r="BH12" i="158"/>
  <c r="AY12" i="158"/>
  <c r="AP12" i="158"/>
  <c r="AG12" i="158"/>
  <c r="X12" i="158"/>
  <c r="X12" i="161" s="1"/>
  <c r="O12" i="158"/>
  <c r="BG12" i="158"/>
  <c r="AX12" i="158"/>
  <c r="AX12" i="161" s="1"/>
  <c r="AO12" i="158"/>
  <c r="AF12" i="158"/>
  <c r="W12" i="158"/>
  <c r="N12" i="158"/>
  <c r="N12" i="161" s="1"/>
  <c r="AD12" i="158"/>
  <c r="AV12" i="158"/>
  <c r="AA14" i="158"/>
  <c r="AS14" i="158"/>
  <c r="U15" i="158"/>
  <c r="AM15" i="158"/>
  <c r="BF15" i="158"/>
  <c r="T16" i="158"/>
  <c r="T16" i="161" s="1"/>
  <c r="AL16" i="158"/>
  <c r="BD16" i="158"/>
  <c r="V19" i="158"/>
  <c r="AO19" i="158"/>
  <c r="BG19" i="158"/>
  <c r="V20" i="158"/>
  <c r="AN20" i="158"/>
  <c r="BG20" i="158"/>
  <c r="V21" i="158"/>
  <c r="AN21" i="158"/>
  <c r="BG21" i="158"/>
  <c r="T22" i="158"/>
  <c r="AL22" i="158"/>
  <c r="BD22" i="158"/>
  <c r="AC2" i="158"/>
  <c r="AS2" i="158"/>
  <c r="BI2" i="158"/>
  <c r="V3" i="158"/>
  <c r="AL3" i="158"/>
  <c r="BB3" i="158"/>
  <c r="N4" i="158"/>
  <c r="N4" i="161" s="1"/>
  <c r="AD4" i="158"/>
  <c r="AT4" i="158"/>
  <c r="BG10" i="158"/>
  <c r="AY10" i="158"/>
  <c r="AQ10" i="158"/>
  <c r="AI10" i="158"/>
  <c r="AA10" i="158"/>
  <c r="S10" i="158"/>
  <c r="BD10" i="158"/>
  <c r="AU10" i="158"/>
  <c r="AL10" i="158"/>
  <c r="AC10" i="158"/>
  <c r="T10" i="158"/>
  <c r="BC10" i="158"/>
  <c r="AT10" i="158"/>
  <c r="AK10" i="158"/>
  <c r="AB10" i="158"/>
  <c r="R10" i="158"/>
  <c r="BB10" i="158"/>
  <c r="AS10" i="158"/>
  <c r="AJ10" i="158"/>
  <c r="Z10" i="158"/>
  <c r="Q10" i="158"/>
  <c r="BA10" i="158"/>
  <c r="AR10" i="158"/>
  <c r="AH10" i="158"/>
  <c r="Y10" i="158"/>
  <c r="P10" i="158"/>
  <c r="AD10" i="158"/>
  <c r="AV10" i="158"/>
  <c r="AE12" i="158"/>
  <c r="AW12" i="158"/>
  <c r="BB13" i="158"/>
  <c r="AT13" i="158"/>
  <c r="AL13" i="158"/>
  <c r="AD13" i="158"/>
  <c r="V13" i="158"/>
  <c r="N13" i="158"/>
  <c r="BA13" i="158"/>
  <c r="AR13" i="158"/>
  <c r="AI13" i="158"/>
  <c r="Z13" i="158"/>
  <c r="Q13" i="158"/>
  <c r="BI13" i="158"/>
  <c r="AZ13" i="158"/>
  <c r="AQ13" i="158"/>
  <c r="AH13" i="158"/>
  <c r="Y13" i="158"/>
  <c r="P13" i="158"/>
  <c r="BH13" i="158"/>
  <c r="AY13" i="158"/>
  <c r="AP13" i="158"/>
  <c r="AG13" i="158"/>
  <c r="X13" i="158"/>
  <c r="X13" i="161" s="1"/>
  <c r="O13" i="158"/>
  <c r="BG13" i="158"/>
  <c r="AX13" i="158"/>
  <c r="AO13" i="158"/>
  <c r="AF13" i="158"/>
  <c r="W13" i="158"/>
  <c r="AC13" i="158"/>
  <c r="AV13" i="158"/>
  <c r="AB14" i="158"/>
  <c r="AA15" i="158"/>
  <c r="AA15" i="161" s="1"/>
  <c r="AS15" i="158"/>
  <c r="U16" i="158"/>
  <c r="AM16" i="158"/>
  <c r="AB19" i="158"/>
  <c r="AT19" i="158"/>
  <c r="AB20" i="158"/>
  <c r="AT20" i="158"/>
  <c r="AB21" i="158"/>
  <c r="AB21" i="161" s="1"/>
  <c r="AT21" i="158"/>
  <c r="U22" i="158"/>
  <c r="AM22" i="158"/>
  <c r="BE37" i="158"/>
  <c r="BE37" i="161" s="1"/>
  <c r="AW37" i="158"/>
  <c r="AO37" i="158"/>
  <c r="AG37" i="158"/>
  <c r="Y37" i="158"/>
  <c r="Q37" i="158"/>
  <c r="BA37" i="158"/>
  <c r="AR37" i="158"/>
  <c r="AI37" i="158"/>
  <c r="Z37" i="158"/>
  <c r="P37" i="158"/>
  <c r="BI37" i="158"/>
  <c r="AY37" i="158"/>
  <c r="AN37" i="158"/>
  <c r="AN37" i="161" s="1"/>
  <c r="AD37" i="158"/>
  <c r="T37" i="158"/>
  <c r="BH37" i="158"/>
  <c r="AX37" i="158"/>
  <c r="AM37" i="158"/>
  <c r="AC37" i="158"/>
  <c r="AC37" i="161" s="1"/>
  <c r="S37" i="158"/>
  <c r="BG37" i="158"/>
  <c r="AV37" i="158"/>
  <c r="AL37" i="158"/>
  <c r="AB37" i="158"/>
  <c r="R37" i="158"/>
  <c r="BF37" i="158"/>
  <c r="AU37" i="158"/>
  <c r="AU37" i="161" s="1"/>
  <c r="AK37" i="158"/>
  <c r="AA37" i="158"/>
  <c r="O37" i="158"/>
  <c r="O37" i="161" s="1"/>
  <c r="BD37" i="158"/>
  <c r="AT37" i="158"/>
  <c r="AJ37" i="158"/>
  <c r="X37" i="158"/>
  <c r="N37" i="158"/>
  <c r="BC37" i="158"/>
  <c r="AS37" i="158"/>
  <c r="AH37" i="158"/>
  <c r="W37" i="158"/>
  <c r="AZ37" i="158"/>
  <c r="AZ37" i="161" s="1"/>
  <c r="AP37" i="158"/>
  <c r="AE37" i="158"/>
  <c r="U37" i="158"/>
  <c r="W49" i="158"/>
  <c r="AA3" i="158"/>
  <c r="AQ3" i="158"/>
  <c r="BC14" i="158"/>
  <c r="AU14" i="158"/>
  <c r="AM14" i="158"/>
  <c r="AE14" i="158"/>
  <c r="W14" i="158"/>
  <c r="O14" i="158"/>
  <c r="BA14" i="158"/>
  <c r="AR14" i="158"/>
  <c r="AI14" i="158"/>
  <c r="AI14" i="161" s="1"/>
  <c r="Z14" i="158"/>
  <c r="Q14" i="158"/>
  <c r="BI14" i="158"/>
  <c r="AZ14" i="158"/>
  <c r="AQ14" i="158"/>
  <c r="AH14" i="158"/>
  <c r="Y14" i="158"/>
  <c r="P14" i="158"/>
  <c r="BH14" i="158"/>
  <c r="AY14" i="158"/>
  <c r="AP14" i="158"/>
  <c r="AG14" i="158"/>
  <c r="X14" i="158"/>
  <c r="N14" i="158"/>
  <c r="BG14" i="158"/>
  <c r="AX14" i="158"/>
  <c r="AO14" i="158"/>
  <c r="AF14" i="158"/>
  <c r="V14" i="158"/>
  <c r="AC14" i="158"/>
  <c r="AV14" i="158"/>
  <c r="AB15" i="158"/>
  <c r="AC19" i="158"/>
  <c r="AC20" i="158"/>
  <c r="AC21" i="158"/>
  <c r="AJ49" i="158"/>
  <c r="BF3" i="158"/>
  <c r="AX3" i="158"/>
  <c r="AP3" i="158"/>
  <c r="AH3" i="158"/>
  <c r="Z3" i="158"/>
  <c r="R3" i="158"/>
  <c r="BE3" i="158"/>
  <c r="AW3" i="158"/>
  <c r="AO3" i="158"/>
  <c r="AG3" i="158"/>
  <c r="Y3" i="158"/>
  <c r="Q3" i="158"/>
  <c r="BD3" i="158"/>
  <c r="AV3" i="158"/>
  <c r="AN3" i="158"/>
  <c r="AF3" i="158"/>
  <c r="X3" i="158"/>
  <c r="P3" i="158"/>
  <c r="BC3" i="158"/>
  <c r="BC3" i="161" s="1"/>
  <c r="AU3" i="158"/>
  <c r="AM3" i="158"/>
  <c r="AE3" i="158"/>
  <c r="W3" i="158"/>
  <c r="O3" i="158"/>
  <c r="AB3" i="158"/>
  <c r="AR3" i="158"/>
  <c r="BH3" i="158"/>
  <c r="BD15" i="158"/>
  <c r="AV15" i="158"/>
  <c r="AN15" i="158"/>
  <c r="AF15" i="158"/>
  <c r="X15" i="158"/>
  <c r="P15" i="158"/>
  <c r="BA15" i="158"/>
  <c r="AR15" i="158"/>
  <c r="AI15" i="158"/>
  <c r="AI15" i="161" s="1"/>
  <c r="Z15" i="158"/>
  <c r="Q15" i="158"/>
  <c r="Q15" i="161" s="1"/>
  <c r="BI15" i="158"/>
  <c r="AZ15" i="158"/>
  <c r="AQ15" i="158"/>
  <c r="AH15" i="158"/>
  <c r="Y15" i="158"/>
  <c r="O15" i="158"/>
  <c r="BH15" i="158"/>
  <c r="AY15" i="158"/>
  <c r="AY15" i="161" s="1"/>
  <c r="AP15" i="158"/>
  <c r="AG15" i="158"/>
  <c r="W15" i="158"/>
  <c r="N15" i="158"/>
  <c r="N15" i="161" s="1"/>
  <c r="BG15" i="158"/>
  <c r="AX15" i="158"/>
  <c r="AO15" i="158"/>
  <c r="AE15" i="158"/>
  <c r="V15" i="158"/>
  <c r="AC15" i="158"/>
  <c r="AU15" i="158"/>
  <c r="BD19" i="158"/>
  <c r="BD19" i="161" s="1"/>
  <c r="AV19" i="158"/>
  <c r="AN19" i="158"/>
  <c r="AF19" i="158"/>
  <c r="X19" i="158"/>
  <c r="P19" i="158"/>
  <c r="BB19" i="158"/>
  <c r="AS19" i="158"/>
  <c r="AJ19" i="158"/>
  <c r="AA19" i="158"/>
  <c r="R19" i="158"/>
  <c r="BA19" i="158"/>
  <c r="AR19" i="158"/>
  <c r="AI19" i="158"/>
  <c r="Z19" i="158"/>
  <c r="Q19" i="158"/>
  <c r="BI19" i="158"/>
  <c r="AZ19" i="158"/>
  <c r="AQ19" i="158"/>
  <c r="AH19" i="158"/>
  <c r="Y19" i="158"/>
  <c r="O19" i="158"/>
  <c r="BH19" i="158"/>
  <c r="AY19" i="158"/>
  <c r="AP19" i="158"/>
  <c r="AG19" i="158"/>
  <c r="W19" i="158"/>
  <c r="N19" i="158"/>
  <c r="AD19" i="158"/>
  <c r="AW19" i="158"/>
  <c r="BE20" i="158"/>
  <c r="AW20" i="158"/>
  <c r="AO20" i="158"/>
  <c r="AG20" i="158"/>
  <c r="Y20" i="158"/>
  <c r="Q20" i="158"/>
  <c r="BB20" i="158"/>
  <c r="AS20" i="158"/>
  <c r="AJ20" i="158"/>
  <c r="AA20" i="158"/>
  <c r="R20" i="158"/>
  <c r="BA20" i="158"/>
  <c r="AR20" i="158"/>
  <c r="AI20" i="158"/>
  <c r="Z20" i="158"/>
  <c r="P20" i="158"/>
  <c r="BI20" i="158"/>
  <c r="AZ20" i="158"/>
  <c r="AQ20" i="158"/>
  <c r="AH20" i="158"/>
  <c r="X20" i="158"/>
  <c r="O20" i="158"/>
  <c r="BH20" i="158"/>
  <c r="AY20" i="158"/>
  <c r="AP20" i="158"/>
  <c r="AF20" i="158"/>
  <c r="W20" i="158"/>
  <c r="N20" i="158"/>
  <c r="AD20" i="158"/>
  <c r="AV20" i="158"/>
  <c r="BF21" i="158"/>
  <c r="AX21" i="158"/>
  <c r="AP21" i="158"/>
  <c r="AH21" i="158"/>
  <c r="Z21" i="158"/>
  <c r="R21" i="158"/>
  <c r="BB21" i="158"/>
  <c r="AS21" i="158"/>
  <c r="AJ21" i="158"/>
  <c r="AJ21" i="161" s="1"/>
  <c r="AA21" i="158"/>
  <c r="Q21" i="158"/>
  <c r="BA21" i="158"/>
  <c r="AR21" i="158"/>
  <c r="AI21" i="158"/>
  <c r="Y21" i="158"/>
  <c r="P21" i="158"/>
  <c r="BI21" i="158"/>
  <c r="AZ21" i="158"/>
  <c r="AQ21" i="158"/>
  <c r="AG21" i="158"/>
  <c r="X21" i="158"/>
  <c r="O21" i="158"/>
  <c r="BH21" i="158"/>
  <c r="AY21" i="158"/>
  <c r="AO21" i="158"/>
  <c r="AF21" i="158"/>
  <c r="AF21" i="161" s="1"/>
  <c r="W21" i="158"/>
  <c r="N21" i="158"/>
  <c r="AD21" i="158"/>
  <c r="AV21" i="158"/>
  <c r="AV49" i="158"/>
  <c r="AC3" i="158"/>
  <c r="AS3" i="158"/>
  <c r="BI3" i="158"/>
  <c r="U4" i="158"/>
  <c r="AK4" i="158"/>
  <c r="BA4" i="158"/>
  <c r="R14" i="158"/>
  <c r="AJ14" i="158"/>
  <c r="BB14" i="158"/>
  <c r="AD15" i="158"/>
  <c r="AW15" i="158"/>
  <c r="BE16" i="158"/>
  <c r="AW16" i="158"/>
  <c r="AO16" i="158"/>
  <c r="AG16" i="158"/>
  <c r="Y16" i="158"/>
  <c r="Q16" i="158"/>
  <c r="BA16" i="158"/>
  <c r="AR16" i="158"/>
  <c r="AI16" i="158"/>
  <c r="Z16" i="158"/>
  <c r="P16" i="158"/>
  <c r="BI16" i="158"/>
  <c r="AZ16" i="158"/>
  <c r="AQ16" i="158"/>
  <c r="AH16" i="158"/>
  <c r="X16" i="158"/>
  <c r="O16" i="158"/>
  <c r="BH16" i="158"/>
  <c r="AY16" i="158"/>
  <c r="AP16" i="158"/>
  <c r="AF16" i="158"/>
  <c r="W16" i="158"/>
  <c r="N16" i="158"/>
  <c r="BG16" i="158"/>
  <c r="AX16" i="158"/>
  <c r="AN16" i="158"/>
  <c r="AE16" i="158"/>
  <c r="V16" i="158"/>
  <c r="AC16" i="158"/>
  <c r="AU16" i="158"/>
  <c r="AE19" i="158"/>
  <c r="AX19" i="158"/>
  <c r="AE20" i="158"/>
  <c r="AX20" i="158"/>
  <c r="AE21" i="158"/>
  <c r="AW21" i="158"/>
  <c r="BG22" i="158"/>
  <c r="BG22" i="161" s="1"/>
  <c r="AY22" i="158"/>
  <c r="AQ22" i="158"/>
  <c r="AI22" i="158"/>
  <c r="AA22" i="158"/>
  <c r="S22" i="158"/>
  <c r="BA22" i="158"/>
  <c r="AR22" i="158"/>
  <c r="AH22" i="158"/>
  <c r="Y22" i="158"/>
  <c r="P22" i="158"/>
  <c r="BI22" i="158"/>
  <c r="AZ22" i="158"/>
  <c r="AP22" i="158"/>
  <c r="AG22" i="158"/>
  <c r="X22" i="158"/>
  <c r="O22" i="158"/>
  <c r="BH22" i="158"/>
  <c r="AX22" i="158"/>
  <c r="AO22" i="158"/>
  <c r="AF22" i="158"/>
  <c r="W22" i="158"/>
  <c r="N22" i="158"/>
  <c r="BF22" i="158"/>
  <c r="AW22" i="158"/>
  <c r="AN22" i="158"/>
  <c r="AE22" i="158"/>
  <c r="V22" i="158"/>
  <c r="AC22" i="158"/>
  <c r="AU22" i="158"/>
  <c r="AF37" i="158"/>
  <c r="BG49" i="158"/>
  <c r="BI33" i="158"/>
  <c r="BA33" i="158"/>
  <c r="AS33" i="158"/>
  <c r="AK33" i="158"/>
  <c r="AC33" i="158"/>
  <c r="U33" i="158"/>
  <c r="BB33" i="158"/>
  <c r="AR33" i="158"/>
  <c r="AI33" i="158"/>
  <c r="Z33" i="158"/>
  <c r="Q33" i="158"/>
  <c r="Q33" i="161" s="1"/>
  <c r="V33" i="158"/>
  <c r="AF33" i="158"/>
  <c r="AP33" i="158"/>
  <c r="AZ33" i="158"/>
  <c r="S30" i="161"/>
  <c r="AO30" i="161"/>
  <c r="BI30" i="161"/>
  <c r="N33" i="158"/>
  <c r="N33" i="161" s="1"/>
  <c r="X33" i="158"/>
  <c r="AH33" i="158"/>
  <c r="AT33" i="158"/>
  <c r="BD33" i="158"/>
  <c r="O36" i="158"/>
  <c r="AA36" i="158"/>
  <c r="AK36" i="158"/>
  <c r="AU36" i="158"/>
  <c r="BF36" i="158"/>
  <c r="BI41" i="158"/>
  <c r="BA41" i="158"/>
  <c r="AS41" i="158"/>
  <c r="AK41" i="158"/>
  <c r="AC41" i="158"/>
  <c r="U41" i="158"/>
  <c r="BF41" i="158"/>
  <c r="AW41" i="158"/>
  <c r="AN41" i="158"/>
  <c r="AE41" i="158"/>
  <c r="V41" i="158"/>
  <c r="T41" i="158"/>
  <c r="AF41" i="158"/>
  <c r="AP41" i="158"/>
  <c r="AZ41" i="158"/>
  <c r="BC51" i="158"/>
  <c r="AU51" i="158"/>
  <c r="AM51" i="158"/>
  <c r="AE51" i="158"/>
  <c r="W51" i="158"/>
  <c r="O51" i="158"/>
  <c r="BA51" i="158"/>
  <c r="AR51" i="158"/>
  <c r="AI51" i="158"/>
  <c r="Z51" i="158"/>
  <c r="Q51" i="158"/>
  <c r="BI51" i="158"/>
  <c r="AZ51" i="158"/>
  <c r="AQ51" i="158"/>
  <c r="AH51" i="158"/>
  <c r="Y51" i="158"/>
  <c r="P51" i="158"/>
  <c r="X51" i="158"/>
  <c r="AK51" i="158"/>
  <c r="AW51" i="158"/>
  <c r="BH51" i="158"/>
  <c r="BE53" i="158"/>
  <c r="AW53" i="158"/>
  <c r="AO53" i="158"/>
  <c r="AG53" i="158"/>
  <c r="Y53" i="158"/>
  <c r="Q53" i="158"/>
  <c r="BA53" i="158"/>
  <c r="AR53" i="158"/>
  <c r="AI53" i="158"/>
  <c r="Z53" i="158"/>
  <c r="P53" i="158"/>
  <c r="BI53" i="158"/>
  <c r="AZ53" i="158"/>
  <c r="AQ53" i="158"/>
  <c r="AH53" i="158"/>
  <c r="X53" i="158"/>
  <c r="O53" i="158"/>
  <c r="W53" i="158"/>
  <c r="AK53" i="158"/>
  <c r="AV53" i="158"/>
  <c r="BH53" i="158"/>
  <c r="Q5" i="158"/>
  <c r="Y5" i="158"/>
  <c r="AG5" i="158"/>
  <c r="AO5" i="158"/>
  <c r="AW5" i="158"/>
  <c r="BF5" i="158"/>
  <c r="R6" i="158"/>
  <c r="AA6" i="158"/>
  <c r="AJ6" i="158"/>
  <c r="AS6" i="158"/>
  <c r="BB6" i="158"/>
  <c r="R7" i="158"/>
  <c r="AA7" i="158"/>
  <c r="AJ7" i="158"/>
  <c r="AS7" i="158"/>
  <c r="BB7" i="158"/>
  <c r="R8" i="158"/>
  <c r="AA8" i="158"/>
  <c r="AJ8" i="158"/>
  <c r="AS8" i="158"/>
  <c r="BB8" i="158"/>
  <c r="Q9" i="158"/>
  <c r="AA9" i="158"/>
  <c r="AJ9" i="158"/>
  <c r="AS9" i="158"/>
  <c r="BB9" i="158"/>
  <c r="AQ18" i="158"/>
  <c r="AI18" i="158"/>
  <c r="AA18" i="158"/>
  <c r="S18" i="158"/>
  <c r="U18" i="158"/>
  <c r="AD18" i="158"/>
  <c r="AM18" i="158"/>
  <c r="AV18" i="158"/>
  <c r="S25" i="158"/>
  <c r="S25" i="161" s="1"/>
  <c r="AB25" i="158"/>
  <c r="AK25" i="158"/>
  <c r="AU25" i="158"/>
  <c r="BD25" i="158"/>
  <c r="S26" i="158"/>
  <c r="AB26" i="158"/>
  <c r="AK26" i="158"/>
  <c r="AT26" i="158"/>
  <c r="BD26" i="158"/>
  <c r="S27" i="158"/>
  <c r="AB27" i="158"/>
  <c r="AK27" i="158"/>
  <c r="AT27" i="158"/>
  <c r="BE27" i="158"/>
  <c r="R31" i="158"/>
  <c r="AD31" i="158"/>
  <c r="AN31" i="158"/>
  <c r="AX31" i="158"/>
  <c r="AX31" i="161" s="1"/>
  <c r="BI31" i="158"/>
  <c r="O33" i="158"/>
  <c r="O33" i="161" s="1"/>
  <c r="Y33" i="158"/>
  <c r="AJ33" i="158"/>
  <c r="AU33" i="158"/>
  <c r="BE33" i="158"/>
  <c r="BB34" i="158"/>
  <c r="AT34" i="158"/>
  <c r="AL34" i="158"/>
  <c r="AD34" i="158"/>
  <c r="V34" i="158"/>
  <c r="V34" i="161" s="1"/>
  <c r="N34" i="158"/>
  <c r="BA34" i="158"/>
  <c r="AR34" i="158"/>
  <c r="AI34" i="158"/>
  <c r="Z34" i="158"/>
  <c r="Q34" i="158"/>
  <c r="W34" i="158"/>
  <c r="AG34" i="158"/>
  <c r="AQ34" i="158"/>
  <c r="BC34" i="158"/>
  <c r="T35" i="158"/>
  <c r="AD35" i="158"/>
  <c r="AO35" i="158"/>
  <c r="AY35" i="158"/>
  <c r="BI35" i="158"/>
  <c r="R36" i="158"/>
  <c r="R36" i="161" s="1"/>
  <c r="AB36" i="158"/>
  <c r="AL36" i="158"/>
  <c r="AL36" i="161" s="1"/>
  <c r="AW36" i="158"/>
  <c r="BG36" i="158"/>
  <c r="BG36" i="161" s="1"/>
  <c r="BF38" i="158"/>
  <c r="BF38" i="161" s="1"/>
  <c r="AX38" i="158"/>
  <c r="AP38" i="158"/>
  <c r="AH38" i="158"/>
  <c r="Z38" i="158"/>
  <c r="R38" i="158"/>
  <c r="R38" i="161" s="1"/>
  <c r="BA38" i="158"/>
  <c r="AR38" i="158"/>
  <c r="AI38" i="158"/>
  <c r="Y38" i="158"/>
  <c r="P38" i="158"/>
  <c r="V38" i="158"/>
  <c r="AF38" i="158"/>
  <c r="AQ38" i="158"/>
  <c r="AQ38" i="161" s="1"/>
  <c r="BB38" i="158"/>
  <c r="R39" i="158"/>
  <c r="AC39" i="158"/>
  <c r="AM39" i="158"/>
  <c r="AW39" i="158"/>
  <c r="BH39" i="158"/>
  <c r="W41" i="158"/>
  <c r="AG41" i="158"/>
  <c r="AQ41" i="158"/>
  <c r="BB41" i="158"/>
  <c r="U47" i="158"/>
  <c r="AF47" i="158"/>
  <c r="AR47" i="158"/>
  <c r="BE47" i="158"/>
  <c r="T50" i="158"/>
  <c r="AF50" i="158"/>
  <c r="AS50" i="158"/>
  <c r="BE50" i="158"/>
  <c r="AA51" i="158"/>
  <c r="AL51" i="158"/>
  <c r="AX51" i="158"/>
  <c r="T52" i="158"/>
  <c r="AE52" i="158"/>
  <c r="AS52" i="158"/>
  <c r="BE52" i="158"/>
  <c r="AA53" i="158"/>
  <c r="AL53" i="158"/>
  <c r="AX53" i="158"/>
  <c r="T54" i="158"/>
  <c r="AE54" i="158"/>
  <c r="AS54" i="158"/>
  <c r="BD54" i="158"/>
  <c r="BG55" i="158"/>
  <c r="AY55" i="158"/>
  <c r="AQ55" i="158"/>
  <c r="AI55" i="158"/>
  <c r="AA55" i="158"/>
  <c r="S55" i="158"/>
  <c r="BI55" i="158"/>
  <c r="AZ55" i="158"/>
  <c r="AP55" i="158"/>
  <c r="AG55" i="158"/>
  <c r="X55" i="158"/>
  <c r="X55" i="161" s="1"/>
  <c r="O55" i="158"/>
  <c r="BH55" i="158"/>
  <c r="AX55" i="158"/>
  <c r="AO55" i="158"/>
  <c r="AF55" i="158"/>
  <c r="W55" i="158"/>
  <c r="N55" i="158"/>
  <c r="Y55" i="158"/>
  <c r="AK55" i="158"/>
  <c r="AV55" i="158"/>
  <c r="R5" i="158"/>
  <c r="Z5" i="158"/>
  <c r="AH5" i="158"/>
  <c r="AP5" i="158"/>
  <c r="AY5" i="158"/>
  <c r="BG5" i="158"/>
  <c r="S6" i="158"/>
  <c r="AB6" i="158"/>
  <c r="AK6" i="158"/>
  <c r="AT6" i="158"/>
  <c r="S7" i="158"/>
  <c r="AB7" i="158"/>
  <c r="AK7" i="158"/>
  <c r="AT7" i="158"/>
  <c r="S8" i="158"/>
  <c r="AB8" i="158"/>
  <c r="AK8" i="158"/>
  <c r="AT8" i="158"/>
  <c r="AT8" i="161" s="1"/>
  <c r="S9" i="158"/>
  <c r="AB9" i="158"/>
  <c r="AK9" i="158"/>
  <c r="AT9" i="158"/>
  <c r="V18" i="158"/>
  <c r="AE18" i="158"/>
  <c r="AE18" i="161" s="1"/>
  <c r="AN18" i="158"/>
  <c r="AW18" i="158"/>
  <c r="BI24" i="158"/>
  <c r="BA24" i="158"/>
  <c r="AS24" i="158"/>
  <c r="AK24" i="158"/>
  <c r="AC24" i="158"/>
  <c r="U24" i="158"/>
  <c r="T24" i="158"/>
  <c r="AD24" i="158"/>
  <c r="AM24" i="158"/>
  <c r="AV24" i="158"/>
  <c r="BE24" i="158"/>
  <c r="T25" i="158"/>
  <c r="AC25" i="158"/>
  <c r="AM25" i="158"/>
  <c r="AV25" i="158"/>
  <c r="T26" i="158"/>
  <c r="AC26" i="158"/>
  <c r="AL26" i="158"/>
  <c r="AL26" i="161" s="1"/>
  <c r="AV26" i="158"/>
  <c r="T27" i="158"/>
  <c r="AC27" i="158"/>
  <c r="AL27" i="158"/>
  <c r="AV27" i="158"/>
  <c r="U31" i="158"/>
  <c r="AE31" i="158"/>
  <c r="AO31" i="158"/>
  <c r="P33" i="158"/>
  <c r="P33" i="161" s="1"/>
  <c r="AA33" i="158"/>
  <c r="AL33" i="158"/>
  <c r="AV33" i="158"/>
  <c r="BF33" i="158"/>
  <c r="X34" i="158"/>
  <c r="AH34" i="158"/>
  <c r="AS34" i="158"/>
  <c r="BD34" i="158"/>
  <c r="U35" i="158"/>
  <c r="AF35" i="158"/>
  <c r="AP35" i="158"/>
  <c r="S36" i="158"/>
  <c r="AC36" i="158"/>
  <c r="AM36" i="158"/>
  <c r="AX36" i="158"/>
  <c r="AX36" i="161" s="1"/>
  <c r="BH36" i="158"/>
  <c r="W38" i="158"/>
  <c r="AG38" i="158"/>
  <c r="AS38" i="158"/>
  <c r="BC38" i="158"/>
  <c r="T39" i="158"/>
  <c r="AD39" i="158"/>
  <c r="AN39" i="158"/>
  <c r="N41" i="158"/>
  <c r="X41" i="158"/>
  <c r="AH41" i="158"/>
  <c r="AR41" i="158"/>
  <c r="BC41" i="158"/>
  <c r="V47" i="158"/>
  <c r="AG47" i="158"/>
  <c r="AS47" i="158"/>
  <c r="U50" i="158"/>
  <c r="AG50" i="158"/>
  <c r="AU50" i="158"/>
  <c r="BF50" i="158"/>
  <c r="N51" i="158"/>
  <c r="AB51" i="158"/>
  <c r="AN51" i="158"/>
  <c r="AY51" i="158"/>
  <c r="U52" i="158"/>
  <c r="AG52" i="158"/>
  <c r="AT52" i="158"/>
  <c r="BF52" i="158"/>
  <c r="N53" i="158"/>
  <c r="AB53" i="158"/>
  <c r="AM53" i="158"/>
  <c r="AY53" i="158"/>
  <c r="U54" i="158"/>
  <c r="AF54" i="158"/>
  <c r="AT54" i="158"/>
  <c r="AT54" i="161" s="1"/>
  <c r="BE54" i="158"/>
  <c r="Z55" i="158"/>
  <c r="AL55" i="158"/>
  <c r="AW55" i="158"/>
  <c r="BC6" i="158"/>
  <c r="AU6" i="158"/>
  <c r="AM6" i="158"/>
  <c r="AE6" i="158"/>
  <c r="W6" i="158"/>
  <c r="T6" i="158"/>
  <c r="AC6" i="158"/>
  <c r="AL6" i="158"/>
  <c r="AL6" i="161" s="1"/>
  <c r="AV6" i="158"/>
  <c r="BE6" i="158"/>
  <c r="BB25" i="158"/>
  <c r="AT25" i="158"/>
  <c r="AL25" i="158"/>
  <c r="AD25" i="158"/>
  <c r="V25" i="158"/>
  <c r="N25" i="158"/>
  <c r="N25" i="161" s="1"/>
  <c r="U25" i="158"/>
  <c r="AE25" i="158"/>
  <c r="AN25" i="158"/>
  <c r="AW25" i="158"/>
  <c r="BF25" i="158"/>
  <c r="BC26" i="158"/>
  <c r="AU26" i="158"/>
  <c r="AM26" i="158"/>
  <c r="AE26" i="158"/>
  <c r="W26" i="158"/>
  <c r="O26" i="158"/>
  <c r="U26" i="158"/>
  <c r="AD26" i="158"/>
  <c r="AN26" i="158"/>
  <c r="AW26" i="158"/>
  <c r="BF26" i="158"/>
  <c r="BC27" i="158"/>
  <c r="AU27" i="158"/>
  <c r="BF27" i="158"/>
  <c r="AW27" i="158"/>
  <c r="AN27" i="158"/>
  <c r="AF27" i="158"/>
  <c r="AF27" i="161" s="1"/>
  <c r="X27" i="158"/>
  <c r="X27" i="161" s="1"/>
  <c r="P27" i="158"/>
  <c r="P27" i="161" s="1"/>
  <c r="U27" i="158"/>
  <c r="AD27" i="158"/>
  <c r="AM27" i="158"/>
  <c r="AX27" i="158"/>
  <c r="AX27" i="161" s="1"/>
  <c r="BH27" i="158"/>
  <c r="BG31" i="158"/>
  <c r="AY31" i="158"/>
  <c r="AQ31" i="158"/>
  <c r="AI31" i="158"/>
  <c r="AA31" i="158"/>
  <c r="S31" i="158"/>
  <c r="BD31" i="158"/>
  <c r="AU31" i="158"/>
  <c r="AL31" i="158"/>
  <c r="AL31" i="161" s="1"/>
  <c r="AC31" i="158"/>
  <c r="T31" i="158"/>
  <c r="V31" i="158"/>
  <c r="AF31" i="158"/>
  <c r="AP31" i="158"/>
  <c r="BA31" i="158"/>
  <c r="R33" i="158"/>
  <c r="AB33" i="158"/>
  <c r="AM33" i="158"/>
  <c r="AW33" i="158"/>
  <c r="BG33" i="158"/>
  <c r="BC35" i="158"/>
  <c r="AU35" i="158"/>
  <c r="AM35" i="158"/>
  <c r="AE35" i="158"/>
  <c r="W35" i="158"/>
  <c r="O35" i="158"/>
  <c r="BA35" i="158"/>
  <c r="AR35" i="158"/>
  <c r="AI35" i="158"/>
  <c r="Z35" i="158"/>
  <c r="Q35" i="158"/>
  <c r="V35" i="158"/>
  <c r="V35" i="161" s="1"/>
  <c r="AG35" i="158"/>
  <c r="AQ35" i="158"/>
  <c r="BB35" i="158"/>
  <c r="T36" i="158"/>
  <c r="AD36" i="158"/>
  <c r="AO36" i="158"/>
  <c r="AY36" i="158"/>
  <c r="BI36" i="158"/>
  <c r="O41" i="158"/>
  <c r="Y41" i="158"/>
  <c r="AI41" i="158"/>
  <c r="AT41" i="158"/>
  <c r="BD41" i="158"/>
  <c r="BG47" i="158"/>
  <c r="AY47" i="158"/>
  <c r="AQ47" i="158"/>
  <c r="AI47" i="158"/>
  <c r="AA47" i="158"/>
  <c r="S47" i="158"/>
  <c r="BD47" i="158"/>
  <c r="AU47" i="158"/>
  <c r="AL47" i="158"/>
  <c r="AC47" i="158"/>
  <c r="T47" i="158"/>
  <c r="BC47" i="158"/>
  <c r="AT47" i="158"/>
  <c r="AK47" i="158"/>
  <c r="AB47" i="158"/>
  <c r="R47" i="158"/>
  <c r="W47" i="158"/>
  <c r="AH47" i="158"/>
  <c r="AV47" i="158"/>
  <c r="BH47" i="158"/>
  <c r="W50" i="158"/>
  <c r="AJ50" i="158"/>
  <c r="AV50" i="158"/>
  <c r="R51" i="158"/>
  <c r="AC51" i="158"/>
  <c r="AO51" i="158"/>
  <c r="BB51" i="158"/>
  <c r="V52" i="158"/>
  <c r="V52" i="161" s="1"/>
  <c r="AJ52" i="158"/>
  <c r="AU52" i="158"/>
  <c r="R53" i="158"/>
  <c r="AC53" i="158"/>
  <c r="AN53" i="158"/>
  <c r="BB53" i="158"/>
  <c r="V54" i="158"/>
  <c r="AJ54" i="158"/>
  <c r="AU54" i="158"/>
  <c r="P55" i="158"/>
  <c r="AB55" i="158"/>
  <c r="AM55" i="158"/>
  <c r="BA55" i="158"/>
  <c r="T5" i="158"/>
  <c r="AB5" i="158"/>
  <c r="AJ5" i="158"/>
  <c r="AR5" i="158"/>
  <c r="BA5" i="158"/>
  <c r="U6" i="158"/>
  <c r="AD6" i="158"/>
  <c r="AN6" i="158"/>
  <c r="AW6" i="158"/>
  <c r="BF6" i="158"/>
  <c r="BD7" i="158"/>
  <c r="AV7" i="158"/>
  <c r="AN7" i="158"/>
  <c r="AF7" i="158"/>
  <c r="X7" i="158"/>
  <c r="P7" i="158"/>
  <c r="U7" i="158"/>
  <c r="AD7" i="158"/>
  <c r="AM7" i="158"/>
  <c r="AW7" i="158"/>
  <c r="BF7" i="158"/>
  <c r="BE8" i="158"/>
  <c r="AW8" i="158"/>
  <c r="AO8" i="158"/>
  <c r="AG8" i="158"/>
  <c r="Y8" i="158"/>
  <c r="Q8" i="158"/>
  <c r="U8" i="158"/>
  <c r="AD8" i="158"/>
  <c r="AM8" i="158"/>
  <c r="AV8" i="158"/>
  <c r="BF8" i="158"/>
  <c r="BF9" i="158"/>
  <c r="AX9" i="158"/>
  <c r="AP9" i="158"/>
  <c r="AH9" i="158"/>
  <c r="Z9" i="158"/>
  <c r="R9" i="158"/>
  <c r="U9" i="158"/>
  <c r="AD9" i="158"/>
  <c r="AM9" i="158"/>
  <c r="AV9" i="158"/>
  <c r="BE9" i="158"/>
  <c r="W25" i="158"/>
  <c r="W25" i="161" s="1"/>
  <c r="AF25" i="158"/>
  <c r="AO25" i="158"/>
  <c r="AX25" i="158"/>
  <c r="BG25" i="158"/>
  <c r="V26" i="158"/>
  <c r="AF26" i="158"/>
  <c r="AO26" i="158"/>
  <c r="AX26" i="158"/>
  <c r="BG26" i="158"/>
  <c r="V27" i="158"/>
  <c r="AE27" i="158"/>
  <c r="AO27" i="158"/>
  <c r="AY27" i="158"/>
  <c r="BI27" i="158"/>
  <c r="W31" i="158"/>
  <c r="AG31" i="158"/>
  <c r="AR31" i="158"/>
  <c r="BB31" i="158"/>
  <c r="S33" i="158"/>
  <c r="AD33" i="158"/>
  <c r="AN33" i="158"/>
  <c r="AX33" i="158"/>
  <c r="BH33" i="158"/>
  <c r="X35" i="158"/>
  <c r="AH35" i="158"/>
  <c r="AS35" i="158"/>
  <c r="BD35" i="158"/>
  <c r="U36" i="158"/>
  <c r="AE36" i="158"/>
  <c r="AP36" i="158"/>
  <c r="BG39" i="158"/>
  <c r="AY39" i="158"/>
  <c r="AY39" i="161" s="1"/>
  <c r="AQ39" i="158"/>
  <c r="AI39" i="158"/>
  <c r="AA39" i="158"/>
  <c r="S39" i="158"/>
  <c r="BI39" i="158"/>
  <c r="AZ39" i="158"/>
  <c r="AP39" i="158"/>
  <c r="AG39" i="158"/>
  <c r="X39" i="158"/>
  <c r="O39" i="158"/>
  <c r="V39" i="158"/>
  <c r="AF39" i="158"/>
  <c r="AR39" i="158"/>
  <c r="BB39" i="158"/>
  <c r="P41" i="158"/>
  <c r="Z41" i="158"/>
  <c r="AJ41" i="158"/>
  <c r="AU41" i="158"/>
  <c r="BE41" i="158"/>
  <c r="X47" i="158"/>
  <c r="AJ47" i="158"/>
  <c r="AW47" i="158"/>
  <c r="BI47" i="158"/>
  <c r="BB50" i="158"/>
  <c r="AT50" i="158"/>
  <c r="AL50" i="158"/>
  <c r="AD50" i="158"/>
  <c r="V50" i="158"/>
  <c r="N50" i="158"/>
  <c r="BA50" i="158"/>
  <c r="AR50" i="158"/>
  <c r="AI50" i="158"/>
  <c r="Z50" i="158"/>
  <c r="Q50" i="158"/>
  <c r="BI50" i="158"/>
  <c r="AZ50" i="158"/>
  <c r="AQ50" i="158"/>
  <c r="AH50" i="158"/>
  <c r="Y50" i="158"/>
  <c r="P50" i="158"/>
  <c r="X50" i="158"/>
  <c r="AK50" i="158"/>
  <c r="AW50" i="158"/>
  <c r="BH50" i="158"/>
  <c r="S51" i="158"/>
  <c r="AD51" i="158"/>
  <c r="AP51" i="158"/>
  <c r="BD51" i="158"/>
  <c r="BD52" i="158"/>
  <c r="AV52" i="158"/>
  <c r="AN52" i="158"/>
  <c r="AF52" i="158"/>
  <c r="X52" i="158"/>
  <c r="P52" i="158"/>
  <c r="BA52" i="158"/>
  <c r="AR52" i="158"/>
  <c r="AI52" i="158"/>
  <c r="Z52" i="158"/>
  <c r="Q52" i="158"/>
  <c r="BI52" i="158"/>
  <c r="AZ52" i="158"/>
  <c r="AQ52" i="158"/>
  <c r="AH52" i="158"/>
  <c r="Y52" i="158"/>
  <c r="O52" i="158"/>
  <c r="W52" i="158"/>
  <c r="AK52" i="158"/>
  <c r="AW52" i="158"/>
  <c r="BH52" i="158"/>
  <c r="S53" i="158"/>
  <c r="AD53" i="158"/>
  <c r="AP53" i="158"/>
  <c r="BC53" i="158"/>
  <c r="BC53" i="161" s="1"/>
  <c r="BF54" i="158"/>
  <c r="AX54" i="158"/>
  <c r="AP54" i="158"/>
  <c r="AH54" i="158"/>
  <c r="Z54" i="158"/>
  <c r="Z54" i="161" s="1"/>
  <c r="R54" i="158"/>
  <c r="R54" i="161" s="1"/>
  <c r="BA54" i="158"/>
  <c r="AR54" i="158"/>
  <c r="AI54" i="158"/>
  <c r="Y54" i="158"/>
  <c r="P54" i="158"/>
  <c r="BI54" i="158"/>
  <c r="AZ54" i="158"/>
  <c r="AQ54" i="158"/>
  <c r="AG54" i="158"/>
  <c r="X54" i="158"/>
  <c r="X54" i="161" s="1"/>
  <c r="O54" i="158"/>
  <c r="W54" i="158"/>
  <c r="AK54" i="158"/>
  <c r="AV54" i="158"/>
  <c r="BH54" i="158"/>
  <c r="BH54" i="161" s="1"/>
  <c r="Q55" i="158"/>
  <c r="AC55" i="158"/>
  <c r="AN55" i="158"/>
  <c r="BB55" i="158"/>
  <c r="T33" i="158"/>
  <c r="AE33" i="158"/>
  <c r="AO33" i="158"/>
  <c r="AY33" i="158"/>
  <c r="BD36" i="158"/>
  <c r="AV36" i="158"/>
  <c r="AN36" i="158"/>
  <c r="AF36" i="158"/>
  <c r="X36" i="158"/>
  <c r="P36" i="158"/>
  <c r="P36" i="161" s="1"/>
  <c r="BA36" i="158"/>
  <c r="AR36" i="158"/>
  <c r="AI36" i="158"/>
  <c r="Z36" i="158"/>
  <c r="Q36" i="158"/>
  <c r="V36" i="158"/>
  <c r="AG36" i="158"/>
  <c r="AQ36" i="158"/>
  <c r="BB36" i="158"/>
  <c r="Q41" i="158"/>
  <c r="AA41" i="158"/>
  <c r="AL41" i="158"/>
  <c r="AV41" i="158"/>
  <c r="BG41" i="158"/>
  <c r="T51" i="158"/>
  <c r="T51" i="161" s="1"/>
  <c r="AF51" i="158"/>
  <c r="AS51" i="158"/>
  <c r="BE51" i="158"/>
  <c r="T53" i="158"/>
  <c r="AE53" i="158"/>
  <c r="AS53" i="158"/>
  <c r="BD53" i="158"/>
  <c r="T64" i="158"/>
  <c r="AR64" i="158"/>
  <c r="BB65" i="158"/>
  <c r="AT65" i="158"/>
  <c r="AL65" i="158"/>
  <c r="AD65" i="158"/>
  <c r="V65" i="158"/>
  <c r="N65" i="158"/>
  <c r="BD65" i="158"/>
  <c r="AU65" i="158"/>
  <c r="AK65" i="158"/>
  <c r="AB65" i="158"/>
  <c r="S65" i="158"/>
  <c r="BC65" i="158"/>
  <c r="AS65" i="158"/>
  <c r="AJ65" i="158"/>
  <c r="AA65" i="158"/>
  <c r="R65" i="158"/>
  <c r="BI65" i="158"/>
  <c r="AZ65" i="158"/>
  <c r="AQ65" i="158"/>
  <c r="AH65" i="158"/>
  <c r="Y65" i="158"/>
  <c r="P65" i="158"/>
  <c r="BH65" i="158"/>
  <c r="AY65" i="158"/>
  <c r="AP65" i="158"/>
  <c r="AG65" i="158"/>
  <c r="X65" i="158"/>
  <c r="O65" i="158"/>
  <c r="BG65" i="158"/>
  <c r="AX65" i="158"/>
  <c r="AO65" i="158"/>
  <c r="AF65" i="158"/>
  <c r="W65" i="158"/>
  <c r="AI65" i="158"/>
  <c r="BF65" i="158"/>
  <c r="AH10" i="161"/>
  <c r="AF20" i="161"/>
  <c r="AQ23" i="161"/>
  <c r="AH24" i="161"/>
  <c r="BC2" i="161"/>
  <c r="S8" i="161"/>
  <c r="AN8" i="161"/>
  <c r="AG16" i="161"/>
  <c r="BI57" i="158"/>
  <c r="BA57" i="158"/>
  <c r="AS57" i="158"/>
  <c r="AK57" i="158"/>
  <c r="AC57" i="158"/>
  <c r="U57" i="158"/>
  <c r="T57" i="158"/>
  <c r="AD57" i="158"/>
  <c r="AM57" i="158"/>
  <c r="AV57" i="158"/>
  <c r="BE57" i="158"/>
  <c r="AD64" i="158"/>
  <c r="BB64" i="158"/>
  <c r="T11" i="158"/>
  <c r="AB11" i="158"/>
  <c r="AJ11" i="158"/>
  <c r="AR11" i="158"/>
  <c r="AZ11" i="158"/>
  <c r="T23" i="158"/>
  <c r="AB23" i="158"/>
  <c r="AJ23" i="158"/>
  <c r="AR23" i="158"/>
  <c r="AZ23" i="158"/>
  <c r="BD28" i="158"/>
  <c r="AV28" i="158"/>
  <c r="AN28" i="158"/>
  <c r="AF28" i="158"/>
  <c r="X28" i="158"/>
  <c r="P28" i="158"/>
  <c r="U28" i="158"/>
  <c r="AD28" i="158"/>
  <c r="AM28" i="158"/>
  <c r="AW28" i="158"/>
  <c r="BF28" i="158"/>
  <c r="BE29" i="158"/>
  <c r="AW29" i="158"/>
  <c r="AO29" i="158"/>
  <c r="AG29" i="158"/>
  <c r="AG29" i="161" s="1"/>
  <c r="Y29" i="158"/>
  <c r="Q29" i="158"/>
  <c r="U29" i="158"/>
  <c r="AD29" i="158"/>
  <c r="AM29" i="158"/>
  <c r="AM29" i="161" s="1"/>
  <c r="AV29" i="158"/>
  <c r="BF29" i="158"/>
  <c r="BF30" i="158"/>
  <c r="AX30" i="158"/>
  <c r="AP30" i="158"/>
  <c r="AH30" i="158"/>
  <c r="Z30" i="158"/>
  <c r="R30" i="158"/>
  <c r="U30" i="158"/>
  <c r="AD30" i="158"/>
  <c r="AM30" i="158"/>
  <c r="AV30" i="158"/>
  <c r="BE30" i="158"/>
  <c r="BE30" i="161" s="1"/>
  <c r="BB42" i="158"/>
  <c r="AT42" i="158"/>
  <c r="AL42" i="158"/>
  <c r="AD42" i="158"/>
  <c r="V42" i="158"/>
  <c r="N42" i="158"/>
  <c r="U42" i="158"/>
  <c r="AE42" i="158"/>
  <c r="AN42" i="158"/>
  <c r="AW42" i="158"/>
  <c r="BF42" i="158"/>
  <c r="BC43" i="158"/>
  <c r="AU43" i="158"/>
  <c r="AM43" i="158"/>
  <c r="AE43" i="158"/>
  <c r="W43" i="158"/>
  <c r="O43" i="158"/>
  <c r="U43" i="158"/>
  <c r="AD43" i="158"/>
  <c r="AN43" i="158"/>
  <c r="AW43" i="158"/>
  <c r="BF43" i="158"/>
  <c r="BD44" i="158"/>
  <c r="AV44" i="158"/>
  <c r="AN44" i="158"/>
  <c r="AF44" i="158"/>
  <c r="X44" i="158"/>
  <c r="P44" i="158"/>
  <c r="U44" i="158"/>
  <c r="AD44" i="158"/>
  <c r="AM44" i="158"/>
  <c r="AW44" i="158"/>
  <c r="BF44" i="158"/>
  <c r="BE45" i="158"/>
  <c r="AW45" i="158"/>
  <c r="AO45" i="158"/>
  <c r="AG45" i="158"/>
  <c r="Y45" i="158"/>
  <c r="Q45" i="158"/>
  <c r="U45" i="158"/>
  <c r="AD45" i="158"/>
  <c r="AM45" i="158"/>
  <c r="AV45" i="158"/>
  <c r="BF45" i="158"/>
  <c r="BF46" i="158"/>
  <c r="AX46" i="158"/>
  <c r="AP46" i="158"/>
  <c r="AH46" i="158"/>
  <c r="Z46" i="158"/>
  <c r="R46" i="158"/>
  <c r="R46" i="161" s="1"/>
  <c r="U46" i="158"/>
  <c r="U46" i="161" s="1"/>
  <c r="AD46" i="158"/>
  <c r="AM46" i="158"/>
  <c r="AM46" i="161" s="1"/>
  <c r="AV46" i="158"/>
  <c r="BE46" i="158"/>
  <c r="V57" i="158"/>
  <c r="AE57" i="158"/>
  <c r="AN57" i="158"/>
  <c r="AW57" i="158"/>
  <c r="BF57" i="158"/>
  <c r="BB58" i="158"/>
  <c r="AT58" i="158"/>
  <c r="AT58" i="161" s="1"/>
  <c r="AL58" i="158"/>
  <c r="AD58" i="158"/>
  <c r="V58" i="158"/>
  <c r="N58" i="158"/>
  <c r="U58" i="158"/>
  <c r="AE58" i="158"/>
  <c r="AE58" i="161" s="1"/>
  <c r="AN58" i="158"/>
  <c r="AW58" i="158"/>
  <c r="AW58" i="161" s="1"/>
  <c r="BF58" i="158"/>
  <c r="BC59" i="158"/>
  <c r="AU59" i="158"/>
  <c r="AM59" i="158"/>
  <c r="AE59" i="158"/>
  <c r="W59" i="158"/>
  <c r="O59" i="158"/>
  <c r="U59" i="158"/>
  <c r="AD59" i="158"/>
  <c r="AN59" i="158"/>
  <c r="AW59" i="158"/>
  <c r="BF59" i="158"/>
  <c r="BD60" i="158"/>
  <c r="AV60" i="158"/>
  <c r="AN60" i="158"/>
  <c r="AF60" i="158"/>
  <c r="X60" i="158"/>
  <c r="P60" i="158"/>
  <c r="U60" i="158"/>
  <c r="AD60" i="158"/>
  <c r="AM60" i="158"/>
  <c r="AW60" i="158"/>
  <c r="BF60" i="158"/>
  <c r="BE61" i="158"/>
  <c r="BE61" i="161" s="1"/>
  <c r="AW61" i="158"/>
  <c r="AO61" i="158"/>
  <c r="AG61" i="158"/>
  <c r="AG61" i="161" s="1"/>
  <c r="Y61" i="158"/>
  <c r="Q61" i="158"/>
  <c r="U61" i="158"/>
  <c r="AD61" i="158"/>
  <c r="AM61" i="158"/>
  <c r="AV61" i="158"/>
  <c r="BF61" i="158"/>
  <c r="BG62" i="158"/>
  <c r="AY62" i="158"/>
  <c r="AQ62" i="158"/>
  <c r="AI62" i="158"/>
  <c r="AA62" i="158"/>
  <c r="S62" i="158"/>
  <c r="S62" i="161" s="1"/>
  <c r="BC62" i="158"/>
  <c r="AT62" i="158"/>
  <c r="AK62" i="158"/>
  <c r="AB62" i="158"/>
  <c r="R62" i="158"/>
  <c r="V62" i="158"/>
  <c r="AF62" i="158"/>
  <c r="AP62" i="158"/>
  <c r="BA62" i="158"/>
  <c r="AE64" i="158"/>
  <c r="U65" i="158"/>
  <c r="AV65" i="158"/>
  <c r="AR7" i="161"/>
  <c r="BI64" i="158"/>
  <c r="BA64" i="158"/>
  <c r="AS64" i="158"/>
  <c r="AK64" i="158"/>
  <c r="AC64" i="158"/>
  <c r="U64" i="158"/>
  <c r="BD64" i="158"/>
  <c r="AU64" i="158"/>
  <c r="AL64" i="158"/>
  <c r="AB64" i="158"/>
  <c r="S64" i="158"/>
  <c r="BC64" i="158"/>
  <c r="AT64" i="158"/>
  <c r="AJ64" i="158"/>
  <c r="AA64" i="158"/>
  <c r="R64" i="158"/>
  <c r="AZ64" i="158"/>
  <c r="AQ64" i="158"/>
  <c r="AH64" i="158"/>
  <c r="Y64" i="158"/>
  <c r="P64" i="158"/>
  <c r="BH64" i="158"/>
  <c r="AY64" i="158"/>
  <c r="AP64" i="158"/>
  <c r="AG64" i="158"/>
  <c r="X64" i="158"/>
  <c r="O64" i="158"/>
  <c r="BG64" i="158"/>
  <c r="AX64" i="158"/>
  <c r="AO64" i="158"/>
  <c r="AF64" i="158"/>
  <c r="W64" i="158"/>
  <c r="N64" i="158"/>
  <c r="AI64" i="158"/>
  <c r="BF64" i="158"/>
  <c r="AM64" i="158"/>
  <c r="AR2" i="161"/>
  <c r="R5" i="161"/>
  <c r="AV5" i="161"/>
  <c r="AA6" i="161"/>
  <c r="V7" i="161"/>
  <c r="Q3" i="161"/>
  <c r="Z3" i="161"/>
  <c r="AS3" i="161"/>
  <c r="AO4" i="161"/>
  <c r="AX5" i="161"/>
  <c r="N6" i="161"/>
  <c r="AE8" i="161"/>
  <c r="AP8" i="161"/>
  <c r="P13" i="161"/>
  <c r="P15" i="161"/>
  <c r="AC15" i="161"/>
  <c r="AR15" i="161"/>
  <c r="BH15" i="161"/>
  <c r="AJ22" i="161"/>
  <c r="AS23" i="161"/>
  <c r="S38" i="161"/>
  <c r="AC38" i="161"/>
  <c r="AL38" i="161"/>
  <c r="AU38" i="161"/>
  <c r="BD38" i="161"/>
  <c r="BH41" i="161"/>
  <c r="AD41" i="161"/>
  <c r="BB44" i="161"/>
  <c r="W2" i="159"/>
  <c r="W2" i="161" s="1"/>
  <c r="AA3" i="161"/>
  <c r="AK3" i="161"/>
  <c r="AT3" i="161"/>
  <c r="AA5" i="161"/>
  <c r="P6" i="161"/>
  <c r="BG6" i="161"/>
  <c r="AG7" i="159"/>
  <c r="AV10" i="161"/>
  <c r="AT13" i="161"/>
  <c r="AG15" i="161"/>
  <c r="AS15" i="161"/>
  <c r="T20" i="161"/>
  <c r="AW21" i="161"/>
  <c r="AK22" i="161"/>
  <c r="O23" i="161"/>
  <c r="AF2" i="159"/>
  <c r="AF2" i="161" s="1"/>
  <c r="AH7" i="159"/>
  <c r="AH7" i="161" s="1"/>
  <c r="AW10" i="161"/>
  <c r="AC14" i="161"/>
  <c r="BH14" i="161"/>
  <c r="BH19" i="161"/>
  <c r="U19" i="161"/>
  <c r="BE19" i="161"/>
  <c r="V20" i="161"/>
  <c r="BI28" i="159"/>
  <c r="BA28" i="159"/>
  <c r="AS28" i="159"/>
  <c r="AK28" i="159"/>
  <c r="AC28" i="159"/>
  <c r="U28" i="159"/>
  <c r="BF28" i="159"/>
  <c r="AW28" i="159"/>
  <c r="AN28" i="159"/>
  <c r="AE28" i="159"/>
  <c r="V28" i="159"/>
  <c r="BE28" i="159"/>
  <c r="AU28" i="159"/>
  <c r="AJ28" i="159"/>
  <c r="Z28" i="159"/>
  <c r="P28" i="159"/>
  <c r="BD28" i="159"/>
  <c r="AT28" i="159"/>
  <c r="AI28" i="159"/>
  <c r="AI28" i="161" s="1"/>
  <c r="Y28" i="159"/>
  <c r="O28" i="159"/>
  <c r="BC28" i="159"/>
  <c r="AR28" i="159"/>
  <c r="AH28" i="159"/>
  <c r="X28" i="159"/>
  <c r="N28" i="159"/>
  <c r="BB28" i="159"/>
  <c r="AQ28" i="159"/>
  <c r="AQ28" i="161" s="1"/>
  <c r="AG28" i="159"/>
  <c r="W28" i="159"/>
  <c r="AY28" i="159"/>
  <c r="AY28" i="161" s="1"/>
  <c r="AO28" i="159"/>
  <c r="AD28" i="159"/>
  <c r="S28" i="159"/>
  <c r="BG28" i="159"/>
  <c r="AB28" i="159"/>
  <c r="AZ28" i="159"/>
  <c r="AA28" i="159"/>
  <c r="AA28" i="161" s="1"/>
  <c r="AX28" i="159"/>
  <c r="T28" i="159"/>
  <c r="AV28" i="159"/>
  <c r="R28" i="159"/>
  <c r="AP28" i="159"/>
  <c r="Q28" i="159"/>
  <c r="BH28" i="159"/>
  <c r="AF28" i="159"/>
  <c r="AE34" i="161"/>
  <c r="T32" i="158"/>
  <c r="AB32" i="158"/>
  <c r="AB32" i="161" s="1"/>
  <c r="AJ32" i="158"/>
  <c r="AR32" i="158"/>
  <c r="AZ32" i="158"/>
  <c r="T40" i="158"/>
  <c r="AB40" i="158"/>
  <c r="AJ40" i="158"/>
  <c r="AR40" i="158"/>
  <c r="AZ40" i="158"/>
  <c r="AZ40" i="161" s="1"/>
  <c r="T48" i="158"/>
  <c r="AB48" i="158"/>
  <c r="AJ48" i="158"/>
  <c r="AR48" i="158"/>
  <c r="AZ48" i="158"/>
  <c r="T56" i="158"/>
  <c r="AB56" i="158"/>
  <c r="AJ56" i="158"/>
  <c r="AR56" i="158"/>
  <c r="AZ56" i="158"/>
  <c r="AG2" i="159"/>
  <c r="BH5" i="161"/>
  <c r="AV6" i="161"/>
  <c r="BF10" i="159"/>
  <c r="BF10" i="161" s="1"/>
  <c r="BB10" i="159"/>
  <c r="AT10" i="159"/>
  <c r="AL10" i="159"/>
  <c r="AD10" i="159"/>
  <c r="V10" i="159"/>
  <c r="N10" i="159"/>
  <c r="BA10" i="159"/>
  <c r="AS10" i="159"/>
  <c r="AK10" i="159"/>
  <c r="AC10" i="159"/>
  <c r="U10" i="159"/>
  <c r="BH10" i="159"/>
  <c r="AY10" i="159"/>
  <c r="AQ10" i="159"/>
  <c r="AI10" i="159"/>
  <c r="AA10" i="159"/>
  <c r="S10" i="159"/>
  <c r="BE10" i="159"/>
  <c r="AR10" i="159"/>
  <c r="AF10" i="159"/>
  <c r="R10" i="159"/>
  <c r="R10" i="161" s="1"/>
  <c r="BD10" i="159"/>
  <c r="AP10" i="159"/>
  <c r="AP10" i="161" s="1"/>
  <c r="AE10" i="159"/>
  <c r="Q10" i="159"/>
  <c r="Q10" i="161" s="1"/>
  <c r="BC10" i="159"/>
  <c r="AO10" i="159"/>
  <c r="AO10" i="161" s="1"/>
  <c r="AB10" i="159"/>
  <c r="AB10" i="161" s="1"/>
  <c r="P10" i="159"/>
  <c r="P10" i="161" s="1"/>
  <c r="AZ10" i="159"/>
  <c r="AN10" i="159"/>
  <c r="Z10" i="159"/>
  <c r="O10" i="159"/>
  <c r="AX10" i="159"/>
  <c r="AM10" i="159"/>
  <c r="Y10" i="159"/>
  <c r="BG10" i="159"/>
  <c r="AU10" i="159"/>
  <c r="AG10" i="159"/>
  <c r="AG10" i="161" s="1"/>
  <c r="T10" i="159"/>
  <c r="BI10" i="159"/>
  <c r="AQ12" i="161"/>
  <c r="AG14" i="161"/>
  <c r="AH18" i="161"/>
  <c r="AP2" i="161"/>
  <c r="AJ6" i="161"/>
  <c r="Q12" i="161"/>
  <c r="Z12" i="161"/>
  <c r="AI12" i="161"/>
  <c r="AS12" i="161"/>
  <c r="AD13" i="161"/>
  <c r="BH13" i="161"/>
  <c r="AC17" i="161"/>
  <c r="Q18" i="161"/>
  <c r="AJ18" i="161"/>
  <c r="AZ18" i="161"/>
  <c r="AT20" i="161"/>
  <c r="AC27" i="161"/>
  <c r="AU27" i="161"/>
  <c r="BD27" i="161"/>
  <c r="AL28" i="161"/>
  <c r="O31" i="161"/>
  <c r="AJ31" i="161"/>
  <c r="AT31" i="161"/>
  <c r="BE31" i="161"/>
  <c r="O32" i="161"/>
  <c r="AY4" i="161"/>
  <c r="AM5" i="161"/>
  <c r="AK6" i="161"/>
  <c r="BG7" i="159"/>
  <c r="AY7" i="159"/>
  <c r="AQ7" i="159"/>
  <c r="AI7" i="159"/>
  <c r="AA7" i="159"/>
  <c r="AA7" i="161" s="1"/>
  <c r="S7" i="159"/>
  <c r="BD7" i="159"/>
  <c r="AV7" i="159"/>
  <c r="AV7" i="161" s="1"/>
  <c r="AN7" i="159"/>
  <c r="AF7" i="159"/>
  <c r="X7" i="159"/>
  <c r="P7" i="159"/>
  <c r="AZ7" i="159"/>
  <c r="AO7" i="159"/>
  <c r="AD7" i="159"/>
  <c r="T7" i="159"/>
  <c r="BI7" i="159"/>
  <c r="AX7" i="159"/>
  <c r="AM7" i="159"/>
  <c r="AC7" i="159"/>
  <c r="AC7" i="161" s="1"/>
  <c r="R7" i="159"/>
  <c r="BH7" i="159"/>
  <c r="AW7" i="159"/>
  <c r="AL7" i="159"/>
  <c r="AB7" i="159"/>
  <c r="Q7" i="159"/>
  <c r="BF7" i="159"/>
  <c r="AU7" i="159"/>
  <c r="AU7" i="161" s="1"/>
  <c r="AK7" i="159"/>
  <c r="AK7" i="161" s="1"/>
  <c r="Z7" i="159"/>
  <c r="O7" i="159"/>
  <c r="BE7" i="159"/>
  <c r="AT7" i="159"/>
  <c r="AT7" i="161" s="1"/>
  <c r="AJ7" i="159"/>
  <c r="Y7" i="159"/>
  <c r="Y7" i="161" s="1"/>
  <c r="N7" i="159"/>
  <c r="BA7" i="159"/>
  <c r="AP7" i="159"/>
  <c r="AE7" i="159"/>
  <c r="U7" i="159"/>
  <c r="BB7" i="159"/>
  <c r="W10" i="161"/>
  <c r="AF17" i="161"/>
  <c r="AL25" i="161"/>
  <c r="AS26" i="161"/>
  <c r="Q31" i="161"/>
  <c r="AA31" i="161"/>
  <c r="AK31" i="161"/>
  <c r="BB2" i="159"/>
  <c r="BB2" i="161" s="1"/>
  <c r="AT2" i="159"/>
  <c r="AT2" i="161" s="1"/>
  <c r="AL2" i="159"/>
  <c r="AD2" i="159"/>
  <c r="V2" i="159"/>
  <c r="N2" i="159"/>
  <c r="BG2" i="159"/>
  <c r="AY2" i="159"/>
  <c r="AQ2" i="159"/>
  <c r="AI2" i="159"/>
  <c r="AA2" i="159"/>
  <c r="S2" i="159"/>
  <c r="BI2" i="159"/>
  <c r="AX2" i="159"/>
  <c r="AN2" i="159"/>
  <c r="AN2" i="161" s="1"/>
  <c r="AC2" i="159"/>
  <c r="R2" i="159"/>
  <c r="BH2" i="159"/>
  <c r="AW2" i="159"/>
  <c r="AM2" i="159"/>
  <c r="AM2" i="161" s="1"/>
  <c r="AB2" i="159"/>
  <c r="Q2" i="159"/>
  <c r="BF2" i="159"/>
  <c r="AV2" i="159"/>
  <c r="AK2" i="159"/>
  <c r="AK2" i="161" s="1"/>
  <c r="Z2" i="159"/>
  <c r="P2" i="159"/>
  <c r="P2" i="161" s="1"/>
  <c r="BE2" i="159"/>
  <c r="AU2" i="159"/>
  <c r="AJ2" i="159"/>
  <c r="Y2" i="159"/>
  <c r="O2" i="159"/>
  <c r="BD2" i="159"/>
  <c r="BD2" i="161" s="1"/>
  <c r="AS2" i="159"/>
  <c r="AH2" i="159"/>
  <c r="X2" i="159"/>
  <c r="AZ2" i="159"/>
  <c r="AZ2" i="161" s="1"/>
  <c r="AO2" i="159"/>
  <c r="AE2" i="159"/>
  <c r="T2" i="159"/>
  <c r="BA2" i="159"/>
  <c r="BA2" i="161" s="1"/>
  <c r="P5" i="161"/>
  <c r="Y6" i="161"/>
  <c r="BC7" i="161"/>
  <c r="AO9" i="161"/>
  <c r="BC9" i="161"/>
  <c r="X10" i="161"/>
  <c r="BB11" i="161"/>
  <c r="AR16" i="161"/>
  <c r="AE24" i="161"/>
  <c r="AZ24" i="161"/>
  <c r="AB25" i="161"/>
  <c r="Y26" i="161"/>
  <c r="AT26" i="161"/>
  <c r="AH3" i="161"/>
  <c r="AQ3" i="161"/>
  <c r="BA3" i="161"/>
  <c r="Q4" i="159"/>
  <c r="Q4" i="161" s="1"/>
  <c r="AA4" i="159"/>
  <c r="AA4" i="161" s="1"/>
  <c r="AL4" i="159"/>
  <c r="AW4" i="159"/>
  <c r="AW4" i="161" s="1"/>
  <c r="O5" i="159"/>
  <c r="Z5" i="159"/>
  <c r="AJ5" i="159"/>
  <c r="AU5" i="159"/>
  <c r="AU5" i="161" s="1"/>
  <c r="BF5" i="159"/>
  <c r="BF5" i="161" s="1"/>
  <c r="X6" i="159"/>
  <c r="AI6" i="159"/>
  <c r="AI6" i="161" s="1"/>
  <c r="AS6" i="159"/>
  <c r="AC8" i="161"/>
  <c r="AM8" i="161"/>
  <c r="AX8" i="161"/>
  <c r="BI8" i="161"/>
  <c r="O9" i="161"/>
  <c r="Q11" i="159"/>
  <c r="Q11" i="161" s="1"/>
  <c r="AD11" i="159"/>
  <c r="AT11" i="159"/>
  <c r="BH11" i="159"/>
  <c r="O13" i="159"/>
  <c r="O13" i="161" s="1"/>
  <c r="AA13" i="159"/>
  <c r="AA13" i="161" s="1"/>
  <c r="AQ13" i="159"/>
  <c r="AQ13" i="161" s="1"/>
  <c r="BE13" i="159"/>
  <c r="O14" i="161"/>
  <c r="AQ14" i="161"/>
  <c r="BE14" i="161"/>
  <c r="N16" i="161"/>
  <c r="AQ16" i="161"/>
  <c r="BE16" i="161"/>
  <c r="AA17" i="161"/>
  <c r="O18" i="161"/>
  <c r="S19" i="161"/>
  <c r="AU19" i="161"/>
  <c r="N20" i="159"/>
  <c r="AP20" i="159"/>
  <c r="BG21" i="161"/>
  <c r="P22" i="161"/>
  <c r="BD23" i="159"/>
  <c r="AV23" i="159"/>
  <c r="AV23" i="161" s="1"/>
  <c r="AN23" i="159"/>
  <c r="AN23" i="161" s="1"/>
  <c r="AF23" i="159"/>
  <c r="AF23" i="161" s="1"/>
  <c r="X23" i="159"/>
  <c r="X23" i="161" s="1"/>
  <c r="P23" i="159"/>
  <c r="BA23" i="159"/>
  <c r="AR23" i="159"/>
  <c r="AI23" i="159"/>
  <c r="Z23" i="159"/>
  <c r="Q23" i="159"/>
  <c r="Q23" i="161" s="1"/>
  <c r="AZ23" i="159"/>
  <c r="AZ23" i="161" s="1"/>
  <c r="AP23" i="159"/>
  <c r="AP23" i="161" s="1"/>
  <c r="AE23" i="159"/>
  <c r="AE23" i="161" s="1"/>
  <c r="U23" i="159"/>
  <c r="U23" i="161" s="1"/>
  <c r="BI23" i="159"/>
  <c r="AY23" i="159"/>
  <c r="AY23" i="161" s="1"/>
  <c r="AO23" i="159"/>
  <c r="AO23" i="161" s="1"/>
  <c r="AD23" i="159"/>
  <c r="AD23" i="161" s="1"/>
  <c r="T23" i="159"/>
  <c r="BH23" i="159"/>
  <c r="BH23" i="161" s="1"/>
  <c r="AX23" i="159"/>
  <c r="AM23" i="159"/>
  <c r="AM23" i="161" s="1"/>
  <c r="AC23" i="159"/>
  <c r="AC23" i="161" s="1"/>
  <c r="S23" i="159"/>
  <c r="S23" i="161" s="1"/>
  <c r="BG23" i="159"/>
  <c r="BG23" i="161" s="1"/>
  <c r="AW23" i="159"/>
  <c r="AW23" i="161" s="1"/>
  <c r="AL23" i="159"/>
  <c r="AB23" i="159"/>
  <c r="AB23" i="161" s="1"/>
  <c r="R23" i="159"/>
  <c r="R23" i="161" s="1"/>
  <c r="BE23" i="159"/>
  <c r="BE23" i="161" s="1"/>
  <c r="AT23" i="159"/>
  <c r="AT23" i="161" s="1"/>
  <c r="AJ23" i="159"/>
  <c r="AJ23" i="161" s="1"/>
  <c r="Y23" i="159"/>
  <c r="N23" i="159"/>
  <c r="AK23" i="159"/>
  <c r="AK23" i="161" s="1"/>
  <c r="AD24" i="161"/>
  <c r="AV25" i="161"/>
  <c r="R27" i="161"/>
  <c r="AA27" i="161"/>
  <c r="BC27" i="161"/>
  <c r="AV34" i="161"/>
  <c r="AD34" i="161"/>
  <c r="AU31" i="161"/>
  <c r="AP35" i="161"/>
  <c r="AY35" i="161"/>
  <c r="BI35" i="161"/>
  <c r="S3" i="161"/>
  <c r="BD3" i="161"/>
  <c r="T4" i="161"/>
  <c r="AE4" i="161"/>
  <c r="AZ4" i="161"/>
  <c r="S5" i="161"/>
  <c r="AN5" i="161"/>
  <c r="AY5" i="161"/>
  <c r="BI5" i="161"/>
  <c r="Q6" i="161"/>
  <c r="AB6" i="161"/>
  <c r="AW6" i="161"/>
  <c r="BH8" i="161"/>
  <c r="BB8" i="161"/>
  <c r="AF9" i="161"/>
  <c r="AT9" i="161"/>
  <c r="AK11" i="161"/>
  <c r="AX11" i="161"/>
  <c r="R12" i="161"/>
  <c r="AA12" i="161"/>
  <c r="AK12" i="161"/>
  <c r="BC12" i="161"/>
  <c r="AH13" i="161"/>
  <c r="AV13" i="161"/>
  <c r="AV14" i="161"/>
  <c r="R15" i="161"/>
  <c r="AV15" i="161"/>
  <c r="R16" i="161"/>
  <c r="AH16" i="161"/>
  <c r="AU16" i="161"/>
  <c r="AH17" i="161"/>
  <c r="AU17" i="161"/>
  <c r="BC18" i="161"/>
  <c r="N19" i="161"/>
  <c r="AF19" i="161"/>
  <c r="AO19" i="161"/>
  <c r="BG19" i="161"/>
  <c r="AZ20" i="161"/>
  <c r="AN21" i="161"/>
  <c r="BE22" i="161"/>
  <c r="V23" i="161"/>
  <c r="AU23" i="161"/>
  <c r="Q25" i="161"/>
  <c r="AC25" i="161"/>
  <c r="AB26" i="161"/>
  <c r="AV26" i="161"/>
  <c r="V27" i="161"/>
  <c r="AE27" i="161"/>
  <c r="AN27" i="161"/>
  <c r="AF30" i="161"/>
  <c r="Q34" i="161"/>
  <c r="Y35" i="161"/>
  <c r="BA35" i="161"/>
  <c r="AH37" i="161"/>
  <c r="T63" i="158"/>
  <c r="AB63" i="158"/>
  <c r="AJ63" i="158"/>
  <c r="AR63" i="158"/>
  <c r="AZ63" i="158"/>
  <c r="U3" i="161"/>
  <c r="AD3" i="161"/>
  <c r="BE3" i="161"/>
  <c r="BD4" i="159"/>
  <c r="BD4" i="161" s="1"/>
  <c r="AV4" i="159"/>
  <c r="AV4" i="161" s="1"/>
  <c r="AN4" i="159"/>
  <c r="AN4" i="161" s="1"/>
  <c r="AF4" i="159"/>
  <c r="X4" i="159"/>
  <c r="X4" i="161" s="1"/>
  <c r="P4" i="159"/>
  <c r="BI4" i="159"/>
  <c r="BA4" i="159"/>
  <c r="BA4" i="161" s="1"/>
  <c r="AS4" i="159"/>
  <c r="AS4" i="161" s="1"/>
  <c r="AK4" i="159"/>
  <c r="AK4" i="161" s="1"/>
  <c r="AC4" i="159"/>
  <c r="U4" i="159"/>
  <c r="V4" i="159"/>
  <c r="AG4" i="159"/>
  <c r="AQ4" i="159"/>
  <c r="BB4" i="159"/>
  <c r="T5" i="159"/>
  <c r="AE5" i="159"/>
  <c r="AE5" i="161" s="1"/>
  <c r="AP5" i="159"/>
  <c r="AZ5" i="159"/>
  <c r="AZ5" i="161" s="1"/>
  <c r="S6" i="161"/>
  <c r="AY6" i="161"/>
  <c r="BI6" i="161"/>
  <c r="AH8" i="161"/>
  <c r="AS8" i="161"/>
  <c r="BC8" i="161"/>
  <c r="AG9" i="161"/>
  <c r="AU9" i="161"/>
  <c r="W11" i="159"/>
  <c r="AL11" i="159"/>
  <c r="S12" i="161"/>
  <c r="AC12" i="161"/>
  <c r="AL12" i="161"/>
  <c r="AU12" i="161"/>
  <c r="BD12" i="161"/>
  <c r="T13" i="159"/>
  <c r="T13" i="161" s="1"/>
  <c r="AI13" i="159"/>
  <c r="T14" i="161"/>
  <c r="T15" i="161"/>
  <c r="AY16" i="161"/>
  <c r="AY17" i="161"/>
  <c r="AM18" i="161"/>
  <c r="BE18" i="161"/>
  <c r="AE20" i="159"/>
  <c r="BD20" i="159"/>
  <c r="R21" i="161"/>
  <c r="AC21" i="161"/>
  <c r="Y22" i="161"/>
  <c r="AN22" i="161"/>
  <c r="BF22" i="161"/>
  <c r="BB23" i="161"/>
  <c r="AN24" i="161"/>
  <c r="AO25" i="161"/>
  <c r="BA26" i="161"/>
  <c r="AH29" i="161"/>
  <c r="AR29" i="161"/>
  <c r="S31" i="161"/>
  <c r="AC31" i="161"/>
  <c r="BI31" i="161"/>
  <c r="BF34" i="161"/>
  <c r="AN3" i="161"/>
  <c r="BF3" i="161"/>
  <c r="W4" i="161"/>
  <c r="AR4" i="161"/>
  <c r="BC4" i="161"/>
  <c r="U5" i="159"/>
  <c r="AF5" i="159"/>
  <c r="AF5" i="161" s="1"/>
  <c r="AQ5" i="159"/>
  <c r="AQ5" i="161" s="1"/>
  <c r="AD6" i="161"/>
  <c r="AO6" i="161"/>
  <c r="AZ6" i="161"/>
  <c r="N8" i="161"/>
  <c r="BD8" i="161"/>
  <c r="BG11" i="159"/>
  <c r="AY11" i="159"/>
  <c r="AQ11" i="159"/>
  <c r="AI11" i="159"/>
  <c r="AA11" i="159"/>
  <c r="S11" i="159"/>
  <c r="BA11" i="159"/>
  <c r="AR11" i="159"/>
  <c r="AH11" i="159"/>
  <c r="Y11" i="159"/>
  <c r="P11" i="159"/>
  <c r="BI11" i="159"/>
  <c r="AZ11" i="159"/>
  <c r="AP11" i="159"/>
  <c r="AG11" i="159"/>
  <c r="X11" i="159"/>
  <c r="O11" i="159"/>
  <c r="BF11" i="159"/>
  <c r="AW11" i="159"/>
  <c r="AW11" i="161" s="1"/>
  <c r="AN11" i="159"/>
  <c r="AE11" i="159"/>
  <c r="V11" i="159"/>
  <c r="Z11" i="159"/>
  <c r="AM11" i="159"/>
  <c r="BC11" i="159"/>
  <c r="AJ13" i="161"/>
  <c r="AZ14" i="161"/>
  <c r="AJ15" i="161"/>
  <c r="AZ15" i="161"/>
  <c r="W16" i="161"/>
  <c r="AJ16" i="161"/>
  <c r="AJ17" i="161"/>
  <c r="BI18" i="161"/>
  <c r="AP21" i="161"/>
  <c r="AA23" i="161"/>
  <c r="BC23" i="161"/>
  <c r="U24" i="161"/>
  <c r="AP24" i="161"/>
  <c r="AH26" i="161"/>
  <c r="Y29" i="161"/>
  <c r="AI29" i="161"/>
  <c r="AS29" i="161"/>
  <c r="AR30" i="161"/>
  <c r="BB30" i="161"/>
  <c r="AL33" i="161"/>
  <c r="BG3" i="161"/>
  <c r="AI4" i="161"/>
  <c r="AT4" i="161"/>
  <c r="BE4" i="161"/>
  <c r="BE5" i="159"/>
  <c r="BE5" i="161" s="1"/>
  <c r="AW5" i="159"/>
  <c r="AW5" i="161" s="1"/>
  <c r="AO5" i="159"/>
  <c r="AO5" i="161" s="1"/>
  <c r="AG5" i="159"/>
  <c r="AG5" i="161" s="1"/>
  <c r="Y5" i="159"/>
  <c r="Q5" i="159"/>
  <c r="Q5" i="161" s="1"/>
  <c r="BB5" i="159"/>
  <c r="BB5" i="161" s="1"/>
  <c r="AT5" i="159"/>
  <c r="AT5" i="161" s="1"/>
  <c r="AL5" i="159"/>
  <c r="AD5" i="159"/>
  <c r="AD5" i="161" s="1"/>
  <c r="V5" i="159"/>
  <c r="N5" i="159"/>
  <c r="W5" i="159"/>
  <c r="W5" i="161" s="1"/>
  <c r="AH5" i="159"/>
  <c r="AH5" i="161" s="1"/>
  <c r="AR5" i="159"/>
  <c r="AR5" i="161" s="1"/>
  <c r="BC5" i="159"/>
  <c r="BC5" i="161" s="1"/>
  <c r="AF6" i="161"/>
  <c r="AQ6" i="161"/>
  <c r="BA6" i="161"/>
  <c r="Z8" i="161"/>
  <c r="AK8" i="161"/>
  <c r="AU8" i="161"/>
  <c r="X9" i="161"/>
  <c r="AL9" i="161"/>
  <c r="AW9" i="161"/>
  <c r="AO11" i="161"/>
  <c r="BD11" i="161"/>
  <c r="AE12" i="161"/>
  <c r="AN12" i="161"/>
  <c r="BF12" i="161"/>
  <c r="BI13" i="159"/>
  <c r="BI13" i="161" s="1"/>
  <c r="BA13" i="159"/>
  <c r="AS13" i="159"/>
  <c r="AS13" i="161" s="1"/>
  <c r="AK13" i="159"/>
  <c r="AC13" i="159"/>
  <c r="U13" i="159"/>
  <c r="U13" i="161" s="1"/>
  <c r="BG13" i="159"/>
  <c r="AX13" i="159"/>
  <c r="AO13" i="159"/>
  <c r="AF13" i="159"/>
  <c r="W13" i="159"/>
  <c r="N13" i="159"/>
  <c r="BF13" i="159"/>
  <c r="BF13" i="161" s="1"/>
  <c r="AW13" i="159"/>
  <c r="AW13" i="161" s="1"/>
  <c r="AN13" i="159"/>
  <c r="AN13" i="161" s="1"/>
  <c r="AE13" i="159"/>
  <c r="V13" i="159"/>
  <c r="BD13" i="159"/>
  <c r="BD13" i="161" s="1"/>
  <c r="AU13" i="159"/>
  <c r="AU13" i="161" s="1"/>
  <c r="AL13" i="159"/>
  <c r="AB13" i="159"/>
  <c r="S13" i="159"/>
  <c r="Y13" i="159"/>
  <c r="AM13" i="159"/>
  <c r="AM13" i="161" s="1"/>
  <c r="BB13" i="159"/>
  <c r="BB13" i="161" s="1"/>
  <c r="BD14" i="161"/>
  <c r="Y14" i="161"/>
  <c r="AM14" i="161"/>
  <c r="BD15" i="161"/>
  <c r="Y15" i="161"/>
  <c r="BC16" i="161"/>
  <c r="AL16" i="161"/>
  <c r="BA16" i="161"/>
  <c r="AL17" i="161"/>
  <c r="AS18" i="161"/>
  <c r="BI20" i="159"/>
  <c r="BA20" i="159"/>
  <c r="AS20" i="159"/>
  <c r="AK20" i="159"/>
  <c r="AC20" i="159"/>
  <c r="U20" i="159"/>
  <c r="BB20" i="159"/>
  <c r="AR20" i="159"/>
  <c r="AI20" i="159"/>
  <c r="Z20" i="159"/>
  <c r="Q20" i="159"/>
  <c r="BH20" i="159"/>
  <c r="AX20" i="159"/>
  <c r="AN20" i="159"/>
  <c r="AD20" i="159"/>
  <c r="S20" i="159"/>
  <c r="BG20" i="159"/>
  <c r="AW20" i="159"/>
  <c r="AM20" i="159"/>
  <c r="AB20" i="159"/>
  <c r="R20" i="159"/>
  <c r="BF20" i="159"/>
  <c r="AV20" i="159"/>
  <c r="AL20" i="159"/>
  <c r="AA20" i="159"/>
  <c r="P20" i="159"/>
  <c r="BE20" i="159"/>
  <c r="AU20" i="159"/>
  <c r="AJ20" i="159"/>
  <c r="Y20" i="159"/>
  <c r="O20" i="159"/>
  <c r="BC20" i="159"/>
  <c r="AQ20" i="159"/>
  <c r="AG20" i="159"/>
  <c r="W20" i="159"/>
  <c r="AH20" i="159"/>
  <c r="AT22" i="161"/>
  <c r="BH22" i="161"/>
  <c r="AG23" i="161"/>
  <c r="BF23" i="161"/>
  <c r="AS24" i="161"/>
  <c r="U25" i="161"/>
  <c r="AJ26" i="161"/>
  <c r="BD26" i="161"/>
  <c r="AQ32" i="161"/>
  <c r="AC33" i="161"/>
  <c r="AN33" i="161"/>
  <c r="AY33" i="161"/>
  <c r="X3" i="161"/>
  <c r="AG3" i="161"/>
  <c r="O4" i="159"/>
  <c r="Z4" i="159"/>
  <c r="AJ4" i="159"/>
  <c r="AU4" i="159"/>
  <c r="AU4" i="161" s="1"/>
  <c r="BF4" i="159"/>
  <c r="BF4" i="161" s="1"/>
  <c r="X5" i="159"/>
  <c r="X5" i="161" s="1"/>
  <c r="AI5" i="159"/>
  <c r="AI5" i="161" s="1"/>
  <c r="AS5" i="159"/>
  <c r="AS5" i="161" s="1"/>
  <c r="BD5" i="159"/>
  <c r="BD5" i="161" s="1"/>
  <c r="BF6" i="159"/>
  <c r="AX6" i="159"/>
  <c r="AP6" i="159"/>
  <c r="AP6" i="161" s="1"/>
  <c r="AH6" i="159"/>
  <c r="Z6" i="159"/>
  <c r="R6" i="159"/>
  <c r="BC6" i="159"/>
  <c r="AU6" i="159"/>
  <c r="AM6" i="159"/>
  <c r="AM6" i="161" s="1"/>
  <c r="AE6" i="159"/>
  <c r="W6" i="159"/>
  <c r="O6" i="159"/>
  <c r="V6" i="159"/>
  <c r="AG6" i="159"/>
  <c r="AG6" i="161" s="1"/>
  <c r="AR6" i="159"/>
  <c r="AR6" i="161" s="1"/>
  <c r="BB6" i="159"/>
  <c r="BB6" i="161" s="1"/>
  <c r="P8" i="161"/>
  <c r="AL8" i="161"/>
  <c r="N9" i="161"/>
  <c r="AM9" i="161"/>
  <c r="N11" i="159"/>
  <c r="AC11" i="159"/>
  <c r="AS11" i="159"/>
  <c r="BE11" i="159"/>
  <c r="Z13" i="159"/>
  <c r="AP13" i="159"/>
  <c r="BC13" i="159"/>
  <c r="Z14" i="161"/>
  <c r="AP14" i="161"/>
  <c r="Z15" i="161"/>
  <c r="BB15" i="161"/>
  <c r="Z16" i="161"/>
  <c r="AP16" i="161"/>
  <c r="BB16" i="161"/>
  <c r="BB17" i="161"/>
  <c r="N18" i="161"/>
  <c r="AB18" i="161"/>
  <c r="AT18" i="161"/>
  <c r="AO20" i="159"/>
  <c r="N22" i="161"/>
  <c r="AV22" i="161"/>
  <c r="AH23" i="161"/>
  <c r="Q26" i="161"/>
  <c r="BF26" i="161"/>
  <c r="AA29" i="161"/>
  <c r="AK29" i="161"/>
  <c r="BG29" i="161"/>
  <c r="W32" i="161"/>
  <c r="AH32" i="161"/>
  <c r="AR32" i="161"/>
  <c r="BB32" i="161"/>
  <c r="P17" i="161"/>
  <c r="Z17" i="161"/>
  <c r="AI17" i="161"/>
  <c r="AR17" i="161"/>
  <c r="P18" i="161"/>
  <c r="Z18" i="161"/>
  <c r="AK18" i="161"/>
  <c r="AV18" i="161"/>
  <c r="AE19" i="161"/>
  <c r="BF19" i="161"/>
  <c r="T21" i="161"/>
  <c r="AE21" i="161"/>
  <c r="AY21" i="161"/>
  <c r="R22" i="161"/>
  <c r="AB22" i="161"/>
  <c r="BE24" i="159"/>
  <c r="AW24" i="159"/>
  <c r="AO24" i="159"/>
  <c r="AG24" i="159"/>
  <c r="Y24" i="159"/>
  <c r="Q24" i="159"/>
  <c r="BA24" i="159"/>
  <c r="AR24" i="159"/>
  <c r="AR24" i="161" s="1"/>
  <c r="AI24" i="159"/>
  <c r="Z24" i="159"/>
  <c r="P24" i="159"/>
  <c r="P24" i="161" s="1"/>
  <c r="V24" i="159"/>
  <c r="AF24" i="159"/>
  <c r="AF24" i="161" s="1"/>
  <c r="AQ24" i="159"/>
  <c r="AQ24" i="161" s="1"/>
  <c r="BB24" i="159"/>
  <c r="T25" i="161"/>
  <c r="AN25" i="161"/>
  <c r="P26" i="159"/>
  <c r="Z26" i="159"/>
  <c r="AK26" i="159"/>
  <c r="AU26" i="159"/>
  <c r="AU26" i="161" s="1"/>
  <c r="BE26" i="159"/>
  <c r="BE26" i="161" s="1"/>
  <c r="BH27" i="161"/>
  <c r="U27" i="161"/>
  <c r="AD27" i="161"/>
  <c r="AV27" i="161"/>
  <c r="BE27" i="161"/>
  <c r="P29" i="161"/>
  <c r="Z29" i="161"/>
  <c r="AJ29" i="161"/>
  <c r="AU29" i="161"/>
  <c r="V30" i="161"/>
  <c r="AG30" i="161"/>
  <c r="AQ30" i="161"/>
  <c r="AB31" i="161"/>
  <c r="BH31" i="161"/>
  <c r="AI32" i="161"/>
  <c r="AS32" i="161"/>
  <c r="BC32" i="161"/>
  <c r="AE33" i="161"/>
  <c r="AO33" i="161"/>
  <c r="R34" i="159"/>
  <c r="AH34" i="159"/>
  <c r="Q35" i="161"/>
  <c r="Z35" i="161"/>
  <c r="AS35" i="161"/>
  <c r="AJ37" i="161"/>
  <c r="AT32" i="161"/>
  <c r="BD32" i="161"/>
  <c r="V33" i="161"/>
  <c r="AF33" i="161"/>
  <c r="U34" i="161"/>
  <c r="AJ34" i="161"/>
  <c r="AW34" i="161"/>
  <c r="BC37" i="161"/>
  <c r="S40" i="161"/>
  <c r="AI40" i="161"/>
  <c r="T3" i="159"/>
  <c r="T3" i="161" s="1"/>
  <c r="AB3" i="159"/>
  <c r="AB3" i="161" s="1"/>
  <c r="AJ3" i="159"/>
  <c r="AR3" i="159"/>
  <c r="AZ3" i="159"/>
  <c r="Q8" i="159"/>
  <c r="Y8" i="159"/>
  <c r="AG8" i="159"/>
  <c r="AG8" i="161" s="1"/>
  <c r="AO8" i="159"/>
  <c r="AW8" i="159"/>
  <c r="BE8" i="159"/>
  <c r="R9" i="159"/>
  <c r="Z9" i="159"/>
  <c r="AH9" i="159"/>
  <c r="AP9" i="159"/>
  <c r="AX9" i="159"/>
  <c r="BF9" i="159"/>
  <c r="BH12" i="161"/>
  <c r="U12" i="161"/>
  <c r="AD12" i="161"/>
  <c r="AV12" i="161"/>
  <c r="S14" i="159"/>
  <c r="AB14" i="159"/>
  <c r="AK14" i="159"/>
  <c r="AK14" i="161" s="1"/>
  <c r="AU14" i="159"/>
  <c r="AU14" i="161" s="1"/>
  <c r="S15" i="159"/>
  <c r="AB15" i="159"/>
  <c r="AK15" i="159"/>
  <c r="AT15" i="159"/>
  <c r="S16" i="159"/>
  <c r="AB16" i="159"/>
  <c r="AK16" i="159"/>
  <c r="AT16" i="159"/>
  <c r="S17" i="159"/>
  <c r="AB17" i="159"/>
  <c r="AK17" i="159"/>
  <c r="AT17" i="159"/>
  <c r="R18" i="159"/>
  <c r="AD18" i="159"/>
  <c r="AN18" i="159"/>
  <c r="AX18" i="159"/>
  <c r="AG19" i="161"/>
  <c r="AY19" i="161"/>
  <c r="BB21" i="159"/>
  <c r="AT21" i="159"/>
  <c r="AL21" i="159"/>
  <c r="AD21" i="159"/>
  <c r="V21" i="159"/>
  <c r="N21" i="159"/>
  <c r="BA21" i="159"/>
  <c r="AR21" i="159"/>
  <c r="AI21" i="159"/>
  <c r="Z21" i="159"/>
  <c r="Q21" i="159"/>
  <c r="W21" i="159"/>
  <c r="AG21" i="159"/>
  <c r="AQ21" i="159"/>
  <c r="BC21" i="159"/>
  <c r="T22" i="159"/>
  <c r="AD22" i="159"/>
  <c r="AO22" i="159"/>
  <c r="AY22" i="159"/>
  <c r="N24" i="159"/>
  <c r="X24" i="159"/>
  <c r="X24" i="161" s="1"/>
  <c r="AJ24" i="159"/>
  <c r="AJ24" i="161" s="1"/>
  <c r="AT24" i="159"/>
  <c r="BD24" i="159"/>
  <c r="BD24" i="161" s="1"/>
  <c r="BF25" i="159"/>
  <c r="AX25" i="159"/>
  <c r="AP25" i="159"/>
  <c r="AH25" i="159"/>
  <c r="Z25" i="159"/>
  <c r="R25" i="159"/>
  <c r="BA25" i="159"/>
  <c r="AR25" i="159"/>
  <c r="AR25" i="161" s="1"/>
  <c r="AI25" i="159"/>
  <c r="Y25" i="159"/>
  <c r="P25" i="159"/>
  <c r="V25" i="159"/>
  <c r="AF25" i="159"/>
  <c r="AQ25" i="159"/>
  <c r="BB25" i="159"/>
  <c r="R26" i="159"/>
  <c r="R26" i="161" s="1"/>
  <c r="AC26" i="159"/>
  <c r="AM26" i="159"/>
  <c r="AM26" i="161" s="1"/>
  <c r="AW26" i="159"/>
  <c r="AW26" i="161" s="1"/>
  <c r="BH26" i="159"/>
  <c r="BH26" i="161" s="1"/>
  <c r="R29" i="161"/>
  <c r="AB29" i="161"/>
  <c r="BH29" i="161"/>
  <c r="N30" i="161"/>
  <c r="AI30" i="161"/>
  <c r="AS30" i="161"/>
  <c r="T31" i="161"/>
  <c r="AE31" i="161"/>
  <c r="AP31" i="161"/>
  <c r="AZ31" i="161"/>
  <c r="P32" i="161"/>
  <c r="AA32" i="161"/>
  <c r="AK32" i="161"/>
  <c r="AU32" i="161"/>
  <c r="BG32" i="161"/>
  <c r="W33" i="161"/>
  <c r="BB33" i="161"/>
  <c r="AK34" i="161"/>
  <c r="S35" i="161"/>
  <c r="AC35" i="161"/>
  <c r="AL35" i="161"/>
  <c r="AU35" i="161"/>
  <c r="BD35" i="161"/>
  <c r="BH36" i="161"/>
  <c r="X37" i="161"/>
  <c r="BD37" i="161"/>
  <c r="AH19" i="161"/>
  <c r="AQ19" i="161"/>
  <c r="BA19" i="161"/>
  <c r="AH21" i="161"/>
  <c r="U22" i="161"/>
  <c r="AF22" i="161"/>
  <c r="AZ22" i="161"/>
  <c r="O24" i="161"/>
  <c r="AA24" i="161"/>
  <c r="AK24" i="161"/>
  <c r="AU24" i="161"/>
  <c r="AG25" i="161"/>
  <c r="AS25" i="161"/>
  <c r="BC25" i="161"/>
  <c r="AD26" i="161"/>
  <c r="AN26" i="161"/>
  <c r="AX26" i="161"/>
  <c r="O27" i="161"/>
  <c r="AG27" i="161"/>
  <c r="AY27" i="161"/>
  <c r="BI27" i="161"/>
  <c r="S29" i="161"/>
  <c r="AC29" i="161"/>
  <c r="AO29" i="161"/>
  <c r="AJ30" i="161"/>
  <c r="AT30" i="161"/>
  <c r="V31" i="161"/>
  <c r="AG31" i="161"/>
  <c r="AX32" i="161"/>
  <c r="BH32" i="161"/>
  <c r="AS33" i="161"/>
  <c r="Y34" i="161"/>
  <c r="AM34" i="161"/>
  <c r="BH35" i="161"/>
  <c r="AD35" i="161"/>
  <c r="R39" i="161"/>
  <c r="BH39" i="161"/>
  <c r="AI8" i="161"/>
  <c r="AQ8" i="161"/>
  <c r="BG8" i="161"/>
  <c r="T9" i="159"/>
  <c r="AB9" i="159"/>
  <c r="AJ9" i="159"/>
  <c r="AJ9" i="161" s="1"/>
  <c r="AR9" i="159"/>
  <c r="AR9" i="161" s="1"/>
  <c r="AZ9" i="159"/>
  <c r="BH9" i="159"/>
  <c r="BH9" i="161" s="1"/>
  <c r="W12" i="161"/>
  <c r="AF12" i="161"/>
  <c r="AO12" i="161"/>
  <c r="BB14" i="159"/>
  <c r="AT14" i="159"/>
  <c r="AL14" i="159"/>
  <c r="AD14" i="159"/>
  <c r="V14" i="159"/>
  <c r="N14" i="159"/>
  <c r="U14" i="159"/>
  <c r="AE14" i="159"/>
  <c r="AE14" i="161" s="1"/>
  <c r="AN14" i="159"/>
  <c r="AW14" i="159"/>
  <c r="AW14" i="161" s="1"/>
  <c r="BF14" i="159"/>
  <c r="BC15" i="159"/>
  <c r="AU15" i="159"/>
  <c r="AU15" i="161" s="1"/>
  <c r="AM15" i="159"/>
  <c r="AE15" i="159"/>
  <c r="W15" i="159"/>
  <c r="O15" i="159"/>
  <c r="U15" i="159"/>
  <c r="AD15" i="159"/>
  <c r="AN15" i="159"/>
  <c r="AW15" i="159"/>
  <c r="BF15" i="159"/>
  <c r="BD16" i="159"/>
  <c r="AV16" i="159"/>
  <c r="AV16" i="161" s="1"/>
  <c r="AN16" i="159"/>
  <c r="AF16" i="159"/>
  <c r="X16" i="159"/>
  <c r="P16" i="159"/>
  <c r="U16" i="159"/>
  <c r="AD16" i="159"/>
  <c r="AM16" i="159"/>
  <c r="AM16" i="161" s="1"/>
  <c r="AW16" i="159"/>
  <c r="BF16" i="159"/>
  <c r="BF17" i="159"/>
  <c r="BE17" i="159"/>
  <c r="AW17" i="159"/>
  <c r="AO17" i="159"/>
  <c r="AG17" i="159"/>
  <c r="Y17" i="159"/>
  <c r="Q17" i="159"/>
  <c r="U17" i="159"/>
  <c r="AD17" i="159"/>
  <c r="AM17" i="159"/>
  <c r="AV17" i="159"/>
  <c r="BG17" i="159"/>
  <c r="BG18" i="159"/>
  <c r="BG18" i="161" s="1"/>
  <c r="AY18" i="159"/>
  <c r="AQ18" i="159"/>
  <c r="AI18" i="159"/>
  <c r="AI18" i="161" s="1"/>
  <c r="AA18" i="159"/>
  <c r="S18" i="159"/>
  <c r="BD18" i="159"/>
  <c r="AU18" i="159"/>
  <c r="AL18" i="159"/>
  <c r="AC18" i="159"/>
  <c r="T18" i="159"/>
  <c r="V18" i="159"/>
  <c r="AF18" i="159"/>
  <c r="AP18" i="159"/>
  <c r="BA18" i="159"/>
  <c r="BA18" i="161" s="1"/>
  <c r="Q19" i="161"/>
  <c r="Z19" i="161"/>
  <c r="AS19" i="161"/>
  <c r="BB19" i="161"/>
  <c r="O21" i="161"/>
  <c r="Y21" i="161"/>
  <c r="AU21" i="161"/>
  <c r="BE21" i="161"/>
  <c r="BC22" i="159"/>
  <c r="AU22" i="159"/>
  <c r="AU22" i="161" s="1"/>
  <c r="AM22" i="159"/>
  <c r="AE22" i="159"/>
  <c r="W22" i="159"/>
  <c r="O22" i="159"/>
  <c r="BA22" i="159"/>
  <c r="AR22" i="159"/>
  <c r="AI22" i="159"/>
  <c r="Z22" i="159"/>
  <c r="Q22" i="159"/>
  <c r="V22" i="159"/>
  <c r="AG22" i="159"/>
  <c r="AG22" i="161" s="1"/>
  <c r="AQ22" i="159"/>
  <c r="BB22" i="159"/>
  <c r="R24" i="159"/>
  <c r="AB24" i="159"/>
  <c r="AL24" i="159"/>
  <c r="AV24" i="159"/>
  <c r="AV24" i="161" s="1"/>
  <c r="BG24" i="159"/>
  <c r="X25" i="161"/>
  <c r="AJ25" i="161"/>
  <c r="BD25" i="161"/>
  <c r="U26" i="159"/>
  <c r="AE26" i="159"/>
  <c r="AE26" i="161" s="1"/>
  <c r="AO26" i="159"/>
  <c r="AH27" i="161"/>
  <c r="AQ27" i="161"/>
  <c r="BA27" i="161"/>
  <c r="AF29" i="161"/>
  <c r="AP29" i="161"/>
  <c r="AZ29" i="161"/>
  <c r="AA30" i="161"/>
  <c r="AK30" i="161"/>
  <c r="AV30" i="161"/>
  <c r="BG30" i="161"/>
  <c r="AH31" i="161"/>
  <c r="S32" i="161"/>
  <c r="AN32" i="161"/>
  <c r="AY32" i="161"/>
  <c r="AJ33" i="161"/>
  <c r="AT33" i="161"/>
  <c r="BD33" i="161"/>
  <c r="BG34" i="159"/>
  <c r="AY34" i="159"/>
  <c r="AQ34" i="159"/>
  <c r="AQ34" i="161" s="1"/>
  <c r="AI34" i="159"/>
  <c r="AI34" i="161" s="1"/>
  <c r="AA34" i="159"/>
  <c r="S34" i="159"/>
  <c r="BD34" i="159"/>
  <c r="AU34" i="159"/>
  <c r="AL34" i="159"/>
  <c r="AC34" i="159"/>
  <c r="T34" i="159"/>
  <c r="BI34" i="159"/>
  <c r="BI34" i="161" s="1"/>
  <c r="AZ34" i="159"/>
  <c r="AP34" i="159"/>
  <c r="AG34" i="159"/>
  <c r="AG34" i="161" s="1"/>
  <c r="X34" i="159"/>
  <c r="X34" i="161" s="1"/>
  <c r="O34" i="159"/>
  <c r="O34" i="161" s="1"/>
  <c r="BH34" i="159"/>
  <c r="AX34" i="159"/>
  <c r="AO34" i="159"/>
  <c r="AO34" i="161" s="1"/>
  <c r="AF34" i="159"/>
  <c r="W34" i="159"/>
  <c r="N34" i="159"/>
  <c r="Z34" i="159"/>
  <c r="AN34" i="159"/>
  <c r="BC34" i="159"/>
  <c r="AY36" i="161"/>
  <c r="BA37" i="161"/>
  <c r="AM3" i="161"/>
  <c r="AU3" i="161"/>
  <c r="T8" i="159"/>
  <c r="AB8" i="159"/>
  <c r="AJ8" i="159"/>
  <c r="AJ8" i="161" s="1"/>
  <c r="AR8" i="159"/>
  <c r="AZ8" i="159"/>
  <c r="AZ8" i="161" s="1"/>
  <c r="U9" i="159"/>
  <c r="AC9" i="159"/>
  <c r="AK9" i="159"/>
  <c r="AS9" i="159"/>
  <c r="BA9" i="159"/>
  <c r="AG12" i="161"/>
  <c r="AP12" i="161"/>
  <c r="AY12" i="161"/>
  <c r="BI12" i="161"/>
  <c r="W14" i="159"/>
  <c r="AF14" i="159"/>
  <c r="AO14" i="159"/>
  <c r="AX14" i="159"/>
  <c r="BG14" i="159"/>
  <c r="V15" i="159"/>
  <c r="AF15" i="159"/>
  <c r="AO15" i="159"/>
  <c r="AX15" i="159"/>
  <c r="BG15" i="159"/>
  <c r="V16" i="159"/>
  <c r="AE16" i="159"/>
  <c r="AE16" i="161" s="1"/>
  <c r="AO16" i="159"/>
  <c r="AX16" i="159"/>
  <c r="BG16" i="159"/>
  <c r="V17" i="159"/>
  <c r="AE17" i="159"/>
  <c r="AN17" i="159"/>
  <c r="AX17" i="159"/>
  <c r="BH17" i="159"/>
  <c r="W18" i="159"/>
  <c r="AG18" i="159"/>
  <c r="AR18" i="159"/>
  <c r="AR18" i="161" s="1"/>
  <c r="BB18" i="159"/>
  <c r="P21" i="161"/>
  <c r="AK21" i="161"/>
  <c r="AV21" i="161"/>
  <c r="X22" i="159"/>
  <c r="AH22" i="159"/>
  <c r="AS22" i="159"/>
  <c r="BD22" i="159"/>
  <c r="S24" i="159"/>
  <c r="AC24" i="159"/>
  <c r="AM24" i="159"/>
  <c r="AX24" i="159"/>
  <c r="BH24" i="159"/>
  <c r="BE25" i="161"/>
  <c r="BG26" i="159"/>
  <c r="AY26" i="159"/>
  <c r="AQ26" i="159"/>
  <c r="AQ26" i="161" s="1"/>
  <c r="AI26" i="159"/>
  <c r="AA26" i="159"/>
  <c r="AA26" i="161" s="1"/>
  <c r="S26" i="159"/>
  <c r="BI26" i="159"/>
  <c r="AZ26" i="159"/>
  <c r="AP26" i="159"/>
  <c r="AP26" i="161" s="1"/>
  <c r="AG26" i="159"/>
  <c r="AG26" i="161" s="1"/>
  <c r="X26" i="159"/>
  <c r="O26" i="159"/>
  <c r="O26" i="161" s="1"/>
  <c r="V26" i="159"/>
  <c r="AF26" i="159"/>
  <c r="AR26" i="159"/>
  <c r="BB26" i="159"/>
  <c r="Z27" i="161"/>
  <c r="AI27" i="161"/>
  <c r="BB27" i="161"/>
  <c r="R30" i="161"/>
  <c r="AB30" i="161"/>
  <c r="AL30" i="161"/>
  <c r="AX30" i="161"/>
  <c r="BH30" i="161"/>
  <c r="N31" i="161"/>
  <c r="Y31" i="161"/>
  <c r="AI31" i="161"/>
  <c r="AS31" i="161"/>
  <c r="BC31" i="161"/>
  <c r="AE32" i="161"/>
  <c r="AP32" i="161"/>
  <c r="AZ32" i="161"/>
  <c r="AK33" i="161"/>
  <c r="BG33" i="161"/>
  <c r="AR34" i="161"/>
  <c r="BE34" i="161"/>
  <c r="AA38" i="161"/>
  <c r="AM35" i="161"/>
  <c r="BE35" i="161"/>
  <c r="S36" i="161"/>
  <c r="AU36" i="161"/>
  <c r="T37" i="161"/>
  <c r="AD37" i="161"/>
  <c r="O38" i="161"/>
  <c r="X38" i="161"/>
  <c r="AG38" i="161"/>
  <c r="AP38" i="161"/>
  <c r="AY38" i="161"/>
  <c r="BC39" i="161"/>
  <c r="Z40" i="161"/>
  <c r="BI40" i="161"/>
  <c r="S41" i="161"/>
  <c r="AO41" i="161"/>
  <c r="Y42" i="159"/>
  <c r="AW42" i="159"/>
  <c r="AK43" i="161"/>
  <c r="AZ43" i="161"/>
  <c r="AD44" i="159"/>
  <c r="BI32" i="161"/>
  <c r="X33" i="161"/>
  <c r="AG33" i="161"/>
  <c r="AQ33" i="161"/>
  <c r="AZ33" i="161"/>
  <c r="AE35" i="161"/>
  <c r="AN35" i="161"/>
  <c r="AW35" i="161"/>
  <c r="BF35" i="161"/>
  <c r="BI36" i="159"/>
  <c r="BA36" i="159"/>
  <c r="AS36" i="159"/>
  <c r="AK36" i="159"/>
  <c r="AC36" i="159"/>
  <c r="U36" i="159"/>
  <c r="T36" i="159"/>
  <c r="AD36" i="159"/>
  <c r="AM36" i="159"/>
  <c r="AV36" i="159"/>
  <c r="BE36" i="159"/>
  <c r="U37" i="159"/>
  <c r="AE37" i="159"/>
  <c r="AP37" i="159"/>
  <c r="P38" i="161"/>
  <c r="Y38" i="161"/>
  <c r="AH38" i="161"/>
  <c r="BA38" i="161"/>
  <c r="BD39" i="161"/>
  <c r="AE40" i="161"/>
  <c r="AP41" i="161"/>
  <c r="AA42" i="159"/>
  <c r="AZ42" i="159"/>
  <c r="Z43" i="161"/>
  <c r="BF44" i="159"/>
  <c r="AX44" i="159"/>
  <c r="AP44" i="159"/>
  <c r="AH44" i="159"/>
  <c r="Z44" i="159"/>
  <c r="R44" i="159"/>
  <c r="BG44" i="159"/>
  <c r="AW44" i="159"/>
  <c r="AN44" i="159"/>
  <c r="AE44" i="159"/>
  <c r="V44" i="159"/>
  <c r="BD44" i="159"/>
  <c r="AU44" i="159"/>
  <c r="AL44" i="159"/>
  <c r="AC44" i="159"/>
  <c r="T44" i="159"/>
  <c r="AZ44" i="159"/>
  <c r="AM44" i="159"/>
  <c r="AA44" i="159"/>
  <c r="AA44" i="161" s="1"/>
  <c r="O44" i="159"/>
  <c r="AY44" i="159"/>
  <c r="AY44" i="161" s="1"/>
  <c r="AK44" i="159"/>
  <c r="Y44" i="159"/>
  <c r="N44" i="159"/>
  <c r="BI44" i="159"/>
  <c r="AV44" i="159"/>
  <c r="AJ44" i="159"/>
  <c r="X44" i="159"/>
  <c r="BC44" i="159"/>
  <c r="AR44" i="159"/>
  <c r="AF44" i="159"/>
  <c r="S44" i="159"/>
  <c r="S44" i="161" s="1"/>
  <c r="AG44" i="159"/>
  <c r="BE44" i="159"/>
  <c r="AR33" i="161"/>
  <c r="BA33" i="161"/>
  <c r="AF35" i="161"/>
  <c r="AX35" i="161"/>
  <c r="V36" i="161"/>
  <c r="AE36" i="161"/>
  <c r="AW36" i="161"/>
  <c r="BF36" i="161"/>
  <c r="BG37" i="159"/>
  <c r="AY37" i="159"/>
  <c r="AQ37" i="159"/>
  <c r="AI37" i="159"/>
  <c r="AA37" i="159"/>
  <c r="S37" i="159"/>
  <c r="BH37" i="159"/>
  <c r="AX37" i="159"/>
  <c r="AO37" i="159"/>
  <c r="AO37" i="161" s="1"/>
  <c r="AF37" i="159"/>
  <c r="AF37" i="161" s="1"/>
  <c r="W37" i="159"/>
  <c r="W37" i="161" s="1"/>
  <c r="N37" i="159"/>
  <c r="V37" i="159"/>
  <c r="AG37" i="159"/>
  <c r="AR37" i="159"/>
  <c r="BB37" i="159"/>
  <c r="Z38" i="161"/>
  <c r="BB38" i="161"/>
  <c r="Z39" i="161"/>
  <c r="AJ39" i="161"/>
  <c r="O40" i="161"/>
  <c r="AF40" i="161"/>
  <c r="AU40" i="161"/>
  <c r="AB42" i="159"/>
  <c r="N43" i="161"/>
  <c r="AA43" i="161"/>
  <c r="BB43" i="161"/>
  <c r="AI44" i="161"/>
  <c r="BH44" i="161"/>
  <c r="AI54" i="161"/>
  <c r="AS54" i="161"/>
  <c r="AT38" i="161"/>
  <c r="BC38" i="161"/>
  <c r="AL39" i="161"/>
  <c r="AW39" i="161"/>
  <c r="AH40" i="161"/>
  <c r="AY40" i="161"/>
  <c r="AW41" i="161"/>
  <c r="BD42" i="159"/>
  <c r="AV42" i="159"/>
  <c r="AN42" i="159"/>
  <c r="AF42" i="159"/>
  <c r="X42" i="159"/>
  <c r="P42" i="159"/>
  <c r="BG42" i="159"/>
  <c r="AX42" i="159"/>
  <c r="AO42" i="159"/>
  <c r="AE42" i="159"/>
  <c r="V42" i="159"/>
  <c r="BE42" i="159"/>
  <c r="AU42" i="159"/>
  <c r="AL42" i="159"/>
  <c r="AC42" i="159"/>
  <c r="AC42" i="161" s="1"/>
  <c r="T42" i="159"/>
  <c r="BF42" i="159"/>
  <c r="AS42" i="159"/>
  <c r="AH42" i="159"/>
  <c r="U42" i="159"/>
  <c r="BC42" i="159"/>
  <c r="AR42" i="159"/>
  <c r="AG42" i="159"/>
  <c r="S42" i="159"/>
  <c r="BB42" i="159"/>
  <c r="AQ42" i="159"/>
  <c r="AD42" i="159"/>
  <c r="R42" i="159"/>
  <c r="AY42" i="159"/>
  <c r="AK42" i="159"/>
  <c r="Z42" i="159"/>
  <c r="N42" i="159"/>
  <c r="AI42" i="159"/>
  <c r="BH42" i="159"/>
  <c r="AQ43" i="161"/>
  <c r="BC43" i="161"/>
  <c r="AO44" i="161"/>
  <c r="AF45" i="161"/>
  <c r="AC48" i="161"/>
  <c r="T49" i="161"/>
  <c r="AP49" i="161"/>
  <c r="AG50" i="161"/>
  <c r="BG50" i="161"/>
  <c r="AX51" i="161"/>
  <c r="N52" i="161"/>
  <c r="AJ42" i="159"/>
  <c r="BI42" i="159"/>
  <c r="AR43" i="161"/>
  <c r="Q44" i="159"/>
  <c r="AQ44" i="159"/>
  <c r="BB35" i="161"/>
  <c r="Y36" i="161"/>
  <c r="AH36" i="161"/>
  <c r="AQ36" i="161"/>
  <c r="AZ36" i="161"/>
  <c r="Z37" i="161"/>
  <c r="AK37" i="161"/>
  <c r="BH38" i="161"/>
  <c r="U38" i="161"/>
  <c r="AD38" i="161"/>
  <c r="AM38" i="161"/>
  <c r="AV38" i="161"/>
  <c r="BE38" i="161"/>
  <c r="AE39" i="161"/>
  <c r="AO39" i="161"/>
  <c r="U40" i="161"/>
  <c r="BC40" i="161"/>
  <c r="AF41" i="161"/>
  <c r="AZ41" i="161"/>
  <c r="O42" i="159"/>
  <c r="AM42" i="159"/>
  <c r="R43" i="161"/>
  <c r="AF43" i="161"/>
  <c r="U44" i="161"/>
  <c r="AS44" i="161"/>
  <c r="AP47" i="161"/>
  <c r="T12" i="159"/>
  <c r="CI12" i="159" s="1"/>
  <c r="AB12" i="159"/>
  <c r="AJ12" i="159"/>
  <c r="AR12" i="159"/>
  <c r="AZ12" i="159"/>
  <c r="R19" i="161"/>
  <c r="AA19" i="161"/>
  <c r="AK19" i="161"/>
  <c r="BC19" i="161"/>
  <c r="N27" i="161"/>
  <c r="W27" i="161"/>
  <c r="BB29" i="159"/>
  <c r="AT29" i="159"/>
  <c r="AL29" i="159"/>
  <c r="AD29" i="159"/>
  <c r="V29" i="159"/>
  <c r="V29" i="161" s="1"/>
  <c r="N29" i="159"/>
  <c r="U29" i="159"/>
  <c r="AE29" i="159"/>
  <c r="AN29" i="159"/>
  <c r="AW29" i="159"/>
  <c r="BF29" i="159"/>
  <c r="BC30" i="159"/>
  <c r="AU30" i="159"/>
  <c r="AM30" i="159"/>
  <c r="AE30" i="159"/>
  <c r="AE30" i="161" s="1"/>
  <c r="W30" i="159"/>
  <c r="O30" i="159"/>
  <c r="U30" i="159"/>
  <c r="AD30" i="159"/>
  <c r="AN30" i="159"/>
  <c r="AW30" i="159"/>
  <c r="BF30" i="159"/>
  <c r="BD31" i="159"/>
  <c r="BD31" i="161" s="1"/>
  <c r="AV31" i="159"/>
  <c r="AN31" i="159"/>
  <c r="AN31" i="161" s="1"/>
  <c r="AF31" i="159"/>
  <c r="X31" i="159"/>
  <c r="P31" i="159"/>
  <c r="U31" i="159"/>
  <c r="AD31" i="159"/>
  <c r="AD31" i="161" s="1"/>
  <c r="AM31" i="159"/>
  <c r="AW31" i="159"/>
  <c r="AW31" i="161" s="1"/>
  <c r="BF31" i="159"/>
  <c r="BE32" i="159"/>
  <c r="AW32" i="159"/>
  <c r="AO32" i="159"/>
  <c r="AG32" i="159"/>
  <c r="Y32" i="159"/>
  <c r="Q32" i="159"/>
  <c r="U32" i="159"/>
  <c r="AD32" i="159"/>
  <c r="AM32" i="159"/>
  <c r="AV32" i="159"/>
  <c r="AV32" i="161" s="1"/>
  <c r="BF32" i="159"/>
  <c r="BF32" i="161" s="1"/>
  <c r="BF33" i="159"/>
  <c r="AX33" i="159"/>
  <c r="AP33" i="159"/>
  <c r="AH33" i="159"/>
  <c r="Z33" i="159"/>
  <c r="R33" i="159"/>
  <c r="U33" i="159"/>
  <c r="AD33" i="159"/>
  <c r="AM33" i="159"/>
  <c r="AV33" i="159"/>
  <c r="AV33" i="161" s="1"/>
  <c r="BE33" i="159"/>
  <c r="BE33" i="161" s="1"/>
  <c r="AA35" i="161"/>
  <c r="AK35" i="161"/>
  <c r="AT35" i="161"/>
  <c r="Q36" i="159"/>
  <c r="Z36" i="159"/>
  <c r="AI36" i="159"/>
  <c r="AR36" i="159"/>
  <c r="BB36" i="159"/>
  <c r="Q37" i="159"/>
  <c r="AB37" i="159"/>
  <c r="AL37" i="159"/>
  <c r="AV37" i="159"/>
  <c r="BF37" i="159"/>
  <c r="X40" i="161"/>
  <c r="AO40" i="161"/>
  <c r="BD40" i="161"/>
  <c r="P41" i="161"/>
  <c r="AJ41" i="161"/>
  <c r="BF41" i="161"/>
  <c r="Q42" i="159"/>
  <c r="AP42" i="159"/>
  <c r="S43" i="161"/>
  <c r="AT44" i="161"/>
  <c r="X45" i="161"/>
  <c r="AW45" i="161"/>
  <c r="AA36" i="161"/>
  <c r="AJ36" i="161"/>
  <c r="AT36" i="161"/>
  <c r="BC36" i="161"/>
  <c r="R37" i="161"/>
  <c r="AM37" i="161"/>
  <c r="AW37" i="161"/>
  <c r="N38" i="161"/>
  <c r="AF38" i="161"/>
  <c r="AO38" i="161"/>
  <c r="AX38" i="161"/>
  <c r="BG38" i="161"/>
  <c r="W39" i="161"/>
  <c r="AG39" i="161"/>
  <c r="Y40" i="161"/>
  <c r="BF40" i="161"/>
  <c r="Q41" i="161"/>
  <c r="BG41" i="161"/>
  <c r="W42" i="159"/>
  <c r="AT42" i="159"/>
  <c r="AY43" i="161"/>
  <c r="AB44" i="161"/>
  <c r="BA44" i="161"/>
  <c r="N45" i="161"/>
  <c r="N47" i="161"/>
  <c r="AU39" i="161"/>
  <c r="BF39" i="161"/>
  <c r="BB40" i="159"/>
  <c r="AT40" i="159"/>
  <c r="AL40" i="159"/>
  <c r="AD40" i="159"/>
  <c r="AD40" i="161" s="1"/>
  <c r="V40" i="159"/>
  <c r="N40" i="159"/>
  <c r="BE40" i="159"/>
  <c r="AV40" i="159"/>
  <c r="AM40" i="159"/>
  <c r="AM40" i="161" s="1"/>
  <c r="AC40" i="159"/>
  <c r="T40" i="159"/>
  <c r="W40" i="159"/>
  <c r="AG40" i="159"/>
  <c r="AQ40" i="159"/>
  <c r="AQ40" i="161" s="1"/>
  <c r="BA40" i="159"/>
  <c r="BA40" i="161" s="1"/>
  <c r="R41" i="159"/>
  <c r="AB41" i="159"/>
  <c r="AN41" i="159"/>
  <c r="AX41" i="159"/>
  <c r="P43" i="161"/>
  <c r="AB43" i="161"/>
  <c r="AP43" i="161"/>
  <c r="BA43" i="161"/>
  <c r="BC45" i="161"/>
  <c r="W45" i="161"/>
  <c r="AH45" i="161"/>
  <c r="BH45" i="161"/>
  <c r="W46" i="161"/>
  <c r="T47" i="159"/>
  <c r="AG48" i="161"/>
  <c r="BG48" i="161"/>
  <c r="X49" i="161"/>
  <c r="N50" i="161"/>
  <c r="AO50" i="161"/>
  <c r="AU52" i="161"/>
  <c r="BF56" i="159"/>
  <c r="AX56" i="159"/>
  <c r="AP56" i="159"/>
  <c r="AH56" i="159"/>
  <c r="AH56" i="161" s="1"/>
  <c r="BD56" i="159"/>
  <c r="AU56" i="159"/>
  <c r="AL56" i="159"/>
  <c r="AC56" i="159"/>
  <c r="U56" i="159"/>
  <c r="BG56" i="159"/>
  <c r="AW56" i="159"/>
  <c r="AN56" i="159"/>
  <c r="AE56" i="159"/>
  <c r="W56" i="159"/>
  <c r="O56" i="159"/>
  <c r="BE56" i="159"/>
  <c r="AV56" i="159"/>
  <c r="AM56" i="159"/>
  <c r="AD56" i="159"/>
  <c r="V56" i="159"/>
  <c r="N56" i="159"/>
  <c r="AZ56" i="159"/>
  <c r="AJ56" i="159"/>
  <c r="X56" i="159"/>
  <c r="AY56" i="159"/>
  <c r="AI56" i="159"/>
  <c r="T56" i="159"/>
  <c r="AT56" i="159"/>
  <c r="AG56" i="159"/>
  <c r="S56" i="159"/>
  <c r="BI56" i="159"/>
  <c r="AS56" i="159"/>
  <c r="AF56" i="159"/>
  <c r="R56" i="159"/>
  <c r="BH56" i="159"/>
  <c r="AR56" i="159"/>
  <c r="AB56" i="159"/>
  <c r="Q56" i="159"/>
  <c r="BC56" i="159"/>
  <c r="BC56" i="161" s="1"/>
  <c r="AQ56" i="159"/>
  <c r="AA56" i="159"/>
  <c r="P56" i="159"/>
  <c r="BB56" i="159"/>
  <c r="BB56" i="161" s="1"/>
  <c r="AO56" i="159"/>
  <c r="Z56" i="159"/>
  <c r="AG46" i="161"/>
  <c r="AP46" i="161"/>
  <c r="AY46" i="161"/>
  <c r="BI46" i="161"/>
  <c r="AV47" i="161"/>
  <c r="AM48" i="161"/>
  <c r="BH48" i="161"/>
  <c r="AC49" i="161"/>
  <c r="AY49" i="161"/>
  <c r="T50" i="161"/>
  <c r="AP50" i="161"/>
  <c r="BG51" i="161"/>
  <c r="AW52" i="161"/>
  <c r="AX45" i="161"/>
  <c r="P46" i="161"/>
  <c r="Y46" i="161"/>
  <c r="AQ46" i="161"/>
  <c r="BA46" i="161"/>
  <c r="AX47" i="161"/>
  <c r="O48" i="161"/>
  <c r="AO48" i="161"/>
  <c r="AF49" i="161"/>
  <c r="V50" i="161"/>
  <c r="AL51" i="161"/>
  <c r="BH51" i="161"/>
  <c r="AC52" i="161"/>
  <c r="R53" i="161"/>
  <c r="Y56" i="159"/>
  <c r="BC41" i="159"/>
  <c r="AU41" i="159"/>
  <c r="AM41" i="159"/>
  <c r="AE41" i="159"/>
  <c r="W41" i="159"/>
  <c r="W41" i="161" s="1"/>
  <c r="O41" i="159"/>
  <c r="BE41" i="159"/>
  <c r="AV41" i="159"/>
  <c r="AL41" i="159"/>
  <c r="AC41" i="159"/>
  <c r="T41" i="159"/>
  <c r="V41" i="159"/>
  <c r="AG41" i="159"/>
  <c r="AQ41" i="159"/>
  <c r="BA41" i="159"/>
  <c r="AH43" i="161"/>
  <c r="AS43" i="161"/>
  <c r="Z45" i="161"/>
  <c r="AN45" i="161"/>
  <c r="AZ45" i="161"/>
  <c r="AD47" i="161"/>
  <c r="AY47" i="161"/>
  <c r="T48" i="161"/>
  <c r="AP48" i="161"/>
  <c r="BG49" i="161"/>
  <c r="AX50" i="161"/>
  <c r="AN51" i="161"/>
  <c r="AE52" i="161"/>
  <c r="AB53" i="161"/>
  <c r="Q55" i="161"/>
  <c r="AE55" i="161"/>
  <c r="AP55" i="161"/>
  <c r="AK56" i="159"/>
  <c r="T19" i="159"/>
  <c r="AB19" i="159"/>
  <c r="AJ19" i="159"/>
  <c r="AR19" i="159"/>
  <c r="AZ19" i="159"/>
  <c r="T27" i="159"/>
  <c r="T27" i="161" s="1"/>
  <c r="AB27" i="159"/>
  <c r="AB27" i="161" s="1"/>
  <c r="AJ27" i="159"/>
  <c r="AR27" i="159"/>
  <c r="AR27" i="161" s="1"/>
  <c r="AZ27" i="159"/>
  <c r="T35" i="159"/>
  <c r="T35" i="161" s="1"/>
  <c r="AB35" i="159"/>
  <c r="AJ35" i="159"/>
  <c r="AR35" i="159"/>
  <c r="AZ35" i="159"/>
  <c r="CL35" i="159" s="1"/>
  <c r="AE38" i="161"/>
  <c r="AF39" i="161"/>
  <c r="AP39" i="161"/>
  <c r="AZ39" i="161"/>
  <c r="Q40" i="159"/>
  <c r="Q40" i="161" s="1"/>
  <c r="AA40" i="159"/>
  <c r="AK40" i="159"/>
  <c r="AW40" i="159"/>
  <c r="BG40" i="159"/>
  <c r="X41" i="159"/>
  <c r="AH41" i="159"/>
  <c r="AH41" i="161" s="1"/>
  <c r="AR41" i="159"/>
  <c r="BB41" i="159"/>
  <c r="BE43" i="159"/>
  <c r="AW43" i="159"/>
  <c r="AO43" i="159"/>
  <c r="AG43" i="159"/>
  <c r="Y43" i="159"/>
  <c r="Q43" i="159"/>
  <c r="BG43" i="159"/>
  <c r="AX43" i="159"/>
  <c r="AN43" i="159"/>
  <c r="AE43" i="159"/>
  <c r="V43" i="159"/>
  <c r="BD43" i="159"/>
  <c r="AU43" i="159"/>
  <c r="AL43" i="159"/>
  <c r="AC43" i="159"/>
  <c r="T43" i="159"/>
  <c r="W43" i="159"/>
  <c r="AI43" i="159"/>
  <c r="AT43" i="159"/>
  <c r="BH43" i="159"/>
  <c r="AO45" i="161"/>
  <c r="BI47" i="159"/>
  <c r="BA47" i="159"/>
  <c r="AS47" i="159"/>
  <c r="AK47" i="159"/>
  <c r="AC47" i="159"/>
  <c r="U47" i="159"/>
  <c r="BD47" i="159"/>
  <c r="AU47" i="159"/>
  <c r="AL47" i="159"/>
  <c r="AB47" i="159"/>
  <c r="S47" i="159"/>
  <c r="BC47" i="159"/>
  <c r="AT47" i="159"/>
  <c r="AJ47" i="159"/>
  <c r="AA47" i="159"/>
  <c r="R47" i="159"/>
  <c r="BB47" i="159"/>
  <c r="AR47" i="159"/>
  <c r="AI47" i="159"/>
  <c r="Z47" i="159"/>
  <c r="Q47" i="159"/>
  <c r="AZ47" i="159"/>
  <c r="AQ47" i="159"/>
  <c r="AH47" i="159"/>
  <c r="AH47" i="161" s="1"/>
  <c r="Y47" i="159"/>
  <c r="P47" i="159"/>
  <c r="BF47" i="159"/>
  <c r="BF47" i="161" s="1"/>
  <c r="AW47" i="159"/>
  <c r="AN47" i="159"/>
  <c r="AE47" i="159"/>
  <c r="V47" i="159"/>
  <c r="AF47" i="159"/>
  <c r="BE47" i="159"/>
  <c r="BH49" i="161"/>
  <c r="AC50" i="161"/>
  <c r="AP51" i="161"/>
  <c r="AF52" i="161"/>
  <c r="AK53" i="161"/>
  <c r="BA56" i="159"/>
  <c r="AQ39" i="161"/>
  <c r="BB39" i="161"/>
  <c r="R40" i="159"/>
  <c r="AB40" i="159"/>
  <c r="AN40" i="159"/>
  <c r="AX40" i="159"/>
  <c r="BH40" i="159"/>
  <c r="N41" i="159"/>
  <c r="Y41" i="159"/>
  <c r="AI41" i="159"/>
  <c r="AS41" i="159"/>
  <c r="BD41" i="159"/>
  <c r="BD41" i="161" s="1"/>
  <c r="AJ43" i="161"/>
  <c r="AV43" i="161"/>
  <c r="BI43" i="161"/>
  <c r="Q45" i="161"/>
  <c r="AP45" i="161"/>
  <c r="AG47" i="161"/>
  <c r="BG47" i="161"/>
  <c r="AX48" i="161"/>
  <c r="N49" i="161"/>
  <c r="BE50" i="161"/>
  <c r="AU51" i="161"/>
  <c r="AL52" i="161"/>
  <c r="BH52" i="161"/>
  <c r="AT53" i="161"/>
  <c r="AJ57" i="161"/>
  <c r="AZ57" i="161"/>
  <c r="V45" i="161"/>
  <c r="AG45" i="161"/>
  <c r="AS45" i="161"/>
  <c r="V46" i="161"/>
  <c r="AW46" i="161"/>
  <c r="O47" i="161"/>
  <c r="AO47" i="161"/>
  <c r="AF48" i="161"/>
  <c r="BE48" i="161"/>
  <c r="V49" i="161"/>
  <c r="AV49" i="161"/>
  <c r="AL50" i="161"/>
  <c r="BH50" i="161"/>
  <c r="AC51" i="161"/>
  <c r="AY51" i="161"/>
  <c r="AF46" i="161"/>
  <c r="AO46" i="161"/>
  <c r="AX46" i="161"/>
  <c r="BG46" i="161"/>
  <c r="BB48" i="159"/>
  <c r="AT48" i="159"/>
  <c r="AL48" i="159"/>
  <c r="AD48" i="159"/>
  <c r="V48" i="159"/>
  <c r="N48" i="159"/>
  <c r="U48" i="159"/>
  <c r="AE48" i="159"/>
  <c r="AN48" i="159"/>
  <c r="AW48" i="159"/>
  <c r="BF48" i="159"/>
  <c r="BC49" i="159"/>
  <c r="AU49" i="159"/>
  <c r="AM49" i="159"/>
  <c r="AE49" i="159"/>
  <c r="AE49" i="161" s="1"/>
  <c r="W49" i="159"/>
  <c r="O49" i="159"/>
  <c r="U49" i="159"/>
  <c r="AD49" i="159"/>
  <c r="AN49" i="159"/>
  <c r="AW49" i="159"/>
  <c r="BF49" i="159"/>
  <c r="BD50" i="159"/>
  <c r="BD50" i="161" s="1"/>
  <c r="AV50" i="159"/>
  <c r="AN50" i="159"/>
  <c r="AN50" i="161" s="1"/>
  <c r="AF50" i="159"/>
  <c r="X50" i="159"/>
  <c r="P50" i="159"/>
  <c r="U50" i="159"/>
  <c r="AD50" i="159"/>
  <c r="AM50" i="159"/>
  <c r="AW50" i="159"/>
  <c r="BF50" i="159"/>
  <c r="BE51" i="159"/>
  <c r="AW51" i="159"/>
  <c r="AO51" i="159"/>
  <c r="AG51" i="159"/>
  <c r="Y51" i="159"/>
  <c r="Q51" i="159"/>
  <c r="U51" i="159"/>
  <c r="AD51" i="159"/>
  <c r="AM51" i="159"/>
  <c r="AV51" i="159"/>
  <c r="BF51" i="159"/>
  <c r="BF52" i="159"/>
  <c r="AX52" i="159"/>
  <c r="AP52" i="159"/>
  <c r="AH52" i="159"/>
  <c r="Z52" i="159"/>
  <c r="R52" i="159"/>
  <c r="U52" i="159"/>
  <c r="AD52" i="159"/>
  <c r="AM52" i="159"/>
  <c r="AV52" i="159"/>
  <c r="BE52" i="159"/>
  <c r="T53" i="159"/>
  <c r="AC53" i="159"/>
  <c r="AL53" i="159"/>
  <c r="AU53" i="159"/>
  <c r="AA54" i="161"/>
  <c r="AK54" i="161"/>
  <c r="BC54" i="161"/>
  <c r="BE55" i="161"/>
  <c r="BD57" i="161"/>
  <c r="X57" i="161"/>
  <c r="BA57" i="161"/>
  <c r="Y62" i="161"/>
  <c r="BG52" i="161"/>
  <c r="BG53" i="159"/>
  <c r="AY53" i="159"/>
  <c r="AQ53" i="159"/>
  <c r="AI53" i="159"/>
  <c r="AA53" i="159"/>
  <c r="S53" i="159"/>
  <c r="U53" i="159"/>
  <c r="AD53" i="159"/>
  <c r="AM53" i="159"/>
  <c r="AV53" i="159"/>
  <c r="BE53" i="159"/>
  <c r="AC54" i="161"/>
  <c r="AL54" i="161"/>
  <c r="S55" i="161"/>
  <c r="AG55" i="161"/>
  <c r="AU55" i="161"/>
  <c r="BF55" i="161"/>
  <c r="AO57" i="161"/>
  <c r="AD59" i="161"/>
  <c r="AO59" i="161"/>
  <c r="BC59" i="161"/>
  <c r="AB64" i="161"/>
  <c r="BC65" i="161"/>
  <c r="V53" i="159"/>
  <c r="AE53" i="159"/>
  <c r="AN53" i="159"/>
  <c r="AW53" i="159"/>
  <c r="BF53" i="159"/>
  <c r="U54" i="161"/>
  <c r="AD54" i="161"/>
  <c r="AM54" i="161"/>
  <c r="AV54" i="161"/>
  <c r="BE54" i="161"/>
  <c r="AH55" i="161"/>
  <c r="AV55" i="161"/>
  <c r="BG55" i="161"/>
  <c r="Z57" i="161"/>
  <c r="AP57" i="161"/>
  <c r="Q59" i="161"/>
  <c r="AE59" i="161"/>
  <c r="AP59" i="161"/>
  <c r="AY64" i="161"/>
  <c r="AN38" i="161"/>
  <c r="AW38" i="161"/>
  <c r="BI39" i="159"/>
  <c r="BA39" i="159"/>
  <c r="AS39" i="159"/>
  <c r="AK39" i="159"/>
  <c r="AC39" i="159"/>
  <c r="U39" i="159"/>
  <c r="T39" i="159"/>
  <c r="AD39" i="159"/>
  <c r="AM39" i="159"/>
  <c r="AV39" i="159"/>
  <c r="BE39" i="159"/>
  <c r="R45" i="159"/>
  <c r="AB45" i="159"/>
  <c r="AK45" i="159"/>
  <c r="AT45" i="159"/>
  <c r="AI46" i="161"/>
  <c r="AS46" i="161"/>
  <c r="BB46" i="161"/>
  <c r="P48" i="159"/>
  <c r="Y48" i="159"/>
  <c r="AH48" i="159"/>
  <c r="AQ48" i="159"/>
  <c r="AZ48" i="159"/>
  <c r="BI48" i="159"/>
  <c r="P49" i="159"/>
  <c r="Y49" i="159"/>
  <c r="AH49" i="159"/>
  <c r="AQ49" i="159"/>
  <c r="AZ49" i="159"/>
  <c r="BI49" i="159"/>
  <c r="O50" i="159"/>
  <c r="Y50" i="159"/>
  <c r="AH50" i="159"/>
  <c r="AQ50" i="159"/>
  <c r="AZ50" i="159"/>
  <c r="BI50" i="159"/>
  <c r="O51" i="159"/>
  <c r="X51" i="159"/>
  <c r="AH51" i="159"/>
  <c r="AQ51" i="159"/>
  <c r="AZ51" i="159"/>
  <c r="BI51" i="159"/>
  <c r="O52" i="159"/>
  <c r="X52" i="159"/>
  <c r="AG52" i="159"/>
  <c r="AQ52" i="159"/>
  <c r="AZ52" i="159"/>
  <c r="BI52" i="159"/>
  <c r="N53" i="159"/>
  <c r="W53" i="159"/>
  <c r="AF53" i="159"/>
  <c r="AO53" i="159"/>
  <c r="AX53" i="159"/>
  <c r="BH53" i="159"/>
  <c r="V54" i="161"/>
  <c r="AE54" i="161"/>
  <c r="AN54" i="161"/>
  <c r="AW54" i="161"/>
  <c r="BF54" i="161"/>
  <c r="BH55" i="161"/>
  <c r="AI55" i="161"/>
  <c r="AW55" i="161"/>
  <c r="O57" i="161"/>
  <c r="AR57" i="161"/>
  <c r="AG58" i="161"/>
  <c r="AP58" i="161"/>
  <c r="BA58" i="161"/>
  <c r="Q61" i="161"/>
  <c r="AW61" i="161"/>
  <c r="BG63" i="161"/>
  <c r="AX63" i="161"/>
  <c r="AA46" i="161"/>
  <c r="AK46" i="161"/>
  <c r="AT46" i="161"/>
  <c r="BC46" i="161"/>
  <c r="Q48" i="159"/>
  <c r="Z48" i="159"/>
  <c r="AI48" i="159"/>
  <c r="AR48" i="159"/>
  <c r="BA48" i="159"/>
  <c r="Q49" i="159"/>
  <c r="Z49" i="159"/>
  <c r="AI49" i="159"/>
  <c r="AR49" i="159"/>
  <c r="BA49" i="159"/>
  <c r="Q50" i="159"/>
  <c r="Z50" i="159"/>
  <c r="AI50" i="159"/>
  <c r="AR50" i="159"/>
  <c r="BA50" i="159"/>
  <c r="P51" i="159"/>
  <c r="Z51" i="159"/>
  <c r="AI51" i="159"/>
  <c r="AR51" i="159"/>
  <c r="BA51" i="159"/>
  <c r="P52" i="159"/>
  <c r="Y52" i="159"/>
  <c r="AI52" i="159"/>
  <c r="AR52" i="159"/>
  <c r="BA52" i="159"/>
  <c r="O53" i="159"/>
  <c r="X53" i="159"/>
  <c r="AG53" i="159"/>
  <c r="AP53" i="159"/>
  <c r="AZ53" i="159"/>
  <c r="BI53" i="159"/>
  <c r="W54" i="161"/>
  <c r="AF54" i="161"/>
  <c r="AO54" i="161"/>
  <c r="AX54" i="161"/>
  <c r="AM55" i="161"/>
  <c r="AX55" i="161"/>
  <c r="P57" i="161"/>
  <c r="AF57" i="161"/>
  <c r="AS57" i="161"/>
  <c r="P58" i="161"/>
  <c r="Y58" i="161"/>
  <c r="AH58" i="161"/>
  <c r="AQ58" i="161"/>
  <c r="AX62" i="161"/>
  <c r="AO62" i="161"/>
  <c r="AZ65" i="161"/>
  <c r="BG45" i="159"/>
  <c r="AY45" i="159"/>
  <c r="AQ45" i="159"/>
  <c r="AI45" i="159"/>
  <c r="AA45" i="159"/>
  <c r="S45" i="159"/>
  <c r="U45" i="159"/>
  <c r="AD45" i="159"/>
  <c r="AM45" i="159"/>
  <c r="AV45" i="159"/>
  <c r="BE45" i="159"/>
  <c r="AC46" i="161"/>
  <c r="AL46" i="161"/>
  <c r="BD46" i="161"/>
  <c r="R48" i="159"/>
  <c r="AA48" i="159"/>
  <c r="AJ48" i="159"/>
  <c r="AS48" i="159"/>
  <c r="BC48" i="159"/>
  <c r="R49" i="159"/>
  <c r="AA49" i="159"/>
  <c r="AJ49" i="159"/>
  <c r="AS49" i="159"/>
  <c r="BB49" i="159"/>
  <c r="R50" i="159"/>
  <c r="AA50" i="159"/>
  <c r="AJ50" i="159"/>
  <c r="AS50" i="159"/>
  <c r="BB50" i="159"/>
  <c r="R51" i="159"/>
  <c r="AA51" i="159"/>
  <c r="AJ51" i="159"/>
  <c r="AS51" i="159"/>
  <c r="BB51" i="159"/>
  <c r="Q52" i="159"/>
  <c r="AA52" i="159"/>
  <c r="AJ52" i="159"/>
  <c r="AS52" i="159"/>
  <c r="BB52" i="159"/>
  <c r="P53" i="159"/>
  <c r="Y53" i="159"/>
  <c r="AH53" i="159"/>
  <c r="AR53" i="159"/>
  <c r="BA53" i="159"/>
  <c r="AP54" i="161"/>
  <c r="O55" i="161"/>
  <c r="AY55" i="161"/>
  <c r="Q57" i="161"/>
  <c r="AG57" i="161"/>
  <c r="AH60" i="161"/>
  <c r="AV60" i="161"/>
  <c r="BG60" i="161"/>
  <c r="R63" i="161"/>
  <c r="BF45" i="161"/>
  <c r="BH46" i="161"/>
  <c r="AD46" i="161"/>
  <c r="BE46" i="161"/>
  <c r="S48" i="159"/>
  <c r="AB48" i="159"/>
  <c r="AK48" i="159"/>
  <c r="AU48" i="159"/>
  <c r="BD48" i="159"/>
  <c r="S49" i="159"/>
  <c r="AB49" i="159"/>
  <c r="AK49" i="159"/>
  <c r="AT49" i="159"/>
  <c r="BD49" i="159"/>
  <c r="S50" i="159"/>
  <c r="AB50" i="159"/>
  <c r="AK50" i="159"/>
  <c r="AT50" i="159"/>
  <c r="BC50" i="159"/>
  <c r="S51" i="159"/>
  <c r="AB51" i="159"/>
  <c r="AK51" i="159"/>
  <c r="AT51" i="159"/>
  <c r="BC51" i="159"/>
  <c r="S52" i="159"/>
  <c r="AB52" i="159"/>
  <c r="AK52" i="159"/>
  <c r="AT52" i="159"/>
  <c r="BC52" i="159"/>
  <c r="Q53" i="159"/>
  <c r="Z53" i="159"/>
  <c r="AJ53" i="159"/>
  <c r="AS53" i="159"/>
  <c r="BB53" i="159"/>
  <c r="P54" i="161"/>
  <c r="AH54" i="161"/>
  <c r="AQ54" i="161"/>
  <c r="P55" i="161"/>
  <c r="AA55" i="161"/>
  <c r="AO55" i="161"/>
  <c r="AH57" i="161"/>
  <c r="AX57" i="161"/>
  <c r="BB60" i="161"/>
  <c r="AI60" i="161"/>
  <c r="T38" i="159"/>
  <c r="AB38" i="159"/>
  <c r="AJ38" i="159"/>
  <c r="AR38" i="159"/>
  <c r="AZ38" i="159"/>
  <c r="T46" i="159"/>
  <c r="AB46" i="159"/>
  <c r="AJ46" i="159"/>
  <c r="AR46" i="159"/>
  <c r="AZ46" i="159"/>
  <c r="T54" i="159"/>
  <c r="AB54" i="159"/>
  <c r="AJ54" i="159"/>
  <c r="AR54" i="159"/>
  <c r="AZ54" i="159"/>
  <c r="U55" i="159"/>
  <c r="AC55" i="159"/>
  <c r="AK55" i="159"/>
  <c r="AS55" i="159"/>
  <c r="BA55" i="159"/>
  <c r="BI55" i="159"/>
  <c r="T57" i="159"/>
  <c r="AC57" i="159"/>
  <c r="AL57" i="159"/>
  <c r="AU57" i="159"/>
  <c r="AA58" i="161"/>
  <c r="AK58" i="161"/>
  <c r="V59" i="161"/>
  <c r="AG59" i="161"/>
  <c r="O60" i="161"/>
  <c r="AY60" i="161"/>
  <c r="AB62" i="159"/>
  <c r="AR62" i="159"/>
  <c r="BH62" i="159"/>
  <c r="U63" i="159"/>
  <c r="AK63" i="159"/>
  <c r="BA63" i="159"/>
  <c r="N64" i="159"/>
  <c r="AJ64" i="159"/>
  <c r="BG64" i="159"/>
  <c r="U65" i="159"/>
  <c r="AR65" i="159"/>
  <c r="BI54" i="161"/>
  <c r="N55" i="159"/>
  <c r="V55" i="159"/>
  <c r="AD55" i="159"/>
  <c r="AL55" i="159"/>
  <c r="AT55" i="159"/>
  <c r="BB55" i="159"/>
  <c r="BG57" i="159"/>
  <c r="AY57" i="159"/>
  <c r="AQ57" i="159"/>
  <c r="AI57" i="159"/>
  <c r="AA57" i="159"/>
  <c r="S57" i="159"/>
  <c r="U57" i="159"/>
  <c r="AD57" i="159"/>
  <c r="AM57" i="159"/>
  <c r="AV57" i="159"/>
  <c r="BE57" i="159"/>
  <c r="S58" i="161"/>
  <c r="AC58" i="161"/>
  <c r="AU58" i="161"/>
  <c r="BE58" i="161"/>
  <c r="AH59" i="161"/>
  <c r="AV59" i="161"/>
  <c r="AA60" i="161"/>
  <c r="BC60" i="161"/>
  <c r="Y61" i="161"/>
  <c r="AO61" i="161"/>
  <c r="Q62" i="159"/>
  <c r="AG62" i="159"/>
  <c r="AW62" i="159"/>
  <c r="Z63" i="159"/>
  <c r="AP63" i="159"/>
  <c r="BF63" i="159"/>
  <c r="S64" i="159"/>
  <c r="AL64" i="159"/>
  <c r="BH64" i="159"/>
  <c r="W65" i="159"/>
  <c r="AS65" i="159"/>
  <c r="AN57" i="161"/>
  <c r="AW57" i="161"/>
  <c r="U58" i="161"/>
  <c r="AD58" i="161"/>
  <c r="AM58" i="161"/>
  <c r="AV58" i="161"/>
  <c r="AL59" i="161"/>
  <c r="Q60" i="161"/>
  <c r="AE60" i="161"/>
  <c r="AP60" i="161"/>
  <c r="BD60" i="161"/>
  <c r="BC61" i="161"/>
  <c r="AP61" i="161"/>
  <c r="BF61" i="161"/>
  <c r="R62" i="159"/>
  <c r="AH62" i="159"/>
  <c r="AA63" i="159"/>
  <c r="AQ63" i="159"/>
  <c r="T64" i="159"/>
  <c r="AQ64" i="159"/>
  <c r="AB65" i="159"/>
  <c r="AU65" i="159"/>
  <c r="BH57" i="161"/>
  <c r="BI58" i="161"/>
  <c r="N59" i="161"/>
  <c r="Y59" i="161"/>
  <c r="AM59" i="161"/>
  <c r="AX59" i="161"/>
  <c r="BE60" i="161"/>
  <c r="AA61" i="161"/>
  <c r="AQ61" i="161"/>
  <c r="AY62" i="161"/>
  <c r="BE63" i="159"/>
  <c r="AW63" i="159"/>
  <c r="AO63" i="159"/>
  <c r="AG63" i="159"/>
  <c r="Y63" i="159"/>
  <c r="Q63" i="159"/>
  <c r="BD63" i="159"/>
  <c r="AV63" i="159"/>
  <c r="AN63" i="159"/>
  <c r="AF63" i="159"/>
  <c r="X63" i="159"/>
  <c r="P63" i="159"/>
  <c r="BC63" i="159"/>
  <c r="AU63" i="159"/>
  <c r="AM63" i="159"/>
  <c r="AE63" i="159"/>
  <c r="W63" i="159"/>
  <c r="O63" i="159"/>
  <c r="BB63" i="159"/>
  <c r="AT63" i="159"/>
  <c r="AL63" i="159"/>
  <c r="AD63" i="159"/>
  <c r="V63" i="159"/>
  <c r="N63" i="159"/>
  <c r="AB63" i="159"/>
  <c r="AR63" i="159"/>
  <c r="BH63" i="159"/>
  <c r="V64" i="159"/>
  <c r="AR64" i="159"/>
  <c r="AC65" i="159"/>
  <c r="BI57" i="161"/>
  <c r="N58" i="161"/>
  <c r="AF58" i="161"/>
  <c r="AO58" i="161"/>
  <c r="AY58" i="161"/>
  <c r="Z59" i="161"/>
  <c r="AN59" i="161"/>
  <c r="BB59" i="161"/>
  <c r="AG60" i="161"/>
  <c r="AU60" i="161"/>
  <c r="AF61" i="161"/>
  <c r="AV61" i="161"/>
  <c r="T62" i="161"/>
  <c r="AJ62" i="161"/>
  <c r="AZ62" i="161"/>
  <c r="AC63" i="161"/>
  <c r="AS63" i="161"/>
  <c r="BI63" i="161"/>
  <c r="AA64" i="159"/>
  <c r="BG65" i="159"/>
  <c r="AY65" i="159"/>
  <c r="AQ65" i="159"/>
  <c r="AI65" i="159"/>
  <c r="AA65" i="159"/>
  <c r="S65" i="159"/>
  <c r="BF65" i="159"/>
  <c r="AX65" i="159"/>
  <c r="AP65" i="159"/>
  <c r="AH65" i="159"/>
  <c r="Z65" i="159"/>
  <c r="R65" i="159"/>
  <c r="BE65" i="159"/>
  <c r="AW65" i="159"/>
  <c r="AO65" i="159"/>
  <c r="AG65" i="159"/>
  <c r="Y65" i="159"/>
  <c r="Q65" i="159"/>
  <c r="BD65" i="159"/>
  <c r="AV65" i="159"/>
  <c r="AN65" i="159"/>
  <c r="AF65" i="159"/>
  <c r="X65" i="159"/>
  <c r="P65" i="159"/>
  <c r="BB65" i="159"/>
  <c r="AT65" i="159"/>
  <c r="AL65" i="159"/>
  <c r="AD65" i="159"/>
  <c r="V65" i="159"/>
  <c r="N65" i="159"/>
  <c r="AE65" i="159"/>
  <c r="BA65" i="159"/>
  <c r="R61" i="161"/>
  <c r="AH61" i="161"/>
  <c r="AX61" i="161"/>
  <c r="Z62" i="161"/>
  <c r="BF62" i="161"/>
  <c r="S63" i="161"/>
  <c r="AI63" i="161"/>
  <c r="AY63" i="161"/>
  <c r="BF64" i="159"/>
  <c r="AX64" i="159"/>
  <c r="AP64" i="159"/>
  <c r="AH64" i="159"/>
  <c r="Z64" i="159"/>
  <c r="R64" i="159"/>
  <c r="BE64" i="159"/>
  <c r="AW64" i="159"/>
  <c r="AO64" i="159"/>
  <c r="AG64" i="159"/>
  <c r="Y64" i="159"/>
  <c r="Q64" i="159"/>
  <c r="BD64" i="159"/>
  <c r="AV64" i="159"/>
  <c r="AN64" i="159"/>
  <c r="AF64" i="159"/>
  <c r="X64" i="159"/>
  <c r="P64" i="159"/>
  <c r="BC64" i="159"/>
  <c r="AU64" i="159"/>
  <c r="AM64" i="159"/>
  <c r="AE64" i="159"/>
  <c r="W64" i="159"/>
  <c r="O64" i="159"/>
  <c r="BI64" i="159"/>
  <c r="BA64" i="159"/>
  <c r="AS64" i="159"/>
  <c r="AK64" i="159"/>
  <c r="AC64" i="159"/>
  <c r="U64" i="159"/>
  <c r="AD64" i="159"/>
  <c r="AZ64" i="159"/>
  <c r="O65" i="161"/>
  <c r="AK65" i="161"/>
  <c r="BG54" i="161"/>
  <c r="T55" i="159"/>
  <c r="AB55" i="159"/>
  <c r="AJ55" i="159"/>
  <c r="AR55" i="159"/>
  <c r="AZ55" i="159"/>
  <c r="R57" i="159"/>
  <c r="AB57" i="159"/>
  <c r="AK57" i="159"/>
  <c r="AT57" i="159"/>
  <c r="BC57" i="159"/>
  <c r="Z58" i="161"/>
  <c r="AI58" i="161"/>
  <c r="AS58" i="161"/>
  <c r="BC58" i="161"/>
  <c r="R59" i="161"/>
  <c r="AF59" i="161"/>
  <c r="AT59" i="161"/>
  <c r="Y60" i="161"/>
  <c r="AM60" i="161"/>
  <c r="AX60" i="161"/>
  <c r="S61" i="161"/>
  <c r="BD62" i="159"/>
  <c r="AV62" i="159"/>
  <c r="AN62" i="159"/>
  <c r="AF62" i="159"/>
  <c r="X62" i="159"/>
  <c r="P62" i="159"/>
  <c r="BC62" i="159"/>
  <c r="AU62" i="159"/>
  <c r="AM62" i="159"/>
  <c r="AE62" i="159"/>
  <c r="W62" i="159"/>
  <c r="O62" i="159"/>
  <c r="BB62" i="159"/>
  <c r="AT62" i="159"/>
  <c r="AL62" i="159"/>
  <c r="AD62" i="159"/>
  <c r="V62" i="159"/>
  <c r="N62" i="159"/>
  <c r="BI62" i="159"/>
  <c r="BA62" i="159"/>
  <c r="AS62" i="159"/>
  <c r="AK62" i="159"/>
  <c r="AC62" i="159"/>
  <c r="U62" i="159"/>
  <c r="AA62" i="159"/>
  <c r="AQ62" i="159"/>
  <c r="BG62" i="159"/>
  <c r="T63" i="159"/>
  <c r="AJ63" i="159"/>
  <c r="AZ63" i="159"/>
  <c r="AI64" i="159"/>
  <c r="BB64" i="159"/>
  <c r="T65" i="159"/>
  <c r="AM65" i="159"/>
  <c r="BI65" i="159"/>
  <c r="T61" i="159"/>
  <c r="AB61" i="159"/>
  <c r="AJ61" i="159"/>
  <c r="AR61" i="159"/>
  <c r="AZ61" i="159"/>
  <c r="BH61" i="159"/>
  <c r="AX58" i="159"/>
  <c r="BF58" i="159"/>
  <c r="S59" i="159"/>
  <c r="AA59" i="159"/>
  <c r="AI59" i="159"/>
  <c r="AQ59" i="159"/>
  <c r="AY59" i="159"/>
  <c r="BG59" i="159"/>
  <c r="T60" i="159"/>
  <c r="AB60" i="159"/>
  <c r="AJ60" i="159"/>
  <c r="AR60" i="159"/>
  <c r="AZ60" i="159"/>
  <c r="BH60" i="159"/>
  <c r="U61" i="159"/>
  <c r="AC61" i="159"/>
  <c r="AK61" i="159"/>
  <c r="AS61" i="159"/>
  <c r="BA61" i="159"/>
  <c r="BI61" i="159"/>
  <c r="BG58" i="161"/>
  <c r="T59" i="159"/>
  <c r="AB59" i="159"/>
  <c r="AJ59" i="159"/>
  <c r="AR59" i="159"/>
  <c r="AZ59" i="159"/>
  <c r="BH59" i="159"/>
  <c r="U60" i="159"/>
  <c r="AC60" i="159"/>
  <c r="AK60" i="159"/>
  <c r="AS60" i="159"/>
  <c r="BA60" i="159"/>
  <c r="BI60" i="159"/>
  <c r="N61" i="159"/>
  <c r="V61" i="159"/>
  <c r="AD61" i="159"/>
  <c r="AL61" i="159"/>
  <c r="AT61" i="159"/>
  <c r="BB61" i="159"/>
  <c r="T58" i="159"/>
  <c r="AB58" i="159"/>
  <c r="AJ58" i="159"/>
  <c r="AR58" i="159"/>
  <c r="AZ58" i="159"/>
  <c r="U59" i="159"/>
  <c r="AC59" i="159"/>
  <c r="AK59" i="159"/>
  <c r="AS59" i="159"/>
  <c r="BA59" i="159"/>
  <c r="N60" i="159"/>
  <c r="V60" i="159"/>
  <c r="AD60" i="159"/>
  <c r="AL60" i="159"/>
  <c r="AT60" i="159"/>
  <c r="O61" i="159"/>
  <c r="W61" i="159"/>
  <c r="AE61" i="159"/>
  <c r="AM61" i="159"/>
  <c r="AU61" i="159"/>
  <c r="AU32" i="124"/>
  <c r="AF36" i="124"/>
  <c r="AU20" i="124"/>
  <c r="R12" i="124"/>
  <c r="V11" i="124"/>
  <c r="Z17" i="124"/>
  <c r="AA36" i="124"/>
  <c r="AU18" i="124"/>
  <c r="AU36" i="124"/>
  <c r="U39" i="124"/>
  <c r="AG48" i="124"/>
  <c r="Z26" i="124"/>
  <c r="Z36" i="124"/>
  <c r="O8" i="124"/>
  <c r="AJ26" i="124"/>
  <c r="AK18" i="124"/>
  <c r="K27" i="124"/>
  <c r="AL18" i="124"/>
  <c r="AK47" i="124"/>
  <c r="AK54" i="124"/>
  <c r="AK26" i="124"/>
  <c r="AF40" i="124"/>
  <c r="AL7" i="124"/>
  <c r="V38" i="124"/>
  <c r="O5" i="124"/>
  <c r="S5" i="124" s="1"/>
  <c r="J18" i="124"/>
  <c r="AG45" i="124"/>
  <c r="AU8" i="124"/>
  <c r="AU29" i="124"/>
  <c r="J61" i="124"/>
  <c r="N61" i="124" s="1"/>
  <c r="AK14" i="124"/>
  <c r="AU31" i="124"/>
  <c r="Y45" i="124"/>
  <c r="AJ52" i="124"/>
  <c r="J22" i="124"/>
  <c r="I24" i="124"/>
  <c r="Z25" i="124"/>
  <c r="L27" i="124"/>
  <c r="AU38" i="124"/>
  <c r="J45" i="124"/>
  <c r="O49" i="124"/>
  <c r="O3" i="124"/>
  <c r="S3" i="124" s="1"/>
  <c r="L3" i="158" s="1"/>
  <c r="AA4" i="124"/>
  <c r="U5" i="124"/>
  <c r="O7" i="124"/>
  <c r="I10" i="124"/>
  <c r="AJ21" i="124"/>
  <c r="Y24" i="124"/>
  <c r="M27" i="124"/>
  <c r="Z34" i="124"/>
  <c r="AK45" i="124"/>
  <c r="AK48" i="124"/>
  <c r="Z49" i="124"/>
  <c r="AL56" i="124"/>
  <c r="AA59" i="124"/>
  <c r="Q3" i="124"/>
  <c r="K11" i="124"/>
  <c r="O13" i="124"/>
  <c r="S13" i="124" s="1"/>
  <c r="L13" i="161" s="1"/>
  <c r="V18" i="124"/>
  <c r="AK21" i="124"/>
  <c r="O22" i="124"/>
  <c r="O23" i="124"/>
  <c r="S23" i="124" s="1"/>
  <c r="L23" i="161" s="1"/>
  <c r="O27" i="124"/>
  <c r="S27" i="124" s="1"/>
  <c r="L27" i="161" s="1"/>
  <c r="L28" i="124"/>
  <c r="AF31" i="124"/>
  <c r="Z32" i="124"/>
  <c r="J38" i="124"/>
  <c r="AU47" i="124"/>
  <c r="Y60" i="124"/>
  <c r="AA31" i="124"/>
  <c r="AO6" i="124"/>
  <c r="AU7" i="124"/>
  <c r="V8" i="124"/>
  <c r="AA10" i="124"/>
  <c r="J11" i="124"/>
  <c r="N11" i="124" s="1"/>
  <c r="K11" i="158" s="1"/>
  <c r="U3" i="124"/>
  <c r="AF5" i="124"/>
  <c r="AP2" i="124"/>
  <c r="Y7" i="124"/>
  <c r="AL8" i="124"/>
  <c r="AF10" i="124"/>
  <c r="Q11" i="124"/>
  <c r="J12" i="124"/>
  <c r="N12" i="124" s="1"/>
  <c r="K12" i="161" s="1"/>
  <c r="T13" i="124"/>
  <c r="O14" i="124"/>
  <c r="AF20" i="124"/>
  <c r="AL21" i="124"/>
  <c r="U22" i="124"/>
  <c r="AG24" i="124"/>
  <c r="Q27" i="124"/>
  <c r="U28" i="124"/>
  <c r="AK29" i="124"/>
  <c r="AJ31" i="124"/>
  <c r="AL34" i="124"/>
  <c r="U37" i="124"/>
  <c r="AL41" i="124"/>
  <c r="O45" i="124"/>
  <c r="AU45" i="124"/>
  <c r="AU48" i="124"/>
  <c r="U52" i="124"/>
  <c r="AA54" i="124"/>
  <c r="J58" i="124"/>
  <c r="N58" i="124" s="1"/>
  <c r="K58" i="158" s="1"/>
  <c r="AF59" i="124"/>
  <c r="AA60" i="124"/>
  <c r="O61" i="124"/>
  <c r="S61" i="124" s="1"/>
  <c r="AA7" i="124"/>
  <c r="AK10" i="124"/>
  <c r="T11" i="124"/>
  <c r="O21" i="124"/>
  <c r="Z28" i="124"/>
  <c r="AL29" i="124"/>
  <c r="AK31" i="124"/>
  <c r="AF32" i="124"/>
  <c r="AA52" i="124"/>
  <c r="AG59" i="124"/>
  <c r="AJ27" i="124"/>
  <c r="AJ32" i="124"/>
  <c r="AO37" i="124"/>
  <c r="U45" i="124"/>
  <c r="AJ59" i="124"/>
  <c r="AK60" i="124"/>
  <c r="AO58" i="124"/>
  <c r="AK12" i="124"/>
  <c r="AF15" i="124"/>
  <c r="AP35" i="124"/>
  <c r="U11" i="124"/>
  <c r="AL12" i="124"/>
  <c r="AN12" i="124" s="1"/>
  <c r="AL15" i="124"/>
  <c r="AO16" i="124"/>
  <c r="Y25" i="124"/>
  <c r="AU34" i="124"/>
  <c r="AU42" i="124"/>
  <c r="AJ45" i="124"/>
  <c r="J46" i="124"/>
  <c r="AU53" i="124"/>
  <c r="AJ54" i="124"/>
  <c r="M61" i="124"/>
  <c r="AE3" i="124"/>
  <c r="AA25" i="124"/>
  <c r="AU28" i="124"/>
  <c r="I32" i="124"/>
  <c r="AJ36" i="124"/>
  <c r="AA38" i="124"/>
  <c r="AJ40" i="124"/>
  <c r="I41" i="124"/>
  <c r="AL45" i="124"/>
  <c r="AF50" i="124"/>
  <c r="AA51" i="124"/>
  <c r="AK52" i="124"/>
  <c r="Z53" i="124"/>
  <c r="AL54" i="124"/>
  <c r="R61" i="124"/>
  <c r="Y64" i="124"/>
  <c r="Q65" i="124"/>
  <c r="AP10" i="124"/>
  <c r="L11" i="124"/>
  <c r="AO11" i="124"/>
  <c r="U14" i="124"/>
  <c r="O15" i="124"/>
  <c r="AP24" i="124"/>
  <c r="T27" i="124"/>
  <c r="AL31" i="124"/>
  <c r="J32" i="124"/>
  <c r="AL32" i="124"/>
  <c r="Z33" i="124"/>
  <c r="AA34" i="124"/>
  <c r="AK36" i="124"/>
  <c r="AO39" i="124"/>
  <c r="AK40" i="124"/>
  <c r="AA41" i="124"/>
  <c r="Z42" i="124"/>
  <c r="V45" i="124"/>
  <c r="AG50" i="124"/>
  <c r="AP52" i="124"/>
  <c r="AA53" i="124"/>
  <c r="AE55" i="124"/>
  <c r="AU56" i="124"/>
  <c r="T61" i="124"/>
  <c r="O63" i="124"/>
  <c r="S63" i="124" s="1"/>
  <c r="L63" i="159" s="1"/>
  <c r="M11" i="124"/>
  <c r="AP11" i="124"/>
  <c r="Z12" i="124"/>
  <c r="AL22" i="124"/>
  <c r="AF25" i="124"/>
  <c r="AF26" i="124"/>
  <c r="U27" i="124"/>
  <c r="AO32" i="124"/>
  <c r="I35" i="124"/>
  <c r="AJ38" i="124"/>
  <c r="I39" i="124"/>
  <c r="AL40" i="124"/>
  <c r="AA42" i="124"/>
  <c r="AO49" i="124"/>
  <c r="AF51" i="124"/>
  <c r="I52" i="124"/>
  <c r="AU54" i="124"/>
  <c r="Z61" i="124"/>
  <c r="L62" i="124"/>
  <c r="AO65" i="124"/>
  <c r="AH3" i="124"/>
  <c r="AU12" i="124"/>
  <c r="J3" i="124"/>
  <c r="N3" i="124" s="1"/>
  <c r="K3" i="161" s="1"/>
  <c r="AT7" i="124"/>
  <c r="AG8" i="124"/>
  <c r="O9" i="124"/>
  <c r="Z20" i="124"/>
  <c r="AO2" i="124"/>
  <c r="M3" i="124"/>
  <c r="AK7" i="124"/>
  <c r="AJ8" i="124"/>
  <c r="AU10" i="124"/>
  <c r="O11" i="124"/>
  <c r="S11" i="124" s="1"/>
  <c r="L11" i="161" s="1"/>
  <c r="AA12" i="124"/>
  <c r="J14" i="124"/>
  <c r="I16" i="124"/>
  <c r="I18" i="124"/>
  <c r="AJ18" i="124"/>
  <c r="AA20" i="124"/>
  <c r="Y21" i="124"/>
  <c r="AP25" i="124"/>
  <c r="AG26" i="124"/>
  <c r="J27" i="124"/>
  <c r="N27" i="124" s="1"/>
  <c r="K27" i="158" s="1"/>
  <c r="V27" i="124"/>
  <c r="T28" i="124"/>
  <c r="T31" i="124"/>
  <c r="AE34" i="124"/>
  <c r="Y36" i="124"/>
  <c r="AL38" i="124"/>
  <c r="Z45" i="124"/>
  <c r="V46" i="124"/>
  <c r="I48" i="124"/>
  <c r="AG51" i="124"/>
  <c r="AK53" i="124"/>
  <c r="K58" i="124"/>
  <c r="T62" i="124"/>
  <c r="T32" i="124"/>
  <c r="AU40" i="124"/>
  <c r="U44" i="124"/>
  <c r="AJ51" i="124"/>
  <c r="AL53" i="124"/>
  <c r="AF2" i="124"/>
  <c r="P25" i="124"/>
  <c r="Q25" i="124"/>
  <c r="U29" i="124"/>
  <c r="AP56" i="124"/>
  <c r="I56" i="124"/>
  <c r="AG2" i="124"/>
  <c r="BS2" i="124" s="1" a="1"/>
  <c r="BS2" i="124" s="1"/>
  <c r="BC74" i="124"/>
  <c r="K3" i="124"/>
  <c r="V3" i="124"/>
  <c r="Q5" i="124"/>
  <c r="AJ5" i="124"/>
  <c r="Y8" i="124"/>
  <c r="Y10" i="124"/>
  <c r="AL10" i="124"/>
  <c r="AM10" i="124" s="1"/>
  <c r="R11" i="124"/>
  <c r="AF12" i="124"/>
  <c r="Q13" i="124"/>
  <c r="AG13" i="124"/>
  <c r="J17" i="124"/>
  <c r="AO17" i="124"/>
  <c r="AF18" i="124"/>
  <c r="O19" i="124"/>
  <c r="AJ19" i="124"/>
  <c r="AE22" i="124"/>
  <c r="I25" i="124"/>
  <c r="J26" i="124"/>
  <c r="N26" i="124" s="1"/>
  <c r="K26" i="158" s="1"/>
  <c r="AA26" i="124"/>
  <c r="AU26" i="124"/>
  <c r="AG28" i="124"/>
  <c r="AK28" i="124"/>
  <c r="AF28" i="124"/>
  <c r="U31" i="124"/>
  <c r="I34" i="124"/>
  <c r="O37" i="124"/>
  <c r="V37" i="124"/>
  <c r="L37" i="124"/>
  <c r="Z37" i="124"/>
  <c r="AU37" i="124"/>
  <c r="J40" i="124"/>
  <c r="J57" i="124"/>
  <c r="N57" i="124" s="1"/>
  <c r="K57" i="158" s="1"/>
  <c r="R57" i="124"/>
  <c r="P57" i="124"/>
  <c r="O57" i="124"/>
  <c r="S57" i="124" s="1"/>
  <c r="L57" i="158" s="1"/>
  <c r="AE64" i="124"/>
  <c r="AK64" i="124"/>
  <c r="AG64" i="124"/>
  <c r="AF64" i="124"/>
  <c r="AU64" i="124"/>
  <c r="AK46" i="124"/>
  <c r="AJ2" i="124"/>
  <c r="L3" i="124"/>
  <c r="Y3" i="124"/>
  <c r="AF4" i="124"/>
  <c r="T5" i="124"/>
  <c r="AK5" i="124"/>
  <c r="I6" i="124"/>
  <c r="AO9" i="124"/>
  <c r="Z10" i="124"/>
  <c r="AE11" i="124"/>
  <c r="AJ12" i="124"/>
  <c r="AJ13" i="124"/>
  <c r="V14" i="124"/>
  <c r="AF16" i="124"/>
  <c r="AP17" i="124"/>
  <c r="AP19" i="124"/>
  <c r="I19" i="124"/>
  <c r="AO19" i="124"/>
  <c r="AK22" i="124"/>
  <c r="AF24" i="124"/>
  <c r="J25" i="124"/>
  <c r="N25" i="124" s="1"/>
  <c r="K25" i="159" s="1"/>
  <c r="K26" i="124"/>
  <c r="AA27" i="124"/>
  <c r="AL28" i="124"/>
  <c r="AM28" i="124" s="1"/>
  <c r="M29" i="124"/>
  <c r="AE33" i="124"/>
  <c r="J37" i="124"/>
  <c r="Z39" i="124"/>
  <c r="AK39" i="124"/>
  <c r="AF39" i="124"/>
  <c r="AU39" i="124"/>
  <c r="AA39" i="124"/>
  <c r="AJ39" i="124"/>
  <c r="I51" i="124"/>
  <c r="AP51" i="124"/>
  <c r="Q57" i="124"/>
  <c r="AU2" i="124"/>
  <c r="AE37" i="124"/>
  <c r="I50" i="124"/>
  <c r="P60" i="124"/>
  <c r="R60" i="124"/>
  <c r="Q60" i="124"/>
  <c r="M60" i="124"/>
  <c r="L60" i="124"/>
  <c r="V60" i="124"/>
  <c r="J60" i="124"/>
  <c r="N60" i="124" s="1"/>
  <c r="K60" i="161" s="1"/>
  <c r="U60" i="124"/>
  <c r="V20" i="124"/>
  <c r="AK13" i="124"/>
  <c r="O29" i="124"/>
  <c r="AP31" i="124"/>
  <c r="I31" i="124"/>
  <c r="AK4" i="124"/>
  <c r="U13" i="124"/>
  <c r="U19" i="124"/>
  <c r="U20" i="124"/>
  <c r="Q26" i="124"/>
  <c r="AG37" i="124"/>
  <c r="BS37" i="124" s="1" a="1"/>
  <c r="BS37" i="124" s="1"/>
  <c r="U38" i="124"/>
  <c r="O38" i="124"/>
  <c r="L38" i="124"/>
  <c r="AO51" i="124"/>
  <c r="K60" i="124"/>
  <c r="AI65" i="124"/>
  <c r="AH65" i="124"/>
  <c r="Z2" i="124"/>
  <c r="J19" i="124"/>
  <c r="V19" i="124"/>
  <c r="R26" i="124"/>
  <c r="AP27" i="124"/>
  <c r="T29" i="124"/>
  <c r="AP33" i="124"/>
  <c r="I33" i="124"/>
  <c r="O36" i="124"/>
  <c r="AK37" i="124"/>
  <c r="AP42" i="124"/>
  <c r="I42" i="124"/>
  <c r="AE44" i="124"/>
  <c r="AF44" i="124"/>
  <c r="AU44" i="124"/>
  <c r="AA44" i="124"/>
  <c r="Z44" i="124"/>
  <c r="AK44" i="124"/>
  <c r="AJ44" i="124"/>
  <c r="O54" i="124"/>
  <c r="V54" i="124"/>
  <c r="U54" i="124"/>
  <c r="I59" i="124"/>
  <c r="AO59" i="124"/>
  <c r="T60" i="124"/>
  <c r="I9" i="124"/>
  <c r="AG11" i="124"/>
  <c r="R25" i="124"/>
  <c r="L26" i="124"/>
  <c r="U55" i="124"/>
  <c r="Y2" i="124"/>
  <c r="AL2" i="124"/>
  <c r="V5" i="124"/>
  <c r="AA2" i="124"/>
  <c r="AO3" i="124"/>
  <c r="R4" i="124"/>
  <c r="AU5" i="124"/>
  <c r="AG10" i="124"/>
  <c r="Y11" i="124"/>
  <c r="L13" i="124"/>
  <c r="AE18" i="124"/>
  <c r="Z18" i="124"/>
  <c r="Y18" i="124"/>
  <c r="AP18" i="124"/>
  <c r="Z19" i="124"/>
  <c r="AO26" i="124"/>
  <c r="I26" i="124"/>
  <c r="T26" i="124"/>
  <c r="V29" i="124"/>
  <c r="O30" i="124"/>
  <c r="AG33" i="124"/>
  <c r="AA33" i="124"/>
  <c r="AU33" i="124"/>
  <c r="AL37" i="124"/>
  <c r="AP40" i="124"/>
  <c r="I40" i="124"/>
  <c r="AO40" i="124"/>
  <c r="AG44" i="124"/>
  <c r="AF58" i="124"/>
  <c r="AA58" i="124"/>
  <c r="Z58" i="124"/>
  <c r="AP59" i="124"/>
  <c r="AL5" i="124"/>
  <c r="AM5" i="124" s="1"/>
  <c r="AL4" i="124"/>
  <c r="AN4" i="124" s="1"/>
  <c r="K5" i="124"/>
  <c r="Y5" i="124"/>
  <c r="K13" i="124"/>
  <c r="V13" i="124"/>
  <c r="R3" i="124"/>
  <c r="L5" i="124"/>
  <c r="AP12" i="124"/>
  <c r="Y13" i="124"/>
  <c r="AU13" i="124"/>
  <c r="O16" i="124"/>
  <c r="I3" i="124"/>
  <c r="T3" i="124"/>
  <c r="Z4" i="124"/>
  <c r="AU4" i="124"/>
  <c r="M5" i="124"/>
  <c r="AJ10" i="124"/>
  <c r="AA11" i="124"/>
  <c r="M13" i="124"/>
  <c r="AA13" i="124"/>
  <c r="AA17" i="124"/>
  <c r="AG17" i="124"/>
  <c r="AF17" i="124"/>
  <c r="AA19" i="124"/>
  <c r="AG20" i="124"/>
  <c r="AJ20" i="124"/>
  <c r="AA21" i="124"/>
  <c r="AU21" i="124"/>
  <c r="AE25" i="124"/>
  <c r="AK25" i="124"/>
  <c r="AE26" i="124"/>
  <c r="AL26" i="124"/>
  <c r="Y26" i="124"/>
  <c r="V26" i="124"/>
  <c r="AP26" i="124"/>
  <c r="I27" i="124"/>
  <c r="AA28" i="124"/>
  <c r="V30" i="124"/>
  <c r="AL44" i="124"/>
  <c r="AU49" i="124"/>
  <c r="Y49" i="124"/>
  <c r="AL49" i="124"/>
  <c r="AE49" i="124"/>
  <c r="AP50" i="124"/>
  <c r="V53" i="124"/>
  <c r="U53" i="124"/>
  <c r="J53" i="124"/>
  <c r="AA45" i="124"/>
  <c r="O46" i="124"/>
  <c r="AE47" i="124"/>
  <c r="Y51" i="124"/>
  <c r="J52" i="124"/>
  <c r="Y52" i="124"/>
  <c r="AL52" i="124"/>
  <c r="AG56" i="124"/>
  <c r="AP58" i="124"/>
  <c r="Y59" i="124"/>
  <c r="AK59" i="124"/>
  <c r="I60" i="124"/>
  <c r="AG60" i="124"/>
  <c r="K61" i="124"/>
  <c r="U61" i="124"/>
  <c r="M62" i="124"/>
  <c r="J65" i="124"/>
  <c r="N65" i="124" s="1"/>
  <c r="K65" i="161" s="1"/>
  <c r="AG65" i="124"/>
  <c r="U32" i="124"/>
  <c r="AE38" i="124"/>
  <c r="AU41" i="124"/>
  <c r="I43" i="124"/>
  <c r="Z51" i="124"/>
  <c r="Z52" i="124"/>
  <c r="AJ53" i="124"/>
  <c r="AK56" i="124"/>
  <c r="Z59" i="124"/>
  <c r="AJ60" i="124"/>
  <c r="AU60" i="124"/>
  <c r="L61" i="124"/>
  <c r="V61" i="124"/>
  <c r="AU61" i="124"/>
  <c r="O62" i="124"/>
  <c r="S62" i="124" s="1"/>
  <c r="L62" i="159" s="1"/>
  <c r="I64" i="124"/>
  <c r="AO64" i="124"/>
  <c r="O65" i="124"/>
  <c r="S65" i="124" s="1"/>
  <c r="V21" i="124"/>
  <c r="R27" i="124"/>
  <c r="M28" i="124"/>
  <c r="AJ34" i="124"/>
  <c r="Z35" i="124"/>
  <c r="AG36" i="124"/>
  <c r="AK38" i="124"/>
  <c r="Z40" i="124"/>
  <c r="Z41" i="124"/>
  <c r="AO43" i="124"/>
  <c r="U46" i="124"/>
  <c r="Z60" i="124"/>
  <c r="AL60" i="124"/>
  <c r="AM60" i="124" s="1"/>
  <c r="AA61" i="124"/>
  <c r="U62" i="124"/>
  <c r="R65" i="124"/>
  <c r="AF52" i="124"/>
  <c r="AO60" i="124"/>
  <c r="V62" i="124"/>
  <c r="V65" i="124"/>
  <c r="O47" i="124"/>
  <c r="AG52" i="124"/>
  <c r="AU52" i="124"/>
  <c r="AJ61" i="124"/>
  <c r="Y65" i="124"/>
  <c r="M56" i="124"/>
  <c r="K59" i="124"/>
  <c r="AK61" i="124"/>
  <c r="K62" i="124"/>
  <c r="Z65" i="124"/>
  <c r="K10" i="161"/>
  <c r="K10" i="159"/>
  <c r="K10" i="158"/>
  <c r="T6" i="124"/>
  <c r="L6" i="124"/>
  <c r="R6" i="124"/>
  <c r="J6" i="124"/>
  <c r="N6" i="124" s="1"/>
  <c r="D4" i="146"/>
  <c r="AV4" i="124"/>
  <c r="AV7" i="124"/>
  <c r="V10" i="124"/>
  <c r="Q12" i="124"/>
  <c r="O12" i="124"/>
  <c r="V12" i="124"/>
  <c r="T12" i="124"/>
  <c r="J13" i="161"/>
  <c r="J13" i="159"/>
  <c r="J13" i="158"/>
  <c r="AF14" i="124"/>
  <c r="AJ14" i="124"/>
  <c r="AA14" i="124"/>
  <c r="Z14" i="124"/>
  <c r="AG14" i="124"/>
  <c r="Y14" i="124"/>
  <c r="AS18" i="124"/>
  <c r="AO30" i="124"/>
  <c r="AP30" i="124"/>
  <c r="I30" i="124"/>
  <c r="AO4" i="124"/>
  <c r="I4" i="124"/>
  <c r="U6" i="124"/>
  <c r="K6" i="124"/>
  <c r="V6" i="124"/>
  <c r="AF6" i="124"/>
  <c r="AU9" i="124"/>
  <c r="AL9" i="124"/>
  <c r="AJ9" i="124"/>
  <c r="AA9" i="124"/>
  <c r="AE9" i="124"/>
  <c r="AH12" i="124"/>
  <c r="R24" i="124"/>
  <c r="J24" i="124"/>
  <c r="N24" i="124" s="1"/>
  <c r="O24" i="124"/>
  <c r="V24" i="124"/>
  <c r="U24" i="124"/>
  <c r="M24" i="124"/>
  <c r="T24" i="124"/>
  <c r="L24" i="124"/>
  <c r="K24" i="124"/>
  <c r="AP29" i="124"/>
  <c r="AO29" i="124"/>
  <c r="I29" i="124"/>
  <c r="AF30" i="124"/>
  <c r="AU30" i="124"/>
  <c r="AK30" i="124"/>
  <c r="AJ30" i="124"/>
  <c r="AA30" i="124"/>
  <c r="Z30" i="124"/>
  <c r="AG30" i="124"/>
  <c r="Y30" i="124"/>
  <c r="AL30" i="124"/>
  <c r="D41" i="146"/>
  <c r="AV41" i="124"/>
  <c r="AT41" i="124"/>
  <c r="O2" i="124"/>
  <c r="O10" i="124"/>
  <c r="U10" i="124"/>
  <c r="M10" i="124"/>
  <c r="T10" i="124"/>
  <c r="L10" i="124"/>
  <c r="M6" i="124"/>
  <c r="AG6" i="124"/>
  <c r="BC75" i="124"/>
  <c r="Z7" i="124"/>
  <c r="V9" i="124"/>
  <c r="U9" i="124"/>
  <c r="AF9" i="124"/>
  <c r="K10" i="124"/>
  <c r="K12" i="124"/>
  <c r="AI12" i="124"/>
  <c r="D7" i="146"/>
  <c r="AE6" i="124"/>
  <c r="J2" i="124"/>
  <c r="Q4" i="124"/>
  <c r="O4" i="124"/>
  <c r="AF3" i="124"/>
  <c r="AU3" i="124"/>
  <c r="AL3" i="124"/>
  <c r="AM3" i="124" s="1"/>
  <c r="Z5" i="124"/>
  <c r="AG5" i="124"/>
  <c r="T7" i="124"/>
  <c r="J7" i="124"/>
  <c r="J7" i="161"/>
  <c r="J7" i="159"/>
  <c r="J7" i="158"/>
  <c r="AK8" i="124"/>
  <c r="AA8" i="124"/>
  <c r="Z8" i="124"/>
  <c r="J8" i="161"/>
  <c r="J8" i="159"/>
  <c r="J8" i="158"/>
  <c r="AO8" i="124"/>
  <c r="AG9" i="124"/>
  <c r="L12" i="124"/>
  <c r="AO15" i="124"/>
  <c r="I15" i="124"/>
  <c r="AP15" i="124"/>
  <c r="Z16" i="124"/>
  <c r="AU16" i="124"/>
  <c r="AL16" i="124"/>
  <c r="AK16" i="124"/>
  <c r="AJ16" i="124"/>
  <c r="AA16" i="124"/>
  <c r="Y16" i="124"/>
  <c r="D18" i="146"/>
  <c r="AV18" i="124"/>
  <c r="AP22" i="124"/>
  <c r="AO22" i="124"/>
  <c r="I22" i="124"/>
  <c r="P24" i="124"/>
  <c r="D3" i="146"/>
  <c r="Z3" i="124"/>
  <c r="J4" i="161"/>
  <c r="J4" i="159"/>
  <c r="J4" i="158"/>
  <c r="AP4" i="124"/>
  <c r="AA3" i="124"/>
  <c r="AJ3" i="124"/>
  <c r="AV3" i="124"/>
  <c r="K4" i="124"/>
  <c r="U4" i="124"/>
  <c r="AK3" i="124"/>
  <c r="L4" i="124"/>
  <c r="V4" i="124"/>
  <c r="AH4" i="124"/>
  <c r="J5" i="161"/>
  <c r="J5" i="159"/>
  <c r="J5" i="158"/>
  <c r="O6" i="124"/>
  <c r="Y6" i="124"/>
  <c r="AK6" i="124"/>
  <c r="I7" i="124"/>
  <c r="U7" i="124"/>
  <c r="AE7" i="124"/>
  <c r="AO7" i="124"/>
  <c r="U8" i="124"/>
  <c r="AE8" i="124"/>
  <c r="J9" i="124"/>
  <c r="P10" i="124"/>
  <c r="M12" i="124"/>
  <c r="AU14" i="124"/>
  <c r="AG15" i="124"/>
  <c r="Y15" i="124"/>
  <c r="AJ15" i="124"/>
  <c r="AA15" i="124"/>
  <c r="Z15" i="124"/>
  <c r="J15" i="161"/>
  <c r="J15" i="159"/>
  <c r="J15" i="158"/>
  <c r="J16" i="124"/>
  <c r="V16" i="124"/>
  <c r="O17" i="124"/>
  <c r="V17" i="124"/>
  <c r="U17" i="124"/>
  <c r="J21" i="161"/>
  <c r="J21" i="159"/>
  <c r="J21" i="158"/>
  <c r="AF22" i="124"/>
  <c r="AJ22" i="124"/>
  <c r="AA22" i="124"/>
  <c r="Z22" i="124"/>
  <c r="AG22" i="124"/>
  <c r="Y22" i="124"/>
  <c r="Q24" i="124"/>
  <c r="J2" i="161"/>
  <c r="J2" i="159"/>
  <c r="J2" i="158"/>
  <c r="V2" i="124"/>
  <c r="AI3" i="124"/>
  <c r="AT3" i="124"/>
  <c r="J4" i="124"/>
  <c r="N4" i="124" s="1"/>
  <c r="T4" i="124"/>
  <c r="M4" i="124"/>
  <c r="AI4" i="124"/>
  <c r="I5" i="124"/>
  <c r="AE5" i="124"/>
  <c r="AP5" i="124"/>
  <c r="P6" i="124"/>
  <c r="AA6" i="124"/>
  <c r="V7" i="124"/>
  <c r="AF7" i="124"/>
  <c r="I8" i="124"/>
  <c r="AF8" i="124"/>
  <c r="Y9" i="124"/>
  <c r="AK9" i="124"/>
  <c r="Q10" i="124"/>
  <c r="J10" i="161"/>
  <c r="J10" i="159"/>
  <c r="J10" i="158"/>
  <c r="AF11" i="124"/>
  <c r="AU11" i="124"/>
  <c r="AL11" i="124"/>
  <c r="AM11" i="124" s="1"/>
  <c r="Z11" i="124"/>
  <c r="AJ11" i="124"/>
  <c r="P12" i="124"/>
  <c r="J14" i="161"/>
  <c r="J14" i="159"/>
  <c r="J14" i="158"/>
  <c r="U15" i="124"/>
  <c r="T15" i="124"/>
  <c r="L15" i="124"/>
  <c r="J15" i="124"/>
  <c r="AE15" i="124"/>
  <c r="AE16" i="124"/>
  <c r="AP21" i="124"/>
  <c r="AO21" i="124"/>
  <c r="I21" i="124"/>
  <c r="AJ6" i="124"/>
  <c r="Z6" i="124"/>
  <c r="R10" i="124"/>
  <c r="AP13" i="124"/>
  <c r="AO13" i="124"/>
  <c r="D19" i="146"/>
  <c r="AV19" i="124"/>
  <c r="AG23" i="124"/>
  <c r="Y23" i="124"/>
  <c r="AU23" i="124"/>
  <c r="AL23" i="124"/>
  <c r="AK23" i="124"/>
  <c r="AJ23" i="124"/>
  <c r="AA23" i="124"/>
  <c r="Z23" i="124"/>
  <c r="AF23" i="124"/>
  <c r="D25" i="146"/>
  <c r="AI25" i="124"/>
  <c r="AV25" i="124"/>
  <c r="J29" i="161"/>
  <c r="J29" i="159"/>
  <c r="J29" i="158"/>
  <c r="J6" i="161"/>
  <c r="J6" i="159"/>
  <c r="J6" i="158"/>
  <c r="D12" i="146"/>
  <c r="AV12" i="124"/>
  <c r="AP14" i="124"/>
  <c r="AO14" i="124"/>
  <c r="I14" i="124"/>
  <c r="D16" i="146"/>
  <c r="AT16" i="124"/>
  <c r="J22" i="161"/>
  <c r="J22" i="159"/>
  <c r="J22" i="158"/>
  <c r="Q23" i="124"/>
  <c r="V23" i="124"/>
  <c r="U23" i="124"/>
  <c r="M23" i="124"/>
  <c r="T23" i="124"/>
  <c r="L23" i="124"/>
  <c r="K23" i="124"/>
  <c r="R23" i="124"/>
  <c r="J23" i="124"/>
  <c r="N23" i="124" s="1"/>
  <c r="AH25" i="124"/>
  <c r="J30" i="161"/>
  <c r="J30" i="159"/>
  <c r="J30" i="158"/>
  <c r="J12" i="161"/>
  <c r="J12" i="159"/>
  <c r="J12" i="158"/>
  <c r="AK19" i="124"/>
  <c r="AE21" i="124"/>
  <c r="K25" i="124"/>
  <c r="AK27" i="124"/>
  <c r="J31" i="161"/>
  <c r="J31" i="159"/>
  <c r="J31" i="158"/>
  <c r="J3" i="161"/>
  <c r="J3" i="159"/>
  <c r="J3" i="158"/>
  <c r="AE4" i="124"/>
  <c r="P5" i="124"/>
  <c r="J11" i="161"/>
  <c r="J11" i="159"/>
  <c r="J11" i="158"/>
  <c r="AE12" i="124"/>
  <c r="P13" i="124"/>
  <c r="AF13" i="124"/>
  <c r="U18" i="124"/>
  <c r="J19" i="161"/>
  <c r="J19" i="159"/>
  <c r="J19" i="158"/>
  <c r="AL19" i="124"/>
  <c r="AU19" i="124"/>
  <c r="O20" i="124"/>
  <c r="AE20" i="124"/>
  <c r="AF21" i="124"/>
  <c r="AP23" i="124"/>
  <c r="AA24" i="124"/>
  <c r="L25" i="124"/>
  <c r="T25" i="124"/>
  <c r="AJ25" i="124"/>
  <c r="M26" i="124"/>
  <c r="U26" i="124"/>
  <c r="J27" i="161"/>
  <c r="J27" i="159"/>
  <c r="J27" i="158"/>
  <c r="AL27" i="124"/>
  <c r="AU27" i="124"/>
  <c r="O28" i="124"/>
  <c r="AE28" i="124"/>
  <c r="AF29" i="124"/>
  <c r="M31" i="124"/>
  <c r="V31" i="124"/>
  <c r="AE31" i="124"/>
  <c r="M32" i="124"/>
  <c r="V32" i="124"/>
  <c r="AE32" i="124"/>
  <c r="J33" i="161"/>
  <c r="J33" i="159"/>
  <c r="J33" i="158"/>
  <c r="J34" i="161"/>
  <c r="J34" i="159"/>
  <c r="J34" i="158"/>
  <c r="J35" i="124"/>
  <c r="AJ35" i="124"/>
  <c r="Y37" i="124"/>
  <c r="V39" i="124"/>
  <c r="AE39" i="124"/>
  <c r="V40" i="124"/>
  <c r="AE40" i="124"/>
  <c r="J41" i="161"/>
  <c r="J41" i="159"/>
  <c r="J41" i="158"/>
  <c r="J42" i="161"/>
  <c r="J42" i="159"/>
  <c r="J42" i="158"/>
  <c r="J43" i="124"/>
  <c r="AJ43" i="124"/>
  <c r="AA47" i="124"/>
  <c r="Z47" i="124"/>
  <c r="AG47" i="124"/>
  <c r="Y47" i="124"/>
  <c r="AF47" i="124"/>
  <c r="Y48" i="124"/>
  <c r="AJ49" i="124"/>
  <c r="AA49" i="124"/>
  <c r="AF49" i="124"/>
  <c r="Y50" i="124"/>
  <c r="AO53" i="124"/>
  <c r="I53" i="124"/>
  <c r="AP54" i="124"/>
  <c r="AO54" i="124"/>
  <c r="I54" i="124"/>
  <c r="J54" i="161"/>
  <c r="J54" i="159"/>
  <c r="J54" i="158"/>
  <c r="J55" i="124"/>
  <c r="AJ55" i="124"/>
  <c r="AU55" i="124"/>
  <c r="O56" i="124"/>
  <c r="I57" i="124"/>
  <c r="P58" i="124"/>
  <c r="AE58" i="124"/>
  <c r="P59" i="124"/>
  <c r="J18" i="161"/>
  <c r="J18" i="159"/>
  <c r="J18" i="158"/>
  <c r="AE19" i="124"/>
  <c r="D21" i="146"/>
  <c r="AE27" i="124"/>
  <c r="Y29" i="124"/>
  <c r="AG29" i="124"/>
  <c r="J30" i="124"/>
  <c r="V33" i="124"/>
  <c r="AK35" i="124"/>
  <c r="I36" i="124"/>
  <c r="AO38" i="124"/>
  <c r="I38" i="124"/>
  <c r="AE41" i="124"/>
  <c r="AE42" i="124"/>
  <c r="I44" i="124"/>
  <c r="I45" i="124"/>
  <c r="J47" i="124"/>
  <c r="V47" i="124"/>
  <c r="O48" i="124"/>
  <c r="U49" i="124"/>
  <c r="V49" i="124"/>
  <c r="D49" i="146"/>
  <c r="AT49" i="124"/>
  <c r="O50" i="124"/>
  <c r="Z50" i="124"/>
  <c r="D53" i="146"/>
  <c r="AV53" i="124"/>
  <c r="AP53" i="124"/>
  <c r="Z54" i="124"/>
  <c r="AG54" i="124"/>
  <c r="Y54" i="124"/>
  <c r="AF54" i="124"/>
  <c r="AE54" i="124"/>
  <c r="AK55" i="124"/>
  <c r="P56" i="124"/>
  <c r="J56" i="161"/>
  <c r="J56" i="159"/>
  <c r="J56" i="158"/>
  <c r="AO56" i="124"/>
  <c r="Q59" i="124"/>
  <c r="M25" i="124"/>
  <c r="U25" i="124"/>
  <c r="J26" i="161"/>
  <c r="J26" i="159"/>
  <c r="J26" i="158"/>
  <c r="P28" i="124"/>
  <c r="V34" i="124"/>
  <c r="AE2" i="124"/>
  <c r="Y4" i="124"/>
  <c r="J5" i="124"/>
  <c r="N5" i="124" s="1"/>
  <c r="J9" i="161"/>
  <c r="J9" i="159"/>
  <c r="J9" i="158"/>
  <c r="I12" i="124"/>
  <c r="Y12" i="124"/>
  <c r="J13" i="124"/>
  <c r="N13" i="124" s="1"/>
  <c r="Z13" i="124"/>
  <c r="J17" i="161"/>
  <c r="J17" i="159"/>
  <c r="J17" i="158"/>
  <c r="AL17" i="124"/>
  <c r="AU17" i="124"/>
  <c r="O18" i="124"/>
  <c r="AF19" i="124"/>
  <c r="I20" i="124"/>
  <c r="Y20" i="124"/>
  <c r="AO20" i="124"/>
  <c r="J21" i="124"/>
  <c r="Z21" i="124"/>
  <c r="AK24" i="124"/>
  <c r="V25" i="124"/>
  <c r="J25" i="161"/>
  <c r="J25" i="159"/>
  <c r="J25" i="158"/>
  <c r="AU25" i="124"/>
  <c r="O26" i="124"/>
  <c r="AF27" i="124"/>
  <c r="I28" i="124"/>
  <c r="Q28" i="124"/>
  <c r="Y28" i="124"/>
  <c r="AO28" i="124"/>
  <c r="J29" i="124"/>
  <c r="Z29" i="124"/>
  <c r="O31" i="124"/>
  <c r="AG31" i="124"/>
  <c r="O32" i="124"/>
  <c r="AG32" i="124"/>
  <c r="AF33" i="124"/>
  <c r="AO33" i="124"/>
  <c r="AF34" i="124"/>
  <c r="AO34" i="124"/>
  <c r="J36" i="124"/>
  <c r="I37" i="124"/>
  <c r="AA37" i="124"/>
  <c r="AJ37" i="124"/>
  <c r="AG38" i="124"/>
  <c r="Y38" i="124"/>
  <c r="Z38" i="124"/>
  <c r="O39" i="124"/>
  <c r="AG39" i="124"/>
  <c r="O40" i="124"/>
  <c r="AG40" i="124"/>
  <c r="AF41" i="124"/>
  <c r="AO41" i="124"/>
  <c r="AF42" i="124"/>
  <c r="AO42" i="124"/>
  <c r="U43" i="124"/>
  <c r="J44" i="124"/>
  <c r="AO45" i="124"/>
  <c r="Z46" i="124"/>
  <c r="AJ46" i="124"/>
  <c r="AU46" i="124"/>
  <c r="J48" i="161"/>
  <c r="J48" i="159"/>
  <c r="J48" i="158"/>
  <c r="AO48" i="124"/>
  <c r="I49" i="124"/>
  <c r="AV49" i="124"/>
  <c r="O51" i="124"/>
  <c r="V51" i="124"/>
  <c r="U51" i="124"/>
  <c r="Q56" i="124"/>
  <c r="Y57" i="124"/>
  <c r="AG58" i="124"/>
  <c r="Y58" i="124"/>
  <c r="AU58" i="124"/>
  <c r="AL58" i="124"/>
  <c r="AJ58" i="124"/>
  <c r="J16" i="161"/>
  <c r="J16" i="159"/>
  <c r="J16" i="158"/>
  <c r="AE17" i="124"/>
  <c r="Y19" i="124"/>
  <c r="J20" i="124"/>
  <c r="J24" i="161"/>
  <c r="J24" i="159"/>
  <c r="J24" i="158"/>
  <c r="AU24" i="124"/>
  <c r="O25" i="124"/>
  <c r="Y27" i="124"/>
  <c r="AG27" i="124"/>
  <c r="J28" i="124"/>
  <c r="N28" i="124" s="1"/>
  <c r="R28" i="124"/>
  <c r="AA29" i="124"/>
  <c r="T30" i="124"/>
  <c r="Y31" i="124"/>
  <c r="Y32" i="124"/>
  <c r="O33" i="124"/>
  <c r="O34" i="124"/>
  <c r="AG34" i="124"/>
  <c r="AE35" i="124"/>
  <c r="Y39" i="124"/>
  <c r="Y40" i="124"/>
  <c r="O41" i="124"/>
  <c r="O42" i="124"/>
  <c r="AG42" i="124"/>
  <c r="AE43" i="124"/>
  <c r="J45" i="161"/>
  <c r="J45" i="159"/>
  <c r="J45" i="158"/>
  <c r="AO46" i="124"/>
  <c r="I46" i="124"/>
  <c r="AA46" i="124"/>
  <c r="J49" i="124"/>
  <c r="J53" i="161"/>
  <c r="J53" i="159"/>
  <c r="J53" i="158"/>
  <c r="AJ56" i="124"/>
  <c r="AA56" i="124"/>
  <c r="Z56" i="124"/>
  <c r="AF56" i="124"/>
  <c r="Z57" i="124"/>
  <c r="Q58" i="124"/>
  <c r="V58" i="124"/>
  <c r="U58" i="124"/>
  <c r="M58" i="124"/>
  <c r="T58" i="124"/>
  <c r="L58" i="124"/>
  <c r="AP62" i="124"/>
  <c r="AO62" i="124"/>
  <c r="I62" i="124"/>
  <c r="J23" i="161"/>
  <c r="J23" i="159"/>
  <c r="J23" i="158"/>
  <c r="AE24" i="124"/>
  <c r="K28" i="124"/>
  <c r="AJ29" i="124"/>
  <c r="BC77" i="124"/>
  <c r="M30" i="124"/>
  <c r="U30" i="124"/>
  <c r="J31" i="124"/>
  <c r="AJ33" i="124"/>
  <c r="Y33" i="124"/>
  <c r="Y34" i="124"/>
  <c r="O35" i="124"/>
  <c r="J36" i="161"/>
  <c r="J36" i="159"/>
  <c r="J36" i="158"/>
  <c r="J39" i="124"/>
  <c r="AJ41" i="124"/>
  <c r="Y41" i="124"/>
  <c r="Y42" i="124"/>
  <c r="O43" i="124"/>
  <c r="J44" i="161"/>
  <c r="J44" i="159"/>
  <c r="J44" i="158"/>
  <c r="AG46" i="124"/>
  <c r="Y46" i="124"/>
  <c r="AF46" i="124"/>
  <c r="AL46" i="124"/>
  <c r="AJ48" i="124"/>
  <c r="AA48" i="124"/>
  <c r="Z48" i="124"/>
  <c r="AF48" i="124"/>
  <c r="AU50" i="124"/>
  <c r="AK50" i="124"/>
  <c r="AE50" i="124"/>
  <c r="J51" i="124"/>
  <c r="T56" i="124"/>
  <c r="L56" i="124"/>
  <c r="K56" i="124"/>
  <c r="R56" i="124"/>
  <c r="J56" i="124"/>
  <c r="N56" i="124" s="1"/>
  <c r="V56" i="124"/>
  <c r="J57" i="161"/>
  <c r="J57" i="159"/>
  <c r="J57" i="158"/>
  <c r="AO57" i="124"/>
  <c r="R59" i="124"/>
  <c r="J59" i="124"/>
  <c r="N59" i="124" s="1"/>
  <c r="O59" i="124"/>
  <c r="V59" i="124"/>
  <c r="U59" i="124"/>
  <c r="M59" i="124"/>
  <c r="AE62" i="124"/>
  <c r="AK62" i="124"/>
  <c r="AA62" i="124"/>
  <c r="Z62" i="124"/>
  <c r="AG62" i="124"/>
  <c r="Y62" i="124"/>
  <c r="AF62" i="124"/>
  <c r="AU35" i="124"/>
  <c r="Y35" i="124"/>
  <c r="AG35" i="124"/>
  <c r="AO36" i="124"/>
  <c r="J37" i="161"/>
  <c r="J37" i="159"/>
  <c r="J37" i="158"/>
  <c r="AU43" i="124"/>
  <c r="AL43" i="124"/>
  <c r="Y43" i="124"/>
  <c r="AG43" i="124"/>
  <c r="AO44" i="124"/>
  <c r="J48" i="124"/>
  <c r="V48" i="124"/>
  <c r="V50" i="124"/>
  <c r="U50" i="124"/>
  <c r="J55" i="161"/>
  <c r="J55" i="159"/>
  <c r="J55" i="158"/>
  <c r="Q64" i="124"/>
  <c r="O64" i="124"/>
  <c r="V64" i="124"/>
  <c r="U64" i="124"/>
  <c r="M64" i="124"/>
  <c r="T64" i="124"/>
  <c r="L64" i="124"/>
  <c r="K64" i="124"/>
  <c r="R64" i="124"/>
  <c r="J64" i="124"/>
  <c r="N64" i="124" s="1"/>
  <c r="J38" i="161"/>
  <c r="J38" i="159"/>
  <c r="J38" i="158"/>
  <c r="Z43" i="124"/>
  <c r="J46" i="161"/>
  <c r="J46" i="159"/>
  <c r="J46" i="158"/>
  <c r="J47" i="161"/>
  <c r="J47" i="159"/>
  <c r="J47" i="158"/>
  <c r="J49" i="161"/>
  <c r="J49" i="159"/>
  <c r="J49" i="158"/>
  <c r="AP55" i="124"/>
  <c r="AO55" i="124"/>
  <c r="I55" i="124"/>
  <c r="AK57" i="124"/>
  <c r="AJ57" i="124"/>
  <c r="AA57" i="124"/>
  <c r="AF57" i="124"/>
  <c r="AP61" i="124"/>
  <c r="AO61" i="124"/>
  <c r="I61" i="124"/>
  <c r="J20" i="161"/>
  <c r="J20" i="159"/>
  <c r="J20" i="158"/>
  <c r="I23" i="124"/>
  <c r="J28" i="161"/>
  <c r="J28" i="159"/>
  <c r="J28" i="158"/>
  <c r="J32" i="161"/>
  <c r="J32" i="159"/>
  <c r="J32" i="158"/>
  <c r="J33" i="124"/>
  <c r="J34" i="124"/>
  <c r="AA35" i="124"/>
  <c r="J39" i="161"/>
  <c r="J39" i="159"/>
  <c r="J39" i="158"/>
  <c r="J40" i="161"/>
  <c r="J40" i="159"/>
  <c r="J40" i="158"/>
  <c r="J41" i="124"/>
  <c r="J42" i="124"/>
  <c r="AA43" i="124"/>
  <c r="AE46" i="124"/>
  <c r="AP47" i="124"/>
  <c r="AO47" i="124"/>
  <c r="I47" i="124"/>
  <c r="AL48" i="124"/>
  <c r="J50" i="124"/>
  <c r="AA55" i="124"/>
  <c r="Z55" i="124"/>
  <c r="AG55" i="124"/>
  <c r="Y55" i="124"/>
  <c r="AF55" i="124"/>
  <c r="Y56" i="124"/>
  <c r="U57" i="124"/>
  <c r="M57" i="124"/>
  <c r="T57" i="124"/>
  <c r="L57" i="124"/>
  <c r="K57" i="124"/>
  <c r="V57" i="124"/>
  <c r="AG57" i="124"/>
  <c r="AU57" i="124"/>
  <c r="O58" i="124"/>
  <c r="L59" i="124"/>
  <c r="J61" i="161"/>
  <c r="J61" i="159"/>
  <c r="J61" i="158"/>
  <c r="J62" i="161"/>
  <c r="J62" i="159"/>
  <c r="J62" i="158"/>
  <c r="AF63" i="124"/>
  <c r="AU63" i="124"/>
  <c r="AL63" i="124"/>
  <c r="AK63" i="124"/>
  <c r="AJ63" i="124"/>
  <c r="AA63" i="124"/>
  <c r="Z63" i="124"/>
  <c r="AG63" i="124"/>
  <c r="Y63" i="124"/>
  <c r="P64" i="124"/>
  <c r="AE45" i="124"/>
  <c r="V52" i="124"/>
  <c r="J52" i="161"/>
  <c r="J52" i="159"/>
  <c r="J52" i="158"/>
  <c r="AE53" i="124"/>
  <c r="J60" i="161"/>
  <c r="J60" i="159"/>
  <c r="J60" i="158"/>
  <c r="AE61" i="124"/>
  <c r="P62" i="124"/>
  <c r="I63" i="124"/>
  <c r="Q63" i="124"/>
  <c r="AO63" i="124"/>
  <c r="Z64" i="124"/>
  <c r="K65" i="124"/>
  <c r="AA65" i="124"/>
  <c r="J35" i="161"/>
  <c r="J35" i="159"/>
  <c r="J35" i="158"/>
  <c r="J43" i="161"/>
  <c r="J43" i="159"/>
  <c r="J43" i="158"/>
  <c r="J51" i="161"/>
  <c r="J51" i="159"/>
  <c r="J51" i="158"/>
  <c r="AL51" i="124"/>
  <c r="AU51" i="124"/>
  <c r="O52" i="124"/>
  <c r="AF53" i="124"/>
  <c r="J59" i="161"/>
  <c r="J59" i="159"/>
  <c r="J59" i="158"/>
  <c r="AL59" i="124"/>
  <c r="AN59" i="124" s="1"/>
  <c r="AU59" i="124"/>
  <c r="O60" i="124"/>
  <c r="AE60" i="124"/>
  <c r="P61" i="124"/>
  <c r="AF61" i="124"/>
  <c r="Q62" i="124"/>
  <c r="J63" i="124"/>
  <c r="N63" i="124" s="1"/>
  <c r="R63" i="124"/>
  <c r="AA64" i="124"/>
  <c r="L65" i="124"/>
  <c r="T65" i="124"/>
  <c r="AJ65" i="124"/>
  <c r="J50" i="161"/>
  <c r="J50" i="159"/>
  <c r="J50" i="158"/>
  <c r="Y53" i="124"/>
  <c r="J54" i="124"/>
  <c r="J58" i="161"/>
  <c r="J58" i="159"/>
  <c r="J58" i="158"/>
  <c r="Y61" i="124"/>
  <c r="J62" i="124"/>
  <c r="N62" i="124" s="1"/>
  <c r="K63" i="124"/>
  <c r="M65" i="124"/>
  <c r="U65" i="124"/>
  <c r="AK65" i="124"/>
  <c r="L63" i="124"/>
  <c r="T63" i="124"/>
  <c r="J65" i="161"/>
  <c r="J65" i="159"/>
  <c r="J65" i="158"/>
  <c r="AL65" i="124"/>
  <c r="AM65" i="124" s="1"/>
  <c r="AU65" i="124"/>
  <c r="M63" i="124"/>
  <c r="U63" i="124"/>
  <c r="J64" i="161"/>
  <c r="J64" i="159"/>
  <c r="J64" i="158"/>
  <c r="AE65" i="124"/>
  <c r="V63" i="124"/>
  <c r="J63" i="161"/>
  <c r="J63" i="159"/>
  <c r="J63" i="158"/>
  <c r="J130" i="127"/>
  <c r="T114" i="127"/>
  <c r="G239" i="127"/>
  <c r="O239" i="127"/>
  <c r="K104" i="127"/>
  <c r="T99" i="127"/>
  <c r="L193" i="127"/>
  <c r="I193" i="127"/>
  <c r="Q193" i="127"/>
  <c r="J202" i="127"/>
  <c r="R202" i="127"/>
  <c r="J104" i="127"/>
  <c r="H104" i="127"/>
  <c r="P130" i="127"/>
  <c r="T191" i="127"/>
  <c r="L236" i="127"/>
  <c r="T236" i="127"/>
  <c r="AK236" i="127"/>
  <c r="J237" i="127"/>
  <c r="R237" i="127"/>
  <c r="H238" i="127"/>
  <c r="P238" i="127"/>
  <c r="L233" i="127"/>
  <c r="J234" i="127"/>
  <c r="R234" i="127"/>
  <c r="H235" i="127"/>
  <c r="P235" i="127"/>
  <c r="J236" i="127"/>
  <c r="R236" i="127"/>
  <c r="H237" i="127"/>
  <c r="P237" i="127"/>
  <c r="N238" i="127"/>
  <c r="Y238" i="127"/>
  <c r="AG238" i="127"/>
  <c r="K130" i="127"/>
  <c r="T93" i="127"/>
  <c r="Y190" i="127"/>
  <c r="Y193" i="127" s="1"/>
  <c r="AK88" i="127"/>
  <c r="AK208" i="127" s="1"/>
  <c r="AH191" i="127"/>
  <c r="N193" i="127"/>
  <c r="T109" i="127"/>
  <c r="T173" i="127"/>
  <c r="J239" i="127"/>
  <c r="R239" i="127"/>
  <c r="AF220" i="127"/>
  <c r="L229" i="127"/>
  <c r="T76" i="127"/>
  <c r="AK114" i="127"/>
  <c r="N233" i="127"/>
  <c r="Y233" i="127"/>
  <c r="AG233" i="127"/>
  <c r="L234" i="127"/>
  <c r="T234" i="127"/>
  <c r="AK234" i="127"/>
  <c r="J235" i="127"/>
  <c r="R235" i="127"/>
  <c r="N236" i="127"/>
  <c r="L237" i="127"/>
  <c r="J238" i="127"/>
  <c r="R238" i="127"/>
  <c r="K239" i="127"/>
  <c r="K211" i="127"/>
  <c r="M211" i="127"/>
  <c r="N220" i="127"/>
  <c r="M229" i="127"/>
  <c r="G233" i="127"/>
  <c r="O233" i="127"/>
  <c r="AH233" i="127"/>
  <c r="M234" i="127"/>
  <c r="K235" i="127"/>
  <c r="G236" i="127"/>
  <c r="O236" i="127"/>
  <c r="AF236" i="127"/>
  <c r="M237" i="127"/>
  <c r="AF237" i="127"/>
  <c r="K238" i="127"/>
  <c r="L239" i="127"/>
  <c r="L211" i="127"/>
  <c r="L220" i="127"/>
  <c r="K193" i="127"/>
  <c r="J193" i="127"/>
  <c r="R193" i="127"/>
  <c r="H233" i="127"/>
  <c r="P233" i="127"/>
  <c r="N234" i="127"/>
  <c r="L235" i="127"/>
  <c r="H236" i="127"/>
  <c r="P236" i="127"/>
  <c r="Y236" i="127"/>
  <c r="AG236" i="127"/>
  <c r="N237" i="127"/>
  <c r="Y237" i="127"/>
  <c r="AG237" i="127"/>
  <c r="L238" i="127"/>
  <c r="M239" i="127"/>
  <c r="AF239" i="127"/>
  <c r="J229" i="127"/>
  <c r="R229" i="127"/>
  <c r="S224" i="127"/>
  <c r="S93" i="127"/>
  <c r="AK99" i="127"/>
  <c r="S109" i="127"/>
  <c r="AK109" i="127"/>
  <c r="S218" i="127"/>
  <c r="S215" i="127"/>
  <c r="S103" i="127"/>
  <c r="S114" i="127"/>
  <c r="AK103" i="127"/>
  <c r="AK180" i="127"/>
  <c r="AK17" i="127"/>
  <c r="AK186" i="127"/>
  <c r="AK204" i="127"/>
  <c r="AK222" i="127"/>
  <c r="N104" i="127"/>
  <c r="N130" i="127"/>
  <c r="R130" i="127"/>
  <c r="R104" i="127"/>
  <c r="R174" i="127" s="1"/>
  <c r="R181" i="127" s="1"/>
  <c r="T205" i="127"/>
  <c r="T187" i="127"/>
  <c r="T67" i="127"/>
  <c r="S197" i="127"/>
  <c r="S207" i="127"/>
  <c r="S189" i="127"/>
  <c r="S76" i="127"/>
  <c r="O130" i="127"/>
  <c r="M130" i="127"/>
  <c r="M104" i="127"/>
  <c r="T197" i="127"/>
  <c r="Q130" i="127"/>
  <c r="Q104" i="127"/>
  <c r="G130" i="127"/>
  <c r="G104" i="127"/>
  <c r="AG206" i="127"/>
  <c r="AG188" i="127"/>
  <c r="H130" i="127"/>
  <c r="P104" i="127"/>
  <c r="P174" i="127" s="1"/>
  <c r="P181" i="127" s="1"/>
  <c r="T26" i="127"/>
  <c r="AF206" i="127"/>
  <c r="AF188" i="127"/>
  <c r="AF67" i="127"/>
  <c r="AK44" i="127"/>
  <c r="L104" i="127"/>
  <c r="L174" i="127" s="1"/>
  <c r="L181" i="127" s="1"/>
  <c r="L130" i="127"/>
  <c r="AK37" i="127"/>
  <c r="AG67" i="127"/>
  <c r="S67" i="127"/>
  <c r="S205" i="127"/>
  <c r="S187" i="127"/>
  <c r="S26" i="127"/>
  <c r="AH209" i="127"/>
  <c r="AK170" i="127"/>
  <c r="AK209" i="127" s="1"/>
  <c r="S186" i="127"/>
  <c r="S204" i="127"/>
  <c r="S199" i="127"/>
  <c r="S237" i="127" s="1"/>
  <c r="T200" i="127"/>
  <c r="T17" i="127"/>
  <c r="T186" i="127"/>
  <c r="T204" i="127"/>
  <c r="S195" i="127"/>
  <c r="S233" i="127" s="1"/>
  <c r="S17" i="127"/>
  <c r="T199" i="127"/>
  <c r="T237" i="127" s="1"/>
  <c r="AK199" i="127"/>
  <c r="S227" i="127"/>
  <c r="AH173" i="127"/>
  <c r="T227" i="127"/>
  <c r="S180" i="127"/>
  <c r="M193" i="127"/>
  <c r="M233" i="127"/>
  <c r="M202" i="127"/>
  <c r="G193" i="127"/>
  <c r="O193" i="127"/>
  <c r="AH239" i="127"/>
  <c r="T215" i="127"/>
  <c r="T207" i="127"/>
  <c r="S209" i="127"/>
  <c r="H193" i="127"/>
  <c r="P193" i="127"/>
  <c r="AK195" i="127"/>
  <c r="S206" i="127"/>
  <c r="S188" i="127"/>
  <c r="S208" i="127"/>
  <c r="S190" i="127"/>
  <c r="S99" i="127"/>
  <c r="T209" i="127"/>
  <c r="AK227" i="127"/>
  <c r="S201" i="127"/>
  <c r="S192" i="127"/>
  <c r="I239" i="127"/>
  <c r="I202" i="127"/>
  <c r="Q239" i="127"/>
  <c r="Q202" i="127"/>
  <c r="I130" i="127"/>
  <c r="I104" i="127"/>
  <c r="T206" i="127"/>
  <c r="T188" i="127"/>
  <c r="T208" i="127"/>
  <c r="T190" i="127"/>
  <c r="Y208" i="127"/>
  <c r="Y211" i="127" s="1"/>
  <c r="Y93" i="127"/>
  <c r="S191" i="127"/>
  <c r="S173" i="127"/>
  <c r="AK169" i="127"/>
  <c r="AH200" i="127"/>
  <c r="AH238" i="127" s="1"/>
  <c r="T180" i="127"/>
  <c r="T201" i="127"/>
  <c r="T192" i="127"/>
  <c r="T189" i="127"/>
  <c r="S200" i="127"/>
  <c r="T218" i="127"/>
  <c r="L202" i="127"/>
  <c r="H211" i="127"/>
  <c r="P211" i="127"/>
  <c r="H220" i="127"/>
  <c r="P220" i="127"/>
  <c r="H229" i="127"/>
  <c r="P229" i="127"/>
  <c r="I211" i="127"/>
  <c r="Q211" i="127"/>
  <c r="I220" i="127"/>
  <c r="Q220" i="127"/>
  <c r="I229" i="127"/>
  <c r="Q229" i="127"/>
  <c r="AK192" i="127"/>
  <c r="N202" i="127"/>
  <c r="J220" i="127"/>
  <c r="R220" i="127"/>
  <c r="J233" i="127"/>
  <c r="G202" i="127"/>
  <c r="O202" i="127"/>
  <c r="AF202" i="127"/>
  <c r="K229" i="127"/>
  <c r="AK218" i="127"/>
  <c r="AK220" i="127" s="1"/>
  <c r="H202" i="127"/>
  <c r="P202" i="127"/>
  <c r="Y202" i="127"/>
  <c r="AG202" i="127"/>
  <c r="R233" i="127"/>
  <c r="AF229" i="127"/>
  <c r="AK201" i="127"/>
  <c r="N211" i="127"/>
  <c r="Y220" i="127"/>
  <c r="AG220" i="127"/>
  <c r="N229" i="127"/>
  <c r="Y229" i="127"/>
  <c r="AG229" i="127"/>
  <c r="K202" i="127"/>
  <c r="J211" i="127"/>
  <c r="R211" i="127"/>
  <c r="G211" i="127"/>
  <c r="O211" i="127"/>
  <c r="K220" i="127"/>
  <c r="G220" i="127"/>
  <c r="O220" i="127"/>
  <c r="AH220" i="127"/>
  <c r="G229" i="127"/>
  <c r="O229" i="127"/>
  <c r="AH229" i="127"/>
  <c r="V229" i="127" l="1"/>
  <c r="M174" i="127"/>
  <c r="M181" i="127" s="1"/>
  <c r="V235" i="127"/>
  <c r="G174" i="127"/>
  <c r="G181" i="127" s="1"/>
  <c r="Q174" i="127"/>
  <c r="Q181" i="127" s="1"/>
  <c r="Q231" i="127" s="1"/>
  <c r="W202" i="127"/>
  <c r="W240" i="127" s="1"/>
  <c r="K174" i="127"/>
  <c r="K181" i="127" s="1"/>
  <c r="V220" i="127"/>
  <c r="AK255" i="127"/>
  <c r="N174" i="127"/>
  <c r="N181" i="127" s="1"/>
  <c r="N231" i="127" s="1"/>
  <c r="H174" i="127"/>
  <c r="H181" i="127" s="1"/>
  <c r="J174" i="127"/>
  <c r="J181" i="127" s="1"/>
  <c r="J231" i="127" s="1"/>
  <c r="V202" i="127"/>
  <c r="U115" i="127"/>
  <c r="U220" i="127"/>
  <c r="U229" i="127"/>
  <c r="W50" i="161"/>
  <c r="X20" i="161"/>
  <c r="BQ25" i="124" a="1"/>
  <c r="BQ25" i="124" s="1"/>
  <c r="W52" i="161"/>
  <c r="X46" i="161"/>
  <c r="BS16" i="124" a="1"/>
  <c r="BS16" i="124" s="1"/>
  <c r="BC76" i="124"/>
  <c r="U2" i="161"/>
  <c r="W48" i="161"/>
  <c r="AV16" i="124"/>
  <c r="BQ16" i="124" a="1"/>
  <c r="BQ16" i="124" s="1"/>
  <c r="BF46" i="161"/>
  <c r="BQ49" i="124" a="1"/>
  <c r="BQ49" i="124" s="1"/>
  <c r="W47" i="161"/>
  <c r="W31" i="161"/>
  <c r="Y9" i="161"/>
  <c r="X35" i="161"/>
  <c r="O25" i="161"/>
  <c r="V12" i="161"/>
  <c r="X43" i="161"/>
  <c r="T29" i="161"/>
  <c r="AB240" i="127"/>
  <c r="W115" i="127"/>
  <c r="AA174" i="127"/>
  <c r="AA181" i="127" s="1"/>
  <c r="AA231" i="127" s="1"/>
  <c r="U255" i="127"/>
  <c r="I174" i="127"/>
  <c r="I181" i="127" s="1"/>
  <c r="I231" i="127" s="1"/>
  <c r="AD174" i="127"/>
  <c r="AD181" i="127" s="1"/>
  <c r="AI240" i="127"/>
  <c r="W255" i="127"/>
  <c r="V255" i="127"/>
  <c r="V130" i="127"/>
  <c r="V174" i="127" s="1"/>
  <c r="V181" i="127" s="1"/>
  <c r="AC174" i="127"/>
  <c r="AC181" i="127" s="1"/>
  <c r="AC231" i="127" s="1"/>
  <c r="U211" i="127"/>
  <c r="O174" i="127"/>
  <c r="O181" i="127" s="1"/>
  <c r="O231" i="127" s="1"/>
  <c r="AL252" i="127"/>
  <c r="AM253" i="127" s="1"/>
  <c r="W229" i="127"/>
  <c r="AI231" i="127"/>
  <c r="AB231" i="127"/>
  <c r="V193" i="127"/>
  <c r="AD19" i="126"/>
  <c r="U34" i="124"/>
  <c r="V42" i="124"/>
  <c r="U35" i="124"/>
  <c r="Q11" i="126"/>
  <c r="W11" i="126" s="1"/>
  <c r="P7" i="124" s="1"/>
  <c r="S7" i="124" s="1"/>
  <c r="U33" i="124"/>
  <c r="V8" i="126"/>
  <c r="R14" i="124" s="1"/>
  <c r="X11" i="126"/>
  <c r="Q7" i="124" s="1"/>
  <c r="D25" i="126"/>
  <c r="Q26" i="126"/>
  <c r="D8" i="126"/>
  <c r="I12" i="126"/>
  <c r="M2" i="124" s="1"/>
  <c r="K10" i="126"/>
  <c r="K12" i="126"/>
  <c r="L2" i="124" s="1"/>
  <c r="G15" i="126"/>
  <c r="X9" i="126"/>
  <c r="T255" i="127"/>
  <c r="L231" i="127"/>
  <c r="P9" i="161"/>
  <c r="P34" i="161"/>
  <c r="O29" i="161"/>
  <c r="T52" i="161"/>
  <c r="Y33" i="161"/>
  <c r="S46" i="161"/>
  <c r="N3" i="161"/>
  <c r="V9" i="161"/>
  <c r="O45" i="161"/>
  <c r="W9" i="161"/>
  <c r="Y57" i="161"/>
  <c r="Y18" i="161"/>
  <c r="R60" i="161"/>
  <c r="W8" i="161"/>
  <c r="P59" i="161"/>
  <c r="X47" i="161"/>
  <c r="U7" i="161"/>
  <c r="W7" i="161"/>
  <c r="X15" i="161"/>
  <c r="W60" i="161"/>
  <c r="Q30" i="161"/>
  <c r="Q38" i="161"/>
  <c r="U14" i="161"/>
  <c r="T5" i="161"/>
  <c r="S39" i="161"/>
  <c r="O6" i="161"/>
  <c r="X11" i="161"/>
  <c r="T24" i="161"/>
  <c r="V2" i="161"/>
  <c r="R7" i="161"/>
  <c r="S28" i="161"/>
  <c r="W38" i="161"/>
  <c r="X8" i="161"/>
  <c r="Y30" i="161"/>
  <c r="AF211" i="127"/>
  <c r="AG211" i="127"/>
  <c r="S255" i="127"/>
  <c r="AK237" i="127"/>
  <c r="AL199" i="127"/>
  <c r="BQ60" i="124" a="1"/>
  <c r="BQ60" i="124" s="1"/>
  <c r="BS60" i="124" a="1"/>
  <c r="BS60" i="124" s="1"/>
  <c r="BS65" i="124" a="1"/>
  <c r="BS65" i="124" s="1"/>
  <c r="BQ65" i="124" a="1"/>
  <c r="BQ65" i="124" s="1"/>
  <c r="BQ10" i="124" a="1"/>
  <c r="BQ10" i="124" s="1"/>
  <c r="BS10" i="124" a="1"/>
  <c r="BS10" i="124" s="1"/>
  <c r="BQ28" i="124" a="1"/>
  <c r="BQ28" i="124" s="1"/>
  <c r="BS28" i="124" a="1"/>
  <c r="BS28" i="124" s="1"/>
  <c r="BS8" i="124" a="1"/>
  <c r="BS8" i="124" s="1"/>
  <c r="BQ8" i="124" a="1"/>
  <c r="BQ8" i="124" s="1"/>
  <c r="BQ45" i="124" a="1"/>
  <c r="BQ45" i="124" s="1"/>
  <c r="BS45" i="124" a="1"/>
  <c r="BS45" i="124" s="1"/>
  <c r="BS59" i="124" a="1"/>
  <c r="BS59" i="124" s="1"/>
  <c r="BQ59" i="124" a="1"/>
  <c r="BQ59" i="124" s="1"/>
  <c r="BQ57" i="124" a="1"/>
  <c r="BQ57" i="124" s="1"/>
  <c r="BS57" i="124" a="1"/>
  <c r="BS57" i="124" s="1"/>
  <c r="BQ27" i="124" a="1"/>
  <c r="BQ27" i="124" s="1"/>
  <c r="BS27" i="124" a="1"/>
  <c r="BS27" i="124" s="1"/>
  <c r="BQ22" i="124" a="1"/>
  <c r="BQ22" i="124" s="1"/>
  <c r="BS22" i="124" a="1"/>
  <c r="BS22" i="124" s="1"/>
  <c r="BQ6" i="124" a="1"/>
  <c r="BQ6" i="124" s="1"/>
  <c r="BS6" i="124" a="1"/>
  <c r="BS6" i="124" s="1"/>
  <c r="BQ37" i="124" a="1"/>
  <c r="BQ37" i="124" s="1"/>
  <c r="BQ24" i="124" a="1"/>
  <c r="BQ24" i="124" s="1"/>
  <c r="BS24" i="124" a="1"/>
  <c r="BS24" i="124" s="1"/>
  <c r="BQ61" i="124" a="1"/>
  <c r="BQ61" i="124" s="1"/>
  <c r="BS61" i="124" a="1"/>
  <c r="BS61" i="124" s="1"/>
  <c r="BS39" i="124" a="1"/>
  <c r="BS39" i="124" s="1"/>
  <c r="BQ39" i="124" a="1"/>
  <c r="BQ39" i="124" s="1"/>
  <c r="BQ31" i="124" a="1"/>
  <c r="BQ31" i="124" s="1"/>
  <c r="BS31" i="124" a="1"/>
  <c r="BS31" i="124" s="1"/>
  <c r="BQ29" i="124" a="1"/>
  <c r="BQ29" i="124" s="1"/>
  <c r="BS29" i="124" a="1"/>
  <c r="BS29" i="124" s="1"/>
  <c r="BQ5" i="124" a="1"/>
  <c r="BQ5" i="124" s="1"/>
  <c r="BS5" i="124" a="1"/>
  <c r="BS5" i="124" s="1"/>
  <c r="BQ56" i="124" a="1"/>
  <c r="BQ56" i="124" s="1"/>
  <c r="BS56" i="124" a="1"/>
  <c r="BS56" i="124" s="1"/>
  <c r="BQ33" i="124" a="1"/>
  <c r="BQ33" i="124" s="1"/>
  <c r="BS33" i="124" a="1"/>
  <c r="BS33" i="124" s="1"/>
  <c r="BS14" i="124" a="1"/>
  <c r="BS14" i="124" s="1"/>
  <c r="BQ14" i="124" a="1"/>
  <c r="BQ14" i="124" s="1"/>
  <c r="BQ11" i="124" a="1"/>
  <c r="BQ11" i="124" s="1"/>
  <c r="BS11" i="124" a="1"/>
  <c r="BS11" i="124" s="1"/>
  <c r="BS20" i="124" a="1"/>
  <c r="BS20" i="124" s="1"/>
  <c r="BQ20" i="124" a="1"/>
  <c r="BQ20" i="124" s="1"/>
  <c r="BQ13" i="124" a="1"/>
  <c r="BQ13" i="124" s="1"/>
  <c r="BS13" i="124" a="1"/>
  <c r="BS13" i="124" s="1"/>
  <c r="BS51" i="124" a="1"/>
  <c r="BS51" i="124" s="1"/>
  <c r="BQ51" i="124" a="1"/>
  <c r="BQ51" i="124" s="1"/>
  <c r="BQ58" i="124" a="1"/>
  <c r="BQ58" i="124" s="1"/>
  <c r="BS58" i="124" a="1"/>
  <c r="BS58" i="124" s="1"/>
  <c r="BQ47" i="124" a="1"/>
  <c r="BQ47" i="124" s="1"/>
  <c r="BS47" i="124" a="1"/>
  <c r="BS47" i="124" s="1"/>
  <c r="BQ43" i="124" a="1"/>
  <c r="BQ43" i="124" s="1"/>
  <c r="BS43" i="124" a="1"/>
  <c r="BS43" i="124" s="1"/>
  <c r="BQ55" i="124" a="1"/>
  <c r="BQ55" i="124" s="1"/>
  <c r="BS55" i="124" a="1"/>
  <c r="BS55" i="124" s="1"/>
  <c r="BQ62" i="124" a="1"/>
  <c r="BQ62" i="124" s="1"/>
  <c r="BS62" i="124" a="1"/>
  <c r="BS62" i="124" s="1"/>
  <c r="BQ23" i="124" a="1"/>
  <c r="BQ23" i="124" s="1"/>
  <c r="BS23" i="124" a="1"/>
  <c r="BS23" i="124" s="1"/>
  <c r="BQ9" i="124" a="1"/>
  <c r="BQ9" i="124" s="1"/>
  <c r="BS9" i="124" a="1"/>
  <c r="BS9" i="124" s="1"/>
  <c r="BQ63" i="124" a="1"/>
  <c r="BQ63" i="124" s="1"/>
  <c r="BS63" i="124" a="1"/>
  <c r="BS63" i="124" s="1"/>
  <c r="BQ34" i="124" a="1"/>
  <c r="BQ34" i="124" s="1"/>
  <c r="BS34" i="124" a="1"/>
  <c r="BS34" i="124" s="1"/>
  <c r="BQ15" i="124" a="1"/>
  <c r="BQ15" i="124" s="1"/>
  <c r="BS15" i="124" a="1"/>
  <c r="BS15" i="124" s="1"/>
  <c r="BQ17" i="124" a="1"/>
  <c r="BQ17" i="124" s="1"/>
  <c r="BS17" i="124" a="1"/>
  <c r="BS17" i="124" s="1"/>
  <c r="BQ64" i="124" a="1"/>
  <c r="BQ64" i="124" s="1"/>
  <c r="BS64" i="124" a="1"/>
  <c r="BS64" i="124" s="1"/>
  <c r="BQ26" i="124" a="1"/>
  <c r="BQ26" i="124" s="1"/>
  <c r="BS26" i="124" a="1"/>
  <c r="BS26" i="124" s="1"/>
  <c r="BQ44" i="124" a="1"/>
  <c r="BQ44" i="124" s="1"/>
  <c r="BS44" i="124" a="1"/>
  <c r="BS44" i="124" s="1"/>
  <c r="BS46" i="124" a="1"/>
  <c r="BS46" i="124" s="1"/>
  <c r="BQ46" i="124" a="1"/>
  <c r="BQ46" i="124" s="1"/>
  <c r="BS38" i="124" a="1"/>
  <c r="BS38" i="124" s="1"/>
  <c r="BQ38" i="124" a="1"/>
  <c r="BQ38" i="124" s="1"/>
  <c r="BS52" i="124" a="1"/>
  <c r="BS52" i="124" s="1"/>
  <c r="BQ52" i="124" a="1"/>
  <c r="BQ52" i="124" s="1"/>
  <c r="BS36" i="124" a="1"/>
  <c r="BS36" i="124" s="1"/>
  <c r="BQ36" i="124" a="1"/>
  <c r="BQ36" i="124" s="1"/>
  <c r="BS48" i="124" a="1"/>
  <c r="BS48" i="124" s="1"/>
  <c r="BQ48" i="124" a="1"/>
  <c r="BQ48" i="124" s="1"/>
  <c r="BQ42" i="124" a="1"/>
  <c r="BQ42" i="124" s="1"/>
  <c r="BS42" i="124" a="1"/>
  <c r="BS42" i="124" s="1"/>
  <c r="BS54" i="124" a="1"/>
  <c r="BS54" i="124" s="1"/>
  <c r="BQ54" i="124" a="1"/>
  <c r="BQ54" i="124" s="1"/>
  <c r="BS30" i="124" a="1"/>
  <c r="BS30" i="124" s="1"/>
  <c r="BQ30" i="124" a="1"/>
  <c r="BQ30" i="124" s="1"/>
  <c r="BS35" i="124" a="1"/>
  <c r="BS35" i="124" s="1"/>
  <c r="BQ35" i="124" a="1"/>
  <c r="BQ35" i="124" s="1"/>
  <c r="BQ2" i="124" a="1"/>
  <c r="BQ2" i="124" s="1"/>
  <c r="BN46" i="124"/>
  <c r="BN42" i="124"/>
  <c r="BN54" i="124"/>
  <c r="BN48" i="124"/>
  <c r="BN30" i="124"/>
  <c r="BN35" i="124"/>
  <c r="BN44" i="124"/>
  <c r="BN38" i="124"/>
  <c r="BN52" i="124"/>
  <c r="BN36" i="124"/>
  <c r="BN65" i="124"/>
  <c r="BN45" i="124"/>
  <c r="BN57" i="124"/>
  <c r="BN37" i="124"/>
  <c r="BN61" i="124"/>
  <c r="BN28" i="124"/>
  <c r="BN29" i="124"/>
  <c r="BN5" i="124"/>
  <c r="BN56" i="124"/>
  <c r="BN14" i="124"/>
  <c r="BN43" i="124"/>
  <c r="BN62" i="124"/>
  <c r="BN31" i="124"/>
  <c r="BN23" i="124"/>
  <c r="BN9" i="124"/>
  <c r="BN60" i="124"/>
  <c r="BN59" i="124"/>
  <c r="BN55" i="124"/>
  <c r="BN39" i="124"/>
  <c r="BN47" i="124"/>
  <c r="BN63" i="124"/>
  <c r="BN34" i="124"/>
  <c r="BN58" i="124"/>
  <c r="BN10" i="124"/>
  <c r="BN27" i="124"/>
  <c r="BN22" i="124"/>
  <c r="BN24" i="124"/>
  <c r="BN20" i="124"/>
  <c r="BN15" i="124"/>
  <c r="BN17" i="124"/>
  <c r="BN26" i="124"/>
  <c r="AH23" i="124"/>
  <c r="CP23" i="159" s="1"/>
  <c r="AI6" i="124"/>
  <c r="BN6" i="124"/>
  <c r="AV52" i="124"/>
  <c r="AT36" i="124"/>
  <c r="AT44" i="124"/>
  <c r="BN33" i="124"/>
  <c r="AI11" i="124"/>
  <c r="BN11" i="124"/>
  <c r="AV64" i="124"/>
  <c r="BN64" i="124"/>
  <c r="AH13" i="124"/>
  <c r="BN13" i="124"/>
  <c r="BN2" i="124"/>
  <c r="BO2" i="124" s="1"/>
  <c r="D51" i="146"/>
  <c r="BN51" i="124"/>
  <c r="AV8" i="124"/>
  <c r="BN8" i="124"/>
  <c r="AT26" i="152"/>
  <c r="AU26" i="152" s="1"/>
  <c r="T229" i="127"/>
  <c r="D61" i="146"/>
  <c r="AH63" i="124"/>
  <c r="AV65" i="124"/>
  <c r="AV45" i="124"/>
  <c r="AH57" i="124"/>
  <c r="AV59" i="124"/>
  <c r="AV61" i="124"/>
  <c r="AV26" i="124"/>
  <c r="AV17" i="124"/>
  <c r="AM61" i="124"/>
  <c r="AH64" i="124"/>
  <c r="AV48" i="161"/>
  <c r="AU46" i="161"/>
  <c r="CV46" i="161" s="1"/>
  <c r="DH46" i="161" s="1"/>
  <c r="BI45" i="161"/>
  <c r="N26" i="161"/>
  <c r="P61" i="161"/>
  <c r="N46" i="161"/>
  <c r="P45" i="161"/>
  <c r="N39" i="161"/>
  <c r="AH193" i="127"/>
  <c r="X48" i="161"/>
  <c r="W51" i="161"/>
  <c r="W29" i="161"/>
  <c r="Y27" i="161"/>
  <c r="P26" i="161"/>
  <c r="X30" i="161"/>
  <c r="S21" i="161"/>
  <c r="Q14" i="161"/>
  <c r="X61" i="161"/>
  <c r="V57" i="161"/>
  <c r="P65" i="152"/>
  <c r="Q65" i="152" s="1"/>
  <c r="P40" i="161"/>
  <c r="Y39" i="161"/>
  <c r="X39" i="161"/>
  <c r="W3" i="161"/>
  <c r="O5" i="161"/>
  <c r="O17" i="161"/>
  <c r="P60" i="161"/>
  <c r="U43" i="161"/>
  <c r="V37" i="161"/>
  <c r="Y8" i="161"/>
  <c r="R3" i="161"/>
  <c r="O54" i="161"/>
  <c r="X59" i="161"/>
  <c r="W57" i="161"/>
  <c r="P3" i="161"/>
  <c r="U41" i="124"/>
  <c r="Q22" i="126"/>
  <c r="Q28" i="126"/>
  <c r="Q14" i="126"/>
  <c r="W14" i="126" s="1"/>
  <c r="P15" i="124" s="1"/>
  <c r="S15" i="124" s="1"/>
  <c r="Q9" i="126"/>
  <c r="V11" i="126"/>
  <c r="R7" i="124" s="1"/>
  <c r="AD23" i="126"/>
  <c r="Q46" i="124"/>
  <c r="Q45" i="124"/>
  <c r="AD21" i="126"/>
  <c r="Q18" i="126"/>
  <c r="Q24" i="126"/>
  <c r="CU26" i="161"/>
  <c r="DG26" i="161" s="1"/>
  <c r="AK235" i="127"/>
  <c r="AF193" i="127"/>
  <c r="AH211" i="127"/>
  <c r="T115" i="127"/>
  <c r="AG193" i="127"/>
  <c r="AG230" i="127" s="1"/>
  <c r="J240" i="127"/>
  <c r="L240" i="127"/>
  <c r="Z55" i="161"/>
  <c r="N51" i="161"/>
  <c r="U35" i="161"/>
  <c r="AA33" i="161"/>
  <c r="T26" i="161"/>
  <c r="AW18" i="161"/>
  <c r="CX18" i="161" s="1"/>
  <c r="DJ18" i="161" s="1"/>
  <c r="AF55" i="161"/>
  <c r="BD54" i="161"/>
  <c r="BA34" i="161"/>
  <c r="AU33" i="161"/>
  <c r="R31" i="161"/>
  <c r="S27" i="161"/>
  <c r="AK25" i="161"/>
  <c r="AA9" i="161"/>
  <c r="AS7" i="161"/>
  <c r="AI33" i="161"/>
  <c r="BI33" i="161"/>
  <c r="BI22" i="161"/>
  <c r="AJ4" i="161"/>
  <c r="AT25" i="161"/>
  <c r="AI62" i="161"/>
  <c r="AW60" i="161"/>
  <c r="W59" i="161"/>
  <c r="BF57" i="161"/>
  <c r="AV46" i="161"/>
  <c r="T40" i="161"/>
  <c r="AB9" i="161"/>
  <c r="AT41" i="161"/>
  <c r="CU41" i="161" s="1"/>
  <c r="DG41" i="161" s="1"/>
  <c r="AQ31" i="161"/>
  <c r="CR31" i="161" s="1"/>
  <c r="DD31" i="161" s="1"/>
  <c r="BI37" i="161"/>
  <c r="CX37" i="161" s="1"/>
  <c r="DJ37" i="161" s="1"/>
  <c r="Y17" i="161"/>
  <c r="Y2" i="161"/>
  <c r="AG36" i="161"/>
  <c r="X36" i="161"/>
  <c r="AN55" i="161"/>
  <c r="BD52" i="161"/>
  <c r="AU54" i="161"/>
  <c r="CV54" i="161" s="1"/>
  <c r="DH54" i="161" s="1"/>
  <c r="X21" i="161"/>
  <c r="AP19" i="161"/>
  <c r="BI19" i="161"/>
  <c r="AH15" i="161"/>
  <c r="AE3" i="161"/>
  <c r="CR3" i="161" s="1"/>
  <c r="DD3" i="161" s="1"/>
  <c r="AV3" i="161"/>
  <c r="AH14" i="161"/>
  <c r="I10" i="126"/>
  <c r="G10" i="126"/>
  <c r="V10" i="126"/>
  <c r="T10" i="126"/>
  <c r="I9" i="126"/>
  <c r="G9" i="126"/>
  <c r="J9" i="126" s="1"/>
  <c r="CL46" i="159"/>
  <c r="Q46" i="161"/>
  <c r="AN46" i="161"/>
  <c r="AC45" i="161"/>
  <c r="BC35" i="161"/>
  <c r="AD33" i="161"/>
  <c r="AN52" i="161"/>
  <c r="Q39" i="161"/>
  <c r="BB34" i="161"/>
  <c r="AP27" i="161"/>
  <c r="CQ27" i="161" s="1"/>
  <c r="DC27" i="161" s="1"/>
  <c r="AI35" i="161"/>
  <c r="N32" i="161"/>
  <c r="AD25" i="161"/>
  <c r="BF18" i="161"/>
  <c r="CU18" i="161" s="1"/>
  <c r="DG18" i="161" s="1"/>
  <c r="AC22" i="161"/>
  <c r="AY9" i="161"/>
  <c r="AZ17" i="161"/>
  <c r="X29" i="161"/>
  <c r="AO2" i="161"/>
  <c r="AK5" i="161"/>
  <c r="CX5" i="161" s="1"/>
  <c r="DJ5" i="161" s="1"/>
  <c r="AM19" i="161"/>
  <c r="CN19" i="161" s="1"/>
  <c r="CZ19" i="161" s="1"/>
  <c r="BH21" i="161"/>
  <c r="CW21" i="161" s="1"/>
  <c r="DI21" i="161" s="1"/>
  <c r="U8" i="161"/>
  <c r="AX4" i="161"/>
  <c r="K8" i="126"/>
  <c r="L14" i="124" s="1"/>
  <c r="G8" i="126"/>
  <c r="J8" i="126" s="1"/>
  <c r="K14" i="124" s="1"/>
  <c r="N14" i="124" s="1"/>
  <c r="K14" i="158" s="1"/>
  <c r="N54" i="161"/>
  <c r="AE45" i="161"/>
  <c r="BH40" i="161"/>
  <c r="AL45" i="161"/>
  <c r="CM45" i="161" s="1"/>
  <c r="CY45" i="161" s="1"/>
  <c r="O46" i="161"/>
  <c r="BB40" i="161"/>
  <c r="P37" i="161"/>
  <c r="BA42" i="161"/>
  <c r="AB39" i="161"/>
  <c r="AN19" i="161"/>
  <c r="AF13" i="161"/>
  <c r="AY14" i="161"/>
  <c r="AP5" i="161"/>
  <c r="CQ5" i="161" s="1"/>
  <c r="DC5" i="161" s="1"/>
  <c r="AK27" i="161"/>
  <c r="AY13" i="161"/>
  <c r="CN13" i="161" s="1"/>
  <c r="CZ13" i="161" s="1"/>
  <c r="AB2" i="161"/>
  <c r="CO2" i="161" s="1"/>
  <c r="DA2" i="161" s="1"/>
  <c r="BA12" i="161"/>
  <c r="CP12" i="161" s="1"/>
  <c r="DB12" i="161" s="1"/>
  <c r="AM21" i="161"/>
  <c r="AD8" i="161"/>
  <c r="CQ8" i="161" s="1"/>
  <c r="DC8" i="161" s="1"/>
  <c r="AL27" i="161"/>
  <c r="CM27" i="161" s="1"/>
  <c r="CY27" i="161" s="1"/>
  <c r="V12" i="126"/>
  <c r="R2" i="124" s="1"/>
  <c r="T12" i="126"/>
  <c r="W12" i="126" s="1"/>
  <c r="P2" i="124" s="1"/>
  <c r="S2" i="124" s="1"/>
  <c r="G17" i="126"/>
  <c r="Y54" i="161"/>
  <c r="AL49" i="161"/>
  <c r="AF31" i="161"/>
  <c r="AT29" i="161"/>
  <c r="AS38" i="161"/>
  <c r="CT38" i="161" s="1"/>
  <c r="DF38" i="161" s="1"/>
  <c r="AO26" i="161"/>
  <c r="AL22" i="161"/>
  <c r="AQ20" i="161"/>
  <c r="U5" i="161"/>
  <c r="X2" i="161"/>
  <c r="Y10" i="161"/>
  <c r="CK32" i="158"/>
  <c r="P19" i="161"/>
  <c r="I11" i="126"/>
  <c r="M7" i="124" s="1"/>
  <c r="D11" i="126"/>
  <c r="O58" i="161"/>
  <c r="AO52" i="161"/>
  <c r="U41" i="161"/>
  <c r="AS27" i="161"/>
  <c r="CT27" i="161" s="1"/>
  <c r="DF27" i="161" s="1"/>
  <c r="AL32" i="161"/>
  <c r="Z32" i="161"/>
  <c r="AP17" i="161"/>
  <c r="BC17" i="161"/>
  <c r="BC26" i="161"/>
  <c r="CR26" i="161" s="1"/>
  <c r="DD26" i="161" s="1"/>
  <c r="AO18" i="161"/>
  <c r="V3" i="161"/>
  <c r="AP4" i="161"/>
  <c r="N17" i="161"/>
  <c r="R8" i="161"/>
  <c r="BF7" i="161"/>
  <c r="CU7" i="161" s="1"/>
  <c r="DG7" i="161" s="1"/>
  <c r="AM7" i="161"/>
  <c r="AH12" i="161"/>
  <c r="BG5" i="161"/>
  <c r="CV5" i="161" s="1"/>
  <c r="DH5" i="161" s="1"/>
  <c r="Q13" i="161"/>
  <c r="AU11" i="161"/>
  <c r="BE6" i="161"/>
  <c r="E239" i="81"/>
  <c r="D14" i="126"/>
  <c r="Q58" i="161"/>
  <c r="AO49" i="161"/>
  <c r="AB40" i="161"/>
  <c r="AJ45" i="161"/>
  <c r="BG27" i="161"/>
  <c r="CV27" i="161" s="1"/>
  <c r="DH27" i="161" s="1"/>
  <c r="CK12" i="159"/>
  <c r="AS40" i="161"/>
  <c r="AR39" i="161"/>
  <c r="CS39" i="161" s="1"/>
  <c r="DE39" i="161" s="1"/>
  <c r="O12" i="161"/>
  <c r="U26" i="161"/>
  <c r="AZ9" i="161"/>
  <c r="AY3" i="161"/>
  <c r="CN3" i="161" s="1"/>
  <c r="CZ3" i="161" s="1"/>
  <c r="BH33" i="161"/>
  <c r="CW33" i="161" s="1"/>
  <c r="DI33" i="161" s="1"/>
  <c r="U18" i="161"/>
  <c r="AT12" i="161"/>
  <c r="AL19" i="161"/>
  <c r="AQ15" i="161"/>
  <c r="S4" i="161"/>
  <c r="P12" i="161"/>
  <c r="AB4" i="161"/>
  <c r="CO4" i="161" s="1"/>
  <c r="DA4" i="161" s="1"/>
  <c r="AV11" i="161"/>
  <c r="AE9" i="161"/>
  <c r="K13" i="126"/>
  <c r="G13" i="126"/>
  <c r="AK40" i="161"/>
  <c r="CI19" i="159"/>
  <c r="AY52" i="161"/>
  <c r="AY48" i="161"/>
  <c r="T45" i="161"/>
  <c r="BB54" i="161"/>
  <c r="CQ54" i="161" s="1"/>
  <c r="DC54" i="161" s="1"/>
  <c r="AS21" i="161"/>
  <c r="AM12" i="161"/>
  <c r="CN12" i="161" s="1"/>
  <c r="CZ12" i="161" s="1"/>
  <c r="Y4" i="161"/>
  <c r="AE11" i="161"/>
  <c r="X18" i="161"/>
  <c r="BI4" i="161"/>
  <c r="CX4" i="161" s="1"/>
  <c r="DJ4" i="161" s="1"/>
  <c r="W19" i="161"/>
  <c r="AF8" i="161"/>
  <c r="AB7" i="161"/>
  <c r="BB10" i="161"/>
  <c r="BG4" i="161"/>
  <c r="CV4" i="161" s="1"/>
  <c r="DH4" i="161" s="1"/>
  <c r="AX22" i="161"/>
  <c r="AS37" i="161"/>
  <c r="D13" i="126"/>
  <c r="I13" i="126"/>
  <c r="I14" i="126"/>
  <c r="M15" i="124" s="1"/>
  <c r="G14" i="126"/>
  <c r="J14" i="126" s="1"/>
  <c r="K15" i="124" s="1"/>
  <c r="N15" i="124" s="1"/>
  <c r="K15" i="158" s="1"/>
  <c r="T18" i="126"/>
  <c r="V22" i="124"/>
  <c r="AH63" i="161"/>
  <c r="R55" i="161"/>
  <c r="AP40" i="161"/>
  <c r="Q27" i="161"/>
  <c r="BG26" i="161"/>
  <c r="AP22" i="161"/>
  <c r="O8" i="161"/>
  <c r="X14" i="161"/>
  <c r="BI9" i="161"/>
  <c r="AA16" i="161"/>
  <c r="CN16" i="161" s="1"/>
  <c r="CZ16" i="161" s="1"/>
  <c r="X6" i="161"/>
  <c r="AS14" i="161"/>
  <c r="CT14" i="161" s="1"/>
  <c r="DF14" i="161" s="1"/>
  <c r="AV19" i="161"/>
  <c r="S22" i="161"/>
  <c r="V211" i="127"/>
  <c r="K217" i="148"/>
  <c r="K17" i="126"/>
  <c r="L20" i="124" s="1"/>
  <c r="V13" i="126"/>
  <c r="T13" i="126"/>
  <c r="M226" i="81"/>
  <c r="M239" i="81" s="1"/>
  <c r="L239" i="81"/>
  <c r="O233" i="108"/>
  <c r="E217" i="108"/>
  <c r="E229" i="108" s="1"/>
  <c r="L205" i="107"/>
  <c r="L217" i="107" s="1"/>
  <c r="O193" i="107"/>
  <c r="H205" i="107"/>
  <c r="H217" i="107" s="1"/>
  <c r="O195" i="149"/>
  <c r="O99" i="149"/>
  <c r="G20" i="126"/>
  <c r="Q20" i="126"/>
  <c r="X22" i="126"/>
  <c r="Q44" i="124" s="1"/>
  <c r="L237" i="81"/>
  <c r="I226" i="81"/>
  <c r="I239" i="81" s="1"/>
  <c r="AC26" i="126" a="1"/>
  <c r="AC26" i="126" s="1"/>
  <c r="AK26" i="126" s="1"/>
  <c r="AE14" i="126" a="1"/>
  <c r="AE14" i="126" s="1"/>
  <c r="AF14" i="126" s="1"/>
  <c r="AC13" i="126" a="1"/>
  <c r="AC13" i="126" s="1"/>
  <c r="AC14" i="126" a="1"/>
  <c r="AC14" i="126" s="1"/>
  <c r="AI12" i="126" a="1"/>
  <c r="AI12" i="126" s="1"/>
  <c r="AH12" i="126" s="1"/>
  <c r="AE8" i="126" a="1"/>
  <c r="AE8" i="126" s="1"/>
  <c r="AF8" i="126" s="1"/>
  <c r="AM14" i="124" s="1"/>
  <c r="AG13" i="126" a="1"/>
  <c r="AG13" i="126" s="1"/>
  <c r="AE12" i="126" a="1"/>
  <c r="AE12" i="126" s="1"/>
  <c r="AF12" i="126" s="1"/>
  <c r="AM2" i="124" s="1"/>
  <c r="AE13" i="126" a="1"/>
  <c r="AE13" i="126" s="1"/>
  <c r="AE27" i="126" a="1"/>
  <c r="AE27" i="126" s="1"/>
  <c r="AF27" i="126" s="1"/>
  <c r="AI10" i="126" a="1"/>
  <c r="AI10" i="126" s="1"/>
  <c r="AC9" i="126" a="1"/>
  <c r="AC9" i="126" s="1"/>
  <c r="AE10" i="126" a="1"/>
  <c r="AE10" i="126" s="1"/>
  <c r="AF10" i="126" s="1"/>
  <c r="AC24" i="126" a="1"/>
  <c r="AC24" i="126" s="1"/>
  <c r="AK24" i="126" s="1"/>
  <c r="AC10" i="126" a="1"/>
  <c r="AC10" i="126" s="1"/>
  <c r="AI14" i="126" a="1"/>
  <c r="AI14" i="126" s="1"/>
  <c r="AC12" i="126" a="1"/>
  <c r="AC12" i="126" s="1"/>
  <c r="AD12" i="126" s="1"/>
  <c r="AI8" i="126" a="1"/>
  <c r="AI8" i="126" s="1"/>
  <c r="AG11" i="126" a="1"/>
  <c r="AG11" i="126" s="1"/>
  <c r="AE11" i="126" a="1"/>
  <c r="AE11" i="126" s="1"/>
  <c r="AF11" i="126" s="1"/>
  <c r="AM7" i="124" s="1"/>
  <c r="AG9" i="126" a="1"/>
  <c r="AG9" i="126" s="1"/>
  <c r="AC8" i="126" a="1"/>
  <c r="AC8" i="126" s="1"/>
  <c r="AD8" i="126" s="1"/>
  <c r="AC11" i="126" a="1"/>
  <c r="AC11" i="126" s="1"/>
  <c r="AE9" i="126" a="1"/>
  <c r="AE9" i="126" s="1"/>
  <c r="AF9" i="126" s="1"/>
  <c r="AC20" i="126" a="1"/>
  <c r="AC20" i="126" s="1"/>
  <c r="AD20" i="126" s="1"/>
  <c r="L114" i="80"/>
  <c r="L230" i="80" s="1"/>
  <c r="Q8" i="126"/>
  <c r="W8" i="126" s="1"/>
  <c r="P14" i="124" s="1"/>
  <c r="S14" i="124" s="1"/>
  <c r="Q13" i="126"/>
  <c r="X8" i="126"/>
  <c r="Q14" i="124" s="1"/>
  <c r="AT29" i="152"/>
  <c r="AU29" i="152" s="1"/>
  <c r="AT55" i="152"/>
  <c r="AU55" i="152" s="1"/>
  <c r="O214" i="81"/>
  <c r="AE37" i="152"/>
  <c r="AF37" i="152" s="1"/>
  <c r="F205" i="148"/>
  <c r="F217" i="148" s="1"/>
  <c r="K205" i="107"/>
  <c r="O170" i="107"/>
  <c r="P5" i="152"/>
  <c r="Q5" i="152" s="1"/>
  <c r="P35" i="152"/>
  <c r="Q35" i="152" s="1"/>
  <c r="H215" i="148"/>
  <c r="X28" i="126"/>
  <c r="Q33" i="124" s="1"/>
  <c r="G217" i="149"/>
  <c r="G229" i="149" s="1"/>
  <c r="G12" i="126"/>
  <c r="AD231" i="127"/>
  <c r="I8" i="126"/>
  <c r="M14" i="124" s="1"/>
  <c r="T9" i="126"/>
  <c r="V9" i="126"/>
  <c r="X14" i="126"/>
  <c r="Q15" i="124" s="1"/>
  <c r="AI11" i="126" a="1"/>
  <c r="AI11" i="126" s="1"/>
  <c r="AJ240" i="127"/>
  <c r="G226" i="81"/>
  <c r="G239" i="81" s="1"/>
  <c r="O184" i="107"/>
  <c r="J217" i="108"/>
  <c r="J229" i="108" s="1"/>
  <c r="K217" i="108"/>
  <c r="K229" i="108" s="1"/>
  <c r="H217" i="148"/>
  <c r="K19" i="126"/>
  <c r="D126" i="149"/>
  <c r="D251" i="149" s="1"/>
  <c r="Q15" i="126"/>
  <c r="W15" i="126" s="1"/>
  <c r="P31" i="124" s="1"/>
  <c r="S31" i="124" s="1"/>
  <c r="O199" i="148"/>
  <c r="D10" i="126"/>
  <c r="X15" i="126"/>
  <c r="AG14" i="126" a="1"/>
  <c r="AG14" i="126" s="1"/>
  <c r="W193" i="127"/>
  <c r="W211" i="127"/>
  <c r="AI230" i="127"/>
  <c r="W235" i="127"/>
  <c r="M238" i="108"/>
  <c r="I217" i="108"/>
  <c r="I229" i="108" s="1"/>
  <c r="P57" i="152"/>
  <c r="Q57" i="152" s="1"/>
  <c r="D17" i="126"/>
  <c r="J17" i="126" s="1"/>
  <c r="T27" i="126"/>
  <c r="T16" i="124" s="1"/>
  <c r="W16" i="124" s="1"/>
  <c r="M16" i="159" s="1"/>
  <c r="K215" i="107"/>
  <c r="H113" i="107"/>
  <c r="H222" i="107" s="1"/>
  <c r="Q10" i="126"/>
  <c r="AG8" i="126" a="1"/>
  <c r="AG8" i="126" s="1"/>
  <c r="AC240" i="127"/>
  <c r="AJ230" i="127"/>
  <c r="BI17" i="152"/>
  <c r="BJ17" i="152" s="1"/>
  <c r="BI47" i="152"/>
  <c r="BJ47" i="152" s="1"/>
  <c r="K239" i="81"/>
  <c r="E128" i="81"/>
  <c r="O111" i="107"/>
  <c r="AE4" i="152"/>
  <c r="AF4" i="152" s="1"/>
  <c r="G205" i="148"/>
  <c r="G217" i="148" s="1"/>
  <c r="N205" i="107"/>
  <c r="N217" i="107" s="1"/>
  <c r="N238" i="108"/>
  <c r="P4" i="152"/>
  <c r="Q4" i="152" s="1"/>
  <c r="L229" i="149"/>
  <c r="J217" i="149"/>
  <c r="J229" i="149" s="1"/>
  <c r="X17" i="126"/>
  <c r="Q19" i="124" s="1"/>
  <c r="M113" i="107"/>
  <c r="M222" i="107" s="1"/>
  <c r="AA240" i="127"/>
  <c r="U193" i="127"/>
  <c r="U130" i="127"/>
  <c r="U174" i="127" s="1"/>
  <c r="U181" i="127" s="1"/>
  <c r="I212" i="80"/>
  <c r="I225" i="80" s="1"/>
  <c r="J225" i="80"/>
  <c r="C226" i="81"/>
  <c r="C239" i="81" s="1"/>
  <c r="G113" i="107"/>
  <c r="G222" i="107" s="1"/>
  <c r="J238" i="108"/>
  <c r="AE27" i="152"/>
  <c r="AF27" i="152" s="1"/>
  <c r="G238" i="108"/>
  <c r="P20" i="152"/>
  <c r="Q20" i="152" s="1"/>
  <c r="H229" i="108"/>
  <c r="K21" i="126"/>
  <c r="L39" i="124" s="1"/>
  <c r="K217" i="149"/>
  <c r="K229" i="149" s="1"/>
  <c r="D12" i="126"/>
  <c r="AG10" i="126" a="1"/>
  <c r="AG10" i="126" s="1"/>
  <c r="BI5" i="152"/>
  <c r="BJ5" i="152" s="1"/>
  <c r="BI13" i="152"/>
  <c r="BJ13" i="152" s="1"/>
  <c r="L212" i="80"/>
  <c r="L225" i="80" s="1"/>
  <c r="O150" i="81"/>
  <c r="O234" i="108"/>
  <c r="O100" i="81"/>
  <c r="O62" i="107"/>
  <c r="O110" i="108"/>
  <c r="O126" i="108" s="1"/>
  <c r="O235" i="108"/>
  <c r="V250" i="107"/>
  <c r="O135" i="148"/>
  <c r="P63" i="152"/>
  <c r="Q63" i="152" s="1"/>
  <c r="V251" i="107"/>
  <c r="K15" i="126"/>
  <c r="G11" i="126"/>
  <c r="K11" i="126"/>
  <c r="L7" i="124" s="1"/>
  <c r="X10" i="126"/>
  <c r="X12" i="126"/>
  <c r="Q2" i="124" s="1"/>
  <c r="G225" i="80"/>
  <c r="AM18" i="126"/>
  <c r="AN18" i="126" s="1"/>
  <c r="AJ18" i="126"/>
  <c r="L54" i="124"/>
  <c r="L53" i="124"/>
  <c r="R17" i="124"/>
  <c r="R18" i="124"/>
  <c r="Q51" i="124"/>
  <c r="Q49" i="124"/>
  <c r="Q50" i="124"/>
  <c r="Q52" i="124"/>
  <c r="C222" i="148"/>
  <c r="C114" i="148"/>
  <c r="AF20" i="126"/>
  <c r="AK19" i="126"/>
  <c r="AH19" i="126"/>
  <c r="AL19" i="126" s="1"/>
  <c r="AJ24" i="126"/>
  <c r="AM24" i="126"/>
  <c r="AN24" i="126" s="1"/>
  <c r="AM49" i="124" s="1"/>
  <c r="AN49" i="124" s="1"/>
  <c r="R53" i="124"/>
  <c r="R54" i="124"/>
  <c r="AH20" i="126"/>
  <c r="W151" i="110"/>
  <c r="W154" i="110"/>
  <c r="W150" i="110"/>
  <c r="W146" i="110"/>
  <c r="W157" i="110"/>
  <c r="W153" i="110"/>
  <c r="W149" i="110"/>
  <c r="W156" i="110"/>
  <c r="W148" i="110"/>
  <c r="W155" i="110"/>
  <c r="W152" i="110"/>
  <c r="W147" i="110"/>
  <c r="AF26" i="126"/>
  <c r="L40" i="124"/>
  <c r="AJ231" i="127"/>
  <c r="O128" i="81"/>
  <c r="O101" i="81"/>
  <c r="AJ20" i="126"/>
  <c r="AM20" i="126"/>
  <c r="AN20" i="126" s="1"/>
  <c r="AM8" i="124" s="1"/>
  <c r="AN8" i="124" s="1"/>
  <c r="AJ25" i="126"/>
  <c r="AM25" i="126"/>
  <c r="AN25" i="126" s="1"/>
  <c r="AM54" i="124" s="1"/>
  <c r="AN54" i="124" s="1"/>
  <c r="M34" i="124"/>
  <c r="M36" i="124"/>
  <c r="M35" i="124"/>
  <c r="M33" i="124"/>
  <c r="AK27" i="126"/>
  <c r="AH27" i="126"/>
  <c r="M22" i="124"/>
  <c r="M21" i="124"/>
  <c r="Q43" i="124"/>
  <c r="AM22" i="126"/>
  <c r="AN22" i="126" s="1"/>
  <c r="AM43" i="124" s="1"/>
  <c r="AN43" i="124" s="1"/>
  <c r="AJ22" i="126"/>
  <c r="Q34" i="124"/>
  <c r="Q36" i="124"/>
  <c r="AF24" i="126"/>
  <c r="AD24" i="126"/>
  <c r="AK23" i="126"/>
  <c r="AH23" i="126"/>
  <c r="AL23" i="126" s="1"/>
  <c r="AM28" i="126"/>
  <c r="AN28" i="126" s="1"/>
  <c r="AM36" i="124" s="1"/>
  <c r="AN36" i="124" s="1"/>
  <c r="AJ28" i="126"/>
  <c r="Q22" i="124"/>
  <c r="Q21" i="124"/>
  <c r="AV9" i="161"/>
  <c r="CW9" i="161" s="1"/>
  <c r="DI9" i="161" s="1"/>
  <c r="T23" i="161"/>
  <c r="Q16" i="161"/>
  <c r="U239" i="127"/>
  <c r="U202" i="127"/>
  <c r="W130" i="127"/>
  <c r="W174" i="127" s="1"/>
  <c r="W181" i="127" s="1"/>
  <c r="W104" i="127"/>
  <c r="BI6" i="152"/>
  <c r="BJ6" i="152" s="1"/>
  <c r="BI10" i="152"/>
  <c r="BJ10" i="152" s="1"/>
  <c r="BI14" i="152"/>
  <c r="BJ14" i="152" s="1"/>
  <c r="BI23" i="152"/>
  <c r="BJ23" i="152" s="1"/>
  <c r="BI45" i="152"/>
  <c r="BJ45" i="152" s="1"/>
  <c r="AH104" i="127"/>
  <c r="AH174" i="127" s="1"/>
  <c r="AH181" i="127" s="1"/>
  <c r="AA230" i="127"/>
  <c r="U235" i="127"/>
  <c r="AT3" i="152"/>
  <c r="AU3" i="152" s="1"/>
  <c r="AT7" i="152"/>
  <c r="AU7" i="152" s="1"/>
  <c r="AT11" i="152"/>
  <c r="AU11" i="152" s="1"/>
  <c r="AT15" i="152"/>
  <c r="AU15" i="152" s="1"/>
  <c r="AT49" i="152"/>
  <c r="AU49" i="152" s="1"/>
  <c r="AT53" i="152"/>
  <c r="AU53" i="152" s="1"/>
  <c r="AT59" i="152"/>
  <c r="AU59" i="152" s="1"/>
  <c r="AT63" i="152"/>
  <c r="AU63" i="152" s="1"/>
  <c r="F212" i="80"/>
  <c r="F225" i="80" s="1"/>
  <c r="BG61" i="158"/>
  <c r="BF31" i="158"/>
  <c r="BA29" i="158"/>
  <c r="BC24" i="158"/>
  <c r="BH61" i="158"/>
  <c r="BD55" i="158"/>
  <c r="BI29" i="158"/>
  <c r="BI25" i="158"/>
  <c r="BD23" i="158"/>
  <c r="BG2" i="158"/>
  <c r="AY61" i="158"/>
  <c r="BI60" i="158"/>
  <c r="AX56" i="158"/>
  <c r="BF51" i="158"/>
  <c r="O127" i="80"/>
  <c r="N226" i="81"/>
  <c r="N239" i="81" s="1"/>
  <c r="AE9" i="152"/>
  <c r="AF9" i="152" s="1"/>
  <c r="AE32" i="152"/>
  <c r="AF32" i="152" s="1"/>
  <c r="AE42" i="152"/>
  <c r="AF42" i="152" s="1"/>
  <c r="AE48" i="152"/>
  <c r="AF48" i="152" s="1"/>
  <c r="AE52" i="152"/>
  <c r="AF52" i="152" s="1"/>
  <c r="AE58" i="152"/>
  <c r="AF58" i="152" s="1"/>
  <c r="AE62" i="152"/>
  <c r="AF62" i="152" s="1"/>
  <c r="L217" i="108"/>
  <c r="L229" i="108" s="1"/>
  <c r="O99" i="107"/>
  <c r="O113" i="107" s="1"/>
  <c r="O222" i="107" s="1"/>
  <c r="P6" i="152"/>
  <c r="Q6" i="152" s="1"/>
  <c r="P10" i="152"/>
  <c r="Q10" i="152" s="1"/>
  <c r="P14" i="152"/>
  <c r="Q14" i="152" s="1"/>
  <c r="P39" i="152"/>
  <c r="Q39" i="152" s="1"/>
  <c r="P59" i="152"/>
  <c r="Q59" i="152" s="1"/>
  <c r="P60" i="152"/>
  <c r="Q60" i="152" s="1"/>
  <c r="P48" i="152"/>
  <c r="Q48" i="152" s="1"/>
  <c r="P52" i="152"/>
  <c r="Q52" i="152" s="1"/>
  <c r="P66" i="152"/>
  <c r="Q66" i="152" s="1"/>
  <c r="O184" i="148"/>
  <c r="K22" i="126"/>
  <c r="D20" i="126"/>
  <c r="J20" i="126" s="1"/>
  <c r="I20" i="126"/>
  <c r="O148" i="149"/>
  <c r="X23" i="126"/>
  <c r="I217" i="149"/>
  <c r="I229" i="149" s="1"/>
  <c r="O186" i="149"/>
  <c r="E217" i="149"/>
  <c r="E229" i="149" s="1"/>
  <c r="AK15" i="126"/>
  <c r="AH15" i="126"/>
  <c r="BH24" i="158"/>
  <c r="BH58" i="158"/>
  <c r="AY24" i="158"/>
  <c r="BB24" i="158"/>
  <c r="AY29" i="158"/>
  <c r="BH6" i="158"/>
  <c r="BG9" i="158"/>
  <c r="AA40" i="124"/>
  <c r="AQ35" i="161"/>
  <c r="BI21" i="152"/>
  <c r="BJ21" i="152" s="1"/>
  <c r="BI18" i="152"/>
  <c r="BJ18" i="152" s="1"/>
  <c r="BI26" i="152"/>
  <c r="BJ26" i="152" s="1"/>
  <c r="BI30" i="152"/>
  <c r="BJ30" i="152" s="1"/>
  <c r="BI38" i="152"/>
  <c r="BJ38" i="152" s="1"/>
  <c r="BI42" i="152"/>
  <c r="BJ42" i="152" s="1"/>
  <c r="BI50" i="152"/>
  <c r="BJ50" i="152" s="1"/>
  <c r="BI56" i="152"/>
  <c r="BJ56" i="152" s="1"/>
  <c r="BI60" i="152"/>
  <c r="BJ60" i="152" s="1"/>
  <c r="BI64" i="152"/>
  <c r="BJ64" i="152" s="1"/>
  <c r="AC230" i="127"/>
  <c r="O221" i="80"/>
  <c r="O136" i="80"/>
  <c r="AT16" i="152"/>
  <c r="AU16" i="152" s="1"/>
  <c r="AT20" i="152"/>
  <c r="AU20" i="152" s="1"/>
  <c r="AT24" i="152"/>
  <c r="AU24" i="152" s="1"/>
  <c r="AT30" i="152"/>
  <c r="AU30" i="152" s="1"/>
  <c r="AT33" i="152"/>
  <c r="AU33" i="152" s="1"/>
  <c r="AT36" i="152"/>
  <c r="AU36" i="152" s="1"/>
  <c r="AT40" i="152"/>
  <c r="AU40" i="152" s="1"/>
  <c r="AT44" i="152"/>
  <c r="AU44" i="152" s="1"/>
  <c r="AT66" i="152"/>
  <c r="AU66" i="152" s="1"/>
  <c r="AI130" i="127"/>
  <c r="D212" i="80"/>
  <c r="D225" i="80" s="1"/>
  <c r="U104" i="127"/>
  <c r="O217" i="80"/>
  <c r="O223" i="80" s="1"/>
  <c r="H225" i="80"/>
  <c r="K212" i="80"/>
  <c r="K225" i="80" s="1"/>
  <c r="O197" i="81"/>
  <c r="F226" i="81"/>
  <c r="F239" i="81" s="1"/>
  <c r="AE10" i="152"/>
  <c r="AF10" i="152" s="1"/>
  <c r="AE14" i="152"/>
  <c r="AF14" i="152" s="1"/>
  <c r="AE17" i="152"/>
  <c r="AF17" i="152" s="1"/>
  <c r="AE21" i="152"/>
  <c r="AF21" i="152" s="1"/>
  <c r="AE36" i="152"/>
  <c r="AF36" i="152" s="1"/>
  <c r="I205" i="107"/>
  <c r="I217" i="107" s="1"/>
  <c r="D229" i="108"/>
  <c r="O139" i="108"/>
  <c r="D100" i="80"/>
  <c r="D114" i="80" s="1"/>
  <c r="D230" i="80" s="1"/>
  <c r="C227" i="108"/>
  <c r="O221" i="108"/>
  <c r="P8" i="152"/>
  <c r="Q8" i="152" s="1"/>
  <c r="P21" i="152"/>
  <c r="Q21" i="152" s="1"/>
  <c r="P27" i="152"/>
  <c r="Q27" i="152" s="1"/>
  <c r="P31" i="152"/>
  <c r="Q31" i="152" s="1"/>
  <c r="P43" i="152"/>
  <c r="Q43" i="152" s="1"/>
  <c r="J205" i="107"/>
  <c r="J217" i="107" s="1"/>
  <c r="F99" i="148"/>
  <c r="F113" i="148" s="1"/>
  <c r="F222" i="148" s="1"/>
  <c r="G23" i="126"/>
  <c r="J23" i="126" s="1"/>
  <c r="I23" i="126"/>
  <c r="K28" i="126"/>
  <c r="D26" i="126"/>
  <c r="V24" i="126"/>
  <c r="T24" i="126"/>
  <c r="Q21" i="126"/>
  <c r="AD15" i="126"/>
  <c r="AM19" i="126"/>
  <c r="AN19" i="126" s="1"/>
  <c r="AM17" i="124" s="1"/>
  <c r="AN17" i="124" s="1"/>
  <c r="AJ19" i="126"/>
  <c r="AH22" i="126"/>
  <c r="AK22" i="126"/>
  <c r="AD18" i="126"/>
  <c r="I17" i="126"/>
  <c r="D15" i="126"/>
  <c r="J15" i="126" s="1"/>
  <c r="V36" i="124"/>
  <c r="U47" i="124"/>
  <c r="AY41" i="158"/>
  <c r="BG59" i="158"/>
  <c r="D45" i="146"/>
  <c r="AT45" i="124"/>
  <c r="AM52" i="124"/>
  <c r="AN52" i="124" s="1"/>
  <c r="BH24" i="161"/>
  <c r="CW24" i="161" s="1"/>
  <c r="DI24" i="161" s="1"/>
  <c r="BI3" i="152"/>
  <c r="BJ3" i="152" s="1"/>
  <c r="BI7" i="152"/>
  <c r="BJ7" i="152" s="1"/>
  <c r="BI11" i="152"/>
  <c r="BJ11" i="152" s="1"/>
  <c r="BI15" i="152"/>
  <c r="BJ15" i="152" s="1"/>
  <c r="BI16" i="152"/>
  <c r="BJ16" i="152" s="1"/>
  <c r="BI24" i="152"/>
  <c r="BJ24" i="152" s="1"/>
  <c r="BI46" i="152"/>
  <c r="BJ46" i="152" s="1"/>
  <c r="AT4" i="152"/>
  <c r="AU4" i="152" s="1"/>
  <c r="AT8" i="152"/>
  <c r="AU8" i="152" s="1"/>
  <c r="AT12" i="152"/>
  <c r="AU12" i="152" s="1"/>
  <c r="AT46" i="152"/>
  <c r="AU46" i="152" s="1"/>
  <c r="AT50" i="152"/>
  <c r="AU50" i="152" s="1"/>
  <c r="AT54" i="152"/>
  <c r="AU54" i="152" s="1"/>
  <c r="AT56" i="152"/>
  <c r="AU56" i="152" s="1"/>
  <c r="AT60" i="152"/>
  <c r="AU60" i="152" s="1"/>
  <c r="AT64" i="152"/>
  <c r="AU64" i="152" s="1"/>
  <c r="O183" i="80"/>
  <c r="D226" i="81"/>
  <c r="D239" i="81" s="1"/>
  <c r="K128" i="81"/>
  <c r="K101" i="81"/>
  <c r="O88" i="80"/>
  <c r="AE25" i="152"/>
  <c r="AF25" i="152" s="1"/>
  <c r="AE38" i="152"/>
  <c r="AF38" i="152" s="1"/>
  <c r="AE33" i="152"/>
  <c r="AF33" i="152" s="1"/>
  <c r="AE43" i="152"/>
  <c r="AF43" i="152" s="1"/>
  <c r="AE49" i="152"/>
  <c r="AF49" i="152" s="1"/>
  <c r="AE53" i="152"/>
  <c r="AF53" i="152" s="1"/>
  <c r="AE59" i="152"/>
  <c r="AF59" i="152" s="1"/>
  <c r="AE63" i="152"/>
  <c r="AF63" i="152" s="1"/>
  <c r="O199" i="107"/>
  <c r="P18" i="152"/>
  <c r="Q18" i="152" s="1"/>
  <c r="P11" i="152"/>
  <c r="Q11" i="152" s="1"/>
  <c r="P15" i="152"/>
  <c r="Q15" i="152" s="1"/>
  <c r="P38" i="152"/>
  <c r="Q38" i="152" s="1"/>
  <c r="P61" i="152"/>
  <c r="Q61" i="152" s="1"/>
  <c r="P62" i="152"/>
  <c r="Q62" i="152" s="1"/>
  <c r="P49" i="152"/>
  <c r="Q49" i="152" s="1"/>
  <c r="P53" i="152"/>
  <c r="Q53" i="152" s="1"/>
  <c r="G217" i="108"/>
  <c r="G229" i="108" s="1"/>
  <c r="O126" i="148"/>
  <c r="C205" i="148"/>
  <c r="C217" i="148" s="1"/>
  <c r="D217" i="149"/>
  <c r="D229" i="149" s="1"/>
  <c r="AH25" i="126"/>
  <c r="AL25" i="126" s="1"/>
  <c r="AK25" i="126"/>
  <c r="K18" i="126"/>
  <c r="O225" i="149"/>
  <c r="X19" i="126"/>
  <c r="T19" i="126"/>
  <c r="Q27" i="126"/>
  <c r="O87" i="148"/>
  <c r="I26" i="126"/>
  <c r="M55" i="124" s="1"/>
  <c r="G26" i="126"/>
  <c r="J26" i="126" s="1"/>
  <c r="K55" i="124" s="1"/>
  <c r="N55" i="124" s="1"/>
  <c r="AB55" i="124" s="1"/>
  <c r="N229" i="149"/>
  <c r="AH26" i="126"/>
  <c r="AJ17" i="126"/>
  <c r="AM17" i="126"/>
  <c r="AN17" i="126" s="1"/>
  <c r="AM20" i="124" s="1"/>
  <c r="AN20" i="124" s="1"/>
  <c r="BG35" i="158"/>
  <c r="AX29" i="158"/>
  <c r="AA50" i="124"/>
  <c r="U48" i="124"/>
  <c r="AA32" i="124"/>
  <c r="BE13" i="158"/>
  <c r="AM22" i="124"/>
  <c r="AN22" i="124" s="1"/>
  <c r="AS31" i="124"/>
  <c r="BD23" i="161"/>
  <c r="CI38" i="158"/>
  <c r="W238" i="127"/>
  <c r="BI27" i="152"/>
  <c r="BJ27" i="152" s="1"/>
  <c r="BI31" i="152"/>
  <c r="BJ31" i="152" s="1"/>
  <c r="BI35" i="152"/>
  <c r="BJ35" i="152" s="1"/>
  <c r="BI39" i="152"/>
  <c r="BJ39" i="152" s="1"/>
  <c r="BI43" i="152"/>
  <c r="BJ43" i="152" s="1"/>
  <c r="BI48" i="152"/>
  <c r="BJ48" i="152" s="1"/>
  <c r="BI51" i="152"/>
  <c r="BJ51" i="152" s="1"/>
  <c r="BI54" i="152"/>
  <c r="BJ54" i="152" s="1"/>
  <c r="BI57" i="152"/>
  <c r="BJ57" i="152" s="1"/>
  <c r="BI61" i="152"/>
  <c r="BJ61" i="152" s="1"/>
  <c r="BI65" i="152"/>
  <c r="BJ65" i="152" s="1"/>
  <c r="AT17" i="152"/>
  <c r="AU17" i="152" s="1"/>
  <c r="AT21" i="152"/>
  <c r="AU21" i="152" s="1"/>
  <c r="AT37" i="152"/>
  <c r="AU37" i="152" s="1"/>
  <c r="AT41" i="152"/>
  <c r="AU41" i="152" s="1"/>
  <c r="AT45" i="152"/>
  <c r="AU45" i="152" s="1"/>
  <c r="O248" i="81"/>
  <c r="O101" i="110"/>
  <c r="O141" i="81"/>
  <c r="W70" i="81"/>
  <c r="W73" i="81" s="1"/>
  <c r="H226" i="81"/>
  <c r="H239" i="81" s="1"/>
  <c r="AE3" i="152"/>
  <c r="AE11" i="152"/>
  <c r="AF11" i="152" s="1"/>
  <c r="AE15" i="152"/>
  <c r="AF15" i="152" s="1"/>
  <c r="AE18" i="152"/>
  <c r="AF18" i="152" s="1"/>
  <c r="AE22" i="152"/>
  <c r="AF22" i="152" s="1"/>
  <c r="H238" i="108"/>
  <c r="G205" i="107"/>
  <c r="G217" i="107" s="1"/>
  <c r="C205" i="107"/>
  <c r="O126" i="107"/>
  <c r="P19" i="152"/>
  <c r="Q19" i="152" s="1"/>
  <c r="P22" i="152"/>
  <c r="Q22" i="152" s="1"/>
  <c r="P28" i="152"/>
  <c r="Q28" i="152" s="1"/>
  <c r="P32" i="152"/>
  <c r="Q32" i="152" s="1"/>
  <c r="P40" i="152"/>
  <c r="Q40" i="152" s="1"/>
  <c r="P44" i="152"/>
  <c r="Q44" i="152" s="1"/>
  <c r="P64" i="152"/>
  <c r="Q64" i="152" s="1"/>
  <c r="N217" i="108"/>
  <c r="N229" i="108" s="1"/>
  <c r="G19" i="126"/>
  <c r="J19" i="126" s="1"/>
  <c r="I19" i="126"/>
  <c r="K24" i="126"/>
  <c r="D22" i="126"/>
  <c r="O139" i="149"/>
  <c r="V20" i="126"/>
  <c r="T20" i="126"/>
  <c r="X25" i="126"/>
  <c r="Q17" i="126"/>
  <c r="V21" i="126"/>
  <c r="O215" i="148"/>
  <c r="AH28" i="126"/>
  <c r="AK28" i="126"/>
  <c r="T23" i="126"/>
  <c r="BI23" i="158"/>
  <c r="AM23" i="126"/>
  <c r="AN23" i="126" s="1"/>
  <c r="AM48" i="124" s="1"/>
  <c r="AN48" i="124" s="1"/>
  <c r="AJ23" i="126"/>
  <c r="AD22" i="126"/>
  <c r="V18" i="126"/>
  <c r="C217" i="149"/>
  <c r="BC55" i="158"/>
  <c r="BD29" i="158"/>
  <c r="AL55" i="124"/>
  <c r="BG11" i="158"/>
  <c r="BC29" i="158"/>
  <c r="AY50" i="158"/>
  <c r="BE59" i="158"/>
  <c r="AA74" i="124"/>
  <c r="AM50" i="124"/>
  <c r="AN50" i="124" s="1"/>
  <c r="AM21" i="124"/>
  <c r="AN21" i="124" s="1"/>
  <c r="BI23" i="161"/>
  <c r="CX23" i="161" s="1"/>
  <c r="DJ23" i="161" s="1"/>
  <c r="AE230" i="127"/>
  <c r="BI4" i="152"/>
  <c r="BJ4" i="152" s="1"/>
  <c r="BI8" i="152"/>
  <c r="BJ8" i="152" s="1"/>
  <c r="BI12" i="152"/>
  <c r="BJ12" i="152" s="1"/>
  <c r="BI66" i="152"/>
  <c r="BJ66" i="152" s="1"/>
  <c r="R127" i="111"/>
  <c r="O127" i="111"/>
  <c r="AB230" i="127"/>
  <c r="AJ130" i="127"/>
  <c r="AT5" i="152"/>
  <c r="AU5" i="152" s="1"/>
  <c r="AT9" i="152"/>
  <c r="AU9" i="152" s="1"/>
  <c r="AT13" i="152"/>
  <c r="AU13" i="152" s="1"/>
  <c r="AT47" i="152"/>
  <c r="AU47" i="152" s="1"/>
  <c r="AT51" i="152"/>
  <c r="AU51" i="152" s="1"/>
  <c r="AT57" i="152"/>
  <c r="AU57" i="152" s="1"/>
  <c r="AT61" i="152"/>
  <c r="AU61" i="152" s="1"/>
  <c r="V104" i="127"/>
  <c r="O237" i="81"/>
  <c r="C128" i="81"/>
  <c r="C101" i="81"/>
  <c r="I128" i="81"/>
  <c r="I101" i="81"/>
  <c r="H128" i="81"/>
  <c r="H101" i="81"/>
  <c r="AE6" i="152"/>
  <c r="AF6" i="152" s="1"/>
  <c r="AE29" i="152"/>
  <c r="AF29" i="152" s="1"/>
  <c r="AE26" i="152"/>
  <c r="AF26" i="152" s="1"/>
  <c r="AE34" i="152"/>
  <c r="AF34" i="152" s="1"/>
  <c r="AE40" i="152"/>
  <c r="AF40" i="152" s="1"/>
  <c r="AE44" i="152"/>
  <c r="AF44" i="152" s="1"/>
  <c r="AE46" i="152"/>
  <c r="AF46" i="152" s="1"/>
  <c r="AE50" i="152"/>
  <c r="AF50" i="152" s="1"/>
  <c r="AE54" i="152"/>
  <c r="AF54" i="152" s="1"/>
  <c r="AE55" i="152"/>
  <c r="AF55" i="152" s="1"/>
  <c r="AE56" i="152"/>
  <c r="AF56" i="152" s="1"/>
  <c r="AE60" i="152"/>
  <c r="AF60" i="152" s="1"/>
  <c r="AE64" i="152"/>
  <c r="AF64" i="152" s="1"/>
  <c r="O195" i="108"/>
  <c r="O135" i="107"/>
  <c r="P3" i="152"/>
  <c r="Q3" i="152" s="1"/>
  <c r="P16" i="152"/>
  <c r="Q16" i="152" s="1"/>
  <c r="P12" i="152"/>
  <c r="Q12" i="152" s="1"/>
  <c r="P46" i="152"/>
  <c r="Q46" i="152" s="1"/>
  <c r="P50" i="152"/>
  <c r="Q50" i="152" s="1"/>
  <c r="P54" i="152"/>
  <c r="Q54" i="152" s="1"/>
  <c r="O232" i="108"/>
  <c r="O238" i="108" s="1"/>
  <c r="F217" i="108"/>
  <c r="F229" i="108" s="1"/>
  <c r="O193" i="148"/>
  <c r="AH21" i="126"/>
  <c r="AL21" i="126" s="1"/>
  <c r="AK21" i="126"/>
  <c r="AM26" i="126"/>
  <c r="AN26" i="126" s="1"/>
  <c r="AJ26" i="126"/>
  <c r="I25" i="126"/>
  <c r="G25" i="126"/>
  <c r="J25" i="126" s="1"/>
  <c r="D28" i="126"/>
  <c r="C227" i="149"/>
  <c r="O221" i="149"/>
  <c r="O227" i="149" s="1"/>
  <c r="T26" i="126"/>
  <c r="V26" i="126"/>
  <c r="R55" i="124" s="1"/>
  <c r="Q23" i="126"/>
  <c r="C251" i="149"/>
  <c r="T17" i="126"/>
  <c r="V17" i="126"/>
  <c r="BA23" i="158"/>
  <c r="O206" i="149"/>
  <c r="AD28" i="126"/>
  <c r="AJ21" i="126"/>
  <c r="AM21" i="126"/>
  <c r="AN21" i="126" s="1"/>
  <c r="AM40" i="124" s="1"/>
  <c r="AN40" i="124" s="1"/>
  <c r="BA8" i="158"/>
  <c r="BD62" i="158"/>
  <c r="BG24" i="158"/>
  <c r="BG24" i="161" s="1"/>
  <c r="AY56" i="158"/>
  <c r="BI26" i="158"/>
  <c r="BI26" i="161" s="1"/>
  <c r="AY59" i="158"/>
  <c r="AK2" i="124"/>
  <c r="AK74" i="124" s="1"/>
  <c r="AS10" i="124"/>
  <c r="CW15" i="161"/>
  <c r="DI15" i="161" s="1"/>
  <c r="AD230" i="127"/>
  <c r="BI28" i="152"/>
  <c r="BJ28" i="152" s="1"/>
  <c r="BI32" i="152"/>
  <c r="BJ32" i="152" s="1"/>
  <c r="BI36" i="152"/>
  <c r="BJ36" i="152" s="1"/>
  <c r="BI40" i="152"/>
  <c r="BJ40" i="152" s="1"/>
  <c r="BI44" i="152"/>
  <c r="BJ44" i="152" s="1"/>
  <c r="BI52" i="152"/>
  <c r="BJ52" i="152" s="1"/>
  <c r="BI58" i="152"/>
  <c r="BJ58" i="152" s="1"/>
  <c r="BI62" i="152"/>
  <c r="BJ62" i="152" s="1"/>
  <c r="V238" i="127"/>
  <c r="AT18" i="152"/>
  <c r="AU18" i="152" s="1"/>
  <c r="AT22" i="152"/>
  <c r="AU22" i="152" s="1"/>
  <c r="AT34" i="152"/>
  <c r="AU34" i="152" s="1"/>
  <c r="AT31" i="152"/>
  <c r="AU31" i="152" s="1"/>
  <c r="AT38" i="152"/>
  <c r="AU38" i="152" s="1"/>
  <c r="AT42" i="152"/>
  <c r="AU42" i="152" s="1"/>
  <c r="O185" i="80"/>
  <c r="O200" i="80" s="1"/>
  <c r="C200" i="80"/>
  <c r="N128" i="81"/>
  <c r="N101" i="81"/>
  <c r="AE7" i="152"/>
  <c r="AF7" i="152" s="1"/>
  <c r="AE5" i="152"/>
  <c r="AF5" i="152" s="1"/>
  <c r="AE12" i="152"/>
  <c r="AF12" i="152" s="1"/>
  <c r="AE19" i="152"/>
  <c r="AF19" i="152" s="1"/>
  <c r="AE23" i="152"/>
  <c r="AF23" i="152" s="1"/>
  <c r="AE28" i="152"/>
  <c r="AF28" i="152" s="1"/>
  <c r="AE39" i="152"/>
  <c r="AF39" i="152" s="1"/>
  <c r="AE66" i="152"/>
  <c r="AF66" i="152" s="1"/>
  <c r="J239" i="81"/>
  <c r="O99" i="148"/>
  <c r="O113" i="148" s="1"/>
  <c r="O222" i="148" s="1"/>
  <c r="O225" i="108"/>
  <c r="P7" i="152"/>
  <c r="Q7" i="152" s="1"/>
  <c r="P17" i="152"/>
  <c r="Q17" i="152" s="1"/>
  <c r="P23" i="152"/>
  <c r="Q23" i="152" s="1"/>
  <c r="P29" i="152"/>
  <c r="Q29" i="152" s="1"/>
  <c r="P33" i="152"/>
  <c r="Q33" i="152" s="1"/>
  <c r="P41" i="152"/>
  <c r="Q41" i="152" s="1"/>
  <c r="P45" i="152"/>
  <c r="Q45" i="152" s="1"/>
  <c r="P58" i="152"/>
  <c r="Q58" i="152" s="1"/>
  <c r="K20" i="126"/>
  <c r="D18" i="126"/>
  <c r="X21" i="126"/>
  <c r="K23" i="126"/>
  <c r="V15" i="126"/>
  <c r="V23" i="126"/>
  <c r="AH24" i="126"/>
  <c r="BB62" i="158"/>
  <c r="BG28" i="158"/>
  <c r="AZ25" i="158"/>
  <c r="BA45" i="158"/>
  <c r="AL47" i="124"/>
  <c r="BI56" i="158"/>
  <c r="BH43" i="158"/>
  <c r="AL64" i="124"/>
  <c r="BA48" i="158"/>
  <c r="AY31" i="161"/>
  <c r="O35" i="161"/>
  <c r="BI9" i="152"/>
  <c r="BJ9" i="152" s="1"/>
  <c r="BI22" i="152"/>
  <c r="BJ22" i="152" s="1"/>
  <c r="U238" i="127"/>
  <c r="AT6" i="152"/>
  <c r="AU6" i="152" s="1"/>
  <c r="AT10" i="152"/>
  <c r="AU10" i="152" s="1"/>
  <c r="AT14" i="152"/>
  <c r="AU14" i="152" s="1"/>
  <c r="AT48" i="152"/>
  <c r="AU48" i="152" s="1"/>
  <c r="AT52" i="152"/>
  <c r="AU52" i="152" s="1"/>
  <c r="AT58" i="152"/>
  <c r="AU58" i="152" s="1"/>
  <c r="AT62" i="152"/>
  <c r="AU62" i="152" s="1"/>
  <c r="O174" i="80"/>
  <c r="F128" i="81"/>
  <c r="F101" i="81"/>
  <c r="O209" i="107"/>
  <c r="O215" i="107" s="1"/>
  <c r="C215" i="107"/>
  <c r="AE31" i="152"/>
  <c r="AF31" i="152" s="1"/>
  <c r="AE35" i="152"/>
  <c r="AF35" i="152" s="1"/>
  <c r="AE41" i="152"/>
  <c r="AF41" i="152" s="1"/>
  <c r="AE45" i="152"/>
  <c r="AF45" i="152" s="1"/>
  <c r="AE47" i="152"/>
  <c r="AF47" i="152" s="1"/>
  <c r="AE51" i="152"/>
  <c r="AF51" i="152" s="1"/>
  <c r="AE57" i="152"/>
  <c r="AF57" i="152" s="1"/>
  <c r="AE61" i="152"/>
  <c r="AF61" i="152" s="1"/>
  <c r="AE65" i="152"/>
  <c r="AF65" i="152" s="1"/>
  <c r="P9" i="152"/>
  <c r="Q9" i="152" s="1"/>
  <c r="P13" i="152"/>
  <c r="Q13" i="152" s="1"/>
  <c r="P47" i="152"/>
  <c r="Q47" i="152" s="1"/>
  <c r="P51" i="152"/>
  <c r="Q51" i="152" s="1"/>
  <c r="O220" i="81"/>
  <c r="O169" i="107"/>
  <c r="O206" i="108"/>
  <c r="AH17" i="126"/>
  <c r="AL17" i="126" s="1"/>
  <c r="AK17" i="126"/>
  <c r="I21" i="126"/>
  <c r="G21" i="126"/>
  <c r="J21" i="126" s="1"/>
  <c r="K26" i="126"/>
  <c r="L55" i="124" s="1"/>
  <c r="D24" i="126"/>
  <c r="J24" i="126" s="1"/>
  <c r="V22" i="126"/>
  <c r="T22" i="126"/>
  <c r="X27" i="126"/>
  <c r="Q16" i="124" s="1"/>
  <c r="Q19" i="126"/>
  <c r="G22" i="126"/>
  <c r="T25" i="126"/>
  <c r="V27" i="126"/>
  <c r="R16" i="124" s="1"/>
  <c r="T21" i="126"/>
  <c r="BA32" i="158"/>
  <c r="BD59" i="158"/>
  <c r="AZ26" i="158"/>
  <c r="BH34" i="158"/>
  <c r="BC30" i="158"/>
  <c r="BC30" i="161" s="1"/>
  <c r="CR30" i="161" s="1"/>
  <c r="DD30" i="161" s="1"/>
  <c r="AS25" i="124"/>
  <c r="AF36" i="161"/>
  <c r="BG2" i="161"/>
  <c r="Z230" i="127"/>
  <c r="BI20" i="152"/>
  <c r="BJ20" i="152" s="1"/>
  <c r="BI19" i="152"/>
  <c r="BJ19" i="152" s="1"/>
  <c r="BI25" i="152"/>
  <c r="BJ25" i="152" s="1"/>
  <c r="BI29" i="152"/>
  <c r="BJ29" i="152" s="1"/>
  <c r="BI33" i="152"/>
  <c r="BJ33" i="152" s="1"/>
  <c r="BI34" i="152"/>
  <c r="BJ34" i="152" s="1"/>
  <c r="BI37" i="152"/>
  <c r="BJ37" i="152" s="1"/>
  <c r="BI41" i="152"/>
  <c r="BJ41" i="152" s="1"/>
  <c r="BI49" i="152"/>
  <c r="BJ49" i="152" s="1"/>
  <c r="BI53" i="152"/>
  <c r="BJ53" i="152" s="1"/>
  <c r="BI55" i="152"/>
  <c r="BJ55" i="152" s="1"/>
  <c r="BI59" i="152"/>
  <c r="BJ59" i="152" s="1"/>
  <c r="BI63" i="152"/>
  <c r="BJ63" i="152" s="1"/>
  <c r="AT19" i="152"/>
  <c r="AU19" i="152" s="1"/>
  <c r="AT23" i="152"/>
  <c r="AU23" i="152" s="1"/>
  <c r="AT28" i="152"/>
  <c r="AU28" i="152" s="1"/>
  <c r="AT25" i="152"/>
  <c r="AU25" i="152" s="1"/>
  <c r="AT27" i="152"/>
  <c r="AU27" i="152" s="1"/>
  <c r="AT32" i="152"/>
  <c r="AU32" i="152" s="1"/>
  <c r="AT35" i="152"/>
  <c r="AU35" i="152" s="1"/>
  <c r="AT39" i="152"/>
  <c r="AU39" i="152" s="1"/>
  <c r="AT43" i="152"/>
  <c r="AU43" i="152" s="1"/>
  <c r="AT65" i="152"/>
  <c r="AU65" i="152" s="1"/>
  <c r="N212" i="80"/>
  <c r="N225" i="80" s="1"/>
  <c r="C212" i="80"/>
  <c r="C225" i="80" s="1"/>
  <c r="C226" i="80" s="1"/>
  <c r="O100" i="80"/>
  <c r="AE8" i="152"/>
  <c r="AF8" i="152" s="1"/>
  <c r="AE13" i="152"/>
  <c r="AF13" i="152" s="1"/>
  <c r="AE16" i="152"/>
  <c r="AF16" i="152" s="1"/>
  <c r="AE20" i="152"/>
  <c r="AF20" i="152" s="1"/>
  <c r="AE24" i="152"/>
  <c r="AF24" i="152" s="1"/>
  <c r="D205" i="107"/>
  <c r="D217" i="107" s="1"/>
  <c r="V253" i="107"/>
  <c r="C217" i="108"/>
  <c r="C229" i="108" s="1"/>
  <c r="C99" i="107"/>
  <c r="C113" i="107" s="1"/>
  <c r="O148" i="108"/>
  <c r="P25" i="152"/>
  <c r="Q25" i="152" s="1"/>
  <c r="P24" i="152"/>
  <c r="Q24" i="152" s="1"/>
  <c r="P26" i="152"/>
  <c r="Q26" i="152" s="1"/>
  <c r="P30" i="152"/>
  <c r="Q30" i="152" s="1"/>
  <c r="P34" i="152"/>
  <c r="Q34" i="152" s="1"/>
  <c r="P37" i="152"/>
  <c r="Q37" i="152" s="1"/>
  <c r="P36" i="152"/>
  <c r="Q36" i="152" s="1"/>
  <c r="P42" i="152"/>
  <c r="Q42" i="152" s="1"/>
  <c r="P55" i="152"/>
  <c r="Q55" i="152" s="1"/>
  <c r="P56" i="152"/>
  <c r="Q56" i="152" s="1"/>
  <c r="O235" i="149"/>
  <c r="O238" i="149" s="1"/>
  <c r="G27" i="126"/>
  <c r="J27" i="126" s="1"/>
  <c r="K16" i="124" s="1"/>
  <c r="N16" i="124" s="1"/>
  <c r="AB16" i="124" s="1"/>
  <c r="I27" i="126"/>
  <c r="M16" i="124" s="1"/>
  <c r="AJ27" i="126"/>
  <c r="T28" i="126"/>
  <c r="V28" i="126"/>
  <c r="Q25" i="126"/>
  <c r="R110" i="149"/>
  <c r="R108" i="149"/>
  <c r="O108" i="149"/>
  <c r="O110" i="149" s="1"/>
  <c r="O126" i="149" s="1"/>
  <c r="M217" i="149"/>
  <c r="M229" i="149" s="1"/>
  <c r="BD61" i="158"/>
  <c r="I22" i="126"/>
  <c r="I24" i="126"/>
  <c r="AM15" i="126"/>
  <c r="AN15" i="126" s="1"/>
  <c r="AM31" i="124" s="1"/>
  <c r="AN31" i="124" s="1"/>
  <c r="AJ15" i="126"/>
  <c r="AH18" i="126"/>
  <c r="AK18" i="126"/>
  <c r="G28" i="126"/>
  <c r="J28" i="126" s="1"/>
  <c r="G18" i="126"/>
  <c r="J18" i="126" s="1"/>
  <c r="BH25" i="158"/>
  <c r="BE12" i="158"/>
  <c r="BF24" i="158"/>
  <c r="AL39" i="124"/>
  <c r="AZ46" i="158"/>
  <c r="U40" i="124"/>
  <c r="AY26" i="158"/>
  <c r="BC33" i="158"/>
  <c r="V43" i="124"/>
  <c r="AK233" i="127"/>
  <c r="R231" i="127"/>
  <c r="AK93" i="127"/>
  <c r="AK190" i="127"/>
  <c r="K231" i="127"/>
  <c r="AV13" i="124"/>
  <c r="L57" i="159"/>
  <c r="CT5" i="161"/>
  <c r="DF5" i="161" s="1"/>
  <c r="L57" i="161"/>
  <c r="AV24" i="124"/>
  <c r="CU32" i="161"/>
  <c r="DG32" i="161" s="1"/>
  <c r="AH24" i="124"/>
  <c r="AI13" i="124"/>
  <c r="D17" i="146"/>
  <c r="AN5" i="124"/>
  <c r="W15" i="124"/>
  <c r="M15" i="161" s="1"/>
  <c r="W13" i="124"/>
  <c r="M13" i="159" s="1"/>
  <c r="CS24" i="161"/>
  <c r="DE24" i="161" s="1"/>
  <c r="CP65" i="159"/>
  <c r="K27" i="159"/>
  <c r="K27" i="161"/>
  <c r="CP3" i="159"/>
  <c r="CR23" i="161"/>
  <c r="DD23" i="161" s="1"/>
  <c r="P240" i="127"/>
  <c r="CQ46" i="161"/>
  <c r="DC46" i="161" s="1"/>
  <c r="CQ38" i="161"/>
  <c r="DC38" i="161" s="1"/>
  <c r="CT31" i="161"/>
  <c r="DF31" i="161" s="1"/>
  <c r="AT37" i="124"/>
  <c r="K57" i="159"/>
  <c r="X25" i="124"/>
  <c r="K57" i="161"/>
  <c r="D37" i="146"/>
  <c r="K12" i="158"/>
  <c r="BO12" i="158" s="1"/>
  <c r="K58" i="159"/>
  <c r="CT30" i="161"/>
  <c r="DF30" i="161" s="1"/>
  <c r="AN28" i="124"/>
  <c r="CV8" i="161"/>
  <c r="DH8" i="161" s="1"/>
  <c r="CU5" i="161"/>
  <c r="DG5" i="161" s="1"/>
  <c r="CX31" i="161"/>
  <c r="DJ31" i="161" s="1"/>
  <c r="CQ23" i="161"/>
  <c r="DC23" i="161" s="1"/>
  <c r="CM8" i="161"/>
  <c r="CY8" i="161" s="1"/>
  <c r="K58" i="161"/>
  <c r="AN13" i="124"/>
  <c r="CS57" i="161"/>
  <c r="DE57" i="161" s="1"/>
  <c r="CP37" i="161"/>
  <c r="DB37" i="161" s="1"/>
  <c r="CR40" i="161"/>
  <c r="DD40" i="161" s="1"/>
  <c r="CX34" i="161"/>
  <c r="DJ34" i="161" s="1"/>
  <c r="CU3" i="161"/>
  <c r="DG3" i="161" s="1"/>
  <c r="CM12" i="161"/>
  <c r="CY12" i="161" s="1"/>
  <c r="K11" i="159"/>
  <c r="K11" i="161"/>
  <c r="CM38" i="161"/>
  <c r="CY38" i="161" s="1"/>
  <c r="CR5" i="161"/>
  <c r="DD5" i="161" s="1"/>
  <c r="CN5" i="161"/>
  <c r="CZ5" i="161" s="1"/>
  <c r="CU36" i="161"/>
  <c r="DG36" i="161" s="1"/>
  <c r="CR16" i="161"/>
  <c r="DD16" i="161" s="1"/>
  <c r="AH61" i="124"/>
  <c r="L13" i="158"/>
  <c r="AI61" i="124"/>
  <c r="L13" i="159"/>
  <c r="L3" i="159"/>
  <c r="L3" i="161"/>
  <c r="AN11" i="124"/>
  <c r="CR36" i="161"/>
  <c r="DD36" i="161" s="1"/>
  <c r="CX35" i="161"/>
  <c r="DJ35" i="161" s="1"/>
  <c r="CQ6" i="161"/>
  <c r="DC6" i="161" s="1"/>
  <c r="CR32" i="161"/>
  <c r="DD32" i="161" s="1"/>
  <c r="CT15" i="161"/>
  <c r="DF15" i="161" s="1"/>
  <c r="D65" i="146"/>
  <c r="E65" i="146" s="1"/>
  <c r="AV11" i="124"/>
  <c r="CT33" i="161"/>
  <c r="DF33" i="161" s="1"/>
  <c r="CU13" i="161"/>
  <c r="DG13" i="161" s="1"/>
  <c r="CV32" i="161"/>
  <c r="DH32" i="161" s="1"/>
  <c r="CX54" i="161"/>
  <c r="DJ54" i="161" s="1"/>
  <c r="CN55" i="161"/>
  <c r="CZ55" i="161" s="1"/>
  <c r="L11" i="158"/>
  <c r="CP33" i="161"/>
  <c r="DB33" i="161" s="1"/>
  <c r="CU54" i="161"/>
  <c r="DG54" i="161" s="1"/>
  <c r="CU38" i="161"/>
  <c r="DG38" i="161" s="1"/>
  <c r="D13" i="146"/>
  <c r="CX58" i="161"/>
  <c r="DJ58" i="161" s="1"/>
  <c r="CN35" i="161"/>
  <c r="CZ35" i="161" s="1"/>
  <c r="CR12" i="161"/>
  <c r="DD12" i="161" s="1"/>
  <c r="CW30" i="161"/>
  <c r="DI30" i="161" s="1"/>
  <c r="CQ59" i="161"/>
  <c r="DC59" i="161" s="1"/>
  <c r="AS52" i="124"/>
  <c r="CT58" i="161"/>
  <c r="DF58" i="161" s="1"/>
  <c r="CW18" i="161"/>
  <c r="DI18" i="161" s="1"/>
  <c r="CW22" i="161"/>
  <c r="DI22" i="161" s="1"/>
  <c r="AA14" i="161"/>
  <c r="BB12" i="161"/>
  <c r="CQ12" i="161" s="1"/>
  <c r="DC12" i="161" s="1"/>
  <c r="AH11" i="124"/>
  <c r="D11" i="146"/>
  <c r="AQ55" i="161"/>
  <c r="AG35" i="161"/>
  <c r="CT35" i="161" s="1"/>
  <c r="DF35" i="161" s="1"/>
  <c r="AB33" i="161"/>
  <c r="CO33" i="161" s="1"/>
  <c r="DA33" i="161" s="1"/>
  <c r="BG31" i="161"/>
  <c r="CV31" i="161" s="1"/>
  <c r="DH31" i="161" s="1"/>
  <c r="W26" i="161"/>
  <c r="AE25" i="161"/>
  <c r="T6" i="161"/>
  <c r="AU50" i="161"/>
  <c r="AN39" i="161"/>
  <c r="AS34" i="161"/>
  <c r="CT34" i="161" s="1"/>
  <c r="DF34" i="161" s="1"/>
  <c r="AO31" i="161"/>
  <c r="AT6" i="161"/>
  <c r="Y55" i="161"/>
  <c r="AI38" i="161"/>
  <c r="CV38" i="161" s="1"/>
  <c r="DH38" i="161" s="1"/>
  <c r="AO35" i="161"/>
  <c r="CP35" i="161" s="1"/>
  <c r="DB35" i="161" s="1"/>
  <c r="AT34" i="161"/>
  <c r="AT27" i="161"/>
  <c r="BB9" i="161"/>
  <c r="AA8" i="161"/>
  <c r="O36" i="161"/>
  <c r="AW22" i="161"/>
  <c r="AC16" i="161"/>
  <c r="AZ16" i="161"/>
  <c r="AZ21" i="161"/>
  <c r="CO21" i="161" s="1"/>
  <c r="DA21" i="161" s="1"/>
  <c r="AA21" i="161"/>
  <c r="AX21" i="161"/>
  <c r="AY20" i="161"/>
  <c r="AW19" i="161"/>
  <c r="O19" i="161"/>
  <c r="AI19" i="161"/>
  <c r="CV19" i="161" s="1"/>
  <c r="DH19" i="161" s="1"/>
  <c r="AP15" i="161"/>
  <c r="BI15" i="161"/>
  <c r="BH3" i="161"/>
  <c r="Y3" i="161"/>
  <c r="AP3" i="161"/>
  <c r="BI14" i="161"/>
  <c r="CX14" i="161" s="1"/>
  <c r="DJ14" i="161" s="1"/>
  <c r="AT37" i="161"/>
  <c r="AR13" i="161"/>
  <c r="AW12" i="161"/>
  <c r="CX12" i="161" s="1"/>
  <c r="DJ12" i="161" s="1"/>
  <c r="T17" i="161"/>
  <c r="R17" i="161"/>
  <c r="K65" i="158"/>
  <c r="BJ65" i="158" s="1"/>
  <c r="L5" i="161"/>
  <c r="L5" i="159"/>
  <c r="L5" i="158"/>
  <c r="Z41" i="161"/>
  <c r="AO27" i="161"/>
  <c r="CP27" i="161" s="1"/>
  <c r="DB27" i="161" s="1"/>
  <c r="BF8" i="161"/>
  <c r="CU8" i="161" s="1"/>
  <c r="DG8" i="161" s="1"/>
  <c r="BH47" i="161"/>
  <c r="AI3" i="161"/>
  <c r="CV3" i="161" s="1"/>
  <c r="DH3" i="161" s="1"/>
  <c r="K65" i="159"/>
  <c r="AH46" i="161"/>
  <c r="CU46" i="161" s="1"/>
  <c r="DG46" i="161" s="1"/>
  <c r="AP30" i="161"/>
  <c r="Q29" i="161"/>
  <c r="BD36" i="161"/>
  <c r="V19" i="161"/>
  <c r="Y12" i="161"/>
  <c r="AQ17" i="161"/>
  <c r="K60" i="158"/>
  <c r="BR60" i="158" s="1"/>
  <c r="AN3" i="124"/>
  <c r="Y16" i="161"/>
  <c r="AJ14" i="161"/>
  <c r="CW14" i="161" s="1"/>
  <c r="DI14" i="161" s="1"/>
  <c r="K60" i="159"/>
  <c r="CP38" i="161"/>
  <c r="DB38" i="161" s="1"/>
  <c r="AM27" i="124"/>
  <c r="AN27" i="124"/>
  <c r="BE49" i="161"/>
  <c r="BG12" i="161"/>
  <c r="CV12" i="161" s="1"/>
  <c r="DH12" i="161" s="1"/>
  <c r="V51" i="161"/>
  <c r="N35" i="161"/>
  <c r="V32" i="161"/>
  <c r="AJ65" i="161"/>
  <c r="AL58" i="161"/>
  <c r="BH58" i="161"/>
  <c r="BB57" i="161"/>
  <c r="AV35" i="161"/>
  <c r="BE62" i="161"/>
  <c r="R58" i="161"/>
  <c r="S54" i="161"/>
  <c r="BD45" i="161"/>
  <c r="CS45" i="161" s="1"/>
  <c r="DE45" i="161" s="1"/>
  <c r="AT39" i="161"/>
  <c r="AK38" i="161"/>
  <c r="V38" i="161"/>
  <c r="AB36" i="161"/>
  <c r="AQ29" i="161"/>
  <c r="AL15" i="161"/>
  <c r="AQ60" i="161"/>
  <c r="CR60" i="161" s="1"/>
  <c r="DD60" i="161" s="1"/>
  <c r="W58" i="161"/>
  <c r="AF60" i="161"/>
  <c r="X60" i="161"/>
  <c r="AO60" i="161"/>
  <c r="W55" i="161"/>
  <c r="AM47" i="161"/>
  <c r="AA39" i="161"/>
  <c r="AO36" i="161"/>
  <c r="P39" i="161"/>
  <c r="AY54" i="161"/>
  <c r="CN54" i="161" s="1"/>
  <c r="CZ54" i="161" s="1"/>
  <c r="AD43" i="161"/>
  <c r="CQ43" i="161" s="1"/>
  <c r="DC43" i="161" s="1"/>
  <c r="AU25" i="161"/>
  <c r="Q54" i="161"/>
  <c r="CI54" i="159"/>
  <c r="CV55" i="161"/>
  <c r="DH55" i="161" s="1"/>
  <c r="AB37" i="161"/>
  <c r="CO37" i="161" s="1"/>
  <c r="DA37" i="161" s="1"/>
  <c r="U33" i="161"/>
  <c r="AB5" i="161"/>
  <c r="CO5" i="161" s="1"/>
  <c r="DA5" i="161" s="1"/>
  <c r="CI35" i="158"/>
  <c r="AS19" i="124"/>
  <c r="BC49" i="161"/>
  <c r="AJ32" i="161"/>
  <c r="CW32" i="161" s="1"/>
  <c r="DI32" i="161" s="1"/>
  <c r="CR19" i="161"/>
  <c r="DD19" i="161" s="1"/>
  <c r="Y5" i="161"/>
  <c r="CR27" i="161"/>
  <c r="DD27" i="161" s="1"/>
  <c r="CN23" i="161"/>
  <c r="CZ23" i="161" s="1"/>
  <c r="AV2" i="161"/>
  <c r="AM43" i="161"/>
  <c r="CN43" i="161" s="1"/>
  <c r="CZ43" i="161" s="1"/>
  <c r="CK35" i="159"/>
  <c r="V14" i="161"/>
  <c r="CV29" i="161"/>
  <c r="DH29" i="161" s="1"/>
  <c r="CT3" i="161"/>
  <c r="DF3" i="161" s="1"/>
  <c r="AG4" i="161"/>
  <c r="CT4" i="161" s="1"/>
  <c r="DF4" i="161" s="1"/>
  <c r="AE2" i="161"/>
  <c r="CI62" i="158"/>
  <c r="CP46" i="161"/>
  <c r="DB46" i="161" s="1"/>
  <c r="CO31" i="161"/>
  <c r="DA31" i="161" s="1"/>
  <c r="CT26" i="161"/>
  <c r="DF26" i="161" s="1"/>
  <c r="CX6" i="161"/>
  <c r="DJ6" i="161" s="1"/>
  <c r="CM59" i="161"/>
  <c r="CY59" i="161" s="1"/>
  <c r="CJ35" i="159"/>
  <c r="AI36" i="161"/>
  <c r="CV36" i="161" s="1"/>
  <c r="DH36" i="161" s="1"/>
  <c r="CR8" i="161"/>
  <c r="DD8" i="161" s="1"/>
  <c r="U4" i="161"/>
  <c r="AW27" i="161"/>
  <c r="CN58" i="161"/>
  <c r="CZ58" i="161" s="1"/>
  <c r="CI25" i="159"/>
  <c r="CO22" i="161"/>
  <c r="DA22" i="161" s="1"/>
  <c r="AS6" i="161"/>
  <c r="CS27" i="161"/>
  <c r="DE27" i="161" s="1"/>
  <c r="AO8" i="161"/>
  <c r="Y13" i="161"/>
  <c r="X17" i="161"/>
  <c r="AN60" i="124"/>
  <c r="BE7" i="161"/>
  <c r="T7" i="161"/>
  <c r="K25" i="158"/>
  <c r="K25" i="161"/>
  <c r="AT17" i="124"/>
  <c r="AT48" i="124"/>
  <c r="AV48" i="124"/>
  <c r="AM33" i="161"/>
  <c r="AF4" i="161"/>
  <c r="CS4" i="161" s="1"/>
  <c r="DE4" i="161" s="1"/>
  <c r="AW59" i="161"/>
  <c r="AU59" i="161"/>
  <c r="V58" i="161"/>
  <c r="AE57" i="161"/>
  <c r="AB58" i="124"/>
  <c r="AS2" i="124"/>
  <c r="AR41" i="161"/>
  <c r="CS41" i="161" s="1"/>
  <c r="DE41" i="161" s="1"/>
  <c r="BG34" i="161"/>
  <c r="AB25" i="124"/>
  <c r="AN56" i="124"/>
  <c r="AM56" i="124"/>
  <c r="AH39" i="161"/>
  <c r="CQ35" i="161"/>
  <c r="DC35" i="161" s="1"/>
  <c r="D48" i="146"/>
  <c r="AB10" i="124"/>
  <c r="CN46" i="161"/>
  <c r="CZ46" i="161" s="1"/>
  <c r="AR8" i="161"/>
  <c r="CO32" i="161"/>
  <c r="DA32" i="161" s="1"/>
  <c r="AN34" i="161"/>
  <c r="AS12" i="124"/>
  <c r="AC41" i="161"/>
  <c r="AI24" i="161"/>
  <c r="CU23" i="161"/>
  <c r="DG23" i="161" s="1"/>
  <c r="BD17" i="161"/>
  <c r="CS17" i="161" s="1"/>
  <c r="DE17" i="161" s="1"/>
  <c r="AS17" i="124"/>
  <c r="AV2" i="124"/>
  <c r="AT2" i="124"/>
  <c r="D2" i="146"/>
  <c r="BI41" i="161"/>
  <c r="O3" i="161"/>
  <c r="AF3" i="161"/>
  <c r="AW3" i="161"/>
  <c r="AC19" i="161"/>
  <c r="CP19" i="161" s="1"/>
  <c r="DB19" i="161" s="1"/>
  <c r="BC14" i="161"/>
  <c r="CR14" i="161" s="1"/>
  <c r="DD14" i="161" s="1"/>
  <c r="AT19" i="161"/>
  <c r="CU19" i="161" s="1"/>
  <c r="DG19" i="161" s="1"/>
  <c r="AG13" i="161"/>
  <c r="AJ10" i="161"/>
  <c r="AP62" i="161"/>
  <c r="AE46" i="161"/>
  <c r="CR46" i="161" s="1"/>
  <c r="DD46" i="161" s="1"/>
  <c r="AG49" i="161"/>
  <c r="BE29" i="161"/>
  <c r="CT29" i="161" s="1"/>
  <c r="DF29" i="161" s="1"/>
  <c r="BF59" i="161"/>
  <c r="CU59" i="161" s="1"/>
  <c r="DG59" i="161" s="1"/>
  <c r="AW33" i="161"/>
  <c r="Z30" i="161"/>
  <c r="CM30" i="161" s="1"/>
  <c r="CY30" i="161" s="1"/>
  <c r="BD30" i="161"/>
  <c r="CS30" i="161" s="1"/>
  <c r="DE30" i="161" s="1"/>
  <c r="AC32" i="161"/>
  <c r="BH16" i="161"/>
  <c r="CW16" i="161" s="1"/>
  <c r="DI16" i="161" s="1"/>
  <c r="AX39" i="161"/>
  <c r="CM39" i="161" s="1"/>
  <c r="CY39" i="161" s="1"/>
  <c r="AU45" i="161"/>
  <c r="T33" i="161"/>
  <c r="W24" i="161"/>
  <c r="S33" i="161"/>
  <c r="T32" i="161"/>
  <c r="AE51" i="161"/>
  <c r="V39" i="161"/>
  <c r="P35" i="161"/>
  <c r="AB34" i="161"/>
  <c r="AY30" i="161"/>
  <c r="AN9" i="161"/>
  <c r="BB3" i="161"/>
  <c r="Y37" i="161"/>
  <c r="AH4" i="161"/>
  <c r="CU4" i="161" s="1"/>
  <c r="DG4" i="161" s="1"/>
  <c r="AR31" i="161"/>
  <c r="AA25" i="161"/>
  <c r="AY25" i="161"/>
  <c r="AO3" i="161"/>
  <c r="Z60" i="161"/>
  <c r="BI59" i="161"/>
  <c r="BD58" i="161"/>
  <c r="AR14" i="161"/>
  <c r="AL3" i="161"/>
  <c r="Z61" i="161"/>
  <c r="S60" i="161"/>
  <c r="X58" i="161"/>
  <c r="BB31" i="161"/>
  <c r="CQ31" i="161" s="1"/>
  <c r="DC31" i="161" s="1"/>
  <c r="Z31" i="161"/>
  <c r="CM31" i="161" s="1"/>
  <c r="CY31" i="161" s="1"/>
  <c r="BA31" i="161"/>
  <c r="AS16" i="161"/>
  <c r="CT16" i="161" s="1"/>
  <c r="DF16" i="161" s="1"/>
  <c r="K26" i="159"/>
  <c r="AN10" i="124"/>
  <c r="CV58" i="161"/>
  <c r="DH58" i="161" s="1"/>
  <c r="CV60" i="161"/>
  <c r="DH60" i="161" s="1"/>
  <c r="CM35" i="161"/>
  <c r="CY35" i="161" s="1"/>
  <c r="BA30" i="161"/>
  <c r="CW26" i="161"/>
  <c r="DI26" i="161" s="1"/>
  <c r="CT23" i="161"/>
  <c r="DF23" i="161" s="1"/>
  <c r="BD6" i="161"/>
  <c r="CS6" i="161" s="1"/>
  <c r="DE6" i="161" s="1"/>
  <c r="P44" i="161"/>
  <c r="AB59" i="124"/>
  <c r="K26" i="161"/>
  <c r="AI59" i="124"/>
  <c r="CK59" i="159"/>
  <c r="CN60" i="161"/>
  <c r="CZ60" i="161" s="1"/>
  <c r="BF43" i="161"/>
  <c r="CS33" i="161"/>
  <c r="DE33" i="161" s="1"/>
  <c r="CN6" i="161"/>
  <c r="CZ6" i="161" s="1"/>
  <c r="AD4" i="161"/>
  <c r="CL19" i="158"/>
  <c r="AX19" i="161"/>
  <c r="AT12" i="124"/>
  <c r="AT56" i="124"/>
  <c r="AT11" i="124"/>
  <c r="CP58" i="161"/>
  <c r="DB58" i="161" s="1"/>
  <c r="CT46" i="161"/>
  <c r="DF46" i="161" s="1"/>
  <c r="CM54" i="161"/>
  <c r="CY54" i="161" s="1"/>
  <c r="AR40" i="161"/>
  <c r="CS40" i="161" s="1"/>
  <c r="DE40" i="161" s="1"/>
  <c r="CW13" i="161"/>
  <c r="DI13" i="161" s="1"/>
  <c r="X37" i="124"/>
  <c r="BI38" i="161"/>
  <c r="AF32" i="161"/>
  <c r="CS32" i="161" s="1"/>
  <c r="DE32" i="161" s="1"/>
  <c r="CJ63" i="158"/>
  <c r="AM27" i="161"/>
  <c r="CN27" i="161" s="1"/>
  <c r="CZ27" i="161" s="1"/>
  <c r="AC6" i="161"/>
  <c r="CP6" i="161" s="1"/>
  <c r="DB6" i="161" s="1"/>
  <c r="S9" i="161"/>
  <c r="CI47" i="158"/>
  <c r="AY8" i="161"/>
  <c r="Y45" i="161"/>
  <c r="CR39" i="161"/>
  <c r="DD39" i="161" s="1"/>
  <c r="CN38" i="161"/>
  <c r="CZ38" i="161" s="1"/>
  <c r="AC13" i="161"/>
  <c r="R11" i="161"/>
  <c r="AJ11" i="161"/>
  <c r="AZ30" i="161"/>
  <c r="AF11" i="161"/>
  <c r="CX46" i="161"/>
  <c r="DJ46" i="161" s="1"/>
  <c r="CR54" i="161"/>
  <c r="DD54" i="161" s="1"/>
  <c r="BA15" i="161"/>
  <c r="BG39" i="161"/>
  <c r="CL25" i="158"/>
  <c r="AV8" i="161"/>
  <c r="CW8" i="161" s="1"/>
  <c r="DI8" i="161" s="1"/>
  <c r="CJ46" i="159"/>
  <c r="BG37" i="161"/>
  <c r="T10" i="161"/>
  <c r="CI32" i="158"/>
  <c r="CJ60" i="158"/>
  <c r="CI58" i="158"/>
  <c r="W35" i="161"/>
  <c r="BG25" i="161"/>
  <c r="BI16" i="161"/>
  <c r="AZ13" i="161"/>
  <c r="AC3" i="161"/>
  <c r="BD21" i="161"/>
  <c r="BA14" i="161"/>
  <c r="N36" i="161"/>
  <c r="AI9" i="161"/>
  <c r="CT19" i="161"/>
  <c r="DF19" i="161" s="1"/>
  <c r="CT25" i="161"/>
  <c r="DF25" i="161" s="1"/>
  <c r="AV29" i="161"/>
  <c r="CW29" i="161" s="1"/>
  <c r="DI29" i="161" s="1"/>
  <c r="AN11" i="161"/>
  <c r="BI24" i="161"/>
  <c r="AP36" i="161"/>
  <c r="AM25" i="161"/>
  <c r="AD9" i="161"/>
  <c r="AD10" i="161"/>
  <c r="Q9" i="161"/>
  <c r="CL26" i="158"/>
  <c r="CI10" i="158"/>
  <c r="CI2" i="158"/>
  <c r="U31" i="161"/>
  <c r="AB24" i="161"/>
  <c r="CO24" i="161" s="1"/>
  <c r="DA24" i="161" s="1"/>
  <c r="S18" i="161"/>
  <c r="AC26" i="161"/>
  <c r="AD22" i="161"/>
  <c r="AH60" i="124"/>
  <c r="D60" i="146"/>
  <c r="AI60" i="124"/>
  <c r="K61" i="161"/>
  <c r="K61" i="159"/>
  <c r="K61" i="158"/>
  <c r="BP61" i="158" s="1"/>
  <c r="AB61" i="124"/>
  <c r="CP61" i="158" s="1"/>
  <c r="AT40" i="161"/>
  <c r="CU40" i="161" s="1"/>
  <c r="DG40" i="161" s="1"/>
  <c r="AF26" i="161"/>
  <c r="CR58" i="161"/>
  <c r="DD58" i="161" s="1"/>
  <c r="CR38" i="161"/>
  <c r="DD38" i="161" s="1"/>
  <c r="AT64" i="161"/>
  <c r="CJ62" i="158"/>
  <c r="BF60" i="161"/>
  <c r="AN60" i="161"/>
  <c r="O59" i="161"/>
  <c r="AN58" i="161"/>
  <c r="CL58" i="158"/>
  <c r="BB58" i="161"/>
  <c r="CQ58" i="161" s="1"/>
  <c r="DC58" i="161" s="1"/>
  <c r="Z46" i="161"/>
  <c r="CM46" i="161" s="1"/>
  <c r="CY46" i="161" s="1"/>
  <c r="O43" i="161"/>
  <c r="AH30" i="161"/>
  <c r="BH65" i="161"/>
  <c r="CJ65" i="158"/>
  <c r="BD53" i="161"/>
  <c r="AA41" i="161"/>
  <c r="AN36" i="161"/>
  <c r="AG54" i="161"/>
  <c r="CT54" i="161" s="1"/>
  <c r="DF54" i="161" s="1"/>
  <c r="BA54" i="161"/>
  <c r="CP54" i="161" s="1"/>
  <c r="DB54" i="161" s="1"/>
  <c r="BD51" i="161"/>
  <c r="O39" i="161"/>
  <c r="AI39" i="161"/>
  <c r="AK41" i="161"/>
  <c r="BI3" i="161"/>
  <c r="AO21" i="161"/>
  <c r="BI21" i="161"/>
  <c r="CX21" i="161" s="1"/>
  <c r="DJ21" i="161" s="1"/>
  <c r="BF21" i="161"/>
  <c r="AD19" i="161"/>
  <c r="Y19" i="161"/>
  <c r="X19" i="161"/>
  <c r="L62" i="161"/>
  <c r="L62" i="158"/>
  <c r="AQ41" i="161"/>
  <c r="AF51" i="161"/>
  <c r="AT18" i="124"/>
  <c r="D50" i="146"/>
  <c r="AT50" i="124"/>
  <c r="AV50" i="124"/>
  <c r="AT24" i="124"/>
  <c r="AJ40" i="161"/>
  <c r="S7" i="161"/>
  <c r="CL55" i="159"/>
  <c r="AS41" i="124"/>
  <c r="AX41" i="124" s="1"/>
  <c r="BA24" i="161"/>
  <c r="D64" i="146"/>
  <c r="AT64" i="124"/>
  <c r="AV44" i="124"/>
  <c r="W30" i="124"/>
  <c r="M30" i="161" s="1"/>
  <c r="D33" i="146"/>
  <c r="AI24" i="124"/>
  <c r="CQ24" i="159" s="1"/>
  <c r="AT25" i="124"/>
  <c r="W7" i="124"/>
  <c r="M7" i="159" s="1"/>
  <c r="D24" i="146"/>
  <c r="AU41" i="161"/>
  <c r="AB11" i="161"/>
  <c r="AH35" i="161"/>
  <c r="CU35" i="161" s="1"/>
  <c r="DG35" i="161" s="1"/>
  <c r="BF27" i="161"/>
  <c r="AM28" i="161"/>
  <c r="CN28" i="161" s="1"/>
  <c r="CZ28" i="161" s="1"/>
  <c r="CK8" i="158"/>
  <c r="BH4" i="161"/>
  <c r="AN62" i="124"/>
  <c r="AM4" i="124"/>
  <c r="L23" i="158"/>
  <c r="CL57" i="159"/>
  <c r="CI43" i="159"/>
  <c r="CK15" i="159"/>
  <c r="CJ16" i="159"/>
  <c r="CJ58" i="158"/>
  <c r="CJ42" i="158"/>
  <c r="AH6" i="124"/>
  <c r="CP6" i="159" s="1"/>
  <c r="L23" i="159"/>
  <c r="CK31" i="159"/>
  <c r="CL22" i="159"/>
  <c r="CI18" i="159"/>
  <c r="CW23" i="161"/>
  <c r="DI23" i="161" s="1"/>
  <c r="CK58" i="158"/>
  <c r="CI30" i="158"/>
  <c r="CK29" i="158"/>
  <c r="CK50" i="158"/>
  <c r="CL47" i="158"/>
  <c r="AC30" i="161"/>
  <c r="AT19" i="124"/>
  <c r="AI64" i="124"/>
  <c r="CQ64" i="159" s="1"/>
  <c r="AB60" i="124"/>
  <c r="CI47" i="159"/>
  <c r="CK30" i="159"/>
  <c r="CK9" i="159"/>
  <c r="T11" i="161"/>
  <c r="CK62" i="158"/>
  <c r="CL61" i="158"/>
  <c r="CJ30" i="158"/>
  <c r="CJ39" i="158"/>
  <c r="CL62" i="159"/>
  <c r="CK28" i="159"/>
  <c r="AM4" i="161"/>
  <c r="CN4" i="161" s="1"/>
  <c r="CZ4" i="161" s="1"/>
  <c r="CL36" i="159"/>
  <c r="CI61" i="158"/>
  <c r="CL60" i="158"/>
  <c r="CJ22" i="158"/>
  <c r="AA22" i="161"/>
  <c r="O16" i="161"/>
  <c r="AI16" i="161"/>
  <c r="AN6" i="161"/>
  <c r="CO6" i="161" s="1"/>
  <c r="DA6" i="161" s="1"/>
  <c r="AX3" i="161"/>
  <c r="AQ9" i="161"/>
  <c r="R14" i="161"/>
  <c r="T41" i="161"/>
  <c r="CI22" i="159"/>
  <c r="CI17" i="159"/>
  <c r="CS9" i="161"/>
  <c r="DE9" i="161" s="1"/>
  <c r="CL52" i="158"/>
  <c r="P14" i="161"/>
  <c r="CI18" i="158"/>
  <c r="CJ18" i="158"/>
  <c r="CJ25" i="158"/>
  <c r="U6" i="161"/>
  <c r="AQ4" i="161"/>
  <c r="CR4" i="161" s="1"/>
  <c r="DD4" i="161" s="1"/>
  <c r="CI63" i="158"/>
  <c r="BE9" i="161"/>
  <c r="AW25" i="161"/>
  <c r="BD7" i="161"/>
  <c r="BA5" i="161"/>
  <c r="CP5" i="161" s="1"/>
  <c r="DB5" i="161" s="1"/>
  <c r="CJ32" i="158"/>
  <c r="CL39" i="158"/>
  <c r="CJ31" i="158"/>
  <c r="CJ7" i="158"/>
  <c r="CL41" i="158"/>
  <c r="CL10" i="158"/>
  <c r="CL2" i="158"/>
  <c r="CL35" i="158"/>
  <c r="CK12" i="158"/>
  <c r="CK4" i="158"/>
  <c r="CI7" i="158"/>
  <c r="CK18" i="158"/>
  <c r="CL20" i="158"/>
  <c r="CJ16" i="158"/>
  <c r="AE61" i="161"/>
  <c r="CR61" i="161" s="1"/>
  <c r="DD61" i="161" s="1"/>
  <c r="BA59" i="161"/>
  <c r="AB58" i="161"/>
  <c r="CJ58" i="159"/>
  <c r="BI60" i="161"/>
  <c r="AR59" i="161"/>
  <c r="AZ60" i="161"/>
  <c r="CL60" i="159"/>
  <c r="AI59" i="161"/>
  <c r="AR61" i="161"/>
  <c r="T65" i="161"/>
  <c r="AA62" i="161"/>
  <c r="V62" i="161"/>
  <c r="AM62" i="161"/>
  <c r="BD62" i="161"/>
  <c r="AT57" i="161"/>
  <c r="T55" i="161"/>
  <c r="BI64" i="161"/>
  <c r="X64" i="161"/>
  <c r="AO64" i="161"/>
  <c r="BF64" i="161"/>
  <c r="BA65" i="161"/>
  <c r="P65" i="161"/>
  <c r="AG65" i="161"/>
  <c r="AX65" i="161"/>
  <c r="CL65" i="159"/>
  <c r="AA64" i="161"/>
  <c r="AC65" i="161"/>
  <c r="AD63" i="161"/>
  <c r="AU63" i="161"/>
  <c r="CV63" i="161" s="1"/>
  <c r="DH63" i="161" s="1"/>
  <c r="Q63" i="161"/>
  <c r="AU65" i="161"/>
  <c r="AP63" i="161"/>
  <c r="U57" i="161"/>
  <c r="AT55" i="161"/>
  <c r="CU55" i="161" s="1"/>
  <c r="DG55" i="161" s="1"/>
  <c r="U65" i="161"/>
  <c r="AR62" i="161"/>
  <c r="T57" i="161"/>
  <c r="AR54" i="161"/>
  <c r="CK54" i="159"/>
  <c r="T46" i="161"/>
  <c r="CI46" i="159"/>
  <c r="AS53" i="161"/>
  <c r="S52" i="161"/>
  <c r="AK50" i="161"/>
  <c r="BD48" i="161"/>
  <c r="P53" i="161"/>
  <c r="AJ51" i="161"/>
  <c r="BB49" i="161"/>
  <c r="AA48" i="161"/>
  <c r="BE45" i="161"/>
  <c r="CT45" i="161" s="1"/>
  <c r="DF45" i="161" s="1"/>
  <c r="AQ45" i="161"/>
  <c r="AP53" i="161"/>
  <c r="P52" i="161"/>
  <c r="AI50" i="161"/>
  <c r="BA48" i="161"/>
  <c r="CP48" i="161" s="1"/>
  <c r="DB48" i="161" s="1"/>
  <c r="BI52" i="161"/>
  <c r="AQ51" i="161"/>
  <c r="Y50" i="161"/>
  <c r="BI48" i="161"/>
  <c r="BE39" i="161"/>
  <c r="AS39" i="161"/>
  <c r="AN53" i="161"/>
  <c r="AV53" i="161"/>
  <c r="AY53" i="161"/>
  <c r="AL53" i="161"/>
  <c r="CK53" i="159"/>
  <c r="R52" i="161"/>
  <c r="AM51" i="161"/>
  <c r="CK51" i="159"/>
  <c r="BE51" i="161"/>
  <c r="AF50" i="161"/>
  <c r="U49" i="161"/>
  <c r="AW48" i="161"/>
  <c r="AT48" i="161"/>
  <c r="W61" i="161"/>
  <c r="AS59" i="161"/>
  <c r="T58" i="161"/>
  <c r="BA60" i="161"/>
  <c r="AJ59" i="161"/>
  <c r="BI61" i="161"/>
  <c r="AR60" i="161"/>
  <c r="AA59" i="161"/>
  <c r="AJ61" i="161"/>
  <c r="BB64" i="161"/>
  <c r="U62" i="161"/>
  <c r="AD62" i="161"/>
  <c r="AU62" i="161"/>
  <c r="AK57" i="161"/>
  <c r="CX57" i="161" s="1"/>
  <c r="DJ57" i="161" s="1"/>
  <c r="AZ64" i="161"/>
  <c r="O64" i="161"/>
  <c r="AF64" i="161"/>
  <c r="AW64" i="161"/>
  <c r="AE65" i="161"/>
  <c r="X65" i="161"/>
  <c r="AO65" i="161"/>
  <c r="BF65" i="161"/>
  <c r="AR64" i="161"/>
  <c r="AL63" i="161"/>
  <c r="CK63" i="159"/>
  <c r="BC63" i="161"/>
  <c r="Y63" i="161"/>
  <c r="AB65" i="161"/>
  <c r="Z63" i="161"/>
  <c r="CJ63" i="159"/>
  <c r="S57" i="161"/>
  <c r="AL55" i="161"/>
  <c r="CK55" i="159"/>
  <c r="BG64" i="161"/>
  <c r="AB62" i="161"/>
  <c r="BI55" i="161"/>
  <c r="AJ54" i="161"/>
  <c r="CW54" i="161" s="1"/>
  <c r="DI54" i="161" s="1"/>
  <c r="AZ38" i="161"/>
  <c r="CL38" i="159"/>
  <c r="AJ53" i="161"/>
  <c r="BC51" i="161"/>
  <c r="AB50" i="161"/>
  <c r="AU48" i="161"/>
  <c r="BB52" i="161"/>
  <c r="AA51" i="161"/>
  <c r="AS49" i="161"/>
  <c r="R48" i="161"/>
  <c r="AV45" i="161"/>
  <c r="AY45" i="161"/>
  <c r="CL45" i="159"/>
  <c r="AG53" i="161"/>
  <c r="BA51" i="161"/>
  <c r="Z50" i="161"/>
  <c r="CM50" i="161" s="1"/>
  <c r="CY50" i="161" s="1"/>
  <c r="CJ50" i="159"/>
  <c r="AR48" i="161"/>
  <c r="AZ52" i="161"/>
  <c r="AH51" i="161"/>
  <c r="O50" i="161"/>
  <c r="CI50" i="159"/>
  <c r="AZ48" i="161"/>
  <c r="CL48" i="159"/>
  <c r="AV39" i="161"/>
  <c r="CW39" i="161" s="1"/>
  <c r="DI39" i="161" s="1"/>
  <c r="BA39" i="161"/>
  <c r="CL39" i="159"/>
  <c r="AE53" i="161"/>
  <c r="AM53" i="161"/>
  <c r="BG53" i="161"/>
  <c r="AC53" i="161"/>
  <c r="Z52" i="161"/>
  <c r="CJ52" i="159"/>
  <c r="AD51" i="161"/>
  <c r="BF50" i="161"/>
  <c r="O61" i="161"/>
  <c r="AK59" i="161"/>
  <c r="BB61" i="161"/>
  <c r="AS60" i="161"/>
  <c r="CT60" i="161" s="1"/>
  <c r="DF60" i="161" s="1"/>
  <c r="AB59" i="161"/>
  <c r="BA61" i="161"/>
  <c r="AJ60" i="161"/>
  <c r="S59" i="161"/>
  <c r="CI59" i="159"/>
  <c r="AB61" i="161"/>
  <c r="AI64" i="161"/>
  <c r="AC62" i="161"/>
  <c r="AL62" i="161"/>
  <c r="CM62" i="161" s="1"/>
  <c r="CY62" i="161" s="1"/>
  <c r="CK62" i="159"/>
  <c r="BC62" i="161"/>
  <c r="AB57" i="161"/>
  <c r="CO57" i="161" s="1"/>
  <c r="DA57" i="161" s="1"/>
  <c r="AD64" i="161"/>
  <c r="W64" i="161"/>
  <c r="AN64" i="161"/>
  <c r="BE64" i="161"/>
  <c r="CJ62" i="159"/>
  <c r="N65" i="161"/>
  <c r="CI65" i="159"/>
  <c r="AF65" i="161"/>
  <c r="AW65" i="161"/>
  <c r="S65" i="161"/>
  <c r="CI58" i="159"/>
  <c r="V64" i="161"/>
  <c r="AT63" i="161"/>
  <c r="P63" i="161"/>
  <c r="AG63" i="161"/>
  <c r="AQ64" i="161"/>
  <c r="AS65" i="161"/>
  <c r="AW62" i="161"/>
  <c r="AA57" i="161"/>
  <c r="AD55" i="161"/>
  <c r="AJ64" i="161"/>
  <c r="BA55" i="161"/>
  <c r="AB54" i="161"/>
  <c r="CJ54" i="159"/>
  <c r="AR38" i="161"/>
  <c r="CS38" i="161" s="1"/>
  <c r="DE38" i="161" s="1"/>
  <c r="CK38" i="159"/>
  <c r="Z53" i="161"/>
  <c r="CJ53" i="159"/>
  <c r="AT51" i="161"/>
  <c r="S50" i="161"/>
  <c r="AK48" i="161"/>
  <c r="AS52" i="161"/>
  <c r="R51" i="161"/>
  <c r="AJ49" i="161"/>
  <c r="CW49" i="161" s="1"/>
  <c r="DI49" i="161" s="1"/>
  <c r="AM45" i="161"/>
  <c r="CK45" i="159"/>
  <c r="BG45" i="161"/>
  <c r="X53" i="161"/>
  <c r="AR51" i="161"/>
  <c r="Q50" i="161"/>
  <c r="AI48" i="161"/>
  <c r="BH53" i="161"/>
  <c r="AQ52" i="161"/>
  <c r="X51" i="161"/>
  <c r="BI49" i="161"/>
  <c r="AQ48" i="161"/>
  <c r="AM39" i="161"/>
  <c r="CK39" i="159"/>
  <c r="BI39" i="161"/>
  <c r="V53" i="161"/>
  <c r="AD53" i="161"/>
  <c r="CJ59" i="159"/>
  <c r="T53" i="161"/>
  <c r="AH52" i="161"/>
  <c r="U51" i="161"/>
  <c r="AW50" i="161"/>
  <c r="AV50" i="161"/>
  <c r="W49" i="161"/>
  <c r="AE48" i="161"/>
  <c r="AT60" i="161"/>
  <c r="AC59" i="161"/>
  <c r="AT61" i="161"/>
  <c r="CU61" i="161" s="1"/>
  <c r="DG61" i="161" s="1"/>
  <c r="AK60" i="161"/>
  <c r="T59" i="161"/>
  <c r="AS61" i="161"/>
  <c r="CT61" i="161" s="1"/>
  <c r="DF61" i="161" s="1"/>
  <c r="AB60" i="161"/>
  <c r="CJ60" i="159"/>
  <c r="BF58" i="161"/>
  <c r="CU58" i="161" s="1"/>
  <c r="DG58" i="161" s="1"/>
  <c r="T61" i="161"/>
  <c r="AZ63" i="161"/>
  <c r="AK62" i="161"/>
  <c r="AT62" i="161"/>
  <c r="P62" i="161"/>
  <c r="R57" i="161"/>
  <c r="U64" i="161"/>
  <c r="AE64" i="161"/>
  <c r="AV64" i="161"/>
  <c r="R64" i="161"/>
  <c r="V65" i="161"/>
  <c r="AN65" i="161"/>
  <c r="BE65" i="161"/>
  <c r="AA65" i="161"/>
  <c r="BH63" i="161"/>
  <c r="BB63" i="161"/>
  <c r="X63" i="161"/>
  <c r="AO63" i="161"/>
  <c r="T64" i="161"/>
  <c r="W65" i="161"/>
  <c r="AG62" i="161"/>
  <c r="AI57" i="161"/>
  <c r="V55" i="161"/>
  <c r="N64" i="161"/>
  <c r="CI64" i="159"/>
  <c r="AS55" i="161"/>
  <c r="CT55" i="161" s="1"/>
  <c r="DF55" i="161" s="1"/>
  <c r="T54" i="161"/>
  <c r="AJ38" i="161"/>
  <c r="CW38" i="161" s="1"/>
  <c r="DI38" i="161" s="1"/>
  <c r="Q53" i="161"/>
  <c r="AK51" i="161"/>
  <c r="BD49" i="161"/>
  <c r="AB48" i="161"/>
  <c r="AJ52" i="161"/>
  <c r="BB50" i="161"/>
  <c r="AA49" i="161"/>
  <c r="AD45" i="161"/>
  <c r="CQ45" i="161" s="1"/>
  <c r="DC45" i="161" s="1"/>
  <c r="O53" i="161"/>
  <c r="AI51" i="161"/>
  <c r="CV51" i="161" s="1"/>
  <c r="DH51" i="161" s="1"/>
  <c r="BA49" i="161"/>
  <c r="Z48" i="161"/>
  <c r="CJ48" i="159"/>
  <c r="CL63" i="159"/>
  <c r="AX53" i="161"/>
  <c r="CL53" i="159"/>
  <c r="AG52" i="161"/>
  <c r="O51" i="161"/>
  <c r="CI51" i="159"/>
  <c r="AZ49" i="161"/>
  <c r="CL49" i="159"/>
  <c r="AH48" i="161"/>
  <c r="AD39" i="161"/>
  <c r="CQ39" i="161" s="1"/>
  <c r="DC39" i="161" s="1"/>
  <c r="U53" i="161"/>
  <c r="BE52" i="161"/>
  <c r="AP52" i="161"/>
  <c r="Q51" i="161"/>
  <c r="AM50" i="161"/>
  <c r="CK50" i="159"/>
  <c r="AL60" i="161"/>
  <c r="CK60" i="159"/>
  <c r="U59" i="161"/>
  <c r="AL61" i="161"/>
  <c r="CK61" i="159"/>
  <c r="AC60" i="161"/>
  <c r="AK61" i="161"/>
  <c r="T60" i="161"/>
  <c r="AX58" i="161"/>
  <c r="CL58" i="159"/>
  <c r="AJ63" i="161"/>
  <c r="AS62" i="161"/>
  <c r="BB62" i="161"/>
  <c r="X62" i="161"/>
  <c r="AZ55" i="161"/>
  <c r="AC64" i="161"/>
  <c r="AM64" i="161"/>
  <c r="BD64" i="161"/>
  <c r="Z64" i="161"/>
  <c r="CJ64" i="159"/>
  <c r="AD65" i="161"/>
  <c r="AV65" i="161"/>
  <c r="R65" i="161"/>
  <c r="AI65" i="161"/>
  <c r="AR63" i="161"/>
  <c r="O63" i="161"/>
  <c r="AF63" i="161"/>
  <c r="AW63" i="161"/>
  <c r="AQ63" i="161"/>
  <c r="BH64" i="161"/>
  <c r="Q62" i="161"/>
  <c r="BE57" i="161"/>
  <c r="CT57" i="161" s="1"/>
  <c r="DF57" i="161" s="1"/>
  <c r="AQ57" i="161"/>
  <c r="N55" i="161"/>
  <c r="CI55" i="159"/>
  <c r="BA63" i="161"/>
  <c r="AK55" i="161"/>
  <c r="AZ46" i="161"/>
  <c r="AB38" i="161"/>
  <c r="CJ38" i="159"/>
  <c r="BC52" i="161"/>
  <c r="AB51" i="161"/>
  <c r="AT49" i="161"/>
  <c r="S48" i="161"/>
  <c r="BA53" i="161"/>
  <c r="AA52" i="161"/>
  <c r="AS50" i="161"/>
  <c r="CT50" i="161" s="1"/>
  <c r="DF50" i="161" s="1"/>
  <c r="R49" i="161"/>
  <c r="U45" i="161"/>
  <c r="BA52" i="161"/>
  <c r="Z51" i="161"/>
  <c r="CM51" i="161" s="1"/>
  <c r="CY51" i="161" s="1"/>
  <c r="CJ51" i="159"/>
  <c r="AR49" i="161"/>
  <c r="Q48" i="161"/>
  <c r="AO53" i="161"/>
  <c r="X52" i="161"/>
  <c r="BI50" i="161"/>
  <c r="AQ49" i="161"/>
  <c r="Y48" i="161"/>
  <c r="AT45" i="161"/>
  <c r="CU45" i="161" s="1"/>
  <c r="DG45" i="161" s="1"/>
  <c r="T39" i="161"/>
  <c r="CI39" i="159"/>
  <c r="S53" i="161"/>
  <c r="AV52" i="161"/>
  <c r="AX52" i="161"/>
  <c r="CL52" i="159"/>
  <c r="Y51" i="161"/>
  <c r="AD50" i="161"/>
  <c r="BF49" i="161"/>
  <c r="AD60" i="161"/>
  <c r="CQ60" i="161" s="1"/>
  <c r="DC60" i="161" s="1"/>
  <c r="AZ58" i="161"/>
  <c r="AD61" i="161"/>
  <c r="U60" i="161"/>
  <c r="AC61" i="161"/>
  <c r="BG59" i="161"/>
  <c r="T63" i="161"/>
  <c r="BA62" i="161"/>
  <c r="O62" i="161"/>
  <c r="AF62" i="161"/>
  <c r="AR55" i="161"/>
  <c r="AK64" i="161"/>
  <c r="AU64" i="161"/>
  <c r="Q64" i="161"/>
  <c r="AH64" i="161"/>
  <c r="AL65" i="161"/>
  <c r="CK65" i="159"/>
  <c r="BD65" i="161"/>
  <c r="Z65" i="161"/>
  <c r="CJ65" i="159"/>
  <c r="AQ65" i="161"/>
  <c r="AB63" i="161"/>
  <c r="W63" i="161"/>
  <c r="AN63" i="161"/>
  <c r="BE63" i="161"/>
  <c r="AA63" i="161"/>
  <c r="AL64" i="161"/>
  <c r="CK64" i="159"/>
  <c r="AV57" i="161"/>
  <c r="CW57" i="161" s="1"/>
  <c r="DI57" i="161" s="1"/>
  <c r="AY57" i="161"/>
  <c r="AK63" i="161"/>
  <c r="AU57" i="161"/>
  <c r="AC55" i="161"/>
  <c r="AR46" i="161"/>
  <c r="CS46" i="161" s="1"/>
  <c r="DE46" i="161" s="1"/>
  <c r="CK46" i="159"/>
  <c r="T38" i="161"/>
  <c r="CI38" i="159"/>
  <c r="AT52" i="161"/>
  <c r="S51" i="161"/>
  <c r="AK49" i="161"/>
  <c r="AR53" i="161"/>
  <c r="Q52" i="161"/>
  <c r="AJ50" i="161"/>
  <c r="BC48" i="161"/>
  <c r="S45" i="161"/>
  <c r="AR52" i="161"/>
  <c r="P51" i="161"/>
  <c r="AI49" i="161"/>
  <c r="AF53" i="161"/>
  <c r="O52" i="161"/>
  <c r="CI52" i="159"/>
  <c r="AZ50" i="161"/>
  <c r="CL50" i="159"/>
  <c r="AH49" i="161"/>
  <c r="P48" i="161"/>
  <c r="AK45" i="161"/>
  <c r="U39" i="161"/>
  <c r="AA53" i="161"/>
  <c r="AM52" i="161"/>
  <c r="BF52" i="161"/>
  <c r="AG51" i="161"/>
  <c r="U50" i="161"/>
  <c r="AW49" i="161"/>
  <c r="AU49" i="161"/>
  <c r="V48" i="161"/>
  <c r="W14" i="124"/>
  <c r="M14" i="161" s="1"/>
  <c r="AU61" i="161"/>
  <c r="V60" i="161"/>
  <c r="AR58" i="161"/>
  <c r="CK58" i="159"/>
  <c r="V61" i="161"/>
  <c r="BH59" i="161"/>
  <c r="U61" i="161"/>
  <c r="AY59" i="161"/>
  <c r="CL59" i="159"/>
  <c r="BH61" i="161"/>
  <c r="BI65" i="161"/>
  <c r="BG62" i="161"/>
  <c r="BI62" i="161"/>
  <c r="W62" i="161"/>
  <c r="AN62" i="161"/>
  <c r="AJ55" i="161"/>
  <c r="CW55" i="161" s="1"/>
  <c r="DI55" i="161" s="1"/>
  <c r="AS64" i="161"/>
  <c r="BC64" i="161"/>
  <c r="Y64" i="161"/>
  <c r="AP64" i="161"/>
  <c r="AT65" i="161"/>
  <c r="Q65" i="161"/>
  <c r="AH65" i="161"/>
  <c r="AY65" i="161"/>
  <c r="N63" i="161"/>
  <c r="CI63" i="159"/>
  <c r="AE63" i="161"/>
  <c r="AV63" i="161"/>
  <c r="AH62" i="161"/>
  <c r="S64" i="161"/>
  <c r="AM57" i="161"/>
  <c r="BG57" i="161"/>
  <c r="U63" i="161"/>
  <c r="AL57" i="161"/>
  <c r="CM57" i="161" s="1"/>
  <c r="CY57" i="161" s="1"/>
  <c r="CK57" i="159"/>
  <c r="U55" i="161"/>
  <c r="AJ46" i="161"/>
  <c r="AK52" i="161"/>
  <c r="BC50" i="161"/>
  <c r="AB49" i="161"/>
  <c r="AH53" i="161"/>
  <c r="BB51" i="161"/>
  <c r="AA50" i="161"/>
  <c r="AS48" i="161"/>
  <c r="CT48" i="161" s="1"/>
  <c r="DF48" i="161" s="1"/>
  <c r="AA45" i="161"/>
  <c r="CJ45" i="159"/>
  <c r="BI53" i="161"/>
  <c r="AI52" i="161"/>
  <c r="CV52" i="161" s="1"/>
  <c r="DH52" i="161" s="1"/>
  <c r="BA50" i="161"/>
  <c r="CP50" i="161" s="1"/>
  <c r="DB50" i="161" s="1"/>
  <c r="Z49" i="161"/>
  <c r="CJ49" i="159"/>
  <c r="W53" i="161"/>
  <c r="BI51" i="161"/>
  <c r="AQ50" i="161"/>
  <c r="Y49" i="161"/>
  <c r="AB45" i="161"/>
  <c r="CO45" i="161" s="1"/>
  <c r="DA45" i="161" s="1"/>
  <c r="AC39" i="161"/>
  <c r="CJ39" i="159"/>
  <c r="BF53" i="161"/>
  <c r="AI53" i="161"/>
  <c r="AD52" i="161"/>
  <c r="BF51" i="161"/>
  <c r="AO51" i="161"/>
  <c r="P50" i="161"/>
  <c r="AX40" i="161"/>
  <c r="CL40" i="159"/>
  <c r="AM61" i="161"/>
  <c r="N60" i="161"/>
  <c r="CI60" i="159"/>
  <c r="AJ58" i="161"/>
  <c r="N61" i="161"/>
  <c r="CI61" i="159"/>
  <c r="AZ59" i="161"/>
  <c r="BH60" i="161"/>
  <c r="AQ59" i="161"/>
  <c r="CR59" i="161" s="1"/>
  <c r="DD59" i="161" s="1"/>
  <c r="AZ61" i="161"/>
  <c r="CL61" i="159"/>
  <c r="AM65" i="161"/>
  <c r="AQ62" i="161"/>
  <c r="N62" i="161"/>
  <c r="CI62" i="159"/>
  <c r="AE62" i="161"/>
  <c r="AV62" i="161"/>
  <c r="BC57" i="161"/>
  <c r="AB55" i="161"/>
  <c r="CJ55" i="159"/>
  <c r="BA64" i="161"/>
  <c r="P64" i="161"/>
  <c r="AG64" i="161"/>
  <c r="AX64" i="161"/>
  <c r="CL64" i="159"/>
  <c r="BB65" i="161"/>
  <c r="Y65" i="161"/>
  <c r="AP65" i="161"/>
  <c r="BG65" i="161"/>
  <c r="V63" i="161"/>
  <c r="AM63" i="161"/>
  <c r="BD63" i="161"/>
  <c r="R62" i="161"/>
  <c r="CJ61" i="159"/>
  <c r="BF63" i="161"/>
  <c r="AD57" i="161"/>
  <c r="BB55" i="161"/>
  <c r="AR65" i="161"/>
  <c r="BH62" i="161"/>
  <c r="AC57" i="161"/>
  <c r="CP57" i="161" s="1"/>
  <c r="DB57" i="161" s="1"/>
  <c r="AZ54" i="161"/>
  <c r="CL54" i="159"/>
  <c r="AB46" i="161"/>
  <c r="CJ57" i="159"/>
  <c r="BB53" i="161"/>
  <c r="AB52" i="161"/>
  <c r="AT50" i="161"/>
  <c r="S49" i="161"/>
  <c r="CI57" i="159"/>
  <c r="Y53" i="161"/>
  <c r="AS51" i="161"/>
  <c r="R50" i="161"/>
  <c r="AJ48" i="161"/>
  <c r="AI45" i="161"/>
  <c r="AZ53" i="161"/>
  <c r="Y52" i="161"/>
  <c r="AR50" i="161"/>
  <c r="Q49" i="161"/>
  <c r="N53" i="161"/>
  <c r="CI53" i="159"/>
  <c r="AZ51" i="161"/>
  <c r="CL51" i="159"/>
  <c r="AH50" i="161"/>
  <c r="P49" i="161"/>
  <c r="R45" i="161"/>
  <c r="CI45" i="159"/>
  <c r="AK39" i="161"/>
  <c r="AW53" i="161"/>
  <c r="BE53" i="161"/>
  <c r="AQ53" i="161"/>
  <c r="AU53" i="161"/>
  <c r="U52" i="161"/>
  <c r="AV51" i="161"/>
  <c r="AW51" i="161"/>
  <c r="X50" i="161"/>
  <c r="AD49" i="161"/>
  <c r="BF48" i="161"/>
  <c r="CK52" i="159"/>
  <c r="U48" i="161"/>
  <c r="AN40" i="161"/>
  <c r="AE47" i="161"/>
  <c r="AZ47" i="161"/>
  <c r="AJ47" i="161"/>
  <c r="U47" i="161"/>
  <c r="W43" i="161"/>
  <c r="AN43" i="161"/>
  <c r="CO43" i="161" s="1"/>
  <c r="DA43" i="161" s="1"/>
  <c r="BE43" i="161"/>
  <c r="AA40" i="161"/>
  <c r="CN40" i="161" s="1"/>
  <c r="CZ40" i="161" s="1"/>
  <c r="AJ35" i="161"/>
  <c r="AZ19" i="161"/>
  <c r="BA41" i="161"/>
  <c r="BE41" i="161"/>
  <c r="P56" i="161"/>
  <c r="R56" i="161"/>
  <c r="AI56" i="161"/>
  <c r="AM56" i="161"/>
  <c r="BG56" i="161"/>
  <c r="AX56" i="161"/>
  <c r="CL56" i="159"/>
  <c r="N40" i="161"/>
  <c r="CI40" i="159"/>
  <c r="W42" i="161"/>
  <c r="AV37" i="161"/>
  <c r="Q36" i="161"/>
  <c r="BF33" i="161"/>
  <c r="AG32" i="161"/>
  <c r="AW30" i="161"/>
  <c r="CX30" i="161" s="1"/>
  <c r="DJ30" i="161" s="1"/>
  <c r="AU30" i="161"/>
  <c r="CV30" i="161" s="1"/>
  <c r="DH30" i="161" s="1"/>
  <c r="AJ12" i="161"/>
  <c r="CW12" i="161" s="1"/>
  <c r="DI12" i="161" s="1"/>
  <c r="Z42" i="161"/>
  <c r="CJ42" i="159"/>
  <c r="AG42" i="161"/>
  <c r="BG42" i="161"/>
  <c r="AG37" i="161"/>
  <c r="S37" i="161"/>
  <c r="AG44" i="161"/>
  <c r="BI44" i="161"/>
  <c r="AZ44" i="161"/>
  <c r="AN44" i="161"/>
  <c r="BF44" i="161"/>
  <c r="AZ42" i="161"/>
  <c r="AE37" i="161"/>
  <c r="AC36" i="161"/>
  <c r="Y42" i="161"/>
  <c r="CI32" i="159"/>
  <c r="AM24" i="161"/>
  <c r="W18" i="161"/>
  <c r="AO16" i="161"/>
  <c r="BG14" i="161"/>
  <c r="CV14" i="161" s="1"/>
  <c r="DH14" i="161" s="1"/>
  <c r="AX34" i="161"/>
  <c r="CL34" i="159"/>
  <c r="T34" i="161"/>
  <c r="R24" i="161"/>
  <c r="AR22" i="161"/>
  <c r="BD18" i="161"/>
  <c r="AV17" i="161"/>
  <c r="AW17" i="161"/>
  <c r="P16" i="161"/>
  <c r="AN15" i="161"/>
  <c r="BC15" i="161"/>
  <c r="AD14" i="161"/>
  <c r="AI25" i="161"/>
  <c r="BF25" i="161"/>
  <c r="AI21" i="161"/>
  <c r="CV21" i="161" s="1"/>
  <c r="DH21" i="161" s="1"/>
  <c r="BB21" i="161"/>
  <c r="AK17" i="161"/>
  <c r="AK15" i="161"/>
  <c r="AH9" i="161"/>
  <c r="Q8" i="161"/>
  <c r="CI8" i="159"/>
  <c r="Z24" i="161"/>
  <c r="CJ24" i="159"/>
  <c r="AW24" i="161"/>
  <c r="AO20" i="161"/>
  <c r="Z13" i="161"/>
  <c r="CJ13" i="159"/>
  <c r="AE6" i="161"/>
  <c r="AX6" i="161"/>
  <c r="CL6" i="159"/>
  <c r="O20" i="161"/>
  <c r="AV20" i="161"/>
  <c r="AD20" i="161"/>
  <c r="BB20" i="161"/>
  <c r="S13" i="161"/>
  <c r="P11" i="161"/>
  <c r="AQ11" i="161"/>
  <c r="N23" i="161"/>
  <c r="CI23" i="159"/>
  <c r="AT11" i="161"/>
  <c r="AJ2" i="161"/>
  <c r="Q2" i="161"/>
  <c r="AX2" i="161"/>
  <c r="CL2" i="159"/>
  <c r="N2" i="161"/>
  <c r="CI2" i="159"/>
  <c r="AE7" i="161"/>
  <c r="O7" i="161"/>
  <c r="AW7" i="161"/>
  <c r="AD7" i="161"/>
  <c r="CK27" i="159"/>
  <c r="BI10" i="161"/>
  <c r="O10" i="161"/>
  <c r="S10" i="161"/>
  <c r="AK10" i="161"/>
  <c r="R28" i="161"/>
  <c r="N28" i="161"/>
  <c r="CI28" i="159"/>
  <c r="AT28" i="161"/>
  <c r="AE28" i="161"/>
  <c r="BA28" i="161"/>
  <c r="CK46" i="158"/>
  <c r="CI28" i="158"/>
  <c r="CI59" i="158"/>
  <c r="CJ50" i="158"/>
  <c r="CL33" i="158"/>
  <c r="CL27" i="158"/>
  <c r="CL45" i="158"/>
  <c r="CK26" i="158"/>
  <c r="CK9" i="158"/>
  <c r="CK36" i="158"/>
  <c r="CL34" i="158"/>
  <c r="CI52" i="158"/>
  <c r="CI31" i="158"/>
  <c r="CJ21" i="158"/>
  <c r="CI15" i="158"/>
  <c r="CK13" i="158"/>
  <c r="CJ40" i="158"/>
  <c r="CK22" i="158"/>
  <c r="CI40" i="158"/>
  <c r="CL28" i="158"/>
  <c r="AM49" i="161"/>
  <c r="N48" i="161"/>
  <c r="CI48" i="159"/>
  <c r="CK49" i="159"/>
  <c r="AN47" i="161"/>
  <c r="Q47" i="161"/>
  <c r="AT47" i="161"/>
  <c r="CU47" i="161" s="1"/>
  <c r="DG47" i="161" s="1"/>
  <c r="AC47" i="161"/>
  <c r="T43" i="161"/>
  <c r="AX43" i="161"/>
  <c r="CL43" i="159"/>
  <c r="BB41" i="161"/>
  <c r="CQ41" i="161" s="1"/>
  <c r="DC41" i="161" s="1"/>
  <c r="AB35" i="161"/>
  <c r="AR19" i="161"/>
  <c r="CS19" i="161" s="1"/>
  <c r="DE19" i="161" s="1"/>
  <c r="O41" i="161"/>
  <c r="AA56" i="161"/>
  <c r="AF56" i="161"/>
  <c r="AY56" i="161"/>
  <c r="AV56" i="161"/>
  <c r="U56" i="161"/>
  <c r="BF56" i="161"/>
  <c r="AG40" i="161"/>
  <c r="V40" i="161"/>
  <c r="AL37" i="161"/>
  <c r="CK37" i="159"/>
  <c r="AO32" i="161"/>
  <c r="P31" i="161"/>
  <c r="AN30" i="161"/>
  <c r="AD29" i="161"/>
  <c r="AB12" i="161"/>
  <c r="AK42" i="161"/>
  <c r="AR42" i="161"/>
  <c r="AL42" i="161"/>
  <c r="CK42" i="159"/>
  <c r="P42" i="161"/>
  <c r="AA37" i="161"/>
  <c r="N44" i="161"/>
  <c r="CI44" i="159"/>
  <c r="T44" i="161"/>
  <c r="AW44" i="161"/>
  <c r="AA42" i="161"/>
  <c r="U37" i="161"/>
  <c r="AK36" i="161"/>
  <c r="AD44" i="161"/>
  <c r="BB26" i="161"/>
  <c r="CQ26" i="161" s="1"/>
  <c r="DC26" i="161" s="1"/>
  <c r="AC24" i="161"/>
  <c r="BH17" i="161"/>
  <c r="AX14" i="161"/>
  <c r="CL14" i="159"/>
  <c r="BC34" i="161"/>
  <c r="CR34" i="161" s="1"/>
  <c r="DD34" i="161" s="1"/>
  <c r="BH34" i="161"/>
  <c r="CW34" i="161" s="1"/>
  <c r="DI34" i="161" s="1"/>
  <c r="AC34" i="161"/>
  <c r="AY34" i="161"/>
  <c r="BB22" i="161"/>
  <c r="BA22" i="161"/>
  <c r="AP18" i="161"/>
  <c r="AM17" i="161"/>
  <c r="CN17" i="161" s="1"/>
  <c r="CZ17" i="161" s="1"/>
  <c r="CK17" i="159"/>
  <c r="BE17" i="161"/>
  <c r="X16" i="161"/>
  <c r="AD15" i="161"/>
  <c r="BF14" i="161"/>
  <c r="AL14" i="161"/>
  <c r="CK14" i="159"/>
  <c r="T22" i="161"/>
  <c r="AR21" i="161"/>
  <c r="AB17" i="161"/>
  <c r="AB15" i="161"/>
  <c r="Z9" i="161"/>
  <c r="CJ9" i="159"/>
  <c r="AZ3" i="161"/>
  <c r="CO3" i="161" s="1"/>
  <c r="DA3" i="161" s="1"/>
  <c r="CL3" i="159"/>
  <c r="BE24" i="161"/>
  <c r="CJ17" i="159"/>
  <c r="BE11" i="161"/>
  <c r="BF6" i="161"/>
  <c r="Z4" i="161"/>
  <c r="CJ4" i="159"/>
  <c r="Y20" i="161"/>
  <c r="BF20" i="161"/>
  <c r="AN20" i="161"/>
  <c r="U20" i="161"/>
  <c r="AB13" i="161"/>
  <c r="AL5" i="161"/>
  <c r="CK5" i="159"/>
  <c r="BF11" i="161"/>
  <c r="Y11" i="161"/>
  <c r="AY11" i="161"/>
  <c r="BB4" i="161"/>
  <c r="Y23" i="161"/>
  <c r="Z23" i="161"/>
  <c r="CJ23" i="159"/>
  <c r="AD11" i="161"/>
  <c r="AU2" i="161"/>
  <c r="BI2" i="161"/>
  <c r="AP7" i="161"/>
  <c r="Z7" i="161"/>
  <c r="CJ7" i="159"/>
  <c r="BH7" i="161"/>
  <c r="AO7" i="161"/>
  <c r="CJ31" i="159"/>
  <c r="Z10" i="161"/>
  <c r="CJ10" i="159"/>
  <c r="AE10" i="161"/>
  <c r="AA10" i="161"/>
  <c r="AS10" i="161"/>
  <c r="CL40" i="158"/>
  <c r="AV28" i="161"/>
  <c r="AD28" i="161"/>
  <c r="X28" i="161"/>
  <c r="BD28" i="161"/>
  <c r="AN28" i="161"/>
  <c r="BI28" i="161"/>
  <c r="CK65" i="158"/>
  <c r="CJ59" i="158"/>
  <c r="CK52" i="158"/>
  <c r="CJ64" i="158"/>
  <c r="CJ9" i="158"/>
  <c r="CI26" i="158"/>
  <c r="CI56" i="158"/>
  <c r="CJ43" i="158"/>
  <c r="CK33" i="158"/>
  <c r="CK24" i="158"/>
  <c r="CL55" i="158"/>
  <c r="CJ38" i="158"/>
  <c r="CJ53" i="158"/>
  <c r="CL30" i="159"/>
  <c r="CJ47" i="158"/>
  <c r="CJ29" i="158"/>
  <c r="CL32" i="158"/>
  <c r="CI21" i="158"/>
  <c r="CI3" i="158"/>
  <c r="CK48" i="158"/>
  <c r="CL37" i="158"/>
  <c r="CJ37" i="158"/>
  <c r="CJ13" i="158"/>
  <c r="CK10" i="158"/>
  <c r="CI4" i="158"/>
  <c r="CL12" i="158"/>
  <c r="CL8" i="158"/>
  <c r="CI49" i="158"/>
  <c r="CK39" i="158"/>
  <c r="CJ4" i="158"/>
  <c r="CK28" i="158"/>
  <c r="CK21" i="158"/>
  <c r="CI17" i="158"/>
  <c r="CI6" i="158"/>
  <c r="CI9" i="158"/>
  <c r="CJ26" i="158"/>
  <c r="AS41" i="161"/>
  <c r="R40" i="161"/>
  <c r="AW47" i="161"/>
  <c r="Z47" i="161"/>
  <c r="CJ47" i="159"/>
  <c r="BC47" i="161"/>
  <c r="AK47" i="161"/>
  <c r="AC43" i="161"/>
  <c r="BG43" i="161"/>
  <c r="AJ19" i="161"/>
  <c r="AG41" i="161"/>
  <c r="AQ56" i="161"/>
  <c r="AS56" i="161"/>
  <c r="X56" i="161"/>
  <c r="BE56" i="161"/>
  <c r="AC56" i="161"/>
  <c r="W40" i="161"/>
  <c r="AW32" i="161"/>
  <c r="CX32" i="161" s="1"/>
  <c r="DJ32" i="161" s="1"/>
  <c r="X31" i="161"/>
  <c r="AD30" i="161"/>
  <c r="BF29" i="161"/>
  <c r="AL29" i="161"/>
  <c r="CK29" i="159"/>
  <c r="T12" i="161"/>
  <c r="BI42" i="161"/>
  <c r="AY42" i="161"/>
  <c r="BC42" i="161"/>
  <c r="AU42" i="161"/>
  <c r="X42" i="161"/>
  <c r="N37" i="161"/>
  <c r="CI37" i="159"/>
  <c r="AI37" i="161"/>
  <c r="AF44" i="161"/>
  <c r="Y44" i="161"/>
  <c r="AC44" i="161"/>
  <c r="CP44" i="161" s="1"/>
  <c r="DB44" i="161" s="1"/>
  <c r="BG44" i="161"/>
  <c r="BE36" i="161"/>
  <c r="AS36" i="161"/>
  <c r="CJ27" i="159"/>
  <c r="AR26" i="161"/>
  <c r="S24" i="161"/>
  <c r="AX17" i="161"/>
  <c r="CM17" i="161" s="1"/>
  <c r="CY17" i="161" s="1"/>
  <c r="CL17" i="159"/>
  <c r="V16" i="161"/>
  <c r="AO14" i="161"/>
  <c r="AL34" i="161"/>
  <c r="CK34" i="159"/>
  <c r="AQ22" i="161"/>
  <c r="O22" i="161"/>
  <c r="AF18" i="161"/>
  <c r="AA18" i="161"/>
  <c r="AD17" i="161"/>
  <c r="BF17" i="161"/>
  <c r="AF16" i="161"/>
  <c r="U15" i="161"/>
  <c r="AT14" i="161"/>
  <c r="CJ30" i="159"/>
  <c r="BB25" i="161"/>
  <c r="BA25" i="161"/>
  <c r="CP25" i="161" s="1"/>
  <c r="DB25" i="161" s="1"/>
  <c r="AT24" i="161"/>
  <c r="BC21" i="161"/>
  <c r="BA21" i="161"/>
  <c r="S17" i="161"/>
  <c r="S15" i="161"/>
  <c r="R9" i="161"/>
  <c r="AR3" i="161"/>
  <c r="CK3" i="159"/>
  <c r="AS11" i="161"/>
  <c r="AU6" i="161"/>
  <c r="CV6" i="161" s="1"/>
  <c r="DH6" i="161" s="1"/>
  <c r="O4" i="161"/>
  <c r="CI4" i="159"/>
  <c r="CI26" i="159"/>
  <c r="AJ20" i="161"/>
  <c r="R20" i="161"/>
  <c r="AX20" i="161"/>
  <c r="CL20" i="159"/>
  <c r="AC20" i="161"/>
  <c r="CK16" i="159"/>
  <c r="AL13" i="161"/>
  <c r="CK13" i="159"/>
  <c r="N13" i="161"/>
  <c r="CI13" i="159"/>
  <c r="AK13" i="161"/>
  <c r="CX13" i="161" s="1"/>
  <c r="DJ13" i="161" s="1"/>
  <c r="CK33" i="159"/>
  <c r="BC11" i="161"/>
  <c r="O11" i="161"/>
  <c r="AH11" i="161"/>
  <c r="BG11" i="161"/>
  <c r="AI23" i="161"/>
  <c r="CV23" i="161" s="1"/>
  <c r="DH23" i="161" s="1"/>
  <c r="CK19" i="159"/>
  <c r="AL4" i="161"/>
  <c r="CK4" i="159"/>
  <c r="CI16" i="159"/>
  <c r="BE2" i="161"/>
  <c r="S2" i="161"/>
  <c r="AD2" i="161"/>
  <c r="CQ2" i="161" s="1"/>
  <c r="DC2" i="161" s="1"/>
  <c r="BA7" i="161"/>
  <c r="AZ7" i="161"/>
  <c r="AN10" i="161"/>
  <c r="AI10" i="161"/>
  <c r="BA10" i="161"/>
  <c r="T28" i="161"/>
  <c r="AO28" i="161"/>
  <c r="AH28" i="161"/>
  <c r="P28" i="161"/>
  <c r="AW28" i="161"/>
  <c r="CL21" i="159"/>
  <c r="CS2" i="161"/>
  <c r="DE2" i="161" s="1"/>
  <c r="CK42" i="158"/>
  <c r="CL63" i="158"/>
  <c r="CI48" i="158"/>
  <c r="CJ56" i="158"/>
  <c r="CK31" i="158"/>
  <c r="CJ11" i="158"/>
  <c r="CK6" i="158"/>
  <c r="CL62" i="158"/>
  <c r="CL5" i="158"/>
  <c r="CL51" i="158"/>
  <c r="CI34" i="158"/>
  <c r="CI5" i="158"/>
  <c r="CI33" i="158"/>
  <c r="CJ28" i="158"/>
  <c r="CI22" i="158"/>
  <c r="CI11" i="158"/>
  <c r="CJ19" i="158"/>
  <c r="CJ14" i="158"/>
  <c r="CL13" i="158"/>
  <c r="CI36" i="158"/>
  <c r="CI24" i="158"/>
  <c r="CK23" i="158"/>
  <c r="AN49" i="161"/>
  <c r="AD48" i="161"/>
  <c r="AI41" i="161"/>
  <c r="AI47" i="161"/>
  <c r="S47" i="161"/>
  <c r="AS47" i="161"/>
  <c r="AL43" i="161"/>
  <c r="CK43" i="159"/>
  <c r="Q43" i="161"/>
  <c r="AZ27" i="161"/>
  <c r="CO27" i="161" s="1"/>
  <c r="DA27" i="161" s="1"/>
  <c r="CL27" i="159"/>
  <c r="AB19" i="161"/>
  <c r="V41" i="161"/>
  <c r="AE41" i="161"/>
  <c r="BI56" i="161"/>
  <c r="AJ56" i="161"/>
  <c r="O56" i="161"/>
  <c r="AL56" i="161"/>
  <c r="CK56" i="159"/>
  <c r="AX41" i="161"/>
  <c r="CL41" i="159"/>
  <c r="AL40" i="161"/>
  <c r="CK40" i="159"/>
  <c r="CJ43" i="159"/>
  <c r="Q37" i="161"/>
  <c r="R33" i="161"/>
  <c r="AM32" i="161"/>
  <c r="CN32" i="161" s="1"/>
  <c r="CZ32" i="161" s="1"/>
  <c r="CK32" i="159"/>
  <c r="BE32" i="161"/>
  <c r="U30" i="161"/>
  <c r="AW29" i="161"/>
  <c r="AQ44" i="161"/>
  <c r="AJ42" i="161"/>
  <c r="R42" i="161"/>
  <c r="U42" i="161"/>
  <c r="BE42" i="161"/>
  <c r="AF42" i="161"/>
  <c r="AB42" i="161"/>
  <c r="AQ37" i="161"/>
  <c r="AR44" i="161"/>
  <c r="AK44" i="161"/>
  <c r="AL44" i="161"/>
  <c r="CK44" i="159"/>
  <c r="R44" i="161"/>
  <c r="AV36" i="161"/>
  <c r="CW36" i="161" s="1"/>
  <c r="DI36" i="161" s="1"/>
  <c r="BA36" i="161"/>
  <c r="S26" i="161"/>
  <c r="BD22" i="161"/>
  <c r="AN17" i="161"/>
  <c r="BG15" i="161"/>
  <c r="CV15" i="161" s="1"/>
  <c r="DH15" i="161" s="1"/>
  <c r="AF14" i="161"/>
  <c r="BA9" i="161"/>
  <c r="AB8" i="161"/>
  <c r="CO8" i="161" s="1"/>
  <c r="DA8" i="161" s="1"/>
  <c r="CJ8" i="159"/>
  <c r="Z34" i="161"/>
  <c r="CJ34" i="159"/>
  <c r="AU34" i="161"/>
  <c r="CJ29" i="159"/>
  <c r="CI27" i="159"/>
  <c r="W22" i="161"/>
  <c r="V18" i="161"/>
  <c r="U17" i="161"/>
  <c r="BF16" i="161"/>
  <c r="AN16" i="161"/>
  <c r="O15" i="161"/>
  <c r="CI15" i="159"/>
  <c r="AN14" i="161"/>
  <c r="BB14" i="161"/>
  <c r="CI36" i="159"/>
  <c r="CL32" i="159"/>
  <c r="AQ25" i="161"/>
  <c r="R25" i="161"/>
  <c r="AQ21" i="161"/>
  <c r="N21" i="161"/>
  <c r="CI21" i="159"/>
  <c r="AX18" i="161"/>
  <c r="CL18" i="159"/>
  <c r="AT16" i="161"/>
  <c r="BE8" i="161"/>
  <c r="CT8" i="161" s="1"/>
  <c r="DF8" i="161" s="1"/>
  <c r="AJ3" i="161"/>
  <c r="AH34" i="161"/>
  <c r="AK26" i="161"/>
  <c r="BB24" i="161"/>
  <c r="CQ24" i="161" s="1"/>
  <c r="DC24" i="161" s="1"/>
  <c r="AC11" i="161"/>
  <c r="BC6" i="161"/>
  <c r="AH20" i="161"/>
  <c r="AU20" i="161"/>
  <c r="AB20" i="161"/>
  <c r="BH20" i="161"/>
  <c r="AK20" i="161"/>
  <c r="W13" i="161"/>
  <c r="CS5" i="161"/>
  <c r="DE5" i="161" s="1"/>
  <c r="AM11" i="161"/>
  <c r="AR11" i="161"/>
  <c r="P4" i="161"/>
  <c r="CI31" i="159"/>
  <c r="AR23" i="161"/>
  <c r="AP20" i="161"/>
  <c r="CL8" i="159"/>
  <c r="AH2" i="161"/>
  <c r="AW2" i="161"/>
  <c r="AA2" i="161"/>
  <c r="AL2" i="161"/>
  <c r="CK2" i="159"/>
  <c r="N7" i="161"/>
  <c r="CI7" i="159"/>
  <c r="P7" i="161"/>
  <c r="AI7" i="161"/>
  <c r="CI3" i="159"/>
  <c r="CJ12" i="159"/>
  <c r="AU10" i="161"/>
  <c r="AZ10" i="161"/>
  <c r="BD10" i="161"/>
  <c r="AQ10" i="161"/>
  <c r="N10" i="161"/>
  <c r="CI10" i="159"/>
  <c r="AX28" i="161"/>
  <c r="CL28" i="159"/>
  <c r="AR28" i="161"/>
  <c r="Z28" i="161"/>
  <c r="CJ28" i="159"/>
  <c r="BF28" i="161"/>
  <c r="CI6" i="159"/>
  <c r="CJ3" i="159"/>
  <c r="CL64" i="158"/>
  <c r="CK61" i="158"/>
  <c r="CI46" i="158"/>
  <c r="CK45" i="158"/>
  <c r="CL11" i="158"/>
  <c r="CJ54" i="158"/>
  <c r="CI41" i="158"/>
  <c r="CL53" i="158"/>
  <c r="CK51" i="158"/>
  <c r="CI29" i="158"/>
  <c r="CL21" i="158"/>
  <c r="CL14" i="158"/>
  <c r="CJ45" i="158"/>
  <c r="CK37" i="158"/>
  <c r="CK3" i="158"/>
  <c r="CI45" i="158"/>
  <c r="CJ49" i="158"/>
  <c r="CK17" i="158"/>
  <c r="CJ17" i="158"/>
  <c r="AL48" i="161"/>
  <c r="CK48" i="159"/>
  <c r="Y41" i="161"/>
  <c r="P47" i="161"/>
  <c r="AR47" i="161"/>
  <c r="AB47" i="161"/>
  <c r="BA47" i="161"/>
  <c r="AU43" i="161"/>
  <c r="Y43" i="161"/>
  <c r="X41" i="161"/>
  <c r="T19" i="161"/>
  <c r="AM41" i="161"/>
  <c r="Q56" i="161"/>
  <c r="S56" i="161"/>
  <c r="AZ56" i="161"/>
  <c r="W56" i="161"/>
  <c r="AU56" i="161"/>
  <c r="AN41" i="161"/>
  <c r="AC40" i="161"/>
  <c r="CP40" i="161" s="1"/>
  <c r="DB40" i="161" s="1"/>
  <c r="BB36" i="161"/>
  <c r="Z33" i="161"/>
  <c r="CJ33" i="159"/>
  <c r="AD32" i="161"/>
  <c r="CQ32" i="161" s="1"/>
  <c r="DC32" i="161" s="1"/>
  <c r="CJ32" i="159"/>
  <c r="O30" i="161"/>
  <c r="CI30" i="159"/>
  <c r="AN29" i="161"/>
  <c r="CO29" i="161" s="1"/>
  <c r="DA29" i="161" s="1"/>
  <c r="BB29" i="161"/>
  <c r="CL29" i="159"/>
  <c r="Q44" i="161"/>
  <c r="AD42" i="161"/>
  <c r="AH42" i="161"/>
  <c r="V42" i="161"/>
  <c r="AN42" i="161"/>
  <c r="AY37" i="161"/>
  <c r="BC44" i="161"/>
  <c r="AU44" i="161"/>
  <c r="Z44" i="161"/>
  <c r="CJ44" i="159"/>
  <c r="CJ40" i="159"/>
  <c r="AM36" i="161"/>
  <c r="CN36" i="161" s="1"/>
  <c r="CZ36" i="161" s="1"/>
  <c r="CK36" i="159"/>
  <c r="BI36" i="161"/>
  <c r="V26" i="161"/>
  <c r="AS22" i="161"/>
  <c r="CT22" i="161" s="1"/>
  <c r="DF22" i="161" s="1"/>
  <c r="AE17" i="161"/>
  <c r="AX15" i="161"/>
  <c r="CL15" i="159"/>
  <c r="W14" i="161"/>
  <c r="AS9" i="161"/>
  <c r="T8" i="161"/>
  <c r="N34" i="161"/>
  <c r="CI34" i="159"/>
  <c r="BD34" i="161"/>
  <c r="V22" i="161"/>
  <c r="AE22" i="161"/>
  <c r="CJ19" i="159"/>
  <c r="T18" i="161"/>
  <c r="AQ18" i="161"/>
  <c r="CR18" i="161" s="1"/>
  <c r="DD18" i="161" s="1"/>
  <c r="Q17" i="161"/>
  <c r="AW16" i="161"/>
  <c r="W15" i="161"/>
  <c r="AF25" i="161"/>
  <c r="CS25" i="161" s="1"/>
  <c r="DE25" i="161" s="1"/>
  <c r="Z25" i="161"/>
  <c r="CJ25" i="159"/>
  <c r="AG21" i="161"/>
  <c r="V21" i="161"/>
  <c r="AN18" i="161"/>
  <c r="CO18" i="161" s="1"/>
  <c r="DA18" i="161" s="1"/>
  <c r="AK16" i="161"/>
  <c r="AW8" i="161"/>
  <c r="CX8" i="161" s="1"/>
  <c r="DJ8" i="161" s="1"/>
  <c r="R34" i="161"/>
  <c r="Z26" i="161"/>
  <c r="CM26" i="161" s="1"/>
  <c r="CY26" i="161" s="1"/>
  <c r="CJ26" i="159"/>
  <c r="Q24" i="161"/>
  <c r="N11" i="161"/>
  <c r="CI11" i="159"/>
  <c r="R6" i="161"/>
  <c r="W20" i="161"/>
  <c r="BE20" i="161"/>
  <c r="AM20" i="161"/>
  <c r="Q20" i="161"/>
  <c r="AS20" i="161"/>
  <c r="BA13" i="161"/>
  <c r="Z11" i="161"/>
  <c r="CJ11" i="159"/>
  <c r="AG11" i="161"/>
  <c r="BA11" i="161"/>
  <c r="AL11" i="161"/>
  <c r="CK11" i="159"/>
  <c r="V4" i="161"/>
  <c r="CL19" i="159"/>
  <c r="BA23" i="161"/>
  <c r="CP23" i="161" s="1"/>
  <c r="DB23" i="161" s="1"/>
  <c r="N20" i="161"/>
  <c r="CI20" i="159"/>
  <c r="AS2" i="161"/>
  <c r="Z2" i="161"/>
  <c r="CJ2" i="159"/>
  <c r="BH2" i="161"/>
  <c r="AI2" i="161"/>
  <c r="X7" i="161"/>
  <c r="AQ7" i="161"/>
  <c r="BG10" i="161"/>
  <c r="AY10" i="161"/>
  <c r="V10" i="161"/>
  <c r="CL48" i="158"/>
  <c r="AF28" i="161"/>
  <c r="W28" i="161"/>
  <c r="BC28" i="161"/>
  <c r="AJ28" i="161"/>
  <c r="U28" i="161"/>
  <c r="CJ46" i="158"/>
  <c r="CI43" i="158"/>
  <c r="CL42" i="158"/>
  <c r="CK8" i="159"/>
  <c r="CJ61" i="158"/>
  <c r="CJ57" i="158"/>
  <c r="CK41" i="158"/>
  <c r="CI50" i="158"/>
  <c r="CJ41" i="158"/>
  <c r="CL9" i="158"/>
  <c r="CI25" i="158"/>
  <c r="CL36" i="158"/>
  <c r="CK27" i="158"/>
  <c r="CI60" i="158"/>
  <c r="CK53" i="158"/>
  <c r="CL38" i="158"/>
  <c r="CL16" i="158"/>
  <c r="CJ8" i="158"/>
  <c r="CL44" i="158"/>
  <c r="CJ20" i="158"/>
  <c r="CJ3" i="158"/>
  <c r="CK35" i="158"/>
  <c r="CJ44" i="158"/>
  <c r="CK16" i="158"/>
  <c r="CL49" i="158"/>
  <c r="CK15" i="158"/>
  <c r="CL4" i="158"/>
  <c r="CK20" i="158"/>
  <c r="CJ2" i="158"/>
  <c r="CK5" i="158"/>
  <c r="N41" i="161"/>
  <c r="CI41" i="159"/>
  <c r="BE47" i="161"/>
  <c r="Y47" i="161"/>
  <c r="BB47" i="161"/>
  <c r="CQ47" i="161" s="1"/>
  <c r="DC47" i="161" s="1"/>
  <c r="AL47" i="161"/>
  <c r="CK47" i="159"/>
  <c r="BI47" i="161"/>
  <c r="BH43" i="161"/>
  <c r="CW43" i="161" s="1"/>
  <c r="DI43" i="161" s="1"/>
  <c r="BD43" i="161"/>
  <c r="CS43" i="161" s="1"/>
  <c r="DE43" i="161" s="1"/>
  <c r="AG43" i="161"/>
  <c r="BG40" i="161"/>
  <c r="CV40" i="161" s="1"/>
  <c r="DH40" i="161" s="1"/>
  <c r="AJ27" i="161"/>
  <c r="CW27" i="161" s="1"/>
  <c r="DI27" i="161" s="1"/>
  <c r="AK56" i="161"/>
  <c r="Z56" i="161"/>
  <c r="CJ56" i="159"/>
  <c r="AB56" i="161"/>
  <c r="AG56" i="161"/>
  <c r="N56" i="161"/>
  <c r="CI56" i="159"/>
  <c r="AE56" i="161"/>
  <c r="BD56" i="161"/>
  <c r="AB41" i="161"/>
  <c r="AR36" i="161"/>
  <c r="AH33" i="161"/>
  <c r="U32" i="161"/>
  <c r="AV31" i="161"/>
  <c r="CW31" i="161" s="1"/>
  <c r="DI31" i="161" s="1"/>
  <c r="W30" i="161"/>
  <c r="AE29" i="161"/>
  <c r="BH42" i="161"/>
  <c r="AQ42" i="161"/>
  <c r="AS42" i="161"/>
  <c r="AE42" i="161"/>
  <c r="AV42" i="161"/>
  <c r="X44" i="161"/>
  <c r="O44" i="161"/>
  <c r="BD44" i="161"/>
  <c r="AH44" i="161"/>
  <c r="AD36" i="161"/>
  <c r="AI26" i="161"/>
  <c r="AH22" i="161"/>
  <c r="CU22" i="161" s="1"/>
  <c r="DG22" i="161" s="1"/>
  <c r="BB18" i="161"/>
  <c r="V17" i="161"/>
  <c r="AO15" i="161"/>
  <c r="AK9" i="161"/>
  <c r="CJ37" i="159"/>
  <c r="W34" i="161"/>
  <c r="AP34" i="161"/>
  <c r="S34" i="161"/>
  <c r="CL31" i="159"/>
  <c r="Q22" i="161"/>
  <c r="AM22" i="161"/>
  <c r="CK22" i="159"/>
  <c r="AC18" i="161"/>
  <c r="AY18" i="161"/>
  <c r="BD16" i="161"/>
  <c r="AE15" i="161"/>
  <c r="V25" i="161"/>
  <c r="AH25" i="161"/>
  <c r="N24" i="161"/>
  <c r="CI24" i="159"/>
  <c r="W21" i="161"/>
  <c r="AD21" i="161"/>
  <c r="AD18" i="161"/>
  <c r="AB16" i="161"/>
  <c r="AB14" i="161"/>
  <c r="CJ14" i="159"/>
  <c r="BF9" i="161"/>
  <c r="Y24" i="161"/>
  <c r="CK26" i="159"/>
  <c r="V6" i="161"/>
  <c r="Z6" i="161"/>
  <c r="CJ6" i="159"/>
  <c r="AG20" i="161"/>
  <c r="P20" i="161"/>
  <c r="AW20" i="161"/>
  <c r="Z20" i="161"/>
  <c r="CJ20" i="159"/>
  <c r="BA20" i="161"/>
  <c r="V13" i="161"/>
  <c r="AO13" i="161"/>
  <c r="CK6" i="159"/>
  <c r="V11" i="161"/>
  <c r="AP11" i="161"/>
  <c r="S11" i="161"/>
  <c r="BD20" i="161"/>
  <c r="AI13" i="161"/>
  <c r="W11" i="161"/>
  <c r="AX23" i="161"/>
  <c r="CL23" i="159"/>
  <c r="P23" i="161"/>
  <c r="R2" i="161"/>
  <c r="AQ2" i="161"/>
  <c r="AJ7" i="161"/>
  <c r="Q7" i="161"/>
  <c r="AX7" i="161"/>
  <c r="CL7" i="159"/>
  <c r="AF7" i="161"/>
  <c r="AY7" i="161"/>
  <c r="AF10" i="161"/>
  <c r="BH10" i="161"/>
  <c r="AG2" i="161"/>
  <c r="BH28" i="161"/>
  <c r="AZ28" i="161"/>
  <c r="AG28" i="161"/>
  <c r="O28" i="161"/>
  <c r="AU28" i="161"/>
  <c r="AC28" i="161"/>
  <c r="CL5" i="159"/>
  <c r="CK60" i="158"/>
  <c r="CK47" i="158"/>
  <c r="CJ35" i="158"/>
  <c r="CK7" i="158"/>
  <c r="CK55" i="158"/>
  <c r="CJ5" i="158"/>
  <c r="CI55" i="158"/>
  <c r="CK34" i="158"/>
  <c r="CK54" i="158"/>
  <c r="CJ33" i="158"/>
  <c r="CL50" i="158"/>
  <c r="CK44" i="158"/>
  <c r="CI19" i="158"/>
  <c r="CJ15" i="158"/>
  <c r="CL6" i="158"/>
  <c r="CI14" i="158"/>
  <c r="CI13" i="158"/>
  <c r="CK11" i="158"/>
  <c r="CL7" i="158"/>
  <c r="CI44" i="158"/>
  <c r="CJ27" i="158"/>
  <c r="CI12" i="158"/>
  <c r="CJ24" i="158"/>
  <c r="CK14" i="158"/>
  <c r="O49" i="161"/>
  <c r="AN48" i="161"/>
  <c r="BB48" i="161"/>
  <c r="CI49" i="159"/>
  <c r="BA56" i="161"/>
  <c r="AF47" i="161"/>
  <c r="R47" i="161"/>
  <c r="AU47" i="161"/>
  <c r="AT43" i="161"/>
  <c r="V43" i="161"/>
  <c r="AO43" i="161"/>
  <c r="AW40" i="161"/>
  <c r="AZ35" i="161"/>
  <c r="AL41" i="161"/>
  <c r="CK41" i="159"/>
  <c r="BC41" i="161"/>
  <c r="AO56" i="161"/>
  <c r="AR56" i="161"/>
  <c r="AT56" i="161"/>
  <c r="V56" i="161"/>
  <c r="AN56" i="161"/>
  <c r="R41" i="161"/>
  <c r="AV40" i="161"/>
  <c r="AP42" i="161"/>
  <c r="AP33" i="161"/>
  <c r="Q32" i="161"/>
  <c r="AM31" i="161"/>
  <c r="U29" i="161"/>
  <c r="AZ12" i="161"/>
  <c r="CL12" i="159"/>
  <c r="AM42" i="161"/>
  <c r="AI42" i="161"/>
  <c r="BB42" i="161"/>
  <c r="BF42" i="161"/>
  <c r="AO42" i="161"/>
  <c r="BD42" i="161"/>
  <c r="CJ41" i="159"/>
  <c r="BB37" i="161"/>
  <c r="AX37" i="161"/>
  <c r="CL37" i="159"/>
  <c r="AJ44" i="161"/>
  <c r="V44" i="161"/>
  <c r="AP44" i="161"/>
  <c r="T36" i="161"/>
  <c r="X26" i="161"/>
  <c r="X22" i="161"/>
  <c r="BG16" i="161"/>
  <c r="AF15" i="161"/>
  <c r="CS15" i="161" s="1"/>
  <c r="DE15" i="161" s="1"/>
  <c r="AC9" i="161"/>
  <c r="AF34" i="161"/>
  <c r="AZ34" i="161"/>
  <c r="AA34" i="161"/>
  <c r="AL24" i="161"/>
  <c r="CK24" i="159"/>
  <c r="Z22" i="161"/>
  <c r="CJ22" i="159"/>
  <c r="AL18" i="161"/>
  <c r="CK18" i="159"/>
  <c r="AG17" i="161"/>
  <c r="AD16" i="161"/>
  <c r="CQ16" i="161" s="1"/>
  <c r="DC16" i="161" s="1"/>
  <c r="BF15" i="161"/>
  <c r="AM15" i="161"/>
  <c r="CN15" i="161" s="1"/>
  <c r="CZ15" i="161" s="1"/>
  <c r="N14" i="161"/>
  <c r="CI14" i="159"/>
  <c r="P25" i="161"/>
  <c r="AP25" i="161"/>
  <c r="AY22" i="161"/>
  <c r="Q21" i="161"/>
  <c r="AL21" i="161"/>
  <c r="CK21" i="159"/>
  <c r="R18" i="161"/>
  <c r="S16" i="161"/>
  <c r="S14" i="161"/>
  <c r="AX9" i="161"/>
  <c r="CL9" i="159"/>
  <c r="V24" i="161"/>
  <c r="AG24" i="161"/>
  <c r="CJ15" i="159"/>
  <c r="BC13" i="161"/>
  <c r="AH6" i="161"/>
  <c r="AA20" i="161"/>
  <c r="BG20" i="161"/>
  <c r="AI20" i="161"/>
  <c r="BI20" i="161"/>
  <c r="AE13" i="161"/>
  <c r="AX13" i="161"/>
  <c r="CL13" i="159"/>
  <c r="N5" i="161"/>
  <c r="CI5" i="159"/>
  <c r="AZ11" i="161"/>
  <c r="AA11" i="161"/>
  <c r="AE20" i="161"/>
  <c r="AC4" i="161"/>
  <c r="CP4" i="161" s="1"/>
  <c r="DB4" i="161" s="1"/>
  <c r="CI35" i="159"/>
  <c r="CL11" i="159"/>
  <c r="CO23" i="161"/>
  <c r="DA23" i="161" s="1"/>
  <c r="AJ5" i="161"/>
  <c r="CW5" i="161" s="1"/>
  <c r="DI5" i="161" s="1"/>
  <c r="CI9" i="159"/>
  <c r="T2" i="161"/>
  <c r="O2" i="161"/>
  <c r="AC2" i="161"/>
  <c r="AY2" i="161"/>
  <c r="CK25" i="159"/>
  <c r="BB7" i="161"/>
  <c r="BI7" i="161"/>
  <c r="AN7" i="161"/>
  <c r="BG7" i="161"/>
  <c r="CL4" i="159"/>
  <c r="AM10" i="161"/>
  <c r="AR10" i="161"/>
  <c r="U10" i="161"/>
  <c r="AL10" i="161"/>
  <c r="CK10" i="159"/>
  <c r="Q28" i="161"/>
  <c r="AB28" i="161"/>
  <c r="Y28" i="161"/>
  <c r="BE28" i="161"/>
  <c r="AK28" i="161"/>
  <c r="AG7" i="161"/>
  <c r="CL30" i="158"/>
  <c r="CL23" i="158"/>
  <c r="CJ48" i="158"/>
  <c r="CL65" i="158"/>
  <c r="CI65" i="158"/>
  <c r="CL54" i="158"/>
  <c r="CL57" i="158"/>
  <c r="CJ55" i="158"/>
  <c r="CI53" i="158"/>
  <c r="CI51" i="158"/>
  <c r="CK38" i="158"/>
  <c r="CJ34" i="158"/>
  <c r="CL31" i="158"/>
  <c r="CL29" i="158"/>
  <c r="CL24" i="158"/>
  <c r="CJ51" i="158"/>
  <c r="CI54" i="158"/>
  <c r="CL22" i="158"/>
  <c r="CI16" i="158"/>
  <c r="CI39" i="158"/>
  <c r="CL15" i="158"/>
  <c r="CI27" i="158"/>
  <c r="CJ10" i="158"/>
  <c r="CK2" i="158"/>
  <c r="CK49" i="158"/>
  <c r="CL17" i="158"/>
  <c r="CI8" i="158"/>
  <c r="V47" i="161"/>
  <c r="AQ47" i="161"/>
  <c r="AA47" i="161"/>
  <c r="BD47" i="161"/>
  <c r="AI43" i="161"/>
  <c r="AE43" i="161"/>
  <c r="CR43" i="161" s="1"/>
  <c r="DD43" i="161" s="1"/>
  <c r="AW43" i="161"/>
  <c r="CX43" i="161" s="1"/>
  <c r="DJ43" i="161" s="1"/>
  <c r="AR35" i="161"/>
  <c r="CS35" i="161" s="1"/>
  <c r="DE35" i="161" s="1"/>
  <c r="AV41" i="161"/>
  <c r="CW41" i="161" s="1"/>
  <c r="DI41" i="161" s="1"/>
  <c r="Y56" i="161"/>
  <c r="CL47" i="159"/>
  <c r="BH56" i="161"/>
  <c r="T56" i="161"/>
  <c r="AD56" i="161"/>
  <c r="AW56" i="161"/>
  <c r="AP56" i="161"/>
  <c r="T47" i="161"/>
  <c r="BE40" i="161"/>
  <c r="AT42" i="161"/>
  <c r="Q42" i="161"/>
  <c r="BF37" i="161"/>
  <c r="Z36" i="161"/>
  <c r="CM36" i="161" s="1"/>
  <c r="CY36" i="161" s="1"/>
  <c r="CJ36" i="159"/>
  <c r="AX33" i="161"/>
  <c r="CL33" i="159"/>
  <c r="Y32" i="161"/>
  <c r="BF30" i="161"/>
  <c r="AM30" i="161"/>
  <c r="N29" i="161"/>
  <c r="CI29" i="159"/>
  <c r="AR12" i="161"/>
  <c r="CS12" i="161" s="1"/>
  <c r="DE12" i="161" s="1"/>
  <c r="O42" i="161"/>
  <c r="N42" i="161"/>
  <c r="CI42" i="159"/>
  <c r="S42" i="161"/>
  <c r="T42" i="161"/>
  <c r="AX42" i="161"/>
  <c r="CL42" i="159"/>
  <c r="AR37" i="161"/>
  <c r="CS37" i="161" s="1"/>
  <c r="DE37" i="161" s="1"/>
  <c r="BH37" i="161"/>
  <c r="BE44" i="161"/>
  <c r="AV44" i="161"/>
  <c r="AM44" i="161"/>
  <c r="CN44" i="161" s="1"/>
  <c r="CZ44" i="161" s="1"/>
  <c r="AE44" i="161"/>
  <c r="AX44" i="161"/>
  <c r="CL44" i="159"/>
  <c r="AP37" i="161"/>
  <c r="U36" i="161"/>
  <c r="AW42" i="161"/>
  <c r="AY26" i="161"/>
  <c r="CN26" i="161" s="1"/>
  <c r="CZ26" i="161" s="1"/>
  <c r="CL26" i="159"/>
  <c r="AX24" i="161"/>
  <c r="CL24" i="159"/>
  <c r="AG18" i="161"/>
  <c r="CT18" i="161" s="1"/>
  <c r="DF18" i="161" s="1"/>
  <c r="AX16" i="161"/>
  <c r="CM16" i="161" s="1"/>
  <c r="CY16" i="161" s="1"/>
  <c r="CL16" i="159"/>
  <c r="V15" i="161"/>
  <c r="U9" i="161"/>
  <c r="AI22" i="161"/>
  <c r="CV22" i="161" s="1"/>
  <c r="DH22" i="161" s="1"/>
  <c r="BC22" i="161"/>
  <c r="CJ18" i="159"/>
  <c r="AU18" i="161"/>
  <c r="CV18" i="161" s="1"/>
  <c r="DH18" i="161" s="1"/>
  <c r="BG17" i="161"/>
  <c r="CV17" i="161" s="1"/>
  <c r="DH17" i="161" s="1"/>
  <c r="AO17" i="161"/>
  <c r="CP17" i="161" s="1"/>
  <c r="DB17" i="161" s="1"/>
  <c r="U16" i="161"/>
  <c r="AW15" i="161"/>
  <c r="T9" i="161"/>
  <c r="CI33" i="159"/>
  <c r="Y25" i="161"/>
  <c r="AX25" i="161"/>
  <c r="CL25" i="159"/>
  <c r="AO22" i="161"/>
  <c r="Z21" i="161"/>
  <c r="CJ21" i="159"/>
  <c r="AT21" i="161"/>
  <c r="AT17" i="161"/>
  <c r="AT15" i="161"/>
  <c r="AP9" i="161"/>
  <c r="AO24" i="161"/>
  <c r="AP13" i="161"/>
  <c r="CQ13" i="161" s="1"/>
  <c r="DC13" i="161" s="1"/>
  <c r="W6" i="161"/>
  <c r="BC20" i="161"/>
  <c r="AL20" i="161"/>
  <c r="CK20" i="159"/>
  <c r="S20" i="161"/>
  <c r="AR20" i="161"/>
  <c r="BG13" i="161"/>
  <c r="V5" i="161"/>
  <c r="BI11" i="161"/>
  <c r="CX11" i="161" s="1"/>
  <c r="DJ11" i="161" s="1"/>
  <c r="AI11" i="161"/>
  <c r="AL23" i="161"/>
  <c r="CK23" i="159"/>
  <c r="BH11" i="161"/>
  <c r="Z5" i="161"/>
  <c r="CJ5" i="159"/>
  <c r="BF2" i="161"/>
  <c r="AL7" i="161"/>
  <c r="CK7" i="159"/>
  <c r="AX10" i="161"/>
  <c r="CL10" i="159"/>
  <c r="BC10" i="161"/>
  <c r="BE10" i="161"/>
  <c r="AC10" i="161"/>
  <c r="AT10" i="161"/>
  <c r="CU10" i="161" s="1"/>
  <c r="DG10" i="161" s="1"/>
  <c r="CL56" i="158"/>
  <c r="AP28" i="161"/>
  <c r="BB28" i="161"/>
  <c r="V28" i="161"/>
  <c r="AS28" i="161"/>
  <c r="CI64" i="158"/>
  <c r="CK64" i="158"/>
  <c r="CK59" i="158"/>
  <c r="CK43" i="158"/>
  <c r="CI42" i="158"/>
  <c r="CK30" i="158"/>
  <c r="CK63" i="158"/>
  <c r="CK56" i="158"/>
  <c r="CK40" i="158"/>
  <c r="CJ36" i="158"/>
  <c r="CJ52" i="158"/>
  <c r="CL59" i="158"/>
  <c r="CK25" i="158"/>
  <c r="CK57" i="158"/>
  <c r="CI57" i="158"/>
  <c r="CL43" i="158"/>
  <c r="CI20" i="158"/>
  <c r="CL3" i="158"/>
  <c r="CJ6" i="158"/>
  <c r="CI37" i="158"/>
  <c r="CJ12" i="158"/>
  <c r="CK19" i="158"/>
  <c r="CJ23" i="158"/>
  <c r="CI23" i="158"/>
  <c r="D59" i="146"/>
  <c r="AM12" i="124"/>
  <c r="L27" i="158"/>
  <c r="L63" i="161"/>
  <c r="L27" i="159"/>
  <c r="X10" i="124"/>
  <c r="AN26" i="124"/>
  <c r="AH59" i="124"/>
  <c r="AV20" i="124"/>
  <c r="AS51" i="124"/>
  <c r="AT59" i="124"/>
  <c r="AT20" i="124"/>
  <c r="AT4" i="124"/>
  <c r="AT28" i="124"/>
  <c r="D20" i="146"/>
  <c r="AT10" i="124"/>
  <c r="AT51" i="124"/>
  <c r="K3" i="158"/>
  <c r="BS3" i="158" s="1"/>
  <c r="AV10" i="124"/>
  <c r="AS39" i="124"/>
  <c r="AV51" i="124"/>
  <c r="AM26" i="124"/>
  <c r="K3" i="159"/>
  <c r="AG74" i="124"/>
  <c r="AT52" i="124"/>
  <c r="D10" i="146"/>
  <c r="AI10" i="124"/>
  <c r="CQ10" i="159" s="1"/>
  <c r="AH10" i="124"/>
  <c r="L61" i="161"/>
  <c r="L61" i="158"/>
  <c r="L61" i="159"/>
  <c r="D26" i="146"/>
  <c r="X18" i="124"/>
  <c r="AU75" i="124"/>
  <c r="AI28" i="124"/>
  <c r="AH56" i="124"/>
  <c r="AU74" i="124"/>
  <c r="D28" i="146"/>
  <c r="AH28" i="124"/>
  <c r="AI56" i="124"/>
  <c r="AB4" i="124"/>
  <c r="L63" i="158"/>
  <c r="AT26" i="124"/>
  <c r="AB12" i="124"/>
  <c r="CP12" i="158" s="1"/>
  <c r="D56" i="146"/>
  <c r="AV28" i="124"/>
  <c r="K12" i="159"/>
  <c r="AV56" i="124"/>
  <c r="AI5" i="124"/>
  <c r="AN65" i="124"/>
  <c r="X14" i="124"/>
  <c r="W61" i="124"/>
  <c r="M61" i="161" s="1"/>
  <c r="BL65" i="124"/>
  <c r="AS58" i="124"/>
  <c r="D44" i="146"/>
  <c r="X51" i="124"/>
  <c r="X33" i="124"/>
  <c r="D52" i="146"/>
  <c r="D8" i="146"/>
  <c r="AB27" i="124"/>
  <c r="W11" i="124"/>
  <c r="AT33" i="124"/>
  <c r="X26" i="124"/>
  <c r="AT65" i="124"/>
  <c r="X52" i="124"/>
  <c r="CQ65" i="159"/>
  <c r="AV33" i="124"/>
  <c r="AF74" i="124"/>
  <c r="AV36" i="124"/>
  <c r="AB26" i="124"/>
  <c r="CP26" i="158" s="1"/>
  <c r="AG75" i="124"/>
  <c r="AS26" i="124"/>
  <c r="AX26" i="124" s="1"/>
  <c r="AT8" i="124"/>
  <c r="AS61" i="124"/>
  <c r="D36" i="146"/>
  <c r="L11" i="159"/>
  <c r="AS27" i="124"/>
  <c r="AF66" i="124"/>
  <c r="AU77" i="124"/>
  <c r="W3" i="124"/>
  <c r="M3" i="158" s="1"/>
  <c r="AV37" i="124"/>
  <c r="AE77" i="124"/>
  <c r="AK75" i="124"/>
  <c r="X3" i="124"/>
  <c r="AV60" i="124"/>
  <c r="AT60" i="124"/>
  <c r="X44" i="124"/>
  <c r="X36" i="124"/>
  <c r="AJ66" i="124"/>
  <c r="BC66" i="124"/>
  <c r="AS59" i="124"/>
  <c r="AX59" i="124" s="1"/>
  <c r="AM59" i="124"/>
  <c r="AS60" i="124"/>
  <c r="X59" i="124"/>
  <c r="W29" i="124"/>
  <c r="AM57" i="124"/>
  <c r="Z74" i="124"/>
  <c r="AE76" i="124"/>
  <c r="AK77" i="124"/>
  <c r="AS11" i="124"/>
  <c r="AX11" i="124" s="1"/>
  <c r="AB11" i="124"/>
  <c r="K63" i="161"/>
  <c r="K63" i="159"/>
  <c r="K63" i="158"/>
  <c r="AS57" i="124"/>
  <c r="AB57" i="124"/>
  <c r="K64" i="161"/>
  <c r="K64" i="159"/>
  <c r="K64" i="158"/>
  <c r="W64" i="124"/>
  <c r="S64" i="124"/>
  <c r="BU58" i="158"/>
  <c r="BM58" i="158"/>
  <c r="BT58" i="158"/>
  <c r="BL58" i="158"/>
  <c r="BS58" i="158"/>
  <c r="BK58" i="158"/>
  <c r="BR58" i="158"/>
  <c r="BJ58" i="158"/>
  <c r="BQ58" i="158"/>
  <c r="BP58" i="158"/>
  <c r="BO58" i="158"/>
  <c r="BN58" i="158"/>
  <c r="D35" i="146"/>
  <c r="AV35" i="124"/>
  <c r="AT35" i="124"/>
  <c r="AS48" i="124"/>
  <c r="AX48" i="124" s="1"/>
  <c r="D43" i="146"/>
  <c r="AT42" i="124"/>
  <c r="AV42" i="124"/>
  <c r="K28" i="161"/>
  <c r="K28" i="159"/>
  <c r="K28" i="158"/>
  <c r="AB28" i="124"/>
  <c r="D32" i="146"/>
  <c r="AV32" i="124"/>
  <c r="AT32" i="124"/>
  <c r="AS28" i="124"/>
  <c r="AT53" i="124"/>
  <c r="BP27" i="159"/>
  <c r="CB27" i="159" s="1"/>
  <c r="BO27" i="159"/>
  <c r="CA27" i="159" s="1"/>
  <c r="BN27" i="159"/>
  <c r="BZ27" i="159" s="1"/>
  <c r="BU27" i="159"/>
  <c r="CG27" i="159" s="1"/>
  <c r="BM27" i="159"/>
  <c r="BY27" i="159" s="1"/>
  <c r="BT27" i="159"/>
  <c r="CF27" i="159" s="1"/>
  <c r="BL27" i="159"/>
  <c r="BX27" i="159" s="1"/>
  <c r="BS27" i="159"/>
  <c r="BK27" i="159"/>
  <c r="BW27" i="159" s="1"/>
  <c r="BR27" i="159"/>
  <c r="CD27" i="159" s="1"/>
  <c r="BJ27" i="159"/>
  <c r="BV27" i="159" s="1"/>
  <c r="BZ27" i="124" s="1"/>
  <c r="BQ27" i="159"/>
  <c r="CC27" i="159" s="1"/>
  <c r="BT12" i="159"/>
  <c r="CF12" i="159" s="1"/>
  <c r="BL12" i="159"/>
  <c r="BX12" i="159" s="1"/>
  <c r="BS12" i="159"/>
  <c r="CE12" i="159" s="1"/>
  <c r="BK12" i="159"/>
  <c r="BW12" i="159" s="1"/>
  <c r="BR12" i="159"/>
  <c r="CD12" i="159" s="1"/>
  <c r="BJ12" i="159"/>
  <c r="BQ12" i="159"/>
  <c r="CC12" i="159" s="1"/>
  <c r="BP12" i="159"/>
  <c r="CB12" i="159" s="1"/>
  <c r="BO12" i="159"/>
  <c r="CA12" i="159" s="1"/>
  <c r="BN12" i="159"/>
  <c r="BZ12" i="159" s="1"/>
  <c r="BU12" i="159"/>
  <c r="CG12" i="159" s="1"/>
  <c r="BM12" i="159"/>
  <c r="BY12" i="159" s="1"/>
  <c r="CQ3" i="159"/>
  <c r="AU76" i="124"/>
  <c r="AS34" i="124"/>
  <c r="AG66" i="124"/>
  <c r="X56" i="124"/>
  <c r="W23" i="124"/>
  <c r="W24" i="124"/>
  <c r="S24" i="124"/>
  <c r="CP12" i="159"/>
  <c r="X9" i="124"/>
  <c r="X23" i="124"/>
  <c r="BN60" i="159"/>
  <c r="BZ60" i="159" s="1"/>
  <c r="BU60" i="159"/>
  <c r="BM60" i="159"/>
  <c r="BY60" i="159" s="1"/>
  <c r="BT60" i="159"/>
  <c r="CF60" i="159" s="1"/>
  <c r="BL60" i="159"/>
  <c r="BX60" i="159" s="1"/>
  <c r="BS60" i="159"/>
  <c r="CE60" i="159" s="1"/>
  <c r="BK60" i="159"/>
  <c r="BW60" i="159" s="1"/>
  <c r="BR60" i="159"/>
  <c r="CD60" i="159" s="1"/>
  <c r="BJ60" i="159"/>
  <c r="BV60" i="159" s="1"/>
  <c r="BZ60" i="124" s="1"/>
  <c r="BQ60" i="159"/>
  <c r="CC60" i="159" s="1"/>
  <c r="BP60" i="159"/>
  <c r="CB60" i="159" s="1"/>
  <c r="BO60" i="159"/>
  <c r="CA60" i="159" s="1"/>
  <c r="D63" i="146"/>
  <c r="AT63" i="124"/>
  <c r="AV63" i="124"/>
  <c r="AT61" i="124"/>
  <c r="X62" i="124"/>
  <c r="AI57" i="124"/>
  <c r="X24" i="124"/>
  <c r="AS56" i="124"/>
  <c r="AX56" i="124" s="1"/>
  <c r="AB56" i="124"/>
  <c r="W32" i="124"/>
  <c r="AN25" i="124"/>
  <c r="AM25" i="124"/>
  <c r="X31" i="124"/>
  <c r="X28" i="124"/>
  <c r="X20" i="124"/>
  <c r="X4" i="124"/>
  <c r="X21" i="124"/>
  <c r="X48" i="124"/>
  <c r="X13" i="124"/>
  <c r="AM23" i="124"/>
  <c r="AN23" i="124"/>
  <c r="CQ4" i="159"/>
  <c r="Z66" i="124"/>
  <c r="AS22" i="124"/>
  <c r="AE75" i="124"/>
  <c r="X7" i="124"/>
  <c r="Z75" i="124"/>
  <c r="K24" i="161"/>
  <c r="K24" i="159"/>
  <c r="K24" i="158"/>
  <c r="AS9" i="124"/>
  <c r="Y76" i="124"/>
  <c r="AS65" i="124"/>
  <c r="AX65" i="124" s="1"/>
  <c r="AB65" i="124"/>
  <c r="BU61" i="159"/>
  <c r="CG61" i="159" s="1"/>
  <c r="BM61" i="159"/>
  <c r="BY61" i="159" s="1"/>
  <c r="BT61" i="159"/>
  <c r="CF61" i="159" s="1"/>
  <c r="BL61" i="159"/>
  <c r="BX61" i="159" s="1"/>
  <c r="BS61" i="159"/>
  <c r="CE61" i="159" s="1"/>
  <c r="BK61" i="159"/>
  <c r="BW61" i="159" s="1"/>
  <c r="BR61" i="159"/>
  <c r="CD61" i="159" s="1"/>
  <c r="BJ61" i="159"/>
  <c r="BV61" i="159" s="1"/>
  <c r="BZ61" i="124" s="1"/>
  <c r="BQ61" i="159"/>
  <c r="CC61" i="159" s="1"/>
  <c r="BP61" i="159"/>
  <c r="CB61" i="159" s="1"/>
  <c r="BO61" i="159"/>
  <c r="CA61" i="159" s="1"/>
  <c r="BN61" i="159"/>
  <c r="BZ61" i="159" s="1"/>
  <c r="D57" i="146"/>
  <c r="AT57" i="124"/>
  <c r="AV57" i="124"/>
  <c r="D27" i="146"/>
  <c r="AH27" i="124"/>
  <c r="AV27" i="124"/>
  <c r="AT27" i="124"/>
  <c r="AI27" i="124"/>
  <c r="D40" i="146"/>
  <c r="AV40" i="124"/>
  <c r="AT40" i="124"/>
  <c r="D39" i="146"/>
  <c r="AV38" i="124"/>
  <c r="AT38" i="124"/>
  <c r="K5" i="161"/>
  <c r="K5" i="159"/>
  <c r="K5" i="158"/>
  <c r="AC5" i="124"/>
  <c r="X42" i="124"/>
  <c r="X64" i="124"/>
  <c r="W57" i="124"/>
  <c r="X47" i="124"/>
  <c r="S28" i="124"/>
  <c r="W28" i="124"/>
  <c r="AS24" i="124"/>
  <c r="AX24" i="124" s="1"/>
  <c r="AB24" i="124"/>
  <c r="X12" i="124"/>
  <c r="AB6" i="124"/>
  <c r="AS6" i="124"/>
  <c r="AS33" i="124"/>
  <c r="AS15" i="124"/>
  <c r="AS8" i="124"/>
  <c r="AX8" i="124" s="1"/>
  <c r="X22" i="124"/>
  <c r="D14" i="146"/>
  <c r="AG76" i="124"/>
  <c r="AV14" i="124"/>
  <c r="AT14" i="124"/>
  <c r="W12" i="124"/>
  <c r="S12" i="124"/>
  <c r="X30" i="124"/>
  <c r="BS63" i="159"/>
  <c r="CE63" i="159" s="1"/>
  <c r="BK63" i="159"/>
  <c r="BW63" i="159" s="1"/>
  <c r="BR63" i="159"/>
  <c r="CD63" i="159" s="1"/>
  <c r="BJ63" i="159"/>
  <c r="BV63" i="159" s="1"/>
  <c r="BZ63" i="124" s="1"/>
  <c r="BQ63" i="159"/>
  <c r="CC63" i="159" s="1"/>
  <c r="BP63" i="159"/>
  <c r="CB63" i="159" s="1"/>
  <c r="BO63" i="159"/>
  <c r="CA63" i="159" s="1"/>
  <c r="BN63" i="159"/>
  <c r="BZ63" i="159" s="1"/>
  <c r="BU63" i="159"/>
  <c r="CG63" i="159" s="1"/>
  <c r="BM63" i="159"/>
  <c r="BY63" i="159" s="1"/>
  <c r="BT63" i="159"/>
  <c r="CF63" i="159" s="1"/>
  <c r="BL63" i="159"/>
  <c r="BR64" i="159"/>
  <c r="CD64" i="159" s="1"/>
  <c r="BJ64" i="159"/>
  <c r="BV64" i="159" s="1"/>
  <c r="BZ64" i="124" s="1"/>
  <c r="BQ64" i="159"/>
  <c r="CC64" i="159" s="1"/>
  <c r="BP64" i="159"/>
  <c r="CB64" i="159" s="1"/>
  <c r="BO64" i="159"/>
  <c r="CA64" i="159" s="1"/>
  <c r="BN64" i="159"/>
  <c r="BZ64" i="159" s="1"/>
  <c r="BU64" i="159"/>
  <c r="CG64" i="159" s="1"/>
  <c r="BM64" i="159"/>
  <c r="BY64" i="159" s="1"/>
  <c r="BT64" i="159"/>
  <c r="CF64" i="159" s="1"/>
  <c r="BL64" i="159"/>
  <c r="BX64" i="159" s="1"/>
  <c r="BS64" i="159"/>
  <c r="CE64" i="159" s="1"/>
  <c r="BK64" i="159"/>
  <c r="L65" i="161"/>
  <c r="L65" i="159"/>
  <c r="L65" i="158"/>
  <c r="AS63" i="124"/>
  <c r="AB63" i="124"/>
  <c r="D62" i="146"/>
  <c r="F62" i="146" s="1"/>
  <c r="AV62" i="124"/>
  <c r="AT62" i="124"/>
  <c r="W62" i="124"/>
  <c r="BS24" i="159"/>
  <c r="BK24" i="159"/>
  <c r="BW24" i="159" s="1"/>
  <c r="BR24" i="159"/>
  <c r="CD24" i="159" s="1"/>
  <c r="BJ24" i="159"/>
  <c r="BV24" i="159" s="1"/>
  <c r="BZ24" i="124" s="1"/>
  <c r="BQ24" i="159"/>
  <c r="CC24" i="159" s="1"/>
  <c r="BP24" i="159"/>
  <c r="CB24" i="159" s="1"/>
  <c r="BO24" i="159"/>
  <c r="CA24" i="159" s="1"/>
  <c r="BN24" i="159"/>
  <c r="BZ24" i="159" s="1"/>
  <c r="BU24" i="159"/>
  <c r="CG24" i="159" s="1"/>
  <c r="BM24" i="159"/>
  <c r="BY24" i="159" s="1"/>
  <c r="BT24" i="159"/>
  <c r="CF24" i="159" s="1"/>
  <c r="BL24" i="159"/>
  <c r="BX24" i="159" s="1"/>
  <c r="W63" i="124"/>
  <c r="X55" i="124"/>
  <c r="D31" i="146"/>
  <c r="AT31" i="124"/>
  <c r="AV31" i="124"/>
  <c r="X54" i="124"/>
  <c r="X38" i="124"/>
  <c r="AS53" i="124"/>
  <c r="X57" i="124"/>
  <c r="AS36" i="124"/>
  <c r="AX36" i="124" s="1"/>
  <c r="CP25" i="159"/>
  <c r="AT21" i="124"/>
  <c r="AN15" i="124"/>
  <c r="AM15" i="124"/>
  <c r="X8" i="124"/>
  <c r="CQ12" i="159"/>
  <c r="D30" i="146"/>
  <c r="AT30" i="124"/>
  <c r="AV30" i="124"/>
  <c r="Z76" i="124"/>
  <c r="BO59" i="159"/>
  <c r="CA59" i="159" s="1"/>
  <c r="BN59" i="159"/>
  <c r="BZ59" i="159" s="1"/>
  <c r="BU59" i="159"/>
  <c r="CG59" i="159" s="1"/>
  <c r="BM59" i="159"/>
  <c r="BY59" i="159" s="1"/>
  <c r="BT59" i="159"/>
  <c r="CF59" i="159" s="1"/>
  <c r="BL59" i="159"/>
  <c r="BX59" i="159" s="1"/>
  <c r="BS59" i="159"/>
  <c r="CE59" i="159" s="1"/>
  <c r="BK59" i="159"/>
  <c r="BW59" i="159" s="1"/>
  <c r="BR59" i="159"/>
  <c r="CD59" i="159" s="1"/>
  <c r="BJ59" i="159"/>
  <c r="BV59" i="159" s="1"/>
  <c r="BZ59" i="124" s="1"/>
  <c r="BQ59" i="159"/>
  <c r="CC59" i="159" s="1"/>
  <c r="BP59" i="159"/>
  <c r="CB59" i="159" s="1"/>
  <c r="D55" i="146"/>
  <c r="AT55" i="124"/>
  <c r="AV55" i="124"/>
  <c r="AS46" i="124"/>
  <c r="X35" i="124"/>
  <c r="AS29" i="124"/>
  <c r="AN58" i="124"/>
  <c r="AM58" i="124"/>
  <c r="W31" i="124"/>
  <c r="D29" i="146"/>
  <c r="AG77" i="124"/>
  <c r="AV29" i="124"/>
  <c r="AT29" i="124"/>
  <c r="X19" i="124"/>
  <c r="S56" i="124"/>
  <c r="W56" i="124"/>
  <c r="X49" i="124"/>
  <c r="D46" i="146"/>
  <c r="AV47" i="124"/>
  <c r="AT47" i="124"/>
  <c r="BR6" i="159"/>
  <c r="CD6" i="159" s="1"/>
  <c r="BJ6" i="159"/>
  <c r="BQ6" i="159"/>
  <c r="CC6" i="159" s="1"/>
  <c r="BP6" i="159"/>
  <c r="CB6" i="159" s="1"/>
  <c r="BO6" i="159"/>
  <c r="CA6" i="159" s="1"/>
  <c r="BN6" i="159"/>
  <c r="BZ6" i="159" s="1"/>
  <c r="BU6" i="159"/>
  <c r="CG6" i="159" s="1"/>
  <c r="BM6" i="159"/>
  <c r="BY6" i="159" s="1"/>
  <c r="BT6" i="159"/>
  <c r="CF6" i="159" s="1"/>
  <c r="BL6" i="159"/>
  <c r="BS6" i="159"/>
  <c r="CE6" i="159" s="1"/>
  <c r="BK6" i="159"/>
  <c r="BW6" i="159" s="1"/>
  <c r="CQ25" i="159"/>
  <c r="D23" i="146"/>
  <c r="AT23" i="124"/>
  <c r="AV23" i="124"/>
  <c r="BU26" i="158"/>
  <c r="BM26" i="158"/>
  <c r="BT26" i="158"/>
  <c r="BL26" i="158"/>
  <c r="BS26" i="158"/>
  <c r="BK26" i="158"/>
  <c r="BR26" i="158"/>
  <c r="BJ26" i="158"/>
  <c r="BQ26" i="158"/>
  <c r="BP26" i="158"/>
  <c r="BO26" i="158"/>
  <c r="BN26" i="158"/>
  <c r="X16" i="124"/>
  <c r="AI23" i="124"/>
  <c r="AS44" i="124"/>
  <c r="AX44" i="124" s="1"/>
  <c r="AS16" i="124"/>
  <c r="AX16" i="124" s="1"/>
  <c r="AS42" i="124"/>
  <c r="D6" i="146"/>
  <c r="AT6" i="124"/>
  <c r="AV6" i="124"/>
  <c r="X11" i="124"/>
  <c r="AA76" i="124"/>
  <c r="AS14" i="124"/>
  <c r="AX14" i="124" s="1"/>
  <c r="AS21" i="124"/>
  <c r="AS4" i="124"/>
  <c r="AS64" i="124"/>
  <c r="AB64" i="124"/>
  <c r="X60" i="124"/>
  <c r="X61" i="124"/>
  <c r="X53" i="124"/>
  <c r="AS35" i="124"/>
  <c r="AX35" i="124" s="1"/>
  <c r="BO28" i="159"/>
  <c r="CA28" i="159" s="1"/>
  <c r="BN28" i="159"/>
  <c r="BZ28" i="159" s="1"/>
  <c r="BU28" i="159"/>
  <c r="BM28" i="159"/>
  <c r="BY28" i="159" s="1"/>
  <c r="BT28" i="159"/>
  <c r="CF28" i="159" s="1"/>
  <c r="BL28" i="159"/>
  <c r="BX28" i="159" s="1"/>
  <c r="BS28" i="159"/>
  <c r="CE28" i="159" s="1"/>
  <c r="BK28" i="159"/>
  <c r="BW28" i="159" s="1"/>
  <c r="BR28" i="159"/>
  <c r="CD28" i="159" s="1"/>
  <c r="BJ28" i="159"/>
  <c r="BQ28" i="159"/>
  <c r="CC28" i="159" s="1"/>
  <c r="BP28" i="159"/>
  <c r="CB28" i="159" s="1"/>
  <c r="D42" i="146"/>
  <c r="AV43" i="124"/>
  <c r="AT43" i="124"/>
  <c r="AS62" i="124"/>
  <c r="AX62" i="124" s="1"/>
  <c r="AB62" i="124"/>
  <c r="W59" i="124"/>
  <c r="S59" i="124"/>
  <c r="BO57" i="159"/>
  <c r="CA57" i="159" s="1"/>
  <c r="BN57" i="159"/>
  <c r="BZ57" i="159" s="1"/>
  <c r="BU57" i="159"/>
  <c r="BM57" i="159"/>
  <c r="BY57" i="159" s="1"/>
  <c r="BT57" i="159"/>
  <c r="CF57" i="159" s="1"/>
  <c r="BL57" i="159"/>
  <c r="BX57" i="159" s="1"/>
  <c r="BS57" i="159"/>
  <c r="BK57" i="159"/>
  <c r="BW57" i="159" s="1"/>
  <c r="BR57" i="159"/>
  <c r="CD57" i="159" s="1"/>
  <c r="BJ57" i="159"/>
  <c r="BV57" i="159" s="1"/>
  <c r="BZ57" i="124" s="1"/>
  <c r="BQ57" i="159"/>
  <c r="BP57" i="159"/>
  <c r="CB57" i="159" s="1"/>
  <c r="K56" i="161"/>
  <c r="K56" i="159"/>
  <c r="K56" i="158"/>
  <c r="BT23" i="159"/>
  <c r="CF23" i="159" s="1"/>
  <c r="BL23" i="159"/>
  <c r="BS23" i="159"/>
  <c r="BK23" i="159"/>
  <c r="BW23" i="159" s="1"/>
  <c r="BR23" i="159"/>
  <c r="CD23" i="159" s="1"/>
  <c r="BJ23" i="159"/>
  <c r="BV23" i="159" s="1"/>
  <c r="BZ23" i="124" s="1"/>
  <c r="BQ23" i="159"/>
  <c r="CC23" i="159" s="1"/>
  <c r="BP23" i="159"/>
  <c r="CB23" i="159" s="1"/>
  <c r="BO23" i="159"/>
  <c r="CA23" i="159" s="1"/>
  <c r="BN23" i="159"/>
  <c r="BZ23" i="159" s="1"/>
  <c r="BU23" i="159"/>
  <c r="CG23" i="159" s="1"/>
  <c r="BM23" i="159"/>
  <c r="BY23" i="159" s="1"/>
  <c r="W25" i="124"/>
  <c r="S25" i="124"/>
  <c r="X17" i="124"/>
  <c r="W65" i="124"/>
  <c r="AS45" i="124"/>
  <c r="AX45" i="124" s="1"/>
  <c r="D38" i="146"/>
  <c r="AV39" i="124"/>
  <c r="AT39" i="124"/>
  <c r="AS37" i="124"/>
  <c r="BR25" i="159"/>
  <c r="CD25" i="159" s="1"/>
  <c r="BJ25" i="159"/>
  <c r="BQ25" i="159"/>
  <c r="CC25" i="159" s="1"/>
  <c r="BP25" i="159"/>
  <c r="CB25" i="159" s="1"/>
  <c r="BO25" i="159"/>
  <c r="CA25" i="159" s="1"/>
  <c r="BN25" i="159"/>
  <c r="BZ25" i="159" s="1"/>
  <c r="BU25" i="159"/>
  <c r="CG25" i="159" s="1"/>
  <c r="BM25" i="159"/>
  <c r="BY25" i="159" s="1"/>
  <c r="BT25" i="159"/>
  <c r="CF25" i="159" s="1"/>
  <c r="BL25" i="159"/>
  <c r="BS25" i="159"/>
  <c r="CE25" i="159" s="1"/>
  <c r="BK25" i="159"/>
  <c r="BW25" i="159" s="1"/>
  <c r="AE66" i="124"/>
  <c r="AE74" i="124"/>
  <c r="X2" i="124"/>
  <c r="X41" i="124"/>
  <c r="Y77" i="124"/>
  <c r="AS49" i="124"/>
  <c r="AX49" i="124" s="1"/>
  <c r="AF77" i="124"/>
  <c r="BU3" i="159"/>
  <c r="CG3" i="159" s="1"/>
  <c r="BM3" i="159"/>
  <c r="BT3" i="159"/>
  <c r="CF3" i="159" s="1"/>
  <c r="BL3" i="159"/>
  <c r="BX3" i="159" s="1"/>
  <c r="BS3" i="159"/>
  <c r="CE3" i="159" s="1"/>
  <c r="BK3" i="159"/>
  <c r="BR3" i="159"/>
  <c r="BJ3" i="159"/>
  <c r="BV3" i="159" s="1"/>
  <c r="BZ3" i="124" s="1"/>
  <c r="BQ3" i="159"/>
  <c r="CC3" i="159" s="1"/>
  <c r="BP3" i="159"/>
  <c r="CB3" i="159" s="1"/>
  <c r="BO3" i="159"/>
  <c r="CA3" i="159" s="1"/>
  <c r="BN3" i="159"/>
  <c r="BZ3" i="159" s="1"/>
  <c r="K23" i="161"/>
  <c r="K23" i="159"/>
  <c r="K23" i="158"/>
  <c r="AK76" i="124"/>
  <c r="AS23" i="124"/>
  <c r="AB23" i="124"/>
  <c r="AS13" i="124"/>
  <c r="X15" i="124"/>
  <c r="BN10" i="159"/>
  <c r="BZ10" i="159" s="1"/>
  <c r="BU10" i="159"/>
  <c r="CG10" i="159" s="1"/>
  <c r="BM10" i="159"/>
  <c r="BY10" i="159" s="1"/>
  <c r="BT10" i="159"/>
  <c r="CF10" i="159" s="1"/>
  <c r="BL10" i="159"/>
  <c r="BS10" i="159"/>
  <c r="CE10" i="159" s="1"/>
  <c r="BK10" i="159"/>
  <c r="BW10" i="159" s="1"/>
  <c r="BR10" i="159"/>
  <c r="CD10" i="159" s="1"/>
  <c r="BJ10" i="159"/>
  <c r="BQ10" i="159"/>
  <c r="CC10" i="159" s="1"/>
  <c r="BP10" i="159"/>
  <c r="CB10" i="159" s="1"/>
  <c r="BO10" i="159"/>
  <c r="CA10" i="159" s="1"/>
  <c r="BS5" i="159"/>
  <c r="CE5" i="159" s="1"/>
  <c r="BK5" i="159"/>
  <c r="BW5" i="159" s="1"/>
  <c r="BR5" i="159"/>
  <c r="CD5" i="159" s="1"/>
  <c r="BJ5" i="159"/>
  <c r="BQ5" i="159"/>
  <c r="CC5" i="159" s="1"/>
  <c r="BP5" i="159"/>
  <c r="CB5" i="159" s="1"/>
  <c r="BO5" i="159"/>
  <c r="CA5" i="159" s="1"/>
  <c r="BN5" i="159"/>
  <c r="BZ5" i="159" s="1"/>
  <c r="BU5" i="159"/>
  <c r="CG5" i="159" s="1"/>
  <c r="BM5" i="159"/>
  <c r="BY5" i="159" s="1"/>
  <c r="BT5" i="159"/>
  <c r="CF5" i="159" s="1"/>
  <c r="BL5" i="159"/>
  <c r="Y66" i="124"/>
  <c r="AN16" i="124"/>
  <c r="AM16" i="124"/>
  <c r="W27" i="124"/>
  <c r="AS7" i="124"/>
  <c r="AX7" i="124" s="1"/>
  <c r="BR11" i="158"/>
  <c r="BJ11" i="158"/>
  <c r="BQ11" i="158"/>
  <c r="BO11" i="158"/>
  <c r="BN11" i="158"/>
  <c r="BM11" i="158"/>
  <c r="BL11" i="158"/>
  <c r="BU11" i="158"/>
  <c r="BK11" i="158"/>
  <c r="BT11" i="158"/>
  <c r="BS11" i="158"/>
  <c r="BP11" i="158"/>
  <c r="BS10" i="158"/>
  <c r="BK10" i="158"/>
  <c r="BR10" i="158"/>
  <c r="BJ10" i="158"/>
  <c r="BP10" i="158"/>
  <c r="BO10" i="158"/>
  <c r="BN10" i="158"/>
  <c r="BM10" i="158"/>
  <c r="BL10" i="158"/>
  <c r="BU10" i="158"/>
  <c r="BT10" i="158"/>
  <c r="BQ10" i="158"/>
  <c r="BP58" i="159"/>
  <c r="CB58" i="159" s="1"/>
  <c r="BN58" i="159"/>
  <c r="BZ58" i="159" s="1"/>
  <c r="BU58" i="159"/>
  <c r="CG58" i="159" s="1"/>
  <c r="BM58" i="159"/>
  <c r="BY58" i="159" s="1"/>
  <c r="BT58" i="159"/>
  <c r="BL58" i="159"/>
  <c r="BX58" i="159" s="1"/>
  <c r="BS58" i="159"/>
  <c r="BK58" i="159"/>
  <c r="BW58" i="159" s="1"/>
  <c r="BR58" i="159"/>
  <c r="CD58" i="159" s="1"/>
  <c r="BJ58" i="159"/>
  <c r="BV58" i="159" s="1"/>
  <c r="BZ58" i="124" s="1"/>
  <c r="BQ58" i="159"/>
  <c r="CC58" i="159" s="1"/>
  <c r="BO58" i="159"/>
  <c r="S60" i="124"/>
  <c r="W60" i="124"/>
  <c r="X45" i="124"/>
  <c r="AS55" i="124"/>
  <c r="AX55" i="124" s="1"/>
  <c r="AS43" i="124"/>
  <c r="K59" i="161"/>
  <c r="K59" i="159"/>
  <c r="K59" i="158"/>
  <c r="D47" i="146"/>
  <c r="AV46" i="124"/>
  <c r="AT46" i="124"/>
  <c r="X43" i="124"/>
  <c r="D34" i="146"/>
  <c r="AT34" i="124"/>
  <c r="AV34" i="124"/>
  <c r="Z77" i="124"/>
  <c r="D54" i="146"/>
  <c r="AV54" i="124"/>
  <c r="AT54" i="124"/>
  <c r="AS47" i="124"/>
  <c r="AX47" i="124" s="1"/>
  <c r="X39" i="124"/>
  <c r="BU11" i="159"/>
  <c r="CG11" i="159" s="1"/>
  <c r="BM11" i="159"/>
  <c r="BY11" i="159" s="1"/>
  <c r="BT11" i="159"/>
  <c r="CF11" i="159" s="1"/>
  <c r="BL11" i="159"/>
  <c r="BX11" i="159" s="1"/>
  <c r="BS11" i="159"/>
  <c r="CE11" i="159" s="1"/>
  <c r="BK11" i="159"/>
  <c r="BR11" i="159"/>
  <c r="CD11" i="159" s="1"/>
  <c r="BJ11" i="159"/>
  <c r="BV11" i="159" s="1"/>
  <c r="BZ11" i="124" s="1"/>
  <c r="BQ11" i="159"/>
  <c r="CC11" i="159" s="1"/>
  <c r="BP11" i="159"/>
  <c r="CB11" i="159" s="1"/>
  <c r="BO11" i="159"/>
  <c r="CA11" i="159" s="1"/>
  <c r="BN11" i="159"/>
  <c r="AT13" i="124"/>
  <c r="AF75" i="124"/>
  <c r="K4" i="161"/>
  <c r="K4" i="159"/>
  <c r="K4" i="158"/>
  <c r="Y74" i="124"/>
  <c r="BT4" i="159"/>
  <c r="CF4" i="159" s="1"/>
  <c r="BL4" i="159"/>
  <c r="BS4" i="159"/>
  <c r="CE4" i="159" s="1"/>
  <c r="BK4" i="159"/>
  <c r="BW4" i="159" s="1"/>
  <c r="BR4" i="159"/>
  <c r="CD4" i="159" s="1"/>
  <c r="BJ4" i="159"/>
  <c r="BQ4" i="159"/>
  <c r="CC4" i="159" s="1"/>
  <c r="BP4" i="159"/>
  <c r="CB4" i="159" s="1"/>
  <c r="BO4" i="159"/>
  <c r="BN4" i="159"/>
  <c r="BZ4" i="159" s="1"/>
  <c r="BU4" i="159"/>
  <c r="CG4" i="159" s="1"/>
  <c r="BM4" i="159"/>
  <c r="BY4" i="159" s="1"/>
  <c r="AS20" i="124"/>
  <c r="X6" i="124"/>
  <c r="AS38" i="124"/>
  <c r="W10" i="124"/>
  <c r="S10" i="124"/>
  <c r="AS30" i="124"/>
  <c r="AX30" i="124" s="1"/>
  <c r="AA75" i="124"/>
  <c r="Y75" i="124"/>
  <c r="X65" i="124"/>
  <c r="CG65" i="159"/>
  <c r="BY65" i="159"/>
  <c r="BQ65" i="159"/>
  <c r="CF65" i="159"/>
  <c r="BX65" i="159"/>
  <c r="BP65" i="159"/>
  <c r="CE65" i="159"/>
  <c r="BW65" i="159"/>
  <c r="BO65" i="159"/>
  <c r="CD65" i="159"/>
  <c r="BV65" i="159"/>
  <c r="BZ65" i="124" s="1"/>
  <c r="BN65" i="159"/>
  <c r="CC65" i="159"/>
  <c r="BU65" i="159"/>
  <c r="BM65" i="159"/>
  <c r="CB65" i="159"/>
  <c r="BT65" i="159"/>
  <c r="BL65" i="159"/>
  <c r="CA65" i="159"/>
  <c r="BS65" i="159"/>
  <c r="BK65" i="159"/>
  <c r="BZ65" i="159"/>
  <c r="BR65" i="159"/>
  <c r="BJ65" i="159"/>
  <c r="K62" i="161"/>
  <c r="K62" i="159"/>
  <c r="K62" i="158"/>
  <c r="AN63" i="124"/>
  <c r="AM63" i="124"/>
  <c r="W58" i="124"/>
  <c r="S58" i="124"/>
  <c r="X46" i="124"/>
  <c r="X63" i="124"/>
  <c r="AI63" i="124"/>
  <c r="X34" i="124"/>
  <c r="AM24" i="124"/>
  <c r="AN24" i="124"/>
  <c r="D58" i="146"/>
  <c r="AT58" i="124"/>
  <c r="AI58" i="124"/>
  <c r="AH58" i="124"/>
  <c r="AV58" i="124"/>
  <c r="W26" i="124"/>
  <c r="S26" i="124"/>
  <c r="K13" i="161"/>
  <c r="K13" i="159"/>
  <c r="K13" i="158"/>
  <c r="AB13" i="124"/>
  <c r="BO56" i="159"/>
  <c r="CA56" i="159" s="1"/>
  <c r="BN56" i="159"/>
  <c r="BZ56" i="159" s="1"/>
  <c r="BU56" i="159"/>
  <c r="BM56" i="159"/>
  <c r="BY56" i="159" s="1"/>
  <c r="BT56" i="159"/>
  <c r="CF56" i="159" s="1"/>
  <c r="BL56" i="159"/>
  <c r="BX56" i="159" s="1"/>
  <c r="BS56" i="159"/>
  <c r="CE56" i="159" s="1"/>
  <c r="BK56" i="159"/>
  <c r="BW56" i="159" s="1"/>
  <c r="BR56" i="159"/>
  <c r="BQ56" i="159"/>
  <c r="CC56" i="159" s="1"/>
  <c r="BP56" i="159"/>
  <c r="BJ56" i="159"/>
  <c r="BV56" i="159" s="1"/>
  <c r="BZ56" i="124" s="1"/>
  <c r="X27" i="124"/>
  <c r="X58" i="124"/>
  <c r="AS54" i="124"/>
  <c r="BT27" i="158"/>
  <c r="BL27" i="158"/>
  <c r="BS27" i="158"/>
  <c r="BK27" i="158"/>
  <c r="BR27" i="158"/>
  <c r="BJ27" i="158"/>
  <c r="BQ27" i="158"/>
  <c r="BP27" i="158"/>
  <c r="BO27" i="158"/>
  <c r="BN27" i="158"/>
  <c r="BU27" i="158"/>
  <c r="BM27" i="158"/>
  <c r="AU66" i="124"/>
  <c r="D22" i="146"/>
  <c r="AV22" i="124"/>
  <c r="AT22" i="124"/>
  <c r="D15" i="146"/>
  <c r="AT15" i="124"/>
  <c r="AV15" i="124"/>
  <c r="S6" i="124"/>
  <c r="W6" i="124"/>
  <c r="CP4" i="159"/>
  <c r="AB3" i="124"/>
  <c r="AS3" i="124"/>
  <c r="AX3" i="124" s="1"/>
  <c r="D9" i="146"/>
  <c r="AV9" i="124"/>
  <c r="AT9" i="124"/>
  <c r="D5" i="146"/>
  <c r="AV5" i="124"/>
  <c r="AH5" i="124"/>
  <c r="AT5" i="124"/>
  <c r="W4" i="124"/>
  <c r="S4" i="124"/>
  <c r="X29" i="124"/>
  <c r="AN6" i="124"/>
  <c r="BN57" i="158"/>
  <c r="BU57" i="158"/>
  <c r="BM57" i="158"/>
  <c r="BT57" i="158"/>
  <c r="BL57" i="158"/>
  <c r="BS57" i="158"/>
  <c r="BK57" i="158"/>
  <c r="BR57" i="158"/>
  <c r="BJ57" i="158"/>
  <c r="BQ57" i="158"/>
  <c r="BP57" i="158"/>
  <c r="BO57" i="158"/>
  <c r="AF76" i="124"/>
  <c r="BS13" i="159"/>
  <c r="CE13" i="159" s="1"/>
  <c r="BK13" i="159"/>
  <c r="BW13" i="159" s="1"/>
  <c r="BR13" i="159"/>
  <c r="CD13" i="159" s="1"/>
  <c r="BJ13" i="159"/>
  <c r="BV13" i="159" s="1"/>
  <c r="BZ13" i="124" s="1"/>
  <c r="BQ13" i="159"/>
  <c r="CC13" i="159" s="1"/>
  <c r="BP13" i="159"/>
  <c r="CB13" i="159" s="1"/>
  <c r="BO13" i="159"/>
  <c r="CA13" i="159" s="1"/>
  <c r="BN13" i="159"/>
  <c r="BZ13" i="159" s="1"/>
  <c r="BU13" i="159"/>
  <c r="BM13" i="159"/>
  <c r="BY13" i="159" s="1"/>
  <c r="BT13" i="159"/>
  <c r="CF13" i="159" s="1"/>
  <c r="BL13" i="159"/>
  <c r="BX13" i="159" s="1"/>
  <c r="K6" i="161"/>
  <c r="K6" i="159"/>
  <c r="K6" i="158"/>
  <c r="J230" i="127"/>
  <c r="R240" i="127"/>
  <c r="AF240" i="127"/>
  <c r="G231" i="127"/>
  <c r="M230" i="127"/>
  <c r="T220" i="127"/>
  <c r="S220" i="127"/>
  <c r="AK115" i="127"/>
  <c r="S229" i="127"/>
  <c r="S235" i="127"/>
  <c r="R230" i="127"/>
  <c r="K230" i="127"/>
  <c r="AK173" i="127"/>
  <c r="N240" i="127"/>
  <c r="T211" i="127"/>
  <c r="AK229" i="127"/>
  <c r="M240" i="127"/>
  <c r="Q230" i="127"/>
  <c r="S115" i="127"/>
  <c r="S238" i="127"/>
  <c r="S211" i="127"/>
  <c r="Y104" i="127"/>
  <c r="Y174" i="127" s="1"/>
  <c r="Y181" i="127" s="1"/>
  <c r="Y231" i="127" s="1"/>
  <c r="Y130" i="127"/>
  <c r="I240" i="127"/>
  <c r="H230" i="127"/>
  <c r="AH202" i="127"/>
  <c r="AH240" i="127" s="1"/>
  <c r="L230" i="127"/>
  <c r="T238" i="127"/>
  <c r="AK191" i="127"/>
  <c r="AK200" i="127"/>
  <c r="AK238" i="127" s="1"/>
  <c r="AF104" i="127"/>
  <c r="AF174" i="127" s="1"/>
  <c r="AF181" i="127" s="1"/>
  <c r="AF130" i="127"/>
  <c r="T235" i="127"/>
  <c r="AG240" i="127"/>
  <c r="S193" i="127"/>
  <c r="I230" i="127"/>
  <c r="M231" i="127"/>
  <c r="H231" i="127"/>
  <c r="Y230" i="127"/>
  <c r="AK239" i="127"/>
  <c r="Y240" i="127"/>
  <c r="S202" i="127"/>
  <c r="S239" i="127"/>
  <c r="T130" i="127"/>
  <c r="T174" i="127" s="1"/>
  <c r="T181" i="127" s="1"/>
  <c r="T104" i="127"/>
  <c r="H240" i="127"/>
  <c r="O240" i="127"/>
  <c r="T193" i="127"/>
  <c r="O230" i="127"/>
  <c r="N230" i="127"/>
  <c r="S130" i="127"/>
  <c r="S174" i="127" s="1"/>
  <c r="S181" i="127" s="1"/>
  <c r="S104" i="127"/>
  <c r="AK206" i="127"/>
  <c r="AK211" i="127" s="1"/>
  <c r="AK188" i="127"/>
  <c r="AK67" i="127"/>
  <c r="AN77" i="127" s="1"/>
  <c r="G240" i="127"/>
  <c r="T239" i="127"/>
  <c r="T202" i="127"/>
  <c r="Q240" i="127"/>
  <c r="G230" i="127"/>
  <c r="P231" i="127"/>
  <c r="AG104" i="127"/>
  <c r="AG174" i="127" s="1"/>
  <c r="AG181" i="127" s="1"/>
  <c r="AG130" i="127"/>
  <c r="K240" i="127"/>
  <c r="P230" i="127"/>
  <c r="V240" i="127" l="1"/>
  <c r="AF230" i="127"/>
  <c r="W230" i="127"/>
  <c r="U231" i="127"/>
  <c r="W231" i="127"/>
  <c r="U240" i="127"/>
  <c r="V230" i="127"/>
  <c r="V231" i="127"/>
  <c r="BO4" i="124"/>
  <c r="BO3" i="124"/>
  <c r="BO6" i="124"/>
  <c r="BO5" i="124"/>
  <c r="AX53" i="124"/>
  <c r="CX40" i="161"/>
  <c r="DJ40" i="161" s="1"/>
  <c r="AM35" i="124"/>
  <c r="AN35" i="124" s="1"/>
  <c r="AM34" i="124"/>
  <c r="AN34" i="124" s="1"/>
  <c r="Q35" i="124"/>
  <c r="L19" i="124"/>
  <c r="J22" i="126"/>
  <c r="L42" i="124"/>
  <c r="L41" i="124"/>
  <c r="Q38" i="124"/>
  <c r="Q37" i="124"/>
  <c r="AH231" i="127"/>
  <c r="AY20" i="124"/>
  <c r="AY34" i="124"/>
  <c r="AY39" i="124"/>
  <c r="AY2" i="124"/>
  <c r="AY9" i="124"/>
  <c r="AY57" i="124"/>
  <c r="AY36" i="124"/>
  <c r="AZ36" i="124" s="1"/>
  <c r="AY40" i="124"/>
  <c r="AY42" i="124"/>
  <c r="AY47" i="124"/>
  <c r="AZ47" i="124" s="1"/>
  <c r="AY27" i="124"/>
  <c r="AY59" i="124"/>
  <c r="AZ59" i="124" s="1"/>
  <c r="AY63" i="124"/>
  <c r="AY17" i="124"/>
  <c r="AY22" i="124"/>
  <c r="AY14" i="124"/>
  <c r="AY24" i="124"/>
  <c r="AZ24" i="124" s="1"/>
  <c r="AY38" i="124"/>
  <c r="AY29" i="124"/>
  <c r="AY15" i="124"/>
  <c r="AY52" i="124"/>
  <c r="AY31" i="124"/>
  <c r="AY13" i="124"/>
  <c r="AY53" i="124"/>
  <c r="AZ53" i="124" s="1"/>
  <c r="AY46" i="124"/>
  <c r="AY33" i="124"/>
  <c r="AY50" i="124"/>
  <c r="AY55" i="124"/>
  <c r="AZ55" i="124" s="1"/>
  <c r="AY60" i="124"/>
  <c r="AY58" i="124"/>
  <c r="AY3" i="124"/>
  <c r="AZ3" i="124" s="1"/>
  <c r="AY35" i="124"/>
  <c r="AZ35" i="124" s="1"/>
  <c r="AY12" i="124"/>
  <c r="AY4" i="124"/>
  <c r="AY28" i="124"/>
  <c r="AY30" i="124"/>
  <c r="AZ30" i="124" s="1"/>
  <c r="AY41" i="124"/>
  <c r="AZ41" i="124" s="1"/>
  <c r="AY6" i="124"/>
  <c r="AY48" i="124"/>
  <c r="AZ48" i="124" s="1"/>
  <c r="AY10" i="124"/>
  <c r="AY37" i="124"/>
  <c r="AY26" i="124"/>
  <c r="AZ26" i="124" s="1"/>
  <c r="AY61" i="124"/>
  <c r="AY19" i="124"/>
  <c r="AY21" i="124"/>
  <c r="AY64" i="124"/>
  <c r="AY51" i="124"/>
  <c r="AY11" i="124"/>
  <c r="AY16" i="124"/>
  <c r="AZ16" i="124" s="1"/>
  <c r="AY43" i="124"/>
  <c r="AY23" i="124"/>
  <c r="AY7" i="124"/>
  <c r="AY44" i="124"/>
  <c r="AZ44" i="124" s="1"/>
  <c r="AY54" i="124"/>
  <c r="AY49" i="124"/>
  <c r="AZ49" i="124" s="1"/>
  <c r="AY8" i="124"/>
  <c r="AY56" i="124"/>
  <c r="AZ56" i="124" s="1"/>
  <c r="AY18" i="124"/>
  <c r="AY45" i="124"/>
  <c r="AZ45" i="124" s="1"/>
  <c r="AY25" i="124"/>
  <c r="AY62" i="124"/>
  <c r="AZ62" i="124" s="1"/>
  <c r="AY32" i="124"/>
  <c r="AY5" i="124"/>
  <c r="AY65" i="124"/>
  <c r="AZ65" i="124" s="1"/>
  <c r="AX37" i="124"/>
  <c r="AX4" i="124"/>
  <c r="AX42" i="124"/>
  <c r="AX54" i="124"/>
  <c r="AX43" i="124"/>
  <c r="AX60" i="124"/>
  <c r="AX13" i="124"/>
  <c r="AX33" i="124"/>
  <c r="AX28" i="124"/>
  <c r="AX39" i="124"/>
  <c r="AX2" i="124"/>
  <c r="AX21" i="124"/>
  <c r="AX61" i="124"/>
  <c r="AX12" i="124"/>
  <c r="AX19" i="124"/>
  <c r="AX23" i="124"/>
  <c r="AX27" i="124"/>
  <c r="AX10" i="124"/>
  <c r="AX31" i="124"/>
  <c r="AX38" i="124"/>
  <c r="AX63" i="124"/>
  <c r="AX9" i="124"/>
  <c r="AX34" i="124"/>
  <c r="AX52" i="124"/>
  <c r="AX64" i="124"/>
  <c r="AX15" i="124"/>
  <c r="AX58" i="124"/>
  <c r="AX25" i="124"/>
  <c r="AX46" i="124"/>
  <c r="AX57" i="124"/>
  <c r="AX20" i="124"/>
  <c r="AX51" i="124"/>
  <c r="AX17" i="124"/>
  <c r="AX29" i="124"/>
  <c r="AX6" i="124"/>
  <c r="AX22" i="124"/>
  <c r="AX18" i="124"/>
  <c r="BS40" i="124" a="1"/>
  <c r="BS40" i="124" s="1"/>
  <c r="BQ40" i="124" a="1"/>
  <c r="BQ40" i="124" s="1"/>
  <c r="BQ32" i="124" a="1"/>
  <c r="BQ32" i="124" s="1"/>
  <c r="BS32" i="124" a="1"/>
  <c r="BS32" i="124" s="1"/>
  <c r="BS50" i="124" a="1"/>
  <c r="BS50" i="124" s="1"/>
  <c r="BQ50" i="124" a="1"/>
  <c r="BQ50" i="124" s="1"/>
  <c r="BS75" i="124"/>
  <c r="BS74" i="124"/>
  <c r="BS76" i="124"/>
  <c r="BN50" i="124"/>
  <c r="BN40" i="124"/>
  <c r="BQ75" i="124"/>
  <c r="BQ76" i="124"/>
  <c r="BQ74" i="124"/>
  <c r="CN33" i="161"/>
  <c r="CZ33" i="161" s="1"/>
  <c r="CM55" i="161"/>
  <c r="CY55" i="161" s="1"/>
  <c r="CU29" i="161"/>
  <c r="DG29" i="161" s="1"/>
  <c r="CX45" i="161"/>
  <c r="DJ45" i="161" s="1"/>
  <c r="CQ13" i="159"/>
  <c r="BP6" i="124"/>
  <c r="BP4" i="124"/>
  <c r="BP3" i="124"/>
  <c r="BP5" i="124"/>
  <c r="AK66" i="124"/>
  <c r="CP63" i="159"/>
  <c r="CP13" i="159"/>
  <c r="BL12" i="158"/>
  <c r="BX12" i="158" s="1"/>
  <c r="CP42" i="161"/>
  <c r="DB42" i="161" s="1"/>
  <c r="AL66" i="124"/>
  <c r="CQ6" i="159"/>
  <c r="CU34" i="161"/>
  <c r="DG34" i="161" s="1"/>
  <c r="BL64" i="124"/>
  <c r="BN74" i="124"/>
  <c r="BN76" i="124"/>
  <c r="BN75" i="124"/>
  <c r="BM12" i="158"/>
  <c r="BM12" i="161" s="1"/>
  <c r="CQ30" i="161"/>
  <c r="DC30" i="161" s="1"/>
  <c r="AA66" i="124"/>
  <c r="BP12" i="158"/>
  <c r="CB12" i="158" s="1"/>
  <c r="BQ12" i="158"/>
  <c r="BQ12" i="161" s="1"/>
  <c r="BJ12" i="158"/>
  <c r="BJ12" i="161" s="1"/>
  <c r="BT12" i="158"/>
  <c r="BT12" i="161" s="1"/>
  <c r="BK12" i="158"/>
  <c r="BK12" i="161" s="1"/>
  <c r="CQ11" i="159"/>
  <c r="BU12" i="158"/>
  <c r="BU12" i="161" s="1"/>
  <c r="CQ61" i="159"/>
  <c r="CP57" i="159"/>
  <c r="BL11" i="124"/>
  <c r="CV33" i="161"/>
  <c r="DH33" i="161" s="1"/>
  <c r="X50" i="124"/>
  <c r="CP2" i="161"/>
  <c r="DB2" i="161" s="1"/>
  <c r="CS13" i="161"/>
  <c r="DE13" i="161" s="1"/>
  <c r="CP64" i="159"/>
  <c r="BN32" i="124"/>
  <c r="M15" i="158"/>
  <c r="M15" i="159"/>
  <c r="X40" i="124"/>
  <c r="AS40" i="124"/>
  <c r="AX40" i="124" s="1"/>
  <c r="BQ60" i="158"/>
  <c r="CP24" i="159"/>
  <c r="BK60" i="158"/>
  <c r="BL60" i="158"/>
  <c r="BT60" i="158"/>
  <c r="BU60" i="158"/>
  <c r="CG60" i="158" s="1"/>
  <c r="BS60" i="158"/>
  <c r="CE60" i="158" s="1"/>
  <c r="BJ60" i="158"/>
  <c r="BN60" i="158"/>
  <c r="BM60" i="158"/>
  <c r="BM60" i="161" s="1"/>
  <c r="BT25" i="158"/>
  <c r="BT25" i="161" s="1"/>
  <c r="BP25" i="158"/>
  <c r="CB25" i="158" s="1"/>
  <c r="BM25" i="158"/>
  <c r="BY25" i="158" s="1"/>
  <c r="CW48" i="161"/>
  <c r="DI48" i="161" s="1"/>
  <c r="BO60" i="158"/>
  <c r="BO60" i="161" s="1"/>
  <c r="X32" i="124"/>
  <c r="AS32" i="124"/>
  <c r="AX32" i="124" s="1"/>
  <c r="AA77" i="124"/>
  <c r="CP11" i="159"/>
  <c r="CP25" i="158"/>
  <c r="AC25" i="124"/>
  <c r="BP60" i="158"/>
  <c r="W5" i="124"/>
  <c r="M5" i="161" s="1"/>
  <c r="X5" i="124"/>
  <c r="BR12" i="158"/>
  <c r="CD12" i="158" s="1"/>
  <c r="BN12" i="158"/>
  <c r="BZ12" i="158" s="1"/>
  <c r="CQ33" i="161"/>
  <c r="DC33" i="161" s="1"/>
  <c r="BS12" i="158"/>
  <c r="CE12" i="158" s="1"/>
  <c r="CE12" i="161" s="1"/>
  <c r="CW19" i="161"/>
  <c r="DI19" i="161" s="1"/>
  <c r="CX19" i="161"/>
  <c r="DJ19" i="161" s="1"/>
  <c r="Q75" i="152"/>
  <c r="Q83" i="152"/>
  <c r="Q76" i="152"/>
  <c r="Q72" i="152"/>
  <c r="Q77" i="152"/>
  <c r="Q78" i="152"/>
  <c r="Q79" i="152"/>
  <c r="Q80" i="152"/>
  <c r="Q73" i="152"/>
  <c r="Q81" i="152"/>
  <c r="Q74" i="152"/>
  <c r="Q82" i="152"/>
  <c r="CM32" i="161"/>
  <c r="CY32" i="161" s="1"/>
  <c r="CT17" i="161"/>
  <c r="DF17" i="161" s="1"/>
  <c r="CT37" i="161"/>
  <c r="DF37" i="161" s="1"/>
  <c r="M13" i="161"/>
  <c r="BP65" i="158"/>
  <c r="CB65" i="158" s="1"/>
  <c r="CB65" i="161" s="1"/>
  <c r="M13" i="158"/>
  <c r="CN7" i="161"/>
  <c r="CZ7" i="161" s="1"/>
  <c r="CV34" i="161"/>
  <c r="DH34" i="161" s="1"/>
  <c r="CX27" i="161"/>
  <c r="DJ27" i="161" s="1"/>
  <c r="CR35" i="161"/>
  <c r="DD35" i="161" s="1"/>
  <c r="CU37" i="161"/>
  <c r="DG37" i="161" s="1"/>
  <c r="CT21" i="161"/>
  <c r="DF21" i="161" s="1"/>
  <c r="CW45" i="161"/>
  <c r="DI45" i="161" s="1"/>
  <c r="CN21" i="161"/>
  <c r="CZ21" i="161" s="1"/>
  <c r="CU57" i="161"/>
  <c r="DG57" i="161" s="1"/>
  <c r="CW4" i="161"/>
  <c r="DI4" i="161" s="1"/>
  <c r="CM19" i="161"/>
  <c r="CY19" i="161" s="1"/>
  <c r="CU12" i="161"/>
  <c r="DG12" i="161" s="1"/>
  <c r="CV50" i="161"/>
  <c r="DH50" i="161" s="1"/>
  <c r="CS8" i="161"/>
  <c r="DE8" i="161" s="1"/>
  <c r="CP16" i="161"/>
  <c r="DB16" i="161" s="1"/>
  <c r="CO40" i="161"/>
  <c r="DA40" i="161" s="1"/>
  <c r="AG231" i="127"/>
  <c r="AF231" i="127"/>
  <c r="CR25" i="161"/>
  <c r="DD25" i="161" s="1"/>
  <c r="CT6" i="161"/>
  <c r="DF6" i="161" s="1"/>
  <c r="CP52" i="161"/>
  <c r="DB52" i="161" s="1"/>
  <c r="R126" i="149"/>
  <c r="CQ40" i="161"/>
  <c r="DC40" i="161" s="1"/>
  <c r="CQ4" i="161"/>
  <c r="DC4" i="161" s="1"/>
  <c r="AM47" i="124"/>
  <c r="AN47" i="124" s="1"/>
  <c r="AM44" i="124"/>
  <c r="AN44" i="124" s="1"/>
  <c r="AL18" i="126"/>
  <c r="AM53" i="124"/>
  <c r="AN53" i="124" s="1"/>
  <c r="W13" i="126"/>
  <c r="CR45" i="161"/>
  <c r="DD45" i="161" s="1"/>
  <c r="CO39" i="161"/>
  <c r="DA39" i="161" s="1"/>
  <c r="AM51" i="124"/>
  <c r="AN51" i="124" s="1"/>
  <c r="CP34" i="161"/>
  <c r="DB34" i="161" s="1"/>
  <c r="CS23" i="161"/>
  <c r="DE23" i="161" s="1"/>
  <c r="CQ17" i="161"/>
  <c r="DC17" i="161" s="1"/>
  <c r="P29" i="124"/>
  <c r="S29" i="124" s="1"/>
  <c r="AC10" i="124"/>
  <c r="CQ10" i="158" s="1"/>
  <c r="AM19" i="124"/>
  <c r="AN19" i="124" s="1"/>
  <c r="T2" i="124"/>
  <c r="W2" i="124" s="1"/>
  <c r="M2" i="161" s="1"/>
  <c r="P32" i="124"/>
  <c r="S32" i="124" s="1"/>
  <c r="L32" i="161" s="1"/>
  <c r="AD27" i="126"/>
  <c r="AL27" i="126" s="1"/>
  <c r="CP10" i="158"/>
  <c r="AM27" i="126"/>
  <c r="AN27" i="126" s="1"/>
  <c r="P30" i="124"/>
  <c r="S30" i="124" s="1"/>
  <c r="L30" i="158" s="1"/>
  <c r="AD14" i="126"/>
  <c r="CN47" i="161"/>
  <c r="CZ47" i="161" s="1"/>
  <c r="CW3" i="161"/>
  <c r="DI3" i="161" s="1"/>
  <c r="CR2" i="161"/>
  <c r="DD2" i="161" s="1"/>
  <c r="W18" i="126"/>
  <c r="CV26" i="161"/>
  <c r="DH26" i="161" s="1"/>
  <c r="CP18" i="161"/>
  <c r="DB18" i="161" s="1"/>
  <c r="CN31" i="161"/>
  <c r="CZ31" i="161" s="1"/>
  <c r="CP49" i="161"/>
  <c r="DB49" i="161" s="1"/>
  <c r="CQ34" i="161"/>
  <c r="DC34" i="161" s="1"/>
  <c r="CM22" i="161"/>
  <c r="CY22" i="161" s="1"/>
  <c r="CQ19" i="161"/>
  <c r="DC19" i="161" s="1"/>
  <c r="CX9" i="161"/>
  <c r="DJ9" i="161" s="1"/>
  <c r="CM60" i="161"/>
  <c r="CY60" i="161" s="1"/>
  <c r="CM3" i="161"/>
  <c r="CY3" i="161" s="1"/>
  <c r="CX24" i="161"/>
  <c r="DJ24" i="161" s="1"/>
  <c r="CM49" i="161"/>
  <c r="CY49" i="161" s="1"/>
  <c r="CW46" i="161"/>
  <c r="DI46" i="161" s="1"/>
  <c r="CS54" i="161"/>
  <c r="DE54" i="161" s="1"/>
  <c r="CN48" i="161"/>
  <c r="CZ48" i="161" s="1"/>
  <c r="CO28" i="161"/>
  <c r="DA28" i="161" s="1"/>
  <c r="CO9" i="161"/>
  <c r="DA9" i="161" s="1"/>
  <c r="CN14" i="161"/>
  <c r="CZ14" i="161" s="1"/>
  <c r="CN9" i="161"/>
  <c r="CZ9" i="161" s="1"/>
  <c r="CQ22" i="161"/>
  <c r="DC22" i="161" s="1"/>
  <c r="CX22" i="161"/>
  <c r="DJ22" i="161" s="1"/>
  <c r="AM9" i="124"/>
  <c r="AN9" i="124" s="1"/>
  <c r="AD11" i="126"/>
  <c r="AD10" i="126"/>
  <c r="AL20" i="126"/>
  <c r="M3" i="161"/>
  <c r="CS52" i="161"/>
  <c r="DE52" i="161" s="1"/>
  <c r="CR9" i="161"/>
  <c r="DD9" i="161" s="1"/>
  <c r="W27" i="126"/>
  <c r="P16" i="124" s="1"/>
  <c r="S16" i="124" s="1"/>
  <c r="L16" i="161" s="1"/>
  <c r="AD26" i="126"/>
  <c r="AL26" i="126" s="1"/>
  <c r="AK20" i="126"/>
  <c r="AL12" i="126"/>
  <c r="CX3" i="161"/>
  <c r="DJ3" i="161" s="1"/>
  <c r="AM39" i="124"/>
  <c r="AN39" i="124" s="1"/>
  <c r="AL24" i="126"/>
  <c r="AM9" i="126"/>
  <c r="AN9" i="126" s="1"/>
  <c r="AM38" i="124" s="1"/>
  <c r="AN38" i="124" s="1"/>
  <c r="CP26" i="161"/>
  <c r="DB26" i="161" s="1"/>
  <c r="Q20" i="124"/>
  <c r="CN39" i="161"/>
  <c r="CZ39" i="161" s="1"/>
  <c r="CX41" i="161"/>
  <c r="DJ41" i="161" s="1"/>
  <c r="CN8" i="161"/>
  <c r="CZ8" i="161" s="1"/>
  <c r="CP31" i="161"/>
  <c r="DB31" i="161" s="1"/>
  <c r="CX33" i="161"/>
  <c r="DJ33" i="161" s="1"/>
  <c r="CQ10" i="161"/>
  <c r="DC10" i="161" s="1"/>
  <c r="CV39" i="161"/>
  <c r="DH39" i="161" s="1"/>
  <c r="CS20" i="161"/>
  <c r="DE20" i="161" s="1"/>
  <c r="CS31" i="161"/>
  <c r="DE31" i="161" s="1"/>
  <c r="AK104" i="127"/>
  <c r="AK130" i="127"/>
  <c r="AK174" i="127" s="1"/>
  <c r="AK181" i="127" s="1"/>
  <c r="L14" i="159"/>
  <c r="L14" i="158"/>
  <c r="L14" i="161"/>
  <c r="AH10" i="126"/>
  <c r="AK10" i="126"/>
  <c r="AK8" i="126"/>
  <c r="AH8" i="126"/>
  <c r="AL8" i="126" s="1"/>
  <c r="R45" i="124"/>
  <c r="R46" i="124"/>
  <c r="J13" i="126"/>
  <c r="R41" i="124"/>
  <c r="R42" i="124"/>
  <c r="AH9" i="126"/>
  <c r="AK9" i="126"/>
  <c r="AJ12" i="126"/>
  <c r="AN2" i="124" s="1"/>
  <c r="AM12" i="126"/>
  <c r="AN12" i="126" s="1"/>
  <c r="L45" i="124"/>
  <c r="L46" i="124"/>
  <c r="J10" i="126"/>
  <c r="K217" i="107"/>
  <c r="P45" i="124"/>
  <c r="S45" i="124" s="1"/>
  <c r="P46" i="124"/>
  <c r="S46" i="124" s="1"/>
  <c r="AD9" i="126"/>
  <c r="J11" i="126"/>
  <c r="K7" i="124" s="1"/>
  <c r="N7" i="124" s="1"/>
  <c r="K7" i="161" s="1"/>
  <c r="M41" i="124"/>
  <c r="M42" i="124"/>
  <c r="L30" i="124"/>
  <c r="L32" i="124"/>
  <c r="L29" i="124"/>
  <c r="L31" i="124"/>
  <c r="AM11" i="126"/>
  <c r="AN11" i="126" s="1"/>
  <c r="AJ11" i="126"/>
  <c r="AN7" i="124" s="1"/>
  <c r="J12" i="126"/>
  <c r="K2" i="124" s="1"/>
  <c r="N2" i="124" s="1"/>
  <c r="K2" i="161" s="1"/>
  <c r="AK11" i="126"/>
  <c r="AH11" i="126"/>
  <c r="AM10" i="126"/>
  <c r="AN10" i="126" s="1"/>
  <c r="AJ10" i="126"/>
  <c r="AD13" i="126"/>
  <c r="AJ8" i="126"/>
  <c r="AN14" i="124" s="1"/>
  <c r="AM8" i="126"/>
  <c r="AN8" i="126" s="1"/>
  <c r="T21" i="124"/>
  <c r="W21" i="124" s="1"/>
  <c r="T22" i="124"/>
  <c r="W22" i="124" s="1"/>
  <c r="M22" i="159" s="1"/>
  <c r="AH14" i="126"/>
  <c r="AK14" i="126"/>
  <c r="R37" i="124"/>
  <c r="R38" i="124"/>
  <c r="AF13" i="126"/>
  <c r="AM13" i="126"/>
  <c r="AN13" i="126" s="1"/>
  <c r="K37" i="124"/>
  <c r="N37" i="124" s="1"/>
  <c r="AB37" i="124" s="1"/>
  <c r="K38" i="124"/>
  <c r="N38" i="124" s="1"/>
  <c r="K38" i="158" s="1"/>
  <c r="BQ38" i="158" s="1"/>
  <c r="CC38" i="158" s="1"/>
  <c r="Q41" i="124"/>
  <c r="Q42" i="124"/>
  <c r="Q29" i="124"/>
  <c r="Q31" i="124"/>
  <c r="Q30" i="124"/>
  <c r="Q32" i="124"/>
  <c r="L17" i="124"/>
  <c r="L18" i="124"/>
  <c r="T38" i="124"/>
  <c r="W38" i="124" s="1"/>
  <c r="T37" i="124"/>
  <c r="W37" i="124" s="1"/>
  <c r="M37" i="161" s="1"/>
  <c r="AM14" i="126"/>
  <c r="AN14" i="126" s="1"/>
  <c r="AJ14" i="126"/>
  <c r="W9" i="126"/>
  <c r="AK12" i="126"/>
  <c r="AM37" i="124"/>
  <c r="AN37" i="124" s="1"/>
  <c r="M38" i="124"/>
  <c r="M37" i="124"/>
  <c r="AH13" i="126"/>
  <c r="AK13" i="126"/>
  <c r="T45" i="124"/>
  <c r="W45" i="124" s="1"/>
  <c r="M45" i="161" s="1"/>
  <c r="T46" i="124"/>
  <c r="W46" i="124" s="1"/>
  <c r="M46" i="161" s="1"/>
  <c r="M45" i="124"/>
  <c r="M46" i="124"/>
  <c r="W10" i="126"/>
  <c r="T42" i="124"/>
  <c r="W42" i="124" s="1"/>
  <c r="M42" i="161" s="1"/>
  <c r="T41" i="124"/>
  <c r="W41" i="124" s="1"/>
  <c r="M41" i="161" s="1"/>
  <c r="K50" i="124"/>
  <c r="N50" i="124" s="1"/>
  <c r="K50" i="161" s="1"/>
  <c r="K51" i="124"/>
  <c r="N51" i="124" s="1"/>
  <c r="AB51" i="124" s="1"/>
  <c r="K49" i="124"/>
  <c r="N49" i="124" s="1"/>
  <c r="K52" i="124"/>
  <c r="N52" i="124" s="1"/>
  <c r="AB52" i="124" s="1"/>
  <c r="K8" i="124"/>
  <c r="N8" i="124" s="1"/>
  <c r="K9" i="124"/>
  <c r="N9" i="124" s="1"/>
  <c r="K9" i="159" s="1"/>
  <c r="BA8" i="161"/>
  <c r="CP8" i="161" s="1"/>
  <c r="DB8" i="161" s="1"/>
  <c r="W26" i="126"/>
  <c r="P55" i="124" s="1"/>
  <c r="S55" i="124" s="1"/>
  <c r="AH55" i="124" s="1"/>
  <c r="T55" i="124"/>
  <c r="W55" i="124" s="1"/>
  <c r="R128" i="81"/>
  <c r="BE59" i="161"/>
  <c r="CT59" i="161" s="1"/>
  <c r="DF59" i="161" s="1"/>
  <c r="W23" i="126"/>
  <c r="T47" i="124"/>
  <c r="W47" i="124" s="1"/>
  <c r="T48" i="124"/>
  <c r="W48" i="124" s="1"/>
  <c r="M48" i="161" s="1"/>
  <c r="W20" i="126"/>
  <c r="T9" i="124"/>
  <c r="W9" i="124" s="1"/>
  <c r="M9" i="161" s="1"/>
  <c r="T8" i="124"/>
  <c r="W8" i="124" s="1"/>
  <c r="M8" i="158" s="1"/>
  <c r="AX29" i="161"/>
  <c r="CM29" i="161" s="1"/>
  <c r="CY29" i="161" s="1"/>
  <c r="L34" i="124"/>
  <c r="L36" i="124"/>
  <c r="L33" i="124"/>
  <c r="L35" i="124"/>
  <c r="AM18" i="124"/>
  <c r="AN18" i="124" s="1"/>
  <c r="BH6" i="161"/>
  <c r="CW6" i="161" s="1"/>
  <c r="DI6" i="161" s="1"/>
  <c r="AY61" i="161"/>
  <c r="CN61" i="161" s="1"/>
  <c r="CZ61" i="161" s="1"/>
  <c r="BA29" i="161"/>
  <c r="CP29" i="161" s="1"/>
  <c r="DB29" i="161" s="1"/>
  <c r="CX26" i="161"/>
  <c r="DJ26" i="161" s="1"/>
  <c r="C222" i="107"/>
  <c r="C114" i="107"/>
  <c r="W21" i="126"/>
  <c r="T39" i="124"/>
  <c r="W39" i="124" s="1"/>
  <c r="M39" i="158" s="1"/>
  <c r="T40" i="124"/>
  <c r="W40" i="124" s="1"/>
  <c r="M40" i="158" s="1"/>
  <c r="AM30" i="124"/>
  <c r="AN30" i="124" s="1"/>
  <c r="R22" i="124"/>
  <c r="R21" i="124"/>
  <c r="R40" i="124"/>
  <c r="R39" i="124"/>
  <c r="X20" i="126"/>
  <c r="R8" i="124"/>
  <c r="R9" i="124"/>
  <c r="O226" i="81"/>
  <c r="O239" i="81" s="1"/>
  <c r="BG35" i="161"/>
  <c r="CV35" i="161" s="1"/>
  <c r="DH35" i="161" s="1"/>
  <c r="AM32" i="124"/>
  <c r="AN32" i="124" s="1"/>
  <c r="M47" i="124"/>
  <c r="M48" i="124"/>
  <c r="AM29" i="124"/>
  <c r="AN29" i="124" s="1"/>
  <c r="AY29" i="161"/>
  <c r="CN29" i="161" s="1"/>
  <c r="CZ29" i="161" s="1"/>
  <c r="M51" i="124"/>
  <c r="M52" i="124"/>
  <c r="M49" i="124"/>
  <c r="M50" i="124"/>
  <c r="O114" i="80"/>
  <c r="O230" i="80" s="1"/>
  <c r="O101" i="80"/>
  <c r="BD59" i="161"/>
  <c r="CS59" i="161" s="1"/>
  <c r="DE59" i="161" s="1"/>
  <c r="K39" i="124"/>
  <c r="N39" i="124" s="1"/>
  <c r="K39" i="158" s="1"/>
  <c r="K40" i="124"/>
  <c r="N40" i="124" s="1"/>
  <c r="K40" i="161" s="1"/>
  <c r="R47" i="124"/>
  <c r="R48" i="124"/>
  <c r="Q39" i="124"/>
  <c r="Q40" i="124"/>
  <c r="R20" i="124"/>
  <c r="R19" i="124"/>
  <c r="AY50" i="161"/>
  <c r="CN50" i="161" s="1"/>
  <c r="CZ50" i="161" s="1"/>
  <c r="C229" i="149"/>
  <c r="O217" i="149"/>
  <c r="O229" i="149" s="1"/>
  <c r="W19" i="126"/>
  <c r="T17" i="124"/>
  <c r="W17" i="124" s="1"/>
  <c r="M17" i="158" s="1"/>
  <c r="T18" i="124"/>
  <c r="W18" i="124" s="1"/>
  <c r="M18" i="161" s="1"/>
  <c r="AL22" i="126"/>
  <c r="K47" i="124"/>
  <c r="N47" i="124" s="1"/>
  <c r="K48" i="124"/>
  <c r="N48" i="124" s="1"/>
  <c r="AB48" i="124" s="1"/>
  <c r="CP48" i="158" s="1"/>
  <c r="O227" i="108"/>
  <c r="BG61" i="161"/>
  <c r="CV61" i="161" s="1"/>
  <c r="DH61" i="161" s="1"/>
  <c r="BF31" i="161"/>
  <c r="CU31" i="161" s="1"/>
  <c r="DG31" i="161" s="1"/>
  <c r="K36" i="124"/>
  <c r="N36" i="124" s="1"/>
  <c r="K36" i="158" s="1"/>
  <c r="BS36" i="158" s="1"/>
  <c r="K33" i="124"/>
  <c r="N33" i="124" s="1"/>
  <c r="K34" i="124"/>
  <c r="N34" i="124" s="1"/>
  <c r="AB34" i="124" s="1"/>
  <c r="CP34" i="158" s="1"/>
  <c r="K35" i="124"/>
  <c r="N35" i="124" s="1"/>
  <c r="AB35" i="124" s="1"/>
  <c r="BA32" i="161"/>
  <c r="CP32" i="161" s="1"/>
  <c r="DB32" i="161" s="1"/>
  <c r="M40" i="124"/>
  <c r="M39" i="124"/>
  <c r="BA45" i="161"/>
  <c r="CP45" i="161" s="1"/>
  <c r="DB45" i="161" s="1"/>
  <c r="R29" i="124"/>
  <c r="R30" i="124"/>
  <c r="R32" i="124"/>
  <c r="R31" i="124"/>
  <c r="W17" i="126"/>
  <c r="T20" i="124"/>
  <c r="W20" i="124" s="1"/>
  <c r="M20" i="161" s="1"/>
  <c r="T19" i="124"/>
  <c r="W19" i="124" s="1"/>
  <c r="M19" i="158" s="1"/>
  <c r="BC29" i="161"/>
  <c r="CR29" i="161" s="1"/>
  <c r="DD29" i="161" s="1"/>
  <c r="BD29" i="161"/>
  <c r="CS29" i="161" s="1"/>
  <c r="DE29" i="161" s="1"/>
  <c r="L50" i="124"/>
  <c r="L51" i="124"/>
  <c r="L49" i="124"/>
  <c r="L52" i="124"/>
  <c r="Q17" i="124"/>
  <c r="Q18" i="124"/>
  <c r="O205" i="148"/>
  <c r="O217" i="148" s="1"/>
  <c r="K29" i="124"/>
  <c r="N29" i="124" s="1"/>
  <c r="AB29" i="124" s="1"/>
  <c r="K30" i="124"/>
  <c r="N30" i="124" s="1"/>
  <c r="AB30" i="124" s="1"/>
  <c r="K32" i="124"/>
  <c r="N32" i="124" s="1"/>
  <c r="K31" i="124"/>
  <c r="N31" i="124" s="1"/>
  <c r="Q47" i="124"/>
  <c r="Q48" i="124"/>
  <c r="BI25" i="161"/>
  <c r="CX25" i="161" s="1"/>
  <c r="DJ25" i="161" s="1"/>
  <c r="AM33" i="124"/>
  <c r="AN33" i="124" s="1"/>
  <c r="BF24" i="161"/>
  <c r="CU24" i="161" s="1"/>
  <c r="DG24" i="161" s="1"/>
  <c r="AZ26" i="161"/>
  <c r="CO26" i="161" s="1"/>
  <c r="DA26" i="161" s="1"/>
  <c r="W25" i="126"/>
  <c r="T54" i="124"/>
  <c r="W54" i="124" s="1"/>
  <c r="M54" i="161" s="1"/>
  <c r="T53" i="124"/>
  <c r="W53" i="124" s="1"/>
  <c r="AZ25" i="161"/>
  <c r="CO25" i="161" s="1"/>
  <c r="DA25" i="161" s="1"/>
  <c r="L8" i="124"/>
  <c r="L9" i="124"/>
  <c r="K54" i="124"/>
  <c r="N54" i="124" s="1"/>
  <c r="K54" i="158" s="1"/>
  <c r="BQ54" i="158" s="1"/>
  <c r="K53" i="124"/>
  <c r="N53" i="124" s="1"/>
  <c r="K53" i="159" s="1"/>
  <c r="AL28" i="126"/>
  <c r="M18" i="124"/>
  <c r="M17" i="124"/>
  <c r="BG28" i="161"/>
  <c r="CV28" i="161" s="1"/>
  <c r="DH28" i="161" s="1"/>
  <c r="AY24" i="161"/>
  <c r="CN24" i="161" s="1"/>
  <c r="CZ24" i="161" s="1"/>
  <c r="AL15" i="126"/>
  <c r="O212" i="80"/>
  <c r="O225" i="80" s="1"/>
  <c r="BI29" i="161"/>
  <c r="CX29" i="161" s="1"/>
  <c r="DJ29" i="161" s="1"/>
  <c r="BE12" i="161"/>
  <c r="CT12" i="161" s="1"/>
  <c r="DF12" i="161" s="1"/>
  <c r="K21" i="124"/>
  <c r="N21" i="124" s="1"/>
  <c r="K22" i="124"/>
  <c r="N22" i="124" s="1"/>
  <c r="K20" i="124"/>
  <c r="N20" i="124" s="1"/>
  <c r="K19" i="124"/>
  <c r="N19" i="124" s="1"/>
  <c r="K19" i="158" s="1"/>
  <c r="M53" i="124"/>
  <c r="M54" i="124"/>
  <c r="AM55" i="124"/>
  <c r="AN55" i="124" s="1"/>
  <c r="BC55" i="161"/>
  <c r="CR55" i="161" s="1"/>
  <c r="DD55" i="161" s="1"/>
  <c r="K18" i="124"/>
  <c r="N18" i="124" s="1"/>
  <c r="K17" i="124"/>
  <c r="N17" i="124" s="1"/>
  <c r="K17" i="161" s="1"/>
  <c r="W24" i="126"/>
  <c r="T49" i="124"/>
  <c r="W49" i="124" s="1"/>
  <c r="T50" i="124"/>
  <c r="W50" i="124" s="1"/>
  <c r="M50" i="161" s="1"/>
  <c r="T51" i="124"/>
  <c r="W51" i="124" s="1"/>
  <c r="M51" i="158" s="1"/>
  <c r="T52" i="124"/>
  <c r="W52" i="124" s="1"/>
  <c r="M52" i="161" s="1"/>
  <c r="O217" i="108"/>
  <c r="O229" i="108" s="1"/>
  <c r="CL46" i="158"/>
  <c r="M9" i="124"/>
  <c r="M8" i="124"/>
  <c r="BD55" i="161"/>
  <c r="CS55" i="161" s="1"/>
  <c r="DE55" i="161" s="1"/>
  <c r="T240" i="127"/>
  <c r="AC12" i="124"/>
  <c r="BH25" i="161"/>
  <c r="CW25" i="161" s="1"/>
  <c r="DI25" i="161" s="1"/>
  <c r="M44" i="124"/>
  <c r="M43" i="124"/>
  <c r="R36" i="124"/>
  <c r="R33" i="124"/>
  <c r="R34" i="124"/>
  <c r="R35" i="124"/>
  <c r="K44" i="124"/>
  <c r="N44" i="124" s="1"/>
  <c r="AB44" i="124" s="1"/>
  <c r="K43" i="124"/>
  <c r="N43" i="124" s="1"/>
  <c r="W22" i="126"/>
  <c r="T43" i="124"/>
  <c r="W43" i="124" s="1"/>
  <c r="M43" i="161" s="1"/>
  <c r="T44" i="124"/>
  <c r="W44" i="124" s="1"/>
  <c r="O205" i="107"/>
  <c r="O217" i="107" s="1"/>
  <c r="L22" i="124"/>
  <c r="L21" i="124"/>
  <c r="R51" i="124"/>
  <c r="R49" i="124"/>
  <c r="R50" i="124"/>
  <c r="R52" i="124"/>
  <c r="BG9" i="161"/>
  <c r="CV9" i="161" s="1"/>
  <c r="DH9" i="161" s="1"/>
  <c r="U230" i="127"/>
  <c r="CV24" i="161"/>
  <c r="DH24" i="161" s="1"/>
  <c r="BC33" i="161"/>
  <c r="CR33" i="161" s="1"/>
  <c r="DD33" i="161" s="1"/>
  <c r="BD61" i="161"/>
  <c r="CS61" i="161" s="1"/>
  <c r="DE61" i="161" s="1"/>
  <c r="W28" i="126"/>
  <c r="T35" i="124"/>
  <c r="W35" i="124" s="1"/>
  <c r="M35" i="159" s="1"/>
  <c r="T36" i="124"/>
  <c r="W36" i="124" s="1"/>
  <c r="M36" i="161" s="1"/>
  <c r="T34" i="124"/>
  <c r="W34" i="124" s="1"/>
  <c r="M34" i="161" s="1"/>
  <c r="T33" i="124"/>
  <c r="W33" i="124" s="1"/>
  <c r="R44" i="124"/>
  <c r="R43" i="124"/>
  <c r="AN64" i="124"/>
  <c r="AM64" i="124"/>
  <c r="L48" i="124"/>
  <c r="L47" i="124"/>
  <c r="AS5" i="124"/>
  <c r="AX5" i="124" s="1"/>
  <c r="Q53" i="124"/>
  <c r="Q54" i="124"/>
  <c r="C217" i="107"/>
  <c r="BE13" i="161"/>
  <c r="CT13" i="161" s="1"/>
  <c r="DF13" i="161" s="1"/>
  <c r="AS50" i="124"/>
  <c r="AX50" i="124" s="1"/>
  <c r="P22" i="124"/>
  <c r="S22" i="124" s="1"/>
  <c r="P21" i="124"/>
  <c r="S21" i="124" s="1"/>
  <c r="L21" i="159" s="1"/>
  <c r="AY41" i="161"/>
  <c r="CN41" i="161" s="1"/>
  <c r="CZ41" i="161" s="1"/>
  <c r="M19" i="124"/>
  <c r="M20" i="124"/>
  <c r="L44" i="124"/>
  <c r="L43" i="124"/>
  <c r="BC24" i="161"/>
  <c r="CR24" i="161" s="1"/>
  <c r="DD24" i="161" s="1"/>
  <c r="AC59" i="124"/>
  <c r="CP59" i="159"/>
  <c r="CP60" i="159"/>
  <c r="AH26" i="124"/>
  <c r="BT61" i="158"/>
  <c r="CF61" i="158" s="1"/>
  <c r="CV37" i="161"/>
  <c r="DH37" i="161" s="1"/>
  <c r="CO13" i="161"/>
  <c r="DA13" i="161" s="1"/>
  <c r="CO30" i="161"/>
  <c r="DA30" i="161" s="1"/>
  <c r="AH230" i="127"/>
  <c r="CO15" i="161"/>
  <c r="DA15" i="161" s="1"/>
  <c r="CM6" i="161"/>
  <c r="CY6" i="161" s="1"/>
  <c r="CW47" i="161"/>
  <c r="DI47" i="161" s="1"/>
  <c r="CP55" i="161"/>
  <c r="DB55" i="161" s="1"/>
  <c r="CX63" i="161"/>
  <c r="DJ63" i="161" s="1"/>
  <c r="CX39" i="161"/>
  <c r="DJ39" i="161" s="1"/>
  <c r="CP61" i="161"/>
  <c r="DB61" i="161" s="1"/>
  <c r="CQ61" i="161"/>
  <c r="DC61" i="161" s="1"/>
  <c r="CO36" i="161"/>
  <c r="DA36" i="161" s="1"/>
  <c r="CR17" i="161"/>
  <c r="DD17" i="161" s="1"/>
  <c r="CS36" i="161"/>
  <c r="DE36" i="161" s="1"/>
  <c r="CO19" i="161"/>
  <c r="DA19" i="161" s="1"/>
  <c r="CM41" i="161"/>
  <c r="CY41" i="161" s="1"/>
  <c r="CV41" i="161"/>
  <c r="DH41" i="161" s="1"/>
  <c r="CX60" i="161"/>
  <c r="DJ60" i="161" s="1"/>
  <c r="CP21" i="161"/>
  <c r="DB21" i="161" s="1"/>
  <c r="CU25" i="161"/>
  <c r="DG25" i="161" s="1"/>
  <c r="CS7" i="161"/>
  <c r="DE7" i="161" s="1"/>
  <c r="CP28" i="161"/>
  <c r="DB28" i="161" s="1"/>
  <c r="CQ28" i="159"/>
  <c r="CM5" i="161"/>
  <c r="CY5" i="161" s="1"/>
  <c r="CW7" i="161"/>
  <c r="DI7" i="161" s="1"/>
  <c r="CQ21" i="161"/>
  <c r="DC21" i="161" s="1"/>
  <c r="CM18" i="161"/>
  <c r="CY18" i="161" s="1"/>
  <c r="CO20" i="161"/>
  <c r="DA20" i="161" s="1"/>
  <c r="CP28" i="159"/>
  <c r="AC27" i="124"/>
  <c r="M16" i="161"/>
  <c r="CQ59" i="159"/>
  <c r="CP27" i="158"/>
  <c r="BL28" i="124"/>
  <c r="CP22" i="161"/>
  <c r="DB22" i="161" s="1"/>
  <c r="CU56" i="161"/>
  <c r="DG56" i="161" s="1"/>
  <c r="BR65" i="158"/>
  <c r="CD65" i="158" s="1"/>
  <c r="CD65" i="161" s="1"/>
  <c r="CP61" i="159"/>
  <c r="CW35" i="161"/>
  <c r="DI35" i="161" s="1"/>
  <c r="CP3" i="161"/>
  <c r="DB3" i="161" s="1"/>
  <c r="BO65" i="158"/>
  <c r="BK65" i="158"/>
  <c r="BM65" i="158"/>
  <c r="BY65" i="158" s="1"/>
  <c r="BY65" i="161" s="1"/>
  <c r="BS65" i="158"/>
  <c r="CE65" i="158" s="1"/>
  <c r="CE65" i="161" s="1"/>
  <c r="CS14" i="161"/>
  <c r="DE14" i="161" s="1"/>
  <c r="CO38" i="161"/>
  <c r="DA38" i="161" s="1"/>
  <c r="BL65" i="158"/>
  <c r="M16" i="158"/>
  <c r="CS3" i="161"/>
  <c r="DE3" i="161" s="1"/>
  <c r="CM58" i="161"/>
  <c r="CY58" i="161" s="1"/>
  <c r="BU65" i="158"/>
  <c r="CG65" i="158" s="1"/>
  <c r="CG65" i="161" s="1"/>
  <c r="BN65" i="158"/>
  <c r="BN65" i="161" s="1"/>
  <c r="BT65" i="158"/>
  <c r="CF65" i="158" s="1"/>
  <c r="AC61" i="124"/>
  <c r="CU27" i="161"/>
  <c r="DG27" i="161" s="1"/>
  <c r="BQ65" i="158"/>
  <c r="BQ65" i="161" s="1"/>
  <c r="CP10" i="161"/>
  <c r="DB10" i="161" s="1"/>
  <c r="CP15" i="161"/>
  <c r="DB15" i="161" s="1"/>
  <c r="CM15" i="161"/>
  <c r="CY15" i="161" s="1"/>
  <c r="M3" i="159"/>
  <c r="CQ15" i="161"/>
  <c r="DC15" i="161" s="1"/>
  <c r="CV25" i="161"/>
  <c r="DH25" i="161" s="1"/>
  <c r="CU62" i="161"/>
  <c r="DG62" i="161" s="1"/>
  <c r="CQ3" i="161"/>
  <c r="DC3" i="161" s="1"/>
  <c r="CX59" i="161"/>
  <c r="DJ59" i="161" s="1"/>
  <c r="AV75" i="124"/>
  <c r="AC58" i="124"/>
  <c r="CP59" i="158"/>
  <c r="CO34" i="161"/>
  <c r="DA34" i="161" s="1"/>
  <c r="CV16" i="161"/>
  <c r="DH16" i="161" s="1"/>
  <c r="CQ52" i="161"/>
  <c r="DC52" i="161" s="1"/>
  <c r="CP58" i="158"/>
  <c r="CM21" i="161"/>
  <c r="CY21" i="161" s="1"/>
  <c r="CT24" i="161"/>
  <c r="DF24" i="161" s="1"/>
  <c r="CU39" i="161"/>
  <c r="DG39" i="161" s="1"/>
  <c r="BQ25" i="158"/>
  <c r="CC25" i="158" s="1"/>
  <c r="BU25" i="158"/>
  <c r="CG25" i="158" s="1"/>
  <c r="CW11" i="161"/>
  <c r="DI11" i="161" s="1"/>
  <c r="CM40" i="161"/>
  <c r="CY40" i="161" s="1"/>
  <c r="CP41" i="161"/>
  <c r="DB41" i="161" s="1"/>
  <c r="CX38" i="161"/>
  <c r="DJ38" i="161" s="1"/>
  <c r="BJ25" i="158"/>
  <c r="BJ25" i="161" s="1"/>
  <c r="BN25" i="158"/>
  <c r="BN25" i="161" s="1"/>
  <c r="CN53" i="161"/>
  <c r="CZ53" i="161" s="1"/>
  <c r="BR25" i="158"/>
  <c r="CD25" i="158" s="1"/>
  <c r="CX44" i="161"/>
  <c r="DJ44" i="161" s="1"/>
  <c r="CU11" i="161"/>
  <c r="DG11" i="161" s="1"/>
  <c r="M7" i="161"/>
  <c r="BJ3" i="158"/>
  <c r="BK25" i="158"/>
  <c r="BW25" i="158" s="1"/>
  <c r="CP13" i="161"/>
  <c r="DB13" i="161" s="1"/>
  <c r="BT3" i="158"/>
  <c r="CF3" i="158" s="1"/>
  <c r="BS25" i="158"/>
  <c r="CE25" i="158" s="1"/>
  <c r="CO11" i="161"/>
  <c r="DA11" i="161" s="1"/>
  <c r="CT20" i="161"/>
  <c r="DF20" i="161" s="1"/>
  <c r="CS60" i="161"/>
  <c r="DE60" i="161" s="1"/>
  <c r="BO3" i="158"/>
  <c r="BL25" i="158"/>
  <c r="CS26" i="161"/>
  <c r="DE26" i="161" s="1"/>
  <c r="CO55" i="161"/>
  <c r="DA55" i="161" s="1"/>
  <c r="BO25" i="158"/>
  <c r="CA25" i="158" s="1"/>
  <c r="CQ57" i="161"/>
  <c r="DC57" i="161" s="1"/>
  <c r="CW50" i="161"/>
  <c r="DI50" i="161" s="1"/>
  <c r="CU44" i="161"/>
  <c r="DG44" i="161" s="1"/>
  <c r="M30" i="158"/>
  <c r="CW10" i="161"/>
  <c r="DI10" i="161" s="1"/>
  <c r="CU33" i="161"/>
  <c r="DG33" i="161" s="1"/>
  <c r="CS18" i="161"/>
  <c r="DE18" i="161" s="1"/>
  <c r="M30" i="159"/>
  <c r="CU21" i="161"/>
  <c r="DG21" i="161" s="1"/>
  <c r="CU30" i="161"/>
  <c r="DG30" i="161" s="1"/>
  <c r="CO52" i="161"/>
  <c r="DA52" i="161" s="1"/>
  <c r="CR15" i="161"/>
  <c r="DD15" i="161" s="1"/>
  <c r="CR56" i="161"/>
  <c r="DD56" i="161" s="1"/>
  <c r="CM56" i="161"/>
  <c r="CY56" i="161" s="1"/>
  <c r="CV2" i="161"/>
  <c r="DH2" i="161" s="1"/>
  <c r="CU20" i="161"/>
  <c r="DG20" i="161" s="1"/>
  <c r="CV42" i="161"/>
  <c r="DH42" i="161" s="1"/>
  <c r="CP39" i="161"/>
  <c r="DB39" i="161" s="1"/>
  <c r="AB14" i="124"/>
  <c r="AC14" i="124" s="1"/>
  <c r="BM3" i="158"/>
  <c r="CV43" i="161"/>
  <c r="DH43" i="161" s="1"/>
  <c r="CT43" i="161"/>
  <c r="DF43" i="161" s="1"/>
  <c r="CU50" i="161"/>
  <c r="DG50" i="161" s="1"/>
  <c r="M14" i="158"/>
  <c r="M14" i="159"/>
  <c r="K14" i="159"/>
  <c r="BU3" i="158"/>
  <c r="CQ56" i="159"/>
  <c r="CP56" i="159"/>
  <c r="CW58" i="161"/>
  <c r="DI58" i="161" s="1"/>
  <c r="CP51" i="161"/>
  <c r="DB51" i="161" s="1"/>
  <c r="CS49" i="161"/>
  <c r="DE49" i="161" s="1"/>
  <c r="CT52" i="161"/>
  <c r="DF52" i="161" s="1"/>
  <c r="CM63" i="161"/>
  <c r="CY63" i="161" s="1"/>
  <c r="BN26" i="159"/>
  <c r="BN26" i="161" s="1"/>
  <c r="K14" i="161"/>
  <c r="BQ3" i="158"/>
  <c r="CC3" i="158" s="1"/>
  <c r="BN3" i="158"/>
  <c r="BZ3" i="158" s="1"/>
  <c r="CN30" i="161"/>
  <c r="CZ30" i="161" s="1"/>
  <c r="CS34" i="161"/>
  <c r="DE34" i="161" s="1"/>
  <c r="CO46" i="161"/>
  <c r="DA46" i="161" s="1"/>
  <c r="CT64" i="161"/>
  <c r="DF64" i="161" s="1"/>
  <c r="BR3" i="158"/>
  <c r="BP3" i="158"/>
  <c r="BP3" i="161" s="1"/>
  <c r="CN20" i="161"/>
  <c r="CZ20" i="161" s="1"/>
  <c r="CS11" i="161"/>
  <c r="DE11" i="161" s="1"/>
  <c r="CR44" i="161"/>
  <c r="DD44" i="161" s="1"/>
  <c r="CX55" i="161"/>
  <c r="DJ55" i="161" s="1"/>
  <c r="M7" i="158"/>
  <c r="BK3" i="158"/>
  <c r="BK3" i="161" s="1"/>
  <c r="CT7" i="161"/>
  <c r="DF7" i="161" s="1"/>
  <c r="CW65" i="161"/>
  <c r="DI65" i="161" s="1"/>
  <c r="CW17" i="161"/>
  <c r="DI17" i="161" s="1"/>
  <c r="AC26" i="124"/>
  <c r="BL3" i="158"/>
  <c r="CN34" i="161"/>
  <c r="CZ34" i="161" s="1"/>
  <c r="CR49" i="161"/>
  <c r="DD49" i="161" s="1"/>
  <c r="CT49" i="161"/>
  <c r="DF49" i="161" s="1"/>
  <c r="CP30" i="161"/>
  <c r="DB30" i="161" s="1"/>
  <c r="BJ61" i="158"/>
  <c r="BV61" i="158" s="1"/>
  <c r="BV61" i="161" s="1"/>
  <c r="CN11" i="161"/>
  <c r="CZ11" i="161" s="1"/>
  <c r="CQ36" i="161"/>
  <c r="DC36" i="161" s="1"/>
  <c r="CM2" i="161"/>
  <c r="CY2" i="161" s="1"/>
  <c r="CX2" i="161"/>
  <c r="DJ2" i="161" s="1"/>
  <c r="CP14" i="161"/>
  <c r="DB14" i="161" s="1"/>
  <c r="CQ49" i="161"/>
  <c r="DC49" i="161" s="1"/>
  <c r="CP60" i="161"/>
  <c r="DB60" i="161" s="1"/>
  <c r="BQ61" i="158"/>
  <c r="CX16" i="161"/>
  <c r="DJ16" i="161" s="1"/>
  <c r="CO47" i="161"/>
  <c r="DA47" i="161" s="1"/>
  <c r="CS62" i="161"/>
  <c r="DE62" i="161" s="1"/>
  <c r="CU60" i="161"/>
  <c r="DG60" i="161" s="1"/>
  <c r="BM61" i="158"/>
  <c r="CU43" i="161"/>
  <c r="DG43" i="161" s="1"/>
  <c r="CT9" i="161"/>
  <c r="DF9" i="161" s="1"/>
  <c r="CX64" i="161"/>
  <c r="DJ64" i="161" s="1"/>
  <c r="CN51" i="161"/>
  <c r="CZ51" i="161" s="1"/>
  <c r="BK61" i="158"/>
  <c r="BW61" i="158" s="1"/>
  <c r="BU61" i="158"/>
  <c r="CQ9" i="161"/>
  <c r="DC9" i="161" s="1"/>
  <c r="CS58" i="161"/>
  <c r="DE58" i="161" s="1"/>
  <c r="CS48" i="161"/>
  <c r="DE48" i="161" s="1"/>
  <c r="BL61" i="158"/>
  <c r="BL61" i="161" s="1"/>
  <c r="BN61" i="158"/>
  <c r="BN61" i="161" s="1"/>
  <c r="CQ25" i="161"/>
  <c r="DC25" i="161" s="1"/>
  <c r="CQ18" i="161"/>
  <c r="DC18" i="161" s="1"/>
  <c r="CS28" i="161"/>
  <c r="DE28" i="161" s="1"/>
  <c r="CO7" i="161"/>
  <c r="DA7" i="161" s="1"/>
  <c r="CS21" i="161"/>
  <c r="DE21" i="161" s="1"/>
  <c r="CN45" i="161"/>
  <c r="CZ45" i="161" s="1"/>
  <c r="CU64" i="161"/>
  <c r="DG64" i="161" s="1"/>
  <c r="BR61" i="158"/>
  <c r="CD61" i="158" s="1"/>
  <c r="CD61" i="161" s="1"/>
  <c r="BO61" i="158"/>
  <c r="CQ60" i="159"/>
  <c r="CU15" i="161"/>
  <c r="DG15" i="161" s="1"/>
  <c r="CR63" i="161"/>
  <c r="DD63" i="161" s="1"/>
  <c r="CM61" i="161"/>
  <c r="CY61" i="161" s="1"/>
  <c r="CN25" i="161"/>
  <c r="CZ25" i="161" s="1"/>
  <c r="BS61" i="158"/>
  <c r="BS61" i="161" s="1"/>
  <c r="CX61" i="161"/>
  <c r="DJ61" i="161" s="1"/>
  <c r="CR53" i="161"/>
  <c r="DD53" i="161" s="1"/>
  <c r="CW53" i="161"/>
  <c r="DI53" i="161" s="1"/>
  <c r="CO65" i="161"/>
  <c r="DA65" i="161" s="1"/>
  <c r="CR65" i="161"/>
  <c r="DD65" i="161" s="1"/>
  <c r="CQ63" i="161"/>
  <c r="DC63" i="161" s="1"/>
  <c r="CT36" i="161"/>
  <c r="DF36" i="161" s="1"/>
  <c r="CT10" i="161"/>
  <c r="DF10" i="161" s="1"/>
  <c r="CM23" i="161"/>
  <c r="CY23" i="161" s="1"/>
  <c r="CM14" i="161"/>
  <c r="CY14" i="161" s="1"/>
  <c r="CP24" i="161"/>
  <c r="DB24" i="161" s="1"/>
  <c r="CX10" i="161"/>
  <c r="DJ10" i="161" s="1"/>
  <c r="CX53" i="161"/>
  <c r="DJ53" i="161" s="1"/>
  <c r="AC60" i="124"/>
  <c r="CP60" i="158"/>
  <c r="CM34" i="161"/>
  <c r="CY34" i="161" s="1"/>
  <c r="CO60" i="161"/>
  <c r="DA60" i="161" s="1"/>
  <c r="CU63" i="161"/>
  <c r="DG63" i="161" s="1"/>
  <c r="CV11" i="161"/>
  <c r="DH11" i="161" s="1"/>
  <c r="CW2" i="161"/>
  <c r="DI2" i="161" s="1"/>
  <c r="CQ20" i="161"/>
  <c r="DC20" i="161" s="1"/>
  <c r="CU9" i="161"/>
  <c r="DG9" i="161" s="1"/>
  <c r="CW37" i="161"/>
  <c r="DI37" i="161" s="1"/>
  <c r="CX52" i="161"/>
  <c r="DJ52" i="161" s="1"/>
  <c r="CM65" i="161"/>
  <c r="CY65" i="161" s="1"/>
  <c r="CM48" i="161"/>
  <c r="CY48" i="161" s="1"/>
  <c r="CS51" i="161"/>
  <c r="DE51" i="161" s="1"/>
  <c r="CQ5" i="159"/>
  <c r="CQ56" i="161"/>
  <c r="DC56" i="161" s="1"/>
  <c r="CW40" i="161"/>
  <c r="DI40" i="161" s="1"/>
  <c r="CO14" i="161"/>
  <c r="DA14" i="161" s="1"/>
  <c r="CO63" i="161"/>
  <c r="DA63" i="161" s="1"/>
  <c r="CX28" i="161"/>
  <c r="DJ28" i="161" s="1"/>
  <c r="CU6" i="161"/>
  <c r="DG6" i="161" s="1"/>
  <c r="CR42" i="161"/>
  <c r="DD42" i="161" s="1"/>
  <c r="CM43" i="161"/>
  <c r="CY43" i="161" s="1"/>
  <c r="CW20" i="161"/>
  <c r="DI20" i="161" s="1"/>
  <c r="CX47" i="161"/>
  <c r="DJ47" i="161" s="1"/>
  <c r="CN56" i="161"/>
  <c r="CZ56" i="161" s="1"/>
  <c r="CV45" i="161"/>
  <c r="DH45" i="161" s="1"/>
  <c r="BK26" i="159"/>
  <c r="BL5" i="124"/>
  <c r="CT2" i="161"/>
  <c r="DF2" i="161" s="1"/>
  <c r="CM11" i="161"/>
  <c r="CY11" i="161" s="1"/>
  <c r="CX20" i="161"/>
  <c r="DJ20" i="161" s="1"/>
  <c r="CR21" i="161"/>
  <c r="DD21" i="161" s="1"/>
  <c r="CU14" i="161"/>
  <c r="DG14" i="161" s="1"/>
  <c r="CO49" i="161"/>
  <c r="DA49" i="161" s="1"/>
  <c r="CU65" i="161"/>
  <c r="DG65" i="161" s="1"/>
  <c r="CS53" i="161"/>
  <c r="DE53" i="161" s="1"/>
  <c r="CS63" i="161"/>
  <c r="DE63" i="161" s="1"/>
  <c r="CX48" i="161"/>
  <c r="DJ48" i="161" s="1"/>
  <c r="CS44" i="161"/>
  <c r="DE44" i="161" s="1"/>
  <c r="CU52" i="161"/>
  <c r="DG52" i="161" s="1"/>
  <c r="CM52" i="161"/>
  <c r="CY52" i="161" s="1"/>
  <c r="CU51" i="161"/>
  <c r="DG51" i="161" s="1"/>
  <c r="CQ7" i="161"/>
  <c r="DC7" i="161" s="1"/>
  <c r="K15" i="159"/>
  <c r="CQ37" i="161"/>
  <c r="DC37" i="161" s="1"/>
  <c r="CR13" i="161"/>
  <c r="DD13" i="161" s="1"/>
  <c r="CS47" i="161"/>
  <c r="DE47" i="161" s="1"/>
  <c r="CO16" i="161"/>
  <c r="DA16" i="161" s="1"/>
  <c r="CO56" i="161"/>
  <c r="DA56" i="161" s="1"/>
  <c r="CX56" i="161"/>
  <c r="DJ56" i="161" s="1"/>
  <c r="CM28" i="161"/>
  <c r="CY28" i="161" s="1"/>
  <c r="CN2" i="161"/>
  <c r="CZ2" i="161" s="1"/>
  <c r="CS42" i="161"/>
  <c r="DE42" i="161" s="1"/>
  <c r="CW56" i="161"/>
  <c r="DI56" i="161" s="1"/>
  <c r="CV47" i="161"/>
  <c r="DH47" i="161" s="1"/>
  <c r="CO10" i="161"/>
  <c r="DA10" i="161" s="1"/>
  <c r="CN10" i="161"/>
  <c r="CZ10" i="161" s="1"/>
  <c r="CO12" i="161"/>
  <c r="DA12" i="161" s="1"/>
  <c r="CT40" i="161"/>
  <c r="DF40" i="161" s="1"/>
  <c r="CS56" i="161"/>
  <c r="DE56" i="161" s="1"/>
  <c r="CR6" i="161"/>
  <c r="DD6" i="161" s="1"/>
  <c r="CV56" i="161"/>
  <c r="DH56" i="161" s="1"/>
  <c r="CR47" i="161"/>
  <c r="DD47" i="161" s="1"/>
  <c r="CR62" i="161"/>
  <c r="DD62" i="161" s="1"/>
  <c r="CV49" i="161"/>
  <c r="DH49" i="161" s="1"/>
  <c r="CV65" i="161"/>
  <c r="DH65" i="161" s="1"/>
  <c r="CX51" i="161"/>
  <c r="DJ51" i="161" s="1"/>
  <c r="CR52" i="161"/>
  <c r="DD52" i="161" s="1"/>
  <c r="CX65" i="161"/>
  <c r="DJ65" i="161" s="1"/>
  <c r="CQ64" i="161"/>
  <c r="DC64" i="161" s="1"/>
  <c r="CW60" i="161"/>
  <c r="DI60" i="161" s="1"/>
  <c r="CW61" i="161"/>
  <c r="DI61" i="161" s="1"/>
  <c r="CP9" i="161"/>
  <c r="DB9" i="161" s="1"/>
  <c r="CT28" i="161"/>
  <c r="DF28" i="161" s="1"/>
  <c r="CM20" i="161"/>
  <c r="CY20" i="161" s="1"/>
  <c r="CM44" i="161"/>
  <c r="CY44" i="161" s="1"/>
  <c r="CQ42" i="161"/>
  <c r="DC42" i="161" s="1"/>
  <c r="CM33" i="161"/>
  <c r="CY33" i="161" s="1"/>
  <c r="CW42" i="161"/>
  <c r="DI42" i="161" s="1"/>
  <c r="CT47" i="161"/>
  <c r="DF47" i="161" s="1"/>
  <c r="CQ28" i="161"/>
  <c r="DC28" i="161" s="1"/>
  <c r="CP7" i="161"/>
  <c r="DB7" i="161" s="1"/>
  <c r="CM9" i="161"/>
  <c r="CY9" i="161" s="1"/>
  <c r="CN42" i="161"/>
  <c r="CZ42" i="161" s="1"/>
  <c r="CO35" i="161"/>
  <c r="DA35" i="161" s="1"/>
  <c r="CX7" i="161"/>
  <c r="DJ7" i="161" s="1"/>
  <c r="CX15" i="161"/>
  <c r="DJ15" i="161" s="1"/>
  <c r="CQ14" i="161"/>
  <c r="DC14" i="161" s="1"/>
  <c r="CM42" i="161"/>
  <c r="CY42" i="161" s="1"/>
  <c r="CT32" i="161"/>
  <c r="DF32" i="161" s="1"/>
  <c r="CN63" i="161"/>
  <c r="CZ63" i="161" s="1"/>
  <c r="CN52" i="161"/>
  <c r="CZ52" i="161" s="1"/>
  <c r="CO51" i="161"/>
  <c r="DA51" i="161" s="1"/>
  <c r="CQ65" i="161"/>
  <c r="DC65" i="161" s="1"/>
  <c r="CO54" i="161"/>
  <c r="DA54" i="161" s="1"/>
  <c r="CQ55" i="161"/>
  <c r="DC55" i="161" s="1"/>
  <c r="CT63" i="161"/>
  <c r="DF63" i="161" s="1"/>
  <c r="CP53" i="161"/>
  <c r="DB53" i="161" s="1"/>
  <c r="CO50" i="161"/>
  <c r="DA50" i="161" s="1"/>
  <c r="CQ62" i="161"/>
  <c r="DC62" i="161" s="1"/>
  <c r="AT74" i="124"/>
  <c r="CU17" i="161"/>
  <c r="DG17" i="161" s="1"/>
  <c r="CQ29" i="161"/>
  <c r="DC29" i="161" s="1"/>
  <c r="CR50" i="161"/>
  <c r="DD50" i="161" s="1"/>
  <c r="CQ50" i="161"/>
  <c r="DC50" i="161" s="1"/>
  <c r="CW52" i="161"/>
  <c r="DI52" i="161" s="1"/>
  <c r="CR64" i="161"/>
  <c r="DD64" i="161" s="1"/>
  <c r="CM53" i="161"/>
  <c r="CY53" i="161" s="1"/>
  <c r="CO61" i="161"/>
  <c r="DA61" i="161" s="1"/>
  <c r="CO53" i="161"/>
  <c r="DA53" i="161" s="1"/>
  <c r="CP65" i="161"/>
  <c r="DB65" i="161" s="1"/>
  <c r="CR20" i="161"/>
  <c r="DD20" i="161" s="1"/>
  <c r="CW44" i="161"/>
  <c r="DI44" i="161" s="1"/>
  <c r="CT11" i="161"/>
  <c r="DF11" i="161" s="1"/>
  <c r="CV44" i="161"/>
  <c r="DH44" i="161" s="1"/>
  <c r="CP43" i="161"/>
  <c r="DB43" i="161" s="1"/>
  <c r="CQ44" i="161"/>
  <c r="DC44" i="161" s="1"/>
  <c r="CN37" i="161"/>
  <c r="CZ37" i="161" s="1"/>
  <c r="CM37" i="161"/>
  <c r="CY37" i="161" s="1"/>
  <c r="CP47" i="161"/>
  <c r="DB47" i="161" s="1"/>
  <c r="CM13" i="161"/>
  <c r="CY13" i="161" s="1"/>
  <c r="CM24" i="161"/>
  <c r="CY24" i="161" s="1"/>
  <c r="CP36" i="161"/>
  <c r="DB36" i="161" s="1"/>
  <c r="CT44" i="161"/>
  <c r="DF44" i="161" s="1"/>
  <c r="CT51" i="161"/>
  <c r="DF51" i="161" s="1"/>
  <c r="CU49" i="161"/>
  <c r="DG49" i="161" s="1"/>
  <c r="CP64" i="161"/>
  <c r="DB64" i="161" s="1"/>
  <c r="CW63" i="161"/>
  <c r="DI63" i="161" s="1"/>
  <c r="CV57" i="161"/>
  <c r="DH57" i="161" s="1"/>
  <c r="CN65" i="161"/>
  <c r="CZ65" i="161" s="1"/>
  <c r="CP59" i="161"/>
  <c r="DB59" i="161" s="1"/>
  <c r="CR48" i="161"/>
  <c r="DD48" i="161" s="1"/>
  <c r="CS65" i="161"/>
  <c r="DE65" i="161" s="1"/>
  <c r="CQ51" i="161"/>
  <c r="DC51" i="161" s="1"/>
  <c r="CS64" i="161"/>
  <c r="DE64" i="161" s="1"/>
  <c r="CN59" i="161"/>
  <c r="CZ59" i="161" s="1"/>
  <c r="CW59" i="161"/>
  <c r="DI59" i="161" s="1"/>
  <c r="CT65" i="161"/>
  <c r="DF65" i="161" s="1"/>
  <c r="CV20" i="161"/>
  <c r="DH20" i="161" s="1"/>
  <c r="CS10" i="161"/>
  <c r="DE10" i="161" s="1"/>
  <c r="CU16" i="161"/>
  <c r="DG16" i="161" s="1"/>
  <c r="CQ48" i="161"/>
  <c r="DC48" i="161" s="1"/>
  <c r="CN18" i="161"/>
  <c r="CZ18" i="161" s="1"/>
  <c r="CP56" i="161"/>
  <c r="DB56" i="161" s="1"/>
  <c r="CR10" i="161"/>
  <c r="DD10" i="161" s="1"/>
  <c r="CM4" i="161"/>
  <c r="CY4" i="161" s="1"/>
  <c r="CR28" i="161"/>
  <c r="DD28" i="161" s="1"/>
  <c r="CX17" i="161"/>
  <c r="DJ17" i="161" s="1"/>
  <c r="CS22" i="161"/>
  <c r="DE22" i="161" s="1"/>
  <c r="CU53" i="161"/>
  <c r="DG53" i="161" s="1"/>
  <c r="CX49" i="161"/>
  <c r="DJ49" i="161" s="1"/>
  <c r="CU48" i="161"/>
  <c r="DG48" i="161" s="1"/>
  <c r="CO48" i="161"/>
  <c r="DA48" i="161" s="1"/>
  <c r="CV48" i="161"/>
  <c r="DH48" i="161" s="1"/>
  <c r="CO64" i="161"/>
  <c r="DA64" i="161" s="1"/>
  <c r="CP62" i="161"/>
  <c r="DB62" i="161" s="1"/>
  <c r="CT53" i="161"/>
  <c r="DF53" i="161" s="1"/>
  <c r="CO62" i="161"/>
  <c r="DA62" i="161" s="1"/>
  <c r="CT39" i="161"/>
  <c r="DF39" i="161" s="1"/>
  <c r="CN64" i="161"/>
  <c r="CZ64" i="161" s="1"/>
  <c r="CP10" i="159"/>
  <c r="CV13" i="161"/>
  <c r="DH13" i="161" s="1"/>
  <c r="CT56" i="161"/>
  <c r="DF56" i="161" s="1"/>
  <c r="CW28" i="161"/>
  <c r="DI28" i="161" s="1"/>
  <c r="CM25" i="161"/>
  <c r="CY25" i="161" s="1"/>
  <c r="CR22" i="161"/>
  <c r="DD22" i="161" s="1"/>
  <c r="CU2" i="161"/>
  <c r="DG2" i="161" s="1"/>
  <c r="CO42" i="161"/>
  <c r="DA42" i="161" s="1"/>
  <c r="CR41" i="161"/>
  <c r="DD41" i="161" s="1"/>
  <c r="CV10" i="161"/>
  <c r="DH10" i="161" s="1"/>
  <c r="CP20" i="161"/>
  <c r="DB20" i="161" s="1"/>
  <c r="CS16" i="161"/>
  <c r="DE16" i="161" s="1"/>
  <c r="CT41" i="161"/>
  <c r="DF41" i="161" s="1"/>
  <c r="CM7" i="161"/>
  <c r="CY7" i="161" s="1"/>
  <c r="CQ11" i="161"/>
  <c r="DC11" i="161" s="1"/>
  <c r="CO17" i="161"/>
  <c r="DA17" i="161" s="1"/>
  <c r="CX36" i="161"/>
  <c r="DJ36" i="161" s="1"/>
  <c r="CR7" i="161"/>
  <c r="DD7" i="161" s="1"/>
  <c r="CR11" i="161"/>
  <c r="DD11" i="161" s="1"/>
  <c r="CR37" i="161"/>
  <c r="DD37" i="161" s="1"/>
  <c r="CO44" i="161"/>
  <c r="DA44" i="161" s="1"/>
  <c r="CT42" i="161"/>
  <c r="DF42" i="161" s="1"/>
  <c r="CW62" i="161"/>
  <c r="DI62" i="161" s="1"/>
  <c r="CV53" i="161"/>
  <c r="DH53" i="161" s="1"/>
  <c r="CM64" i="161"/>
  <c r="CY64" i="161" s="1"/>
  <c r="CN49" i="161"/>
  <c r="CZ49" i="161" s="1"/>
  <c r="CP63" i="161"/>
  <c r="DB63" i="161" s="1"/>
  <c r="CX62" i="161"/>
  <c r="DJ62" i="161" s="1"/>
  <c r="CS50" i="161"/>
  <c r="DE50" i="161" s="1"/>
  <c r="CR51" i="161"/>
  <c r="DD51" i="161" s="1"/>
  <c r="CW51" i="161"/>
  <c r="DI51" i="161" s="1"/>
  <c r="CX50" i="161"/>
  <c r="DJ50" i="161" s="1"/>
  <c r="CN62" i="161"/>
  <c r="CZ62" i="161" s="1"/>
  <c r="CO58" i="161"/>
  <c r="DA58" i="161" s="1"/>
  <c r="CN22" i="161"/>
  <c r="CZ22" i="161" s="1"/>
  <c r="CO41" i="161"/>
  <c r="DA41" i="161" s="1"/>
  <c r="CU42" i="161"/>
  <c r="DG42" i="161" s="1"/>
  <c r="CV7" i="161"/>
  <c r="DH7" i="161" s="1"/>
  <c r="CP11" i="161"/>
  <c r="DB11" i="161" s="1"/>
  <c r="CU28" i="161"/>
  <c r="DG28" i="161" s="1"/>
  <c r="CM47" i="161"/>
  <c r="CY47" i="161" s="1"/>
  <c r="CM10" i="161"/>
  <c r="CY10" i="161" s="1"/>
  <c r="CX42" i="161"/>
  <c r="DJ42" i="161" s="1"/>
  <c r="CR57" i="161"/>
  <c r="DD57" i="161" s="1"/>
  <c r="CT62" i="161"/>
  <c r="DF62" i="161" s="1"/>
  <c r="CQ53" i="161"/>
  <c r="DC53" i="161" s="1"/>
  <c r="CW64" i="161"/>
  <c r="DI64" i="161" s="1"/>
  <c r="CN57" i="161"/>
  <c r="CZ57" i="161" s="1"/>
  <c r="CV64" i="161"/>
  <c r="DH64" i="161" s="1"/>
  <c r="CO59" i="161"/>
  <c r="DA59" i="161" s="1"/>
  <c r="CV62" i="161"/>
  <c r="DH62" i="161" s="1"/>
  <c r="CV59" i="161"/>
  <c r="DH59" i="161" s="1"/>
  <c r="L15" i="161"/>
  <c r="L15" i="159"/>
  <c r="L15" i="158"/>
  <c r="K15" i="161"/>
  <c r="AB15" i="124"/>
  <c r="AC4" i="124"/>
  <c r="CP4" i="158"/>
  <c r="BL10" i="124"/>
  <c r="AT75" i="124"/>
  <c r="M61" i="159"/>
  <c r="M61" i="158"/>
  <c r="L7" i="158"/>
  <c r="L7" i="161"/>
  <c r="L7" i="159"/>
  <c r="AF78" i="124"/>
  <c r="M11" i="161"/>
  <c r="M11" i="159"/>
  <c r="M11" i="158"/>
  <c r="CP11" i="158"/>
  <c r="AC11" i="124"/>
  <c r="M29" i="161"/>
  <c r="M29" i="159"/>
  <c r="M29" i="158"/>
  <c r="AV66" i="124"/>
  <c r="CM13" i="159"/>
  <c r="BW57" i="158"/>
  <c r="BW57" i="161" s="1"/>
  <c r="CB27" i="158"/>
  <c r="CB27" i="161" s="1"/>
  <c r="CB56" i="159"/>
  <c r="BV65" i="158"/>
  <c r="BV65" i="161" s="1"/>
  <c r="CQ58" i="159"/>
  <c r="M58" i="161"/>
  <c r="M58" i="159"/>
  <c r="M58" i="158"/>
  <c r="BJ65" i="161"/>
  <c r="CM65" i="159"/>
  <c r="CR65" i="159" s="1"/>
  <c r="L10" i="161"/>
  <c r="L10" i="159"/>
  <c r="L10" i="158"/>
  <c r="BK11" i="161"/>
  <c r="BO58" i="161"/>
  <c r="BS58" i="161"/>
  <c r="BN58" i="161"/>
  <c r="BX10" i="158"/>
  <c r="CE10" i="158"/>
  <c r="CE10" i="161" s="1"/>
  <c r="BX11" i="158"/>
  <c r="BX11" i="161" s="1"/>
  <c r="AS75" i="124"/>
  <c r="BL10" i="161"/>
  <c r="BP23" i="158"/>
  <c r="BP23" i="161" s="1"/>
  <c r="BO23" i="158"/>
  <c r="BO23" i="161" s="1"/>
  <c r="BN23" i="158"/>
  <c r="BN23" i="161" s="1"/>
  <c r="BU23" i="158"/>
  <c r="BU23" i="161" s="1"/>
  <c r="BM23" i="158"/>
  <c r="BT23" i="158"/>
  <c r="BT23" i="161" s="1"/>
  <c r="BL23" i="158"/>
  <c r="BL23" i="161" s="1"/>
  <c r="BS23" i="158"/>
  <c r="BS23" i="161" s="1"/>
  <c r="BK23" i="158"/>
  <c r="BK23" i="161" s="1"/>
  <c r="BR23" i="158"/>
  <c r="BR23" i="161" s="1"/>
  <c r="BJ23" i="158"/>
  <c r="BJ23" i="161" s="1"/>
  <c r="BQ23" i="158"/>
  <c r="BQ23" i="161" s="1"/>
  <c r="L25" i="161"/>
  <c r="L25" i="159"/>
  <c r="L25" i="158"/>
  <c r="BP57" i="161"/>
  <c r="BU57" i="161"/>
  <c r="L59" i="161"/>
  <c r="L59" i="159"/>
  <c r="L59" i="158"/>
  <c r="CM28" i="159"/>
  <c r="AS76" i="124"/>
  <c r="CA26" i="158"/>
  <c r="CF26" i="158"/>
  <c r="BO14" i="158"/>
  <c r="BN14" i="158"/>
  <c r="BS14" i="158"/>
  <c r="BR14" i="158"/>
  <c r="BQ14" i="158"/>
  <c r="BP14" i="158"/>
  <c r="BM14" i="158"/>
  <c r="BL14" i="158"/>
  <c r="BU14" i="158"/>
  <c r="BK14" i="158"/>
  <c r="BT14" i="158"/>
  <c r="BJ14" i="158"/>
  <c r="M31" i="161"/>
  <c r="M31" i="159"/>
  <c r="M31" i="158"/>
  <c r="M57" i="161"/>
  <c r="M57" i="159"/>
  <c r="M57" i="158"/>
  <c r="CD60" i="158"/>
  <c r="CD60" i="161" s="1"/>
  <c r="CM60" i="159"/>
  <c r="BL12" i="161"/>
  <c r="BU27" i="161"/>
  <c r="BP27" i="161"/>
  <c r="CB58" i="158"/>
  <c r="CB58" i="161" s="1"/>
  <c r="BY58" i="158"/>
  <c r="BY58" i="161" s="1"/>
  <c r="BN63" i="158"/>
  <c r="BU63" i="158"/>
  <c r="BU63" i="161" s="1"/>
  <c r="BM63" i="158"/>
  <c r="BM63" i="161" s="1"/>
  <c r="BT63" i="158"/>
  <c r="BT63" i="161" s="1"/>
  <c r="BL63" i="158"/>
  <c r="BL63" i="161" s="1"/>
  <c r="BS63" i="158"/>
  <c r="BK63" i="158"/>
  <c r="BP63" i="158"/>
  <c r="BP63" i="161" s="1"/>
  <c r="BO63" i="158"/>
  <c r="BO63" i="161" s="1"/>
  <c r="BR63" i="158"/>
  <c r="BR63" i="161" s="1"/>
  <c r="BQ63" i="158"/>
  <c r="BQ63" i="161" s="1"/>
  <c r="BJ63" i="158"/>
  <c r="BJ63" i="161" s="1"/>
  <c r="CE57" i="158"/>
  <c r="CP3" i="158"/>
  <c r="AC3" i="124"/>
  <c r="CC27" i="158"/>
  <c r="CQ63" i="159"/>
  <c r="M10" i="161"/>
  <c r="M10" i="159"/>
  <c r="M10" i="158"/>
  <c r="AT66" i="124"/>
  <c r="BN11" i="161"/>
  <c r="BS11" i="161"/>
  <c r="BQ58" i="161"/>
  <c r="CA58" i="159"/>
  <c r="BY10" i="158"/>
  <c r="BY11" i="158"/>
  <c r="BY11" i="161" s="1"/>
  <c r="BO10" i="161"/>
  <c r="BT10" i="161"/>
  <c r="CP23" i="158"/>
  <c r="AC23" i="124"/>
  <c r="AE78" i="124"/>
  <c r="M25" i="161"/>
  <c r="M25" i="159"/>
  <c r="M25" i="158"/>
  <c r="BQ57" i="161"/>
  <c r="BK57" i="161"/>
  <c r="CC57" i="159"/>
  <c r="M59" i="161"/>
  <c r="M59" i="159"/>
  <c r="M59" i="158"/>
  <c r="CP64" i="158"/>
  <c r="AC64" i="124"/>
  <c r="CB26" i="158"/>
  <c r="BY26" i="158"/>
  <c r="L31" i="161"/>
  <c r="L31" i="159"/>
  <c r="L31" i="158"/>
  <c r="L2" i="161"/>
  <c r="L2" i="159"/>
  <c r="L2" i="158"/>
  <c r="CM61" i="159"/>
  <c r="BR60" i="161"/>
  <c r="AW75" i="124"/>
  <c r="BO12" i="161"/>
  <c r="BK27" i="161"/>
  <c r="CC58" i="158"/>
  <c r="CC58" i="161" s="1"/>
  <c r="CG58" i="158"/>
  <c r="CG58" i="161" s="1"/>
  <c r="CQ59" i="158"/>
  <c r="BN6" i="158"/>
  <c r="BN6" i="161" s="1"/>
  <c r="BO6" i="158"/>
  <c r="BM6" i="158"/>
  <c r="BU6" i="158"/>
  <c r="BU6" i="161" s="1"/>
  <c r="BL6" i="158"/>
  <c r="BL6" i="161" s="1"/>
  <c r="BT6" i="158"/>
  <c r="BT6" i="161" s="1"/>
  <c r="BK6" i="158"/>
  <c r="BK6" i="161" s="1"/>
  <c r="BS6" i="158"/>
  <c r="BS6" i="161" s="1"/>
  <c r="BJ6" i="158"/>
  <c r="BJ6" i="161" s="1"/>
  <c r="BR6" i="158"/>
  <c r="BR6" i="161" s="1"/>
  <c r="BQ6" i="158"/>
  <c r="BQ6" i="161" s="1"/>
  <c r="BP6" i="158"/>
  <c r="BP6" i="161" s="1"/>
  <c r="BX57" i="158"/>
  <c r="BX57" i="161" s="1"/>
  <c r="CP5" i="159"/>
  <c r="M6" i="161"/>
  <c r="M6" i="159"/>
  <c r="M6" i="158"/>
  <c r="CM27" i="158"/>
  <c r="BV27" i="158"/>
  <c r="BV27" i="161" s="1"/>
  <c r="L26" i="161"/>
  <c r="L26" i="159"/>
  <c r="L26" i="158"/>
  <c r="CM4" i="159"/>
  <c r="CR4" i="159" s="1"/>
  <c r="BQ11" i="161"/>
  <c r="BL58" i="161"/>
  <c r="BZ10" i="158"/>
  <c r="BZ10" i="161" s="1"/>
  <c r="BZ11" i="158"/>
  <c r="CM5" i="159"/>
  <c r="BJ10" i="161"/>
  <c r="CM10" i="159"/>
  <c r="CM25" i="159"/>
  <c r="CR25" i="159" s="1"/>
  <c r="BS57" i="161"/>
  <c r="BN57" i="161"/>
  <c r="CP62" i="158"/>
  <c r="AC62" i="124"/>
  <c r="CC26" i="158"/>
  <c r="CG26" i="158"/>
  <c r="CM6" i="159"/>
  <c r="CR6" i="159" s="1"/>
  <c r="G62" i="146"/>
  <c r="AH62" i="124"/>
  <c r="AT76" i="124"/>
  <c r="CQ5" i="158"/>
  <c r="CA12" i="158"/>
  <c r="CP56" i="158"/>
  <c r="AC56" i="124"/>
  <c r="CF60" i="158"/>
  <c r="CF60" i="161" s="1"/>
  <c r="M23" i="161"/>
  <c r="M23" i="159"/>
  <c r="M23" i="158"/>
  <c r="AG78" i="124"/>
  <c r="CM12" i="159"/>
  <c r="CR12" i="159" s="1"/>
  <c r="BS27" i="161"/>
  <c r="BN27" i="161"/>
  <c r="CM58" i="158"/>
  <c r="BV58" i="158"/>
  <c r="L64" i="161"/>
  <c r="L64" i="159"/>
  <c r="L64" i="158"/>
  <c r="M26" i="161"/>
  <c r="M26" i="159"/>
  <c r="M26" i="158"/>
  <c r="BO4" i="158"/>
  <c r="BN4" i="158"/>
  <c r="BN4" i="161" s="1"/>
  <c r="BU4" i="158"/>
  <c r="BU4" i="161" s="1"/>
  <c r="BM4" i="158"/>
  <c r="BM4" i="161" s="1"/>
  <c r="BT4" i="158"/>
  <c r="BL4" i="158"/>
  <c r="BL4" i="161" s="1"/>
  <c r="BS4" i="158"/>
  <c r="BS4" i="161" s="1"/>
  <c r="BK4" i="158"/>
  <c r="BK4" i="161" s="1"/>
  <c r="BR4" i="158"/>
  <c r="BR4" i="161" s="1"/>
  <c r="BJ4" i="158"/>
  <c r="BJ4" i="161" s="1"/>
  <c r="BQ4" i="158"/>
  <c r="BQ4" i="161" s="1"/>
  <c r="BP4" i="158"/>
  <c r="BP4" i="161" s="1"/>
  <c r="BL11" i="161"/>
  <c r="BT58" i="161"/>
  <c r="CA10" i="158"/>
  <c r="CA10" i="161" s="1"/>
  <c r="CB11" i="158"/>
  <c r="CA11" i="158"/>
  <c r="BR10" i="161"/>
  <c r="BM10" i="161"/>
  <c r="BS3" i="161"/>
  <c r="CQ27" i="158"/>
  <c r="CM26" i="158"/>
  <c r="CR26" i="158" s="1"/>
  <c r="BV26" i="158"/>
  <c r="CE3" i="158"/>
  <c r="M63" i="161"/>
  <c r="M63" i="159"/>
  <c r="M63" i="158"/>
  <c r="CP63" i="158"/>
  <c r="AC63" i="124"/>
  <c r="AV76" i="124"/>
  <c r="M28" i="161"/>
  <c r="M28" i="159"/>
  <c r="M28" i="158"/>
  <c r="BO5" i="158"/>
  <c r="BN5" i="158"/>
  <c r="BN5" i="161" s="1"/>
  <c r="BU5" i="158"/>
  <c r="BU5" i="161" s="1"/>
  <c r="BM5" i="158"/>
  <c r="BM5" i="161" s="1"/>
  <c r="BT5" i="158"/>
  <c r="BL5" i="158"/>
  <c r="BS5" i="158"/>
  <c r="BS5" i="161" s="1"/>
  <c r="BK5" i="158"/>
  <c r="BK5" i="161" s="1"/>
  <c r="BR5" i="158"/>
  <c r="BJ5" i="158"/>
  <c r="BQ5" i="158"/>
  <c r="BQ5" i="161" s="1"/>
  <c r="BP5" i="158"/>
  <c r="BP5" i="161" s="1"/>
  <c r="BP61" i="161"/>
  <c r="Z78" i="124"/>
  <c r="BQ26" i="159"/>
  <c r="M32" i="161"/>
  <c r="M32" i="159"/>
  <c r="M32" i="158"/>
  <c r="K16" i="161"/>
  <c r="K16" i="159"/>
  <c r="K16" i="158"/>
  <c r="BQ27" i="161"/>
  <c r="CP28" i="158"/>
  <c r="AC28" i="124"/>
  <c r="CD58" i="158"/>
  <c r="M64" i="161"/>
  <c r="M64" i="159"/>
  <c r="M64" i="158"/>
  <c r="CP57" i="158"/>
  <c r="AC57" i="124"/>
  <c r="CF57" i="158"/>
  <c r="CF57" i="161" s="1"/>
  <c r="CB57" i="158"/>
  <c r="CB57" i="161" s="1"/>
  <c r="BY57" i="158"/>
  <c r="BY57" i="161" s="1"/>
  <c r="L4" i="161"/>
  <c r="L4" i="159"/>
  <c r="L4" i="158"/>
  <c r="BY27" i="158"/>
  <c r="BW27" i="158"/>
  <c r="BW27" i="161" s="1"/>
  <c r="BO11" i="161"/>
  <c r="BT11" i="161"/>
  <c r="BP59" i="158"/>
  <c r="BP59" i="161" s="1"/>
  <c r="BO59" i="158"/>
  <c r="BO59" i="161" s="1"/>
  <c r="BR59" i="158"/>
  <c r="BQ59" i="158"/>
  <c r="BQ59" i="161" s="1"/>
  <c r="BN59" i="158"/>
  <c r="BN59" i="161" s="1"/>
  <c r="BM59" i="158"/>
  <c r="BM59" i="161" s="1"/>
  <c r="BL59" i="158"/>
  <c r="BL59" i="161" s="1"/>
  <c r="BU59" i="158"/>
  <c r="BU59" i="161" s="1"/>
  <c r="BK59" i="158"/>
  <c r="BK59" i="161" s="1"/>
  <c r="BT59" i="158"/>
  <c r="BT59" i="161" s="1"/>
  <c r="BJ59" i="158"/>
  <c r="BS59" i="158"/>
  <c r="BS59" i="161" s="1"/>
  <c r="M60" i="161"/>
  <c r="M60" i="159"/>
  <c r="M60" i="158"/>
  <c r="BJ58" i="161"/>
  <c r="CM58" i="159"/>
  <c r="CE58" i="159"/>
  <c r="CB10" i="158"/>
  <c r="CB10" i="161" s="1"/>
  <c r="CE11" i="158"/>
  <c r="CE11" i="161" s="1"/>
  <c r="CC11" i="158"/>
  <c r="CC11" i="161" s="1"/>
  <c r="M27" i="161"/>
  <c r="M27" i="159"/>
  <c r="M27" i="158"/>
  <c r="BP10" i="161"/>
  <c r="BU10" i="161"/>
  <c r="CM23" i="159"/>
  <c r="CR23" i="159" s="1"/>
  <c r="BL57" i="161"/>
  <c r="CP16" i="158"/>
  <c r="AC16" i="124"/>
  <c r="AH16" i="124"/>
  <c r="CQ23" i="159"/>
  <c r="CD26" i="158"/>
  <c r="AT77" i="124"/>
  <c r="M62" i="161"/>
  <c r="M62" i="159"/>
  <c r="M62" i="158"/>
  <c r="CM63" i="159"/>
  <c r="L12" i="161"/>
  <c r="L12" i="159"/>
  <c r="L12" i="158"/>
  <c r="L28" i="161"/>
  <c r="L28" i="159"/>
  <c r="L28" i="158"/>
  <c r="CQ27" i="159"/>
  <c r="M33" i="158"/>
  <c r="CQ57" i="159"/>
  <c r="BL27" i="161"/>
  <c r="BS28" i="158"/>
  <c r="BS28" i="161" s="1"/>
  <c r="BK28" i="158"/>
  <c r="BR28" i="158"/>
  <c r="BJ28" i="158"/>
  <c r="BJ28" i="161" s="1"/>
  <c r="BQ28" i="158"/>
  <c r="BP28" i="158"/>
  <c r="BO28" i="158"/>
  <c r="BO28" i="161" s="1"/>
  <c r="BN28" i="158"/>
  <c r="BU28" i="158"/>
  <c r="BM28" i="158"/>
  <c r="BM28" i="161" s="1"/>
  <c r="BT28" i="158"/>
  <c r="BT28" i="161" s="1"/>
  <c r="BL28" i="158"/>
  <c r="BL28" i="161" s="1"/>
  <c r="BW58" i="158"/>
  <c r="BW58" i="161" s="1"/>
  <c r="BU64" i="158"/>
  <c r="BU64" i="161" s="1"/>
  <c r="BM64" i="158"/>
  <c r="BT64" i="158"/>
  <c r="BT64" i="161" s="1"/>
  <c r="BL64" i="158"/>
  <c r="BL64" i="161" s="1"/>
  <c r="BS64" i="158"/>
  <c r="BK64" i="158"/>
  <c r="BK64" i="161" s="1"/>
  <c r="BR64" i="158"/>
  <c r="BR64" i="161" s="1"/>
  <c r="BJ64" i="158"/>
  <c r="BJ64" i="161" s="1"/>
  <c r="BO64" i="158"/>
  <c r="BN64" i="158"/>
  <c r="BN64" i="161" s="1"/>
  <c r="BQ64" i="158"/>
  <c r="BQ64" i="161" s="1"/>
  <c r="BP64" i="158"/>
  <c r="CA57" i="158"/>
  <c r="CD27" i="158"/>
  <c r="CC57" i="158"/>
  <c r="CG57" i="158"/>
  <c r="M4" i="161"/>
  <c r="M4" i="159"/>
  <c r="M4" i="158"/>
  <c r="CG27" i="158"/>
  <c r="CG27" i="161" s="1"/>
  <c r="CE27" i="158"/>
  <c r="BO62" i="158"/>
  <c r="BN62" i="158"/>
  <c r="BU62" i="158"/>
  <c r="BM62" i="158"/>
  <c r="BT62" i="158"/>
  <c r="BL62" i="158"/>
  <c r="BP62" i="158"/>
  <c r="BS62" i="158"/>
  <c r="BR62" i="158"/>
  <c r="BQ62" i="158"/>
  <c r="BK62" i="158"/>
  <c r="BJ62" i="158"/>
  <c r="CN65" i="159"/>
  <c r="CS65" i="159" s="1"/>
  <c r="AC30" i="124"/>
  <c r="BX4" i="159"/>
  <c r="BN15" i="158"/>
  <c r="BU15" i="158"/>
  <c r="BM15" i="158"/>
  <c r="BS15" i="158"/>
  <c r="BR15" i="158"/>
  <c r="BQ15" i="158"/>
  <c r="BP15" i="158"/>
  <c r="BO15" i="158"/>
  <c r="BL15" i="158"/>
  <c r="BK15" i="158"/>
  <c r="BT15" i="158"/>
  <c r="BJ15" i="158"/>
  <c r="BW11" i="159"/>
  <c r="BJ11" i="161"/>
  <c r="CM11" i="159"/>
  <c r="L60" i="161"/>
  <c r="L60" i="159"/>
  <c r="L60" i="158"/>
  <c r="BR58" i="161"/>
  <c r="BM58" i="161"/>
  <c r="BP58" i="161"/>
  <c r="CC10" i="158"/>
  <c r="BV10" i="158"/>
  <c r="CM10" i="158"/>
  <c r="CF11" i="158"/>
  <c r="BV11" i="158"/>
  <c r="BV11" i="161" s="1"/>
  <c r="CM11" i="158"/>
  <c r="BX5" i="159"/>
  <c r="BX10" i="159"/>
  <c r="BK10" i="161"/>
  <c r="CD3" i="159"/>
  <c r="BY3" i="159"/>
  <c r="BX25" i="159"/>
  <c r="M65" i="161"/>
  <c r="M65" i="159"/>
  <c r="M65" i="158"/>
  <c r="CE23" i="159"/>
  <c r="BO56" i="158"/>
  <c r="BO56" i="161" s="1"/>
  <c r="BN56" i="158"/>
  <c r="BU56" i="158"/>
  <c r="BM56" i="158"/>
  <c r="BM56" i="161" s="1"/>
  <c r="BT56" i="158"/>
  <c r="BT56" i="161" s="1"/>
  <c r="BL56" i="158"/>
  <c r="BS56" i="158"/>
  <c r="BS56" i="161" s="1"/>
  <c r="BK56" i="158"/>
  <c r="BK56" i="161" s="1"/>
  <c r="BR56" i="158"/>
  <c r="BR56" i="161" s="1"/>
  <c r="BJ56" i="158"/>
  <c r="BJ56" i="161" s="1"/>
  <c r="BQ56" i="158"/>
  <c r="BP56" i="158"/>
  <c r="BP56" i="161" s="1"/>
  <c r="CG57" i="159"/>
  <c r="BT57" i="161"/>
  <c r="BO57" i="161"/>
  <c r="BV28" i="159"/>
  <c r="BZ28" i="124" s="1"/>
  <c r="BW26" i="158"/>
  <c r="BX6" i="159"/>
  <c r="AV77" i="124"/>
  <c r="CM59" i="159"/>
  <c r="CN59" i="159"/>
  <c r="M12" i="161"/>
  <c r="M12" i="159"/>
  <c r="M12" i="158"/>
  <c r="CP6" i="158"/>
  <c r="AC6" i="124"/>
  <c r="CE61" i="158"/>
  <c r="CE61" i="161" s="1"/>
  <c r="CB61" i="158"/>
  <c r="CP65" i="158"/>
  <c r="AC65" i="124"/>
  <c r="BO24" i="158"/>
  <c r="BO24" i="161" s="1"/>
  <c r="BN24" i="158"/>
  <c r="BU24" i="158"/>
  <c r="BM24" i="158"/>
  <c r="BM24" i="161" s="1"/>
  <c r="BT24" i="158"/>
  <c r="BT24" i="161" s="1"/>
  <c r="BL24" i="158"/>
  <c r="BL24" i="161" s="1"/>
  <c r="BS24" i="158"/>
  <c r="BS24" i="161" s="1"/>
  <c r="BK24" i="158"/>
  <c r="BR24" i="158"/>
  <c r="BR24" i="161" s="1"/>
  <c r="BJ24" i="158"/>
  <c r="BJ24" i="161" s="1"/>
  <c r="BQ24" i="158"/>
  <c r="BQ24" i="161" s="1"/>
  <c r="BP24" i="158"/>
  <c r="BT26" i="159"/>
  <c r="BO26" i="159"/>
  <c r="BW60" i="158"/>
  <c r="L24" i="161"/>
  <c r="L24" i="159"/>
  <c r="L24" i="158"/>
  <c r="BT27" i="161"/>
  <c r="BO27" i="161"/>
  <c r="CE58" i="158"/>
  <c r="CM57" i="158"/>
  <c r="BV57" i="158"/>
  <c r="BV57" i="161" s="1"/>
  <c r="BZ57" i="158"/>
  <c r="AV74" i="124"/>
  <c r="BZ27" i="158"/>
  <c r="BX27" i="158"/>
  <c r="BX27" i="161" s="1"/>
  <c r="CM56" i="159"/>
  <c r="CD56" i="159"/>
  <c r="CP13" i="158"/>
  <c r="AC13" i="124"/>
  <c r="BR11" i="161"/>
  <c r="BM11" i="161"/>
  <c r="K43" i="158"/>
  <c r="CP55" i="158"/>
  <c r="AC55" i="124"/>
  <c r="BU58" i="161"/>
  <c r="CF10" i="158"/>
  <c r="CF10" i="161" s="1"/>
  <c r="CD10" i="158"/>
  <c r="CD10" i="161" s="1"/>
  <c r="BW11" i="158"/>
  <c r="CD11" i="158"/>
  <c r="CD11" i="161" s="1"/>
  <c r="BS10" i="161"/>
  <c r="BN10" i="161"/>
  <c r="BJ57" i="161"/>
  <c r="CM57" i="159"/>
  <c r="AW76" i="124"/>
  <c r="CE26" i="158"/>
  <c r="M56" i="161"/>
  <c r="M56" i="159"/>
  <c r="M56" i="158"/>
  <c r="CM24" i="159"/>
  <c r="CN61" i="159"/>
  <c r="BJ26" i="159"/>
  <c r="M24" i="161"/>
  <c r="M24" i="159"/>
  <c r="M24" i="158"/>
  <c r="BJ27" i="161"/>
  <c r="CM27" i="159"/>
  <c r="BZ58" i="158"/>
  <c r="BX58" i="158"/>
  <c r="BX58" i="161" s="1"/>
  <c r="L6" i="161"/>
  <c r="L6" i="159"/>
  <c r="L6" i="158"/>
  <c r="CG13" i="159"/>
  <c r="CD57" i="158"/>
  <c r="CD57" i="161" s="1"/>
  <c r="CA27" i="158"/>
  <c r="CA27" i="161" s="1"/>
  <c r="CF27" i="158"/>
  <c r="CG56" i="159"/>
  <c r="BP13" i="158"/>
  <c r="BO13" i="158"/>
  <c r="BO13" i="161" s="1"/>
  <c r="BR13" i="158"/>
  <c r="BQ13" i="158"/>
  <c r="BN13" i="158"/>
  <c r="BN13" i="161" s="1"/>
  <c r="BM13" i="158"/>
  <c r="BL13" i="158"/>
  <c r="BU13" i="158"/>
  <c r="BK13" i="158"/>
  <c r="BT13" i="158"/>
  <c r="BJ13" i="158"/>
  <c r="BS13" i="158"/>
  <c r="CP58" i="159"/>
  <c r="L58" i="161"/>
  <c r="L58" i="159"/>
  <c r="L58" i="158"/>
  <c r="BV4" i="159"/>
  <c r="BZ4" i="124" s="1"/>
  <c r="CA4" i="159"/>
  <c r="BP11" i="161"/>
  <c r="BZ11" i="159"/>
  <c r="BU11" i="161"/>
  <c r="BK58" i="161"/>
  <c r="CF58" i="159"/>
  <c r="CG10" i="158"/>
  <c r="BW10" i="158"/>
  <c r="BW10" i="161" s="1"/>
  <c r="CG11" i="158"/>
  <c r="CG11" i="161" s="1"/>
  <c r="Y78" i="124"/>
  <c r="BV5" i="159"/>
  <c r="BZ5" i="124" s="1"/>
  <c r="BQ10" i="161"/>
  <c r="BV10" i="159"/>
  <c r="BZ10" i="124" s="1"/>
  <c r="BW3" i="159"/>
  <c r="CM3" i="159"/>
  <c r="CR3" i="159" s="1"/>
  <c r="BV25" i="159"/>
  <c r="BZ25" i="124" s="1"/>
  <c r="BX23" i="159"/>
  <c r="BR57" i="161"/>
  <c r="BM57" i="161"/>
  <c r="CE57" i="159"/>
  <c r="CG28" i="159"/>
  <c r="BZ26" i="158"/>
  <c r="BX26" i="158"/>
  <c r="BV6" i="159"/>
  <c r="BZ6" i="124" s="1"/>
  <c r="L56" i="161"/>
  <c r="L56" i="159"/>
  <c r="L56" i="158"/>
  <c r="CE24" i="159"/>
  <c r="CN24" i="159" s="1"/>
  <c r="CS24" i="159" s="1"/>
  <c r="BW64" i="159"/>
  <c r="CM64" i="159"/>
  <c r="BX63" i="159"/>
  <c r="CP24" i="158"/>
  <c r="AC24" i="124"/>
  <c r="K55" i="161"/>
  <c r="K55" i="159"/>
  <c r="K55" i="158"/>
  <c r="CP27" i="159"/>
  <c r="BR26" i="159"/>
  <c r="CG60" i="159"/>
  <c r="CN60" i="159" s="1"/>
  <c r="BV12" i="159"/>
  <c r="BZ12" i="124" s="1"/>
  <c r="BR27" i="161"/>
  <c r="BM27" i="161"/>
  <c r="CE27" i="159"/>
  <c r="CA58" i="158"/>
  <c r="CF58" i="158"/>
  <c r="S240" i="127"/>
  <c r="T230" i="127"/>
  <c r="S231" i="127"/>
  <c r="AK193" i="127"/>
  <c r="AK202" i="127"/>
  <c r="S230" i="127"/>
  <c r="T231" i="127"/>
  <c r="BV55" i="124" l="1"/>
  <c r="AZ43" i="124"/>
  <c r="BV56" i="124"/>
  <c r="BV9" i="124"/>
  <c r="BW9" i="124" s="1"/>
  <c r="BX9" i="124" s="1" a="1"/>
  <c r="BX9" i="124" s="1"/>
  <c r="BV38" i="124"/>
  <c r="AZ19" i="124"/>
  <c r="CS61" i="159"/>
  <c r="CF25" i="158"/>
  <c r="M5" i="158"/>
  <c r="M5" i="159"/>
  <c r="BK60" i="161"/>
  <c r="BZ65" i="158"/>
  <c r="AY77" i="124"/>
  <c r="AZ7" i="124"/>
  <c r="AY75" i="124"/>
  <c r="AZ2" i="124"/>
  <c r="AY74" i="124"/>
  <c r="AY76" i="124"/>
  <c r="BV54" i="124"/>
  <c r="AZ25" i="124"/>
  <c r="BV36" i="124"/>
  <c r="BV50" i="124"/>
  <c r="BV58" i="124"/>
  <c r="BV31" i="124"/>
  <c r="BV42" i="124"/>
  <c r="AZ23" i="124"/>
  <c r="AZ61" i="124"/>
  <c r="AZ28" i="124"/>
  <c r="AZ50" i="124"/>
  <c r="AZ29" i="124"/>
  <c r="AZ27" i="124"/>
  <c r="AZ39" i="124"/>
  <c r="BV8" i="124"/>
  <c r="BW8" i="124" s="1"/>
  <c r="BX8" i="124" s="1" a="1"/>
  <c r="BX8" i="124" s="1"/>
  <c r="BV32" i="124"/>
  <c r="BV29" i="124"/>
  <c r="BV10" i="124"/>
  <c r="BW10" i="124" s="1"/>
  <c r="BX10" i="124" s="1" a="1"/>
  <c r="BX10" i="124" s="1"/>
  <c r="BV39" i="124"/>
  <c r="AZ18" i="124"/>
  <c r="AZ4" i="124"/>
  <c r="AZ33" i="124"/>
  <c r="AZ38" i="124"/>
  <c r="AZ34" i="124"/>
  <c r="BV41" i="124"/>
  <c r="BV49" i="124"/>
  <c r="BV64" i="124"/>
  <c r="BV37" i="124"/>
  <c r="AZ37" i="124"/>
  <c r="AZ12" i="124"/>
  <c r="AZ46" i="124"/>
  <c r="AZ42" i="124"/>
  <c r="AZ20" i="124"/>
  <c r="BV62" i="124"/>
  <c r="BV59" i="124"/>
  <c r="BV51" i="124"/>
  <c r="BV52" i="124"/>
  <c r="BV33" i="124"/>
  <c r="AZ8" i="124"/>
  <c r="AZ40" i="124"/>
  <c r="BV47" i="124"/>
  <c r="BV65" i="124"/>
  <c r="BV40" i="124"/>
  <c r="BV34" i="124"/>
  <c r="BV13" i="124"/>
  <c r="BW13" i="124" s="1"/>
  <c r="BX13" i="124" s="1" a="1"/>
  <c r="BX13" i="124" s="1"/>
  <c r="AZ51" i="124"/>
  <c r="AZ13" i="124"/>
  <c r="AZ22" i="124"/>
  <c r="BV30" i="124"/>
  <c r="BV53" i="124"/>
  <c r="BV57" i="124"/>
  <c r="BV12" i="124"/>
  <c r="BW12" i="124" s="1"/>
  <c r="BX12" i="124" s="1" a="1"/>
  <c r="BX12" i="124" s="1"/>
  <c r="BV60" i="124"/>
  <c r="AZ32" i="124"/>
  <c r="AZ54" i="124"/>
  <c r="AZ64" i="124"/>
  <c r="AZ6" i="124"/>
  <c r="AZ58" i="124"/>
  <c r="AZ31" i="124"/>
  <c r="AZ17" i="124"/>
  <c r="AZ57" i="124"/>
  <c r="BV45" i="124"/>
  <c r="BW45" i="124" s="1"/>
  <c r="BX45" i="124" s="1" a="1"/>
  <c r="BX45" i="124" s="1"/>
  <c r="BV11" i="124"/>
  <c r="BW11" i="124" s="1"/>
  <c r="BX11" i="124" s="1" a="1"/>
  <c r="BX11" i="124" s="1"/>
  <c r="BV44" i="124"/>
  <c r="BV46" i="124"/>
  <c r="BV63" i="124"/>
  <c r="BV61" i="124"/>
  <c r="BV43" i="124"/>
  <c r="AZ21" i="124"/>
  <c r="AZ60" i="124"/>
  <c r="AZ52" i="124"/>
  <c r="AZ63" i="124"/>
  <c r="BV48" i="124"/>
  <c r="BV7" i="124"/>
  <c r="BW7" i="124" s="1"/>
  <c r="BX7" i="124" s="1" a="1"/>
  <c r="BX7" i="124" s="1"/>
  <c r="BV35" i="124"/>
  <c r="AZ15" i="124"/>
  <c r="BV14" i="124"/>
  <c r="BW14" i="124" s="1"/>
  <c r="BX14" i="124" s="1" a="1"/>
  <c r="BX14" i="124" s="1"/>
  <c r="BV18" i="124"/>
  <c r="BW18" i="124" s="1"/>
  <c r="BX18" i="124" s="1" a="1"/>
  <c r="BX18" i="124" s="1"/>
  <c r="BV22" i="124"/>
  <c r="BW22" i="124" s="1"/>
  <c r="BX22" i="124" s="1" a="1"/>
  <c r="BX22" i="124" s="1"/>
  <c r="BV26" i="124"/>
  <c r="BW26" i="124" s="1"/>
  <c r="BX26" i="124" s="1" a="1"/>
  <c r="BX26" i="124" s="1"/>
  <c r="BV15" i="124"/>
  <c r="BW15" i="124" s="1"/>
  <c r="BX15" i="124" s="1" a="1"/>
  <c r="BX15" i="124" s="1"/>
  <c r="BV19" i="124"/>
  <c r="BW19" i="124" s="1"/>
  <c r="BX19" i="124" s="1" a="1"/>
  <c r="BX19" i="124" s="1"/>
  <c r="BV23" i="124"/>
  <c r="BW23" i="124" s="1"/>
  <c r="BX23" i="124" s="1" a="1"/>
  <c r="BX23" i="124" s="1"/>
  <c r="BV27" i="124"/>
  <c r="BW27" i="124" s="1"/>
  <c r="BX27" i="124" s="1" a="1"/>
  <c r="BX27" i="124" s="1"/>
  <c r="BV16" i="124"/>
  <c r="BW16" i="124" s="1"/>
  <c r="BX16" i="124" s="1" a="1"/>
  <c r="BX16" i="124" s="1"/>
  <c r="BV20" i="124"/>
  <c r="BW20" i="124" s="1"/>
  <c r="BX20" i="124" s="1" a="1"/>
  <c r="BX20" i="124" s="1"/>
  <c r="BV24" i="124"/>
  <c r="BW24" i="124" s="1"/>
  <c r="BX24" i="124" s="1" a="1"/>
  <c r="BX24" i="124" s="1"/>
  <c r="BV28" i="124"/>
  <c r="BW28" i="124" s="1"/>
  <c r="BX28" i="124" s="1" a="1"/>
  <c r="BX28" i="124" s="1"/>
  <c r="BV17" i="124"/>
  <c r="BW17" i="124" s="1"/>
  <c r="BX17" i="124" s="1" a="1"/>
  <c r="BX17" i="124" s="1"/>
  <c r="BV21" i="124"/>
  <c r="BW21" i="124" s="1"/>
  <c r="BX21" i="124" s="1" a="1"/>
  <c r="BX21" i="124" s="1"/>
  <c r="BV25" i="124"/>
  <c r="BW25" i="124" s="1"/>
  <c r="BX25" i="124" s="1" a="1"/>
  <c r="BX25" i="124" s="1"/>
  <c r="BV2" i="124"/>
  <c r="BV3" i="124"/>
  <c r="BV4" i="124"/>
  <c r="BV5" i="124"/>
  <c r="BV6" i="124"/>
  <c r="AZ5" i="124"/>
  <c r="AY66" i="124"/>
  <c r="AZ14" i="124"/>
  <c r="BT16" i="124"/>
  <c r="BT24" i="124"/>
  <c r="BT18" i="124"/>
  <c r="BT26" i="124"/>
  <c r="BT19" i="124"/>
  <c r="BT27" i="124"/>
  <c r="BT20" i="124"/>
  <c r="BT28" i="124"/>
  <c r="BT21" i="124"/>
  <c r="BT15" i="124"/>
  <c r="BT23" i="124"/>
  <c r="BT17" i="124"/>
  <c r="BT22" i="124"/>
  <c r="BT25" i="124"/>
  <c r="BT14" i="124"/>
  <c r="BO10" i="124"/>
  <c r="BO11" i="124"/>
  <c r="BP11" i="124" s="1"/>
  <c r="BO12" i="124"/>
  <c r="BP12" i="124" s="1"/>
  <c r="BO13" i="124"/>
  <c r="BP13" i="124" s="1"/>
  <c r="BO7" i="124"/>
  <c r="BO8" i="124"/>
  <c r="BP8" i="124" s="1"/>
  <c r="BO9" i="124"/>
  <c r="BP9" i="124" s="1"/>
  <c r="AX66" i="124"/>
  <c r="AS74" i="124"/>
  <c r="BS66" i="124"/>
  <c r="AX76" i="124"/>
  <c r="AK240" i="127"/>
  <c r="AM202" i="127"/>
  <c r="BR12" i="161"/>
  <c r="M52" i="158"/>
  <c r="M52" i="159"/>
  <c r="K37" i="158"/>
  <c r="BJ37" i="158" s="1"/>
  <c r="BQ66" i="124"/>
  <c r="BS77" i="124"/>
  <c r="CR24" i="159"/>
  <c r="BL38" i="158"/>
  <c r="CQ25" i="158"/>
  <c r="CR63" i="159"/>
  <c r="BU60" i="161"/>
  <c r="BQ77" i="124"/>
  <c r="BX3" i="158"/>
  <c r="BP12" i="161"/>
  <c r="BW12" i="158"/>
  <c r="BW12" i="161" s="1"/>
  <c r="BO74" i="124"/>
  <c r="CC12" i="158"/>
  <c r="CR57" i="159"/>
  <c r="BU65" i="161"/>
  <c r="BQ60" i="161"/>
  <c r="AC35" i="124"/>
  <c r="BL60" i="161"/>
  <c r="BV12" i="158"/>
  <c r="BP25" i="161"/>
  <c r="CR64" i="159"/>
  <c r="BX60" i="158"/>
  <c r="BX60" i="161" s="1"/>
  <c r="BP10" i="124"/>
  <c r="BP2" i="124"/>
  <c r="CR13" i="159"/>
  <c r="BO25" i="161"/>
  <c r="K52" i="159"/>
  <c r="K52" i="158"/>
  <c r="BR52" i="158" s="1"/>
  <c r="L32" i="158"/>
  <c r="M46" i="159"/>
  <c r="L32" i="159"/>
  <c r="BM25" i="161"/>
  <c r="BY12" i="158"/>
  <c r="BT60" i="161"/>
  <c r="AB7" i="124"/>
  <c r="K7" i="158"/>
  <c r="BT7" i="158" s="1"/>
  <c r="K7" i="159"/>
  <c r="AC44" i="124"/>
  <c r="AA78" i="124"/>
  <c r="CF12" i="158"/>
  <c r="CF12" i="161" s="1"/>
  <c r="K19" i="159"/>
  <c r="K19" i="161"/>
  <c r="AB19" i="124"/>
  <c r="K38" i="161"/>
  <c r="CA60" i="158"/>
  <c r="CR56" i="159"/>
  <c r="BS60" i="161"/>
  <c r="CR27" i="158"/>
  <c r="K39" i="159"/>
  <c r="BN66" i="124"/>
  <c r="BN77" i="124"/>
  <c r="BY60" i="158"/>
  <c r="BY60" i="161" s="1"/>
  <c r="CG12" i="158"/>
  <c r="CC60" i="158"/>
  <c r="CC60" i="161" s="1"/>
  <c r="CC65" i="158"/>
  <c r="BY3" i="158"/>
  <c r="AC34" i="124"/>
  <c r="AS66" i="124"/>
  <c r="BK25" i="161"/>
  <c r="BN60" i="161"/>
  <c r="BU25" i="161"/>
  <c r="AH14" i="124"/>
  <c r="CP44" i="158"/>
  <c r="CM12" i="158"/>
  <c r="CR12" i="158" s="1"/>
  <c r="CM60" i="158"/>
  <c r="CR60" i="158" s="1"/>
  <c r="BV25" i="158"/>
  <c r="CB60" i="158"/>
  <c r="CB60" i="161" s="1"/>
  <c r="L30" i="159"/>
  <c r="BS25" i="161"/>
  <c r="M35" i="158"/>
  <c r="BZ60" i="158"/>
  <c r="BZ60" i="161" s="1"/>
  <c r="BP60" i="161"/>
  <c r="M35" i="161"/>
  <c r="BS12" i="161"/>
  <c r="CR11" i="159"/>
  <c r="K9" i="161"/>
  <c r="BJ60" i="161"/>
  <c r="BL54" i="158"/>
  <c r="M43" i="159"/>
  <c r="BJ61" i="161"/>
  <c r="K9" i="158"/>
  <c r="BR9" i="158" s="1"/>
  <c r="K44" i="158"/>
  <c r="BQ44" i="158" s="1"/>
  <c r="BN12" i="161"/>
  <c r="BV60" i="158"/>
  <c r="BV60" i="161" s="1"/>
  <c r="AB9" i="124"/>
  <c r="CP9" i="158" s="1"/>
  <c r="BT65" i="161"/>
  <c r="AI26" i="124"/>
  <c r="BX65" i="158"/>
  <c r="BX65" i="161" s="1"/>
  <c r="BL65" i="161"/>
  <c r="BR65" i="161"/>
  <c r="AW74" i="124"/>
  <c r="K47" i="158"/>
  <c r="AB47" i="124"/>
  <c r="K47" i="159"/>
  <c r="L29" i="159"/>
  <c r="L29" i="161"/>
  <c r="L29" i="158"/>
  <c r="CP14" i="158"/>
  <c r="M33" i="161"/>
  <c r="M33" i="159"/>
  <c r="AB50" i="124"/>
  <c r="K50" i="158"/>
  <c r="BJ50" i="158" s="1"/>
  <c r="BV50" i="158" s="1"/>
  <c r="K50" i="159"/>
  <c r="K43" i="159"/>
  <c r="K43" i="161"/>
  <c r="BT54" i="158"/>
  <c r="K47" i="161"/>
  <c r="L30" i="161"/>
  <c r="AB54" i="124"/>
  <c r="AC54" i="124" s="1"/>
  <c r="BM54" i="158"/>
  <c r="M42" i="158"/>
  <c r="AB40" i="124"/>
  <c r="AC40" i="124" s="1"/>
  <c r="AB43" i="124"/>
  <c r="BU54" i="158"/>
  <c r="CG54" i="158" s="1"/>
  <c r="K40" i="158"/>
  <c r="BK40" i="158" s="1"/>
  <c r="BJ54" i="158"/>
  <c r="BN54" i="158"/>
  <c r="K40" i="159"/>
  <c r="BR54" i="158"/>
  <c r="CD54" i="158" s="1"/>
  <c r="BO54" i="158"/>
  <c r="M48" i="158"/>
  <c r="K54" i="161"/>
  <c r="K54" i="159"/>
  <c r="BK54" i="158"/>
  <c r="BP54" i="158"/>
  <c r="M48" i="159"/>
  <c r="BW65" i="158"/>
  <c r="BW65" i="161" s="1"/>
  <c r="AS77" i="124"/>
  <c r="BS54" i="158"/>
  <c r="CE54" i="158" s="1"/>
  <c r="K36" i="161"/>
  <c r="K34" i="159"/>
  <c r="CP35" i="158"/>
  <c r="K35" i="158"/>
  <c r="BT35" i="158" s="1"/>
  <c r="K35" i="159"/>
  <c r="CR58" i="158"/>
  <c r="M54" i="158"/>
  <c r="K17" i="159"/>
  <c r="CQ58" i="158"/>
  <c r="K35" i="161"/>
  <c r="AC51" i="124"/>
  <c r="BP65" i="161"/>
  <c r="M54" i="159"/>
  <c r="CP51" i="158"/>
  <c r="K17" i="158"/>
  <c r="K34" i="161"/>
  <c r="AB17" i="124"/>
  <c r="CP17" i="158" s="1"/>
  <c r="M9" i="159"/>
  <c r="M9" i="158"/>
  <c r="K34" i="158"/>
  <c r="BK34" i="158" s="1"/>
  <c r="BW34" i="158" s="1"/>
  <c r="CP55" i="159"/>
  <c r="K53" i="161"/>
  <c r="AB53" i="124"/>
  <c r="AC53" i="124" s="1"/>
  <c r="K53" i="158"/>
  <c r="BN53" i="158" s="1"/>
  <c r="AH30" i="124"/>
  <c r="CP30" i="159" s="1"/>
  <c r="CQ26" i="158"/>
  <c r="K48" i="158"/>
  <c r="BS48" i="158" s="1"/>
  <c r="BW3" i="158"/>
  <c r="CQ61" i="158"/>
  <c r="CR61" i="159"/>
  <c r="K48" i="159"/>
  <c r="K48" i="161"/>
  <c r="AC48" i="124"/>
  <c r="CQ48" i="158" s="1"/>
  <c r="K44" i="161"/>
  <c r="AW77" i="124"/>
  <c r="BR25" i="161"/>
  <c r="BM65" i="161"/>
  <c r="K37" i="159"/>
  <c r="K52" i="161"/>
  <c r="BM44" i="158"/>
  <c r="BY44" i="158" s="1"/>
  <c r="M39" i="159"/>
  <c r="AC37" i="124"/>
  <c r="AB2" i="124"/>
  <c r="AB74" i="124" s="1"/>
  <c r="BS44" i="158"/>
  <c r="CE44" i="158" s="1"/>
  <c r="AC52" i="124"/>
  <c r="BM52" i="158"/>
  <c r="CP37" i="158"/>
  <c r="K2" i="158"/>
  <c r="BL2" i="158" s="1"/>
  <c r="BN44" i="158"/>
  <c r="BZ44" i="158" s="1"/>
  <c r="BK52" i="158"/>
  <c r="BW52" i="158" s="1"/>
  <c r="K2" i="159"/>
  <c r="M17" i="159"/>
  <c r="BP44" i="158"/>
  <c r="CB44" i="158" s="1"/>
  <c r="CP52" i="158"/>
  <c r="M50" i="159"/>
  <c r="K37" i="161"/>
  <c r="BU52" i="158"/>
  <c r="CG52" i="158" s="1"/>
  <c r="BS52" i="158"/>
  <c r="BL3" i="161"/>
  <c r="CP30" i="158"/>
  <c r="K30" i="158"/>
  <c r="BT30" i="158" s="1"/>
  <c r="BQ50" i="158"/>
  <c r="CC50" i="158" s="1"/>
  <c r="BU50" i="158"/>
  <c r="CG50" i="158" s="1"/>
  <c r="M40" i="161"/>
  <c r="BZ25" i="158"/>
  <c r="BZ25" i="161" s="1"/>
  <c r="BT38" i="158"/>
  <c r="CF38" i="158" s="1"/>
  <c r="M34" i="158"/>
  <c r="M34" i="159"/>
  <c r="BN52" i="158"/>
  <c r="BQ25" i="161"/>
  <c r="CR10" i="158"/>
  <c r="K30" i="159"/>
  <c r="BR38" i="158"/>
  <c r="BM38" i="158"/>
  <c r="M36" i="158"/>
  <c r="BO52" i="158"/>
  <c r="CA52" i="158" s="1"/>
  <c r="M20" i="158"/>
  <c r="K30" i="161"/>
  <c r="BO38" i="158"/>
  <c r="BU38" i="158"/>
  <c r="M20" i="159"/>
  <c r="BS65" i="161"/>
  <c r="BK50" i="158"/>
  <c r="BW50" i="158" s="1"/>
  <c r="BK38" i="158"/>
  <c r="BJ38" i="158"/>
  <c r="K38" i="159"/>
  <c r="M36" i="159"/>
  <c r="BP52" i="158"/>
  <c r="CB52" i="158" s="1"/>
  <c r="M51" i="159"/>
  <c r="CS60" i="159"/>
  <c r="BQ52" i="158"/>
  <c r="CC52" i="158" s="1"/>
  <c r="BS50" i="158"/>
  <c r="CE50" i="158" s="1"/>
  <c r="BP38" i="158"/>
  <c r="BN38" i="158"/>
  <c r="BZ38" i="158" s="1"/>
  <c r="M51" i="161"/>
  <c r="BL52" i="158"/>
  <c r="BX52" i="158" s="1"/>
  <c r="BJ52" i="158"/>
  <c r="BV52" i="158" s="1"/>
  <c r="BL50" i="158"/>
  <c r="BX50" i="158" s="1"/>
  <c r="BS38" i="158"/>
  <c r="CE38" i="158" s="1"/>
  <c r="BT52" i="158"/>
  <c r="CF52" i="158" s="1"/>
  <c r="CR59" i="159"/>
  <c r="BO50" i="158"/>
  <c r="CA50" i="158" s="1"/>
  <c r="AB38" i="124"/>
  <c r="AC38" i="124" s="1"/>
  <c r="BS26" i="159"/>
  <c r="BS26" i="161" s="1"/>
  <c r="M46" i="158"/>
  <c r="CS59" i="159"/>
  <c r="M42" i="159"/>
  <c r="M39" i="161"/>
  <c r="M17" i="161"/>
  <c r="BR3" i="161"/>
  <c r="L16" i="158"/>
  <c r="AL14" i="126"/>
  <c r="BN36" i="158"/>
  <c r="BZ36" i="158" s="1"/>
  <c r="L16" i="159"/>
  <c r="M2" i="158"/>
  <c r="BT61" i="161"/>
  <c r="M2" i="159"/>
  <c r="K44" i="159"/>
  <c r="BM61" i="161"/>
  <c r="CD3" i="158"/>
  <c r="BM26" i="159"/>
  <c r="BM26" i="161" s="1"/>
  <c r="BQ61" i="161"/>
  <c r="BK65" i="161"/>
  <c r="AL10" i="126"/>
  <c r="BU26" i="159"/>
  <c r="CR10" i="159"/>
  <c r="BL26" i="159"/>
  <c r="CR28" i="159"/>
  <c r="AH29" i="124"/>
  <c r="CP29" i="159" s="1"/>
  <c r="AC29" i="124"/>
  <c r="CQ29" i="158" s="1"/>
  <c r="CP29" i="158"/>
  <c r="CP26" i="159"/>
  <c r="M50" i="158"/>
  <c r="M43" i="158"/>
  <c r="M40" i="159"/>
  <c r="CQ12" i="158"/>
  <c r="BU3" i="161"/>
  <c r="M37" i="158"/>
  <c r="CG3" i="158"/>
  <c r="CG3" i="161" s="1"/>
  <c r="M37" i="159"/>
  <c r="AL11" i="126"/>
  <c r="K29" i="158"/>
  <c r="M41" i="158"/>
  <c r="M41" i="159"/>
  <c r="M18" i="158"/>
  <c r="AH7" i="124"/>
  <c r="M18" i="159"/>
  <c r="CB3" i="158"/>
  <c r="CB3" i="161" s="1"/>
  <c r="BM39" i="158"/>
  <c r="BU39" i="158"/>
  <c r="BQ39" i="158"/>
  <c r="AM45" i="124"/>
  <c r="AN45" i="124" s="1"/>
  <c r="AM46" i="124"/>
  <c r="AN46" i="124" s="1"/>
  <c r="L46" i="161"/>
  <c r="L46" i="159"/>
  <c r="L46" i="158"/>
  <c r="K41" i="124"/>
  <c r="N41" i="124" s="1"/>
  <c r="K42" i="124"/>
  <c r="N42" i="124" s="1"/>
  <c r="M8" i="161"/>
  <c r="P42" i="124"/>
  <c r="S42" i="124" s="1"/>
  <c r="P41" i="124"/>
  <c r="S41" i="124" s="1"/>
  <c r="L45" i="158"/>
  <c r="L45" i="161"/>
  <c r="L45" i="159"/>
  <c r="AL9" i="126"/>
  <c r="M8" i="159"/>
  <c r="K51" i="158"/>
  <c r="M45" i="159"/>
  <c r="M45" i="158"/>
  <c r="P38" i="124"/>
  <c r="S38" i="124" s="1"/>
  <c r="P37" i="124"/>
  <c r="S37" i="124" s="1"/>
  <c r="AM42" i="124"/>
  <c r="AN42" i="124" s="1"/>
  <c r="AM41" i="124"/>
  <c r="K51" i="161"/>
  <c r="AL13" i="126"/>
  <c r="M22" i="161"/>
  <c r="M22" i="158"/>
  <c r="M21" i="161"/>
  <c r="M21" i="159"/>
  <c r="M21" i="158"/>
  <c r="K51" i="159"/>
  <c r="M38" i="158"/>
  <c r="M38" i="161"/>
  <c r="M38" i="159"/>
  <c r="K45" i="124"/>
  <c r="N45" i="124" s="1"/>
  <c r="K46" i="124"/>
  <c r="N46" i="124" s="1"/>
  <c r="K21" i="161"/>
  <c r="K21" i="159"/>
  <c r="K21" i="158"/>
  <c r="AB21" i="124"/>
  <c r="L21" i="158"/>
  <c r="L21" i="161"/>
  <c r="K31" i="158"/>
  <c r="AB31" i="124"/>
  <c r="K31" i="161"/>
  <c r="K31" i="159"/>
  <c r="P40" i="124"/>
  <c r="S40" i="124" s="1"/>
  <c r="P39" i="124"/>
  <c r="S39" i="124" s="1"/>
  <c r="L22" i="161"/>
  <c r="L22" i="159"/>
  <c r="L22" i="158"/>
  <c r="M44" i="161"/>
  <c r="M44" i="159"/>
  <c r="M44" i="158"/>
  <c r="K32" i="159"/>
  <c r="K32" i="161"/>
  <c r="K32" i="158"/>
  <c r="AB32" i="124"/>
  <c r="P17" i="124"/>
  <c r="S17" i="124" s="1"/>
  <c r="P18" i="124"/>
  <c r="S18" i="124" s="1"/>
  <c r="M47" i="158"/>
  <c r="M47" i="161"/>
  <c r="M47" i="159"/>
  <c r="M49" i="161"/>
  <c r="M49" i="159"/>
  <c r="M49" i="158"/>
  <c r="P47" i="124"/>
  <c r="S47" i="124" s="1"/>
  <c r="AH47" i="124" s="1"/>
  <c r="P48" i="124"/>
  <c r="S48" i="124" s="1"/>
  <c r="P44" i="124"/>
  <c r="S44" i="124" s="1"/>
  <c r="P43" i="124"/>
  <c r="S43" i="124" s="1"/>
  <c r="P50" i="124"/>
  <c r="S50" i="124" s="1"/>
  <c r="P49" i="124"/>
  <c r="S49" i="124" s="1"/>
  <c r="P52" i="124"/>
  <c r="S52" i="124" s="1"/>
  <c r="P51" i="124"/>
  <c r="S51" i="124" s="1"/>
  <c r="K18" i="161"/>
  <c r="K18" i="159"/>
  <c r="K18" i="158"/>
  <c r="M53" i="161"/>
  <c r="M53" i="159"/>
  <c r="M53" i="158"/>
  <c r="K29" i="161"/>
  <c r="K29" i="159"/>
  <c r="M19" i="161"/>
  <c r="M19" i="159"/>
  <c r="K39" i="161"/>
  <c r="AB39" i="124"/>
  <c r="Q9" i="124"/>
  <c r="Q8" i="124"/>
  <c r="K49" i="159"/>
  <c r="K49" i="161"/>
  <c r="K49" i="158"/>
  <c r="AB49" i="124"/>
  <c r="P36" i="124"/>
  <c r="S36" i="124" s="1"/>
  <c r="P35" i="124"/>
  <c r="S35" i="124" s="1"/>
  <c r="P34" i="124"/>
  <c r="S34" i="124" s="1"/>
  <c r="P33" i="124"/>
  <c r="S33" i="124" s="1"/>
  <c r="K33" i="161"/>
  <c r="K33" i="159"/>
  <c r="K33" i="158"/>
  <c r="AB33" i="124"/>
  <c r="P53" i="124"/>
  <c r="S53" i="124" s="1"/>
  <c r="P54" i="124"/>
  <c r="S54" i="124" s="1"/>
  <c r="AH54" i="124" s="1"/>
  <c r="P20" i="124"/>
  <c r="S20" i="124" s="1"/>
  <c r="P19" i="124"/>
  <c r="S19" i="124" s="1"/>
  <c r="AH19" i="124" s="1"/>
  <c r="AB36" i="124"/>
  <c r="K36" i="159"/>
  <c r="M55" i="159"/>
  <c r="M55" i="158"/>
  <c r="M55" i="161"/>
  <c r="AB20" i="124"/>
  <c r="K20" i="161"/>
  <c r="K20" i="159"/>
  <c r="K20" i="158"/>
  <c r="AB22" i="124"/>
  <c r="K22" i="161"/>
  <c r="K22" i="159"/>
  <c r="K22" i="158"/>
  <c r="P8" i="124"/>
  <c r="S8" i="124" s="1"/>
  <c r="P9" i="124"/>
  <c r="S9" i="124" s="1"/>
  <c r="L55" i="158"/>
  <c r="L55" i="161"/>
  <c r="L55" i="159"/>
  <c r="AB8" i="124"/>
  <c r="K8" i="161"/>
  <c r="K8" i="159"/>
  <c r="K8" i="158"/>
  <c r="BO36" i="158"/>
  <c r="CA36" i="158" s="1"/>
  <c r="BJ39" i="158"/>
  <c r="BN39" i="158"/>
  <c r="BP36" i="158"/>
  <c r="BR39" i="158"/>
  <c r="BO39" i="158"/>
  <c r="BV3" i="158"/>
  <c r="BQ36" i="158"/>
  <c r="CC36" i="158" s="1"/>
  <c r="BK39" i="158"/>
  <c r="BP39" i="158"/>
  <c r="CB39" i="158" s="1"/>
  <c r="AH15" i="124"/>
  <c r="CP15" i="159" s="1"/>
  <c r="CQ44" i="158"/>
  <c r="BL36" i="158"/>
  <c r="BJ36" i="158"/>
  <c r="BV36" i="158" s="1"/>
  <c r="BS39" i="158"/>
  <c r="BU61" i="161"/>
  <c r="CQ4" i="158"/>
  <c r="CR60" i="159"/>
  <c r="BT36" i="158"/>
  <c r="BR36" i="158"/>
  <c r="CD36" i="158" s="1"/>
  <c r="BL39" i="158"/>
  <c r="BX39" i="158" s="1"/>
  <c r="BZ61" i="158"/>
  <c r="CG61" i="158"/>
  <c r="BJ3" i="161"/>
  <c r="BM36" i="158"/>
  <c r="BY36" i="158" s="1"/>
  <c r="BK36" i="158"/>
  <c r="BT39" i="158"/>
  <c r="CF39" i="158" s="1"/>
  <c r="BU36" i="158"/>
  <c r="CG36" i="158" s="1"/>
  <c r="CM65" i="158"/>
  <c r="CR65" i="158" s="1"/>
  <c r="CM25" i="158"/>
  <c r="CR25" i="158" s="1"/>
  <c r="BO61" i="161"/>
  <c r="BK26" i="161"/>
  <c r="CR11" i="158"/>
  <c r="CA61" i="158"/>
  <c r="CA61" i="161" s="1"/>
  <c r="BK61" i="161"/>
  <c r="BL25" i="161"/>
  <c r="BX25" i="158"/>
  <c r="BX61" i="158"/>
  <c r="BX61" i="161" s="1"/>
  <c r="CA65" i="158"/>
  <c r="CA65" i="161" s="1"/>
  <c r="BO65" i="161"/>
  <c r="BP26" i="159"/>
  <c r="CR57" i="158"/>
  <c r="BU9" i="158"/>
  <c r="BK9" i="158"/>
  <c r="CC61" i="158"/>
  <c r="CC61" i="161" s="1"/>
  <c r="BT3" i="161"/>
  <c r="BJ9" i="158"/>
  <c r="BV9" i="158" s="1"/>
  <c r="BS9" i="158"/>
  <c r="CE9" i="158" s="1"/>
  <c r="CM61" i="158"/>
  <c r="CR61" i="158" s="1"/>
  <c r="BQ3" i="161"/>
  <c r="BM9" i="158"/>
  <c r="BY9" i="158" s="1"/>
  <c r="BL9" i="158"/>
  <c r="BX9" i="158" s="1"/>
  <c r="BN9" i="158"/>
  <c r="BT9" i="158"/>
  <c r="BO3" i="161"/>
  <c r="BO9" i="158"/>
  <c r="CA3" i="158"/>
  <c r="BM3" i="161"/>
  <c r="BR61" i="161"/>
  <c r="AC15" i="124"/>
  <c r="CM3" i="158"/>
  <c r="CR3" i="158" s="1"/>
  <c r="CP15" i="158"/>
  <c r="BN3" i="161"/>
  <c r="BY61" i="158"/>
  <c r="BY61" i="161" s="1"/>
  <c r="BO37" i="158"/>
  <c r="BK37" i="158"/>
  <c r="CQ60" i="158"/>
  <c r="CR5" i="159"/>
  <c r="CA12" i="161"/>
  <c r="CA25" i="161"/>
  <c r="CC12" i="161"/>
  <c r="AV78" i="124"/>
  <c r="CP19" i="158"/>
  <c r="AC19" i="124"/>
  <c r="BN19" i="158"/>
  <c r="BK19" i="158"/>
  <c r="BU19" i="158"/>
  <c r="BJ19" i="158"/>
  <c r="BO19" i="158"/>
  <c r="BL19" i="158"/>
  <c r="BM19" i="158"/>
  <c r="BT19" i="158"/>
  <c r="BS19" i="158"/>
  <c r="BR19" i="158"/>
  <c r="BP19" i="158"/>
  <c r="BQ19" i="158"/>
  <c r="CQ11" i="158"/>
  <c r="CN56" i="159"/>
  <c r="CS56" i="159" s="1"/>
  <c r="CN3" i="159"/>
  <c r="CS3" i="159" s="1"/>
  <c r="AT78" i="124"/>
  <c r="CC13" i="158"/>
  <c r="BX5" i="158"/>
  <c r="BX5" i="161" s="1"/>
  <c r="CD9" i="158"/>
  <c r="CN5" i="159"/>
  <c r="CS5" i="159" s="1"/>
  <c r="CM13" i="158"/>
  <c r="CR13" i="158" s="1"/>
  <c r="BV13" i="158"/>
  <c r="CD13" i="158"/>
  <c r="BR26" i="161"/>
  <c r="BX26" i="159"/>
  <c r="CN4" i="159"/>
  <c r="CS4" i="159" s="1"/>
  <c r="BW13" i="158"/>
  <c r="CB13" i="158"/>
  <c r="BJ26" i="161"/>
  <c r="CE26" i="159"/>
  <c r="CQ55" i="158"/>
  <c r="BO26" i="161"/>
  <c r="CB24" i="158"/>
  <c r="BY24" i="158"/>
  <c r="CC56" i="158"/>
  <c r="CG56" i="158"/>
  <c r="CG56" i="161" s="1"/>
  <c r="BW15" i="158"/>
  <c r="BK15" i="159"/>
  <c r="CG15" i="158"/>
  <c r="BU15" i="159"/>
  <c r="CD62" i="158"/>
  <c r="CA62" i="158"/>
  <c r="BK13" i="161"/>
  <c r="CC54" i="158"/>
  <c r="BW64" i="158"/>
  <c r="CF28" i="158"/>
  <c r="CD28" i="158"/>
  <c r="CN64" i="159"/>
  <c r="CS64" i="159" s="1"/>
  <c r="CG59" i="158"/>
  <c r="CQ57" i="158"/>
  <c r="CC5" i="158"/>
  <c r="CG5" i="158"/>
  <c r="CM4" i="158"/>
  <c r="CR4" i="158" s="1"/>
  <c r="BV4" i="158"/>
  <c r="BZ4" i="158"/>
  <c r="CG26" i="159"/>
  <c r="CE6" i="158"/>
  <c r="CB26" i="159"/>
  <c r="CA58" i="161"/>
  <c r="CM63" i="158"/>
  <c r="CR63" i="158" s="1"/>
  <c r="BV63" i="158"/>
  <c r="CF63" i="158"/>
  <c r="CM14" i="158"/>
  <c r="BV14" i="158"/>
  <c r="BJ14" i="159"/>
  <c r="CD14" i="158"/>
  <c r="BR14" i="159"/>
  <c r="CA26" i="159"/>
  <c r="CD23" i="158"/>
  <c r="CA23" i="158"/>
  <c r="CD12" i="161"/>
  <c r="AI55" i="124"/>
  <c r="CN28" i="159"/>
  <c r="CS28" i="159" s="1"/>
  <c r="CN11" i="158"/>
  <c r="BY62" i="158"/>
  <c r="CA64" i="158"/>
  <c r="CG64" i="158"/>
  <c r="CB28" i="158"/>
  <c r="CM59" i="158"/>
  <c r="CR59" i="158" s="1"/>
  <c r="BV59" i="158"/>
  <c r="CD59" i="158"/>
  <c r="BP47" i="158"/>
  <c r="BO47" i="158"/>
  <c r="BN47" i="158"/>
  <c r="BU47" i="158"/>
  <c r="BM47" i="158"/>
  <c r="BT47" i="158"/>
  <c r="BL47" i="158"/>
  <c r="BS47" i="158"/>
  <c r="BK47" i="158"/>
  <c r="BR47" i="158"/>
  <c r="BJ47" i="158"/>
  <c r="BQ47" i="158"/>
  <c r="CF26" i="159"/>
  <c r="AX77" i="124"/>
  <c r="CP14" i="159"/>
  <c r="CD52" i="158"/>
  <c r="CN6" i="159"/>
  <c r="CS6" i="159" s="1"/>
  <c r="CE57" i="161"/>
  <c r="BV25" i="161"/>
  <c r="CN25" i="159"/>
  <c r="CS25" i="159" s="1"/>
  <c r="CP47" i="158"/>
  <c r="AC47" i="124"/>
  <c r="CG13" i="158"/>
  <c r="CG13" i="161" s="1"/>
  <c r="CF25" i="161"/>
  <c r="BT26" i="161"/>
  <c r="CC24" i="158"/>
  <c r="CG24" i="158"/>
  <c r="CQ65" i="158"/>
  <c r="CQ6" i="158"/>
  <c r="BW26" i="159"/>
  <c r="CM56" i="158"/>
  <c r="CR56" i="158" s="1"/>
  <c r="BV56" i="158"/>
  <c r="BZ56" i="158"/>
  <c r="BX15" i="158"/>
  <c r="BL15" i="159"/>
  <c r="BZ15" i="158"/>
  <c r="BN15" i="159"/>
  <c r="CE62" i="158"/>
  <c r="BX54" i="158"/>
  <c r="CE64" i="158"/>
  <c r="BY28" i="158"/>
  <c r="BW28" i="158"/>
  <c r="BX59" i="158"/>
  <c r="CM5" i="158"/>
  <c r="CR5" i="158" s="1"/>
  <c r="BV5" i="158"/>
  <c r="BZ5" i="158"/>
  <c r="CN57" i="159"/>
  <c r="CS57" i="159" s="1"/>
  <c r="CD4" i="158"/>
  <c r="CA4" i="158"/>
  <c r="CA4" i="161" s="1"/>
  <c r="CN58" i="158"/>
  <c r="BU56" i="161"/>
  <c r="BP13" i="161"/>
  <c r="BW6" i="158"/>
  <c r="CC63" i="158"/>
  <c r="BY63" i="158"/>
  <c r="CF14" i="158"/>
  <c r="BT14" i="159"/>
  <c r="CE14" i="158"/>
  <c r="BS14" i="159"/>
  <c r="BW23" i="158"/>
  <c r="CB23" i="158"/>
  <c r="AX75" i="124"/>
  <c r="CC27" i="161"/>
  <c r="BX56" i="158"/>
  <c r="CQ63" i="158"/>
  <c r="CQ56" i="158"/>
  <c r="CC6" i="158"/>
  <c r="BY6" i="158"/>
  <c r="BY26" i="159"/>
  <c r="BY23" i="158"/>
  <c r="CQ24" i="158"/>
  <c r="BZ26" i="159"/>
  <c r="CF58" i="161"/>
  <c r="BX13" i="158"/>
  <c r="BO64" i="161"/>
  <c r="BL56" i="161"/>
  <c r="CM24" i="158"/>
  <c r="CR24" i="158" s="1"/>
  <c r="BV24" i="158"/>
  <c r="BZ24" i="158"/>
  <c r="CD56" i="158"/>
  <c r="CD56" i="161" s="1"/>
  <c r="CA56" i="158"/>
  <c r="BW11" i="161"/>
  <c r="CA15" i="158"/>
  <c r="BO15" i="159"/>
  <c r="CB62" i="158"/>
  <c r="CB64" i="158"/>
  <c r="BX64" i="158"/>
  <c r="CG28" i="158"/>
  <c r="CE28" i="158"/>
  <c r="BY59" i="158"/>
  <c r="BU16" i="158"/>
  <c r="BM16" i="158"/>
  <c r="BT16" i="158"/>
  <c r="BL16" i="158"/>
  <c r="BQ16" i="158"/>
  <c r="BP16" i="158"/>
  <c r="BO16" i="158"/>
  <c r="BN16" i="158"/>
  <c r="BK16" i="158"/>
  <c r="BJ16" i="158"/>
  <c r="BS16" i="158"/>
  <c r="BR16" i="158"/>
  <c r="CD5" i="158"/>
  <c r="CA5" i="158"/>
  <c r="CA57" i="161"/>
  <c r="BW4" i="158"/>
  <c r="BW25" i="161"/>
  <c r="BX3" i="161"/>
  <c r="CF6" i="158"/>
  <c r="BR28" i="161"/>
  <c r="CC57" i="161"/>
  <c r="CQ23" i="158"/>
  <c r="BO4" i="161"/>
  <c r="CD63" i="158"/>
  <c r="CG63" i="158"/>
  <c r="BW14" i="158"/>
  <c r="BK14" i="159"/>
  <c r="BZ14" i="158"/>
  <c r="BN14" i="159"/>
  <c r="CE23" i="158"/>
  <c r="CB11" i="161"/>
  <c r="CE24" i="158"/>
  <c r="CE24" i="161" s="1"/>
  <c r="CP16" i="159"/>
  <c r="CF4" i="158"/>
  <c r="CE27" i="161"/>
  <c r="CG60" i="161"/>
  <c r="BV10" i="161"/>
  <c r="CN10" i="159"/>
  <c r="CS10" i="159" s="1"/>
  <c r="BY13" i="158"/>
  <c r="CQ13" i="158"/>
  <c r="BX12" i="161"/>
  <c r="CE36" i="158"/>
  <c r="CD24" i="158"/>
  <c r="CA24" i="158"/>
  <c r="CF61" i="161"/>
  <c r="BJ59" i="161"/>
  <c r="BW56" i="158"/>
  <c r="BX10" i="161"/>
  <c r="CB15" i="158"/>
  <c r="BP15" i="159"/>
  <c r="BX62" i="158"/>
  <c r="CC64" i="158"/>
  <c r="CF64" i="158"/>
  <c r="BZ28" i="158"/>
  <c r="BZ59" i="158"/>
  <c r="BN56" i="161"/>
  <c r="BW5" i="158"/>
  <c r="CE4" i="158"/>
  <c r="CC65" i="161"/>
  <c r="CF27" i="161"/>
  <c r="CC26" i="159"/>
  <c r="CQ35" i="158"/>
  <c r="BP28" i="161"/>
  <c r="BJ5" i="161"/>
  <c r="BU13" i="161"/>
  <c r="BX6" i="158"/>
  <c r="CF11" i="161"/>
  <c r="BM13" i="161"/>
  <c r="CA63" i="158"/>
  <c r="BZ63" i="158"/>
  <c r="BN63" i="161"/>
  <c r="CP7" i="158"/>
  <c r="AC7" i="124"/>
  <c r="CG14" i="158"/>
  <c r="BU14" i="159"/>
  <c r="CA14" i="158"/>
  <c r="BO14" i="159"/>
  <c r="BX23" i="158"/>
  <c r="CD25" i="161"/>
  <c r="BZ12" i="161"/>
  <c r="CG25" i="161"/>
  <c r="CC25" i="161"/>
  <c r="BZ3" i="161"/>
  <c r="CE13" i="158"/>
  <c r="CM62" i="158"/>
  <c r="CR62" i="158" s="1"/>
  <c r="BV62" i="158"/>
  <c r="CD26" i="159"/>
  <c r="BW63" i="158"/>
  <c r="BZ11" i="161"/>
  <c r="BZ13" i="158"/>
  <c r="CR27" i="159"/>
  <c r="BW24" i="158"/>
  <c r="CE56" i="158"/>
  <c r="BY3" i="161"/>
  <c r="CC15" i="158"/>
  <c r="BQ15" i="159"/>
  <c r="CF62" i="158"/>
  <c r="BZ64" i="158"/>
  <c r="BY64" i="158"/>
  <c r="CA28" i="158"/>
  <c r="CC44" i="158"/>
  <c r="BN28" i="161"/>
  <c r="CR58" i="159"/>
  <c r="CE59" i="158"/>
  <c r="CC59" i="158"/>
  <c r="CE5" i="158"/>
  <c r="BS64" i="161"/>
  <c r="BM6" i="161"/>
  <c r="CE25" i="161"/>
  <c r="BR5" i="161"/>
  <c r="BX4" i="158"/>
  <c r="CB12" i="161"/>
  <c r="CP62" i="159"/>
  <c r="CQ62" i="158"/>
  <c r="CB25" i="161"/>
  <c r="CB6" i="158"/>
  <c r="CG6" i="158"/>
  <c r="CQ64" i="158"/>
  <c r="BO5" i="161"/>
  <c r="BT4" i="161"/>
  <c r="BQ56" i="161"/>
  <c r="CB63" i="158"/>
  <c r="BP24" i="161"/>
  <c r="BK7" i="158"/>
  <c r="BX14" i="158"/>
  <c r="BL14" i="159"/>
  <c r="CF23" i="158"/>
  <c r="BZ27" i="161"/>
  <c r="CB61" i="161"/>
  <c r="CN58" i="159"/>
  <c r="CS58" i="159" s="1"/>
  <c r="BW61" i="161"/>
  <c r="CC10" i="161"/>
  <c r="BY12" i="161"/>
  <c r="CE60" i="161"/>
  <c r="BY25" i="161"/>
  <c r="CE3" i="161"/>
  <c r="CG10" i="161"/>
  <c r="CN23" i="159"/>
  <c r="CS23" i="159" s="1"/>
  <c r="BQ13" i="161"/>
  <c r="AI62" i="124"/>
  <c r="BT62" i="159"/>
  <c r="CG62" i="159"/>
  <c r="BO62" i="159"/>
  <c r="BL62" i="159"/>
  <c r="BY62" i="159"/>
  <c r="CD62" i="159"/>
  <c r="CA62" i="159"/>
  <c r="BQ62" i="159"/>
  <c r="BV62" i="159"/>
  <c r="BZ62" i="124" s="1"/>
  <c r="BS62" i="159"/>
  <c r="CF62" i="159"/>
  <c r="BN62" i="159"/>
  <c r="BK62" i="159"/>
  <c r="BX62" i="159"/>
  <c r="CC62" i="159"/>
  <c r="BZ62" i="159"/>
  <c r="BP62" i="159"/>
  <c r="BU62" i="159"/>
  <c r="BR62" i="159"/>
  <c r="CE62" i="159"/>
  <c r="BM62" i="159"/>
  <c r="CB62" i="159"/>
  <c r="BJ62" i="159"/>
  <c r="BW62" i="159"/>
  <c r="BT43" i="158"/>
  <c r="BL43" i="158"/>
  <c r="BS43" i="158"/>
  <c r="BK43" i="158"/>
  <c r="BR43" i="158"/>
  <c r="BJ43" i="158"/>
  <c r="BQ43" i="158"/>
  <c r="BP43" i="158"/>
  <c r="BO43" i="158"/>
  <c r="BN43" i="158"/>
  <c r="BU43" i="158"/>
  <c r="BM43" i="158"/>
  <c r="CN57" i="158"/>
  <c r="BX24" i="158"/>
  <c r="CG57" i="161"/>
  <c r="CF56" i="158"/>
  <c r="CN10" i="158"/>
  <c r="CS10" i="158" s="1"/>
  <c r="CM15" i="158"/>
  <c r="BV15" i="158"/>
  <c r="BJ15" i="159"/>
  <c r="CE15" i="158"/>
  <c r="BS15" i="159"/>
  <c r="BW62" i="158"/>
  <c r="CG62" i="158"/>
  <c r="CM64" i="158"/>
  <c r="CR64" i="158" s="1"/>
  <c r="BV64" i="158"/>
  <c r="CC28" i="158"/>
  <c r="CQ16" i="158"/>
  <c r="AI16" i="124"/>
  <c r="CF59" i="158"/>
  <c r="CA59" i="158"/>
  <c r="CQ28" i="158"/>
  <c r="CN27" i="159"/>
  <c r="CS27" i="159" s="1"/>
  <c r="CF5" i="158"/>
  <c r="CF3" i="161"/>
  <c r="CB4" i="158"/>
  <c r="BY4" i="158"/>
  <c r="BN24" i="161"/>
  <c r="CC3" i="161"/>
  <c r="CN11" i="159"/>
  <c r="CS11" i="159" s="1"/>
  <c r="CD6" i="158"/>
  <c r="CA6" i="158"/>
  <c r="BP64" i="161"/>
  <c r="BO6" i="161"/>
  <c r="BT5" i="161"/>
  <c r="CQ3" i="158"/>
  <c r="CE63" i="158"/>
  <c r="CB14" i="158"/>
  <c r="BP14" i="159"/>
  <c r="CC23" i="158"/>
  <c r="CG23" i="158"/>
  <c r="BL5" i="161"/>
  <c r="BW60" i="161"/>
  <c r="BV58" i="161"/>
  <c r="BY27" i="161"/>
  <c r="CG12" i="161"/>
  <c r="CD15" i="158"/>
  <c r="BR15" i="159"/>
  <c r="BY14" i="158"/>
  <c r="BM14" i="159"/>
  <c r="CN12" i="159"/>
  <c r="CS12" i="159" s="1"/>
  <c r="BP55" i="158"/>
  <c r="BO55" i="158"/>
  <c r="BN55" i="158"/>
  <c r="BU55" i="158"/>
  <c r="BM55" i="158"/>
  <c r="BT55" i="158"/>
  <c r="BL55" i="158"/>
  <c r="BS55" i="158"/>
  <c r="BK55" i="158"/>
  <c r="BR55" i="158"/>
  <c r="BJ55" i="158"/>
  <c r="BQ55" i="158"/>
  <c r="BK63" i="161"/>
  <c r="CQ14" i="158"/>
  <c r="AI14" i="124"/>
  <c r="CF13" i="158"/>
  <c r="CA13" i="158"/>
  <c r="BT13" i="161"/>
  <c r="BR59" i="161"/>
  <c r="BZ58" i="161"/>
  <c r="BL13" i="161"/>
  <c r="CF24" i="158"/>
  <c r="BQ28" i="161"/>
  <c r="CB56" i="158"/>
  <c r="BY56" i="158"/>
  <c r="BM23" i="161"/>
  <c r="CF15" i="158"/>
  <c r="BT15" i="159"/>
  <c r="BY15" i="158"/>
  <c r="BM15" i="159"/>
  <c r="CQ30" i="158"/>
  <c r="CC62" i="158"/>
  <c r="BZ62" i="158"/>
  <c r="CN13" i="159"/>
  <c r="CS13" i="159" s="1"/>
  <c r="CD64" i="158"/>
  <c r="BX28" i="158"/>
  <c r="CM28" i="158"/>
  <c r="CR28" i="158" s="1"/>
  <c r="BV28" i="158"/>
  <c r="BV28" i="161" s="1"/>
  <c r="CE58" i="161"/>
  <c r="BW59" i="158"/>
  <c r="CB59" i="158"/>
  <c r="CF65" i="161"/>
  <c r="BS13" i="161"/>
  <c r="BQ26" i="161"/>
  <c r="CB5" i="158"/>
  <c r="BY5" i="158"/>
  <c r="CN26" i="158"/>
  <c r="BV26" i="159"/>
  <c r="BZ26" i="124" s="1"/>
  <c r="BK28" i="161"/>
  <c r="CC4" i="158"/>
  <c r="CG4" i="158"/>
  <c r="BU28" i="161"/>
  <c r="CD58" i="161"/>
  <c r="CA11" i="161"/>
  <c r="BZ65" i="161"/>
  <c r="CN27" i="158"/>
  <c r="CS27" i="158" s="1"/>
  <c r="CM6" i="158"/>
  <c r="CR6" i="158" s="1"/>
  <c r="BV6" i="158"/>
  <c r="BV6" i="161" s="1"/>
  <c r="BZ6" i="158"/>
  <c r="BK24" i="161"/>
  <c r="BR13" i="161"/>
  <c r="BX63" i="158"/>
  <c r="BS63" i="161"/>
  <c r="BM64" i="161"/>
  <c r="BU24" i="161"/>
  <c r="CC14" i="158"/>
  <c r="BQ14" i="159"/>
  <c r="CM23" i="158"/>
  <c r="CR23" i="158" s="1"/>
  <c r="BV23" i="158"/>
  <c r="BZ23" i="158"/>
  <c r="BJ13" i="161"/>
  <c r="CD27" i="161"/>
  <c r="CN63" i="159"/>
  <c r="CS63" i="159" s="1"/>
  <c r="BY10" i="161"/>
  <c r="BZ57" i="161"/>
  <c r="AK231" i="127"/>
  <c r="AK230" i="127"/>
  <c r="BH66" i="124"/>
  <c r="BJ44" i="158" l="1"/>
  <c r="BN50" i="158"/>
  <c r="BZ50" i="158" s="1"/>
  <c r="BR50" i="158"/>
  <c r="CD50" i="158" s="1"/>
  <c r="BR44" i="158"/>
  <c r="CD44" i="158" s="1"/>
  <c r="BT44" i="158"/>
  <c r="CF44" i="158" s="1"/>
  <c r="CN12" i="158"/>
  <c r="AZ76" i="124"/>
  <c r="CR14" i="158"/>
  <c r="BX38" i="158"/>
  <c r="AH9" i="124"/>
  <c r="BV12" i="161"/>
  <c r="BT37" i="158"/>
  <c r="BN37" i="158"/>
  <c r="BR37" i="158"/>
  <c r="CD37" i="158" s="1"/>
  <c r="BO44" i="158"/>
  <c r="BK44" i="158"/>
  <c r="BW44" i="158" s="1"/>
  <c r="BP37" i="158"/>
  <c r="BM37" i="158"/>
  <c r="BU44" i="158"/>
  <c r="BS37" i="158"/>
  <c r="BU37" i="158"/>
  <c r="BQ37" i="158"/>
  <c r="BL37" i="158"/>
  <c r="AZ77" i="124"/>
  <c r="AZ74" i="124"/>
  <c r="AZ75" i="124"/>
  <c r="CQ26" i="159"/>
  <c r="AZ66" i="124"/>
  <c r="BO15" i="124"/>
  <c r="BP15" i="124" s="1"/>
  <c r="BO21" i="124"/>
  <c r="BP21" i="124" s="1"/>
  <c r="BO18" i="124"/>
  <c r="BP18" i="124" s="1"/>
  <c r="BO20" i="124"/>
  <c r="BP20" i="124" s="1"/>
  <c r="BO26" i="124"/>
  <c r="BP26" i="124" s="1"/>
  <c r="BO16" i="124"/>
  <c r="BP16" i="124" s="1"/>
  <c r="BO14" i="124"/>
  <c r="BP14" i="124" s="1"/>
  <c r="BO19" i="124"/>
  <c r="BP19" i="124" s="1"/>
  <c r="BO28" i="124"/>
  <c r="BP28" i="124" s="1"/>
  <c r="BO24" i="124"/>
  <c r="BP24" i="124" s="1"/>
  <c r="BO23" i="124"/>
  <c r="BP23" i="124" s="1"/>
  <c r="BO27" i="124"/>
  <c r="BP27" i="124" s="1"/>
  <c r="BO22" i="124"/>
  <c r="BP22" i="124" s="1"/>
  <c r="BO17" i="124"/>
  <c r="BP17" i="124" s="1"/>
  <c r="BO25" i="124"/>
  <c r="BP25" i="124" s="1"/>
  <c r="AS78" i="124"/>
  <c r="BV66" i="124"/>
  <c r="BR7" i="124"/>
  <c r="BR9" i="124"/>
  <c r="BR10" i="124"/>
  <c r="BR11" i="124"/>
  <c r="BR12" i="124"/>
  <c r="BR8" i="124"/>
  <c r="BR13" i="124"/>
  <c r="BR15" i="124"/>
  <c r="BR23" i="124"/>
  <c r="BR17" i="124"/>
  <c r="BR25" i="124"/>
  <c r="BR18" i="124"/>
  <c r="BR26" i="124"/>
  <c r="BR19" i="124"/>
  <c r="BR27" i="124"/>
  <c r="BR20" i="124"/>
  <c r="BR28" i="124"/>
  <c r="BR14" i="124"/>
  <c r="BR16" i="124"/>
  <c r="BU16" i="124" s="1"/>
  <c r="BR21" i="124"/>
  <c r="BR22" i="124"/>
  <c r="BR24" i="124"/>
  <c r="BT8" i="124"/>
  <c r="BT10" i="124"/>
  <c r="BT11" i="124"/>
  <c r="BT12" i="124"/>
  <c r="BT13" i="124"/>
  <c r="BT7" i="124"/>
  <c r="BT9" i="124"/>
  <c r="BR3" i="124"/>
  <c r="BR4" i="124"/>
  <c r="BR6" i="124"/>
  <c r="BR2" i="124"/>
  <c r="BR5" i="124"/>
  <c r="BT2" i="124"/>
  <c r="BT3" i="124"/>
  <c r="BT4" i="124"/>
  <c r="BT5" i="124"/>
  <c r="BT6" i="124"/>
  <c r="BO30" i="124"/>
  <c r="BP30" i="124" s="1"/>
  <c r="BO38" i="124"/>
  <c r="BP38" i="124" s="1"/>
  <c r="BO46" i="124"/>
  <c r="BP46" i="124" s="1"/>
  <c r="BO54" i="124"/>
  <c r="BP54" i="124" s="1"/>
  <c r="BO62" i="124"/>
  <c r="BO31" i="124"/>
  <c r="BO39" i="124"/>
  <c r="BP39" i="124" s="1"/>
  <c r="BO47" i="124"/>
  <c r="BP47" i="124" s="1"/>
  <c r="BO55" i="124"/>
  <c r="BP55" i="124" s="1"/>
  <c r="BO63" i="124"/>
  <c r="BP63" i="124" s="1"/>
  <c r="BO32" i="124"/>
  <c r="BP32" i="124" s="1"/>
  <c r="BO40" i="124"/>
  <c r="BP40" i="124" s="1"/>
  <c r="BO48" i="124"/>
  <c r="BO56" i="124"/>
  <c r="BO64" i="124"/>
  <c r="BP64" i="124" s="1"/>
  <c r="BO33" i="124"/>
  <c r="BP33" i="124" s="1"/>
  <c r="BO41" i="124"/>
  <c r="BP41" i="124" s="1"/>
  <c r="BO49" i="124"/>
  <c r="BP49" i="124" s="1"/>
  <c r="BO57" i="124"/>
  <c r="BP57" i="124" s="1"/>
  <c r="BO65" i="124"/>
  <c r="BP65" i="124" s="1"/>
  <c r="BO34" i="124"/>
  <c r="BO42" i="124"/>
  <c r="BO50" i="124"/>
  <c r="BP50" i="124" s="1"/>
  <c r="BO58" i="124"/>
  <c r="BP58" i="124" s="1"/>
  <c r="BO35" i="124"/>
  <c r="BP35" i="124" s="1"/>
  <c r="BO43" i="124"/>
  <c r="BP43" i="124" s="1"/>
  <c r="BO51" i="124"/>
  <c r="BP51" i="124" s="1"/>
  <c r="BO59" i="124"/>
  <c r="BP59" i="124" s="1"/>
  <c r="BO36" i="124"/>
  <c r="BO44" i="124"/>
  <c r="BO52" i="124"/>
  <c r="BO60" i="124"/>
  <c r="BP60" i="124" s="1"/>
  <c r="BO29" i="124"/>
  <c r="BO37" i="124"/>
  <c r="BP37" i="124" s="1"/>
  <c r="BO45" i="124"/>
  <c r="BP45" i="124" s="1"/>
  <c r="BO53" i="124"/>
  <c r="BP53" i="124" s="1"/>
  <c r="BO61" i="124"/>
  <c r="BL44" i="158"/>
  <c r="AC9" i="124"/>
  <c r="BL7" i="158"/>
  <c r="CA60" i="161"/>
  <c r="BP7" i="158"/>
  <c r="BO7" i="158"/>
  <c r="CQ34" i="158"/>
  <c r="BQ7" i="158"/>
  <c r="BM7" i="158"/>
  <c r="BM7" i="159" s="1"/>
  <c r="BR7" i="158"/>
  <c r="CD7" i="158" s="1"/>
  <c r="BU7" i="158"/>
  <c r="CN60" i="158"/>
  <c r="CS60" i="158" s="1"/>
  <c r="BS7" i="158"/>
  <c r="BS7" i="159" s="1"/>
  <c r="BN7" i="158"/>
  <c r="BJ7" i="158"/>
  <c r="BV7" i="158" s="1"/>
  <c r="BQ9" i="158"/>
  <c r="BW64" i="124"/>
  <c r="BX64" i="124" s="1" a="1"/>
  <c r="BX64" i="124" s="1"/>
  <c r="BW42" i="124"/>
  <c r="BX42" i="124" s="1" a="1"/>
  <c r="BX42" i="124" s="1"/>
  <c r="BW39" i="124"/>
  <c r="BX39" i="124" s="1" a="1"/>
  <c r="BX39" i="124" s="1"/>
  <c r="BW41" i="124"/>
  <c r="BX41" i="124" s="1" a="1"/>
  <c r="BX41" i="124" s="1"/>
  <c r="BW38" i="124"/>
  <c r="BX38" i="124" s="1" a="1"/>
  <c r="BX38" i="124" s="1"/>
  <c r="BW60" i="124"/>
  <c r="BX60" i="124" s="1" a="1"/>
  <c r="BX60" i="124" s="1"/>
  <c r="BW65" i="124"/>
  <c r="BX65" i="124" s="1" a="1"/>
  <c r="BX65" i="124" s="1"/>
  <c r="BW5" i="124"/>
  <c r="BX5" i="124" s="1" a="1"/>
  <c r="BX5" i="124" s="1"/>
  <c r="BW4" i="124"/>
  <c r="BX4" i="124" s="1" a="1"/>
  <c r="BX4" i="124" s="1"/>
  <c r="BW43" i="124"/>
  <c r="BX43" i="124" s="1" a="1"/>
  <c r="BX43" i="124" s="1"/>
  <c r="BW63" i="124"/>
  <c r="BX63" i="124" s="1" a="1"/>
  <c r="BX63" i="124" s="1"/>
  <c r="BW31" i="124"/>
  <c r="BX31" i="124" s="1" a="1"/>
  <c r="BX31" i="124" s="1"/>
  <c r="BW53" i="124"/>
  <c r="BX53" i="124" s="1" a="1"/>
  <c r="BX53" i="124" s="1"/>
  <c r="BW56" i="124"/>
  <c r="BX56" i="124" s="1" a="1"/>
  <c r="BX56" i="124" s="1"/>
  <c r="BW58" i="124"/>
  <c r="BX58" i="124" s="1" a="1"/>
  <c r="BX58" i="124" s="1"/>
  <c r="BW37" i="124"/>
  <c r="BX37" i="124" s="1" a="1"/>
  <c r="BX37" i="124" s="1"/>
  <c r="BW29" i="124"/>
  <c r="BX29" i="124" s="1" a="1"/>
  <c r="BX29" i="124" s="1"/>
  <c r="BW55" i="124"/>
  <c r="BX55" i="124" s="1" a="1"/>
  <c r="BX55" i="124" s="1"/>
  <c r="BW52" i="124"/>
  <c r="BX52" i="124" s="1" a="1"/>
  <c r="BX52" i="124" s="1"/>
  <c r="BW62" i="124"/>
  <c r="BX62" i="124" s="1" a="1"/>
  <c r="BX62" i="124" s="1"/>
  <c r="BW59" i="124"/>
  <c r="BX59" i="124" s="1" a="1"/>
  <c r="BX59" i="124" s="1"/>
  <c r="BW3" i="124"/>
  <c r="BX3" i="124" s="1" a="1"/>
  <c r="BX3" i="124" s="1"/>
  <c r="BU27" i="124"/>
  <c r="BW50" i="124"/>
  <c r="BX50" i="124" s="1" a="1"/>
  <c r="BX50" i="124" s="1"/>
  <c r="BW32" i="124"/>
  <c r="BX32" i="124" s="1" a="1"/>
  <c r="BX32" i="124" s="1"/>
  <c r="BW6" i="124"/>
  <c r="BX6" i="124" s="1" a="1"/>
  <c r="BX6" i="124" s="1"/>
  <c r="BW36" i="124"/>
  <c r="BX36" i="124" s="1" a="1"/>
  <c r="BX36" i="124" s="1"/>
  <c r="BW47" i="124"/>
  <c r="BX47" i="124" s="1" a="1"/>
  <c r="BX47" i="124" s="1"/>
  <c r="BW35" i="124"/>
  <c r="BX35" i="124" s="1" a="1"/>
  <c r="BX35" i="124" s="1"/>
  <c r="BW34" i="124"/>
  <c r="BX34" i="124" s="1" a="1"/>
  <c r="BX34" i="124" s="1"/>
  <c r="BU18" i="124"/>
  <c r="BW51" i="124"/>
  <c r="BX51" i="124" s="1" a="1"/>
  <c r="BX51" i="124" s="1"/>
  <c r="BW46" i="124"/>
  <c r="BX46" i="124" s="1" a="1"/>
  <c r="BX46" i="124" s="1"/>
  <c r="BW57" i="124"/>
  <c r="BX57" i="124" s="1" a="1"/>
  <c r="BX57" i="124" s="1"/>
  <c r="BW48" i="124"/>
  <c r="BX48" i="124" s="1" a="1"/>
  <c r="BX48" i="124" s="1"/>
  <c r="BW61" i="124"/>
  <c r="BX61" i="124" s="1" a="1"/>
  <c r="BX61" i="124" s="1"/>
  <c r="BW40" i="124"/>
  <c r="BX40" i="124" s="1" a="1"/>
  <c r="BX40" i="124" s="1"/>
  <c r="BW49" i="124"/>
  <c r="BX49" i="124" s="1" a="1"/>
  <c r="BX49" i="124" s="1"/>
  <c r="BW30" i="124"/>
  <c r="BX30" i="124" s="1" a="1"/>
  <c r="BX30" i="124" s="1"/>
  <c r="BW54" i="124"/>
  <c r="BX54" i="124" s="1" a="1"/>
  <c r="BX54" i="124" s="1"/>
  <c r="BW33" i="124"/>
  <c r="BX33" i="124" s="1" a="1"/>
  <c r="BX33" i="124" s="1"/>
  <c r="BW44" i="124"/>
  <c r="BX44" i="124" s="1" a="1"/>
  <c r="BX44" i="124" s="1"/>
  <c r="BP74" i="124"/>
  <c r="BS78" i="124"/>
  <c r="BQ78" i="124"/>
  <c r="BP7" i="124"/>
  <c r="BO75" i="124"/>
  <c r="BN35" i="158"/>
  <c r="BZ35" i="158" s="1"/>
  <c r="BP34" i="124"/>
  <c r="BP62" i="124"/>
  <c r="BP56" i="124"/>
  <c r="BP36" i="124"/>
  <c r="BP48" i="124"/>
  <c r="BP44" i="124"/>
  <c r="BP52" i="124"/>
  <c r="BP31" i="124"/>
  <c r="BP61" i="124"/>
  <c r="BP42" i="124"/>
  <c r="BL35" i="158"/>
  <c r="BX35" i="158" s="1"/>
  <c r="BW36" i="158"/>
  <c r="CC39" i="158"/>
  <c r="BP9" i="158"/>
  <c r="CM9" i="158" s="1"/>
  <c r="CR9" i="158" s="1"/>
  <c r="BN78" i="124"/>
  <c r="CE52" i="158"/>
  <c r="BJ48" i="158"/>
  <c r="BT2" i="158"/>
  <c r="CF2" i="158" s="1"/>
  <c r="BQ48" i="158"/>
  <c r="BN48" i="158"/>
  <c r="CB54" i="158"/>
  <c r="BK48" i="158"/>
  <c r="BJ40" i="158"/>
  <c r="BV40" i="158" s="1"/>
  <c r="CA44" i="158"/>
  <c r="AH2" i="124"/>
  <c r="AI30" i="124"/>
  <c r="BT53" i="158"/>
  <c r="CF53" i="158" s="1"/>
  <c r="AC2" i="124"/>
  <c r="BR53" i="158"/>
  <c r="BV54" i="158"/>
  <c r="CQ54" i="158"/>
  <c r="BN40" i="158"/>
  <c r="CP53" i="158"/>
  <c r="BV3" i="161"/>
  <c r="BU48" i="158"/>
  <c r="CD39" i="158"/>
  <c r="BX44" i="158"/>
  <c r="BS40" i="158"/>
  <c r="CP38" i="158"/>
  <c r="CS12" i="158"/>
  <c r="BO40" i="158"/>
  <c r="CA40" i="158" s="1"/>
  <c r="CD3" i="161"/>
  <c r="CG39" i="158"/>
  <c r="BM40" i="158"/>
  <c r="CP54" i="158"/>
  <c r="BW54" i="158"/>
  <c r="CE39" i="158"/>
  <c r="BY54" i="158"/>
  <c r="BL40" i="158"/>
  <c r="BX40" i="158" s="1"/>
  <c r="CP43" i="158"/>
  <c r="BV44" i="158"/>
  <c r="CQ37" i="158"/>
  <c r="BQ40" i="158"/>
  <c r="BU40" i="158"/>
  <c r="CG40" i="158" s="1"/>
  <c r="AX74" i="124"/>
  <c r="BP53" i="158"/>
  <c r="CB53" i="158" s="1"/>
  <c r="BU53" i="158"/>
  <c r="BL48" i="158"/>
  <c r="BQ53" i="158"/>
  <c r="BO53" i="158"/>
  <c r="BT48" i="158"/>
  <c r="BZ54" i="158"/>
  <c r="BZ61" i="161"/>
  <c r="BZ39" i="158"/>
  <c r="BL53" i="158"/>
  <c r="BX53" i="158" s="1"/>
  <c r="BP48" i="158"/>
  <c r="CB48" i="158" s="1"/>
  <c r="BM48" i="158"/>
  <c r="BR30" i="158"/>
  <c r="BJ53" i="158"/>
  <c r="AH43" i="124"/>
  <c r="CS26" i="158"/>
  <c r="AC43" i="124"/>
  <c r="BR48" i="158"/>
  <c r="BO48" i="158"/>
  <c r="CF36" i="158"/>
  <c r="BT40" i="158"/>
  <c r="CF40" i="158" s="1"/>
  <c r="BR40" i="158"/>
  <c r="CD40" i="158" s="1"/>
  <c r="BK53" i="158"/>
  <c r="BM53" i="158"/>
  <c r="BY53" i="158" s="1"/>
  <c r="CN25" i="158"/>
  <c r="CS25" i="158" s="1"/>
  <c r="BP40" i="158"/>
  <c r="BS53" i="158"/>
  <c r="AH17" i="124"/>
  <c r="BT50" i="158"/>
  <c r="CF50" i="158" s="1"/>
  <c r="BM50" i="158"/>
  <c r="BY50" i="158" s="1"/>
  <c r="BP50" i="158"/>
  <c r="CB50" i="158" s="1"/>
  <c r="AC50" i="124"/>
  <c r="CP50" i="158"/>
  <c r="CA39" i="158"/>
  <c r="BM2" i="158"/>
  <c r="BY2" i="158" s="1"/>
  <c r="BU2" i="158"/>
  <c r="BJ2" i="158"/>
  <c r="BN2" i="158"/>
  <c r="BZ2" i="158" s="1"/>
  <c r="CP40" i="158"/>
  <c r="BR2" i="158"/>
  <c r="BO2" i="158"/>
  <c r="BO2" i="159" s="1"/>
  <c r="BK2" i="158"/>
  <c r="BW2" i="158" s="1"/>
  <c r="BP2" i="158"/>
  <c r="BS2" i="158"/>
  <c r="BS2" i="159" s="1"/>
  <c r="BQ2" i="158"/>
  <c r="AH40" i="124"/>
  <c r="CP40" i="159" s="1"/>
  <c r="CA9" i="158"/>
  <c r="CP2" i="158"/>
  <c r="BP35" i="158"/>
  <c r="CB35" i="158" s="1"/>
  <c r="CF54" i="158"/>
  <c r="BQ35" i="158"/>
  <c r="CC35" i="158" s="1"/>
  <c r="BJ35" i="158"/>
  <c r="BV35" i="158" s="1"/>
  <c r="CM54" i="158"/>
  <c r="BR35" i="158"/>
  <c r="CD35" i="158" s="1"/>
  <c r="CA54" i="158"/>
  <c r="BM35" i="158"/>
  <c r="BY35" i="158" s="1"/>
  <c r="BK35" i="158"/>
  <c r="BW35" i="158" s="1"/>
  <c r="CS58" i="158"/>
  <c r="BU35" i="158"/>
  <c r="CG35" i="158" s="1"/>
  <c r="BS35" i="158"/>
  <c r="CE35" i="158" s="1"/>
  <c r="BO35" i="158"/>
  <c r="CA35" i="158" s="1"/>
  <c r="AI29" i="124"/>
  <c r="CQ29" i="159" s="1"/>
  <c r="AH38" i="124"/>
  <c r="CP38" i="159" s="1"/>
  <c r="BO34" i="158"/>
  <c r="AB75" i="124"/>
  <c r="AC17" i="124"/>
  <c r="AH53" i="124"/>
  <c r="CG61" i="161"/>
  <c r="BN30" i="158"/>
  <c r="BL34" i="158"/>
  <c r="CQ51" i="158"/>
  <c r="BO30" i="158"/>
  <c r="BJ34" i="158"/>
  <c r="BP34" i="158"/>
  <c r="CB34" i="158" s="1"/>
  <c r="BW3" i="161"/>
  <c r="BR34" i="158"/>
  <c r="BJ30" i="158"/>
  <c r="BV30" i="158" s="1"/>
  <c r="BM34" i="158"/>
  <c r="BY34" i="158" s="1"/>
  <c r="BN34" i="158"/>
  <c r="BN17" i="158"/>
  <c r="BU17" i="158"/>
  <c r="BJ17" i="158"/>
  <c r="BM17" i="158"/>
  <c r="BR17" i="158"/>
  <c r="BT17" i="158"/>
  <c r="BQ17" i="158"/>
  <c r="BL17" i="158"/>
  <c r="BP17" i="158"/>
  <c r="BS17" i="158"/>
  <c r="BO17" i="158"/>
  <c r="BK17" i="158"/>
  <c r="BU34" i="158"/>
  <c r="BQ34" i="158"/>
  <c r="BS34" i="158"/>
  <c r="CE34" i="158" s="1"/>
  <c r="BT34" i="158"/>
  <c r="BY52" i="158"/>
  <c r="BX36" i="158"/>
  <c r="BV39" i="158"/>
  <c r="CQ52" i="158"/>
  <c r="BZ52" i="158"/>
  <c r="BX25" i="161"/>
  <c r="CF9" i="158"/>
  <c r="BM30" i="158"/>
  <c r="BM30" i="159" s="1"/>
  <c r="CM52" i="158"/>
  <c r="CR52" i="158" s="1"/>
  <c r="CG9" i="158"/>
  <c r="BU30" i="158"/>
  <c r="CG30" i="158" s="1"/>
  <c r="CG38" i="158"/>
  <c r="CA38" i="158"/>
  <c r="BY38" i="158"/>
  <c r="BK30" i="158"/>
  <c r="BP30" i="158"/>
  <c r="CD38" i="158"/>
  <c r="BW38" i="158"/>
  <c r="BW9" i="158"/>
  <c r="BS30" i="158"/>
  <c r="BQ30" i="158"/>
  <c r="CM38" i="158"/>
  <c r="BL30" i="158"/>
  <c r="BX30" i="158" s="1"/>
  <c r="BV38" i="158"/>
  <c r="CB38" i="158"/>
  <c r="CM26" i="159"/>
  <c r="CR26" i="159" s="1"/>
  <c r="CS57" i="158"/>
  <c r="AB76" i="124"/>
  <c r="CQ15" i="158"/>
  <c r="CM36" i="158"/>
  <c r="BU26" i="161"/>
  <c r="BL26" i="161"/>
  <c r="AI54" i="124"/>
  <c r="CS11" i="158"/>
  <c r="BM29" i="158"/>
  <c r="BR29" i="158"/>
  <c r="BT29" i="158"/>
  <c r="BJ29" i="158"/>
  <c r="BL29" i="158"/>
  <c r="BQ29" i="158"/>
  <c r="BS29" i="158"/>
  <c r="BP29" i="158"/>
  <c r="BK29" i="158"/>
  <c r="BO29" i="158"/>
  <c r="BU29" i="158"/>
  <c r="BN29" i="158"/>
  <c r="CB36" i="158"/>
  <c r="BY39" i="158"/>
  <c r="AI7" i="124"/>
  <c r="AI9" i="124"/>
  <c r="CP9" i="159"/>
  <c r="BZ9" i="158"/>
  <c r="AH37" i="124"/>
  <c r="L37" i="161"/>
  <c r="L37" i="158"/>
  <c r="L37" i="159"/>
  <c r="BM37" i="159" s="1"/>
  <c r="CM39" i="158"/>
  <c r="L38" i="158"/>
  <c r="L38" i="159"/>
  <c r="L38" i="161"/>
  <c r="L41" i="161"/>
  <c r="L41" i="159"/>
  <c r="L41" i="158"/>
  <c r="AB45" i="124"/>
  <c r="K45" i="161"/>
  <c r="K45" i="159"/>
  <c r="K45" i="158"/>
  <c r="L42" i="161"/>
  <c r="L42" i="159"/>
  <c r="L42" i="158"/>
  <c r="BJ51" i="158"/>
  <c r="BQ51" i="158"/>
  <c r="BP51" i="158"/>
  <c r="BT51" i="158"/>
  <c r="BO51" i="158"/>
  <c r="BL51" i="158"/>
  <c r="BN51" i="158"/>
  <c r="BS51" i="158"/>
  <c r="BU51" i="158"/>
  <c r="BK51" i="158"/>
  <c r="BM51" i="158"/>
  <c r="BR51" i="158"/>
  <c r="BW39" i="158"/>
  <c r="AN41" i="124"/>
  <c r="AN66" i="124" s="1"/>
  <c r="AM66" i="124"/>
  <c r="K42" i="158"/>
  <c r="AB42" i="124"/>
  <c r="AH42" i="124" s="1"/>
  <c r="K42" i="161"/>
  <c r="K42" i="159"/>
  <c r="K46" i="161"/>
  <c r="K46" i="158"/>
  <c r="K46" i="159"/>
  <c r="AB46" i="124"/>
  <c r="K41" i="161"/>
  <c r="K41" i="159"/>
  <c r="K41" i="158"/>
  <c r="AB41" i="124"/>
  <c r="L33" i="159"/>
  <c r="L33" i="158"/>
  <c r="AH33" i="124"/>
  <c r="L33" i="161"/>
  <c r="CP49" i="158"/>
  <c r="AC49" i="124"/>
  <c r="CP21" i="158"/>
  <c r="AH21" i="124"/>
  <c r="AC21" i="124"/>
  <c r="CP36" i="158"/>
  <c r="AC36" i="124"/>
  <c r="L54" i="159"/>
  <c r="L54" i="161"/>
  <c r="L54" i="158"/>
  <c r="AH34" i="124"/>
  <c r="L34" i="161"/>
  <c r="L34" i="159"/>
  <c r="L34" i="158"/>
  <c r="BR49" i="158"/>
  <c r="BN49" i="158"/>
  <c r="BJ49" i="158"/>
  <c r="BU49" i="158"/>
  <c r="BQ49" i="158"/>
  <c r="BP49" i="158"/>
  <c r="BT49" i="158"/>
  <c r="BO49" i="158"/>
  <c r="BM49" i="158"/>
  <c r="BL49" i="158"/>
  <c r="BS49" i="158"/>
  <c r="BK49" i="158"/>
  <c r="CP18" i="158"/>
  <c r="L48" i="161"/>
  <c r="L48" i="159"/>
  <c r="L48" i="158"/>
  <c r="AH48" i="124"/>
  <c r="BO21" i="158"/>
  <c r="BR21" i="158"/>
  <c r="BN21" i="158"/>
  <c r="BQ21" i="158"/>
  <c r="BU21" i="158"/>
  <c r="BJ21" i="158"/>
  <c r="BT21" i="158"/>
  <c r="BL21" i="158"/>
  <c r="BS21" i="158"/>
  <c r="BM21" i="158"/>
  <c r="BP21" i="158"/>
  <c r="BK21" i="158"/>
  <c r="AC20" i="124"/>
  <c r="CP20" i="158"/>
  <c r="L53" i="161"/>
  <c r="L53" i="158"/>
  <c r="L53" i="159"/>
  <c r="BN53" i="159" s="1"/>
  <c r="L35" i="159"/>
  <c r="AH35" i="124"/>
  <c r="L35" i="158"/>
  <c r="L35" i="161"/>
  <c r="L51" i="159"/>
  <c r="L51" i="158"/>
  <c r="AH51" i="124"/>
  <c r="L51" i="161"/>
  <c r="L47" i="161"/>
  <c r="L47" i="159"/>
  <c r="BO47" i="159" s="1"/>
  <c r="L47" i="158"/>
  <c r="L39" i="159"/>
  <c r="L39" i="158"/>
  <c r="AH39" i="124"/>
  <c r="L39" i="161"/>
  <c r="BN22" i="158"/>
  <c r="BJ22" i="158"/>
  <c r="BT22" i="158"/>
  <c r="BU22" i="158"/>
  <c r="BM22" i="158"/>
  <c r="BL22" i="158"/>
  <c r="BQ22" i="158"/>
  <c r="BS22" i="158"/>
  <c r="BP22" i="158"/>
  <c r="BK22" i="158"/>
  <c r="BO22" i="158"/>
  <c r="BR22" i="158"/>
  <c r="L19" i="161"/>
  <c r="L19" i="159"/>
  <c r="BR19" i="159" s="1"/>
  <c r="L19" i="158"/>
  <c r="CP33" i="158"/>
  <c r="AC33" i="124"/>
  <c r="L36" i="159"/>
  <c r="L36" i="161"/>
  <c r="AH36" i="124"/>
  <c r="L36" i="158"/>
  <c r="L52" i="161"/>
  <c r="L52" i="159"/>
  <c r="L52" i="158"/>
  <c r="AH52" i="124"/>
  <c r="L43" i="161"/>
  <c r="L43" i="159"/>
  <c r="BM43" i="159" s="1"/>
  <c r="L43" i="158"/>
  <c r="L40" i="158"/>
  <c r="L40" i="161"/>
  <c r="L40" i="159"/>
  <c r="BT8" i="158"/>
  <c r="BO8" i="158"/>
  <c r="BL8" i="158"/>
  <c r="BN8" i="158"/>
  <c r="BK8" i="158"/>
  <c r="BS8" i="158"/>
  <c r="BJ8" i="158"/>
  <c r="BR8" i="158"/>
  <c r="BU8" i="158"/>
  <c r="BQ8" i="158"/>
  <c r="BM8" i="158"/>
  <c r="BP8" i="158"/>
  <c r="L20" i="161"/>
  <c r="L20" i="159"/>
  <c r="L20" i="158"/>
  <c r="AH20" i="124"/>
  <c r="BK33" i="158"/>
  <c r="BR33" i="158"/>
  <c r="BN33" i="158"/>
  <c r="BJ33" i="158"/>
  <c r="BU33" i="158"/>
  <c r="BQ33" i="158"/>
  <c r="BM33" i="158"/>
  <c r="BP33" i="158"/>
  <c r="BT33" i="158"/>
  <c r="BO33" i="158"/>
  <c r="BL33" i="158"/>
  <c r="BS33" i="158"/>
  <c r="L49" i="161"/>
  <c r="L49" i="158"/>
  <c r="L49" i="159"/>
  <c r="AH49" i="124"/>
  <c r="L44" i="158"/>
  <c r="L44" i="161"/>
  <c r="L44" i="159"/>
  <c r="AH44" i="124"/>
  <c r="L18" i="161"/>
  <c r="L18" i="159"/>
  <c r="L18" i="158"/>
  <c r="AH18" i="124"/>
  <c r="CP32" i="158"/>
  <c r="AC32" i="124"/>
  <c r="AH32" i="124"/>
  <c r="L9" i="161"/>
  <c r="L9" i="158"/>
  <c r="L9" i="159"/>
  <c r="L50" i="158"/>
  <c r="L50" i="161"/>
  <c r="L50" i="159"/>
  <c r="AH50" i="124"/>
  <c r="L17" i="161"/>
  <c r="L17" i="159"/>
  <c r="L17" i="158"/>
  <c r="BM32" i="158"/>
  <c r="BP32" i="158"/>
  <c r="BT32" i="158"/>
  <c r="BL32" i="158"/>
  <c r="BS32" i="158"/>
  <c r="BK32" i="158"/>
  <c r="BO32" i="158"/>
  <c r="BR32" i="158"/>
  <c r="BN32" i="158"/>
  <c r="BJ32" i="158"/>
  <c r="BU32" i="158"/>
  <c r="BQ32" i="158"/>
  <c r="L8" i="158"/>
  <c r="L8" i="161"/>
  <c r="L8" i="159"/>
  <c r="AH8" i="124"/>
  <c r="AH75" i="124" s="1"/>
  <c r="AC22" i="124"/>
  <c r="AH22" i="124"/>
  <c r="CP22" i="158"/>
  <c r="CP39" i="158"/>
  <c r="AC39" i="124"/>
  <c r="BT18" i="158"/>
  <c r="BJ18" i="158"/>
  <c r="BS18" i="158"/>
  <c r="BQ18" i="158"/>
  <c r="BR18" i="158"/>
  <c r="BM18" i="158"/>
  <c r="BP18" i="158"/>
  <c r="BL18" i="158"/>
  <c r="BO18" i="158"/>
  <c r="BK18" i="158"/>
  <c r="BN18" i="158"/>
  <c r="BU18" i="158"/>
  <c r="AH31" i="124"/>
  <c r="CP31" i="158"/>
  <c r="AC31" i="124"/>
  <c r="BX23" i="161"/>
  <c r="CP8" i="158"/>
  <c r="AC8" i="124"/>
  <c r="BJ20" i="158"/>
  <c r="BP20" i="158"/>
  <c r="BS20" i="158"/>
  <c r="BO20" i="158"/>
  <c r="BR20" i="158"/>
  <c r="BN20" i="158"/>
  <c r="BQ20" i="158"/>
  <c r="BU20" i="158"/>
  <c r="BK20" i="158"/>
  <c r="BM20" i="158"/>
  <c r="BT20" i="158"/>
  <c r="BL20" i="158"/>
  <c r="BU31" i="158"/>
  <c r="BQ31" i="158"/>
  <c r="BM31" i="158"/>
  <c r="BT31" i="158"/>
  <c r="BS31" i="158"/>
  <c r="BP31" i="158"/>
  <c r="BK31" i="158"/>
  <c r="BO31" i="158"/>
  <c r="BR31" i="158"/>
  <c r="BN31" i="158"/>
  <c r="BJ31" i="158"/>
  <c r="BL31" i="158"/>
  <c r="CP54" i="159"/>
  <c r="CR15" i="158"/>
  <c r="AI15" i="124"/>
  <c r="CN65" i="158"/>
  <c r="CS65" i="158" s="1"/>
  <c r="CA3" i="161"/>
  <c r="CN3" i="158"/>
  <c r="CS3" i="158" s="1"/>
  <c r="BP26" i="161"/>
  <c r="CN61" i="158"/>
  <c r="CS61" i="158" s="1"/>
  <c r="BV37" i="158"/>
  <c r="BZ37" i="158"/>
  <c r="BW37" i="158"/>
  <c r="CA37" i="158"/>
  <c r="BY37" i="158"/>
  <c r="CG37" i="158"/>
  <c r="CC37" i="158"/>
  <c r="BX37" i="158"/>
  <c r="CQ38" i="158"/>
  <c r="BZ53" i="158"/>
  <c r="CQ53" i="158"/>
  <c r="CE23" i="161"/>
  <c r="CA19" i="158"/>
  <c r="CC19" i="158"/>
  <c r="CM19" i="158"/>
  <c r="CR19" i="158" s="1"/>
  <c r="BV19" i="158"/>
  <c r="AI19" i="124"/>
  <c r="CP19" i="159"/>
  <c r="CB19" i="158"/>
  <c r="CG19" i="158"/>
  <c r="CD19" i="158"/>
  <c r="BW19" i="158"/>
  <c r="CQ19" i="158"/>
  <c r="CE19" i="158"/>
  <c r="BZ19" i="158"/>
  <c r="BW40" i="158"/>
  <c r="CF19" i="158"/>
  <c r="CE40" i="158"/>
  <c r="BY19" i="158"/>
  <c r="CQ40" i="158"/>
  <c r="BX19" i="158"/>
  <c r="BY5" i="161"/>
  <c r="BS62" i="161"/>
  <c r="BY16" i="158"/>
  <c r="BM16" i="159"/>
  <c r="BY28" i="161"/>
  <c r="CF24" i="161"/>
  <c r="CC4" i="161"/>
  <c r="BV26" i="161"/>
  <c r="CN26" i="159"/>
  <c r="CF15" i="159"/>
  <c r="CA13" i="161"/>
  <c r="CC55" i="158"/>
  <c r="BQ55" i="159"/>
  <c r="CG55" i="158"/>
  <c r="BU55" i="159"/>
  <c r="BP14" i="161"/>
  <c r="CF5" i="161"/>
  <c r="BJ15" i="161"/>
  <c r="CM15" i="159"/>
  <c r="CR15" i="159" s="1"/>
  <c r="BX24" i="161"/>
  <c r="CC43" i="158"/>
  <c r="BR62" i="161"/>
  <c r="CF62" i="161"/>
  <c r="BO62" i="161"/>
  <c r="CF23" i="161"/>
  <c r="CG7" i="158"/>
  <c r="BU7" i="159"/>
  <c r="CE5" i="161"/>
  <c r="CA28" i="161"/>
  <c r="BY64" i="161"/>
  <c r="CC15" i="159"/>
  <c r="CF64" i="161"/>
  <c r="CE16" i="158"/>
  <c r="BS16" i="159"/>
  <c r="CF16" i="158"/>
  <c r="BT16" i="159"/>
  <c r="CE28" i="161"/>
  <c r="BX56" i="161"/>
  <c r="BT14" i="161"/>
  <c r="CN5" i="158"/>
  <c r="CS5" i="158" s="1"/>
  <c r="BX59" i="161"/>
  <c r="BL15" i="161"/>
  <c r="BW26" i="161"/>
  <c r="CP47" i="159"/>
  <c r="AI47" i="124"/>
  <c r="CE47" i="158"/>
  <c r="CD59" i="161"/>
  <c r="CG64" i="161"/>
  <c r="CG5" i="161"/>
  <c r="CF35" i="158"/>
  <c r="BU15" i="161"/>
  <c r="CD13" i="161"/>
  <c r="CF59" i="161"/>
  <c r="BU62" i="161"/>
  <c r="BO14" i="161"/>
  <c r="CB59" i="161"/>
  <c r="CN28" i="158"/>
  <c r="CS28" i="158" s="1"/>
  <c r="BM15" i="161"/>
  <c r="AI2" i="124"/>
  <c r="BF74" i="124"/>
  <c r="CF13" i="161"/>
  <c r="CD55" i="158"/>
  <c r="BR55" i="159"/>
  <c r="CA55" i="158"/>
  <c r="BO55" i="159"/>
  <c r="CB14" i="159"/>
  <c r="CE63" i="161"/>
  <c r="CN15" i="158"/>
  <c r="BV15" i="159"/>
  <c r="BZ15" i="124" s="1"/>
  <c r="CD43" i="158"/>
  <c r="BP62" i="161"/>
  <c r="BV62" i="161"/>
  <c r="CN62" i="159"/>
  <c r="BT62" i="161"/>
  <c r="BJ7" i="159"/>
  <c r="BZ64" i="161"/>
  <c r="BX6" i="161"/>
  <c r="CD26" i="161"/>
  <c r="CN62" i="158"/>
  <c r="CS62" i="158" s="1"/>
  <c r="CG14" i="159"/>
  <c r="CC26" i="161"/>
  <c r="CC64" i="161"/>
  <c r="BP15" i="161"/>
  <c r="CA24" i="161"/>
  <c r="CD63" i="161"/>
  <c r="CF6" i="161"/>
  <c r="BW16" i="158"/>
  <c r="BK16" i="159"/>
  <c r="CG16" i="158"/>
  <c r="BU16" i="159"/>
  <c r="CN24" i="158"/>
  <c r="CS24" i="158" s="1"/>
  <c r="BV24" i="161"/>
  <c r="BY6" i="161"/>
  <c r="CD4" i="161"/>
  <c r="BX15" i="159"/>
  <c r="CN56" i="158"/>
  <c r="CS56" i="158" s="1"/>
  <c r="BV56" i="161"/>
  <c r="CG24" i="161"/>
  <c r="CG28" i="161"/>
  <c r="CF47" i="158"/>
  <c r="CA64" i="161"/>
  <c r="CA23" i="161"/>
  <c r="CC5" i="161"/>
  <c r="CG15" i="159"/>
  <c r="CC56" i="161"/>
  <c r="CB13" i="161"/>
  <c r="CN13" i="158"/>
  <c r="CS13" i="158" s="1"/>
  <c r="BV13" i="161"/>
  <c r="BZ6" i="161"/>
  <c r="CG62" i="161"/>
  <c r="CE7" i="158"/>
  <c r="BZ7" i="158"/>
  <c r="BN7" i="159"/>
  <c r="CN4" i="158"/>
  <c r="CS4" i="158" s="1"/>
  <c r="BQ14" i="161"/>
  <c r="CN6" i="158"/>
  <c r="CS6" i="158" s="1"/>
  <c r="CB5" i="161"/>
  <c r="BW55" i="158"/>
  <c r="BK55" i="159"/>
  <c r="CB55" i="158"/>
  <c r="BP55" i="159"/>
  <c r="BY14" i="159"/>
  <c r="BR15" i="161"/>
  <c r="CG23" i="161"/>
  <c r="CG48" i="158"/>
  <c r="CA6" i="161"/>
  <c r="BY4" i="161"/>
  <c r="CF56" i="161"/>
  <c r="BY43" i="158"/>
  <c r="BW43" i="158"/>
  <c r="BW62" i="161"/>
  <c r="BZ62" i="161"/>
  <c r="BQ62" i="161"/>
  <c r="CQ62" i="159"/>
  <c r="CF7" i="158"/>
  <c r="BT7" i="159"/>
  <c r="CP7" i="159"/>
  <c r="BZ63" i="161"/>
  <c r="BY13" i="161"/>
  <c r="BK14" i="161"/>
  <c r="BW4" i="161"/>
  <c r="BZ16" i="158"/>
  <c r="BN16" i="159"/>
  <c r="BY59" i="161"/>
  <c r="BZ26" i="161"/>
  <c r="CB23" i="161"/>
  <c r="BS14" i="161"/>
  <c r="CF30" i="158"/>
  <c r="BT30" i="159"/>
  <c r="CE64" i="161"/>
  <c r="BZ56" i="161"/>
  <c r="BY47" i="158"/>
  <c r="CA26" i="161"/>
  <c r="BJ14" i="161"/>
  <c r="CM14" i="159"/>
  <c r="CR14" i="159" s="1"/>
  <c r="CF63" i="161"/>
  <c r="BW64" i="161"/>
  <c r="CC13" i="161"/>
  <c r="BZ28" i="161"/>
  <c r="CQ47" i="158"/>
  <c r="BZ23" i="161"/>
  <c r="BY15" i="159"/>
  <c r="BY56" i="161"/>
  <c r="CE55" i="158"/>
  <c r="BS55" i="159"/>
  <c r="BS15" i="161"/>
  <c r="CG43" i="158"/>
  <c r="CE43" i="158"/>
  <c r="BJ62" i="161"/>
  <c r="CM62" i="159"/>
  <c r="CR62" i="159" s="1"/>
  <c r="CC62" i="161"/>
  <c r="CA62" i="161"/>
  <c r="CB56" i="161"/>
  <c r="BX14" i="159"/>
  <c r="BW7" i="158"/>
  <c r="BK7" i="159"/>
  <c r="CG6" i="161"/>
  <c r="CE13" i="161"/>
  <c r="CQ7" i="158"/>
  <c r="CB15" i="159"/>
  <c r="CA16" i="158"/>
  <c r="BO16" i="159"/>
  <c r="BX64" i="161"/>
  <c r="CC6" i="161"/>
  <c r="CF14" i="159"/>
  <c r="BN15" i="161"/>
  <c r="CC24" i="161"/>
  <c r="CC47" i="158"/>
  <c r="CG47" i="158"/>
  <c r="CN59" i="158"/>
  <c r="CS59" i="158" s="1"/>
  <c r="BV59" i="161"/>
  <c r="CD23" i="161"/>
  <c r="CD28" i="161"/>
  <c r="BK15" i="161"/>
  <c r="CB24" i="161"/>
  <c r="BW13" i="161"/>
  <c r="CQ14" i="159"/>
  <c r="CM55" i="158"/>
  <c r="CR55" i="158" s="1"/>
  <c r="BV55" i="158"/>
  <c r="BJ55" i="159"/>
  <c r="BZ55" i="158"/>
  <c r="BN55" i="159"/>
  <c r="BV16" i="158"/>
  <c r="CM16" i="158"/>
  <c r="CR16" i="158" s="1"/>
  <c r="BJ16" i="159"/>
  <c r="BX13" i="161"/>
  <c r="BY63" i="161"/>
  <c r="CD14" i="159"/>
  <c r="BX28" i="161"/>
  <c r="BX55" i="158"/>
  <c r="BL55" i="159"/>
  <c r="CC23" i="161"/>
  <c r="CD6" i="161"/>
  <c r="CA59" i="161"/>
  <c r="CC28" i="161"/>
  <c r="BZ43" i="158"/>
  <c r="BX43" i="158"/>
  <c r="CB62" i="161"/>
  <c r="BX62" i="161"/>
  <c r="CD62" i="161"/>
  <c r="BX7" i="158"/>
  <c r="BL7" i="159"/>
  <c r="CB63" i="161"/>
  <c r="BQ15" i="161"/>
  <c r="BZ13" i="161"/>
  <c r="CA14" i="159"/>
  <c r="BZ59" i="161"/>
  <c r="CA5" i="161"/>
  <c r="CB16" i="158"/>
  <c r="BP16" i="159"/>
  <c r="BO15" i="161"/>
  <c r="BY23" i="161"/>
  <c r="BY26" i="161"/>
  <c r="BW23" i="161"/>
  <c r="CM47" i="158"/>
  <c r="CR47" i="158" s="1"/>
  <c r="BV47" i="158"/>
  <c r="BZ47" i="158"/>
  <c r="CG59" i="161"/>
  <c r="BX26" i="161"/>
  <c r="BL14" i="161"/>
  <c r="BX47" i="158"/>
  <c r="CC14" i="159"/>
  <c r="BT15" i="161"/>
  <c r="CF55" i="158"/>
  <c r="BT55" i="159"/>
  <c r="CD15" i="159"/>
  <c r="CB4" i="161"/>
  <c r="CE15" i="159"/>
  <c r="CA43" i="158"/>
  <c r="CF43" i="158"/>
  <c r="BM62" i="161"/>
  <c r="BK62" i="161"/>
  <c r="BY62" i="161"/>
  <c r="CB7" i="158"/>
  <c r="BP7" i="159"/>
  <c r="CB6" i="161"/>
  <c r="CE59" i="161"/>
  <c r="BU14" i="161"/>
  <c r="CA63" i="161"/>
  <c r="CE4" i="161"/>
  <c r="CD24" i="161"/>
  <c r="CF4" i="161"/>
  <c r="BX4" i="161"/>
  <c r="BN14" i="161"/>
  <c r="CG63" i="161"/>
  <c r="CC16" i="158"/>
  <c r="BQ16" i="159"/>
  <c r="CB64" i="161"/>
  <c r="BZ24" i="161"/>
  <c r="CC63" i="161"/>
  <c r="BW6" i="161"/>
  <c r="BZ5" i="161"/>
  <c r="BZ15" i="159"/>
  <c r="CD47" i="158"/>
  <c r="CA47" i="158"/>
  <c r="CB28" i="161"/>
  <c r="BR14" i="161"/>
  <c r="CN14" i="158"/>
  <c r="CS14" i="158" s="1"/>
  <c r="BV14" i="159"/>
  <c r="BZ14" i="124" s="1"/>
  <c r="CB26" i="161"/>
  <c r="BZ4" i="161"/>
  <c r="CF28" i="161"/>
  <c r="BW15" i="159"/>
  <c r="BV4" i="161"/>
  <c r="BV5" i="161"/>
  <c r="CQ16" i="159"/>
  <c r="CM43" i="158"/>
  <c r="BV43" i="158"/>
  <c r="CC59" i="161"/>
  <c r="BZ14" i="159"/>
  <c r="BY24" i="161"/>
  <c r="CG4" i="161"/>
  <c r="CN23" i="158"/>
  <c r="CS23" i="158" s="1"/>
  <c r="BV23" i="161"/>
  <c r="CD64" i="161"/>
  <c r="BY55" i="158"/>
  <c r="BM55" i="159"/>
  <c r="BM14" i="161"/>
  <c r="CE48" i="158"/>
  <c r="CN64" i="158"/>
  <c r="CS64" i="158" s="1"/>
  <c r="BV64" i="161"/>
  <c r="BW59" i="161"/>
  <c r="CB43" i="158"/>
  <c r="CE62" i="161"/>
  <c r="BN62" i="161"/>
  <c r="BL62" i="161"/>
  <c r="CC7" i="158"/>
  <c r="BQ7" i="159"/>
  <c r="BY7" i="158"/>
  <c r="CE56" i="161"/>
  <c r="BW24" i="161"/>
  <c r="BW63" i="161"/>
  <c r="BW5" i="161"/>
  <c r="BW56" i="161"/>
  <c r="BW14" i="159"/>
  <c r="CD5" i="161"/>
  <c r="CD16" i="158"/>
  <c r="BR16" i="159"/>
  <c r="BX16" i="158"/>
  <c r="BL16" i="159"/>
  <c r="CA15" i="159"/>
  <c r="CA56" i="161"/>
  <c r="CE14" i="159"/>
  <c r="BW28" i="161"/>
  <c r="CF26" i="161"/>
  <c r="BW47" i="158"/>
  <c r="CB47" i="158"/>
  <c r="CQ55" i="159"/>
  <c r="CN63" i="158"/>
  <c r="CS63" i="158" s="1"/>
  <c r="BV63" i="161"/>
  <c r="CE6" i="161"/>
  <c r="CG26" i="161"/>
  <c r="BX2" i="158"/>
  <c r="BL2" i="159"/>
  <c r="CE26" i="161"/>
  <c r="BX63" i="161"/>
  <c r="BI66" i="124"/>
  <c r="CE37" i="158" l="1"/>
  <c r="CA7" i="158"/>
  <c r="CG44" i="158"/>
  <c r="CF37" i="158"/>
  <c r="BR7" i="159"/>
  <c r="BR7" i="161" s="1"/>
  <c r="CS26" i="159"/>
  <c r="BO7" i="159"/>
  <c r="CM44" i="158"/>
  <c r="CR44" i="158" s="1"/>
  <c r="CB37" i="158"/>
  <c r="CM37" i="158"/>
  <c r="CR37" i="158" s="1"/>
  <c r="BU11" i="124"/>
  <c r="BU19" i="124"/>
  <c r="BU28" i="124"/>
  <c r="BU15" i="124"/>
  <c r="BU12" i="124"/>
  <c r="BU14" i="124"/>
  <c r="BU10" i="124"/>
  <c r="BU26" i="124"/>
  <c r="BU21" i="124"/>
  <c r="BU17" i="124"/>
  <c r="BU25" i="124"/>
  <c r="BO76" i="124"/>
  <c r="BU23" i="124"/>
  <c r="BU13" i="124"/>
  <c r="BU7" i="124"/>
  <c r="BU4" i="124"/>
  <c r="BU9" i="124"/>
  <c r="BR74" i="124"/>
  <c r="BU8" i="124"/>
  <c r="BR75" i="124"/>
  <c r="BU6" i="124"/>
  <c r="BT32" i="124"/>
  <c r="BT40" i="124"/>
  <c r="BT48" i="124"/>
  <c r="BT56" i="124"/>
  <c r="BT64" i="124"/>
  <c r="BT34" i="124"/>
  <c r="BT42" i="124"/>
  <c r="BT50" i="124"/>
  <c r="BT58" i="124"/>
  <c r="BT35" i="124"/>
  <c r="BT43" i="124"/>
  <c r="BT51" i="124"/>
  <c r="BT59" i="124"/>
  <c r="BT36" i="124"/>
  <c r="BT44" i="124"/>
  <c r="BT52" i="124"/>
  <c r="BT60" i="124"/>
  <c r="BT29" i="124"/>
  <c r="BT37" i="124"/>
  <c r="BT45" i="124"/>
  <c r="BT53" i="124"/>
  <c r="BT61" i="124"/>
  <c r="BT31" i="124"/>
  <c r="BT39" i="124"/>
  <c r="BT47" i="124"/>
  <c r="BT55" i="124"/>
  <c r="BT63" i="124"/>
  <c r="BT49" i="124"/>
  <c r="BT54" i="124"/>
  <c r="BT57" i="124"/>
  <c r="BT30" i="124"/>
  <c r="BT62" i="124"/>
  <c r="BT41" i="124"/>
  <c r="BT33" i="124"/>
  <c r="BT65" i="124"/>
  <c r="BT38" i="124"/>
  <c r="BT46" i="124"/>
  <c r="BR31" i="124"/>
  <c r="BR33" i="124"/>
  <c r="BR34" i="124"/>
  <c r="BR42" i="124"/>
  <c r="BR50" i="124"/>
  <c r="BR58" i="124"/>
  <c r="BR40" i="124"/>
  <c r="BR64" i="124"/>
  <c r="BR35" i="124"/>
  <c r="BR43" i="124"/>
  <c r="BR51" i="124"/>
  <c r="BR59" i="124"/>
  <c r="BR36" i="124"/>
  <c r="BR44" i="124"/>
  <c r="BR52" i="124"/>
  <c r="BR60" i="124"/>
  <c r="BR37" i="124"/>
  <c r="BR45" i="124"/>
  <c r="BR53" i="124"/>
  <c r="BR61" i="124"/>
  <c r="BR38" i="124"/>
  <c r="BR46" i="124"/>
  <c r="BR54" i="124"/>
  <c r="BR62" i="124"/>
  <c r="BR30" i="124"/>
  <c r="BR29" i="124"/>
  <c r="BR39" i="124"/>
  <c r="BR47" i="124"/>
  <c r="BR55" i="124"/>
  <c r="BR63" i="124"/>
  <c r="BR56" i="124"/>
  <c r="BU56" i="124" s="1"/>
  <c r="BR32" i="124"/>
  <c r="BR41" i="124"/>
  <c r="BR49" i="124"/>
  <c r="BR57" i="124"/>
  <c r="BR65" i="124"/>
  <c r="BR48" i="124"/>
  <c r="BO66" i="124"/>
  <c r="BU2" i="124"/>
  <c r="BT74" i="124"/>
  <c r="BU20" i="124"/>
  <c r="BU24" i="124"/>
  <c r="CM7" i="158"/>
  <c r="CR7" i="158" s="1"/>
  <c r="CQ9" i="158"/>
  <c r="BU3" i="124"/>
  <c r="BU5" i="124"/>
  <c r="CC9" i="158"/>
  <c r="BR76" i="124"/>
  <c r="BT75" i="124"/>
  <c r="BU22" i="124"/>
  <c r="BK2" i="159"/>
  <c r="BK2" i="161" s="1"/>
  <c r="AC74" i="124"/>
  <c r="CB40" i="158"/>
  <c r="CA48" i="158"/>
  <c r="BA74" i="124"/>
  <c r="BW2" i="124"/>
  <c r="CQ2" i="158"/>
  <c r="BO30" i="159"/>
  <c r="BO30" i="161" s="1"/>
  <c r="CA30" i="158"/>
  <c r="CD53" i="158"/>
  <c r="CG53" i="158"/>
  <c r="AX78" i="124"/>
  <c r="BV48" i="158"/>
  <c r="BN2" i="159"/>
  <c r="BN2" i="161" s="1"/>
  <c r="CE53" i="158"/>
  <c r="BN30" i="159"/>
  <c r="BW48" i="158"/>
  <c r="AI43" i="124"/>
  <c r="BZ48" i="158"/>
  <c r="AH74" i="124"/>
  <c r="BT76" i="124"/>
  <c r="CQ43" i="158"/>
  <c r="CP2" i="159"/>
  <c r="CE2" i="158"/>
  <c r="BY48" i="158"/>
  <c r="BM2" i="159"/>
  <c r="BM2" i="161" s="1"/>
  <c r="BQ30" i="159"/>
  <c r="BQ30" i="161" s="1"/>
  <c r="BY40" i="158"/>
  <c r="BV53" i="158"/>
  <c r="CC30" i="158"/>
  <c r="CA53" i="158"/>
  <c r="BM48" i="159"/>
  <c r="BM48" i="161" s="1"/>
  <c r="CC48" i="158"/>
  <c r="CC53" i="158"/>
  <c r="BP29" i="124"/>
  <c r="BO77" i="124"/>
  <c r="BP76" i="124"/>
  <c r="BP75" i="124"/>
  <c r="BR30" i="159"/>
  <c r="CR38" i="158"/>
  <c r="BJ30" i="159"/>
  <c r="BJ30" i="161" s="1"/>
  <c r="CB2" i="158"/>
  <c r="CB2" i="159" s="1"/>
  <c r="CF48" i="158"/>
  <c r="AI40" i="124"/>
  <c r="BU30" i="159"/>
  <c r="CG30" i="159" s="1"/>
  <c r="BV2" i="158"/>
  <c r="BK30" i="159"/>
  <c r="BK30" i="161" s="1"/>
  <c r="BZ40" i="158"/>
  <c r="CB30" i="158"/>
  <c r="BW53" i="158"/>
  <c r="CP17" i="159"/>
  <c r="AI17" i="124"/>
  <c r="CQ17" i="159" s="1"/>
  <c r="CN50" i="158"/>
  <c r="CB9" i="158"/>
  <c r="CN9" i="158" s="1"/>
  <c r="CD30" i="158"/>
  <c r="BT2" i="159"/>
  <c r="BT2" i="161" s="1"/>
  <c r="CM53" i="158"/>
  <c r="CR53" i="158" s="1"/>
  <c r="CM50" i="158"/>
  <c r="CR50" i="158" s="1"/>
  <c r="CD2" i="158"/>
  <c r="CR54" i="158"/>
  <c r="CR43" i="158"/>
  <c r="CN44" i="158"/>
  <c r="CS44" i="158" s="1"/>
  <c r="CM48" i="158"/>
  <c r="CR48" i="158" s="1"/>
  <c r="CP43" i="159"/>
  <c r="CM40" i="158"/>
  <c r="CR40" i="158" s="1"/>
  <c r="CD48" i="158"/>
  <c r="CC40" i="158"/>
  <c r="CQ30" i="159"/>
  <c r="BX48" i="158"/>
  <c r="BN43" i="159"/>
  <c r="BN43" i="161" s="1"/>
  <c r="CA2" i="158"/>
  <c r="BR2" i="159"/>
  <c r="BR2" i="161" s="1"/>
  <c r="BQ35" i="159"/>
  <c r="BQ35" i="161" s="1"/>
  <c r="BP2" i="159"/>
  <c r="BJ2" i="159"/>
  <c r="BJ2" i="161" s="1"/>
  <c r="BW30" i="158"/>
  <c r="AI38" i="124"/>
  <c r="BS43" i="159"/>
  <c r="BS43" i="161" s="1"/>
  <c r="CQ50" i="158"/>
  <c r="CC2" i="158"/>
  <c r="CG2" i="158"/>
  <c r="BP35" i="159"/>
  <c r="CB35" i="159" s="1"/>
  <c r="CM2" i="158"/>
  <c r="CR2" i="158" s="1"/>
  <c r="BQ2" i="159"/>
  <c r="BU2" i="159"/>
  <c r="BU2" i="161" s="1"/>
  <c r="CM35" i="158"/>
  <c r="CR35" i="158" s="1"/>
  <c r="CN54" i="158"/>
  <c r="CS54" i="158" s="1"/>
  <c r="BK43" i="159"/>
  <c r="BW43" i="159" s="1"/>
  <c r="BQ43" i="159"/>
  <c r="CC43" i="159" s="1"/>
  <c r="BR43" i="159"/>
  <c r="CD43" i="159" s="1"/>
  <c r="CQ54" i="159"/>
  <c r="CN52" i="158"/>
  <c r="CS52" i="158" s="1"/>
  <c r="BM47" i="159"/>
  <c r="BM47" i="161" s="1"/>
  <c r="BK47" i="159"/>
  <c r="BK47" i="161" s="1"/>
  <c r="BP30" i="159"/>
  <c r="BP30" i="161" s="1"/>
  <c r="BZ30" i="158"/>
  <c r="BU47" i="159"/>
  <c r="BU47" i="161" s="1"/>
  <c r="CA34" i="158"/>
  <c r="AI53" i="124"/>
  <c r="CQ53" i="159" s="1"/>
  <c r="CM34" i="158"/>
  <c r="CR34" i="158" s="1"/>
  <c r="CQ17" i="158"/>
  <c r="BS30" i="159"/>
  <c r="BS30" i="161" s="1"/>
  <c r="CP53" i="159"/>
  <c r="CE30" i="158"/>
  <c r="BX34" i="158"/>
  <c r="CD34" i="158"/>
  <c r="BV34" i="158"/>
  <c r="BP43" i="159"/>
  <c r="CB43" i="159" s="1"/>
  <c r="BT43" i="159"/>
  <c r="BT43" i="161" s="1"/>
  <c r="CN36" i="158"/>
  <c r="CC34" i="158"/>
  <c r="CF17" i="158"/>
  <c r="CG34" i="158"/>
  <c r="CD17" i="158"/>
  <c r="BW17" i="158"/>
  <c r="BY17" i="158"/>
  <c r="CA17" i="158"/>
  <c r="CM17" i="158"/>
  <c r="CR17" i="158" s="1"/>
  <c r="BV17" i="158"/>
  <c r="CE17" i="158"/>
  <c r="CG17" i="158"/>
  <c r="CB17" i="158"/>
  <c r="BZ17" i="158"/>
  <c r="CF34" i="158"/>
  <c r="BX17" i="158"/>
  <c r="BZ34" i="158"/>
  <c r="CC17" i="158"/>
  <c r="BO43" i="159"/>
  <c r="CA43" i="159" s="1"/>
  <c r="CA43" i="161" s="1"/>
  <c r="BY30" i="158"/>
  <c r="BY30" i="159" s="1"/>
  <c r="CQ9" i="159"/>
  <c r="CM30" i="158"/>
  <c r="CR30" i="158" s="1"/>
  <c r="BL30" i="159"/>
  <c r="BT48" i="159"/>
  <c r="BN47" i="159"/>
  <c r="BZ47" i="159" s="1"/>
  <c r="BQ47" i="159"/>
  <c r="CC47" i="159" s="1"/>
  <c r="BR48" i="159"/>
  <c r="BR48" i="161" s="1"/>
  <c r="BK48" i="159"/>
  <c r="BK48" i="161" s="1"/>
  <c r="BL47" i="159"/>
  <c r="BL47" i="161" s="1"/>
  <c r="BT47" i="159"/>
  <c r="BT47" i="161" s="1"/>
  <c r="CN38" i="158"/>
  <c r="BQ48" i="159"/>
  <c r="BQ48" i="161" s="1"/>
  <c r="CR36" i="158"/>
  <c r="BP47" i="159"/>
  <c r="CB47" i="159" s="1"/>
  <c r="BR47" i="159"/>
  <c r="CD47" i="159" s="1"/>
  <c r="CS38" i="158"/>
  <c r="BJ48" i="159"/>
  <c r="BK35" i="159"/>
  <c r="BK35" i="161" s="1"/>
  <c r="BM35" i="159"/>
  <c r="BM35" i="161" s="1"/>
  <c r="BK19" i="159"/>
  <c r="BW19" i="159" s="1"/>
  <c r="BM53" i="159"/>
  <c r="BM53" i="161" s="1"/>
  <c r="BT53" i="159"/>
  <c r="BT53" i="161" s="1"/>
  <c r="BO19" i="159"/>
  <c r="CA19" i="159" s="1"/>
  <c r="BO53" i="159"/>
  <c r="CA53" i="159" s="1"/>
  <c r="BU53" i="159"/>
  <c r="CG53" i="159" s="1"/>
  <c r="BP53" i="159"/>
  <c r="BP53" i="161" s="1"/>
  <c r="BP19" i="159"/>
  <c r="BP19" i="161" s="1"/>
  <c r="BQ19" i="159"/>
  <c r="CC19" i="159" s="1"/>
  <c r="BK53" i="159"/>
  <c r="BK53" i="161" s="1"/>
  <c r="BM19" i="159"/>
  <c r="BY19" i="159" s="1"/>
  <c r="BU19" i="159"/>
  <c r="BU19" i="161" s="1"/>
  <c r="BJ19" i="159"/>
  <c r="BJ19" i="161" s="1"/>
  <c r="BQ53" i="159"/>
  <c r="BL19" i="159"/>
  <c r="BX19" i="159" s="1"/>
  <c r="BR53" i="159"/>
  <c r="BR53" i="161" s="1"/>
  <c r="BT19" i="159"/>
  <c r="BT19" i="161" s="1"/>
  <c r="BL53" i="159"/>
  <c r="BX53" i="159" s="1"/>
  <c r="BJ37" i="159"/>
  <c r="BV37" i="159" s="1"/>
  <c r="BZ37" i="124" s="1"/>
  <c r="BQ37" i="159"/>
  <c r="CC37" i="159" s="1"/>
  <c r="BR37" i="159"/>
  <c r="BN37" i="159"/>
  <c r="BZ37" i="159" s="1"/>
  <c r="BU48" i="159"/>
  <c r="BU48" i="161" s="1"/>
  <c r="BT37" i="159"/>
  <c r="BT37" i="161" s="1"/>
  <c r="BL37" i="159"/>
  <c r="BL37" i="161" s="1"/>
  <c r="CS15" i="158"/>
  <c r="BJ43" i="159"/>
  <c r="BU37" i="159"/>
  <c r="CG37" i="159" s="1"/>
  <c r="BS37" i="159"/>
  <c r="BS37" i="161" s="1"/>
  <c r="AH76" i="124"/>
  <c r="AB77" i="124"/>
  <c r="BJ47" i="159"/>
  <c r="BJ47" i="161" s="1"/>
  <c r="BS47" i="159"/>
  <c r="BS48" i="159"/>
  <c r="BS48" i="161" s="1"/>
  <c r="BL48" i="159"/>
  <c r="BP48" i="159"/>
  <c r="CB48" i="159" s="1"/>
  <c r="CB48" i="161" s="1"/>
  <c r="BO48" i="159"/>
  <c r="BN48" i="159"/>
  <c r="BZ48" i="159" s="1"/>
  <c r="BO35" i="159"/>
  <c r="CA35" i="159" s="1"/>
  <c r="BR35" i="159"/>
  <c r="BR35" i="161" s="1"/>
  <c r="BJ35" i="159"/>
  <c r="BJ35" i="161" s="1"/>
  <c r="CN39" i="158"/>
  <c r="BN19" i="159"/>
  <c r="BZ19" i="159" s="1"/>
  <c r="BS19" i="159"/>
  <c r="CE19" i="159" s="1"/>
  <c r="BS53" i="159"/>
  <c r="BJ53" i="159"/>
  <c r="BJ53" i="161" s="1"/>
  <c r="BN29" i="159"/>
  <c r="BZ29" i="158"/>
  <c r="BU29" i="159"/>
  <c r="CG29" i="158"/>
  <c r="BO29" i="159"/>
  <c r="CA29" i="158"/>
  <c r="BK29" i="159"/>
  <c r="BW29" i="158"/>
  <c r="BP29" i="159"/>
  <c r="CB29" i="158"/>
  <c r="CE29" i="158"/>
  <c r="BS29" i="159"/>
  <c r="CC29" i="158"/>
  <c r="BQ29" i="159"/>
  <c r="BL29" i="159"/>
  <c r="BX29" i="158"/>
  <c r="BJ29" i="159"/>
  <c r="CM29" i="158"/>
  <c r="CR29" i="158" s="1"/>
  <c r="BV29" i="158"/>
  <c r="BT29" i="159"/>
  <c r="CF29" i="158"/>
  <c r="BR29" i="159"/>
  <c r="CD29" i="158"/>
  <c r="BM29" i="159"/>
  <c r="BY29" i="158"/>
  <c r="BM37" i="161"/>
  <c r="CD51" i="158"/>
  <c r="CR39" i="158"/>
  <c r="BK46" i="158"/>
  <c r="BT46" i="158"/>
  <c r="BP46" i="158"/>
  <c r="BR46" i="158"/>
  <c r="BM46" i="158"/>
  <c r="BU46" i="158"/>
  <c r="BO46" i="158"/>
  <c r="BS46" i="158"/>
  <c r="BJ46" i="158"/>
  <c r="BN46" i="158"/>
  <c r="BQ46" i="158"/>
  <c r="BL46" i="158"/>
  <c r="BY51" i="158"/>
  <c r="CB51" i="158"/>
  <c r="BU45" i="158"/>
  <c r="BP45" i="158"/>
  <c r="BT45" i="158"/>
  <c r="BO45" i="158"/>
  <c r="BN45" i="158"/>
  <c r="BM45" i="158"/>
  <c r="BR45" i="158"/>
  <c r="BL45" i="158"/>
  <c r="BJ45" i="158"/>
  <c r="BS45" i="158"/>
  <c r="BQ45" i="158"/>
  <c r="BK45" i="158"/>
  <c r="CP37" i="159"/>
  <c r="AI37" i="124"/>
  <c r="BW51" i="158"/>
  <c r="CC51" i="158"/>
  <c r="CP42" i="159"/>
  <c r="CP41" i="158"/>
  <c r="AC41" i="124"/>
  <c r="CG51" i="158"/>
  <c r="CM51" i="158"/>
  <c r="CR51" i="158" s="1"/>
  <c r="BV51" i="158"/>
  <c r="BU38" i="159"/>
  <c r="BS38" i="159"/>
  <c r="BQ38" i="159"/>
  <c r="BN38" i="159"/>
  <c r="BR38" i="159"/>
  <c r="BT38" i="159"/>
  <c r="BM38" i="159"/>
  <c r="BK38" i="159"/>
  <c r="BP38" i="159"/>
  <c r="BJ38" i="159"/>
  <c r="BL38" i="159"/>
  <c r="BO38" i="159"/>
  <c r="BK41" i="158"/>
  <c r="BK41" i="159" s="1"/>
  <c r="BR41" i="158"/>
  <c r="BR41" i="159" s="1"/>
  <c r="BN41" i="158"/>
  <c r="BN41" i="159" s="1"/>
  <c r="BJ41" i="158"/>
  <c r="BJ41" i="159" s="1"/>
  <c r="BU41" i="158"/>
  <c r="BU41" i="159" s="1"/>
  <c r="BQ41" i="158"/>
  <c r="BQ41" i="159" s="1"/>
  <c r="BM41" i="158"/>
  <c r="BM41" i="159" s="1"/>
  <c r="BP41" i="158"/>
  <c r="BP41" i="159" s="1"/>
  <c r="BT41" i="158"/>
  <c r="BT41" i="159" s="1"/>
  <c r="BO41" i="158"/>
  <c r="BO41" i="159" s="1"/>
  <c r="BL41" i="158"/>
  <c r="BL41" i="159" s="1"/>
  <c r="BS41" i="158"/>
  <c r="BS41" i="159" s="1"/>
  <c r="CE51" i="158"/>
  <c r="CP45" i="158"/>
  <c r="AH45" i="124"/>
  <c r="AC45" i="124"/>
  <c r="AB66" i="124"/>
  <c r="CP42" i="158"/>
  <c r="AC42" i="124"/>
  <c r="BZ51" i="158"/>
  <c r="AH41" i="124"/>
  <c r="CF51" i="158"/>
  <c r="BS42" i="158"/>
  <c r="BS42" i="159" s="1"/>
  <c r="BK42" i="158"/>
  <c r="BK42" i="159" s="1"/>
  <c r="BR42" i="158"/>
  <c r="BR42" i="159" s="1"/>
  <c r="BJ42" i="158"/>
  <c r="BU42" i="158"/>
  <c r="BQ42" i="158"/>
  <c r="BM42" i="158"/>
  <c r="BP42" i="158"/>
  <c r="BT42" i="158"/>
  <c r="BT42" i="159" s="1"/>
  <c r="BO42" i="158"/>
  <c r="BO42" i="159" s="1"/>
  <c r="BL42" i="158"/>
  <c r="BL42" i="159" s="1"/>
  <c r="BN42" i="158"/>
  <c r="BX51" i="158"/>
  <c r="BO37" i="159"/>
  <c r="CA37" i="159" s="1"/>
  <c r="CA37" i="161" s="1"/>
  <c r="BK37" i="159"/>
  <c r="BW37" i="159" s="1"/>
  <c r="BP37" i="159"/>
  <c r="CB37" i="159" s="1"/>
  <c r="CP46" i="158"/>
  <c r="AC46" i="124"/>
  <c r="AH46" i="124"/>
  <c r="CA51" i="158"/>
  <c r="BM43" i="161"/>
  <c r="CD22" i="158"/>
  <c r="BR22" i="159"/>
  <c r="BX33" i="158"/>
  <c r="BZ33" i="158"/>
  <c r="BW8" i="158"/>
  <c r="BP40" i="159"/>
  <c r="CB40" i="159" s="1"/>
  <c r="BU40" i="159"/>
  <c r="CG40" i="159" s="1"/>
  <c r="BQ40" i="159"/>
  <c r="BK40" i="159"/>
  <c r="BW40" i="159" s="1"/>
  <c r="BW40" i="161" s="1"/>
  <c r="BT40" i="159"/>
  <c r="BL40" i="159"/>
  <c r="BX40" i="159" s="1"/>
  <c r="BX40" i="161" s="1"/>
  <c r="BN40" i="159"/>
  <c r="BR40" i="159"/>
  <c r="CD40" i="159" s="1"/>
  <c r="CD40" i="161" s="1"/>
  <c r="BO40" i="159"/>
  <c r="CA40" i="159" s="1"/>
  <c r="CA40" i="161" s="1"/>
  <c r="BJ40" i="159"/>
  <c r="BV40" i="159" s="1"/>
  <c r="BZ40" i="124" s="1"/>
  <c r="BM40" i="159"/>
  <c r="BS40" i="159"/>
  <c r="BS36" i="159"/>
  <c r="BT36" i="159"/>
  <c r="BK36" i="159"/>
  <c r="BQ36" i="159"/>
  <c r="BJ36" i="159"/>
  <c r="BU36" i="159"/>
  <c r="BO36" i="159"/>
  <c r="BN36" i="159"/>
  <c r="BP36" i="159"/>
  <c r="BL36" i="159"/>
  <c r="BR36" i="159"/>
  <c r="BM36" i="159"/>
  <c r="CG22" i="158"/>
  <c r="BU22" i="159"/>
  <c r="BW49" i="158"/>
  <c r="CG49" i="158"/>
  <c r="BW18" i="158"/>
  <c r="CM18" i="158"/>
  <c r="CR18" i="158" s="1"/>
  <c r="BV18" i="158"/>
  <c r="BN50" i="159"/>
  <c r="BS50" i="159"/>
  <c r="BQ50" i="159"/>
  <c r="BK50" i="159"/>
  <c r="BJ50" i="159"/>
  <c r="BP50" i="159"/>
  <c r="BO50" i="159"/>
  <c r="BU50" i="159"/>
  <c r="BT50" i="159"/>
  <c r="BM50" i="159"/>
  <c r="BL50" i="159"/>
  <c r="BR50" i="159"/>
  <c r="CA31" i="158"/>
  <c r="BO31" i="159"/>
  <c r="BF75" i="124"/>
  <c r="CQ8" i="158"/>
  <c r="AC75" i="124"/>
  <c r="CP31" i="159"/>
  <c r="AI31" i="124"/>
  <c r="CA32" i="158"/>
  <c r="BO32" i="159"/>
  <c r="BT17" i="159"/>
  <c r="BU17" i="159"/>
  <c r="BR17" i="159"/>
  <c r="BQ17" i="159"/>
  <c r="BL17" i="159"/>
  <c r="BJ17" i="159"/>
  <c r="BN17" i="159"/>
  <c r="BS17" i="159"/>
  <c r="BM17" i="159"/>
  <c r="BK17" i="159"/>
  <c r="BO17" i="159"/>
  <c r="BP17" i="159"/>
  <c r="BM21" i="159"/>
  <c r="BY21" i="158"/>
  <c r="BR21" i="159"/>
  <c r="CD21" i="158"/>
  <c r="BR18" i="159"/>
  <c r="BK18" i="159"/>
  <c r="BJ18" i="159"/>
  <c r="BQ18" i="159"/>
  <c r="BO18" i="159"/>
  <c r="BU18" i="159"/>
  <c r="BT18" i="159"/>
  <c r="BL18" i="159"/>
  <c r="BP18" i="159"/>
  <c r="BN18" i="159"/>
  <c r="BM18" i="159"/>
  <c r="BS18" i="159"/>
  <c r="CQ15" i="159"/>
  <c r="CC20" i="158"/>
  <c r="BP9" i="159"/>
  <c r="BS9" i="159"/>
  <c r="BR9" i="159"/>
  <c r="BM9" i="159"/>
  <c r="BU9" i="159"/>
  <c r="BN9" i="159"/>
  <c r="BQ9" i="159"/>
  <c r="BJ9" i="159"/>
  <c r="BK9" i="159"/>
  <c r="BL9" i="159"/>
  <c r="BO9" i="159"/>
  <c r="BT9" i="159"/>
  <c r="CQ22" i="158"/>
  <c r="AC76" i="124"/>
  <c r="CP49" i="159"/>
  <c r="AI49" i="124"/>
  <c r="BW31" i="158"/>
  <c r="BK31" i="159"/>
  <c r="BZ20" i="158"/>
  <c r="CA18" i="158"/>
  <c r="CF18" i="158"/>
  <c r="BW32" i="158"/>
  <c r="BK32" i="159"/>
  <c r="BR49" i="159"/>
  <c r="BL49" i="159"/>
  <c r="BU49" i="159"/>
  <c r="BN49" i="159"/>
  <c r="BK49" i="159"/>
  <c r="BO49" i="159"/>
  <c r="BS49" i="159"/>
  <c r="BP49" i="159"/>
  <c r="BM49" i="159"/>
  <c r="BT49" i="159"/>
  <c r="BQ49" i="159"/>
  <c r="BJ49" i="159"/>
  <c r="CA33" i="158"/>
  <c r="CD33" i="158"/>
  <c r="CB8" i="158"/>
  <c r="BZ8" i="158"/>
  <c r="BT52" i="159"/>
  <c r="BL52" i="159"/>
  <c r="BU52" i="159"/>
  <c r="BQ52" i="159"/>
  <c r="BP52" i="159"/>
  <c r="BN52" i="159"/>
  <c r="BM52" i="159"/>
  <c r="BS52" i="159"/>
  <c r="BR52" i="159"/>
  <c r="BK52" i="159"/>
  <c r="BJ52" i="159"/>
  <c r="BO52" i="159"/>
  <c r="CQ33" i="158"/>
  <c r="BO22" i="159"/>
  <c r="CA22" i="158"/>
  <c r="BT22" i="159"/>
  <c r="CF22" i="158"/>
  <c r="BK39" i="159"/>
  <c r="BL39" i="159"/>
  <c r="BP39" i="159"/>
  <c r="BQ39" i="159"/>
  <c r="BU39" i="159"/>
  <c r="BS39" i="159"/>
  <c r="BR39" i="159"/>
  <c r="BN39" i="159"/>
  <c r="BO39" i="159"/>
  <c r="BM39" i="159"/>
  <c r="BJ39" i="159"/>
  <c r="BT39" i="159"/>
  <c r="CP51" i="159"/>
  <c r="AI51" i="124"/>
  <c r="BT35" i="159"/>
  <c r="CF35" i="159" s="1"/>
  <c r="CF35" i="161" s="1"/>
  <c r="CE21" i="158"/>
  <c r="BS21" i="159"/>
  <c r="BO21" i="159"/>
  <c r="CA21" i="158"/>
  <c r="CQ18" i="158"/>
  <c r="CE49" i="158"/>
  <c r="CM49" i="158"/>
  <c r="CR49" i="158" s="1"/>
  <c r="BV49" i="158"/>
  <c r="CQ21" i="158"/>
  <c r="BP31" i="159"/>
  <c r="CB31" i="158"/>
  <c r="CD20" i="158"/>
  <c r="BX18" i="158"/>
  <c r="CP8" i="159"/>
  <c r="AI8" i="124"/>
  <c r="CE32" i="158"/>
  <c r="BS32" i="159"/>
  <c r="CP32" i="159"/>
  <c r="AI32" i="124"/>
  <c r="CF33" i="158"/>
  <c r="BW33" i="158"/>
  <c r="BY8" i="158"/>
  <c r="BX8" i="158"/>
  <c r="BW22" i="158"/>
  <c r="BK22" i="159"/>
  <c r="CM22" i="158"/>
  <c r="CR22" i="158" s="1"/>
  <c r="BV22" i="158"/>
  <c r="BJ22" i="159"/>
  <c r="BL43" i="159"/>
  <c r="BX43" i="159" s="1"/>
  <c r="CP35" i="159"/>
  <c r="AI35" i="124"/>
  <c r="BX21" i="158"/>
  <c r="BL21" i="159"/>
  <c r="BX49" i="158"/>
  <c r="BZ49" i="158"/>
  <c r="BT54" i="159"/>
  <c r="BP54" i="159"/>
  <c r="BK54" i="159"/>
  <c r="BL54" i="159"/>
  <c r="BJ54" i="159"/>
  <c r="BN54" i="159"/>
  <c r="BQ54" i="159"/>
  <c r="BU54" i="159"/>
  <c r="BO54" i="159"/>
  <c r="BR54" i="159"/>
  <c r="BS54" i="159"/>
  <c r="BM54" i="159"/>
  <c r="CP33" i="159"/>
  <c r="AI33" i="124"/>
  <c r="CE31" i="158"/>
  <c r="BS31" i="159"/>
  <c r="BX20" i="158"/>
  <c r="CA20" i="158"/>
  <c r="CB18" i="158"/>
  <c r="BR8" i="159"/>
  <c r="BK8" i="159"/>
  <c r="BN8" i="159"/>
  <c r="BM8" i="159"/>
  <c r="BJ8" i="159"/>
  <c r="BP8" i="159"/>
  <c r="BO8" i="159"/>
  <c r="BU8" i="159"/>
  <c r="BT8" i="159"/>
  <c r="BS8" i="159"/>
  <c r="BQ8" i="159"/>
  <c r="BL8" i="159"/>
  <c r="CC32" i="158"/>
  <c r="BQ32" i="159"/>
  <c r="BX32" i="158"/>
  <c r="BL32" i="159"/>
  <c r="CQ32" i="158"/>
  <c r="CB33" i="158"/>
  <c r="CC8" i="158"/>
  <c r="CA8" i="158"/>
  <c r="CB22" i="158"/>
  <c r="BP22" i="159"/>
  <c r="BZ22" i="158"/>
  <c r="BN22" i="159"/>
  <c r="BT51" i="159"/>
  <c r="BM51" i="159"/>
  <c r="BL51" i="159"/>
  <c r="BR51" i="159"/>
  <c r="BQ51" i="159"/>
  <c r="BJ51" i="159"/>
  <c r="BN51" i="159"/>
  <c r="BS51" i="159"/>
  <c r="BK51" i="159"/>
  <c r="BP51" i="159"/>
  <c r="BO51" i="159"/>
  <c r="BU51" i="159"/>
  <c r="BN35" i="159"/>
  <c r="BZ35" i="159" s="1"/>
  <c r="BS35" i="159"/>
  <c r="BU35" i="159"/>
  <c r="CG35" i="159" s="1"/>
  <c r="CG35" i="161" s="1"/>
  <c r="BL35" i="159"/>
  <c r="BX35" i="159" s="1"/>
  <c r="CQ20" i="158"/>
  <c r="BT21" i="159"/>
  <c r="CF21" i="158"/>
  <c r="CP48" i="159"/>
  <c r="AI48" i="124"/>
  <c r="BY49" i="158"/>
  <c r="CD49" i="158"/>
  <c r="CQ36" i="158"/>
  <c r="CP21" i="159"/>
  <c r="AI21" i="124"/>
  <c r="BX31" i="158"/>
  <c r="BL31" i="159"/>
  <c r="CF31" i="158"/>
  <c r="BT31" i="159"/>
  <c r="CF20" i="158"/>
  <c r="CE20" i="158"/>
  <c r="BY18" i="158"/>
  <c r="CG32" i="158"/>
  <c r="BU32" i="159"/>
  <c r="CF32" i="158"/>
  <c r="BT32" i="159"/>
  <c r="CP44" i="159"/>
  <c r="AI44" i="124"/>
  <c r="BY33" i="158"/>
  <c r="CP20" i="159"/>
  <c r="AI20" i="124"/>
  <c r="CG8" i="158"/>
  <c r="CF8" i="158"/>
  <c r="CE22" i="158"/>
  <c r="BS22" i="159"/>
  <c r="BU43" i="159"/>
  <c r="CG43" i="159" s="1"/>
  <c r="BJ21" i="159"/>
  <c r="CM21" i="158"/>
  <c r="CR21" i="158" s="1"/>
  <c r="BV21" i="158"/>
  <c r="CA49" i="158"/>
  <c r="BJ33" i="159"/>
  <c r="BP33" i="159"/>
  <c r="BO33" i="159"/>
  <c r="BU33" i="159"/>
  <c r="BT33" i="159"/>
  <c r="BL33" i="159"/>
  <c r="BQ33" i="159"/>
  <c r="BN33" i="159"/>
  <c r="BR33" i="159"/>
  <c r="BS33" i="159"/>
  <c r="BM33" i="159"/>
  <c r="BK33" i="159"/>
  <c r="CM31" i="158"/>
  <c r="CR31" i="158" s="1"/>
  <c r="BV31" i="158"/>
  <c r="BJ31" i="159"/>
  <c r="BM31" i="159"/>
  <c r="BY31" i="158"/>
  <c r="BY20" i="158"/>
  <c r="CB20" i="158"/>
  <c r="CQ31" i="158"/>
  <c r="CD18" i="158"/>
  <c r="CQ39" i="158"/>
  <c r="CM32" i="158"/>
  <c r="CR32" i="158" s="1"/>
  <c r="BV32" i="158"/>
  <c r="BJ32" i="159"/>
  <c r="CB32" i="158"/>
  <c r="BP32" i="159"/>
  <c r="BK44" i="159"/>
  <c r="BJ44" i="159"/>
  <c r="BM44" i="159"/>
  <c r="BU44" i="159"/>
  <c r="BO44" i="159"/>
  <c r="BT44" i="159"/>
  <c r="BS44" i="159"/>
  <c r="BQ44" i="159"/>
  <c r="BR44" i="159"/>
  <c r="BN44" i="159"/>
  <c r="BP44" i="159"/>
  <c r="BL44" i="159"/>
  <c r="CC33" i="158"/>
  <c r="CD8" i="158"/>
  <c r="CC22" i="158"/>
  <c r="BQ22" i="159"/>
  <c r="CG21" i="158"/>
  <c r="BU21" i="159"/>
  <c r="CF49" i="158"/>
  <c r="BN34" i="159"/>
  <c r="BO34" i="159"/>
  <c r="BS34" i="159"/>
  <c r="BT34" i="159"/>
  <c r="BK34" i="159"/>
  <c r="BP34" i="159"/>
  <c r="BU34" i="159"/>
  <c r="BM34" i="159"/>
  <c r="BL34" i="159"/>
  <c r="BR34" i="159"/>
  <c r="BQ34" i="159"/>
  <c r="BJ34" i="159"/>
  <c r="BZ31" i="158"/>
  <c r="BN31" i="159"/>
  <c r="BQ31" i="159"/>
  <c r="CC31" i="158"/>
  <c r="BW20" i="158"/>
  <c r="CM20" i="158"/>
  <c r="CR20" i="158" s="1"/>
  <c r="BV20" i="158"/>
  <c r="CG18" i="158"/>
  <c r="CC18" i="158"/>
  <c r="BZ32" i="158"/>
  <c r="BN32" i="159"/>
  <c r="BY32" i="158"/>
  <c r="BM32" i="159"/>
  <c r="CP18" i="159"/>
  <c r="AI18" i="124"/>
  <c r="CG33" i="158"/>
  <c r="BM20" i="159"/>
  <c r="BR20" i="159"/>
  <c r="BJ20" i="159"/>
  <c r="BO20" i="159"/>
  <c r="BT20" i="159"/>
  <c r="BS20" i="159"/>
  <c r="BN20" i="159"/>
  <c r="BK20" i="159"/>
  <c r="BL20" i="159"/>
  <c r="BU20" i="159"/>
  <c r="BQ20" i="159"/>
  <c r="BP20" i="159"/>
  <c r="BV8" i="158"/>
  <c r="CM8" i="158"/>
  <c r="CR8" i="158" s="1"/>
  <c r="CP36" i="159"/>
  <c r="AI36" i="124"/>
  <c r="BX22" i="158"/>
  <c r="BL22" i="159"/>
  <c r="BW21" i="158"/>
  <c r="BK21" i="159"/>
  <c r="BQ21" i="159"/>
  <c r="CC21" i="158"/>
  <c r="CB49" i="158"/>
  <c r="CQ49" i="158"/>
  <c r="CD31" i="158"/>
  <c r="BR31" i="159"/>
  <c r="BU31" i="159"/>
  <c r="CG31" i="158"/>
  <c r="CG20" i="158"/>
  <c r="BZ18" i="158"/>
  <c r="CE18" i="158"/>
  <c r="CP22" i="159"/>
  <c r="AI22" i="124"/>
  <c r="CD32" i="158"/>
  <c r="BR32" i="159"/>
  <c r="CP50" i="159"/>
  <c r="AI50" i="124"/>
  <c r="CE33" i="158"/>
  <c r="CM33" i="158"/>
  <c r="CR33" i="158" s="1"/>
  <c r="BV33" i="158"/>
  <c r="CE8" i="158"/>
  <c r="CP52" i="159"/>
  <c r="AI52" i="124"/>
  <c r="BY22" i="158"/>
  <c r="BM22" i="159"/>
  <c r="CP39" i="159"/>
  <c r="AI39" i="124"/>
  <c r="CB21" i="158"/>
  <c r="BP21" i="159"/>
  <c r="BZ21" i="158"/>
  <c r="BN21" i="159"/>
  <c r="CC49" i="158"/>
  <c r="AI34" i="124"/>
  <c r="CP34" i="159"/>
  <c r="BY37" i="159"/>
  <c r="CN37" i="158"/>
  <c r="CS37" i="158" s="1"/>
  <c r="BZ53" i="159"/>
  <c r="BN53" i="161"/>
  <c r="BR19" i="161"/>
  <c r="CD19" i="159"/>
  <c r="CQ19" i="159"/>
  <c r="CS62" i="159"/>
  <c r="CN19" i="158"/>
  <c r="CS19" i="158" s="1"/>
  <c r="BX2" i="159"/>
  <c r="CD16" i="159"/>
  <c r="BW14" i="161"/>
  <c r="BO47" i="161"/>
  <c r="CA47" i="159"/>
  <c r="BO2" i="161"/>
  <c r="CA16" i="159"/>
  <c r="CN35" i="158"/>
  <c r="CS35" i="158" s="1"/>
  <c r="BN16" i="161"/>
  <c r="BZ7" i="159"/>
  <c r="BU16" i="161"/>
  <c r="BS16" i="161"/>
  <c r="CG7" i="159"/>
  <c r="BY43" i="159"/>
  <c r="CC7" i="159"/>
  <c r="BM55" i="161"/>
  <c r="BY55" i="159"/>
  <c r="BS2" i="161"/>
  <c r="BO7" i="161"/>
  <c r="BT55" i="161"/>
  <c r="CF55" i="159"/>
  <c r="CN47" i="158"/>
  <c r="CS47" i="158" s="1"/>
  <c r="BX7" i="159"/>
  <c r="CN16" i="158"/>
  <c r="CS16" i="158" s="1"/>
  <c r="BV16" i="159"/>
  <c r="BZ16" i="124" s="1"/>
  <c r="BK7" i="161"/>
  <c r="BZ16" i="159"/>
  <c r="BS7" i="161"/>
  <c r="BO55" i="161"/>
  <c r="CA55" i="159"/>
  <c r="BR55" i="161"/>
  <c r="CD55" i="159"/>
  <c r="BV14" i="161"/>
  <c r="CN14" i="159"/>
  <c r="CS14" i="159" s="1"/>
  <c r="BQ16" i="161"/>
  <c r="CB7" i="159"/>
  <c r="BP16" i="161"/>
  <c r="CN55" i="158"/>
  <c r="CS55" i="158" s="1"/>
  <c r="CG16" i="159"/>
  <c r="CQ2" i="159"/>
  <c r="AI74" i="124"/>
  <c r="BD74" i="124"/>
  <c r="BB74" i="124"/>
  <c r="CE16" i="159"/>
  <c r="CF15" i="161"/>
  <c r="BX47" i="159"/>
  <c r="CA14" i="161"/>
  <c r="BT7" i="161"/>
  <c r="BX15" i="161"/>
  <c r="BM16" i="161"/>
  <c r="CE14" i="161"/>
  <c r="BX16" i="159"/>
  <c r="BY7" i="159"/>
  <c r="BL2" i="161"/>
  <c r="BR30" i="161"/>
  <c r="BZ15" i="161"/>
  <c r="CC14" i="161"/>
  <c r="CA2" i="159"/>
  <c r="BM30" i="161"/>
  <c r="CF14" i="161"/>
  <c r="BS55" i="161"/>
  <c r="CE55" i="159"/>
  <c r="BY15" i="161"/>
  <c r="BY14" i="161"/>
  <c r="CG15" i="161"/>
  <c r="BK16" i="161"/>
  <c r="BT16" i="161"/>
  <c r="BY16" i="159"/>
  <c r="CG14" i="161"/>
  <c r="BR16" i="161"/>
  <c r="BZ14" i="161"/>
  <c r="CD15" i="161"/>
  <c r="BZ43" i="159"/>
  <c r="BL55" i="161"/>
  <c r="BX55" i="159"/>
  <c r="BO16" i="161"/>
  <c r="CF7" i="159"/>
  <c r="BN7" i="161"/>
  <c r="CB14" i="161"/>
  <c r="CF2" i="159"/>
  <c r="CC15" i="161"/>
  <c r="BU7" i="161"/>
  <c r="BU55" i="161"/>
  <c r="CG55" i="159"/>
  <c r="BQ55" i="161"/>
  <c r="CC55" i="159"/>
  <c r="BL16" i="161"/>
  <c r="CN7" i="158"/>
  <c r="CS7" i="158" s="1"/>
  <c r="BV7" i="159"/>
  <c r="BZ7" i="124" s="1"/>
  <c r="CA15" i="161"/>
  <c r="BQ7" i="161"/>
  <c r="CE2" i="159"/>
  <c r="CC16" i="159"/>
  <c r="CA7" i="159"/>
  <c r="CE15" i="161"/>
  <c r="BP2" i="161"/>
  <c r="CB16" i="159"/>
  <c r="BJ16" i="161"/>
  <c r="CM16" i="159"/>
  <c r="CR16" i="159" s="1"/>
  <c r="BN55" i="161"/>
  <c r="BZ55" i="159"/>
  <c r="BJ55" i="161"/>
  <c r="CM55" i="159"/>
  <c r="CR55" i="159" s="1"/>
  <c r="BV55" i="159"/>
  <c r="BZ55" i="124" s="1"/>
  <c r="BW7" i="159"/>
  <c r="BP55" i="161"/>
  <c r="CB55" i="159"/>
  <c r="BK55" i="161"/>
  <c r="BW55" i="159"/>
  <c r="CE7" i="159"/>
  <c r="CD7" i="159"/>
  <c r="BM7" i="161"/>
  <c r="BN30" i="161"/>
  <c r="CD14" i="161"/>
  <c r="CN43" i="158"/>
  <c r="BW15" i="161"/>
  <c r="BP7" i="161"/>
  <c r="BW2" i="159"/>
  <c r="BL7" i="161"/>
  <c r="BY2" i="159"/>
  <c r="CB15" i="161"/>
  <c r="CQ7" i="159"/>
  <c r="BX14" i="161"/>
  <c r="BZ2" i="159"/>
  <c r="BT30" i="161"/>
  <c r="CF30" i="159"/>
  <c r="BW16" i="159"/>
  <c r="BJ7" i="161"/>
  <c r="CM7" i="159"/>
  <c r="CR7" i="159" s="1"/>
  <c r="BV15" i="161"/>
  <c r="CN15" i="159"/>
  <c r="CQ47" i="159"/>
  <c r="CF16" i="159"/>
  <c r="BA75" i="124" l="1"/>
  <c r="CC30" i="159"/>
  <c r="CS43" i="158"/>
  <c r="CA30" i="159"/>
  <c r="CQ43" i="159"/>
  <c r="CQ38" i="159"/>
  <c r="BA76" i="124"/>
  <c r="BF76" i="124"/>
  <c r="CC35" i="159"/>
  <c r="CC35" i="161" s="1"/>
  <c r="CD30" i="159"/>
  <c r="CD30" i="161" s="1"/>
  <c r="CS9" i="158"/>
  <c r="BU30" i="161"/>
  <c r="BU75" i="124"/>
  <c r="BU45" i="124"/>
  <c r="BU35" i="124"/>
  <c r="BU33" i="124"/>
  <c r="CB53" i="159"/>
  <c r="BU62" i="124"/>
  <c r="BR43" i="161"/>
  <c r="BU37" i="124"/>
  <c r="BU74" i="124"/>
  <c r="BU76" i="124"/>
  <c r="BU46" i="124"/>
  <c r="BR66" i="124"/>
  <c r="BU61" i="124"/>
  <c r="BT66" i="124"/>
  <c r="BU54" i="124"/>
  <c r="BU29" i="124"/>
  <c r="BU47" i="124"/>
  <c r="BU39" i="124"/>
  <c r="BU32" i="124"/>
  <c r="BU44" i="124"/>
  <c r="BU52" i="124"/>
  <c r="BU30" i="124"/>
  <c r="BU41" i="124"/>
  <c r="BU57" i="124"/>
  <c r="BU43" i="124"/>
  <c r="BU40" i="124"/>
  <c r="BU50" i="124"/>
  <c r="BT77" i="124"/>
  <c r="BU34" i="124"/>
  <c r="BU49" i="124"/>
  <c r="BW66" i="124"/>
  <c r="BX2" i="124" a="1"/>
  <c r="BX2" i="124" s="1"/>
  <c r="BX66" i="124" s="1"/>
  <c r="CA48" i="159"/>
  <c r="CA48" i="161" s="1"/>
  <c r="BU63" i="124"/>
  <c r="BU58" i="124"/>
  <c r="BU65" i="124"/>
  <c r="BU42" i="124"/>
  <c r="BU31" i="124"/>
  <c r="BU64" i="124"/>
  <c r="BU59" i="124"/>
  <c r="BU48" i="124"/>
  <c r="BU53" i="124"/>
  <c r="BU60" i="124"/>
  <c r="BU38" i="124"/>
  <c r="BU53" i="161"/>
  <c r="BR77" i="124"/>
  <c r="BU55" i="124"/>
  <c r="BU36" i="124"/>
  <c r="BU51" i="124"/>
  <c r="BP66" i="124"/>
  <c r="CN40" i="158"/>
  <c r="CS40" i="158" s="1"/>
  <c r="BV48" i="159"/>
  <c r="BZ48" i="124" s="1"/>
  <c r="CS50" i="158"/>
  <c r="CC53" i="159"/>
  <c r="BY48" i="159"/>
  <c r="BY48" i="161" s="1"/>
  <c r="CN48" i="158"/>
  <c r="CS48" i="158" s="1"/>
  <c r="BZ40" i="159"/>
  <c r="BZ40" i="161" s="1"/>
  <c r="BV30" i="159"/>
  <c r="BZ30" i="124" s="1"/>
  <c r="CQ40" i="159"/>
  <c r="CD2" i="159"/>
  <c r="CD2" i="161" s="1"/>
  <c r="BW47" i="159"/>
  <c r="BW47" i="161" s="1"/>
  <c r="BO78" i="124"/>
  <c r="BP77" i="124"/>
  <c r="CF43" i="159"/>
  <c r="CF43" i="161" s="1"/>
  <c r="CE43" i="159"/>
  <c r="CE43" i="161" s="1"/>
  <c r="BL53" i="161"/>
  <c r="CG47" i="159"/>
  <c r="CG47" i="161" s="1"/>
  <c r="BY47" i="159"/>
  <c r="BY47" i="161" s="1"/>
  <c r="CN53" i="158"/>
  <c r="CS53" i="158" s="1"/>
  <c r="BY53" i="159"/>
  <c r="BY53" i="161" s="1"/>
  <c r="BQ47" i="161"/>
  <c r="BW30" i="159"/>
  <c r="BW30" i="161" s="1"/>
  <c r="BV2" i="159"/>
  <c r="BZ2" i="124" s="1"/>
  <c r="BW53" i="159"/>
  <c r="BW53" i="161" s="1"/>
  <c r="BK19" i="161"/>
  <c r="CF19" i="159"/>
  <c r="CF19" i="161" s="1"/>
  <c r="BN47" i="161"/>
  <c r="CD48" i="159"/>
  <c r="CD48" i="161" s="1"/>
  <c r="BO43" i="161"/>
  <c r="BM19" i="161"/>
  <c r="CF53" i="159"/>
  <c r="CF53" i="161" s="1"/>
  <c r="CE37" i="159"/>
  <c r="CE37" i="161" s="1"/>
  <c r="BV47" i="159"/>
  <c r="BZ47" i="124" s="1"/>
  <c r="BO35" i="161"/>
  <c r="BP35" i="161"/>
  <c r="CB30" i="159"/>
  <c r="CB30" i="161" s="1"/>
  <c r="BQ43" i="161"/>
  <c r="CS36" i="158"/>
  <c r="CM30" i="159"/>
  <c r="CR30" i="159" s="1"/>
  <c r="BQ19" i="161"/>
  <c r="CF48" i="159"/>
  <c r="CF48" i="161" s="1"/>
  <c r="BT48" i="161"/>
  <c r="BL30" i="161"/>
  <c r="BP43" i="161"/>
  <c r="AI42" i="124"/>
  <c r="CM2" i="159"/>
  <c r="CR2" i="159" s="1"/>
  <c r="BQ2" i="161"/>
  <c r="BP47" i="161"/>
  <c r="BK43" i="161"/>
  <c r="BX30" i="159"/>
  <c r="BX30" i="161" s="1"/>
  <c r="CG2" i="159"/>
  <c r="CG2" i="161" s="1"/>
  <c r="CC2" i="159"/>
  <c r="CC2" i="161" s="1"/>
  <c r="CN2" i="158"/>
  <c r="CS2" i="158" s="1"/>
  <c r="BL19" i="161"/>
  <c r="BY35" i="159"/>
  <c r="BY35" i="161" s="1"/>
  <c r="BZ30" i="159"/>
  <c r="BZ30" i="161" s="1"/>
  <c r="BQ53" i="161"/>
  <c r="BW35" i="159"/>
  <c r="BW35" i="161" s="1"/>
  <c r="CF47" i="159"/>
  <c r="CF47" i="161" s="1"/>
  <c r="BN19" i="161"/>
  <c r="CN30" i="158"/>
  <c r="CS30" i="158" s="1"/>
  <c r="BW48" i="159"/>
  <c r="BW48" i="161" s="1"/>
  <c r="BO19" i="161"/>
  <c r="CG19" i="159"/>
  <c r="BR47" i="161"/>
  <c r="CE30" i="159"/>
  <c r="CN34" i="158"/>
  <c r="CS34" i="158" s="1"/>
  <c r="CN17" i="158"/>
  <c r="CS17" i="158" s="1"/>
  <c r="CD35" i="159"/>
  <c r="CD35" i="161" s="1"/>
  <c r="BJ48" i="161"/>
  <c r="CF37" i="159"/>
  <c r="CF37" i="161" s="1"/>
  <c r="BV19" i="159"/>
  <c r="BZ19" i="124" s="1"/>
  <c r="BO53" i="161"/>
  <c r="CC48" i="159"/>
  <c r="CC48" i="161" s="1"/>
  <c r="CE48" i="159"/>
  <c r="CE48" i="161" s="1"/>
  <c r="CD53" i="159"/>
  <c r="CD53" i="161" s="1"/>
  <c r="CB19" i="159"/>
  <c r="BS53" i="161"/>
  <c r="CE53" i="159"/>
  <c r="CE53" i="161" s="1"/>
  <c r="BZ37" i="161"/>
  <c r="BR37" i="161"/>
  <c r="CD37" i="159"/>
  <c r="BQ37" i="161"/>
  <c r="BX37" i="159"/>
  <c r="BX37" i="161" s="1"/>
  <c r="CF29" i="159"/>
  <c r="CF29" i="161" s="1"/>
  <c r="BJ37" i="161"/>
  <c r="BJ43" i="161"/>
  <c r="BN37" i="161"/>
  <c r="BV37" i="161"/>
  <c r="BU37" i="161"/>
  <c r="CG48" i="159"/>
  <c r="CG48" i="161" s="1"/>
  <c r="CM48" i="159"/>
  <c r="CR48" i="159" s="1"/>
  <c r="CS39" i="158"/>
  <c r="BV43" i="159"/>
  <c r="BZ43" i="124" s="1"/>
  <c r="CM47" i="159"/>
  <c r="CR47" i="159" s="1"/>
  <c r="BS19" i="161"/>
  <c r="CM19" i="159"/>
  <c r="CR19" i="159" s="1"/>
  <c r="BV35" i="159"/>
  <c r="BZ35" i="124" s="1"/>
  <c r="CE47" i="159"/>
  <c r="CE47" i="161" s="1"/>
  <c r="BV53" i="159"/>
  <c r="BZ53" i="124" s="1"/>
  <c r="CM53" i="159"/>
  <c r="CR53" i="159" s="1"/>
  <c r="BS47" i="161"/>
  <c r="CM29" i="159"/>
  <c r="CR29" i="159" s="1"/>
  <c r="CG40" i="161"/>
  <c r="BY29" i="159"/>
  <c r="BZ29" i="159"/>
  <c r="BN29" i="161"/>
  <c r="BS29" i="161"/>
  <c r="CE29" i="159"/>
  <c r="BP48" i="161"/>
  <c r="BL48" i="161"/>
  <c r="BX48" i="159"/>
  <c r="CG29" i="159"/>
  <c r="BU29" i="161"/>
  <c r="BX29" i="159"/>
  <c r="BW29" i="159"/>
  <c r="BX43" i="161"/>
  <c r="BQ29" i="161"/>
  <c r="CC29" i="159"/>
  <c r="BV29" i="159"/>
  <c r="BZ29" i="124" s="1"/>
  <c r="CN29" i="158"/>
  <c r="CS29" i="158" s="1"/>
  <c r="CB29" i="159"/>
  <c r="BP29" i="161"/>
  <c r="CD29" i="159"/>
  <c r="CA29" i="159"/>
  <c r="BN48" i="161"/>
  <c r="BO48" i="161"/>
  <c r="AH66" i="124"/>
  <c r="AC66" i="124"/>
  <c r="BM29" i="161"/>
  <c r="BR29" i="161"/>
  <c r="BT29" i="161"/>
  <c r="BJ29" i="161"/>
  <c r="BL29" i="161"/>
  <c r="BK29" i="161"/>
  <c r="BO29" i="161"/>
  <c r="AI75" i="124"/>
  <c r="CG43" i="161"/>
  <c r="BW37" i="161"/>
  <c r="BL42" i="161"/>
  <c r="BO42" i="161"/>
  <c r="BT42" i="161"/>
  <c r="BS42" i="161"/>
  <c r="BU41" i="161"/>
  <c r="CB40" i="161"/>
  <c r="BY45" i="158"/>
  <c r="BM45" i="159"/>
  <c r="BN41" i="161"/>
  <c r="BY42" i="158"/>
  <c r="CP45" i="159"/>
  <c r="AI45" i="124"/>
  <c r="CE41" i="158"/>
  <c r="CE41" i="159" s="1"/>
  <c r="CM41" i="158"/>
  <c r="CR41" i="158" s="1"/>
  <c r="BV41" i="158"/>
  <c r="BV41" i="159" s="1"/>
  <c r="BZ41" i="124" s="1"/>
  <c r="CB38" i="159"/>
  <c r="BP38" i="161"/>
  <c r="CG38" i="159"/>
  <c r="BU38" i="161"/>
  <c r="BZ45" i="158"/>
  <c r="BN45" i="159"/>
  <c r="BV46" i="158"/>
  <c r="BJ46" i="159"/>
  <c r="CM46" i="158"/>
  <c r="CR46" i="158" s="1"/>
  <c r="BW46" i="158"/>
  <c r="BK46" i="159"/>
  <c r="CF46" i="158"/>
  <c r="BT46" i="159"/>
  <c r="CC42" i="158"/>
  <c r="AC77" i="124"/>
  <c r="BX41" i="158"/>
  <c r="BX41" i="159" s="1"/>
  <c r="BZ41" i="158"/>
  <c r="BZ41" i="159" s="1"/>
  <c r="BK38" i="161"/>
  <c r="BW38" i="159"/>
  <c r="CN51" i="158"/>
  <c r="CS51" i="158" s="1"/>
  <c r="BW45" i="158"/>
  <c r="BK45" i="159"/>
  <c r="CA45" i="158"/>
  <c r="BO45" i="159"/>
  <c r="BM42" i="159"/>
  <c r="BS46" i="159"/>
  <c r="CE46" i="158"/>
  <c r="CG41" i="158"/>
  <c r="BZ46" i="158"/>
  <c r="BN46" i="159"/>
  <c r="BO41" i="161"/>
  <c r="BP37" i="161"/>
  <c r="CG42" i="158"/>
  <c r="CP41" i="159"/>
  <c r="AI41" i="124"/>
  <c r="AH77" i="124"/>
  <c r="CQ42" i="158"/>
  <c r="CA41" i="158"/>
  <c r="CD41" i="158"/>
  <c r="CD41" i="159" s="1"/>
  <c r="BY38" i="159"/>
  <c r="BM38" i="161"/>
  <c r="CC45" i="158"/>
  <c r="BQ45" i="159"/>
  <c r="CF45" i="158"/>
  <c r="BT45" i="159"/>
  <c r="CA46" i="158"/>
  <c r="BO46" i="159"/>
  <c r="BV38" i="159"/>
  <c r="BZ38" i="124" s="1"/>
  <c r="CM38" i="159"/>
  <c r="CR38" i="159" s="1"/>
  <c r="BJ38" i="161"/>
  <c r="CS15" i="159"/>
  <c r="BQ41" i="161"/>
  <c r="BK37" i="161"/>
  <c r="CM37" i="159"/>
  <c r="CR37" i="159" s="1"/>
  <c r="BZ42" i="158"/>
  <c r="CM42" i="158"/>
  <c r="CR42" i="158" s="1"/>
  <c r="BV42" i="158"/>
  <c r="CF41" i="158"/>
  <c r="CF41" i="159" s="1"/>
  <c r="BW41" i="158"/>
  <c r="BW41" i="159" s="1"/>
  <c r="CF38" i="159"/>
  <c r="BT38" i="161"/>
  <c r="AB78" i="124"/>
  <c r="CE45" i="158"/>
  <c r="BS45" i="159"/>
  <c r="CB45" i="158"/>
  <c r="BP45" i="159"/>
  <c r="BU42" i="159"/>
  <c r="CG46" i="158"/>
  <c r="BU46" i="159"/>
  <c r="BT41" i="161"/>
  <c r="CE38" i="159"/>
  <c r="BS38" i="161"/>
  <c r="BJ41" i="161"/>
  <c r="CM41" i="159"/>
  <c r="BP41" i="161"/>
  <c r="BO37" i="161"/>
  <c r="BX42" i="158"/>
  <c r="CD42" i="158"/>
  <c r="CD42" i="159" s="1"/>
  <c r="CB41" i="158"/>
  <c r="CB41" i="159" s="1"/>
  <c r="CD38" i="159"/>
  <c r="BR38" i="161"/>
  <c r="CM45" i="158"/>
  <c r="CR45" i="158" s="1"/>
  <c r="BV45" i="158"/>
  <c r="BJ45" i="159"/>
  <c r="CG45" i="158"/>
  <c r="BU45" i="159"/>
  <c r="BM46" i="159"/>
  <c r="BY46" i="158"/>
  <c r="CB42" i="158"/>
  <c r="CQ41" i="158"/>
  <c r="BR42" i="161"/>
  <c r="CM43" i="159"/>
  <c r="CR43" i="159" s="1"/>
  <c r="BM41" i="161"/>
  <c r="BL41" i="161"/>
  <c r="CA42" i="158"/>
  <c r="CA42" i="159" s="1"/>
  <c r="BW42" i="158"/>
  <c r="BW42" i="159" s="1"/>
  <c r="BY41" i="158"/>
  <c r="BY41" i="159" s="1"/>
  <c r="CA38" i="159"/>
  <c r="BO38" i="161"/>
  <c r="BN38" i="161"/>
  <c r="BZ38" i="159"/>
  <c r="BX45" i="158"/>
  <c r="BL45" i="159"/>
  <c r="BN42" i="159"/>
  <c r="BP42" i="159"/>
  <c r="BX46" i="158"/>
  <c r="BL46" i="159"/>
  <c r="CD46" i="158"/>
  <c r="BR46" i="159"/>
  <c r="BR41" i="161"/>
  <c r="CQ46" i="158"/>
  <c r="BK42" i="161"/>
  <c r="BS41" i="161"/>
  <c r="BK41" i="161"/>
  <c r="AI46" i="124"/>
  <c r="CP46" i="159"/>
  <c r="CF42" i="158"/>
  <c r="CE42" i="158"/>
  <c r="CQ45" i="158"/>
  <c r="CC41" i="158"/>
  <c r="CC41" i="159" s="1"/>
  <c r="BX38" i="159"/>
  <c r="BL38" i="161"/>
  <c r="BQ38" i="161"/>
  <c r="CC38" i="159"/>
  <c r="CQ37" i="159"/>
  <c r="CD45" i="158"/>
  <c r="BR45" i="159"/>
  <c r="BQ42" i="159"/>
  <c r="BJ42" i="159"/>
  <c r="CC46" i="158"/>
  <c r="BQ46" i="159"/>
  <c r="CB46" i="158"/>
  <c r="BP46" i="159"/>
  <c r="BN33" i="161"/>
  <c r="BZ33" i="159"/>
  <c r="CC8" i="159"/>
  <c r="BQ8" i="161"/>
  <c r="BZ8" i="159"/>
  <c r="BN8" i="161"/>
  <c r="BQ9" i="161"/>
  <c r="CC9" i="159"/>
  <c r="BO36" i="161"/>
  <c r="CA36" i="159"/>
  <c r="BM40" i="161"/>
  <c r="BY40" i="159"/>
  <c r="BQ40" i="161"/>
  <c r="CC40" i="159"/>
  <c r="BQ21" i="161"/>
  <c r="CC21" i="159"/>
  <c r="CQ52" i="159"/>
  <c r="BO44" i="161"/>
  <c r="CA44" i="159"/>
  <c r="BK17" i="161"/>
  <c r="BW17" i="159"/>
  <c r="CG17" i="159"/>
  <c r="BU17" i="161"/>
  <c r="BY50" i="159"/>
  <c r="BM50" i="161"/>
  <c r="BS50" i="161"/>
  <c r="CE50" i="159"/>
  <c r="CB35" i="161"/>
  <c r="BR34" i="161"/>
  <c r="CD34" i="159"/>
  <c r="BO34" i="161"/>
  <c r="CA34" i="159"/>
  <c r="BO54" i="161"/>
  <c r="CA54" i="159"/>
  <c r="CF54" i="159"/>
  <c r="BT54" i="161"/>
  <c r="CQ51" i="159"/>
  <c r="CC49" i="159"/>
  <c r="BQ49" i="161"/>
  <c r="CG49" i="159"/>
  <c r="BU49" i="161"/>
  <c r="BY18" i="159"/>
  <c r="BM18" i="161"/>
  <c r="CM18" i="159"/>
  <c r="CR18" i="159" s="1"/>
  <c r="BV18" i="159"/>
  <c r="BZ18" i="124" s="1"/>
  <c r="BJ18" i="161"/>
  <c r="CN8" i="158"/>
  <c r="CS8" i="158" s="1"/>
  <c r="BZ20" i="159"/>
  <c r="BN20" i="161"/>
  <c r="BS35" i="161"/>
  <c r="CE35" i="159"/>
  <c r="CE35" i="161" s="1"/>
  <c r="BJ51" i="161"/>
  <c r="CM51" i="159"/>
  <c r="CR51" i="159" s="1"/>
  <c r="BV51" i="159"/>
  <c r="BZ51" i="124" s="1"/>
  <c r="CN49" i="158"/>
  <c r="CS49" i="158" s="1"/>
  <c r="CD39" i="159"/>
  <c r="BR39" i="161"/>
  <c r="BZ52" i="159"/>
  <c r="BN52" i="161"/>
  <c r="CQ50" i="159"/>
  <c r="CE20" i="159"/>
  <c r="BS20" i="161"/>
  <c r="CQ18" i="159"/>
  <c r="BZ31" i="159"/>
  <c r="BN31" i="161"/>
  <c r="BX34" i="159"/>
  <c r="BL34" i="161"/>
  <c r="BN34" i="161"/>
  <c r="BZ34" i="159"/>
  <c r="BX44" i="159"/>
  <c r="BL44" i="161"/>
  <c r="BU44" i="161"/>
  <c r="CG44" i="159"/>
  <c r="BP32" i="161"/>
  <c r="CB32" i="159"/>
  <c r="CN31" i="158"/>
  <c r="CS31" i="158" s="1"/>
  <c r="BQ33" i="161"/>
  <c r="CC33" i="159"/>
  <c r="BJ21" i="161"/>
  <c r="BV21" i="159"/>
  <c r="BZ21" i="124" s="1"/>
  <c r="CM21" i="159"/>
  <c r="CR21" i="159" s="1"/>
  <c r="CQ20" i="159"/>
  <c r="CQ44" i="159"/>
  <c r="CQ48" i="159"/>
  <c r="BN35" i="161"/>
  <c r="CC51" i="159"/>
  <c r="BQ51" i="161"/>
  <c r="BP22" i="161"/>
  <c r="CB22" i="159"/>
  <c r="BS8" i="161"/>
  <c r="CE8" i="159"/>
  <c r="BW8" i="159"/>
  <c r="BK8" i="161"/>
  <c r="CE31" i="159"/>
  <c r="BS31" i="161"/>
  <c r="CQ33" i="159"/>
  <c r="CG54" i="159"/>
  <c r="BU54" i="161"/>
  <c r="BK22" i="161"/>
  <c r="BW22" i="159"/>
  <c r="BB75" i="124"/>
  <c r="CQ8" i="159"/>
  <c r="BD75" i="124"/>
  <c r="BP31" i="161"/>
  <c r="CB31" i="159"/>
  <c r="CE39" i="159"/>
  <c r="BS39" i="161"/>
  <c r="CB52" i="159"/>
  <c r="BP52" i="161"/>
  <c r="BT49" i="161"/>
  <c r="CF49" i="159"/>
  <c r="BL49" i="161"/>
  <c r="BX49" i="159"/>
  <c r="CQ49" i="159"/>
  <c r="BZ9" i="159"/>
  <c r="BN9" i="161"/>
  <c r="BZ18" i="159"/>
  <c r="BN18" i="161"/>
  <c r="BW18" i="159"/>
  <c r="BK18" i="161"/>
  <c r="BM17" i="161"/>
  <c r="BY17" i="159"/>
  <c r="CF17" i="159"/>
  <c r="BT17" i="161"/>
  <c r="BO31" i="161"/>
  <c r="CA31" i="159"/>
  <c r="BT50" i="161"/>
  <c r="CF50" i="159"/>
  <c r="BN50" i="161"/>
  <c r="BZ50" i="159"/>
  <c r="CG36" i="159"/>
  <c r="BU36" i="161"/>
  <c r="BJ40" i="161"/>
  <c r="CM40" i="159"/>
  <c r="CR40" i="159" s="1"/>
  <c r="BU40" i="161"/>
  <c r="CQ39" i="159"/>
  <c r="CN33" i="158"/>
  <c r="CS33" i="158" s="1"/>
  <c r="CD31" i="159"/>
  <c r="BR31" i="161"/>
  <c r="CQ36" i="159"/>
  <c r="CF20" i="159"/>
  <c r="BT20" i="161"/>
  <c r="BM32" i="161"/>
  <c r="BY32" i="159"/>
  <c r="BY34" i="159"/>
  <c r="BM34" i="161"/>
  <c r="BQ22" i="161"/>
  <c r="CC22" i="159"/>
  <c r="BP44" i="161"/>
  <c r="CB44" i="159"/>
  <c r="BY44" i="159"/>
  <c r="BM44" i="161"/>
  <c r="CN32" i="158"/>
  <c r="CS32" i="158" s="1"/>
  <c r="BL33" i="161"/>
  <c r="BX33" i="159"/>
  <c r="CQ21" i="159"/>
  <c r="CG51" i="159"/>
  <c r="BU51" i="161"/>
  <c r="CD51" i="159"/>
  <c r="BR51" i="161"/>
  <c r="CC32" i="159"/>
  <c r="BQ32" i="161"/>
  <c r="CF8" i="159"/>
  <c r="BT8" i="161"/>
  <c r="BR8" i="161"/>
  <c r="CD8" i="159"/>
  <c r="BQ54" i="161"/>
  <c r="CC54" i="159"/>
  <c r="CN22" i="158"/>
  <c r="CS22" i="158" s="1"/>
  <c r="BU39" i="161"/>
  <c r="CG39" i="159"/>
  <c r="BO52" i="161"/>
  <c r="CA52" i="159"/>
  <c r="BQ52" i="161"/>
  <c r="CC52" i="159"/>
  <c r="BY49" i="159"/>
  <c r="BM49" i="161"/>
  <c r="BR49" i="161"/>
  <c r="CD49" i="159"/>
  <c r="BU9" i="161"/>
  <c r="CG9" i="159"/>
  <c r="CB18" i="159"/>
  <c r="BP18" i="161"/>
  <c r="CD18" i="159"/>
  <c r="BR18" i="161"/>
  <c r="CD21" i="159"/>
  <c r="BR21" i="161"/>
  <c r="CE17" i="159"/>
  <c r="BS17" i="161"/>
  <c r="CA32" i="159"/>
  <c r="BO32" i="161"/>
  <c r="CQ31" i="159"/>
  <c r="BU50" i="161"/>
  <c r="CG50" i="159"/>
  <c r="BJ36" i="161"/>
  <c r="CM36" i="159"/>
  <c r="CR36" i="159" s="1"/>
  <c r="BV36" i="159"/>
  <c r="BZ36" i="124" s="1"/>
  <c r="BO40" i="161"/>
  <c r="BP40" i="161"/>
  <c r="BR22" i="161"/>
  <c r="CD22" i="159"/>
  <c r="BN21" i="161"/>
  <c r="BZ21" i="159"/>
  <c r="CQ22" i="159"/>
  <c r="CB20" i="159"/>
  <c r="BP20" i="161"/>
  <c r="CA20" i="159"/>
  <c r="BO20" i="161"/>
  <c r="BU34" i="161"/>
  <c r="CG34" i="159"/>
  <c r="BN44" i="161"/>
  <c r="BZ44" i="159"/>
  <c r="BJ44" i="161"/>
  <c r="CM44" i="159"/>
  <c r="CR44" i="159" s="1"/>
  <c r="BV44" i="159"/>
  <c r="BZ44" i="124" s="1"/>
  <c r="BY31" i="159"/>
  <c r="BM31" i="161"/>
  <c r="BT33" i="161"/>
  <c r="CF33" i="159"/>
  <c r="BU43" i="161"/>
  <c r="CF21" i="159"/>
  <c r="BT21" i="161"/>
  <c r="BO51" i="161"/>
  <c r="CA51" i="159"/>
  <c r="BX51" i="159"/>
  <c r="BL51" i="161"/>
  <c r="CG8" i="159"/>
  <c r="BU8" i="161"/>
  <c r="BN54" i="161"/>
  <c r="BZ54" i="159"/>
  <c r="BL43" i="161"/>
  <c r="CE32" i="159"/>
  <c r="BS32" i="161"/>
  <c r="BO21" i="161"/>
  <c r="CA21" i="159"/>
  <c r="CF39" i="159"/>
  <c r="BT39" i="161"/>
  <c r="CC39" i="159"/>
  <c r="BQ39" i="161"/>
  <c r="BT22" i="161"/>
  <c r="CF22" i="159"/>
  <c r="CA22" i="159"/>
  <c r="BO22" i="161"/>
  <c r="BV52" i="159"/>
  <c r="BZ52" i="124" s="1"/>
  <c r="BJ52" i="161"/>
  <c r="CM52" i="159"/>
  <c r="CR52" i="159" s="1"/>
  <c r="CG52" i="159"/>
  <c r="BU52" i="161"/>
  <c r="CB49" i="159"/>
  <c r="BP49" i="161"/>
  <c r="CF9" i="159"/>
  <c r="BT9" i="161"/>
  <c r="BY9" i="159"/>
  <c r="BM9" i="161"/>
  <c r="BL18" i="161"/>
  <c r="BX18" i="159"/>
  <c r="BZ17" i="159"/>
  <c r="BN17" i="161"/>
  <c r="BO50" i="161"/>
  <c r="CA50" i="159"/>
  <c r="BM36" i="161"/>
  <c r="BY36" i="159"/>
  <c r="BQ36" i="161"/>
  <c r="CC36" i="159"/>
  <c r="BR40" i="161"/>
  <c r="CC20" i="159"/>
  <c r="BQ20" i="161"/>
  <c r="BJ20" i="161"/>
  <c r="BV20" i="159"/>
  <c r="BZ20" i="124" s="1"/>
  <c r="CM20" i="159"/>
  <c r="CR20" i="159" s="1"/>
  <c r="BQ31" i="161"/>
  <c r="CC31" i="159"/>
  <c r="CB34" i="159"/>
  <c r="BP34" i="161"/>
  <c r="BR44" i="161"/>
  <c r="CD44" i="159"/>
  <c r="BK44" i="161"/>
  <c r="BW44" i="159"/>
  <c r="BW33" i="159"/>
  <c r="BK33" i="161"/>
  <c r="CG33" i="159"/>
  <c r="BU33" i="161"/>
  <c r="BU32" i="161"/>
  <c r="CG32" i="159"/>
  <c r="CB51" i="159"/>
  <c r="BP51" i="161"/>
  <c r="BY51" i="159"/>
  <c r="BM51" i="161"/>
  <c r="CA8" i="159"/>
  <c r="BO8" i="161"/>
  <c r="CM54" i="159"/>
  <c r="CR54" i="159" s="1"/>
  <c r="BV54" i="159"/>
  <c r="BZ54" i="124" s="1"/>
  <c r="BJ54" i="161"/>
  <c r="BL21" i="161"/>
  <c r="BX21" i="159"/>
  <c r="BS21" i="161"/>
  <c r="CE21" i="159"/>
  <c r="BV39" i="159"/>
  <c r="BZ39" i="124" s="1"/>
  <c r="BJ39" i="161"/>
  <c r="CM39" i="159"/>
  <c r="CR39" i="159" s="1"/>
  <c r="BP39" i="161"/>
  <c r="CB39" i="159"/>
  <c r="BW52" i="159"/>
  <c r="BK52" i="161"/>
  <c r="BX52" i="159"/>
  <c r="BL52" i="161"/>
  <c r="BS49" i="161"/>
  <c r="CE49" i="159"/>
  <c r="BK31" i="161"/>
  <c r="BW31" i="159"/>
  <c r="CA9" i="159"/>
  <c r="BO9" i="161"/>
  <c r="BR9" i="161"/>
  <c r="CD9" i="159"/>
  <c r="BT18" i="161"/>
  <c r="CF18" i="159"/>
  <c r="BJ17" i="161"/>
  <c r="BV17" i="159"/>
  <c r="BZ17" i="124" s="1"/>
  <c r="CM17" i="159"/>
  <c r="CR17" i="159" s="1"/>
  <c r="BP50" i="161"/>
  <c r="CB50" i="159"/>
  <c r="CN18" i="158"/>
  <c r="CS18" i="158" s="1"/>
  <c r="BU22" i="161"/>
  <c r="CG22" i="159"/>
  <c r="BR36" i="161"/>
  <c r="CD36" i="159"/>
  <c r="BK36" i="161"/>
  <c r="BW36" i="159"/>
  <c r="BN40" i="161"/>
  <c r="BR32" i="161"/>
  <c r="CD32" i="159"/>
  <c r="BK21" i="161"/>
  <c r="BW21" i="159"/>
  <c r="BU20" i="161"/>
  <c r="CG20" i="159"/>
  <c r="CD20" i="159"/>
  <c r="BR20" i="161"/>
  <c r="BK34" i="161"/>
  <c r="BW34" i="159"/>
  <c r="BU21" i="161"/>
  <c r="CG21" i="159"/>
  <c r="BQ44" i="161"/>
  <c r="CC44" i="159"/>
  <c r="BM33" i="161"/>
  <c r="BY33" i="159"/>
  <c r="BO33" i="161"/>
  <c r="CA33" i="159"/>
  <c r="BX31" i="159"/>
  <c r="BL31" i="161"/>
  <c r="BK51" i="161"/>
  <c r="BW51" i="159"/>
  <c r="CF51" i="159"/>
  <c r="BT51" i="161"/>
  <c r="BL32" i="161"/>
  <c r="BX32" i="159"/>
  <c r="BP8" i="161"/>
  <c r="CB8" i="159"/>
  <c r="BY54" i="159"/>
  <c r="BM54" i="161"/>
  <c r="BX54" i="159"/>
  <c r="BL54" i="161"/>
  <c r="CQ35" i="159"/>
  <c r="BM39" i="161"/>
  <c r="BY39" i="159"/>
  <c r="BL39" i="161"/>
  <c r="BX39" i="159"/>
  <c r="BR52" i="161"/>
  <c r="CD52" i="159"/>
  <c r="CF52" i="159"/>
  <c r="BT52" i="161"/>
  <c r="BO49" i="161"/>
  <c r="CA49" i="159"/>
  <c r="BX9" i="159"/>
  <c r="BL9" i="161"/>
  <c r="CE9" i="159"/>
  <c r="BS9" i="161"/>
  <c r="CG18" i="159"/>
  <c r="BU18" i="161"/>
  <c r="BX17" i="159"/>
  <c r="BL17" i="161"/>
  <c r="BJ50" i="161"/>
  <c r="CM50" i="159"/>
  <c r="CR50" i="159" s="1"/>
  <c r="BV50" i="159"/>
  <c r="BZ50" i="124" s="1"/>
  <c r="BL36" i="161"/>
  <c r="BX36" i="159"/>
  <c r="CF36" i="159"/>
  <c r="BT36" i="161"/>
  <c r="BL40" i="161"/>
  <c r="BX20" i="159"/>
  <c r="BL20" i="161"/>
  <c r="BY20" i="159"/>
  <c r="BM20" i="161"/>
  <c r="BJ34" i="161"/>
  <c r="CM34" i="159"/>
  <c r="CR34" i="159" s="1"/>
  <c r="BV34" i="159"/>
  <c r="BZ34" i="124" s="1"/>
  <c r="BT34" i="161"/>
  <c r="CF34" i="159"/>
  <c r="BS44" i="161"/>
  <c r="CE44" i="159"/>
  <c r="BJ32" i="161"/>
  <c r="CM32" i="159"/>
  <c r="CR32" i="159" s="1"/>
  <c r="BV32" i="159"/>
  <c r="BZ32" i="124" s="1"/>
  <c r="BJ31" i="161"/>
  <c r="CM31" i="159"/>
  <c r="CR31" i="159" s="1"/>
  <c r="BV31" i="159"/>
  <c r="BZ31" i="124" s="1"/>
  <c r="BS33" i="161"/>
  <c r="CE33" i="159"/>
  <c r="BP33" i="161"/>
  <c r="CB33" i="159"/>
  <c r="CN21" i="158"/>
  <c r="CS21" i="158" s="1"/>
  <c r="CF31" i="159"/>
  <c r="BT31" i="161"/>
  <c r="CM35" i="159"/>
  <c r="CR35" i="159" s="1"/>
  <c r="BL35" i="161"/>
  <c r="CE51" i="159"/>
  <c r="BS51" i="161"/>
  <c r="BV8" i="159"/>
  <c r="BZ8" i="124" s="1"/>
  <c r="BJ8" i="161"/>
  <c r="CM8" i="159"/>
  <c r="CR8" i="159" s="1"/>
  <c r="CE54" i="159"/>
  <c r="BS54" i="161"/>
  <c r="BW54" i="159"/>
  <c r="BK54" i="161"/>
  <c r="CQ32" i="159"/>
  <c r="BO39" i="161"/>
  <c r="CA39" i="159"/>
  <c r="BW39" i="159"/>
  <c r="BK39" i="161"/>
  <c r="BS52" i="161"/>
  <c r="CE52" i="159"/>
  <c r="BK49" i="161"/>
  <c r="BW49" i="159"/>
  <c r="BK32" i="161"/>
  <c r="BW32" i="159"/>
  <c r="BW9" i="159"/>
  <c r="BK9" i="161"/>
  <c r="BP9" i="161"/>
  <c r="CB9" i="159"/>
  <c r="CA18" i="159"/>
  <c r="BO18" i="161"/>
  <c r="BM21" i="161"/>
  <c r="BY21" i="159"/>
  <c r="CB17" i="159"/>
  <c r="BP17" i="161"/>
  <c r="CC17" i="159"/>
  <c r="BQ17" i="161"/>
  <c r="CD50" i="159"/>
  <c r="BR50" i="161"/>
  <c r="BK50" i="161"/>
  <c r="BW50" i="159"/>
  <c r="BP36" i="161"/>
  <c r="CB36" i="159"/>
  <c r="BS36" i="161"/>
  <c r="CE36" i="159"/>
  <c r="BT40" i="161"/>
  <c r="CF40" i="159"/>
  <c r="AI76" i="124"/>
  <c r="CQ34" i="159"/>
  <c r="BP21" i="161"/>
  <c r="CB21" i="159"/>
  <c r="BY22" i="159"/>
  <c r="BM22" i="161"/>
  <c r="BU31" i="161"/>
  <c r="CG31" i="159"/>
  <c r="BL22" i="161"/>
  <c r="BX22" i="159"/>
  <c r="BW20" i="159"/>
  <c r="BK20" i="161"/>
  <c r="BN32" i="161"/>
  <c r="BZ32" i="159"/>
  <c r="CN20" i="158"/>
  <c r="CS20" i="158" s="1"/>
  <c r="BQ34" i="161"/>
  <c r="CC34" i="159"/>
  <c r="CE34" i="159"/>
  <c r="BS34" i="161"/>
  <c r="BT44" i="161"/>
  <c r="CF44" i="159"/>
  <c r="BR33" i="161"/>
  <c r="CD33" i="159"/>
  <c r="BV33" i="159"/>
  <c r="BZ33" i="124" s="1"/>
  <c r="BJ33" i="161"/>
  <c r="CM33" i="159"/>
  <c r="CR33" i="159" s="1"/>
  <c r="CE22" i="159"/>
  <c r="BS22" i="161"/>
  <c r="BT32" i="161"/>
  <c r="CF32" i="159"/>
  <c r="BU35" i="161"/>
  <c r="BZ51" i="159"/>
  <c r="BN51" i="161"/>
  <c r="BN22" i="161"/>
  <c r="BZ22" i="159"/>
  <c r="BX8" i="159"/>
  <c r="BL8" i="161"/>
  <c r="BY8" i="159"/>
  <c r="BM8" i="161"/>
  <c r="CD54" i="159"/>
  <c r="BR54" i="161"/>
  <c r="CB54" i="159"/>
  <c r="BP54" i="161"/>
  <c r="CM22" i="159"/>
  <c r="CR22" i="159" s="1"/>
  <c r="BV22" i="159"/>
  <c r="BZ22" i="124" s="1"/>
  <c r="BJ22" i="161"/>
  <c r="BT35" i="161"/>
  <c r="BN39" i="161"/>
  <c r="BZ39" i="159"/>
  <c r="BY52" i="159"/>
  <c r="BM52" i="161"/>
  <c r="BV49" i="159"/>
  <c r="BZ49" i="124" s="1"/>
  <c r="BJ49" i="161"/>
  <c r="CM49" i="159"/>
  <c r="CR49" i="159" s="1"/>
  <c r="BN49" i="161"/>
  <c r="BZ49" i="159"/>
  <c r="BV9" i="159"/>
  <c r="BZ9" i="124" s="1"/>
  <c r="BJ9" i="161"/>
  <c r="CM9" i="159"/>
  <c r="CR9" i="159" s="1"/>
  <c r="CE18" i="159"/>
  <c r="BS18" i="161"/>
  <c r="BQ18" i="161"/>
  <c r="CC18" i="159"/>
  <c r="CA17" i="159"/>
  <c r="BO17" i="161"/>
  <c r="CD17" i="159"/>
  <c r="BR17" i="161"/>
  <c r="BL50" i="161"/>
  <c r="BX50" i="159"/>
  <c r="BQ50" i="161"/>
  <c r="CC50" i="159"/>
  <c r="BN36" i="161"/>
  <c r="BZ36" i="159"/>
  <c r="BS40" i="161"/>
  <c r="CE40" i="159"/>
  <c r="BK40" i="161"/>
  <c r="BV40" i="161"/>
  <c r="CC37" i="161"/>
  <c r="BY37" i="161"/>
  <c r="CG37" i="161"/>
  <c r="CB37" i="161"/>
  <c r="BX53" i="161"/>
  <c r="BZ53" i="161"/>
  <c r="CA53" i="161"/>
  <c r="CB53" i="161"/>
  <c r="CC53" i="161"/>
  <c r="CG53" i="161"/>
  <c r="BE74" i="124"/>
  <c r="BW19" i="161"/>
  <c r="CB19" i="161"/>
  <c r="BX19" i="161"/>
  <c r="CD19" i="161"/>
  <c r="BY19" i="161"/>
  <c r="CE19" i="161"/>
  <c r="CC19" i="161"/>
  <c r="CA19" i="161"/>
  <c r="BZ19" i="161"/>
  <c r="CG16" i="161"/>
  <c r="CC16" i="161"/>
  <c r="BY7" i="161"/>
  <c r="BW55" i="161"/>
  <c r="CB55" i="161"/>
  <c r="BW7" i="161"/>
  <c r="CC47" i="161"/>
  <c r="CE55" i="161"/>
  <c r="CA16" i="161"/>
  <c r="CG7" i="161"/>
  <c r="BX2" i="161"/>
  <c r="CE7" i="161"/>
  <c r="CF7" i="161"/>
  <c r="CF55" i="161"/>
  <c r="BX35" i="161"/>
  <c r="CE16" i="161"/>
  <c r="CD47" i="161"/>
  <c r="BZ43" i="161"/>
  <c r="CB47" i="161"/>
  <c r="CB2" i="161"/>
  <c r="BV7" i="161"/>
  <c r="CN7" i="159"/>
  <c r="CS7" i="159" s="1"/>
  <c r="BX16" i="161"/>
  <c r="BV16" i="161"/>
  <c r="CN16" i="159"/>
  <c r="CS16" i="159" s="1"/>
  <c r="CF30" i="161"/>
  <c r="BW43" i="161"/>
  <c r="BY16" i="161"/>
  <c r="CC30" i="161"/>
  <c r="BX47" i="161"/>
  <c r="CD55" i="161"/>
  <c r="CA55" i="161"/>
  <c r="CA35" i="161"/>
  <c r="BX7" i="161"/>
  <c r="BZ7" i="161"/>
  <c r="CG30" i="161"/>
  <c r="CA7" i="161"/>
  <c r="BZ2" i="161"/>
  <c r="BV55" i="161"/>
  <c r="CN55" i="159"/>
  <c r="CS55" i="159" s="1"/>
  <c r="BZ16" i="161"/>
  <c r="CC7" i="161"/>
  <c r="CD16" i="161"/>
  <c r="CA30" i="161"/>
  <c r="CD7" i="161"/>
  <c r="BZ47" i="161"/>
  <c r="CF2" i="161"/>
  <c r="CF16" i="161"/>
  <c r="BZ48" i="161"/>
  <c r="BZ35" i="161"/>
  <c r="BY2" i="161"/>
  <c r="BW2" i="161"/>
  <c r="BZ55" i="161"/>
  <c r="CE2" i="161"/>
  <c r="CC43" i="161"/>
  <c r="BY55" i="161"/>
  <c r="BY43" i="161"/>
  <c r="BW16" i="161"/>
  <c r="BY30" i="161"/>
  <c r="CB43" i="161"/>
  <c r="CB16" i="161"/>
  <c r="CD43" i="161"/>
  <c r="CC55" i="161"/>
  <c r="CG55" i="161"/>
  <c r="BX55" i="161"/>
  <c r="CA2" i="161"/>
  <c r="CB7" i="161"/>
  <c r="CA47" i="161"/>
  <c r="BB76" i="124" l="1"/>
  <c r="BA77" i="124"/>
  <c r="BF77" i="124"/>
  <c r="BD76" i="124"/>
  <c r="BR78" i="124"/>
  <c r="BT78" i="124"/>
  <c r="BV48" i="161"/>
  <c r="BV19" i="161"/>
  <c r="BV47" i="161"/>
  <c r="BV30" i="161"/>
  <c r="BV53" i="161"/>
  <c r="BV2" i="161"/>
  <c r="BV35" i="161"/>
  <c r="BU66" i="124"/>
  <c r="BU77" i="124"/>
  <c r="BP78" i="124"/>
  <c r="CN47" i="159"/>
  <c r="CS47" i="159" s="1"/>
  <c r="CN43" i="159"/>
  <c r="CS43" i="159" s="1"/>
  <c r="CN19" i="159"/>
  <c r="CS19" i="159" s="1"/>
  <c r="CG19" i="161"/>
  <c r="CQ42" i="159"/>
  <c r="CN30" i="159"/>
  <c r="CS30" i="159" s="1"/>
  <c r="CN2" i="159"/>
  <c r="CS2" i="159" s="1"/>
  <c r="CN53" i="159"/>
  <c r="CS53" i="159" s="1"/>
  <c r="CE30" i="161"/>
  <c r="AH78" i="124"/>
  <c r="CN48" i="159"/>
  <c r="CS48" i="159" s="1"/>
  <c r="CN37" i="159"/>
  <c r="CS37" i="159" s="1"/>
  <c r="CD37" i="161"/>
  <c r="BV43" i="161"/>
  <c r="AI66" i="124"/>
  <c r="AC78" i="124"/>
  <c r="CN35" i="159"/>
  <c r="CS35" i="159" s="1"/>
  <c r="CA29" i="161"/>
  <c r="CD29" i="161"/>
  <c r="CB29" i="161"/>
  <c r="BV29" i="161"/>
  <c r="CN29" i="159"/>
  <c r="CS29" i="159" s="1"/>
  <c r="CC29" i="161"/>
  <c r="BW29" i="161"/>
  <c r="BX29" i="161"/>
  <c r="CG29" i="161"/>
  <c r="BX48" i="161"/>
  <c r="CE29" i="161"/>
  <c r="BZ29" i="161"/>
  <c r="BY29" i="161"/>
  <c r="AI77" i="124"/>
  <c r="CR41" i="159"/>
  <c r="CB41" i="161"/>
  <c r="CF41" i="161"/>
  <c r="CA42" i="161"/>
  <c r="BZ41" i="161"/>
  <c r="BQ46" i="161"/>
  <c r="CC46" i="159"/>
  <c r="CD41" i="161"/>
  <c r="CE38" i="161"/>
  <c r="BS45" i="161"/>
  <c r="CE45" i="159"/>
  <c r="CC41" i="161"/>
  <c r="BN46" i="161"/>
  <c r="BZ46" i="159"/>
  <c r="BK45" i="161"/>
  <c r="BW45" i="159"/>
  <c r="BL46" i="161"/>
  <c r="BX46" i="159"/>
  <c r="CD42" i="161"/>
  <c r="BY46" i="159"/>
  <c r="BU45" i="161"/>
  <c r="CG45" i="159"/>
  <c r="BV41" i="161"/>
  <c r="CB38" i="161"/>
  <c r="CC38" i="161"/>
  <c r="BX38" i="161"/>
  <c r="CB42" i="159"/>
  <c r="BP42" i="161"/>
  <c r="BX41" i="161"/>
  <c r="CN45" i="158"/>
  <c r="CS45" i="158" s="1"/>
  <c r="CD38" i="161"/>
  <c r="CG42" i="159"/>
  <c r="BU42" i="161"/>
  <c r="BQ45" i="161"/>
  <c r="CQ41" i="159"/>
  <c r="BY42" i="159"/>
  <c r="BM42" i="161"/>
  <c r="BK46" i="161"/>
  <c r="BW46" i="159"/>
  <c r="CN46" i="158"/>
  <c r="CS46" i="158" s="1"/>
  <c r="BW41" i="161"/>
  <c r="BN42" i="161"/>
  <c r="BZ42" i="159"/>
  <c r="BP45" i="161"/>
  <c r="CB45" i="159"/>
  <c r="CF38" i="161"/>
  <c r="CN42" i="158"/>
  <c r="CS42" i="158" s="1"/>
  <c r="BF66" i="124"/>
  <c r="CC45" i="159"/>
  <c r="BS46" i="161"/>
  <c r="CE46" i="159"/>
  <c r="BO45" i="161"/>
  <c r="CA45" i="159"/>
  <c r="BZ45" i="159"/>
  <c r="BN45" i="161"/>
  <c r="CQ45" i="159"/>
  <c r="CE42" i="159"/>
  <c r="CF42" i="159"/>
  <c r="BA66" i="124"/>
  <c r="BP46" i="161"/>
  <c r="CB46" i="159"/>
  <c r="BJ42" i="161"/>
  <c r="CM42" i="159"/>
  <c r="CR42" i="159" s="1"/>
  <c r="BV42" i="159"/>
  <c r="BZ42" i="124" s="1"/>
  <c r="BL45" i="161"/>
  <c r="BX45" i="159"/>
  <c r="BM46" i="161"/>
  <c r="BV38" i="161"/>
  <c r="CN38" i="159"/>
  <c r="CS38" i="159" s="1"/>
  <c r="CA46" i="159"/>
  <c r="BO46" i="161"/>
  <c r="CG38" i="161"/>
  <c r="CN41" i="158"/>
  <c r="CS41" i="158" s="1"/>
  <c r="BY45" i="159"/>
  <c r="BM45" i="161"/>
  <c r="BX42" i="159"/>
  <c r="CN40" i="159"/>
  <c r="CS40" i="159" s="1"/>
  <c r="CC42" i="159"/>
  <c r="BQ42" i="161"/>
  <c r="BZ38" i="161"/>
  <c r="CA38" i="161"/>
  <c r="CF45" i="159"/>
  <c r="BT45" i="161"/>
  <c r="BY38" i="161"/>
  <c r="CG41" i="159"/>
  <c r="BR45" i="161"/>
  <c r="CD45" i="159"/>
  <c r="BY41" i="161"/>
  <c r="BJ45" i="161"/>
  <c r="BV45" i="159"/>
  <c r="BZ45" i="124" s="1"/>
  <c r="CM45" i="159"/>
  <c r="CR45" i="159" s="1"/>
  <c r="BU46" i="161"/>
  <c r="CA41" i="159"/>
  <c r="BT46" i="161"/>
  <c r="CF46" i="159"/>
  <c r="CQ46" i="159"/>
  <c r="CE41" i="161"/>
  <c r="BW42" i="161"/>
  <c r="BR46" i="161"/>
  <c r="CD46" i="159"/>
  <c r="CG46" i="159"/>
  <c r="BW38" i="161"/>
  <c r="BV46" i="159"/>
  <c r="BZ46" i="124" s="1"/>
  <c r="BJ46" i="161"/>
  <c r="CM46" i="159"/>
  <c r="CR46" i="159" s="1"/>
  <c r="BV9" i="161"/>
  <c r="CN9" i="159"/>
  <c r="CS9" i="159" s="1"/>
  <c r="BV22" i="161"/>
  <c r="CN22" i="159"/>
  <c r="CS22" i="159" s="1"/>
  <c r="CF44" i="161"/>
  <c r="CD50" i="161"/>
  <c r="CE52" i="161"/>
  <c r="CE9" i="161"/>
  <c r="BY39" i="161"/>
  <c r="CD20" i="161"/>
  <c r="CB39" i="161"/>
  <c r="CD44" i="161"/>
  <c r="CB49" i="161"/>
  <c r="CC39" i="161"/>
  <c r="CE32" i="161"/>
  <c r="CA51" i="161"/>
  <c r="CD49" i="161"/>
  <c r="CA52" i="161"/>
  <c r="CB44" i="161"/>
  <c r="CC22" i="161"/>
  <c r="CB52" i="161"/>
  <c r="CE39" i="161"/>
  <c r="BY18" i="161"/>
  <c r="CA54" i="161"/>
  <c r="CD34" i="161"/>
  <c r="CE50" i="161"/>
  <c r="CA44" i="161"/>
  <c r="CA17" i="161"/>
  <c r="BY52" i="161"/>
  <c r="CE34" i="161"/>
  <c r="CB21" i="161"/>
  <c r="CB33" i="161"/>
  <c r="BV31" i="161"/>
  <c r="CN31" i="159"/>
  <c r="CS31" i="159" s="1"/>
  <c r="BV32" i="161"/>
  <c r="CN32" i="159"/>
  <c r="CS32" i="159" s="1"/>
  <c r="CE44" i="161"/>
  <c r="BV34" i="161"/>
  <c r="CN34" i="159"/>
  <c r="CS34" i="159" s="1"/>
  <c r="CG18" i="161"/>
  <c r="CF51" i="161"/>
  <c r="BY33" i="161"/>
  <c r="BW36" i="161"/>
  <c r="CF18" i="161"/>
  <c r="BV52" i="161"/>
  <c r="CN52" i="159"/>
  <c r="CS52" i="159" s="1"/>
  <c r="CG50" i="161"/>
  <c r="CG36" i="161"/>
  <c r="BX49" i="161"/>
  <c r="BW22" i="161"/>
  <c r="CG54" i="161"/>
  <c r="BW8" i="161"/>
  <c r="CB22" i="161"/>
  <c r="BZ52" i="161"/>
  <c r="CC40" i="161"/>
  <c r="CC9" i="161"/>
  <c r="BZ36" i="161"/>
  <c r="CC50" i="161"/>
  <c r="BZ22" i="161"/>
  <c r="BY22" i="161"/>
  <c r="CB17" i="161"/>
  <c r="BX9" i="161"/>
  <c r="CE49" i="161"/>
  <c r="BV39" i="161"/>
  <c r="CN39" i="159"/>
  <c r="CS39" i="159" s="1"/>
  <c r="BX21" i="161"/>
  <c r="CB51" i="161"/>
  <c r="CG32" i="161"/>
  <c r="CB34" i="161"/>
  <c r="BY36" i="161"/>
  <c r="BY9" i="161"/>
  <c r="CG52" i="161"/>
  <c r="CF21" i="161"/>
  <c r="BV44" i="161"/>
  <c r="CN44" i="159"/>
  <c r="CS44" i="159" s="1"/>
  <c r="CA20" i="161"/>
  <c r="CB20" i="161"/>
  <c r="CD22" i="161"/>
  <c r="CB18" i="161"/>
  <c r="CC52" i="161"/>
  <c r="CF8" i="161"/>
  <c r="CC32" i="161"/>
  <c r="BY34" i="161"/>
  <c r="CF50" i="161"/>
  <c r="BY17" i="161"/>
  <c r="CB32" i="161"/>
  <c r="CD39" i="161"/>
  <c r="BV51" i="161"/>
  <c r="CN51" i="159"/>
  <c r="CS51" i="159" s="1"/>
  <c r="BZ20" i="161"/>
  <c r="CG17" i="161"/>
  <c r="CC21" i="161"/>
  <c r="CB54" i="161"/>
  <c r="CD54" i="161"/>
  <c r="CF32" i="161"/>
  <c r="BV33" i="161"/>
  <c r="CN33" i="159"/>
  <c r="CS33" i="159" s="1"/>
  <c r="CE36" i="161"/>
  <c r="BW50" i="161"/>
  <c r="CA39" i="161"/>
  <c r="BV8" i="161"/>
  <c r="CN8" i="159"/>
  <c r="CS8" i="159" s="1"/>
  <c r="BX20" i="161"/>
  <c r="BV50" i="161"/>
  <c r="CN50" i="159"/>
  <c r="CS50" i="159" s="1"/>
  <c r="CF52" i="161"/>
  <c r="BX39" i="161"/>
  <c r="BW51" i="161"/>
  <c r="BW21" i="161"/>
  <c r="CG22" i="161"/>
  <c r="CN17" i="159"/>
  <c r="CS17" i="159" s="1"/>
  <c r="BV17" i="161"/>
  <c r="CA50" i="161"/>
  <c r="BX18" i="161"/>
  <c r="BX51" i="161"/>
  <c r="CD21" i="161"/>
  <c r="CD8" i="161"/>
  <c r="CG51" i="161"/>
  <c r="CF17" i="161"/>
  <c r="CB31" i="161"/>
  <c r="BE75" i="124"/>
  <c r="CE8" i="161"/>
  <c r="CC33" i="161"/>
  <c r="BZ31" i="161"/>
  <c r="CE20" i="161"/>
  <c r="CN18" i="159"/>
  <c r="CS18" i="159" s="1"/>
  <c r="BV18" i="161"/>
  <c r="CF54" i="161"/>
  <c r="CA36" i="161"/>
  <c r="CC18" i="161"/>
  <c r="CE18" i="161"/>
  <c r="BX8" i="161"/>
  <c r="CC34" i="161"/>
  <c r="CG31" i="161"/>
  <c r="CA18" i="161"/>
  <c r="BW49" i="161"/>
  <c r="BW54" i="161"/>
  <c r="CE54" i="161"/>
  <c r="CF36" i="161"/>
  <c r="CD52" i="161"/>
  <c r="BY54" i="161"/>
  <c r="BW34" i="161"/>
  <c r="CB50" i="161"/>
  <c r="BW33" i="161"/>
  <c r="BW44" i="161"/>
  <c r="CC31" i="161"/>
  <c r="CA21" i="161"/>
  <c r="CG8" i="161"/>
  <c r="BZ9" i="161"/>
  <c r="CE31" i="161"/>
  <c r="CC51" i="161"/>
  <c r="BV21" i="161"/>
  <c r="CN21" i="159"/>
  <c r="CS21" i="159" s="1"/>
  <c r="CG49" i="161"/>
  <c r="CA34" i="161"/>
  <c r="BY50" i="161"/>
  <c r="BZ33" i="161"/>
  <c r="CE40" i="161"/>
  <c r="BX50" i="161"/>
  <c r="CN49" i="159"/>
  <c r="CS49" i="159" s="1"/>
  <c r="BV49" i="161"/>
  <c r="BZ32" i="161"/>
  <c r="BW20" i="161"/>
  <c r="CB9" i="161"/>
  <c r="CE51" i="161"/>
  <c r="CE33" i="161"/>
  <c r="CF34" i="161"/>
  <c r="BY20" i="161"/>
  <c r="BX32" i="161"/>
  <c r="CA33" i="161"/>
  <c r="CG21" i="161"/>
  <c r="CG20" i="161"/>
  <c r="CD36" i="161"/>
  <c r="BW31" i="161"/>
  <c r="BX52" i="161"/>
  <c r="CE21" i="161"/>
  <c r="CA8" i="161"/>
  <c r="CF22" i="161"/>
  <c r="CF39" i="161"/>
  <c r="BY31" i="161"/>
  <c r="CA32" i="161"/>
  <c r="CE17" i="161"/>
  <c r="CC54" i="161"/>
  <c r="BX33" i="161"/>
  <c r="BY44" i="161"/>
  <c r="CF20" i="161"/>
  <c r="CD31" i="161"/>
  <c r="CA31" i="161"/>
  <c r="BZ18" i="161"/>
  <c r="CF49" i="161"/>
  <c r="BX44" i="161"/>
  <c r="BX34" i="161"/>
  <c r="CC8" i="161"/>
  <c r="CD17" i="161"/>
  <c r="BZ39" i="161"/>
  <c r="BY8" i="161"/>
  <c r="CE22" i="161"/>
  <c r="CD33" i="161"/>
  <c r="BX22" i="161"/>
  <c r="CF40" i="161"/>
  <c r="BW9" i="161"/>
  <c r="BX17" i="161"/>
  <c r="BX54" i="161"/>
  <c r="BX31" i="161"/>
  <c r="CC44" i="161"/>
  <c r="CD9" i="161"/>
  <c r="CA9" i="161"/>
  <c r="CN54" i="159"/>
  <c r="CS54" i="159" s="1"/>
  <c r="BV54" i="161"/>
  <c r="BY51" i="161"/>
  <c r="CC36" i="161"/>
  <c r="BZ54" i="161"/>
  <c r="CG34" i="161"/>
  <c r="BZ21" i="161"/>
  <c r="CN36" i="159"/>
  <c r="CS36" i="159" s="1"/>
  <c r="BV36" i="161"/>
  <c r="CD18" i="161"/>
  <c r="CG39" i="161"/>
  <c r="CC49" i="161"/>
  <c r="BW17" i="161"/>
  <c r="BY40" i="161"/>
  <c r="BZ8" i="161"/>
  <c r="BZ49" i="161"/>
  <c r="BZ51" i="161"/>
  <c r="CB36" i="161"/>
  <c r="CC17" i="161"/>
  <c r="BY21" i="161"/>
  <c r="BW32" i="161"/>
  <c r="BW39" i="161"/>
  <c r="CF31" i="161"/>
  <c r="BX36" i="161"/>
  <c r="CA49" i="161"/>
  <c r="CB8" i="161"/>
  <c r="CD32" i="161"/>
  <c r="BW52" i="161"/>
  <c r="CG33" i="161"/>
  <c r="CN20" i="159"/>
  <c r="CS20" i="159" s="1"/>
  <c r="BV20" i="161"/>
  <c r="CC20" i="161"/>
  <c r="BZ17" i="161"/>
  <c r="CF9" i="161"/>
  <c r="CA22" i="161"/>
  <c r="CF33" i="161"/>
  <c r="BZ44" i="161"/>
  <c r="CG9" i="161"/>
  <c r="BY49" i="161"/>
  <c r="CD51" i="161"/>
  <c r="BY32" i="161"/>
  <c r="BZ50" i="161"/>
  <c r="BW18" i="161"/>
  <c r="CG44" i="161"/>
  <c r="BZ34" i="161"/>
  <c r="BB77" i="124" l="1"/>
  <c r="BD77" i="124"/>
  <c r="BE76" i="124"/>
  <c r="BZ66" i="124"/>
  <c r="BU78" i="124"/>
  <c r="BF78" i="124"/>
  <c r="BA78" i="124"/>
  <c r="CN41" i="159"/>
  <c r="CS41" i="159" s="1"/>
  <c r="AI78" i="124"/>
  <c r="BD66" i="124"/>
  <c r="BZ42" i="161"/>
  <c r="BY42" i="161"/>
  <c r="BY46" i="161"/>
  <c r="CG41" i="161"/>
  <c r="CF42" i="161"/>
  <c r="CE46" i="161"/>
  <c r="CG45" i="161"/>
  <c r="BW45" i="161"/>
  <c r="CD46" i="161"/>
  <c r="CC42" i="161"/>
  <c r="BX42" i="161"/>
  <c r="CE42" i="161"/>
  <c r="CE45" i="161"/>
  <c r="CB46" i="161"/>
  <c r="CB45" i="161"/>
  <c r="CB42" i="161"/>
  <c r="BV46" i="161"/>
  <c r="CN46" i="159"/>
  <c r="CS46" i="159" s="1"/>
  <c r="CG46" i="161"/>
  <c r="CD45" i="161"/>
  <c r="CA46" i="161"/>
  <c r="CA45" i="161"/>
  <c r="CC45" i="161"/>
  <c r="BV45" i="161"/>
  <c r="CN45" i="159"/>
  <c r="CS45" i="159" s="1"/>
  <c r="CN42" i="159"/>
  <c r="CS42" i="159" s="1"/>
  <c r="BV42" i="161"/>
  <c r="CG42" i="161"/>
  <c r="BX46" i="161"/>
  <c r="CA41" i="161"/>
  <c r="BX45" i="161"/>
  <c r="BZ45" i="161"/>
  <c r="BZ46" i="161"/>
  <c r="CC46" i="161"/>
  <c r="CF46" i="161"/>
  <c r="CF45" i="161"/>
  <c r="BY45" i="161"/>
  <c r="BW46" i="161"/>
  <c r="BB66" i="124"/>
  <c r="BE77" i="124" l="1"/>
  <c r="BD78" i="124"/>
  <c r="BB78" i="124"/>
  <c r="BE66" i="124"/>
  <c r="BE78" i="124" l="1"/>
  <c r="BL7" i="124" l="1"/>
  <c r="BL4" i="124"/>
  <c r="BL13" i="124"/>
  <c r="BL6" i="124"/>
  <c r="BL23" i="124"/>
  <c r="BL59" i="124" l="1"/>
  <c r="BL16" i="124"/>
  <c r="BL55" i="124"/>
  <c r="BL62" i="124"/>
  <c r="BL21" i="124"/>
  <c r="BL9" i="124"/>
  <c r="BL24" i="124"/>
  <c r="BL61" i="124"/>
  <c r="BL27" i="124"/>
  <c r="BL58" i="124"/>
  <c r="BL56" i="124"/>
  <c r="BL14" i="124"/>
  <c r="BL20" i="124"/>
  <c r="BL63" i="124"/>
  <c r="BL19" i="124"/>
  <c r="BL3" i="124"/>
  <c r="BL57" i="124"/>
  <c r="BL22" i="124"/>
  <c r="BL60" i="124"/>
  <c r="BL15" i="124"/>
  <c r="BL25" i="124"/>
  <c r="BL12" i="124"/>
  <c r="BL2" i="124"/>
  <c r="BL35" i="124"/>
  <c r="BL50" i="124"/>
  <c r="BL39" i="124" l="1"/>
  <c r="BL52" i="124"/>
  <c r="BL41" i="124"/>
  <c r="BL26" i="124"/>
  <c r="BL43" i="124"/>
  <c r="BL40" i="124"/>
  <c r="BL8" i="124"/>
  <c r="BL75" i="124" s="1"/>
  <c r="BL51" i="124"/>
  <c r="BL37" i="124"/>
  <c r="BL31" i="124"/>
  <c r="BL49" i="124"/>
  <c r="BL38" i="124"/>
  <c r="BL30" i="124"/>
  <c r="BL32" i="124"/>
  <c r="BL17" i="124"/>
  <c r="BL42" i="124"/>
  <c r="BL29" i="124"/>
  <c r="BL36" i="124"/>
  <c r="BL53" i="124"/>
  <c r="BL34" i="124"/>
  <c r="BL44" i="124"/>
  <c r="BL18" i="124"/>
  <c r="BL33" i="124"/>
  <c r="BL54" i="124"/>
  <c r="BL74" i="124"/>
  <c r="BL76" i="124" l="1"/>
  <c r="BL48" i="124"/>
  <c r="BL46" i="124"/>
  <c r="BL45" i="124"/>
  <c r="BL47" i="124"/>
  <c r="BK66" i="124"/>
  <c r="BL77" i="124" l="1"/>
  <c r="BL66" i="1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<sst xmlns="http://schemas.openxmlformats.org/spreadsheetml/2006/main" count="11344" uniqueCount="1539">
  <si>
    <t>FN-R</t>
  </si>
  <si>
    <t>CF-R</t>
  </si>
  <si>
    <t>FI-R</t>
  </si>
  <si>
    <t>FT-R</t>
  </si>
  <si>
    <t>FN-C</t>
  </si>
  <si>
    <t>CF-C</t>
  </si>
  <si>
    <t>FI-C</t>
  </si>
  <si>
    <t>FT-C</t>
  </si>
  <si>
    <t>Residential</t>
  </si>
  <si>
    <t>Total</t>
  </si>
  <si>
    <t>Description</t>
  </si>
  <si>
    <t>Rate Code</t>
  </si>
  <si>
    <t>Indiantown</t>
  </si>
  <si>
    <t>IGC</t>
  </si>
  <si>
    <t>FT</t>
  </si>
  <si>
    <t>FPUC</t>
  </si>
  <si>
    <t>FPU</t>
  </si>
  <si>
    <t>CFG</t>
  </si>
  <si>
    <t>Miscellaneous Revenues</t>
  </si>
  <si>
    <t>Code</t>
  </si>
  <si>
    <t>Service Revenues</t>
  </si>
  <si>
    <t>Shipper Fees</t>
  </si>
  <si>
    <t>Unbilled</t>
  </si>
  <si>
    <t>Reserve for Overearning</t>
  </si>
  <si>
    <t>Tax Reform</t>
  </si>
  <si>
    <t>Administrative Charge</t>
  </si>
  <si>
    <t>Total Revenue</t>
  </si>
  <si>
    <t>2023 Forecasted Bills</t>
  </si>
  <si>
    <t>Adjustment</t>
  </si>
  <si>
    <t>FPUC - Residential Service</t>
  </si>
  <si>
    <t>FPU - FPU - RS</t>
  </si>
  <si>
    <t xml:space="preserve"> </t>
  </si>
  <si>
    <t>FPUC - Residential Standby Generator Service</t>
  </si>
  <si>
    <t>FPU - FPU - RS-GS</t>
  </si>
  <si>
    <t>FPUC - Commercial Standby Generator Service</t>
  </si>
  <si>
    <t>FPU - FPU - CS - GS</t>
  </si>
  <si>
    <t>FPUC - General Service-1</t>
  </si>
  <si>
    <t>FPU - FPU - GS - 1</t>
  </si>
  <si>
    <t>FPUC - General Transportation Service -1</t>
  </si>
  <si>
    <t>FPU - FPU - GSTS - 1</t>
  </si>
  <si>
    <t>FPUC - General Service - 2</t>
  </si>
  <si>
    <t>FPU - FPU - GS - 2</t>
  </si>
  <si>
    <t>FPUC - General Transportation Service-2</t>
  </si>
  <si>
    <t>FPU - FPU - GSTS - 2</t>
  </si>
  <si>
    <t>FPUC - Large Volume Service</t>
  </si>
  <si>
    <t>FPU - FPU - LVS</t>
  </si>
  <si>
    <t>FPUC - Large Volume Transportation Service</t>
  </si>
  <si>
    <t>FPU - FPU - LVTS &gt;50k</t>
  </si>
  <si>
    <t>FPUC - Interruptible Service (IS)</t>
  </si>
  <si>
    <t>FPU - FPU - IS</t>
  </si>
  <si>
    <t>FPUC - Interruptible Transportation Service (ITS)</t>
  </si>
  <si>
    <t>FPU - FPU - ITS</t>
  </si>
  <si>
    <t>FPUC - Natural Gas Vehicle Service</t>
  </si>
  <si>
    <t>FPU - FPU-NGVS</t>
  </si>
  <si>
    <t>FPUC - Natural Gas Vehicle Transportation Service</t>
  </si>
  <si>
    <t>FPU - FPU- NGVTS</t>
  </si>
  <si>
    <t>FPUC - Gas Lighting Service</t>
  </si>
  <si>
    <t>FPU - FPU - GLS</t>
  </si>
  <si>
    <t>FPUC - Gas Lighting Transportation Service</t>
  </si>
  <si>
    <t>CFG - FTS-1 - Fixed R</t>
  </si>
  <si>
    <t>CFG - FTS-1 - Fixed NR</t>
  </si>
  <si>
    <t>CFG - FTS-2 - Fixed R</t>
  </si>
  <si>
    <t>CFG - FTS-2 - Fixed NR</t>
  </si>
  <si>
    <t>CFG - FTS-2.1 - Fixed R</t>
  </si>
  <si>
    <t>CFG - FTS-2.1 - Fixed NR</t>
  </si>
  <si>
    <t>CFG - Firm Transportation Service - 4</t>
  </si>
  <si>
    <t>CFG - FTS-4</t>
  </si>
  <si>
    <t>CFG - Firm Transportation Service - 5</t>
  </si>
  <si>
    <t>CFG - FTS-5</t>
  </si>
  <si>
    <t>CFG - Firm Transportation Service - 6</t>
  </si>
  <si>
    <t>CFG - FTS-6</t>
  </si>
  <si>
    <t>CFG - Firm Transportation Service - 7</t>
  </si>
  <si>
    <t>CFG - FTS-7</t>
  </si>
  <si>
    <t>CFG - Firm Transportation Service - 8</t>
  </si>
  <si>
    <t>CFG - FTS-8</t>
  </si>
  <si>
    <t>CFG - Firm Transportation Service - 9</t>
  </si>
  <si>
    <t>CFG - FTS-9</t>
  </si>
  <si>
    <t>CFG - Firm Transportation Service - 10</t>
  </si>
  <si>
    <t>CFG - FTS-10</t>
  </si>
  <si>
    <t>CFG - Firm Transportation Service - 11</t>
  </si>
  <si>
    <t>CFG - FTS-11</t>
  </si>
  <si>
    <t>CFG - Firm Transportation Service - 12</t>
  </si>
  <si>
    <t>CFG - FTS-12</t>
  </si>
  <si>
    <t>CFG - Firm Transportation Service - NGV</t>
  </si>
  <si>
    <t>CFG - FTS-NGV</t>
  </si>
  <si>
    <t>Indiantown - Transportation Service 1</t>
  </si>
  <si>
    <t>IGC - IGC - TS1</t>
  </si>
  <si>
    <t>Indiantown - Transportation Service 2</t>
  </si>
  <si>
    <t>IGC - IGC - TS2</t>
  </si>
  <si>
    <t>Indiantown - Transportation Service 3</t>
  </si>
  <si>
    <t>IGC - IGC - TS3</t>
  </si>
  <si>
    <t>Indiantown - Transportation Service 4</t>
  </si>
  <si>
    <t>IGC - IGC - TS4</t>
  </si>
  <si>
    <t>Indiantown - Transportation Service NGV</t>
  </si>
  <si>
    <t>Ft. Meade - Residential Service</t>
  </si>
  <si>
    <t>FT - FT-RS</t>
  </si>
  <si>
    <t>Ft. Meade - General Service-1</t>
  </si>
  <si>
    <t>Ft. Meade - General Transportation Service-1</t>
  </si>
  <si>
    <t>Ft. Meade - Large Volume Service</t>
  </si>
  <si>
    <t>Ft. Meade - Large Volume Transportation Service</t>
  </si>
  <si>
    <t>GS-1</t>
  </si>
  <si>
    <t>LVS</t>
  </si>
  <si>
    <t>LVTS</t>
  </si>
  <si>
    <t>Ft. Meade - Natural Gas Vehicle Transportation Service</t>
  </si>
  <si>
    <t>Rate</t>
  </si>
  <si>
    <t>IGC - TS1</t>
  </si>
  <si>
    <t>UPC</t>
  </si>
  <si>
    <t>IGC - TS2</t>
  </si>
  <si>
    <t>IGC - TS3</t>
  </si>
  <si>
    <t>IGC - TS4</t>
  </si>
  <si>
    <t>NGV</t>
  </si>
  <si>
    <t>FT-RS</t>
  </si>
  <si>
    <t>RS</t>
  </si>
  <si>
    <t>FPU - GS - 1</t>
  </si>
  <si>
    <t>FTS-A</t>
  </si>
  <si>
    <t>FTS-B</t>
  </si>
  <si>
    <t>FTS-1</t>
  </si>
  <si>
    <t>FTS-2</t>
  </si>
  <si>
    <t>FTS-2.1</t>
  </si>
  <si>
    <t>FTS-3</t>
  </si>
  <si>
    <t>FTS-3.1</t>
  </si>
  <si>
    <t>FTS-4</t>
  </si>
  <si>
    <t>CFG - Firm Transportation Service - 13</t>
  </si>
  <si>
    <t>Date</t>
  </si>
  <si>
    <t xml:space="preserve">Annual GRIP Tariffs Surcharges </t>
  </si>
  <si>
    <t>2020 Tariffs</t>
  </si>
  <si>
    <t>2021 Tariffs</t>
  </si>
  <si>
    <t>2022 Tariffs</t>
  </si>
  <si>
    <t>Year</t>
  </si>
  <si>
    <t>Desc Code</t>
  </si>
  <si>
    <t>Customer</t>
  </si>
  <si>
    <t>GRIP Tariff</t>
  </si>
  <si>
    <t>FM</t>
  </si>
  <si>
    <t>GS-2</t>
  </si>
  <si>
    <t>GSTS-1</t>
  </si>
  <si>
    <t>GSTS-2</t>
  </si>
  <si>
    <t>LVTS-1</t>
  </si>
  <si>
    <t>IS</t>
  </si>
  <si>
    <t>ITS</t>
  </si>
  <si>
    <t>GLS</t>
  </si>
  <si>
    <t>GLSTS</t>
  </si>
  <si>
    <t>NGVTS</t>
  </si>
  <si>
    <t>FTS-5</t>
  </si>
  <si>
    <t>FTS-6</t>
  </si>
  <si>
    <t>FTS-7</t>
  </si>
  <si>
    <t>FTS-8</t>
  </si>
  <si>
    <t>FTS-9</t>
  </si>
  <si>
    <t>FTS-10</t>
  </si>
  <si>
    <t>FTS-11</t>
  </si>
  <si>
    <t>FTS-12</t>
  </si>
  <si>
    <t>FTS-NGV</t>
  </si>
  <si>
    <t>GSTS1</t>
  </si>
  <si>
    <t xml:space="preserve">LVS  </t>
  </si>
  <si>
    <t xml:space="preserve">LVTS </t>
  </si>
  <si>
    <t xml:space="preserve">RS   </t>
  </si>
  <si>
    <t>VOLUMES</t>
  </si>
  <si>
    <t>T</t>
  </si>
  <si>
    <t>CURRENT YEAR ACTUAL</t>
  </si>
  <si>
    <t>1 - RESIDENTIAL</t>
  </si>
  <si>
    <t>Financial Reporting</t>
  </si>
  <si>
    <t>CFG Residential</t>
  </si>
  <si>
    <t>FPU - RS</t>
  </si>
  <si>
    <t>FPU Residential</t>
  </si>
  <si>
    <t>FPU - RS-GS</t>
  </si>
  <si>
    <t>FT Residential</t>
  </si>
  <si>
    <t>FI TS1 - RS</t>
  </si>
  <si>
    <t>TOTAL RESIDENTIAL:</t>
  </si>
  <si>
    <t>2 - RESIDENTIAL - EXPERIMENTAL</t>
  </si>
  <si>
    <t>Fixed R</t>
  </si>
  <si>
    <t>TOTAL RESIDENTIAL - EXPERIMENTAL:</t>
  </si>
  <si>
    <t>3/4 - NON-RESIDENTIAL</t>
  </si>
  <si>
    <t>CFG Commercial</t>
  </si>
  <si>
    <t>FPU Commercial Small</t>
  </si>
  <si>
    <t>FPU - GSTS - 1</t>
  </si>
  <si>
    <t>FPU Commercial Small Transp</t>
  </si>
  <si>
    <t>FPU - GS - 2</t>
  </si>
  <si>
    <t>FPU - GSTS - 2</t>
  </si>
  <si>
    <t>FPU - CS - GS</t>
  </si>
  <si>
    <t>FPU - LVS</t>
  </si>
  <si>
    <t>FPU Commercial Large</t>
  </si>
  <si>
    <t>FPU - LVTS &lt;50k</t>
  </si>
  <si>
    <t>FPU - LVTS &gt;50k</t>
  </si>
  <si>
    <t>FPU Commercial Large Transp</t>
  </si>
  <si>
    <t>FPU - IS</t>
  </si>
  <si>
    <t>FPU - ITS</t>
  </si>
  <si>
    <t>FPU Interruptible Transp</t>
  </si>
  <si>
    <t>FPU - GLS</t>
  </si>
  <si>
    <t>FPU Outdoor Lights</t>
  </si>
  <si>
    <t>FPU-NGVS</t>
  </si>
  <si>
    <t>FPU- NGVTS</t>
  </si>
  <si>
    <t>FT-Comm PA</t>
  </si>
  <si>
    <t>FT Commercial Small Transp</t>
  </si>
  <si>
    <t>FT-Comm Small</t>
  </si>
  <si>
    <t>GS-1; GSTS1; LVS; LVTS</t>
  </si>
  <si>
    <t>FT-Transportation</t>
  </si>
  <si>
    <t>FT Other</t>
  </si>
  <si>
    <t>FI TS2</t>
  </si>
  <si>
    <t>FI TS3</t>
  </si>
  <si>
    <t>FI TS4</t>
  </si>
  <si>
    <t>TOTAL NON-RESIDENTIAL:</t>
  </si>
  <si>
    <t>5/6 - NON-RESIDENTIAL-EXPERIMENTAL</t>
  </si>
  <si>
    <t>Fixed NR</t>
  </si>
  <si>
    <t>TOTAL NON-RESIDENTIAL - EXPERIMENTAL:</t>
  </si>
  <si>
    <t>7 - FIXED RATE</t>
  </si>
  <si>
    <t>Citrosuco</t>
  </si>
  <si>
    <t>CFG Industrial</t>
  </si>
  <si>
    <t>Northwest Florida Reception</t>
  </si>
  <si>
    <t>Polk Power Partners</t>
  </si>
  <si>
    <t>Suwannee American Cement</t>
  </si>
  <si>
    <t>JDC</t>
  </si>
  <si>
    <t>Mosaic</t>
  </si>
  <si>
    <t>Peace River</t>
  </si>
  <si>
    <t>Lake Worth - FPU</t>
  </si>
  <si>
    <t>FPU Interdepartm/Sp Contracts</t>
  </si>
  <si>
    <t>Orange Cogen LP</t>
  </si>
  <si>
    <t>Pensacola (NW Pipeline)</t>
  </si>
  <si>
    <t>Ascend (NW Pipeline)</t>
  </si>
  <si>
    <t>Ascend 2 (NW Pipeline)</t>
  </si>
  <si>
    <t>Lignotech - FPU</t>
  </si>
  <si>
    <t>Rayonier Recovery Boiler - FPU</t>
  </si>
  <si>
    <t>Arcadia/Sebring</t>
  </si>
  <si>
    <t>TOTAL FIXED RATE:</t>
  </si>
  <si>
    <t>8 - VARIABLE RATE</t>
  </si>
  <si>
    <t>Minute Maid</t>
  </si>
  <si>
    <t>8 Flags</t>
  </si>
  <si>
    <t>Ray Duct Burner</t>
  </si>
  <si>
    <t>TOTAL VARIABLE RATE:</t>
  </si>
  <si>
    <t>9 - COMPETITIVE RATE ADJ</t>
  </si>
  <si>
    <t>TOTAL COMP RATE ADJ:</t>
  </si>
  <si>
    <t>SUBTOTAL TRANSPORTATION:</t>
  </si>
  <si>
    <t>10 - FLEXIBLE GAS SERVICE</t>
  </si>
  <si>
    <t xml:space="preserve">Peoples Gas System Callahan </t>
  </si>
  <si>
    <t>Georgia-Pacific Corp</t>
  </si>
  <si>
    <t>People's Interconnect</t>
  </si>
  <si>
    <t>TOTAL FLEXIBLE GAS SERVICE:</t>
  </si>
  <si>
    <t>11 - OFF SYSTEM SALES</t>
  </si>
  <si>
    <t>FGT</t>
  </si>
  <si>
    <t>Polk Power Arc</t>
  </si>
  <si>
    <t>Cutrale</t>
  </si>
  <si>
    <t>TOTAL OFF SYSTEM:</t>
  </si>
  <si>
    <t>SUBTOTAL OTHER:</t>
  </si>
  <si>
    <t>GRAND TOTAL:</t>
  </si>
  <si>
    <t>FPU-NGVTS</t>
  </si>
  <si>
    <t>Interdepartmental</t>
  </si>
  <si>
    <t>Total Therms Per Stat Report</t>
  </si>
  <si>
    <t>Difference-Check Total- Should equal inter-departmental sales</t>
  </si>
  <si>
    <t>Misc service rev adj</t>
  </si>
  <si>
    <t>CFG rounding</t>
  </si>
  <si>
    <t>CUSTOMER</t>
  </si>
  <si>
    <t>TOTAL</t>
  </si>
  <si>
    <t>CURRENT YEAR CUSTOMERS MTD</t>
  </si>
  <si>
    <t>Total (For YTD Analysis)</t>
  </si>
  <si>
    <t>Rayonier - Duct Burner</t>
  </si>
  <si>
    <t>FN</t>
  </si>
  <si>
    <t>Transportation Admin Charge - Accounts</t>
  </si>
  <si>
    <t>FT - Transportation</t>
  </si>
  <si>
    <t>Total Trans. Admin Accounts</t>
  </si>
  <si>
    <t>Telemetry Maint Charge - Accounts</t>
  </si>
  <si>
    <t>Total Telemetry Accounts</t>
  </si>
  <si>
    <t>GROSS MARGIN</t>
  </si>
  <si>
    <t>Rayonier Duct Burner</t>
  </si>
  <si>
    <t>12 - ADDITIONAL REVENUE ITEMS</t>
  </si>
  <si>
    <t>FPU-Service</t>
  </si>
  <si>
    <t>FT-Services</t>
  </si>
  <si>
    <t>FPU-Shiper</t>
  </si>
  <si>
    <t>FT=Shipper</t>
  </si>
  <si>
    <t>FPU-unbilled</t>
  </si>
  <si>
    <t>FT-Unbilled</t>
  </si>
  <si>
    <t>GRIP</t>
  </si>
  <si>
    <t>FPU--Other</t>
  </si>
  <si>
    <t>FT-Other</t>
  </si>
  <si>
    <t>Other (Pass Thru)</t>
  </si>
  <si>
    <t>TOTAL ADDITIONAL REVENUE:</t>
  </si>
  <si>
    <t>GRAND TOTAL REVENUE:</t>
  </si>
  <si>
    <t>9 - COST OF GAS</t>
  </si>
  <si>
    <t>PSC Assessment Fee - FPU</t>
  </si>
  <si>
    <t>FPU-PSC</t>
  </si>
  <si>
    <t>PSC Assessment Fee - CFG</t>
  </si>
  <si>
    <t>PSC Assessment Fee - IGC</t>
  </si>
  <si>
    <t>PSC Assessment Fee - FT</t>
  </si>
  <si>
    <t>FT-PSC</t>
  </si>
  <si>
    <t>TOTAL COST OF GAS:</t>
  </si>
  <si>
    <t>GROSS MARGIN:</t>
  </si>
  <si>
    <t>Utility</t>
  </si>
  <si>
    <t>Effective</t>
  </si>
  <si>
    <t>Bill</t>
  </si>
  <si>
    <t>Horsepower</t>
  </si>
  <si>
    <t>Base</t>
  </si>
  <si>
    <t>Expiration</t>
  </si>
  <si>
    <t>Bill KVA</t>
  </si>
  <si>
    <t>Class</t>
  </si>
  <si>
    <t>Charge</t>
  </si>
  <si>
    <t>Step 1</t>
  </si>
  <si>
    <t>Step 2</t>
  </si>
  <si>
    <t>G</t>
  </si>
  <si>
    <t>AAA31</t>
  </si>
  <si>
    <t>20/18/0103</t>
  </si>
  <si>
    <t>AEP Res. Aspire - Amelia II</t>
  </si>
  <si>
    <t>Schedule - RS</t>
  </si>
  <si>
    <t>AEP</t>
  </si>
  <si>
    <t>AAB31</t>
  </si>
  <si>
    <t>20/18/0601</t>
  </si>
  <si>
    <t>AEP Res. Amelia Bluff</t>
  </si>
  <si>
    <t>AAC31</t>
  </si>
  <si>
    <t>20/00/0301</t>
  </si>
  <si>
    <t>AEP Res. Amelia Concourse II</t>
  </si>
  <si>
    <t>AAH31</t>
  </si>
  <si>
    <t>20/20/0401</t>
  </si>
  <si>
    <t>AEP Res. Woodmere</t>
  </si>
  <si>
    <t>AAN31</t>
  </si>
  <si>
    <t>AEP Res. Andalucia</t>
  </si>
  <si>
    <t>AAO31</t>
  </si>
  <si>
    <t>AEP Res. Amelia Oaks</t>
  </si>
  <si>
    <t>AAP31</t>
  </si>
  <si>
    <t>AEP Res. Amelia Park Tnd</t>
  </si>
  <si>
    <t>AAR31</t>
  </si>
  <si>
    <t>AEP Res Lomgwood Hills</t>
  </si>
  <si>
    <t>AAT31</t>
  </si>
  <si>
    <t>20/18/0901</t>
  </si>
  <si>
    <t>AEP Res. Ancient Tree</t>
  </si>
  <si>
    <t>AA331</t>
  </si>
  <si>
    <t>20/19/0601</t>
  </si>
  <si>
    <t>AEP Res. Amelia Concourse III</t>
  </si>
  <si>
    <t>AA531</t>
  </si>
  <si>
    <t>20/13/0101</t>
  </si>
  <si>
    <t>AEP Res Longwood Hills</t>
  </si>
  <si>
    <t>ABC31</t>
  </si>
  <si>
    <t>20/18/0301</t>
  </si>
  <si>
    <t>AEP Res. Banyan Cay Resort</t>
  </si>
  <si>
    <t>ABM31</t>
  </si>
  <si>
    <t>AEP Res. Barnwell Manor</t>
  </si>
  <si>
    <t>ACA31</t>
  </si>
  <si>
    <t>20/20/0601</t>
  </si>
  <si>
    <t>AEP Res. Cottages at Amelia</t>
  </si>
  <si>
    <t>ACC3G</t>
  </si>
  <si>
    <t>20/09/0505</t>
  </si>
  <si>
    <t>Res Gen Cedar Creek</t>
  </si>
  <si>
    <t>ACI31</t>
  </si>
  <si>
    <t>20/20/0801</t>
  </si>
  <si>
    <t>AEP Res. Coral Isles</t>
  </si>
  <si>
    <t>ACO31</t>
  </si>
  <si>
    <t>AEP Res. Coastal Oaks</t>
  </si>
  <si>
    <t>ACR31</t>
  </si>
  <si>
    <t>20/20/1101</t>
  </si>
  <si>
    <t>AEP Res. Canopy Creek</t>
  </si>
  <si>
    <t>ACT31</t>
  </si>
  <si>
    <t>AEP Res. Coastal Cottages</t>
  </si>
  <si>
    <t>ACW31</t>
  </si>
  <si>
    <t>20/20/0101</t>
  </si>
  <si>
    <t>AEP Res. Cresswind at Westlake</t>
  </si>
  <si>
    <t>AC231</t>
  </si>
  <si>
    <t>20/21/0318</t>
  </si>
  <si>
    <t>AEP Res. Cresswind PH 2</t>
  </si>
  <si>
    <t>ADA31</t>
  </si>
  <si>
    <t>AEP Res. Dunes of Amelia</t>
  </si>
  <si>
    <t>AEN31</t>
  </si>
  <si>
    <t>20/18/0501</t>
  </si>
  <si>
    <t>AEP Res. Enclave Phase I</t>
  </si>
  <si>
    <t>AEW31</t>
  </si>
  <si>
    <t>AEP Res. Estates at Westlake</t>
  </si>
  <si>
    <t>AGW31</t>
  </si>
  <si>
    <t>20/20/0916</t>
  </si>
  <si>
    <t>AEP Res. Groves at Westlake</t>
  </si>
  <si>
    <t>AHA31</t>
  </si>
  <si>
    <t>AEP Res. Hammocks</t>
  </si>
  <si>
    <t>AHR31</t>
  </si>
  <si>
    <t>20/18/0201</t>
  </si>
  <si>
    <t>AEP Res. Hickory Ridge</t>
  </si>
  <si>
    <t>AHV31</t>
  </si>
  <si>
    <t>AEP Res. Harbor View</t>
  </si>
  <si>
    <t>AJC31</t>
  </si>
  <si>
    <t>20/21/0601</t>
  </si>
  <si>
    <t>AEP Res. Junction Community</t>
  </si>
  <si>
    <t>ALD11</t>
  </si>
  <si>
    <t>20/09/1214</t>
  </si>
  <si>
    <t>AEP CS  Lake of Deland CEN</t>
  </si>
  <si>
    <t>Schedule - GS-1</t>
  </si>
  <si>
    <t>CS</t>
  </si>
  <si>
    <t>ALD31</t>
  </si>
  <si>
    <t>AEP Res. Lake of Deland CEN</t>
  </si>
  <si>
    <t>ALD51</t>
  </si>
  <si>
    <t>AEP LVS - Lake of Deland CEN</t>
  </si>
  <si>
    <t>Schedule - LVS</t>
  </si>
  <si>
    <t>CL</t>
  </si>
  <si>
    <t>ALH31</t>
  </si>
  <si>
    <t>ALM31</t>
  </si>
  <si>
    <t>AEP Res. Lake Markham</t>
  </si>
  <si>
    <t>AMW31</t>
  </si>
  <si>
    <t>AEP Res. Meadows at Westlake</t>
  </si>
  <si>
    <t>ANC31</t>
  </si>
  <si>
    <t>20/20/0501</t>
  </si>
  <si>
    <t>AEP Res. Nassau Crossing</t>
  </si>
  <si>
    <t>ANS31</t>
  </si>
  <si>
    <t>20/20/1118</t>
  </si>
  <si>
    <t>AEP Res. Nassau Station</t>
  </si>
  <si>
    <t>AOB31</t>
  </si>
  <si>
    <t>AEP Res. Ocean Breeze</t>
  </si>
  <si>
    <t>AOG31</t>
  </si>
  <si>
    <t>20/19/0201</t>
  </si>
  <si>
    <t>AEP Res Ocean Gallery</t>
  </si>
  <si>
    <t>APH31</t>
  </si>
  <si>
    <t>AEP Res. Plantation Hammock</t>
  </si>
  <si>
    <t>AQL31</t>
  </si>
  <si>
    <t>AEP Res. Quattlefield Lane</t>
  </si>
  <si>
    <t>ARA31</t>
  </si>
  <si>
    <t>AEP Res Res at Alaqua</t>
  </si>
  <si>
    <t>ARA41</t>
  </si>
  <si>
    <t>AEP CS at Alaqua</t>
  </si>
  <si>
    <t>Schedule - GS-2</t>
  </si>
  <si>
    <t>ARB91</t>
  </si>
  <si>
    <t>20/17/0301</t>
  </si>
  <si>
    <t>LVTS &lt; 50,000 Therms</t>
  </si>
  <si>
    <t>Schedule - LVTS</t>
  </si>
  <si>
    <t>LT</t>
  </si>
  <si>
    <t>STAND</t>
  </si>
  <si>
    <t>ARC31</t>
  </si>
  <si>
    <t>AEP Res. Range-Crane Island</t>
  </si>
  <si>
    <t>ARE31</t>
  </si>
  <si>
    <t>AEP Res. Regency Avenir</t>
  </si>
  <si>
    <t>ARI31</t>
  </si>
  <si>
    <t>AEP Res. Riverbend</t>
  </si>
  <si>
    <t>ASB31</t>
  </si>
  <si>
    <t>AEP Res. Seven Bridges</t>
  </si>
  <si>
    <t>ASC31</t>
  </si>
  <si>
    <t>AEP Res. Shell Cove</t>
  </si>
  <si>
    <t>ASU31</t>
  </si>
  <si>
    <t>AEP Res. Surf Unit Two</t>
  </si>
  <si>
    <t>ASW31</t>
  </si>
  <si>
    <t>AEP Res. Sky Cove at Westlake</t>
  </si>
  <si>
    <t>ATE31</t>
  </si>
  <si>
    <t>ATR31</t>
  </si>
  <si>
    <t>AEP Res. Three Rivers</t>
  </si>
  <si>
    <t>AVS31</t>
  </si>
  <si>
    <t>20/19/0501</t>
  </si>
  <si>
    <t>AEP Res. Valencia Sound</t>
  </si>
  <si>
    <t>AVT31</t>
  </si>
  <si>
    <t>AEP Res. Villamar Toscana</t>
  </si>
  <si>
    <t>AVW31</t>
  </si>
  <si>
    <t>20/18/0701</t>
  </si>
  <si>
    <t>AEP Res. Village Walk</t>
  </si>
  <si>
    <t>AWC31</t>
  </si>
  <si>
    <t>AEP Res. White Cedar</t>
  </si>
  <si>
    <t>AWD31</t>
  </si>
  <si>
    <t>20/20/0301</t>
  </si>
  <si>
    <t>AWG31</t>
  </si>
  <si>
    <t>AEP Res. Windgate Avenir</t>
  </si>
  <si>
    <t>AWI31</t>
  </si>
  <si>
    <t>AEP Res. Wildlight</t>
  </si>
  <si>
    <t>AWM31</t>
  </si>
  <si>
    <t>AEP Res. Watermark Avenir</t>
  </si>
  <si>
    <t>AWO31</t>
  </si>
  <si>
    <t>AEP Windsong Estates</t>
  </si>
  <si>
    <t>AWR31</t>
  </si>
  <si>
    <t>AEP Res. Wellington SQ WPB</t>
  </si>
  <si>
    <t>AWS31</t>
  </si>
  <si>
    <t>AEP Res. Winter Springs CEN</t>
  </si>
  <si>
    <t>AWT11</t>
  </si>
  <si>
    <t>AEP CS  Wellington SQ WPB</t>
  </si>
  <si>
    <t>AWT31</t>
  </si>
  <si>
    <t>AWT51</t>
  </si>
  <si>
    <t>AEP LVS - Wellington SQ WPB</t>
  </si>
  <si>
    <t>AWT90</t>
  </si>
  <si>
    <t>20/17/0401</t>
  </si>
  <si>
    <t>AEP CS Tran Wellington Twn SQ</t>
  </si>
  <si>
    <t>Schedule - CS-1</t>
  </si>
  <si>
    <t>ST</t>
  </si>
  <si>
    <t>AWT91</t>
  </si>
  <si>
    <t>AEP LVS Tran Wellington Twn SQ</t>
  </si>
  <si>
    <t>20/09/0210</t>
  </si>
  <si>
    <t>TF</t>
  </si>
  <si>
    <t>CCGEN</t>
  </si>
  <si>
    <t>Canopy Creek Generator - AEP</t>
  </si>
  <si>
    <t>Schedule - GS</t>
  </si>
  <si>
    <t>CS-GS</t>
  </si>
  <si>
    <t>CCNGV</t>
  </si>
  <si>
    <t>CFG NGV</t>
  </si>
  <si>
    <t>Schedule - FTS- NGV</t>
  </si>
  <si>
    <t>CV</t>
  </si>
  <si>
    <t>20/13/0813</t>
  </si>
  <si>
    <t>CC112</t>
  </si>
  <si>
    <t>CFG FTS-3.0 COMM 2501-5000</t>
  </si>
  <si>
    <t>Schedule - FTS- 3</t>
  </si>
  <si>
    <t>CC245</t>
  </si>
  <si>
    <t>CC506</t>
  </si>
  <si>
    <t>CFG FTS-8 COMM 200001-400000</t>
  </si>
  <si>
    <t>Schedule - FTS- 8</t>
  </si>
  <si>
    <t>CC601</t>
  </si>
  <si>
    <t>CFG FTS-4 COMM 10001-25000</t>
  </si>
  <si>
    <t>Schedule - FTS- 4</t>
  </si>
  <si>
    <t>CC602</t>
  </si>
  <si>
    <t>CFG FTS-5 COMM 25001-50000</t>
  </si>
  <si>
    <t>Schedule - FTS- 5</t>
  </si>
  <si>
    <t>CC603</t>
  </si>
  <si>
    <t>CFG FTS-6 COMM 50001-100000</t>
  </si>
  <si>
    <t>Schedule - FTS- 6</t>
  </si>
  <si>
    <t>CC605</t>
  </si>
  <si>
    <t>CFG FTS-7 COM 100001-200000</t>
  </si>
  <si>
    <t>Schedule - FTS- 7</t>
  </si>
  <si>
    <t>CC801</t>
  </si>
  <si>
    <t>CFG FTS-A COMM 0-130</t>
  </si>
  <si>
    <t>Schedule - FTS-A</t>
  </si>
  <si>
    <t>CC804</t>
  </si>
  <si>
    <t>20/10/0609</t>
  </si>
  <si>
    <t>CFG FTS-A FIX COMM 0-130</t>
  </si>
  <si>
    <t>Schedule - FTS-A Experimental</t>
  </si>
  <si>
    <t>EXP</t>
  </si>
  <si>
    <t>CC805</t>
  </si>
  <si>
    <t>CFG FTS-B COMM 131-250</t>
  </si>
  <si>
    <t>Schedule - FTS-B</t>
  </si>
  <si>
    <t>CC807</t>
  </si>
  <si>
    <t>CFG FTS-1 COMM 251-500</t>
  </si>
  <si>
    <t>Schedule - FTS1</t>
  </si>
  <si>
    <t>CC810</t>
  </si>
  <si>
    <t>CFG FTS-B FIX COMM 131-250</t>
  </si>
  <si>
    <t>Schedule - FTS-B Experimental</t>
  </si>
  <si>
    <t>CC812</t>
  </si>
  <si>
    <t>CFG FTS-1 FIX COMM 0-500</t>
  </si>
  <si>
    <t>Schedule - FTS-1 Experimental</t>
  </si>
  <si>
    <t>CC815</t>
  </si>
  <si>
    <t>CFG FTS-2.0 COMM 501-1000</t>
  </si>
  <si>
    <t>Schedule - FTS- 2.0</t>
  </si>
  <si>
    <t>CC816</t>
  </si>
  <si>
    <t>CFG FTS-2.1 COMM 1001-2500</t>
  </si>
  <si>
    <t>Schedule -  FTS- 2.1</t>
  </si>
  <si>
    <t>FTS21</t>
  </si>
  <si>
    <t>CC820</t>
  </si>
  <si>
    <t>CFG FTS-2 FIX COMM 501-1000</t>
  </si>
  <si>
    <t>Schedule - FTS- 2 Experimental</t>
  </si>
  <si>
    <t>CC824</t>
  </si>
  <si>
    <t>CFG FTS-3.1 COMM 5001-10000</t>
  </si>
  <si>
    <t>Schedule - FTS- 3.1</t>
  </si>
  <si>
    <t>FTS31</t>
  </si>
  <si>
    <t>CC826</t>
  </si>
  <si>
    <t>CFG FTS-3 .1FIX COMM 2501-5000</t>
  </si>
  <si>
    <t>Schedule - FTS-3.1Experimental</t>
  </si>
  <si>
    <t>CC827</t>
  </si>
  <si>
    <t>CFG FTS-2.1 Ex COM 1001-2500</t>
  </si>
  <si>
    <t>Schedule -  FTS- 2.1 Experimen</t>
  </si>
  <si>
    <t>CC828</t>
  </si>
  <si>
    <t>CFG FTS-3 FIX Ex Com 2501-5000</t>
  </si>
  <si>
    <t>Schedule - FTS- 3 Experimentl</t>
  </si>
  <si>
    <t>CC905</t>
  </si>
  <si>
    <t>CFG FTS-9 COMM 400001-750000</t>
  </si>
  <si>
    <t>Schedule - FTS- 9</t>
  </si>
  <si>
    <t>CC910</t>
  </si>
  <si>
    <t>CFG FTS-9 COM 750000 - 1M</t>
  </si>
  <si>
    <t>Schedule - FTS- 10</t>
  </si>
  <si>
    <t>FTS10</t>
  </si>
  <si>
    <t>CFGHB</t>
  </si>
  <si>
    <t>19/90/0101</t>
  </si>
  <si>
    <t>CFG HAND BILLED RATE</t>
  </si>
  <si>
    <t>HAND</t>
  </si>
  <si>
    <t>CGV1G</t>
  </si>
  <si>
    <t>Commercial Generator</t>
  </si>
  <si>
    <t>PA</t>
  </si>
  <si>
    <t>CICIB</t>
  </si>
  <si>
    <t>AUB Power Part Qtrly Contract</t>
  </si>
  <si>
    <t>CFG SPC AUB POWER PARTNERS</t>
  </si>
  <si>
    <t>SCS</t>
  </si>
  <si>
    <t>SPEC</t>
  </si>
  <si>
    <t>CICIC</t>
  </si>
  <si>
    <t>Citrosuco Contract Rate</t>
  </si>
  <si>
    <t>CFG SPC CITROSUCO</t>
  </si>
  <si>
    <t>CICID</t>
  </si>
  <si>
    <t>CFG FTS-13 INDU 12500000+</t>
  </si>
  <si>
    <t>Schedule - FTS- 13</t>
  </si>
  <si>
    <t>FTS13</t>
  </si>
  <si>
    <t>CICIG</t>
  </si>
  <si>
    <t>Orange CoGen Contract</t>
  </si>
  <si>
    <t>CFG SPC ORANGE COGEN</t>
  </si>
  <si>
    <t>20/16/0101</t>
  </si>
  <si>
    <t>CICII</t>
  </si>
  <si>
    <t>Polk Power Partners Contract</t>
  </si>
  <si>
    <t>CFG SPC POLK POWER PARTNERS</t>
  </si>
  <si>
    <t>CICIJ</t>
  </si>
  <si>
    <t>JDC Contract</t>
  </si>
  <si>
    <t>CFG SPC POLK JDC</t>
  </si>
  <si>
    <t>20/14/0801</t>
  </si>
  <si>
    <t>20/15/0701</t>
  </si>
  <si>
    <t>20/15/1001</t>
  </si>
  <si>
    <t>20/16/0401</t>
  </si>
  <si>
    <t>CICIK</t>
  </si>
  <si>
    <t>Peoples Intercon Contract Rate</t>
  </si>
  <si>
    <t>CFG FGS PEOPLES INTERCONNECT</t>
  </si>
  <si>
    <t>FGS</t>
  </si>
  <si>
    <t>CONT</t>
  </si>
  <si>
    <t>CICIL</t>
  </si>
  <si>
    <t>Cutrale Contract Rate</t>
  </si>
  <si>
    <t>CFG SPC CUTRALE</t>
  </si>
  <si>
    <t>CICIM</t>
  </si>
  <si>
    <t>CFG SPC POLK POWER ARC</t>
  </si>
  <si>
    <t>CICIN</t>
  </si>
  <si>
    <t>20/17/0607</t>
  </si>
  <si>
    <t>CFG Mosaic Fertilizer Contract</t>
  </si>
  <si>
    <t>CFG SPC MOSAIC FERTILIZER</t>
  </si>
  <si>
    <t>20/17/0901</t>
  </si>
  <si>
    <t>CI107</t>
  </si>
  <si>
    <t>CFG FTS-11 INDU 1M-2.5M</t>
  </si>
  <si>
    <t>Schedule - FTS- 11</t>
  </si>
  <si>
    <t>FTS11</t>
  </si>
  <si>
    <t>CI108</t>
  </si>
  <si>
    <t>CFG FTS-12 INDU 2.5M-12.5M</t>
  </si>
  <si>
    <t>Schedule - FTS- 12</t>
  </si>
  <si>
    <t>FTS12</t>
  </si>
  <si>
    <t>CI109</t>
  </si>
  <si>
    <t>Georgia Pacific</t>
  </si>
  <si>
    <t>CFG FGS GEORGIA PACIFIC</t>
  </si>
  <si>
    <t>20/16/1101</t>
  </si>
  <si>
    <t>CI110</t>
  </si>
  <si>
    <t>CFG SPC Peace River</t>
  </si>
  <si>
    <t>CFG SPC PEACE RIVER</t>
  </si>
  <si>
    <t>CI111</t>
  </si>
  <si>
    <t>Suwanee American Contract</t>
  </si>
  <si>
    <t>CFG SPC SUWANNEE AMERICAN</t>
  </si>
  <si>
    <t>CI112</t>
  </si>
  <si>
    <t>Minute Maid Contract Rate</t>
  </si>
  <si>
    <t>CFG SPC MINUTE MAID</t>
  </si>
  <si>
    <t>CI240</t>
  </si>
  <si>
    <t>CFG FTS-7 INDU 100001-200000</t>
  </si>
  <si>
    <t>CI243</t>
  </si>
  <si>
    <t>Washington Corr Institute</t>
  </si>
  <si>
    <t>CFG SPC Wahington Correctional</t>
  </si>
  <si>
    <t>CI300</t>
  </si>
  <si>
    <t>CFG FTS-3.0 IND 2501-5000</t>
  </si>
  <si>
    <t>Schedule - FTS-3</t>
  </si>
  <si>
    <t>20/17/0501</t>
  </si>
  <si>
    <t>CI406</t>
  </si>
  <si>
    <t>CFG FTS-8 INDU 200001-400000</t>
  </si>
  <si>
    <t>CI407</t>
  </si>
  <si>
    <t>Standard Sands West Contract</t>
  </si>
  <si>
    <t>CFG CFTSA STD SANDS-WEST</t>
  </si>
  <si>
    <t>CFTS</t>
  </si>
  <si>
    <t>CI408</t>
  </si>
  <si>
    <t>Standard Sands Lake Wales Cont</t>
  </si>
  <si>
    <t>CFG CFTSA STD SANDS-LAKE WALES</t>
  </si>
  <si>
    <t>CI409</t>
  </si>
  <si>
    <t>Standard Sands East Contract</t>
  </si>
  <si>
    <t>CFG CFTSA STD SANDS-EAST</t>
  </si>
  <si>
    <t>CI601</t>
  </si>
  <si>
    <t>CFG FTS-4 INDU 10001-25000</t>
  </si>
  <si>
    <t>CI602</t>
  </si>
  <si>
    <t>CFG FTS-5 INDU 25001-50000</t>
  </si>
  <si>
    <t>CI603</t>
  </si>
  <si>
    <t>CFG FTS-6 INDU 50001-100000</t>
  </si>
  <si>
    <t>CI700</t>
  </si>
  <si>
    <t>CI816</t>
  </si>
  <si>
    <t>CFG FTS-2.1 INDU 1001-2500</t>
  </si>
  <si>
    <t>CI824</t>
  </si>
  <si>
    <t>CFG FTS-3.1 INDU 5001-10000</t>
  </si>
  <si>
    <t>CI833</t>
  </si>
  <si>
    <t>CFG FTS-9 INDU 400001-750000</t>
  </si>
  <si>
    <t>CI905</t>
  </si>
  <si>
    <t>CFG FTS-10 INDU 750001-1M</t>
  </si>
  <si>
    <t>CR245</t>
  </si>
  <si>
    <t>CFG FTS-3.0 RES 2501-5000</t>
  </si>
  <si>
    <t>CR801</t>
  </si>
  <si>
    <t>CFG FTS-A RESIDENTIAL 0-130</t>
  </si>
  <si>
    <t>CR804</t>
  </si>
  <si>
    <t>CFG FTS-A FIX RESIDENTIAL 0-13</t>
  </si>
  <si>
    <t>CR807</t>
  </si>
  <si>
    <t>CFG FTS-B RESIDENTIAL 131-250</t>
  </si>
  <si>
    <t>CR810</t>
  </si>
  <si>
    <t>CFG FTS-1 RES 0-500</t>
  </si>
  <si>
    <t>Schedule - FTS-1</t>
  </si>
  <si>
    <t>CR814</t>
  </si>
  <si>
    <t>CFG FTS-B FIX RES 131-250</t>
  </si>
  <si>
    <t>CR817</t>
  </si>
  <si>
    <t>CFG FTS-1 FIX RES 0-500</t>
  </si>
  <si>
    <t>CR821</t>
  </si>
  <si>
    <t>CFG FTS-2.0 RESIDENTIAL 501-10</t>
  </si>
  <si>
    <t>Schedule - FTS- 2</t>
  </si>
  <si>
    <t>CR825</t>
  </si>
  <si>
    <t>CFG FTS-2.1 RESIDENTIAL 1001-2</t>
  </si>
  <si>
    <t>CR827</t>
  </si>
  <si>
    <t>CFG FTS-2.1 Ex fixRs 1001-2500</t>
  </si>
  <si>
    <t>CR828</t>
  </si>
  <si>
    <t>CFG FTS-3 Ex FIX RES 2501-5000</t>
  </si>
  <si>
    <t>CR839</t>
  </si>
  <si>
    <t>CFG FTS-2 FIX RES 501- 1000</t>
  </si>
  <si>
    <t>CUC21</t>
  </si>
  <si>
    <t>CFG Usage Adj for FTS 2.1 Com</t>
  </si>
  <si>
    <t>CURA</t>
  </si>
  <si>
    <t>CFG Usage Adj for FTS A</t>
  </si>
  <si>
    <t>CURB</t>
  </si>
  <si>
    <t>CFG RS USAGE ADJ FTS B</t>
  </si>
  <si>
    <t>CUR1</t>
  </si>
  <si>
    <t>CFG RS USAGE ADJ FTS 1</t>
  </si>
  <si>
    <t>CUR20</t>
  </si>
  <si>
    <t>CFG Usage Adj for FTS 2.0</t>
  </si>
  <si>
    <t>CUR30</t>
  </si>
  <si>
    <t>CFG Usage Adj for FTS 3.0</t>
  </si>
  <si>
    <t>CUR31</t>
  </si>
  <si>
    <t>CFG Usage Adj for FTS 3.1</t>
  </si>
  <si>
    <t>EFRBO</t>
  </si>
  <si>
    <t>Rayonier Perf Fibers-Boiler</t>
  </si>
  <si>
    <t>FGS - EF SPC Rayonier</t>
  </si>
  <si>
    <t>LI</t>
  </si>
  <si>
    <t>EFRIT</t>
  </si>
  <si>
    <t>Rayonier-Boiler-Interrupt Tran</t>
  </si>
  <si>
    <t>EFRPF</t>
  </si>
  <si>
    <t>Rayonier Perf Fibers</t>
  </si>
  <si>
    <t>EFRSS</t>
  </si>
  <si>
    <t>Rayonier-Boiler-Swing Service</t>
  </si>
  <si>
    <t>20/18/1230</t>
  </si>
  <si>
    <t>20/19/1230</t>
  </si>
  <si>
    <t>20/20/1231</t>
  </si>
  <si>
    <t>FMCS1</t>
  </si>
  <si>
    <t>Commercial Small Natural Gas</t>
  </si>
  <si>
    <t>20/16/1205</t>
  </si>
  <si>
    <t>FMCT1</t>
  </si>
  <si>
    <t>Com Small Transp. Natural Gas</t>
  </si>
  <si>
    <t>FMLT1</t>
  </si>
  <si>
    <t>20/18/0101</t>
  </si>
  <si>
    <t>FMLV1</t>
  </si>
  <si>
    <t>20/18/1101</t>
  </si>
  <si>
    <t>Commercial Large Natural Gas</t>
  </si>
  <si>
    <t>FMPA1</t>
  </si>
  <si>
    <t>Commercial PA Natural Gas</t>
  </si>
  <si>
    <t>2A</t>
  </si>
  <si>
    <t>FMPT1</t>
  </si>
  <si>
    <t>PA Small Transp. Natural Gas</t>
  </si>
  <si>
    <t>FMRES</t>
  </si>
  <si>
    <t>Residential Gas Service</t>
  </si>
  <si>
    <t>GAA11</t>
  </si>
  <si>
    <t>20/04/0707</t>
  </si>
  <si>
    <t>AEP Com Small Nat. Gas-Alaqua</t>
  </si>
  <si>
    <t>GAA31</t>
  </si>
  <si>
    <t>AEP Res. Gas Service Alaqua</t>
  </si>
  <si>
    <t>GAA51</t>
  </si>
  <si>
    <t>AEP Large Volume Serv.  Alaqua</t>
  </si>
  <si>
    <t>GAE11</t>
  </si>
  <si>
    <t>AEP CS Nat. Gas-Equestrian Clu</t>
  </si>
  <si>
    <t>20/12/0225</t>
  </si>
  <si>
    <t>GAE31</t>
  </si>
  <si>
    <t>AEP Residl NG- Equestrian Club</t>
  </si>
  <si>
    <t>GAE41</t>
  </si>
  <si>
    <t>20/11/1129</t>
  </si>
  <si>
    <t>GAE51</t>
  </si>
  <si>
    <t>AEP LVS - Equestrian Club</t>
  </si>
  <si>
    <t>GAJ41</t>
  </si>
  <si>
    <t>AEP CS Nat. Gas - Juno Beach</t>
  </si>
  <si>
    <t>GCNGV</t>
  </si>
  <si>
    <t>Comm NGV</t>
  </si>
  <si>
    <t>Schedule - NGV</t>
  </si>
  <si>
    <t>VG</t>
  </si>
  <si>
    <t>GCPT1</t>
  </si>
  <si>
    <t>Comm Small Trans Nat Gas PA</t>
  </si>
  <si>
    <t>GCPT4</t>
  </si>
  <si>
    <t>Commercial Small Nat Gas PA</t>
  </si>
  <si>
    <t>GSTS2</t>
  </si>
  <si>
    <t>GCS11</t>
  </si>
  <si>
    <t>GCS41</t>
  </si>
  <si>
    <t>Commercial Small NG</t>
  </si>
  <si>
    <t>GCT0G</t>
  </si>
  <si>
    <t>GCT90</t>
  </si>
  <si>
    <t>GCT96</t>
  </si>
  <si>
    <t>GCV1G</t>
  </si>
  <si>
    <t>Comm Gen PA</t>
  </si>
  <si>
    <t>GCV11</t>
  </si>
  <si>
    <t>GCV41</t>
  </si>
  <si>
    <t>GEN11</t>
  </si>
  <si>
    <t>GEN31</t>
  </si>
  <si>
    <t>Residential Generator</t>
  </si>
  <si>
    <t>RS-GS</t>
  </si>
  <si>
    <t>GEN90</t>
  </si>
  <si>
    <t>Com Transportation  Generator</t>
  </si>
  <si>
    <t>GFP11</t>
  </si>
  <si>
    <t>20/04/1124</t>
  </si>
  <si>
    <t>FPUC Com Small Natural Gas</t>
  </si>
  <si>
    <t>FP</t>
  </si>
  <si>
    <t>COMP</t>
  </si>
  <si>
    <t>GFP51</t>
  </si>
  <si>
    <t>FPU Large Volume Service</t>
  </si>
  <si>
    <t>GIP61</t>
  </si>
  <si>
    <t>Interruptible Nat Gas Ser PA</t>
  </si>
  <si>
    <t>Schedule - IS</t>
  </si>
  <si>
    <t>IP</t>
  </si>
  <si>
    <t>GIP92</t>
  </si>
  <si>
    <t>Interruptible Trans  PA</t>
  </si>
  <si>
    <t>Schedule - ITS</t>
  </si>
  <si>
    <t>GIS61</t>
  </si>
  <si>
    <t>Interruptible Natural Gas Ser</t>
  </si>
  <si>
    <t>IN</t>
  </si>
  <si>
    <t>GIT92</t>
  </si>
  <si>
    <t>Interruptible Transportation</t>
  </si>
  <si>
    <t>IT</t>
  </si>
  <si>
    <t>GLP91</t>
  </si>
  <si>
    <t>GLP94</t>
  </si>
  <si>
    <t>LVTS &gt;50,000 Therms PA</t>
  </si>
  <si>
    <t>TP</t>
  </si>
  <si>
    <t>GLT91</t>
  </si>
  <si>
    <t>Large Volume Transportation</t>
  </si>
  <si>
    <t>GLT94</t>
  </si>
  <si>
    <t>LVTS &gt;50,000 Therms</t>
  </si>
  <si>
    <t>TL</t>
  </si>
  <si>
    <t>LVTS2</t>
  </si>
  <si>
    <t>GLVS5</t>
  </si>
  <si>
    <t>Ind Large Volume Service</t>
  </si>
  <si>
    <t>GLV51</t>
  </si>
  <si>
    <t>Large Volume Service</t>
  </si>
  <si>
    <t>GOL95</t>
  </si>
  <si>
    <t>Off System Sales Gas rate 195</t>
  </si>
  <si>
    <t>Schedule - OSSS1</t>
  </si>
  <si>
    <t>OS</t>
  </si>
  <si>
    <t>OFFSY</t>
  </si>
  <si>
    <t>GRP31</t>
  </si>
  <si>
    <t>20/04/1020</t>
  </si>
  <si>
    <t>Residential Gas Service PA</t>
  </si>
  <si>
    <t>GRS31</t>
  </si>
  <si>
    <t>GR121</t>
  </si>
  <si>
    <t>Residential Gas Light Service</t>
  </si>
  <si>
    <t>GTA91</t>
  </si>
  <si>
    <t>AEP LVS Transportation  Alaqua</t>
  </si>
  <si>
    <t>GTD91</t>
  </si>
  <si>
    <t>AEP LVTS  Deltona #1</t>
  </si>
  <si>
    <t>TRANS</t>
  </si>
  <si>
    <t>GTI93</t>
  </si>
  <si>
    <t>20/01/0801</t>
  </si>
  <si>
    <t>Larg. Vol. Interruptible Trans</t>
  </si>
  <si>
    <t>Schedule - LVITS</t>
  </si>
  <si>
    <t>BT</t>
  </si>
  <si>
    <t>GTNGV</t>
  </si>
  <si>
    <t>Comm  Trans NGV</t>
  </si>
  <si>
    <t>Schedule - NGVTS</t>
  </si>
  <si>
    <t>VT</t>
  </si>
  <si>
    <t>20/17/0907</t>
  </si>
  <si>
    <t>GUSE</t>
  </si>
  <si>
    <t>Gas Additive Usage Only</t>
  </si>
  <si>
    <t>20/16/1001</t>
  </si>
  <si>
    <t>GVP51</t>
  </si>
  <si>
    <t>LVS - Pub Auth</t>
  </si>
  <si>
    <t>GVT11</t>
  </si>
  <si>
    <t>CS PA Transp   GS-1</t>
  </si>
  <si>
    <t>GVT41</t>
  </si>
  <si>
    <t>CS PA Transp GS-2</t>
  </si>
  <si>
    <t>IAE11</t>
  </si>
  <si>
    <t>AEP Ind  Equestrian Club GS-1</t>
  </si>
  <si>
    <t>CI</t>
  </si>
  <si>
    <t>ICS11</t>
  </si>
  <si>
    <t>Industrial CS   GS-1</t>
  </si>
  <si>
    <t>ICS41</t>
  </si>
  <si>
    <t>Industrial CS   GS-2</t>
  </si>
  <si>
    <t>ICT90</t>
  </si>
  <si>
    <t>Ind CS Transp.  GS-1</t>
  </si>
  <si>
    <t>SI</t>
  </si>
  <si>
    <t>ICT96</t>
  </si>
  <si>
    <t>Ind CS Transp.   GS-2</t>
  </si>
  <si>
    <t>ICV11</t>
  </si>
  <si>
    <t>Ind CS Nat Gas PA   GS-1</t>
  </si>
  <si>
    <t>ICV41</t>
  </si>
  <si>
    <t>Ind CS NG PA   GS-2</t>
  </si>
  <si>
    <t>IFP11</t>
  </si>
  <si>
    <t>Ind FPUC CS NG  GS-1</t>
  </si>
  <si>
    <t>FI</t>
  </si>
  <si>
    <t>IFP41</t>
  </si>
  <si>
    <t>Ind FPUC CS NG   GS-2</t>
  </si>
  <si>
    <t>IFP51</t>
  </si>
  <si>
    <t>Ind FPU Large Volume Service</t>
  </si>
  <si>
    <t>IIS61</t>
  </si>
  <si>
    <t>Ind Interruptible NGSer</t>
  </si>
  <si>
    <t>NI</t>
  </si>
  <si>
    <t>IIT92</t>
  </si>
  <si>
    <t>Ind Interruptible Transp</t>
  </si>
  <si>
    <t>II</t>
  </si>
  <si>
    <t>ILP51</t>
  </si>
  <si>
    <t>ILT91</t>
  </si>
  <si>
    <t>Ind LVTS &lt; 50,000 Therms</t>
  </si>
  <si>
    <t>TI</t>
  </si>
  <si>
    <t>ILT94</t>
  </si>
  <si>
    <t>Ind LVTS &gt;50,000 Therms</t>
  </si>
  <si>
    <t>VI</t>
  </si>
  <si>
    <t>ILVS5</t>
  </si>
  <si>
    <t>ILV51</t>
  </si>
  <si>
    <t>LA3M</t>
  </si>
  <si>
    <t>3M AEP SE Deland</t>
  </si>
  <si>
    <t>GLS therms</t>
  </si>
  <si>
    <t>LA3MX</t>
  </si>
  <si>
    <t>3M AEP SE Deland Transp.</t>
  </si>
  <si>
    <t>GLS Therms</t>
  </si>
  <si>
    <t>LBGL</t>
  </si>
  <si>
    <t>AEP -Boca Grove Lights</t>
  </si>
  <si>
    <t>LBOFT</t>
  </si>
  <si>
    <t>OFT AEP Black Diamond</t>
  </si>
  <si>
    <t>LB3M</t>
  </si>
  <si>
    <t>3M AEP  Black Diamond</t>
  </si>
  <si>
    <t>LC4M</t>
  </si>
  <si>
    <t>4M AEP Debary Golf CC</t>
  </si>
  <si>
    <t>LDOFT</t>
  </si>
  <si>
    <t>OFT AEP Debary Golf CC</t>
  </si>
  <si>
    <t>LD4M</t>
  </si>
  <si>
    <t>LEOFT</t>
  </si>
  <si>
    <t>OFT AEP -Equestrian Club</t>
  </si>
  <si>
    <t>LE3M</t>
  </si>
  <si>
    <t>3M AEP -Equestrian Club</t>
  </si>
  <si>
    <t>LITEG</t>
  </si>
  <si>
    <t>Gas Light Rate</t>
  </si>
  <si>
    <t>LITGT</t>
  </si>
  <si>
    <t>Trans. Gas Light Rate</t>
  </si>
  <si>
    <t>LLON</t>
  </si>
  <si>
    <t>AEP -Longpond</t>
  </si>
  <si>
    <t>LSG3</t>
  </si>
  <si>
    <t>3M AEP - Summer Glen</t>
  </si>
  <si>
    <t>LTOFD</t>
  </si>
  <si>
    <t>OFD AEP Terra Lago</t>
  </si>
  <si>
    <t>LT3M</t>
  </si>
  <si>
    <t>3M AEP Terra Lago</t>
  </si>
  <si>
    <t>OLCOR</t>
  </si>
  <si>
    <t>OL Correction</t>
  </si>
  <si>
    <t>OL</t>
  </si>
  <si>
    <t>SFLIG</t>
  </si>
  <si>
    <t>20/18/0401</t>
  </si>
  <si>
    <t>LignoTech Florida LLC-Spc</t>
  </si>
  <si>
    <t>FGS - FPU SPC LignoTech</t>
  </si>
  <si>
    <t>TSNGV</t>
  </si>
  <si>
    <t>IND NGV</t>
  </si>
  <si>
    <t>Schedule - TS-NGV</t>
  </si>
  <si>
    <t>IV</t>
  </si>
  <si>
    <t>TS-1</t>
  </si>
  <si>
    <t>TS1C</t>
  </si>
  <si>
    <t>IND TS-1 COMM 0-1000</t>
  </si>
  <si>
    <t>Schedule - TS-1</t>
  </si>
  <si>
    <t>I1</t>
  </si>
  <si>
    <t>TS1R</t>
  </si>
  <si>
    <t>IND TS-1 Res 0-1000</t>
  </si>
  <si>
    <t>I0</t>
  </si>
  <si>
    <t>TS2C</t>
  </si>
  <si>
    <t>IND TS-2 COMM1000-15000</t>
  </si>
  <si>
    <t>Schedule - TS-2</t>
  </si>
  <si>
    <t>I2</t>
  </si>
  <si>
    <t>TS-2</t>
  </si>
  <si>
    <t>TS3C</t>
  </si>
  <si>
    <t>IND TS-3 COMM15000-100K</t>
  </si>
  <si>
    <t>Schedule - TS-3</t>
  </si>
  <si>
    <t>I3</t>
  </si>
  <si>
    <t>TS-3</t>
  </si>
  <si>
    <t>TS4I</t>
  </si>
  <si>
    <t>IND TS-4 INDUS</t>
  </si>
  <si>
    <t>Schedule - TS-4</t>
  </si>
  <si>
    <t>I8</t>
  </si>
  <si>
    <t>TS-4</t>
  </si>
  <si>
    <t>UGCFG</t>
  </si>
  <si>
    <t>Usage ONLY-CFG Gas-Special</t>
  </si>
  <si>
    <t>CFG SPC-Usage ONLY</t>
  </si>
  <si>
    <t>UGSPC</t>
  </si>
  <si>
    <t>Usage ONLY-Gas Special</t>
  </si>
  <si>
    <t>SPC-Usage ONLY</t>
  </si>
  <si>
    <t>ULV51</t>
  </si>
  <si>
    <t>20/06/0901</t>
  </si>
  <si>
    <t>FTS7C USE ONLY</t>
  </si>
  <si>
    <t>FTS7X</t>
  </si>
  <si>
    <t>USF21</t>
  </si>
  <si>
    <t>CFG FTS-2.1 USAGE CREDIT</t>
  </si>
  <si>
    <t>USRFP</t>
  </si>
  <si>
    <t>GRS31 USE ADJ-NO CHRGS</t>
  </si>
  <si>
    <t>USAGE CREDIT ONLY</t>
  </si>
  <si>
    <t>WJB31</t>
  </si>
  <si>
    <t>AEP Res at Juno Beach</t>
  </si>
  <si>
    <t>WRPC4</t>
  </si>
  <si>
    <t>WRP31</t>
  </si>
  <si>
    <t>AEP Res. Royal Palm Polo</t>
  </si>
  <si>
    <t>8CIC</t>
  </si>
  <si>
    <t>8CICI</t>
  </si>
  <si>
    <t>Tariff</t>
  </si>
  <si>
    <t>Rate Class</t>
  </si>
  <si>
    <t>Month</t>
  </si>
  <si>
    <t>Amount</t>
  </si>
  <si>
    <t>Row Labels</t>
  </si>
  <si>
    <t>Sum of Amount</t>
  </si>
  <si>
    <t>Average of Amount</t>
  </si>
  <si>
    <t xml:space="preserve">GS-2 </t>
  </si>
  <si>
    <t xml:space="preserve">ITS  </t>
  </si>
  <si>
    <t>Grand Total</t>
  </si>
  <si>
    <t>Bills</t>
  </si>
  <si>
    <t>Delta</t>
  </si>
  <si>
    <t>2019 Tariffs</t>
  </si>
  <si>
    <t>FTS-13</t>
  </si>
  <si>
    <t>CFG-NGV</t>
  </si>
  <si>
    <t>Volumes 2021</t>
  </si>
  <si>
    <t>YTD 1-11 2021</t>
  </si>
  <si>
    <t>FPU - LVS Large Customers Non-Residential</t>
  </si>
  <si>
    <t>FPU - LVTS &gt;50k Large Customers Non-Residential</t>
  </si>
  <si>
    <t>FPU - ITS Large Customers Non-Residential</t>
  </si>
  <si>
    <t>TOTAL BASE</t>
  </si>
  <si>
    <t>Total wo Off System</t>
  </si>
  <si>
    <t>Customers 2021</t>
  </si>
  <si>
    <t>FPU - GSTS - 1Transportation Admin Charge</t>
  </si>
  <si>
    <t>FPU - GSTS - 2Transportation Admin Charge</t>
  </si>
  <si>
    <t>FPU - LVTS &lt;50kTransportation Admin Charge</t>
  </si>
  <si>
    <t>FPU - LVTS &gt;50kTransportation Admin Charge</t>
  </si>
  <si>
    <t>FPU - ITSTransportation Admin Charge</t>
  </si>
  <si>
    <t>FT-Transportation Non-ResidentialAdmin</t>
  </si>
  <si>
    <t>2022-2023</t>
  </si>
  <si>
    <t>Service</t>
  </si>
  <si>
    <t>Transportation</t>
  </si>
  <si>
    <t>Sales</t>
  </si>
  <si>
    <t>Ft. Meade - Natural Gas Vehicle Service</t>
  </si>
  <si>
    <t xml:space="preserve">Ft. Meade </t>
  </si>
  <si>
    <t>Service Area</t>
  </si>
  <si>
    <t>N/A</t>
  </si>
  <si>
    <t>CFG - FTS-13</t>
  </si>
  <si>
    <t xml:space="preserve">Proposed Customer Class </t>
  </si>
  <si>
    <t xml:space="preserve">Current Customer Class </t>
  </si>
  <si>
    <t>Average</t>
  </si>
  <si>
    <t>Low</t>
  </si>
  <si>
    <t>FPU_RS_Forecast_Average</t>
  </si>
  <si>
    <t>FPU_RS</t>
  </si>
  <si>
    <t>FPU_RS_Forecast_Low95</t>
  </si>
  <si>
    <t>FTS_1</t>
  </si>
  <si>
    <t>FPU_RS_Forecast_High95</t>
  </si>
  <si>
    <t>High</t>
  </si>
  <si>
    <t>FTS_2</t>
  </si>
  <si>
    <t>FTS_1_Forecast_Average</t>
  </si>
  <si>
    <t>FortMeade_RS</t>
  </si>
  <si>
    <t>FTS_1_Forecast_Low95</t>
  </si>
  <si>
    <t>TS_1</t>
  </si>
  <si>
    <t>FTS_1_Forecast_High95</t>
  </si>
  <si>
    <t>FTS_2.1</t>
  </si>
  <si>
    <t>FTS_2_Forecast_Average</t>
  </si>
  <si>
    <t>RS_GS</t>
  </si>
  <si>
    <t>FTS_2_Forecast_Low95</t>
  </si>
  <si>
    <t>FTS_AB</t>
  </si>
  <si>
    <t>FTS_2_Forecast_High95</t>
  </si>
  <si>
    <t>FortMeade_RS_Forecast_Average</t>
  </si>
  <si>
    <t>FortMeade_RS_Forecast_Low95</t>
  </si>
  <si>
    <t>FortMeade_RS_Forecast_High95</t>
  </si>
  <si>
    <t>TS_1_Forecast_Average</t>
  </si>
  <si>
    <t>Customer Growth Rate</t>
  </si>
  <si>
    <t>TS_1_Forecast_Low95</t>
  </si>
  <si>
    <t>2022 - 2023</t>
  </si>
  <si>
    <t>TS_1_Forecast_High95</t>
  </si>
  <si>
    <t>FTS_2.1_Forecast_Average</t>
  </si>
  <si>
    <t>FTS_2.1_Forecast_Low95</t>
  </si>
  <si>
    <t>FTS_2.1_Forecast_High95</t>
  </si>
  <si>
    <t>RS_GS_Forecast_Average</t>
  </si>
  <si>
    <t>RS_GS_Forecast_Low95</t>
  </si>
  <si>
    <t>RS_GS_Forecast_High95</t>
  </si>
  <si>
    <t>FTS_AB_Forecast_Average</t>
  </si>
  <si>
    <t>FTS_AB_Forecast_Low95</t>
  </si>
  <si>
    <t>FTS_AB_Forecast_High95</t>
  </si>
  <si>
    <t>Overall_Forecast_Average</t>
  </si>
  <si>
    <t>Overall_Forecast_Low95</t>
  </si>
  <si>
    <t>Overall_Forecast_High95</t>
  </si>
  <si>
    <t>NA</t>
  </si>
  <si>
    <t>GS2_Forecast_Average</t>
  </si>
  <si>
    <t>GS2</t>
  </si>
  <si>
    <t>GS2_Forecast_Low95</t>
  </si>
  <si>
    <t>GS2_Forecast_High95</t>
  </si>
  <si>
    <t>GS1</t>
  </si>
  <si>
    <t>LVS_Forecast_Average</t>
  </si>
  <si>
    <t>GS1_FortMeade</t>
  </si>
  <si>
    <t>LVS_Forecast_Low95</t>
  </si>
  <si>
    <t>FTS1</t>
  </si>
  <si>
    <t>LVS_Forecast_High95</t>
  </si>
  <si>
    <t>FTS2</t>
  </si>
  <si>
    <t>GS1_Forecast_Average</t>
  </si>
  <si>
    <t>FTS2.1</t>
  </si>
  <si>
    <t>GS1_Forecast_Low95</t>
  </si>
  <si>
    <t>FTS3</t>
  </si>
  <si>
    <t>GS1_Forecast_High95</t>
  </si>
  <si>
    <t>FTS3.1</t>
  </si>
  <si>
    <t>GS1_FortMeade_Forecast_Average</t>
  </si>
  <si>
    <t>FTS4</t>
  </si>
  <si>
    <t>GS1_FortMeade_Forecast_Low95</t>
  </si>
  <si>
    <t>CSGS</t>
  </si>
  <si>
    <t>GS1_FortMeade_Forecast_High95</t>
  </si>
  <si>
    <t>FTS1_Forecast_Average</t>
  </si>
  <si>
    <t>FTS1_Forecast_Low95</t>
  </si>
  <si>
    <t>FTS1_Forecast_High95</t>
  </si>
  <si>
    <t>FTS2_Forecast_Average</t>
  </si>
  <si>
    <t>FTS2_Forecast_Low95</t>
  </si>
  <si>
    <t>FTS2_Forecast_High95</t>
  </si>
  <si>
    <t>FTS2.1_Forecast_Average</t>
  </si>
  <si>
    <t>FTS2.1_Forecast_Low95</t>
  </si>
  <si>
    <t>FTS2.1_Forecast_High95</t>
  </si>
  <si>
    <t>FTS3_Forecast_Average</t>
  </si>
  <si>
    <t>FTS3_Forecast_Low95</t>
  </si>
  <si>
    <t>FTS3_Forecast_High95</t>
  </si>
  <si>
    <t>FTS3.1_Forecast_Average</t>
  </si>
  <si>
    <t>FTS3.1_Forecast_Low95</t>
  </si>
  <si>
    <t>FTS3.1_Forecast_High95</t>
  </si>
  <si>
    <t>FTS4_Forecast_Average</t>
  </si>
  <si>
    <t>FTS4_Forecast_Low95</t>
  </si>
  <si>
    <t>FTS4_Forecast_High95</t>
  </si>
  <si>
    <t>CSGS_Forecast_Average</t>
  </si>
  <si>
    <t>CSGS_Forecast_Low95</t>
  </si>
  <si>
    <t>CSGS_Forecast_High95</t>
  </si>
  <si>
    <t>Modeled</t>
  </si>
  <si>
    <t>Current Customer Charge</t>
  </si>
  <si>
    <t>Current Volumetric Charge</t>
  </si>
  <si>
    <t>Current Demand Charge</t>
  </si>
  <si>
    <t>2023 Billing Determinants (Therms)</t>
  </si>
  <si>
    <t>2021 Billing Determinants (Therms)</t>
  </si>
  <si>
    <t>Customer Growth Rate (Modeled)</t>
  </si>
  <si>
    <t>Customer Growth Rate Average</t>
  </si>
  <si>
    <t>Customer Growth Rate Low</t>
  </si>
  <si>
    <t>Customer Growth Rate Select Model</t>
  </si>
  <si>
    <t>UPC Select Model</t>
  </si>
  <si>
    <t>UPC (Modeled)</t>
  </si>
  <si>
    <t>2021 Revenue Current Rate_ Customer Charge</t>
  </si>
  <si>
    <t>2021 Revenue Current Rate_Volumetric Charge</t>
  </si>
  <si>
    <t>2021 Revenue Current Rate_Demand Charge</t>
  </si>
  <si>
    <t>Fcst Code</t>
  </si>
  <si>
    <t>Base Period</t>
  </si>
  <si>
    <t>2019 Billing Determinants (Therms)</t>
  </si>
  <si>
    <t>2020 Billing Determinants (Therms)</t>
  </si>
  <si>
    <t>2022 Forecasted Bills</t>
  </si>
  <si>
    <t>2022 Billing Determinants (Therms)</t>
  </si>
  <si>
    <t>Subtotal</t>
  </si>
  <si>
    <t>Summary Tabs</t>
  </si>
  <si>
    <t>Use Per Customer</t>
  </si>
  <si>
    <t>Use Per Customer Change</t>
  </si>
  <si>
    <t>TY UPC Low</t>
  </si>
  <si>
    <t>TY UPC Average</t>
  </si>
  <si>
    <t>BP to TY UPC Change Low</t>
  </si>
  <si>
    <t>BP to TY UPC Change Average</t>
  </si>
  <si>
    <t>BP to TY UPC Modeled</t>
  </si>
  <si>
    <t>Billing Det Fcst Calc Method</t>
  </si>
  <si>
    <t>2019 Actual Bills</t>
  </si>
  <si>
    <t>2020 Actual Bills</t>
  </si>
  <si>
    <t>2021 Actual Bills</t>
  </si>
  <si>
    <t>PY ACTUAL</t>
  </si>
  <si>
    <t>CY ACTUAL</t>
  </si>
  <si>
    <t>PY-Q1</t>
  </si>
  <si>
    <t>PY-Q2</t>
  </si>
  <si>
    <t>PY-Q3</t>
  </si>
  <si>
    <t>PY-Q4</t>
  </si>
  <si>
    <t>Q1</t>
  </si>
  <si>
    <t>Q2</t>
  </si>
  <si>
    <t>Q3</t>
  </si>
  <si>
    <t>Q4</t>
  </si>
  <si>
    <t>First Page</t>
  </si>
  <si>
    <t>Excel to Excel</t>
  </si>
  <si>
    <t>FTS-A Residential</t>
  </si>
  <si>
    <t>FTS-B Residential</t>
  </si>
  <si>
    <t>FTS-1 Residential</t>
  </si>
  <si>
    <t>FTS-2 Residential</t>
  </si>
  <si>
    <t>FTS-2.1 Residential</t>
  </si>
  <si>
    <t>FTS-3 Residential</t>
  </si>
  <si>
    <t>FTS-3.1 Residential</t>
  </si>
  <si>
    <t>FPU - RS Residential</t>
  </si>
  <si>
    <t>FPU - RS-GS Residential</t>
  </si>
  <si>
    <t>FT-RS Residential</t>
  </si>
  <si>
    <t>IGC - TS1 Residential</t>
  </si>
  <si>
    <t/>
  </si>
  <si>
    <t>FTS-A Residential - Experimental</t>
  </si>
  <si>
    <t>Residential - Experimental</t>
  </si>
  <si>
    <t>FTS-B Residential - Experimental</t>
  </si>
  <si>
    <t>FTS-1 Residential - Experimental</t>
  </si>
  <si>
    <t>FTS-2 Residential - Experimental</t>
  </si>
  <si>
    <t>FTS-2.1 Residential - Experimental</t>
  </si>
  <si>
    <t>FTS-3 Residential - Experimental</t>
  </si>
  <si>
    <t>FTS-3.1 Residential - Experimental</t>
  </si>
  <si>
    <t>FTS-A Non-Residential</t>
  </si>
  <si>
    <t>Non-Residential</t>
  </si>
  <si>
    <t>FTS-B Non-Residential</t>
  </si>
  <si>
    <t>FTS-1 Non-Residential</t>
  </si>
  <si>
    <t>FTS-2 Non-Residential</t>
  </si>
  <si>
    <t>FTS-2.1 Non-Residential</t>
  </si>
  <si>
    <t>FTS-3 Non-Residential</t>
  </si>
  <si>
    <t>FTS-3.1 Non-Residential</t>
  </si>
  <si>
    <t>FTS-4 Non-Residential</t>
  </si>
  <si>
    <t>FTS-5 Non-Residential</t>
  </si>
  <si>
    <t>FTS-6 Non-Residential</t>
  </si>
  <si>
    <t>FTS-7 Non-Residential</t>
  </si>
  <si>
    <t>FTS-8 Non-Residential</t>
  </si>
  <si>
    <t>FTS-9 Non-Residential</t>
  </si>
  <si>
    <t>FTS-10 Non-Residential</t>
  </si>
  <si>
    <t>FTS-11 Non-Residential</t>
  </si>
  <si>
    <t>FTS-12 Non-Residential</t>
  </si>
  <si>
    <t>FTS-NGV Non-Residential</t>
  </si>
  <si>
    <t>FPU - GS - 1 Non-Residential</t>
  </si>
  <si>
    <t>FPU - GSTS - 1 Non-Residential</t>
  </si>
  <si>
    <t>FPU - GS - 2 Non-Residential</t>
  </si>
  <si>
    <t>FPU - GSTS - 2 Non-Residential</t>
  </si>
  <si>
    <t>FPU - CS - GS Non-Residential</t>
  </si>
  <si>
    <t>FPU - LVS Non-Residential</t>
  </si>
  <si>
    <t>FPU - LVTS &lt;50k Non-Residential</t>
  </si>
  <si>
    <t>FPU - LVTS &gt;50k Non-Residential</t>
  </si>
  <si>
    <t>FPU - IS Non-Residential</t>
  </si>
  <si>
    <t>FPU - ITS Non-Residential</t>
  </si>
  <si>
    <t>FPU - GLS Non-Residential</t>
  </si>
  <si>
    <t>FPU-NGVS Non-Residential</t>
  </si>
  <si>
    <t>FPU- NGVTS Non-Residential</t>
  </si>
  <si>
    <t>FT-Comm PA Non-Residential</t>
  </si>
  <si>
    <t>FT-Comm Small Non-Residential</t>
  </si>
  <si>
    <t>FT-Transportation Non-Residential</t>
  </si>
  <si>
    <t>IGC - TS2 Non-Residential</t>
  </si>
  <si>
    <t>IGC - TS3 Non-Residential</t>
  </si>
  <si>
    <t>IGC - TS4 Non-Residential</t>
  </si>
  <si>
    <t>FTS-A Non-Residential-Experimental</t>
  </si>
  <si>
    <t>Non-Residential-Experimental</t>
  </si>
  <si>
    <t>FTS-B Non-Residential-Experimental</t>
  </si>
  <si>
    <t>FTS-1 Non-Residential-Experimental</t>
  </si>
  <si>
    <t>FTS-2 Non-Residential-Experimental</t>
  </si>
  <si>
    <t>FTS-2.1 Non-Residential-Experimental</t>
  </si>
  <si>
    <t>FTS-3 Non-Residential-Experimental</t>
  </si>
  <si>
    <t>FTS-3.1 Non-Residential-Experimental</t>
  </si>
  <si>
    <t>Industrial</t>
  </si>
  <si>
    <t>FPUServiceR</t>
  </si>
  <si>
    <t>CFGServiceR</t>
  </si>
  <si>
    <t>IGCService</t>
  </si>
  <si>
    <t>FTService</t>
  </si>
  <si>
    <t>FPUShipper</t>
  </si>
  <si>
    <t>CFGShipper</t>
  </si>
  <si>
    <t>IGCShipper</t>
  </si>
  <si>
    <t>FTShipper</t>
  </si>
  <si>
    <t>FPUUnbilled</t>
  </si>
  <si>
    <t>CFGUnbilled</t>
  </si>
  <si>
    <t>IGCUnbilled</t>
  </si>
  <si>
    <t>FTUnbilled</t>
  </si>
  <si>
    <t>FPUGrip</t>
  </si>
  <si>
    <t>CFGGrip</t>
  </si>
  <si>
    <t>IGCGrip</t>
  </si>
  <si>
    <t>FTGrip</t>
  </si>
  <si>
    <t>FPUOverearning</t>
  </si>
  <si>
    <t>CFGOverearning</t>
  </si>
  <si>
    <t>COVID-19 Impact</t>
  </si>
  <si>
    <t>FPUNon-ResidentialCOVID</t>
  </si>
  <si>
    <t>CFGNon-ResidentialCOVID</t>
  </si>
  <si>
    <t>Covid</t>
  </si>
  <si>
    <t>FPUOther</t>
  </si>
  <si>
    <t>CFGOther</t>
  </si>
  <si>
    <t>IGCOther</t>
  </si>
  <si>
    <t>FTOther</t>
  </si>
  <si>
    <t>FPUTaxReform</t>
  </si>
  <si>
    <t>CFGTaxReform</t>
  </si>
  <si>
    <t>IGCTaxReform</t>
  </si>
  <si>
    <t>FTTaxReform</t>
  </si>
  <si>
    <t>FPUpsc</t>
  </si>
  <si>
    <t>COGS</t>
  </si>
  <si>
    <t>CFGpsc</t>
  </si>
  <si>
    <t>IGCpsc</t>
  </si>
  <si>
    <t>FTpsc</t>
  </si>
  <si>
    <t>GM</t>
  </si>
  <si>
    <t>NGD</t>
  </si>
  <si>
    <t>Residential - FPU+FI+FT</t>
  </si>
  <si>
    <t>Residential - Experimental - FPU+FI+FT</t>
  </si>
  <si>
    <t>Non-Residential - FPU+FI+FT</t>
  </si>
  <si>
    <t>Non-Residential-Experimental - FPU+FI+FT</t>
  </si>
  <si>
    <t>Industrial - FPU+FI+FT</t>
  </si>
  <si>
    <t>Miscellaneous Revenues - FPU+FI+FT</t>
  </si>
  <si>
    <t>COGS - FPU+FI+FT</t>
  </si>
  <si>
    <t>TOTAL - FPU+FI+FT</t>
  </si>
  <si>
    <t>Sum:</t>
  </si>
  <si>
    <t>Customer Class Code</t>
  </si>
  <si>
    <t>Commercial</t>
  </si>
  <si>
    <t>x</t>
  </si>
  <si>
    <t>CFG - Firm Transportation Service - 1 Residential</t>
  </si>
  <si>
    <t>CFG - Firm Transportation Service - 1 (Fixed Residential)</t>
  </si>
  <si>
    <t>CFG - Firm Transportation Service - 1 Non-Residential</t>
  </si>
  <si>
    <t>CFG - Firm Transportation Service - 2 Residential</t>
  </si>
  <si>
    <t>CFG - Firm Transportation Service - 2 (Fixed Residential)</t>
  </si>
  <si>
    <t>CFG - Firm Transportation Service - 2 Non-Residential</t>
  </si>
  <si>
    <t>CFG - Firm Transportation Service - 2 (Fixed Non-Residential)</t>
  </si>
  <si>
    <t>CFG - Firm Transportation Service - 2.1 Residential</t>
  </si>
  <si>
    <t>CFG - Firm Transportation Service - 2.1 (Fixed Residential)</t>
  </si>
  <si>
    <t>CFG - Firm Transportation Service - 2.1 Non-Residential</t>
  </si>
  <si>
    <t>CFG - Firm Transportation Service - 2.1 (Fixed Non-Residential)</t>
  </si>
  <si>
    <t>2021 Revenue Current Rate_Min Bill Charge</t>
  </si>
  <si>
    <t>#'Summary Report'!A1</t>
  </si>
  <si>
    <t>Bill Counts</t>
  </si>
  <si>
    <t>Regres Results</t>
  </si>
  <si>
    <t>Category</t>
  </si>
  <si>
    <t>Customer Class Type</t>
  </si>
  <si>
    <t>Florida Public Utilities Company (“FPUC”)</t>
  </si>
  <si>
    <t>Proceeding No. 2022XXXX</t>
  </si>
  <si>
    <t>Indiantown Total</t>
  </si>
  <si>
    <t>Ft. Meade  Total</t>
  </si>
  <si>
    <t>FPUC Total</t>
  </si>
  <si>
    <t>CFG Total</t>
  </si>
  <si>
    <t>No.</t>
  </si>
  <si>
    <t>Report_Regression Results</t>
  </si>
  <si>
    <t>2023 GRIP Rate</t>
  </si>
  <si>
    <t>GRIP Rate</t>
  </si>
  <si>
    <t>2023 GRIP Revenue</t>
  </si>
  <si>
    <t>Customer Class</t>
  </si>
  <si>
    <t>2021 Revenue Current Base Rate_Total</t>
  </si>
  <si>
    <t>2021 Revenue Current Rate_Admin Charge</t>
  </si>
  <si>
    <t>FTS_AB_C</t>
  </si>
  <si>
    <t>FTS_AB_C_Forecast_Average</t>
  </si>
  <si>
    <t>FTS_AB_C_Forecast_Low95</t>
  </si>
  <si>
    <t>FTS_AB_C_Forecast_High95</t>
  </si>
  <si>
    <t>CFG - Firm Transportation Service - A Non-Residential</t>
  </si>
  <si>
    <t>CFG - Firm Transportation Service - B Non-Residential</t>
  </si>
  <si>
    <t>Modeled UPC</t>
  </si>
  <si>
    <t>Fixed (Y/N)</t>
  </si>
  <si>
    <t>N</t>
  </si>
  <si>
    <t>Y</t>
  </si>
  <si>
    <t>Proposed Class</t>
  </si>
  <si>
    <t>2019-2021 Actuals Average UPC</t>
  </si>
  <si>
    <t>CFG - FTS-3 - Fixed R</t>
  </si>
  <si>
    <t>CFG - Firm Transportation Service - 3 Residential</t>
  </si>
  <si>
    <t>CFG - Firm Transportation Service - 3 (Fixed Residential)</t>
  </si>
  <si>
    <t>CFG - Firm Transportation Service - B (Fixed Non-Residential)</t>
  </si>
  <si>
    <t>CFG - FTS-B - Fixed NR</t>
  </si>
  <si>
    <t>CFG - Firm Transportation Service - A Residential</t>
  </si>
  <si>
    <t>CFG - Firm Transportation Service - A (Fixed Residential)</t>
  </si>
  <si>
    <t>CFG - Firm Transportation Service - B (Fixed Residential)</t>
  </si>
  <si>
    <t>CFG - Firm Transportation Service - B Residential</t>
  </si>
  <si>
    <t>CFG - Firm Transportation Service - 3 Non-Residential</t>
  </si>
  <si>
    <t>CFG - Firm Transportation Service - 3 (Fixed Non-Residential)</t>
  </si>
  <si>
    <t>CFG - Firm Transportation Service - 3.1 Non-Residential</t>
  </si>
  <si>
    <t>CFG - Firm Transportation Service - 3.1 (Fixed Non-Residential)</t>
  </si>
  <si>
    <t>Bill Description</t>
  </si>
  <si>
    <t>Rate Description</t>
  </si>
  <si>
    <t>CFG - Firm Transportation Service - 1 (Fixed Non-Residential)</t>
  </si>
  <si>
    <t>1</t>
  </si>
  <si>
    <t>3</t>
  </si>
  <si>
    <t>4</t>
  </si>
  <si>
    <t>2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</si>
  <si>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</si>
  <si>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</si>
  <si>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</si>
  <si>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</si>
  <si>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</si>
  <si>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</si>
  <si>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</si>
  <si>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</si>
  <si>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</si>
  <si>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</si>
  <si>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</si>
  <si>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</si>
  <si>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</si>
  <si>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</si>
  <si>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</si>
  <si>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</si>
  <si>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</si>
  <si>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</si>
  <si>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</si>
  <si>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</si>
  <si>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</si>
  <si>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</si>
  <si>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</si>
  <si>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</si>
  <si>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</si>
  <si>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</si>
  <si>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</si>
  <si>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</si>
  <si>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</si>
  <si>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</si>
  <si>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</si>
  <si>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</si>
  <si>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</si>
  <si>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</si>
  <si>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</si>
  <si>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</si>
  <si>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</si>
  <si>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</si>
  <si>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</si>
  <si>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</si>
  <si>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</si>
  <si>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</si>
  <si>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</si>
  <si>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</si>
  <si>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</si>
  <si>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</si>
  <si>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</si>
  <si>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</si>
  <si>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</si>
  <si>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</si>
  <si>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</si>
  <si>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</si>
  <si>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</si>
  <si>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</si>
  <si>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</si>
  <si>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</si>
  <si>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</si>
  <si>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</si>
  <si>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</si>
  <si>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Rate Lookup Code</t>
  </si>
  <si>
    <t>CFG - FTS-A - Fixed R</t>
  </si>
  <si>
    <t>CFG - FTS-A R</t>
  </si>
  <si>
    <t>CFG - FTS-B R</t>
  </si>
  <si>
    <t>CFG - FTS-B - Fixed R</t>
  </si>
  <si>
    <t>Customer Type</t>
  </si>
  <si>
    <t>CFG - Firm Transportation Service - A (Fixed Non-Residential)</t>
  </si>
  <si>
    <t>64</t>
  </si>
  <si>
    <t>CFG - FTS-A - Fixed NR</t>
  </si>
  <si>
    <t>Replaced with data below</t>
  </si>
  <si>
    <t>UPC Growth Rate</t>
  </si>
  <si>
    <t>Historical Average</t>
  </si>
  <si>
    <t>CFG - FTS-3 - Fixed NR</t>
  </si>
  <si>
    <t>CFG - FTS-3.1 NR</t>
  </si>
  <si>
    <t>CFG - FTS-3.1 - Fixed NR</t>
  </si>
  <si>
    <t>CFG - FTS-3 NR</t>
  </si>
  <si>
    <t>CFG - FTS-A NR</t>
  </si>
  <si>
    <t>CFG - FTS-B NR</t>
  </si>
  <si>
    <t>CFG - FTS-1 R</t>
  </si>
  <si>
    <t>CFG - FTS-1 NR</t>
  </si>
  <si>
    <t>CFG - FTS-2 R</t>
  </si>
  <si>
    <t>CFG - FTS-2 NR</t>
  </si>
  <si>
    <t>CFG - FTS-2.1 R</t>
  </si>
  <si>
    <t>CFG - FTS-2.1 NR</t>
  </si>
  <si>
    <t>CFG - FTS-3 R</t>
  </si>
  <si>
    <t>Admin Charges</t>
  </si>
  <si>
    <t>2022 Diff</t>
  </si>
  <si>
    <t>2023 Diff</t>
  </si>
  <si>
    <t>Admin Charge</t>
  </si>
  <si>
    <t>Adjusted</t>
  </si>
  <si>
    <t xml:space="preserve">2022 Adjusted </t>
  </si>
  <si>
    <t xml:space="preserve">2023 Adjusted </t>
  </si>
  <si>
    <t>Customers Per Stat Report</t>
  </si>
  <si>
    <t>Check Total-If not zero, determine why</t>
  </si>
  <si>
    <t>Max</t>
  </si>
  <si>
    <t>Max Month</t>
  </si>
  <si>
    <t>MaxMonth</t>
  </si>
  <si>
    <t>Peak UPC</t>
  </si>
  <si>
    <t>Peak Month UPC</t>
  </si>
  <si>
    <t>Regression Category</t>
  </si>
  <si>
    <t>Peak Use Per Customer</t>
  </si>
  <si>
    <t>2019 Actuals Peak Month UPC (Therms)</t>
  </si>
  <si>
    <t>2020 Actuals Peak Month UPC (Therms)</t>
  </si>
  <si>
    <t>2021 Actuals Peak Month UPC (Therms)</t>
  </si>
  <si>
    <t>2022 Actuals Peak Month UPC (Therms)</t>
  </si>
  <si>
    <t>2023 Actuals Peak Month UPC (Therms)</t>
  </si>
  <si>
    <t>Median</t>
  </si>
  <si>
    <t>Ft. Meade breakdown</t>
  </si>
  <si>
    <t>FT Commercial</t>
  </si>
  <si>
    <t>Service Type</t>
  </si>
  <si>
    <t>FT Commerical</t>
  </si>
  <si>
    <t>2023 Peak Month</t>
  </si>
  <si>
    <t xml:space="preserve">IND TS-1 COMM 0-1000          </t>
  </si>
  <si>
    <t>65</t>
  </si>
  <si>
    <t>Class Classification</t>
  </si>
  <si>
    <t>2022</t>
  </si>
  <si>
    <t>2023</t>
  </si>
  <si>
    <t>2018</t>
  </si>
  <si>
    <t>2019</t>
  </si>
  <si>
    <t>2020</t>
  </si>
  <si>
    <t>2021</t>
  </si>
  <si>
    <t>2022 Master File (total Calc)</t>
  </si>
  <si>
    <t>2023 Master File (total Calc)</t>
  </si>
  <si>
    <t>Horsepower Desc Code</t>
  </si>
  <si>
    <t>Data Tool</t>
  </si>
  <si>
    <t>Allocator</t>
  </si>
  <si>
    <t>MEDIAN</t>
  </si>
  <si>
    <t>Customer Growth Rate Median</t>
  </si>
  <si>
    <t>BP to TY UPC Change Median</t>
  </si>
  <si>
    <t>TY UPC Median</t>
  </si>
  <si>
    <t>NVS</t>
  </si>
  <si>
    <t>NVGTS</t>
  </si>
  <si>
    <t>Sum of 2021 Actual Bills</t>
  </si>
  <si>
    <t>Sum of 2021 Billing Determinants (Therms)</t>
  </si>
  <si>
    <t>Values</t>
  </si>
  <si>
    <t>Sum of 2021 Revenue Current Rate_ Customer Charge</t>
  </si>
  <si>
    <t>Sum of 2021 Revenue Current Rate_Volumetric Charge</t>
  </si>
  <si>
    <t>Sum of 2021 Revenue Current Rate_Min Bill Charge</t>
  </si>
  <si>
    <t>Sum of 2021 Revenue Current Rate_Demand Charge</t>
  </si>
  <si>
    <t>Sum of 2021 Revenue Current Base Rate_Total</t>
  </si>
  <si>
    <t>Sum of 2021 Revenue Current Rate_Admin Charge</t>
  </si>
  <si>
    <t xml:space="preserve">MFR E-1 Header </t>
  </si>
  <si>
    <t>GS</t>
  </si>
  <si>
    <t>GS-TS</t>
  </si>
  <si>
    <t>(blank)</t>
  </si>
  <si>
    <t>2021 GRIP Rate</t>
  </si>
  <si>
    <t>2021 GRIP Revenue</t>
  </si>
  <si>
    <t>2021 GRIP Over/Under</t>
  </si>
  <si>
    <t>2021 GRIP Total</t>
  </si>
  <si>
    <t>GRIP Codes</t>
  </si>
  <si>
    <t>Conservation Rates</t>
  </si>
  <si>
    <t>Conservation Revenue</t>
  </si>
  <si>
    <t>Conservation Revenue Adjusted</t>
  </si>
  <si>
    <t>PGA</t>
  </si>
  <si>
    <t>SWING</t>
  </si>
  <si>
    <t>PGA+SWING</t>
  </si>
  <si>
    <t>PGA and SWING Revenue</t>
  </si>
  <si>
    <t>PGA and SWING Revenue Adjusted</t>
  </si>
  <si>
    <t>Sum of Conservation Revenue Adjusted</t>
  </si>
  <si>
    <t>Sum of PGA and SWING Revenue Adjusted</t>
  </si>
  <si>
    <t>Sum of 2021 GRIP Total</t>
  </si>
  <si>
    <t>Unbilled Revenue</t>
  </si>
  <si>
    <t>Unbilled BD</t>
  </si>
  <si>
    <t>Sum of Unbilled Revenue</t>
  </si>
  <si>
    <t>Sum of Unbilled BD</t>
  </si>
  <si>
    <t>Unbilled Fuel Rev</t>
  </si>
  <si>
    <t>Sum of Unbilled Fuel Rev</t>
  </si>
  <si>
    <t>2021 Marin Revenue</t>
  </si>
  <si>
    <t>2021 Margin Difference</t>
  </si>
  <si>
    <t>Sum of 2021 Margin Difference</t>
  </si>
  <si>
    <t>Customer Charge Revenue</t>
  </si>
  <si>
    <t>VM Charge</t>
  </si>
  <si>
    <t>E Schedule field</t>
  </si>
  <si>
    <t>Proceeding No. 20220067-GU</t>
  </si>
  <si>
    <t xml:space="preserve">Master </t>
  </si>
  <si>
    <t>Pivot for E-1</t>
  </si>
  <si>
    <t>Monthly CUST</t>
  </si>
  <si>
    <t>Monthly VOL</t>
  </si>
  <si>
    <t>Monthly UPC</t>
  </si>
  <si>
    <t>Regression Forecast --&gt;</t>
  </si>
  <si>
    <t>Report_Regression</t>
  </si>
  <si>
    <t>WP_Regression Summary</t>
  </si>
  <si>
    <t>WP_Regression_RES Cust Count</t>
  </si>
  <si>
    <t>WP_Regression_RES UPC</t>
  </si>
  <si>
    <t>WP_Regreession_COM Cust Count</t>
  </si>
  <si>
    <t>WP_Regression_COM UPC</t>
  </si>
  <si>
    <t>Input Sheets -&gt;</t>
  </si>
  <si>
    <t>Input 1_GRIP Factors</t>
  </si>
  <si>
    <t>Input 16_2018CUST-YTD</t>
  </si>
  <si>
    <t>Input 16.1_2018VOL-YTD</t>
  </si>
  <si>
    <t>Input 3_2019CUST-YTD</t>
  </si>
  <si>
    <t>Input 3.1_2019VOL-YTD</t>
  </si>
  <si>
    <t>Input 4_2020CUST-YTD</t>
  </si>
  <si>
    <t>Input 4.1_2020VOL-YTD</t>
  </si>
  <si>
    <t>Input 5_2021CUST-YTD</t>
  </si>
  <si>
    <t>Input 5.1_2021VOL-YTD</t>
  </si>
  <si>
    <t>Input 6_2021MARG-YTD</t>
  </si>
  <si>
    <t>WP-Peak Month UPC</t>
  </si>
  <si>
    <t>Input 7_NG Rates</t>
  </si>
  <si>
    <t>Input 13.3_2021 Min Charges</t>
  </si>
  <si>
    <t>Input 14_Ref Table</t>
  </si>
  <si>
    <t>Input 15_Fcst Inputs</t>
  </si>
  <si>
    <t>CONFIDENTIAL_WP_Pro-Forma Revenue and Other</t>
  </si>
  <si>
    <t>A summary (pivot table) supporting Schedules E-1.</t>
  </si>
  <si>
    <t>A monthly forecast of the customer bill counts.</t>
  </si>
  <si>
    <t>A monthly forecast of the billing determinants.</t>
  </si>
  <si>
    <t>A monthly forecast of the use per customer.</t>
  </si>
  <si>
    <t>A summary of the regression analysis results.</t>
  </si>
  <si>
    <t>Regression analysis report.</t>
  </si>
  <si>
    <t xml:space="preserve">Regression analysis results for the Residential customers. </t>
  </si>
  <si>
    <t xml:space="preserve">Regression analysis results for the Residential use per customer. </t>
  </si>
  <si>
    <t xml:space="preserve">Regression analysis results for the Commercial customers. </t>
  </si>
  <si>
    <t xml:space="preserve">Regression analysis results for the Commercial use per customer. </t>
  </si>
  <si>
    <t>FPUC's tariff rates.</t>
  </si>
  <si>
    <t>System use per customer by month for 2018-2021 to identify system peak demand.</t>
  </si>
  <si>
    <t>A summary of 2021 revenue from the minimum customer charges.</t>
  </si>
  <si>
    <t>Code reference table</t>
  </si>
  <si>
    <t xml:space="preserve">Adjustments to the forecasted information provided by FPUC. </t>
  </si>
  <si>
    <t>Actual 2018 Customer billing determinants.</t>
  </si>
  <si>
    <t>Actual 2019 Customer billing determinants.</t>
  </si>
  <si>
    <t>Actual 2020 Customer billing determinants.</t>
  </si>
  <si>
    <t>Actual 2021 Customer billing determinants.</t>
  </si>
  <si>
    <t>Actual 2018 Customer bills.</t>
  </si>
  <si>
    <t>Actual 2019 Customer bills.</t>
  </si>
  <si>
    <t>Actual 2020 Customer bills.</t>
  </si>
  <si>
    <t>Actual 2021 Customer bills.</t>
  </si>
  <si>
    <t>Actual 2021 Revenue Margin report.</t>
  </si>
  <si>
    <t>Worksheet Title</t>
  </si>
  <si>
    <t>Worksheet Explanation</t>
  </si>
  <si>
    <t>Forecast of the customer bill counts and billing determinants. The Worksheet includes factors used in the forecasting and methodologies applied. The table expands to include the calculation of the Pro-forma revenues and reconciliation to actual data supporting various MFRs.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</si>
</sst>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."/>
    <numFmt numFmtId="167" formatCode="mmmm\ d\,\ yyyy"/>
    <numFmt numFmtId="168" formatCode="_(&quot;$&quot;* #,##0.0000_);_(&quot;$&quot;* \(#,##0.0000\);_(&quot;$&quot;* &quot;-&quot;????_);_(@_)"/>
    <numFmt numFmtId="169" formatCode="&quot;$&quot;#,##0.00"/>
    <numFmt numFmtId="170" formatCode="_(&quot;$&quot;* #,##0.00000_);_(&quot;$&quot;* \(#,##0.00000\);_(&quot;$&quot;* &quot;-&quot;??_);_(@_)"/>
    <numFmt numFmtId="171" formatCode="[$-409]mmmm\-yy;@"/>
    <numFmt numFmtId="172" formatCode="0.0%"/>
    <numFmt numFmtId="173" formatCode="&quot;$&quot;#,##0.00000"/>
    <numFmt numFmtId="174" formatCode="0.00000"/>
    <numFmt numFmtId="175" formatCode="mmm\-yyyy"/>
    <numFmt numFmtId="176" formatCode="0.0"/>
    <numFmt numFmtId="177" formatCode="_(* #,##0.0_);_(* \(#,##0.0\);_(* &quot;-&quot;??_);_(@_)"/>
    <numFmt numFmtId="178" formatCode="[$-409]mmm\-yy;@"/>
    <numFmt numFmtId="179" formatCode="_(* #,##0.0000_);_(* \(#,##0.0000\);_(* &quot;-&quot;??_);_(@_)"/>
    <numFmt numFmtId="180" formatCode="_(* #,##0.00000_);_(* \(#,##0.00000\);_(* &quot;-&quot;??_);_(@_)"/>
    <numFmt numFmtId="181" formatCode="_(&quot;$&quot;* #,##0.0000_);_(&quot;$&quot;* \(#,##0.0000\);_(&quot;$&quot;* &quot;-&quot;??_);_(@_)"/>
    <numFmt numFmtId="182" formatCode="&quot;$&quot;#,##0.0000_);[Red]\(&quot;$&quot;#,##0.0000\)"/>
    <numFmt numFmtId="183" formatCode="&quot;$&quot;#,##0.00000_);[Red]\(&quot;$&quot;#,##0.00000\)"/>
  </numFmts>
  <fonts count="106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33CC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sz val="10"/>
      <color indexed="12"/>
      <name val="Arial"/>
      <family val="2"/>
    </font>
    <font>
      <sz val="10"/>
      <color indexed="60"/>
      <name val="Arial"/>
      <family val="2"/>
    </font>
    <font>
      <b/>
      <sz val="12"/>
      <color indexed="20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i/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name val="Times New Roman"/>
      <family val="1"/>
    </font>
    <font>
      <sz val="10"/>
      <name val="Arial Unicode MS"/>
      <family val="2"/>
    </font>
    <font>
      <sz val="10"/>
      <color theme="1"/>
      <name val="Tahoma"/>
      <family val="2"/>
    </font>
    <font>
      <sz val="12"/>
      <name val="Arial MT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2"/>
    </font>
    <font>
      <sz val="10"/>
      <name val="Times New Roman"/>
      <family val="1"/>
    </font>
    <font>
      <b/>
      <sz val="12"/>
      <name val="Tech"/>
    </font>
    <font>
      <u/>
      <sz val="8.6999999999999993"/>
      <color indexed="12"/>
      <name val="Arial"/>
      <family val="2"/>
    </font>
    <font>
      <sz val="12"/>
      <name val="SWISS"/>
    </font>
    <font>
      <sz val="10"/>
      <color indexed="8"/>
      <name val="Calibri"/>
      <family val="2"/>
    </font>
    <font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Arial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u/>
      <sz val="10"/>
      <color theme="0" tint="-0.499984740745262"/>
      <name val="Calibri"/>
      <family val="2"/>
      <scheme val="minor"/>
    </font>
    <font>
      <b/>
      <sz val="10"/>
      <color rgb="FF0033CC"/>
      <name val="Calibri"/>
      <family val="2"/>
      <scheme val="minor"/>
    </font>
    <font>
      <b/>
      <sz val="10"/>
      <color indexed="10"/>
      <name val="Calibri"/>
      <family val="2"/>
      <scheme val="minor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b/>
      <u/>
      <sz val="10"/>
      <color theme="0" tint="-0.49998474074526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333333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indexed="9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u/>
      <sz val="10"/>
      <color indexed="10"/>
      <name val="Calibri"/>
      <family val="2"/>
      <scheme val="minor"/>
    </font>
    <font>
      <sz val="10"/>
      <color rgb="FF0000CC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rgb="FF333333"/>
      <name val="Arial"/>
      <family val="2"/>
    </font>
    <font>
      <sz val="10"/>
      <color theme="9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8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8"/>
      <color rgb="FF0000CC"/>
      <name val="Calibri"/>
      <family val="2"/>
      <scheme val="minor"/>
    </font>
    <font>
      <sz val="8"/>
      <color indexed="12"/>
      <name val="Calibri"/>
      <family val="2"/>
      <scheme val="minor"/>
    </font>
    <font>
      <b/>
      <sz val="8"/>
      <color rgb="FF0000CC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i/>
      <sz val="10"/>
      <color theme="0" tint="-0.249977111117893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sz val="10"/>
      <color theme="1"/>
      <name val="Cambria"/>
      <family val="1"/>
    </font>
    <font>
      <sz val="10"/>
      <color theme="1"/>
      <name val="Times New Roman"/>
      <family val="1"/>
    </font>
    <font>
      <b/>
      <i/>
      <sz val="10"/>
      <color theme="0" tint="-0.499984740745262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u/>
      <sz val="1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CFDFD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CAC9D9"/>
      </top>
      <bottom style="thin">
        <color rgb="FFA5A5B1"/>
      </bottom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  <border>
      <left style="thin">
        <color rgb="FF3877A6"/>
      </left>
      <right style="thin">
        <color rgb="FF09558F"/>
      </right>
      <top style="thin">
        <color rgb="FFCAC9D9"/>
      </top>
      <bottom style="thin">
        <color rgb="FF3877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9">
    <xf numFmtId="0" fontId="0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1" fontId="27" fillId="2" borderId="0"/>
    <xf numFmtId="41" fontId="27" fillId="3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3" fontId="28" fillId="0" borderId="0" applyFill="0" applyBorder="0" applyAlignment="0" applyProtection="0"/>
    <xf numFmtId="0" fontId="29" fillId="0" borderId="0"/>
    <xf numFmtId="0" fontId="30" fillId="0" borderId="0"/>
    <xf numFmtId="166" fontId="31" fillId="0" borderId="0">
      <protection locked="0"/>
    </xf>
    <xf numFmtId="0" fontId="30" fillId="0" borderId="0"/>
    <xf numFmtId="0" fontId="30" fillId="0" borderId="0"/>
    <xf numFmtId="0" fontId="30" fillId="0" borderId="0"/>
    <xf numFmtId="44" fontId="27" fillId="0" borderId="0" applyFont="0" applyFill="0" applyBorder="0" applyAlignment="0" applyProtection="0"/>
    <xf numFmtId="5" fontId="28" fillId="0" borderId="0" applyFill="0" applyBorder="0" applyAlignment="0" applyProtection="0"/>
    <xf numFmtId="167" fontId="28" fillId="0" borderId="0" applyFill="0" applyBorder="0" applyAlignment="0" applyProtection="0"/>
    <xf numFmtId="2" fontId="28" fillId="0" borderId="0" applyFill="0" applyBorder="0" applyAlignment="0" applyProtection="0"/>
    <xf numFmtId="41" fontId="32" fillId="4" borderId="3">
      <alignment horizontal="left"/>
      <protection locked="0"/>
    </xf>
    <xf numFmtId="10" fontId="32" fillId="4" borderId="3">
      <alignment horizontal="right"/>
      <protection locked="0"/>
    </xf>
    <xf numFmtId="41" fontId="33" fillId="5" borderId="3">
      <alignment horizontal="left"/>
      <protection locked="0"/>
    </xf>
    <xf numFmtId="3" fontId="34" fillId="0" borderId="0" applyFill="0" applyBorder="0" applyAlignment="0" applyProtection="0"/>
    <xf numFmtId="0" fontId="27" fillId="0" borderId="0"/>
    <xf numFmtId="0" fontId="27" fillId="2" borderId="0"/>
    <xf numFmtId="0" fontId="29" fillId="0" borderId="0"/>
    <xf numFmtId="0" fontId="30" fillId="0" borderId="0"/>
    <xf numFmtId="9" fontId="27" fillId="0" borderId="0" applyFont="0" applyFill="0" applyBorder="0" applyAlignment="0" applyProtection="0"/>
    <xf numFmtId="10" fontId="27" fillId="0" borderId="3"/>
    <xf numFmtId="41" fontId="27" fillId="6" borderId="3"/>
    <xf numFmtId="0" fontId="30" fillId="0" borderId="0"/>
    <xf numFmtId="3" fontId="35" fillId="0" borderId="0" applyFill="0" applyBorder="0" applyAlignment="0" applyProtection="0"/>
    <xf numFmtId="0" fontId="36" fillId="0" borderId="0"/>
    <xf numFmtId="42" fontId="27" fillId="2" borderId="0"/>
    <xf numFmtId="42" fontId="37" fillId="5" borderId="4">
      <alignment vertical="center"/>
    </xf>
    <xf numFmtId="0" fontId="38" fillId="2" borderId="2" applyNumberFormat="0">
      <alignment horizontal="center" vertical="center" wrapText="1"/>
    </xf>
    <xf numFmtId="10" fontId="27" fillId="2" borderId="0"/>
    <xf numFmtId="168" fontId="27" fillId="2" borderId="0"/>
    <xf numFmtId="42" fontId="39" fillId="2" borderId="1">
      <alignment horizontal="left"/>
    </xf>
    <xf numFmtId="168" fontId="39" fillId="2" borderId="1">
      <alignment horizontal="left"/>
    </xf>
    <xf numFmtId="41" fontId="37" fillId="2" borderId="0">
      <alignment horizontal="left"/>
    </xf>
    <xf numFmtId="169" fontId="40" fillId="2" borderId="0">
      <alignment horizontal="left" vertical="center"/>
    </xf>
    <xf numFmtId="0" fontId="38" fillId="2" borderId="0">
      <alignment horizontal="left" wrapText="1"/>
    </xf>
    <xf numFmtId="0" fontId="41" fillId="0" borderId="0">
      <alignment horizontal="left" vertical="center"/>
    </xf>
    <xf numFmtId="0" fontId="30" fillId="0" borderId="5"/>
    <xf numFmtId="0" fontId="42" fillId="2" borderId="0"/>
    <xf numFmtId="4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0" fontId="42" fillId="0" borderId="3"/>
    <xf numFmtId="41" fontId="42" fillId="2" borderId="0"/>
    <xf numFmtId="168" fontId="42" fillId="2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0" fontId="45" fillId="0" borderId="0"/>
    <xf numFmtId="0" fontId="23" fillId="0" borderId="0"/>
    <xf numFmtId="9" fontId="23" fillId="0" borderId="0" applyFont="0" applyFill="0" applyBorder="0" applyAlignment="0" applyProtection="0"/>
    <xf numFmtId="0" fontId="46" fillId="0" borderId="0"/>
    <xf numFmtId="171" fontId="47" fillId="0" borderId="2"/>
    <xf numFmtId="0" fontId="28" fillId="0" borderId="0"/>
    <xf numFmtId="171" fontId="47" fillId="0" borderId="2"/>
    <xf numFmtId="171" fontId="47" fillId="0" borderId="7"/>
    <xf numFmtId="0" fontId="48" fillId="0" borderId="0"/>
    <xf numFmtId="0" fontId="27" fillId="0" borderId="0"/>
    <xf numFmtId="43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50" fillId="0" borderId="0"/>
    <xf numFmtId="43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1" fillId="0" borderId="0"/>
    <xf numFmtId="43" fontId="27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47" fillId="0" borderId="8"/>
    <xf numFmtId="171" fontId="47" fillId="0" borderId="6"/>
    <xf numFmtId="171" fontId="47" fillId="0" borderId="6"/>
    <xf numFmtId="171" fontId="47" fillId="0" borderId="7"/>
    <xf numFmtId="171" fontId="47" fillId="0" borderId="8"/>
    <xf numFmtId="171" fontId="47" fillId="0" borderId="9"/>
    <xf numFmtId="171" fontId="47" fillId="0" borderId="9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1" fontId="27" fillId="3" borderId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0" fillId="0" borderId="0"/>
    <xf numFmtId="3" fontId="28" fillId="0" borderId="0" applyFill="0" applyBorder="0" applyAlignment="0" applyProtection="0"/>
    <xf numFmtId="0" fontId="30" fillId="0" borderId="0"/>
    <xf numFmtId="0" fontId="52" fillId="0" borderId="0">
      <alignment horizontal="centerContinuous"/>
    </xf>
    <xf numFmtId="0" fontId="30" fillId="0" borderId="0"/>
    <xf numFmtId="0" fontId="30" fillId="0" borderId="0"/>
    <xf numFmtId="44" fontId="27" fillId="0" borderId="0" applyFont="0" applyFill="0" applyBorder="0" applyAlignment="0" applyProtection="0"/>
    <xf numFmtId="5" fontId="28" fillId="0" borderId="0" applyFill="0" applyBorder="0" applyAlignment="0" applyProtection="0"/>
    <xf numFmtId="167" fontId="28" fillId="0" borderId="0" applyFill="0" applyBorder="0" applyAlignment="0" applyProtection="0"/>
    <xf numFmtId="2" fontId="28" fillId="0" borderId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41" fontId="32" fillId="4" borderId="3">
      <alignment horizontal="left"/>
      <protection locked="0"/>
    </xf>
    <xf numFmtId="10" fontId="32" fillId="4" borderId="3">
      <alignment horizontal="right"/>
      <protection locked="0"/>
    </xf>
    <xf numFmtId="0" fontId="27" fillId="0" borderId="0"/>
    <xf numFmtId="0" fontId="27" fillId="0" borderId="0"/>
    <xf numFmtId="0" fontId="21" fillId="0" borderId="0"/>
    <xf numFmtId="0" fontId="27" fillId="2" borderId="0"/>
    <xf numFmtId="0" fontId="27" fillId="2" borderId="0"/>
    <xf numFmtId="0" fontId="27" fillId="0" borderId="0"/>
    <xf numFmtId="0" fontId="27" fillId="0" borderId="0"/>
    <xf numFmtId="0" fontId="28" fillId="0" borderId="0"/>
    <xf numFmtId="4" fontId="54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30" fillId="0" borderId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7" fillId="6" borderId="3"/>
    <xf numFmtId="0" fontId="30" fillId="0" borderId="0"/>
    <xf numFmtId="0" fontId="36" fillId="0" borderId="0"/>
    <xf numFmtId="42" fontId="27" fillId="2" borderId="0"/>
    <xf numFmtId="42" fontId="37" fillId="5" borderId="4">
      <alignment vertical="center"/>
    </xf>
    <xf numFmtId="42" fontId="39" fillId="2" borderId="1">
      <alignment horizontal="left"/>
    </xf>
    <xf numFmtId="0" fontId="27" fillId="0" borderId="0" applyNumberFormat="0" applyBorder="0" applyAlignment="0"/>
    <xf numFmtId="0" fontId="27" fillId="0" borderId="0" applyNumberFormat="0" applyBorder="0" applyAlignment="0"/>
    <xf numFmtId="41" fontId="38" fillId="2" borderId="0">
      <alignment horizontal="left"/>
    </xf>
    <xf numFmtId="0" fontId="30" fillId="0" borderId="5"/>
    <xf numFmtId="0" fontId="20" fillId="0" borderId="0"/>
    <xf numFmtId="0" fontId="55" fillId="0" borderId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0" fontId="27" fillId="0" borderId="0"/>
    <xf numFmtId="0" fontId="15" fillId="0" borderId="0"/>
    <xf numFmtId="43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3" fillId="10" borderId="0" applyNumberFormat="0" applyBorder="0" applyAlignment="0" applyProtection="0"/>
    <xf numFmtId="0" fontId="13" fillId="0" borderId="0"/>
    <xf numFmtId="0" fontId="58" fillId="0" borderId="0" applyNumberFormat="0" applyFill="0" applyBorder="0" applyAlignment="0" applyProtection="0"/>
    <xf numFmtId="0" fontId="59" fillId="0" borderId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0" fillId="0" borderId="0"/>
    <xf numFmtId="44" fontId="5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690">
    <xf numFmtId="0" fontId="0" fillId="0" borderId="0" xfId="0"/>
    <xf numFmtId="164" fontId="0" fillId="0" borderId="0" xfId="1" applyNumberFormat="1" applyFont="1" applyFill="1"/>
    <xf numFmtId="0" fontId="43" fillId="0" borderId="0" xfId="0" applyFont="1"/>
    <xf numFmtId="0" fontId="58" fillId="0" borderId="0" xfId="153"/>
    <xf numFmtId="164" fontId="0" fillId="0" borderId="0" xfId="1" applyNumberFormat="1" applyFont="1"/>
    <xf numFmtId="164" fontId="26" fillId="0" borderId="0" xfId="1" applyNumberFormat="1" applyFont="1" applyFill="1" applyBorder="1"/>
    <xf numFmtId="164" fontId="24" fillId="0" borderId="0" xfId="1" applyNumberFormat="1" applyFont="1" applyFill="1" applyBorder="1"/>
    <xf numFmtId="0" fontId="43" fillId="0" borderId="0" xfId="0" applyFont="1" applyBorder="1"/>
    <xf numFmtId="0" fontId="43" fillId="0" borderId="0" xfId="0" applyFont="1" applyAlignment="1">
      <alignment wrapText="1"/>
    </xf>
    <xf numFmtId="164" fontId="24" fillId="0" borderId="0" xfId="1" applyNumberFormat="1" applyFont="1"/>
    <xf numFmtId="10" fontId="24" fillId="0" borderId="0" xfId="170" applyNumberFormat="1" applyFont="1" applyFill="1" applyBorder="1"/>
    <xf numFmtId="0" fontId="24" fillId="0" borderId="0" xfId="0" applyFont="1" applyFill="1" applyBorder="1"/>
    <xf numFmtId="0" fontId="24" fillId="0" borderId="0" xfId="0" applyFont="1" applyBorder="1"/>
    <xf numFmtId="0" fontId="24" fillId="0" borderId="0" xfId="0" applyFont="1" applyFill="1" applyBorder="1" applyAlignment="1"/>
    <xf numFmtId="164" fontId="24" fillId="0" borderId="0" xfId="1" applyNumberFormat="1" applyFont="1" applyBorder="1"/>
    <xf numFmtId="0" fontId="43" fillId="18" borderId="0" xfId="0" applyFont="1" applyFill="1" applyAlignment="1">
      <alignment horizontal="center" vertical="center" wrapText="1"/>
    </xf>
    <xf numFmtId="0" fontId="43" fillId="23" borderId="0" xfId="0" applyFont="1" applyFill="1" applyAlignment="1">
      <alignment horizontal="center" vertical="center" wrapText="1"/>
    </xf>
    <xf numFmtId="0" fontId="43" fillId="22" borderId="0" xfId="0" applyFont="1" applyFill="1" applyAlignment="1">
      <alignment horizontal="center" vertical="center" wrapText="1"/>
    </xf>
    <xf numFmtId="0" fontId="43" fillId="21" borderId="0" xfId="0" applyFont="1" applyFill="1" applyAlignment="1">
      <alignment horizontal="center" vertical="center" wrapText="1"/>
    </xf>
    <xf numFmtId="0" fontId="43" fillId="21" borderId="0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Fill="1" applyAlignment="1">
      <alignment horizontal="center" vertical="center"/>
    </xf>
    <xf numFmtId="164" fontId="43" fillId="23" borderId="0" xfId="1" applyNumberFormat="1" applyFont="1" applyFill="1" applyAlignment="1">
      <alignment horizontal="center" vertical="center" wrapText="1"/>
    </xf>
    <xf numFmtId="0" fontId="43" fillId="24" borderId="0" xfId="0" applyFont="1" applyFill="1" applyBorder="1" applyAlignment="1">
      <alignment horizontal="center" vertical="center" wrapText="1"/>
    </xf>
    <xf numFmtId="164" fontId="43" fillId="0" borderId="26" xfId="0" applyNumberFormat="1" applyFont="1" applyFill="1" applyBorder="1"/>
    <xf numFmtId="0" fontId="62" fillId="0" borderId="0" xfId="0" applyFont="1"/>
    <xf numFmtId="0" fontId="62" fillId="0" borderId="0" xfId="0" applyFont="1" applyAlignment="1"/>
    <xf numFmtId="0" fontId="62" fillId="0" borderId="0" xfId="0" applyFont="1" applyFill="1"/>
    <xf numFmtId="164" fontId="62" fillId="0" borderId="0" xfId="1" applyNumberFormat="1" applyFont="1" applyFill="1"/>
    <xf numFmtId="0" fontId="62" fillId="0" borderId="0" xfId="0" applyFont="1" applyFill="1" applyBorder="1"/>
    <xf numFmtId="164" fontId="63" fillId="0" borderId="0" xfId="0" applyNumberFormat="1" applyFont="1"/>
    <xf numFmtId="0" fontId="24" fillId="0" borderId="18" xfId="168" applyFont="1" applyFill="1" applyBorder="1"/>
    <xf numFmtId="10" fontId="24" fillId="0" borderId="18" xfId="170" applyNumberFormat="1" applyFont="1" applyFill="1" applyBorder="1"/>
    <xf numFmtId="0" fontId="43" fillId="15" borderId="18" xfId="168" applyFont="1" applyFill="1" applyBorder="1" applyAlignment="1">
      <alignment horizontal="center"/>
    </xf>
    <xf numFmtId="10" fontId="24" fillId="0" borderId="18" xfId="3" applyNumberFormat="1" applyFont="1" applyFill="1" applyBorder="1"/>
    <xf numFmtId="0" fontId="24" fillId="0" borderId="18" xfId="0" applyFont="1" applyFill="1" applyBorder="1"/>
    <xf numFmtId="164" fontId="43" fillId="15" borderId="18" xfId="1" applyNumberFormat="1" applyFont="1" applyFill="1" applyBorder="1" applyAlignment="1">
      <alignment horizontal="center"/>
    </xf>
    <xf numFmtId="164" fontId="24" fillId="0" borderId="18" xfId="1" applyNumberFormat="1" applyFont="1" applyFill="1" applyBorder="1"/>
    <xf numFmtId="0" fontId="24" fillId="0" borderId="18" xfId="0" applyFont="1" applyBorder="1"/>
    <xf numFmtId="164" fontId="24" fillId="0" borderId="18" xfId="1" applyNumberFormat="1" applyFont="1" applyBorder="1"/>
    <xf numFmtId="0" fontId="60" fillId="8" borderId="0" xfId="0" applyFont="1" applyFill="1" applyAlignment="1">
      <alignment horizontal="center" vertical="center" wrapText="1"/>
    </xf>
    <xf numFmtId="0" fontId="43" fillId="15" borderId="0" xfId="0" applyFont="1" applyFill="1" applyAlignment="1">
      <alignment horizontal="center" vertical="center" wrapText="1"/>
    </xf>
    <xf numFmtId="0" fontId="64" fillId="0" borderId="0" xfId="0" applyFont="1" applyAlignment="1"/>
    <xf numFmtId="164" fontId="64" fillId="0" borderId="0" xfId="1" applyNumberFormat="1" applyFont="1" applyFill="1"/>
    <xf numFmtId="0" fontId="64" fillId="0" borderId="0" xfId="0" applyFont="1"/>
    <xf numFmtId="0" fontId="64" fillId="0" borderId="0" xfId="0" applyFont="1" applyFill="1"/>
    <xf numFmtId="164" fontId="64" fillId="0" borderId="0" xfId="1" applyNumberFormat="1" applyFont="1"/>
    <xf numFmtId="0" fontId="65" fillId="0" borderId="0" xfId="0" applyFont="1"/>
    <xf numFmtId="0" fontId="66" fillId="0" borderId="0" xfId="153" applyFont="1"/>
    <xf numFmtId="0" fontId="66" fillId="0" borderId="0" xfId="153" applyFont="1" applyFill="1" applyBorder="1"/>
    <xf numFmtId="164" fontId="43" fillId="25" borderId="18" xfId="1" applyNumberFormat="1" applyFont="1" applyFill="1" applyBorder="1" applyAlignment="1">
      <alignment horizontal="center"/>
    </xf>
    <xf numFmtId="164" fontId="43" fillId="15" borderId="16" xfId="1" applyNumberFormat="1" applyFont="1" applyFill="1" applyBorder="1" applyAlignment="1">
      <alignment horizontal="center"/>
    </xf>
    <xf numFmtId="0" fontId="26" fillId="0" borderId="0" xfId="0" applyFont="1"/>
    <xf numFmtId="0" fontId="26" fillId="0" borderId="0" xfId="0" applyFont="1" applyAlignment="1"/>
    <xf numFmtId="0" fontId="26" fillId="0" borderId="0" xfId="0" applyFont="1" applyFill="1"/>
    <xf numFmtId="164" fontId="26" fillId="0" borderId="0" xfId="1" applyNumberFormat="1" applyFont="1" applyFill="1"/>
    <xf numFmtId="10" fontId="26" fillId="0" borderId="0" xfId="3" applyNumberFormat="1" applyFont="1" applyFill="1"/>
    <xf numFmtId="44" fontId="26" fillId="0" borderId="0" xfId="0" applyNumberFormat="1" applyFont="1" applyFill="1"/>
    <xf numFmtId="0" fontId="26" fillId="0" borderId="0" xfId="0" applyFont="1" applyFill="1" applyAlignment="1"/>
    <xf numFmtId="0" fontId="26" fillId="0" borderId="0" xfId="0" applyFont="1" applyFill="1" applyBorder="1"/>
    <xf numFmtId="0" fontId="26" fillId="0" borderId="0" xfId="0" applyFont="1" applyBorder="1"/>
    <xf numFmtId="0" fontId="26" fillId="0" borderId="0" xfId="0" applyFont="1" applyBorder="1" applyAlignment="1"/>
    <xf numFmtId="0" fontId="67" fillId="24" borderId="0" xfId="0" applyFont="1" applyFill="1" applyBorder="1" applyAlignment="1">
      <alignment horizontal="center" vertical="center" wrapText="1"/>
    </xf>
    <xf numFmtId="164" fontId="25" fillId="0" borderId="0" xfId="1" applyNumberFormat="1" applyFont="1" applyFill="1"/>
    <xf numFmtId="0" fontId="25" fillId="0" borderId="0" xfId="0" applyFont="1"/>
    <xf numFmtId="164" fontId="25" fillId="0" borderId="0" xfId="1" applyNumberFormat="1" applyFont="1"/>
    <xf numFmtId="0" fontId="43" fillId="25" borderId="16" xfId="1" applyNumberFormat="1" applyFont="1" applyFill="1" applyBorder="1" applyAlignment="1">
      <alignment horizontal="center" vertical="center" wrapText="1"/>
    </xf>
    <xf numFmtId="0" fontId="43" fillId="15" borderId="18" xfId="168" applyFont="1" applyFill="1" applyBorder="1" applyAlignment="1">
      <alignment horizontal="center" vertical="center"/>
    </xf>
    <xf numFmtId="0" fontId="43" fillId="15" borderId="16" xfId="1" applyNumberFormat="1" applyFont="1" applyFill="1" applyBorder="1" applyAlignment="1">
      <alignment horizontal="center" vertical="center" wrapText="1"/>
    </xf>
    <xf numFmtId="0" fontId="60" fillId="0" borderId="0" xfId="23" applyFont="1"/>
    <xf numFmtId="0" fontId="24" fillId="0" borderId="0" xfId="0" applyFont="1"/>
    <xf numFmtId="0" fontId="24" fillId="0" borderId="0" xfId="0" applyFont="1" applyAlignment="1"/>
    <xf numFmtId="0" fontId="24" fillId="0" borderId="0" xfId="0" applyFont="1" applyBorder="1" applyAlignment="1"/>
    <xf numFmtId="0" fontId="24" fillId="0" borderId="0" xfId="0" applyFont="1" applyFill="1"/>
    <xf numFmtId="0" fontId="24" fillId="0" borderId="18" xfId="0" applyFont="1" applyFill="1" applyBorder="1" applyAlignment="1"/>
    <xf numFmtId="164" fontId="62" fillId="0" borderId="0" xfId="0" applyNumberFormat="1" applyFont="1" applyFill="1"/>
    <xf numFmtId="164" fontId="62" fillId="0" borderId="0" xfId="1" applyNumberFormat="1" applyFont="1"/>
    <xf numFmtId="0" fontId="63" fillId="0" borderId="0" xfId="0" applyFont="1"/>
    <xf numFmtId="0" fontId="71" fillId="0" borderId="0" xfId="153" applyFont="1" applyFill="1" applyBorder="1"/>
    <xf numFmtId="164" fontId="24" fillId="0" borderId="0" xfId="169" applyNumberFormat="1" applyFont="1"/>
    <xf numFmtId="9" fontId="24" fillId="0" borderId="0" xfId="170" applyFont="1"/>
    <xf numFmtId="0" fontId="24" fillId="0" borderId="0" xfId="168" applyFont="1"/>
    <xf numFmtId="43" fontId="24" fillId="0" borderId="0" xfId="168" applyNumberFormat="1" applyFont="1"/>
    <xf numFmtId="0" fontId="43" fillId="15" borderId="0" xfId="168" applyFont="1" applyFill="1"/>
    <xf numFmtId="0" fontId="43" fillId="18" borderId="0" xfId="168" applyFont="1" applyFill="1"/>
    <xf numFmtId="0" fontId="43" fillId="19" borderId="0" xfId="168" applyFont="1" applyFill="1"/>
    <xf numFmtId="0" fontId="43" fillId="17" borderId="18" xfId="168" applyFont="1" applyFill="1" applyBorder="1" applyAlignment="1">
      <alignment horizontal="center" vertical="center"/>
    </xf>
    <xf numFmtId="0" fontId="43" fillId="17" borderId="18" xfId="168" applyFont="1" applyFill="1" applyBorder="1" applyAlignment="1">
      <alignment horizontal="center"/>
    </xf>
    <xf numFmtId="0" fontId="43" fillId="19" borderId="11" xfId="168" applyFont="1" applyFill="1" applyBorder="1"/>
    <xf numFmtId="0" fontId="43" fillId="0" borderId="0" xfId="0" applyFont="1" applyFill="1" applyBorder="1"/>
    <xf numFmtId="0" fontId="72" fillId="0" borderId="0" xfId="154" applyFont="1"/>
    <xf numFmtId="0" fontId="58" fillId="0" borderId="0" xfId="153" applyFont="1"/>
    <xf numFmtId="0" fontId="24" fillId="0" borderId="0" xfId="0" applyFont="1" applyFill="1" applyAlignment="1"/>
    <xf numFmtId="164" fontId="24" fillId="0" borderId="0" xfId="1" applyNumberFormat="1" applyFont="1" applyFill="1"/>
    <xf numFmtId="44" fontId="24" fillId="0" borderId="0" xfId="2" applyFont="1"/>
    <xf numFmtId="0" fontId="24" fillId="0" borderId="0" xfId="0" applyFont="1" applyAlignment="1">
      <alignment horizontal="center"/>
    </xf>
    <xf numFmtId="164" fontId="24" fillId="0" borderId="0" xfId="0" applyNumberFormat="1" applyFont="1" applyFill="1"/>
    <xf numFmtId="0" fontId="73" fillId="11" borderId="0" xfId="154" applyFont="1" applyFill="1" applyAlignment="1">
      <alignment horizontal="left"/>
    </xf>
    <xf numFmtId="49" fontId="73" fillId="11" borderId="0" xfId="154" applyNumberFormat="1" applyFont="1" applyFill="1" applyAlignment="1">
      <alignment horizontal="left"/>
    </xf>
    <xf numFmtId="1" fontId="74" fillId="12" borderId="19" xfId="154" applyNumberFormat="1" applyFont="1" applyFill="1" applyBorder="1" applyAlignment="1">
      <alignment horizontal="right"/>
    </xf>
    <xf numFmtId="49" fontId="75" fillId="12" borderId="20" xfId="154" applyNumberFormat="1" applyFont="1" applyFill="1" applyBorder="1" applyAlignment="1">
      <alignment horizontal="left"/>
    </xf>
    <xf numFmtId="49" fontId="74" fillId="12" borderId="21" xfId="154" applyNumberFormat="1" applyFont="1" applyFill="1" applyBorder="1" applyAlignment="1">
      <alignment horizontal="left"/>
    </xf>
    <xf numFmtId="44" fontId="73" fillId="13" borderId="22" xfId="176" applyFont="1" applyFill="1" applyBorder="1" applyAlignment="1">
      <alignment horizontal="right"/>
    </xf>
    <xf numFmtId="44" fontId="75" fillId="11" borderId="23" xfId="176" applyFont="1" applyFill="1" applyBorder="1" applyAlignment="1">
      <alignment horizontal="right"/>
    </xf>
    <xf numFmtId="44" fontId="73" fillId="14" borderId="22" xfId="176" applyFont="1" applyFill="1" applyBorder="1" applyAlignment="1">
      <alignment horizontal="right"/>
    </xf>
    <xf numFmtId="44" fontId="73" fillId="11" borderId="22" xfId="176" applyFont="1" applyFill="1" applyBorder="1" applyAlignment="1">
      <alignment horizontal="right"/>
    </xf>
    <xf numFmtId="49" fontId="75" fillId="12" borderId="24" xfId="154" applyNumberFormat="1" applyFont="1" applyFill="1" applyBorder="1" applyAlignment="1">
      <alignment horizontal="left"/>
    </xf>
    <xf numFmtId="0" fontId="24" fillId="0" borderId="0" xfId="152" applyFont="1"/>
    <xf numFmtId="2" fontId="24" fillId="0" borderId="0" xfId="152" applyNumberFormat="1" applyFont="1"/>
    <xf numFmtId="174" fontId="24" fillId="0" borderId="0" xfId="152" applyNumberFormat="1" applyFont="1"/>
    <xf numFmtId="0" fontId="24" fillId="10" borderId="0" xfId="151" applyFont="1" applyBorder="1"/>
    <xf numFmtId="2" fontId="24" fillId="10" borderId="0" xfId="151" applyNumberFormat="1" applyFont="1" applyBorder="1"/>
    <xf numFmtId="174" fontId="24" fillId="10" borderId="0" xfId="151" applyNumberFormat="1" applyFont="1" applyBorder="1"/>
    <xf numFmtId="0" fontId="24" fillId="10" borderId="15" xfId="151" applyFont="1" applyBorder="1"/>
    <xf numFmtId="2" fontId="24" fillId="10" borderId="15" xfId="151" applyNumberFormat="1" applyFont="1" applyBorder="1"/>
    <xf numFmtId="174" fontId="24" fillId="10" borderId="15" xfId="151" applyNumberFormat="1" applyFont="1" applyBorder="1"/>
    <xf numFmtId="165" fontId="26" fillId="0" borderId="0" xfId="75" applyNumberFormat="1" applyFont="1" applyFill="1"/>
    <xf numFmtId="37" fontId="26" fillId="0" borderId="0" xfId="76" applyNumberFormat="1" applyFont="1" applyFill="1" applyBorder="1" applyAlignment="1">
      <alignment horizontal="left" indent="3"/>
    </xf>
    <xf numFmtId="37" fontId="26" fillId="0" borderId="15" xfId="76" applyNumberFormat="1" applyFont="1" applyFill="1" applyBorder="1" applyAlignment="1">
      <alignment horizontal="left" indent="3"/>
    </xf>
    <xf numFmtId="0" fontId="24" fillId="0" borderId="0" xfId="164" applyFont="1"/>
    <xf numFmtId="0" fontId="26" fillId="0" borderId="0" xfId="146" applyFont="1" applyFill="1"/>
    <xf numFmtId="0" fontId="24" fillId="0" borderId="0" xfId="164" applyFont="1" applyFill="1"/>
    <xf numFmtId="164" fontId="26" fillId="0" borderId="0" xfId="165" applyNumberFormat="1" applyFont="1" applyFill="1" applyProtection="1">
      <protection locked="0"/>
    </xf>
    <xf numFmtId="37" fontId="26" fillId="0" borderId="0" xfId="165" applyNumberFormat="1" applyFont="1" applyFill="1" applyBorder="1" applyAlignment="1">
      <alignment horizontal="left" indent="3"/>
    </xf>
    <xf numFmtId="37" fontId="26" fillId="0" borderId="15" xfId="165" applyNumberFormat="1" applyFont="1" applyFill="1" applyBorder="1" applyAlignment="1">
      <alignment horizontal="left" indent="3"/>
    </xf>
    <xf numFmtId="0" fontId="62" fillId="0" borderId="0" xfId="146" applyFont="1" applyFill="1"/>
    <xf numFmtId="37" fontId="26" fillId="0" borderId="0" xfId="6" applyNumberFormat="1" applyFont="1" applyFill="1" applyBorder="1" applyAlignment="1">
      <alignment horizontal="left" indent="3"/>
    </xf>
    <xf numFmtId="37" fontId="26" fillId="0" borderId="15" xfId="6" applyNumberFormat="1" applyFont="1" applyFill="1" applyBorder="1" applyAlignment="1">
      <alignment horizontal="left" indent="3"/>
    </xf>
    <xf numFmtId="0" fontId="24" fillId="0" borderId="0" xfId="145" applyFont="1"/>
    <xf numFmtId="0" fontId="43" fillId="20" borderId="0" xfId="168" applyFont="1" applyFill="1"/>
    <xf numFmtId="14" fontId="24" fillId="0" borderId="0" xfId="168" applyNumberFormat="1" applyFont="1"/>
    <xf numFmtId="176" fontId="24" fillId="0" borderId="0" xfId="168" applyNumberFormat="1" applyFont="1"/>
    <xf numFmtId="1" fontId="24" fillId="0" borderId="0" xfId="168" applyNumberFormat="1" applyFont="1"/>
    <xf numFmtId="2" fontId="24" fillId="0" borderId="0" xfId="168" applyNumberFormat="1" applyFont="1"/>
    <xf numFmtId="0" fontId="0" fillId="0" borderId="0" xfId="0" quotePrefix="1" applyFont="1" applyBorder="1"/>
    <xf numFmtId="0" fontId="24" fillId="0" borderId="0" xfId="0" applyFont="1" applyAlignment="1">
      <alignment horizontal="center" vertical="center"/>
    </xf>
    <xf numFmtId="9" fontId="0" fillId="0" borderId="0" xfId="3" applyFont="1"/>
    <xf numFmtId="164" fontId="43" fillId="0" borderId="0" xfId="1" applyNumberFormat="1" applyFont="1" applyBorder="1"/>
    <xf numFmtId="0" fontId="43" fillId="17" borderId="16" xfId="0" applyFont="1" applyFill="1" applyBorder="1"/>
    <xf numFmtId="0" fontId="43" fillId="17" borderId="17" xfId="0" applyFont="1" applyFill="1" applyBorder="1"/>
    <xf numFmtId="0" fontId="0" fillId="0" borderId="0" xfId="0" quotePrefix="1" applyNumberFormat="1" applyAlignment="1">
      <alignment horizontal="center"/>
    </xf>
    <xf numFmtId="0" fontId="58" fillId="0" borderId="0" xfId="153" applyAlignment="1">
      <alignment horizontal="left" indent="1"/>
    </xf>
    <xf numFmtId="0" fontId="26" fillId="0" borderId="0" xfId="0" applyFont="1" applyAlignment="1">
      <alignment horizontal="center"/>
    </xf>
    <xf numFmtId="0" fontId="24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44" fontId="26" fillId="0" borderId="0" xfId="2" applyFont="1"/>
    <xf numFmtId="44" fontId="60" fillId="8" borderId="0" xfId="2" applyFont="1" applyFill="1" applyAlignment="1">
      <alignment horizontal="center" vertical="center" wrapText="1"/>
    </xf>
    <xf numFmtId="44" fontId="24" fillId="0" borderId="0" xfId="2" applyFont="1" applyFill="1"/>
    <xf numFmtId="44" fontId="62" fillId="0" borderId="0" xfId="2" applyFont="1"/>
    <xf numFmtId="44" fontId="64" fillId="0" borderId="0" xfId="2" applyFont="1"/>
    <xf numFmtId="165" fontId="26" fillId="0" borderId="0" xfId="2" applyNumberFormat="1" applyFont="1" applyFill="1"/>
    <xf numFmtId="0" fontId="43" fillId="7" borderId="0" xfId="168" applyFont="1" applyFill="1"/>
    <xf numFmtId="0" fontId="24" fillId="0" borderId="0" xfId="168" applyFont="1" applyFill="1"/>
    <xf numFmtId="164" fontId="24" fillId="0" borderId="0" xfId="169" applyNumberFormat="1" applyFont="1" applyFill="1"/>
    <xf numFmtId="0" fontId="24" fillId="0" borderId="11" xfId="168" applyFont="1" applyFill="1" applyBorder="1"/>
    <xf numFmtId="164" fontId="24" fillId="0" borderId="11" xfId="169" applyNumberFormat="1" applyFont="1" applyFill="1" applyBorder="1"/>
    <xf numFmtId="43" fontId="26" fillId="0" borderId="0" xfId="76" applyFont="1" applyFill="1" applyAlignment="1">
      <alignment horizontal="left" indent="2"/>
    </xf>
    <xf numFmtId="165" fontId="26" fillId="0" borderId="0" xfId="75" applyNumberFormat="1" applyFont="1" applyFill="1" applyBorder="1"/>
    <xf numFmtId="165" fontId="26" fillId="0" borderId="0" xfId="75" applyNumberFormat="1" applyFont="1" applyFill="1" applyBorder="1" applyAlignment="1">
      <alignment vertical="center"/>
    </xf>
    <xf numFmtId="165" fontId="60" fillId="0" borderId="0" xfId="75" applyNumberFormat="1" applyFont="1" applyFill="1"/>
    <xf numFmtId="165" fontId="26" fillId="0" borderId="0" xfId="75" applyNumberFormat="1" applyFont="1" applyFill="1" applyBorder="1" applyProtection="1">
      <protection locked="0"/>
    </xf>
    <xf numFmtId="165" fontId="82" fillId="0" borderId="0" xfId="75" applyNumberFormat="1" applyFont="1" applyFill="1" applyBorder="1" applyProtection="1">
      <protection locked="0"/>
    </xf>
    <xf numFmtId="0" fontId="76" fillId="0" borderId="0" xfId="146" applyFont="1" applyFill="1"/>
    <xf numFmtId="0" fontId="76" fillId="0" borderId="0" xfId="146" applyFont="1" applyFill="1" applyProtection="1">
      <protection locked="0"/>
    </xf>
    <xf numFmtId="44" fontId="0" fillId="0" borderId="0" xfId="0" applyNumberFormat="1"/>
    <xf numFmtId="44" fontId="0" fillId="0" borderId="0" xfId="2" applyFont="1"/>
    <xf numFmtId="44" fontId="88" fillId="13" borderId="22" xfId="2" applyFont="1" applyFill="1" applyBorder="1" applyAlignment="1">
      <alignment horizontal="right"/>
    </xf>
    <xf numFmtId="0" fontId="0" fillId="0" borderId="0" xfId="0" pivotButton="1"/>
    <xf numFmtId="164" fontId="24" fillId="0" borderId="0" xfId="0" applyNumberFormat="1" applyFont="1" applyFill="1" applyBorder="1"/>
    <xf numFmtId="0" fontId="62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0" fontId="26" fillId="0" borderId="0" xfId="0" applyFont="1" applyFill="1" applyAlignment="1">
      <alignment horizontal="center"/>
    </xf>
    <xf numFmtId="0" fontId="87" fillId="0" borderId="0" xfId="0" applyFont="1"/>
    <xf numFmtId="0" fontId="26" fillId="0" borderId="0" xfId="0" applyFont="1" applyFill="1" applyBorder="1" applyAlignment="1">
      <alignment horizontal="center"/>
    </xf>
    <xf numFmtId="164" fontId="67" fillId="23" borderId="0" xfId="1" applyNumberFormat="1" applyFont="1" applyFill="1" applyAlignment="1">
      <alignment horizontal="center" vertical="center" wrapText="1"/>
    </xf>
    <xf numFmtId="164" fontId="25" fillId="0" borderId="0" xfId="0" applyNumberFormat="1" applyFont="1" applyFill="1"/>
    <xf numFmtId="0" fontId="43" fillId="9" borderId="0" xfId="0" applyFont="1" applyFill="1" applyBorder="1" applyAlignment="1">
      <alignment horizontal="center" wrapText="1"/>
    </xf>
    <xf numFmtId="0" fontId="43" fillId="9" borderId="0" xfId="0" applyFont="1" applyFill="1" applyBorder="1" applyAlignment="1">
      <alignment wrapText="1"/>
    </xf>
    <xf numFmtId="0" fontId="0" fillId="0" borderId="0" xfId="0" applyFont="1" applyFill="1" applyBorder="1" applyAlignment="1"/>
    <xf numFmtId="0" fontId="24" fillId="0" borderId="0" xfId="152" applyFont="1" applyFill="1"/>
    <xf numFmtId="0" fontId="43" fillId="9" borderId="0" xfId="0" applyFont="1" applyFill="1" applyBorder="1" applyAlignment="1">
      <alignment horizontal="center" vertical="center" wrapText="1"/>
    </xf>
    <xf numFmtId="0" fontId="24" fillId="0" borderId="0" xfId="0" quotePrefix="1" applyFont="1" applyAlignment="1">
      <alignment horizontal="center" vertical="center"/>
    </xf>
    <xf numFmtId="0" fontId="43" fillId="9" borderId="0" xfId="0" applyFont="1" applyFill="1" applyBorder="1" applyAlignment="1">
      <alignment horizontal="left" vertical="center" wrapText="1"/>
    </xf>
    <xf numFmtId="0" fontId="24" fillId="0" borderId="0" xfId="0" quotePrefix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60" fillId="0" borderId="0" xfId="0" applyFont="1" applyFill="1"/>
    <xf numFmtId="164" fontId="43" fillId="0" borderId="0" xfId="0" applyNumberFormat="1" applyFont="1" applyFill="1" applyBorder="1"/>
    <xf numFmtId="164" fontId="64" fillId="0" borderId="26" xfId="0" applyNumberFormat="1" applyFont="1" applyFill="1" applyBorder="1" applyAlignment="1">
      <alignment horizontal="center"/>
    </xf>
    <xf numFmtId="44" fontId="24" fillId="0" borderId="0" xfId="2" applyNumberFormat="1" applyFont="1"/>
    <xf numFmtId="164" fontId="89" fillId="0" borderId="0" xfId="1" applyNumberFormat="1" applyFont="1" applyFill="1"/>
    <xf numFmtId="0" fontId="89" fillId="0" borderId="0" xfId="0" applyFont="1" applyFill="1"/>
    <xf numFmtId="0" fontId="43" fillId="15" borderId="0" xfId="0" applyFont="1" applyFill="1"/>
    <xf numFmtId="44" fontId="43" fillId="15" borderId="0" xfId="2" applyNumberFormat="1" applyFont="1" applyFill="1"/>
    <xf numFmtId="0" fontId="43" fillId="0" borderId="0" xfId="0" applyFont="1" applyFill="1"/>
    <xf numFmtId="164" fontId="43" fillId="15" borderId="0" xfId="1" applyNumberFormat="1" applyFont="1" applyFill="1"/>
    <xf numFmtId="0" fontId="43" fillId="15" borderId="0" xfId="2" applyNumberFormat="1" applyFont="1" applyFill="1"/>
    <xf numFmtId="164" fontId="0" fillId="0" borderId="0" xfId="0" applyNumberFormat="1"/>
    <xf numFmtId="0" fontId="58" fillId="0" borderId="0" xfId="153" applyBorder="1"/>
    <xf numFmtId="164" fontId="90" fillId="0" borderId="0" xfId="0" applyNumberFormat="1" applyFont="1"/>
    <xf numFmtId="0" fontId="43" fillId="15" borderId="14" xfId="0" applyFont="1" applyFill="1" applyBorder="1" applyAlignment="1">
      <alignment horizontal="center" vertical="center"/>
    </xf>
    <xf numFmtId="0" fontId="43" fillId="15" borderId="16" xfId="1" applyNumberFormat="1" applyFont="1" applyFill="1" applyBorder="1" applyAlignment="1">
      <alignment horizontal="center" vertical="center" wrapText="1"/>
    </xf>
    <xf numFmtId="37" fontId="57" fillId="0" borderId="0" xfId="6" applyNumberFormat="1" applyFont="1" applyFill="1" applyBorder="1" applyAlignment="1">
      <alignment horizontal="left" indent="3"/>
    </xf>
    <xf numFmtId="37" fontId="57" fillId="0" borderId="15" xfId="6" applyNumberFormat="1" applyFont="1" applyFill="1" applyBorder="1" applyAlignment="1">
      <alignment horizontal="left" indent="3"/>
    </xf>
    <xf numFmtId="0" fontId="57" fillId="0" borderId="0" xfId="146" applyFont="1" applyFill="1"/>
    <xf numFmtId="0" fontId="91" fillId="0" borderId="13" xfId="146" applyFont="1" applyFill="1" applyBorder="1" applyAlignment="1">
      <alignment horizontal="center"/>
    </xf>
    <xf numFmtId="0" fontId="57" fillId="0" borderId="0" xfId="146" applyFont="1" applyFill="1" applyAlignment="1">
      <alignment horizontal="center"/>
    </xf>
    <xf numFmtId="164" fontId="57" fillId="0" borderId="0" xfId="6" applyNumberFormat="1" applyFont="1" applyFill="1" applyBorder="1" applyAlignment="1"/>
    <xf numFmtId="0" fontId="92" fillId="0" borderId="13" xfId="146" applyFont="1" applyFill="1" applyBorder="1" applyAlignment="1">
      <alignment horizontal="center"/>
    </xf>
    <xf numFmtId="164" fontId="57" fillId="0" borderId="0" xfId="6" applyNumberFormat="1" applyFont="1" applyFill="1" applyBorder="1" applyAlignment="1">
      <alignment horizontal="center"/>
    </xf>
    <xf numFmtId="164" fontId="57" fillId="0" borderId="0" xfId="6" applyNumberFormat="1" applyFont="1" applyFill="1" applyBorder="1"/>
    <xf numFmtId="0" fontId="91" fillId="0" borderId="0" xfId="146" applyFont="1" applyFill="1" applyAlignment="1">
      <alignment horizontal="center"/>
    </xf>
    <xf numFmtId="37" fontId="91" fillId="0" borderId="0" xfId="6" applyNumberFormat="1" applyFont="1" applyFill="1"/>
    <xf numFmtId="43" fontId="57" fillId="0" borderId="0" xfId="6" applyFont="1" applyFill="1" applyAlignment="1">
      <alignment horizontal="left" indent="2"/>
    </xf>
    <xf numFmtId="164" fontId="93" fillId="0" borderId="0" xfId="6" applyNumberFormat="1" applyFont="1" applyFill="1"/>
    <xf numFmtId="164" fontId="57" fillId="0" borderId="0" xfId="146" applyNumberFormat="1" applyFont="1" applyFill="1"/>
    <xf numFmtId="43" fontId="57" fillId="0" borderId="0" xfId="146" applyNumberFormat="1" applyFont="1" applyFill="1"/>
    <xf numFmtId="172" fontId="57" fillId="0" borderId="0" xfId="27" applyNumberFormat="1" applyFont="1" applyFill="1" applyBorder="1"/>
    <xf numFmtId="43" fontId="57" fillId="0" borderId="0" xfId="6" applyFont="1" applyFill="1" applyBorder="1" applyAlignment="1">
      <alignment horizontal="left" indent="2"/>
    </xf>
    <xf numFmtId="37" fontId="57" fillId="0" borderId="12" xfId="6" applyNumberFormat="1" applyFont="1" applyFill="1" applyBorder="1" applyAlignment="1">
      <alignment horizontal="right"/>
    </xf>
    <xf numFmtId="164" fontId="57" fillId="0" borderId="12" xfId="6" applyNumberFormat="1" applyFont="1" applyFill="1" applyBorder="1"/>
    <xf numFmtId="164" fontId="57" fillId="0" borderId="0" xfId="6" applyNumberFormat="1" applyFont="1" applyFill="1" applyBorder="1" applyAlignment="1" applyProtection="1">
      <alignment horizontal="left"/>
      <protection locked="0"/>
    </xf>
    <xf numFmtId="164" fontId="57" fillId="0" borderId="15" xfId="6" applyNumberFormat="1" applyFont="1" applyFill="1" applyBorder="1"/>
    <xf numFmtId="0" fontId="91" fillId="0" borderId="0" xfId="146" applyFont="1" applyFill="1"/>
    <xf numFmtId="43" fontId="57" fillId="0" borderId="15" xfId="6" applyFont="1" applyFill="1" applyBorder="1" applyAlignment="1">
      <alignment horizontal="left" indent="2"/>
    </xf>
    <xf numFmtId="37" fontId="57" fillId="0" borderId="0" xfId="6" applyNumberFormat="1" applyFont="1" applyFill="1" applyBorder="1" applyAlignment="1">
      <alignment horizontal="right"/>
    </xf>
    <xf numFmtId="0" fontId="57" fillId="0" borderId="0" xfId="146" applyFont="1" applyFill="1" applyAlignment="1">
      <alignment horizontal="left" indent="3"/>
    </xf>
    <xf numFmtId="0" fontId="91" fillId="0" borderId="16" xfId="146" applyFont="1" applyFill="1" applyBorder="1" applyAlignment="1">
      <alignment horizontal="right"/>
    </xf>
    <xf numFmtId="164" fontId="91" fillId="0" borderId="14" xfId="6" applyNumberFormat="1" applyFont="1" applyFill="1" applyBorder="1" applyAlignment="1">
      <alignment horizontal="right"/>
    </xf>
    <xf numFmtId="164" fontId="91" fillId="0" borderId="17" xfId="6" applyNumberFormat="1" applyFont="1" applyFill="1" applyBorder="1" applyAlignment="1">
      <alignment horizontal="right"/>
    </xf>
    <xf numFmtId="37" fontId="91" fillId="0" borderId="0" xfId="6" applyNumberFormat="1" applyFont="1" applyFill="1" applyBorder="1"/>
    <xf numFmtId="0" fontId="91" fillId="0" borderId="0" xfId="146" applyFont="1" applyFill="1" applyAlignment="1">
      <alignment horizontal="right"/>
    </xf>
    <xf numFmtId="164" fontId="91" fillId="0" borderId="0" xfId="6" applyNumberFormat="1" applyFont="1" applyFill="1" applyBorder="1" applyAlignment="1">
      <alignment horizontal="right"/>
    </xf>
    <xf numFmtId="0" fontId="91" fillId="0" borderId="0" xfId="183" applyFont="1" applyFill="1"/>
    <xf numFmtId="43" fontId="57" fillId="0" borderId="0" xfId="184" applyFont="1" applyFill="1" applyBorder="1" applyAlignment="1">
      <alignment horizontal="left" indent="2"/>
    </xf>
    <xf numFmtId="0" fontId="91" fillId="0" borderId="0" xfId="183" applyFont="1" applyFill="1" applyAlignment="1">
      <alignment horizontal="left" indent="4"/>
    </xf>
    <xf numFmtId="0" fontId="57" fillId="0" borderId="0" xfId="146" applyFont="1" applyFill="1" applyAlignment="1">
      <alignment horizontal="left"/>
    </xf>
    <xf numFmtId="0" fontId="57" fillId="0" borderId="0" xfId="146" applyFont="1" applyFill="1" applyBorder="1"/>
    <xf numFmtId="164" fontId="57" fillId="0" borderId="0" xfId="146" applyNumberFormat="1" applyFont="1" applyFill="1" applyBorder="1"/>
    <xf numFmtId="164" fontId="93" fillId="0" borderId="0" xfId="6" applyNumberFormat="1" applyFont="1" applyFill="1" applyBorder="1"/>
    <xf numFmtId="1" fontId="93" fillId="0" borderId="0" xfId="146" applyNumberFormat="1" applyFont="1" applyFill="1"/>
    <xf numFmtId="38" fontId="94" fillId="0" borderId="0" xfId="146" applyNumberFormat="1" applyFont="1" applyFill="1"/>
    <xf numFmtId="164" fontId="94" fillId="0" borderId="0" xfId="6" applyNumberFormat="1" applyFont="1" applyFill="1" applyBorder="1" applyProtection="1">
      <protection locked="0"/>
    </xf>
    <xf numFmtId="164" fontId="94" fillId="0" borderId="0" xfId="6" applyNumberFormat="1" applyFont="1" applyFill="1" applyBorder="1" applyAlignment="1">
      <alignment horizontal="right"/>
    </xf>
    <xf numFmtId="164" fontId="93" fillId="0" borderId="0" xfId="6" applyNumberFormat="1" applyFont="1" applyFill="1" applyProtection="1">
      <protection locked="0"/>
    </xf>
    <xf numFmtId="164" fontId="93" fillId="0" borderId="0" xfId="6" applyNumberFormat="1" applyFont="1" applyFill="1" applyAlignment="1" applyProtection="1">
      <alignment horizontal="left" vertical="top"/>
      <protection locked="0"/>
    </xf>
    <xf numFmtId="164" fontId="94" fillId="0" borderId="0" xfId="6" applyNumberFormat="1" applyFont="1" applyFill="1" applyBorder="1"/>
    <xf numFmtId="164" fontId="94" fillId="0" borderId="0" xfId="6" applyNumberFormat="1" applyFont="1" applyFill="1" applyProtection="1">
      <protection locked="0"/>
    </xf>
    <xf numFmtId="164" fontId="94" fillId="0" borderId="0" xfId="6" applyNumberFormat="1" applyFont="1" applyFill="1" applyAlignment="1">
      <alignment vertical="center"/>
    </xf>
    <xf numFmtId="43" fontId="57" fillId="0" borderId="0" xfId="6" applyFont="1" applyFill="1" applyBorder="1"/>
    <xf numFmtId="164" fontId="93" fillId="0" borderId="15" xfId="6" applyNumberFormat="1" applyFont="1" applyFill="1" applyBorder="1"/>
    <xf numFmtId="164" fontId="93" fillId="0" borderId="15" xfId="6" applyNumberFormat="1" applyFont="1" applyFill="1" applyBorder="1" applyProtection="1">
      <protection locked="0"/>
    </xf>
    <xf numFmtId="164" fontId="93" fillId="0" borderId="15" xfId="6" applyNumberFormat="1" applyFont="1" applyFill="1" applyBorder="1" applyAlignment="1">
      <alignment vertical="center"/>
    </xf>
    <xf numFmtId="164" fontId="93" fillId="0" borderId="15" xfId="6" applyNumberFormat="1" applyFont="1" applyFill="1" applyBorder="1" applyAlignment="1">
      <alignment horizontal="right"/>
    </xf>
    <xf numFmtId="164" fontId="93" fillId="0" borderId="0" xfId="6" applyNumberFormat="1" applyFont="1" applyFill="1" applyBorder="1" applyProtection="1">
      <protection locked="0"/>
    </xf>
    <xf numFmtId="0" fontId="0" fillId="0" borderId="0" xfId="0" applyAlignment="1">
      <alignment horizontal="center"/>
    </xf>
    <xf numFmtId="0" fontId="26" fillId="0" borderId="0" xfId="146" applyFont="1" applyFill="1" applyBorder="1"/>
    <xf numFmtId="164" fontId="26" fillId="0" borderId="0" xfId="146" applyNumberFormat="1" applyFont="1" applyFill="1"/>
    <xf numFmtId="0" fontId="0" fillId="0" borderId="0" xfId="0" applyFill="1" applyAlignment="1">
      <alignment horizontal="center"/>
    </xf>
    <xf numFmtId="0" fontId="60" fillId="0" borderId="0" xfId="146" applyFont="1" applyFill="1" applyAlignment="1">
      <alignment horizontal="center"/>
    </xf>
    <xf numFmtId="0" fontId="26" fillId="0" borderId="0" xfId="146" applyFont="1" applyFill="1" applyAlignment="1">
      <alignment horizontal="center"/>
    </xf>
    <xf numFmtId="0" fontId="0" fillId="0" borderId="0" xfId="0" applyFill="1"/>
    <xf numFmtId="176" fontId="0" fillId="0" borderId="0" xfId="0" applyNumberFormat="1" applyFill="1"/>
    <xf numFmtId="0" fontId="95" fillId="0" borderId="0" xfId="165" applyNumberFormat="1" applyFont="1" applyFill="1" applyBorder="1" applyAlignment="1">
      <alignment horizontal="center"/>
    </xf>
    <xf numFmtId="164" fontId="0" fillId="0" borderId="0" xfId="0" applyNumberFormat="1" applyFill="1"/>
    <xf numFmtId="0" fontId="60" fillId="0" borderId="0" xfId="146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77" fontId="26" fillId="0" borderId="0" xfId="1" applyNumberFormat="1" applyFont="1"/>
    <xf numFmtId="164" fontId="26" fillId="0" borderId="0" xfId="1" applyNumberFormat="1" applyFont="1"/>
    <xf numFmtId="0" fontId="89" fillId="0" borderId="0" xfId="0" applyFont="1" applyFill="1" applyAlignment="1">
      <alignment horizontal="center"/>
    </xf>
    <xf numFmtId="0" fontId="89" fillId="0" borderId="0" xfId="146" applyFont="1" applyFill="1" applyAlignment="1">
      <alignment horizontal="center" vertical="center" wrapText="1"/>
    </xf>
    <xf numFmtId="164" fontId="89" fillId="0" borderId="0" xfId="0" applyNumberFormat="1" applyFont="1" applyFill="1"/>
    <xf numFmtId="176" fontId="89" fillId="0" borderId="0" xfId="0" applyNumberFormat="1" applyFont="1" applyFill="1"/>
    <xf numFmtId="177" fontId="26" fillId="0" borderId="0" xfId="1" applyNumberFormat="1" applyFont="1" applyFill="1"/>
    <xf numFmtId="178" fontId="0" fillId="0" borderId="0" xfId="0" applyNumberFormat="1" applyFill="1"/>
    <xf numFmtId="0" fontId="43" fillId="0" borderId="0" xfId="168" applyFont="1" applyAlignment="1">
      <alignment horizontal="center"/>
    </xf>
    <xf numFmtId="177" fontId="24" fillId="0" borderId="0" xfId="1" applyNumberFormat="1" applyFont="1"/>
    <xf numFmtId="0" fontId="43" fillId="15" borderId="18" xfId="1" applyNumberFormat="1" applyFont="1" applyFill="1" applyBorder="1" applyAlignment="1">
      <alignment horizontal="center" vertical="center" wrapText="1"/>
    </xf>
    <xf numFmtId="0" fontId="24" fillId="0" borderId="11" xfId="168" applyFont="1" applyBorder="1"/>
    <xf numFmtId="177" fontId="24" fillId="0" borderId="11" xfId="1" applyNumberFormat="1" applyFont="1" applyBorder="1"/>
    <xf numFmtId="43" fontId="24" fillId="0" borderId="18" xfId="1" applyFont="1" applyFill="1" applyBorder="1"/>
    <xf numFmtId="0" fontId="43" fillId="0" borderId="0" xfId="0" quotePrefix="1" applyFont="1" applyBorder="1"/>
    <xf numFmtId="177" fontId="43" fillId="18" borderId="0" xfId="1" applyNumberFormat="1" applyFont="1" applyFill="1" applyAlignment="1">
      <alignment horizontal="center" vertical="center" wrapText="1"/>
    </xf>
    <xf numFmtId="177" fontId="43" fillId="0" borderId="26" xfId="1" applyNumberFormat="1" applyFont="1" applyFill="1" applyBorder="1"/>
    <xf numFmtId="177" fontId="43" fillId="0" borderId="0" xfId="1" applyNumberFormat="1" applyFont="1" applyFill="1" applyBorder="1"/>
    <xf numFmtId="177" fontId="24" fillId="0" borderId="0" xfId="1" applyNumberFormat="1" applyFont="1" applyFill="1"/>
    <xf numFmtId="177" fontId="62" fillId="0" borderId="0" xfId="1" applyNumberFormat="1" applyFont="1"/>
    <xf numFmtId="177" fontId="64" fillId="0" borderId="0" xfId="1" applyNumberFormat="1" applyFont="1"/>
    <xf numFmtId="0" fontId="60" fillId="0" borderId="0" xfId="0" applyFont="1"/>
    <xf numFmtId="0" fontId="0" fillId="0" borderId="0" xfId="0" applyFill="1" applyAlignment="1">
      <alignment horizontal="left"/>
    </xf>
    <xf numFmtId="9" fontId="0" fillId="0" borderId="0" xfId="3" applyFont="1" applyFill="1"/>
    <xf numFmtId="164" fontId="43" fillId="0" borderId="0" xfId="1" applyNumberFormat="1" applyFont="1" applyAlignment="1">
      <alignment horizontal="center" vertical="center" wrapText="1"/>
    </xf>
    <xf numFmtId="170" fontId="26" fillId="0" borderId="0" xfId="2" applyNumberFormat="1" applyFont="1" applyFill="1"/>
    <xf numFmtId="44" fontId="26" fillId="0" borderId="0" xfId="2" applyFont="1" applyFill="1"/>
    <xf numFmtId="42" fontId="26" fillId="0" borderId="0" xfId="1" applyNumberFormat="1" applyFont="1" applyFill="1"/>
    <xf numFmtId="43" fontId="0" fillId="0" borderId="0" xfId="0" applyNumberFormat="1" applyFill="1"/>
    <xf numFmtId="0" fontId="0" fillId="16" borderId="0" xfId="0" applyFill="1" applyAlignment="1">
      <alignment horizontal="left"/>
    </xf>
    <xf numFmtId="164" fontId="0" fillId="16" borderId="0" xfId="0" applyNumberFormat="1" applyFill="1"/>
    <xf numFmtId="0" fontId="26" fillId="16" borderId="0" xfId="146" applyFont="1" applyFill="1"/>
    <xf numFmtId="164" fontId="26" fillId="16" borderId="0" xfId="146" applyNumberFormat="1" applyFont="1" applyFill="1"/>
    <xf numFmtId="0" fontId="57" fillId="16" borderId="0" xfId="146" applyFont="1" applyFill="1"/>
    <xf numFmtId="0" fontId="0" fillId="16" borderId="0" xfId="0" applyFill="1"/>
    <xf numFmtId="164" fontId="57" fillId="16" borderId="0" xfId="6" applyNumberFormat="1" applyFont="1" applyFill="1" applyBorder="1"/>
    <xf numFmtId="0" fontId="57" fillId="16" borderId="0" xfId="146" applyFont="1" applyFill="1" applyBorder="1"/>
    <xf numFmtId="164" fontId="57" fillId="16" borderId="0" xfId="1" applyNumberFormat="1" applyFont="1" applyFill="1"/>
    <xf numFmtId="164" fontId="57" fillId="16" borderId="0" xfId="146" applyNumberFormat="1" applyFont="1" applyFill="1"/>
    <xf numFmtId="0" fontId="60" fillId="0" borderId="13" xfId="146" applyFont="1" applyFill="1" applyBorder="1" applyAlignment="1">
      <alignment horizontal="center"/>
    </xf>
    <xf numFmtId="164" fontId="26" fillId="0" borderId="0" xfId="6" applyNumberFormat="1" applyFont="1" applyFill="1" applyBorder="1" applyAlignment="1"/>
    <xf numFmtId="0" fontId="78" fillId="0" borderId="13" xfId="146" applyFont="1" applyFill="1" applyBorder="1" applyAlignment="1">
      <alignment horizontal="center"/>
    </xf>
    <xf numFmtId="164" fontId="26" fillId="0" borderId="0" xfId="6" applyNumberFormat="1" applyFont="1" applyFill="1" applyBorder="1" applyAlignment="1">
      <alignment horizontal="center"/>
    </xf>
    <xf numFmtId="164" fontId="26" fillId="0" borderId="0" xfId="6" applyNumberFormat="1" applyFont="1" applyFill="1" applyBorder="1"/>
    <xf numFmtId="37" fontId="60" fillId="0" borderId="0" xfId="6" applyNumberFormat="1" applyFont="1" applyFill="1"/>
    <xf numFmtId="43" fontId="26" fillId="0" borderId="0" xfId="6" applyFont="1" applyFill="1" applyAlignment="1">
      <alignment horizontal="left" indent="2"/>
    </xf>
    <xf numFmtId="164" fontId="82" fillId="0" borderId="0" xfId="6" applyNumberFormat="1" applyFont="1" applyFill="1"/>
    <xf numFmtId="172" fontId="26" fillId="0" borderId="0" xfId="27" applyNumberFormat="1" applyFont="1" applyFill="1" applyBorder="1"/>
    <xf numFmtId="43" fontId="26" fillId="0" borderId="0" xfId="6" applyFont="1" applyFill="1" applyBorder="1" applyAlignment="1">
      <alignment horizontal="left" indent="2"/>
    </xf>
    <xf numFmtId="37" fontId="26" fillId="0" borderId="12" xfId="6" applyNumberFormat="1" applyFont="1" applyFill="1" applyBorder="1" applyAlignment="1">
      <alignment horizontal="right"/>
    </xf>
    <xf numFmtId="164" fontId="26" fillId="0" borderId="12" xfId="6" applyNumberFormat="1" applyFont="1" applyFill="1" applyBorder="1"/>
    <xf numFmtId="164" fontId="26" fillId="0" borderId="0" xfId="6" applyNumberFormat="1" applyFont="1" applyFill="1" applyBorder="1" applyAlignment="1" applyProtection="1">
      <alignment horizontal="left"/>
      <protection locked="0"/>
    </xf>
    <xf numFmtId="164" fontId="26" fillId="0" borderId="15" xfId="6" applyNumberFormat="1" applyFont="1" applyFill="1" applyBorder="1"/>
    <xf numFmtId="0" fontId="60" fillId="0" borderId="0" xfId="146" applyFont="1" applyFill="1"/>
    <xf numFmtId="43" fontId="26" fillId="0" borderId="15" xfId="6" applyFont="1" applyFill="1" applyBorder="1" applyAlignment="1">
      <alignment horizontal="left" indent="2"/>
    </xf>
    <xf numFmtId="37" fontId="26" fillId="0" borderId="0" xfId="6" applyNumberFormat="1" applyFont="1" applyFill="1" applyBorder="1" applyAlignment="1">
      <alignment horizontal="right"/>
    </xf>
    <xf numFmtId="0" fontId="26" fillId="0" borderId="0" xfId="146" applyFont="1" applyFill="1" applyAlignment="1">
      <alignment horizontal="left" indent="3"/>
    </xf>
    <xf numFmtId="0" fontId="60" fillId="0" borderId="16" xfId="146" applyFont="1" applyFill="1" applyBorder="1" applyAlignment="1">
      <alignment horizontal="right"/>
    </xf>
    <xf numFmtId="164" fontId="60" fillId="0" borderId="14" xfId="6" applyNumberFormat="1" applyFont="1" applyFill="1" applyBorder="1" applyAlignment="1">
      <alignment horizontal="right"/>
    </xf>
    <xf numFmtId="164" fontId="60" fillId="0" borderId="17" xfId="6" applyNumberFormat="1" applyFont="1" applyFill="1" applyBorder="1" applyAlignment="1">
      <alignment horizontal="right"/>
    </xf>
    <xf numFmtId="37" fontId="60" fillId="0" borderId="0" xfId="6" applyNumberFormat="1" applyFont="1" applyFill="1" applyBorder="1"/>
    <xf numFmtId="0" fontId="60" fillId="0" borderId="0" xfId="146" applyFont="1" applyFill="1" applyAlignment="1">
      <alignment horizontal="right"/>
    </xf>
    <xf numFmtId="164" fontId="60" fillId="0" borderId="0" xfId="6" applyNumberFormat="1" applyFont="1" applyFill="1" applyBorder="1" applyAlignment="1">
      <alignment horizontal="right"/>
    </xf>
    <xf numFmtId="0" fontId="60" fillId="0" borderId="0" xfId="162" applyFont="1" applyFill="1"/>
    <xf numFmtId="43" fontId="26" fillId="0" borderId="0" xfId="163" applyFont="1" applyFill="1" applyBorder="1" applyAlignment="1">
      <alignment horizontal="left" indent="2"/>
    </xf>
    <xf numFmtId="0" fontId="60" fillId="0" borderId="0" xfId="162" applyFont="1" applyFill="1" applyAlignment="1">
      <alignment horizontal="left" indent="4"/>
    </xf>
    <xf numFmtId="164" fontId="62" fillId="0" borderId="0" xfId="6" applyNumberFormat="1" applyFont="1" applyFill="1" applyBorder="1"/>
    <xf numFmtId="164" fontId="26" fillId="16" borderId="0" xfId="6" applyNumberFormat="1" applyFont="1" applyFill="1" applyBorder="1"/>
    <xf numFmtId="164" fontId="82" fillId="0" borderId="0" xfId="6" applyNumberFormat="1" applyFont="1" applyFill="1" applyBorder="1"/>
    <xf numFmtId="164" fontId="56" fillId="0" borderId="0" xfId="6" applyNumberFormat="1" applyFont="1" applyFill="1" applyBorder="1"/>
    <xf numFmtId="43" fontId="26" fillId="0" borderId="0" xfId="6" applyFont="1" applyFill="1" applyBorder="1"/>
    <xf numFmtId="1" fontId="82" fillId="0" borderId="0" xfId="146" applyNumberFormat="1" applyFont="1" applyFill="1"/>
    <xf numFmtId="38" fontId="84" fillId="0" borderId="0" xfId="146" applyNumberFormat="1" applyFont="1" applyFill="1"/>
    <xf numFmtId="164" fontId="84" fillId="0" borderId="0" xfId="6" applyNumberFormat="1" applyFont="1" applyFill="1" applyBorder="1" applyProtection="1">
      <protection locked="0"/>
    </xf>
    <xf numFmtId="164" fontId="84" fillId="0" borderId="0" xfId="6" applyNumberFormat="1" applyFont="1" applyFill="1" applyBorder="1" applyAlignment="1">
      <alignment horizontal="right"/>
    </xf>
    <xf numFmtId="164" fontId="82" fillId="0" borderId="0" xfId="6" applyNumberFormat="1" applyFont="1" applyFill="1" applyProtection="1">
      <protection locked="0"/>
    </xf>
    <xf numFmtId="164" fontId="56" fillId="0" borderId="0" xfId="6" applyNumberFormat="1" applyFont="1" applyFill="1" applyProtection="1">
      <protection locked="0"/>
    </xf>
    <xf numFmtId="164" fontId="82" fillId="0" borderId="0" xfId="6" applyNumberFormat="1" applyFont="1" applyFill="1" applyAlignment="1" applyProtection="1">
      <alignment horizontal="left" vertical="top"/>
      <protection locked="0"/>
    </xf>
    <xf numFmtId="164" fontId="84" fillId="0" borderId="0" xfId="6" applyNumberFormat="1" applyFont="1" applyFill="1" applyBorder="1"/>
    <xf numFmtId="164" fontId="84" fillId="0" borderId="0" xfId="6" applyNumberFormat="1" applyFont="1" applyFill="1" applyProtection="1">
      <protection locked="0"/>
    </xf>
    <xf numFmtId="164" fontId="84" fillId="0" borderId="0" xfId="6" applyNumberFormat="1" applyFont="1" applyFill="1" applyAlignment="1">
      <alignment vertical="center"/>
    </xf>
    <xf numFmtId="164" fontId="82" fillId="0" borderId="15" xfId="6" applyNumberFormat="1" applyFont="1" applyFill="1" applyBorder="1"/>
    <xf numFmtId="164" fontId="82" fillId="0" borderId="15" xfId="6" applyNumberFormat="1" applyFont="1" applyFill="1" applyBorder="1" applyProtection="1">
      <protection locked="0"/>
    </xf>
    <xf numFmtId="164" fontId="82" fillId="0" borderId="15" xfId="6" applyNumberFormat="1" applyFont="1" applyFill="1" applyBorder="1" applyAlignment="1">
      <alignment vertical="center"/>
    </xf>
    <xf numFmtId="164" fontId="82" fillId="0" borderId="15" xfId="6" applyNumberFormat="1" applyFont="1" applyFill="1" applyBorder="1" applyAlignment="1">
      <alignment horizontal="right"/>
    </xf>
    <xf numFmtId="164" fontId="82" fillId="0" borderId="0" xfId="6" applyNumberFormat="1" applyFont="1" applyFill="1" applyBorder="1" applyProtection="1">
      <protection locked="0"/>
    </xf>
    <xf numFmtId="43" fontId="26" fillId="0" borderId="0" xfId="146" applyNumberFormat="1" applyFont="1" applyFill="1"/>
    <xf numFmtId="164" fontId="26" fillId="16" borderId="0" xfId="1" applyNumberFormat="1" applyFont="1" applyFill="1"/>
    <xf numFmtId="0" fontId="26" fillId="0" borderId="0" xfId="146" applyFont="1" applyFill="1" applyAlignment="1">
      <alignment horizontal="right"/>
    </xf>
    <xf numFmtId="0" fontId="60" fillId="0" borderId="0" xfId="147" applyFont="1" applyFill="1"/>
    <xf numFmtId="43" fontId="26" fillId="0" borderId="0" xfId="148" applyFont="1" applyFill="1" applyBorder="1" applyAlignment="1">
      <alignment horizontal="left" indent="2"/>
    </xf>
    <xf numFmtId="0" fontId="60" fillId="0" borderId="0" xfId="147" applyFont="1" applyFill="1" applyAlignment="1">
      <alignment horizontal="left" indent="4"/>
    </xf>
    <xf numFmtId="164" fontId="62" fillId="0" borderId="0" xfId="6" applyNumberFormat="1" applyFont="1" applyFill="1"/>
    <xf numFmtId="164" fontId="26" fillId="0" borderId="0" xfId="76" applyNumberFormat="1" applyFont="1" applyFill="1" applyBorder="1" applyAlignment="1">
      <alignment horizontal="center"/>
    </xf>
    <xf numFmtId="164" fontId="26" fillId="0" borderId="0" xfId="76" applyNumberFormat="1" applyFont="1" applyFill="1" applyBorder="1"/>
    <xf numFmtId="37" fontId="60" fillId="0" borderId="0" xfId="76" applyNumberFormat="1" applyFont="1" applyFill="1"/>
    <xf numFmtId="164" fontId="82" fillId="0" borderId="0" xfId="76" applyNumberFormat="1" applyFont="1" applyFill="1" applyBorder="1"/>
    <xf numFmtId="43" fontId="26" fillId="0" borderId="0" xfId="76" applyFont="1" applyFill="1" applyBorder="1" applyAlignment="1">
      <alignment horizontal="left" indent="2"/>
    </xf>
    <xf numFmtId="164" fontId="82" fillId="0" borderId="15" xfId="76" applyNumberFormat="1" applyFont="1" applyFill="1" applyBorder="1"/>
    <xf numFmtId="164" fontId="26" fillId="0" borderId="15" xfId="76" applyNumberFormat="1" applyFont="1" applyFill="1" applyBorder="1"/>
    <xf numFmtId="37" fontId="26" fillId="0" borderId="12" xfId="76" applyNumberFormat="1" applyFont="1" applyFill="1" applyBorder="1" applyAlignment="1">
      <alignment horizontal="right"/>
    </xf>
    <xf numFmtId="164" fontId="84" fillId="0" borderId="0" xfId="76" applyNumberFormat="1" applyFont="1" applyFill="1" applyBorder="1" applyProtection="1">
      <protection locked="0"/>
    </xf>
    <xf numFmtId="164" fontId="84" fillId="0" borderId="0" xfId="76" applyNumberFormat="1" applyFont="1" applyFill="1" applyBorder="1" applyAlignment="1">
      <alignment horizontal="right"/>
    </xf>
    <xf numFmtId="43" fontId="26" fillId="0" borderId="15" xfId="76" applyFont="1" applyFill="1" applyBorder="1" applyAlignment="1">
      <alignment horizontal="left" indent="2"/>
    </xf>
    <xf numFmtId="37" fontId="26" fillId="0" borderId="0" xfId="76" applyNumberFormat="1" applyFont="1" applyFill="1" applyBorder="1" applyAlignment="1">
      <alignment horizontal="right"/>
    </xf>
    <xf numFmtId="164" fontId="82" fillId="0" borderId="0" xfId="76" applyNumberFormat="1" applyFont="1" applyFill="1" applyProtection="1">
      <protection locked="0"/>
    </xf>
    <xf numFmtId="164" fontId="82" fillId="0" borderId="15" xfId="76" applyNumberFormat="1" applyFont="1" applyFill="1" applyBorder="1" applyProtection="1">
      <protection locked="0"/>
    </xf>
    <xf numFmtId="164" fontId="82" fillId="0" borderId="0" xfId="76" applyNumberFormat="1" applyFont="1" applyFill="1" applyAlignment="1" applyProtection="1">
      <alignment horizontal="left" vertical="top"/>
      <protection locked="0"/>
    </xf>
    <xf numFmtId="164" fontId="56" fillId="0" borderId="0" xfId="76" applyNumberFormat="1" applyFont="1" applyFill="1" applyProtection="1">
      <protection locked="0"/>
    </xf>
    <xf numFmtId="164" fontId="26" fillId="0" borderId="12" xfId="76" applyNumberFormat="1" applyFont="1" applyFill="1" applyBorder="1"/>
    <xf numFmtId="164" fontId="84" fillId="0" borderId="0" xfId="76" applyNumberFormat="1" applyFont="1" applyFill="1" applyBorder="1"/>
    <xf numFmtId="164" fontId="84" fillId="0" borderId="0" xfId="76" applyNumberFormat="1" applyFont="1" applyFill="1" applyProtection="1">
      <protection locked="0"/>
    </xf>
    <xf numFmtId="164" fontId="84" fillId="0" borderId="0" xfId="76" applyNumberFormat="1" applyFont="1" applyFill="1" applyAlignment="1">
      <alignment vertical="center"/>
    </xf>
    <xf numFmtId="43" fontId="26" fillId="0" borderId="0" xfId="76" applyFont="1" applyFill="1" applyBorder="1"/>
    <xf numFmtId="164" fontId="82" fillId="0" borderId="15" xfId="76" applyNumberFormat="1" applyFont="1" applyFill="1" applyBorder="1" applyAlignment="1">
      <alignment vertical="center"/>
    </xf>
    <xf numFmtId="164" fontId="82" fillId="0" borderId="15" xfId="76" applyNumberFormat="1" applyFont="1" applyFill="1" applyBorder="1" applyAlignment="1">
      <alignment horizontal="right"/>
    </xf>
    <xf numFmtId="164" fontId="60" fillId="0" borderId="14" xfId="76" applyNumberFormat="1" applyFont="1" applyFill="1" applyBorder="1" applyAlignment="1">
      <alignment horizontal="right"/>
    </xf>
    <xf numFmtId="164" fontId="60" fillId="0" borderId="17" xfId="76" applyNumberFormat="1" applyFont="1" applyFill="1" applyBorder="1" applyAlignment="1">
      <alignment horizontal="right"/>
    </xf>
    <xf numFmtId="37" fontId="60" fillId="0" borderId="0" xfId="76" applyNumberFormat="1" applyFont="1" applyFill="1" applyBorder="1"/>
    <xf numFmtId="164" fontId="82" fillId="0" borderId="0" xfId="76" applyNumberFormat="1" applyFont="1" applyFill="1" applyBorder="1" applyProtection="1">
      <protection locked="0"/>
    </xf>
    <xf numFmtId="43" fontId="62" fillId="0" borderId="0" xfId="146" applyNumberFormat="1" applyFont="1" applyFill="1"/>
    <xf numFmtId="0" fontId="78" fillId="0" borderId="27" xfId="146" applyFont="1" applyFill="1" applyBorder="1" applyAlignment="1" applyProtection="1">
      <alignment horizontal="center"/>
      <protection locked="0"/>
    </xf>
    <xf numFmtId="0" fontId="79" fillId="0" borderId="0" xfId="146" applyFont="1" applyFill="1" applyAlignment="1">
      <alignment horizontal="center"/>
    </xf>
    <xf numFmtId="0" fontId="80" fillId="0" borderId="0" xfId="146" applyFont="1" applyFill="1" applyAlignment="1">
      <alignment horizontal="center"/>
    </xf>
    <xf numFmtId="0" fontId="80" fillId="0" borderId="0" xfId="146" applyFont="1" applyFill="1" applyAlignment="1" applyProtection="1">
      <alignment horizontal="center"/>
      <protection locked="0"/>
    </xf>
    <xf numFmtId="0" fontId="26" fillId="0" borderId="0" xfId="146" applyFont="1" applyFill="1" applyAlignment="1" applyProtection="1">
      <alignment horizontal="center"/>
      <protection locked="0"/>
    </xf>
    <xf numFmtId="0" fontId="81" fillId="0" borderId="0" xfId="146" applyFont="1" applyFill="1" applyAlignment="1">
      <alignment horizontal="center"/>
    </xf>
    <xf numFmtId="165" fontId="76" fillId="0" borderId="0" xfId="146" applyNumberFormat="1" applyFont="1" applyFill="1"/>
    <xf numFmtId="0" fontId="26" fillId="0" borderId="0" xfId="146" applyFont="1" applyFill="1" applyProtection="1">
      <protection locked="0"/>
    </xf>
    <xf numFmtId="175" fontId="60" fillId="0" borderId="0" xfId="76" applyNumberFormat="1" applyFont="1" applyFill="1" applyBorder="1" applyAlignment="1">
      <alignment horizontal="center"/>
    </xf>
    <xf numFmtId="175" fontId="60" fillId="0" borderId="0" xfId="76" applyNumberFormat="1" applyFont="1" applyFill="1" applyBorder="1" applyAlignment="1" applyProtection="1">
      <alignment horizontal="center"/>
      <protection locked="0"/>
    </xf>
    <xf numFmtId="175" fontId="77" fillId="0" borderId="0" xfId="76" applyNumberFormat="1" applyFont="1" applyFill="1" applyBorder="1" applyAlignment="1">
      <alignment horizontal="center"/>
    </xf>
    <xf numFmtId="44" fontId="60" fillId="0" borderId="0" xfId="75" applyFont="1" applyFill="1"/>
    <xf numFmtId="165" fontId="60" fillId="0" borderId="0" xfId="75" applyNumberFormat="1" applyFont="1" applyFill="1" applyBorder="1"/>
    <xf numFmtId="165" fontId="26" fillId="0" borderId="0" xfId="75" applyNumberFormat="1" applyFont="1" applyFill="1" applyAlignment="1">
      <alignment vertical="center"/>
    </xf>
    <xf numFmtId="165" fontId="26" fillId="0" borderId="0" xfId="75" applyNumberFormat="1" applyFont="1" applyFill="1" applyBorder="1" applyAlignment="1" applyProtection="1">
      <alignment vertical="center"/>
      <protection locked="0"/>
    </xf>
    <xf numFmtId="165" fontId="26" fillId="0" borderId="15" xfId="75" applyNumberFormat="1" applyFont="1" applyFill="1" applyBorder="1"/>
    <xf numFmtId="165" fontId="26" fillId="0" borderId="15" xfId="75" applyNumberFormat="1" applyFont="1" applyFill="1" applyBorder="1" applyAlignment="1">
      <alignment vertical="center"/>
    </xf>
    <xf numFmtId="165" fontId="60" fillId="0" borderId="15" xfId="75" applyNumberFormat="1" applyFont="1" applyFill="1" applyBorder="1"/>
    <xf numFmtId="165" fontId="82" fillId="0" borderId="15" xfId="75" applyNumberFormat="1" applyFont="1" applyFill="1" applyBorder="1" applyProtection="1">
      <protection locked="0"/>
    </xf>
    <xf numFmtId="37" fontId="60" fillId="0" borderId="12" xfId="76" applyNumberFormat="1" applyFont="1" applyFill="1" applyBorder="1" applyAlignment="1">
      <alignment horizontal="right"/>
    </xf>
    <xf numFmtId="165" fontId="60" fillId="0" borderId="0" xfId="75" applyNumberFormat="1" applyFont="1" applyFill="1" applyBorder="1" applyProtection="1">
      <protection locked="0"/>
    </xf>
    <xf numFmtId="0" fontId="68" fillId="0" borderId="0" xfId="146" applyFont="1" applyFill="1"/>
    <xf numFmtId="165" fontId="26" fillId="0" borderId="0" xfId="150" applyNumberFormat="1" applyFont="1" applyFill="1" applyBorder="1"/>
    <xf numFmtId="165" fontId="82" fillId="0" borderId="0" xfId="75" applyNumberFormat="1" applyFont="1" applyFill="1" applyBorder="1"/>
    <xf numFmtId="165" fontId="82" fillId="0" borderId="0" xfId="150" applyNumberFormat="1" applyFont="1" applyFill="1" applyBorder="1"/>
    <xf numFmtId="165" fontId="82" fillId="0" borderId="0" xfId="75" applyNumberFormat="1" applyFont="1" applyFill="1" applyBorder="1" applyAlignment="1">
      <alignment vertical="center"/>
    </xf>
    <xf numFmtId="165" fontId="56" fillId="0" borderId="15" xfId="75" applyNumberFormat="1" applyFont="1" applyFill="1" applyBorder="1" applyProtection="1">
      <protection locked="0"/>
    </xf>
    <xf numFmtId="165" fontId="60" fillId="0" borderId="0" xfId="146" applyNumberFormat="1" applyFont="1" applyFill="1"/>
    <xf numFmtId="165" fontId="76" fillId="0" borderId="0" xfId="146" applyNumberFormat="1" applyFont="1" applyFill="1" applyProtection="1">
      <protection locked="0"/>
    </xf>
    <xf numFmtId="165" fontId="82" fillId="0" borderId="0" xfId="75" applyNumberFormat="1" applyFont="1" applyFill="1" applyBorder="1" applyAlignment="1" applyProtection="1">
      <alignment vertical="center"/>
      <protection locked="0"/>
    </xf>
    <xf numFmtId="0" fontId="26" fillId="0" borderId="15" xfId="146" applyFont="1" applyFill="1" applyBorder="1" applyAlignment="1">
      <alignment horizontal="left" indent="3"/>
    </xf>
    <xf numFmtId="165" fontId="60" fillId="0" borderId="12" xfId="75" applyNumberFormat="1" applyFont="1" applyFill="1" applyBorder="1"/>
    <xf numFmtId="165" fontId="82" fillId="0" borderId="0" xfId="75" applyNumberFormat="1" applyFont="1" applyFill="1"/>
    <xf numFmtId="165" fontId="82" fillId="0" borderId="15" xfId="75" applyNumberFormat="1" applyFont="1" applyFill="1" applyBorder="1"/>
    <xf numFmtId="43" fontId="60" fillId="0" borderId="15" xfId="76" applyFont="1" applyFill="1" applyBorder="1"/>
    <xf numFmtId="164" fontId="60" fillId="0" borderId="0" xfId="76" applyNumberFormat="1" applyFont="1" applyFill="1" applyBorder="1" applyAlignment="1" applyProtection="1">
      <alignment horizontal="right"/>
      <protection locked="0"/>
    </xf>
    <xf numFmtId="37" fontId="60" fillId="0" borderId="14" xfId="76" applyNumberFormat="1" applyFont="1" applyFill="1" applyBorder="1" applyAlignment="1">
      <alignment horizontal="right"/>
    </xf>
    <xf numFmtId="165" fontId="60" fillId="0" borderId="14" xfId="75" applyNumberFormat="1" applyFont="1" applyFill="1" applyBorder="1"/>
    <xf numFmtId="164" fontId="60" fillId="0" borderId="0" xfId="76" applyNumberFormat="1" applyFont="1" applyFill="1" applyBorder="1" applyAlignment="1">
      <alignment horizontal="right"/>
    </xf>
    <xf numFmtId="0" fontId="60" fillId="0" borderId="0" xfId="172" applyFont="1" applyFill="1"/>
    <xf numFmtId="43" fontId="26" fillId="0" borderId="0" xfId="173" applyFont="1" applyFill="1" applyBorder="1" applyAlignment="1">
      <alignment horizontal="left" indent="2"/>
    </xf>
    <xf numFmtId="164" fontId="26" fillId="0" borderId="0" xfId="76" applyNumberFormat="1" applyFont="1" applyFill="1" applyBorder="1" applyAlignment="1" applyProtection="1">
      <alignment horizontal="right"/>
      <protection locked="0"/>
    </xf>
    <xf numFmtId="0" fontId="60" fillId="0" borderId="0" xfId="172" applyFont="1" applyFill="1" applyAlignment="1">
      <alignment horizontal="left" indent="4"/>
    </xf>
    <xf numFmtId="0" fontId="60" fillId="0" borderId="16" xfId="172" applyFont="1" applyFill="1" applyBorder="1" applyAlignment="1">
      <alignment horizontal="left" indent="4"/>
    </xf>
    <xf numFmtId="165" fontId="26" fillId="0" borderId="0" xfId="146" applyNumberFormat="1" applyFont="1" applyFill="1"/>
    <xf numFmtId="165" fontId="26" fillId="0" borderId="0" xfId="146" applyNumberFormat="1" applyFont="1" applyFill="1" applyProtection="1">
      <protection locked="0"/>
    </xf>
    <xf numFmtId="37" fontId="60" fillId="0" borderId="0" xfId="76" applyNumberFormat="1" applyFont="1" applyFill="1" applyBorder="1" applyAlignment="1">
      <alignment horizontal="left" indent="2"/>
    </xf>
    <xf numFmtId="165" fontId="60" fillId="0" borderId="0" xfId="75" applyNumberFormat="1" applyFont="1" applyFill="1" applyProtection="1">
      <protection locked="0"/>
    </xf>
    <xf numFmtId="165" fontId="26" fillId="0" borderId="0" xfId="75" quotePrefix="1" applyNumberFormat="1" applyFont="1" applyFill="1" applyBorder="1" applyAlignment="1">
      <alignment vertical="center"/>
    </xf>
    <xf numFmtId="165" fontId="26" fillId="0" borderId="0" xfId="75" quotePrefix="1" applyNumberFormat="1" applyFont="1" applyFill="1" applyBorder="1" applyAlignment="1" applyProtection="1">
      <alignment vertical="center"/>
      <protection locked="0"/>
    </xf>
    <xf numFmtId="165" fontId="26" fillId="0" borderId="0" xfId="75" applyNumberFormat="1" applyFont="1" applyFill="1" applyBorder="1" applyAlignment="1">
      <alignment horizontal="center"/>
    </xf>
    <xf numFmtId="165" fontId="26" fillId="0" borderId="0" xfId="75" applyNumberFormat="1" applyFont="1" applyFill="1" applyBorder="1" applyAlignment="1" applyProtection="1">
      <alignment horizontal="center"/>
      <protection locked="0"/>
    </xf>
    <xf numFmtId="165" fontId="82" fillId="0" borderId="0" xfId="75" applyNumberFormat="1" applyFont="1" applyFill="1" applyBorder="1" applyAlignment="1" applyProtection="1">
      <alignment horizontal="center"/>
      <protection locked="0"/>
    </xf>
    <xf numFmtId="37" fontId="60" fillId="0" borderId="0" xfId="174" applyNumberFormat="1" applyFont="1" applyFill="1" applyBorder="1" applyAlignment="1">
      <alignment horizontal="left" indent="2"/>
    </xf>
    <xf numFmtId="165" fontId="26" fillId="0" borderId="14" xfId="75" applyNumberFormat="1" applyFont="1" applyFill="1" applyBorder="1"/>
    <xf numFmtId="37" fontId="26" fillId="0" borderId="0" xfId="76" applyNumberFormat="1" applyFont="1" applyFill="1" applyBorder="1" applyAlignment="1">
      <alignment horizontal="left" indent="2"/>
    </xf>
    <xf numFmtId="0" fontId="60" fillId="0" borderId="10" xfId="146" applyFont="1" applyFill="1" applyBorder="1" applyAlignment="1">
      <alignment horizontal="right"/>
    </xf>
    <xf numFmtId="165" fontId="60" fillId="0" borderId="10" xfId="146" applyNumberFormat="1" applyFont="1" applyFill="1" applyBorder="1"/>
    <xf numFmtId="165" fontId="60" fillId="0" borderId="0" xfId="146" applyNumberFormat="1" applyFont="1" applyFill="1" applyProtection="1">
      <protection locked="0"/>
    </xf>
    <xf numFmtId="164" fontId="60" fillId="0" borderId="0" xfId="76" applyNumberFormat="1" applyFont="1" applyFill="1" applyBorder="1"/>
    <xf numFmtId="0" fontId="26" fillId="0" borderId="0" xfId="146" quotePrefix="1" applyNumberFormat="1" applyFont="1" applyFill="1"/>
    <xf numFmtId="0" fontId="24" fillId="0" borderId="0" xfId="0" quotePrefix="1" applyFont="1" applyFill="1" applyAlignment="1">
      <alignment horizontal="center" vertical="center"/>
    </xf>
    <xf numFmtId="0" fontId="24" fillId="0" borderId="0" xfId="0" quotePrefix="1" applyFont="1" applyFill="1" applyAlignment="1">
      <alignment horizontal="left" vertical="center"/>
    </xf>
    <xf numFmtId="44" fontId="24" fillId="0" borderId="0" xfId="2" applyNumberFormat="1" applyFont="1" applyFill="1"/>
    <xf numFmtId="0" fontId="0" fillId="0" borderId="0" xfId="0" applyAlignment="1">
      <alignment horizontal="left" indent="1"/>
    </xf>
    <xf numFmtId="0" fontId="57" fillId="0" borderId="0" xfId="146" applyFont="1"/>
    <xf numFmtId="164" fontId="64" fillId="0" borderId="26" xfId="0" applyNumberFormat="1" applyFont="1" applyBorder="1" applyAlignment="1">
      <alignment horizontal="center"/>
    </xf>
    <xf numFmtId="0" fontId="71" fillId="0" borderId="0" xfId="153" applyFont="1"/>
    <xf numFmtId="17" fontId="43" fillId="0" borderId="0" xfId="0" applyNumberFormat="1" applyFont="1" applyFill="1" applyAlignment="1">
      <alignment horizontal="center" vertical="center"/>
    </xf>
    <xf numFmtId="17" fontId="43" fillId="0" borderId="0" xfId="0" applyNumberFormat="1" applyFont="1" applyAlignment="1">
      <alignment horizontal="center" vertical="center"/>
    </xf>
    <xf numFmtId="10" fontId="0" fillId="0" borderId="0" xfId="3" applyNumberFormat="1" applyFont="1"/>
    <xf numFmtId="164" fontId="64" fillId="0" borderId="0" xfId="0" applyNumberFormat="1" applyFont="1" applyAlignment="1">
      <alignment horizontal="center"/>
    </xf>
    <xf numFmtId="17" fontId="43" fillId="0" borderId="0" xfId="0" quotePrefix="1" applyNumberFormat="1" applyFont="1" applyAlignment="1">
      <alignment horizontal="center" vertical="center"/>
    </xf>
    <xf numFmtId="17" fontId="43" fillId="0" borderId="0" xfId="0" quotePrefix="1" applyNumberFormat="1" applyFont="1" applyAlignment="1">
      <alignment horizontal="center" vertical="center" wrapText="1"/>
    </xf>
    <xf numFmtId="17" fontId="65" fillId="0" borderId="0" xfId="0" applyNumberFormat="1" applyFont="1" applyAlignment="1">
      <alignment horizontal="center" vertical="center"/>
    </xf>
    <xf numFmtId="164" fontId="64" fillId="0" borderId="0" xfId="0" applyNumberFormat="1" applyFont="1"/>
    <xf numFmtId="178" fontId="43" fillId="0" borderId="0" xfId="0" applyNumberFormat="1" applyFont="1" applyAlignment="1">
      <alignment horizontal="center" vertical="center" wrapText="1"/>
    </xf>
    <xf numFmtId="178" fontId="43" fillId="18" borderId="0" xfId="0" applyNumberFormat="1" applyFont="1" applyFill="1" applyAlignment="1">
      <alignment horizontal="center" vertical="center" wrapText="1"/>
    </xf>
    <xf numFmtId="178" fontId="43" fillId="22" borderId="0" xfId="0" applyNumberFormat="1" applyFont="1" applyFill="1" applyAlignment="1">
      <alignment horizontal="center" vertical="center" wrapText="1"/>
    </xf>
    <xf numFmtId="178" fontId="43" fillId="23" borderId="0" xfId="1" applyNumberFormat="1" applyFont="1" applyFill="1" applyAlignment="1">
      <alignment horizontal="center" vertical="center" wrapText="1"/>
    </xf>
    <xf numFmtId="178" fontId="43" fillId="0" borderId="0" xfId="0" applyNumberFormat="1" applyFont="1" applyAlignment="1">
      <alignment wrapText="1"/>
    </xf>
    <xf numFmtId="178" fontId="43" fillId="0" borderId="0" xfId="0" quotePrefix="1" applyNumberFormat="1" applyFont="1" applyFill="1" applyAlignment="1">
      <alignment horizontal="center" vertical="center" wrapText="1"/>
    </xf>
    <xf numFmtId="178" fontId="43" fillId="0" borderId="0" xfId="0" quotePrefix="1" applyNumberFormat="1" applyFont="1" applyAlignment="1">
      <alignment horizontal="center" vertical="center" wrapText="1"/>
    </xf>
    <xf numFmtId="164" fontId="26" fillId="0" borderId="0" xfId="1" applyNumberFormat="1" applyFont="1" applyBorder="1"/>
    <xf numFmtId="0" fontId="79" fillId="0" borderId="0" xfId="0" applyFont="1"/>
    <xf numFmtId="164" fontId="60" fillId="0" borderId="0" xfId="1" applyNumberFormat="1" applyFont="1" applyFill="1" applyBorder="1"/>
    <xf numFmtId="0" fontId="26" fillId="0" borderId="11" xfId="0" applyFont="1" applyBorder="1"/>
    <xf numFmtId="0" fontId="26" fillId="0" borderId="11" xfId="0" applyFont="1" applyBorder="1" applyAlignment="1">
      <alignment horizontal="center"/>
    </xf>
    <xf numFmtId="0" fontId="0" fillId="0" borderId="11" xfId="0" applyBorder="1"/>
    <xf numFmtId="10" fontId="0" fillId="0" borderId="11" xfId="3" applyNumberFormat="1" applyFont="1" applyBorder="1"/>
    <xf numFmtId="9" fontId="0" fillId="0" borderId="11" xfId="3" applyFont="1" applyBorder="1"/>
    <xf numFmtId="164" fontId="0" fillId="0" borderId="11" xfId="1" applyNumberFormat="1" applyFont="1" applyBorder="1"/>
    <xf numFmtId="164" fontId="26" fillId="0" borderId="11" xfId="1" applyNumberFormat="1" applyFont="1" applyBorder="1"/>
    <xf numFmtId="164" fontId="0" fillId="0" borderId="11" xfId="0" applyNumberFormat="1" applyBorder="1"/>
    <xf numFmtId="178" fontId="96" fillId="0" borderId="0" xfId="1" applyNumberFormat="1" applyFont="1" applyAlignment="1">
      <alignment horizontal="center" vertical="center" wrapText="1"/>
    </xf>
    <xf numFmtId="164" fontId="97" fillId="0" borderId="0" xfId="1" applyNumberFormat="1" applyFont="1"/>
    <xf numFmtId="164" fontId="97" fillId="0" borderId="11" xfId="1" applyNumberFormat="1" applyFont="1" applyBorder="1"/>
    <xf numFmtId="178" fontId="60" fillId="0" borderId="0" xfId="1" applyNumberFormat="1" applyFont="1" applyAlignment="1">
      <alignment horizontal="center" vertical="center" wrapText="1"/>
    </xf>
    <xf numFmtId="164" fontId="0" fillId="0" borderId="11" xfId="1" applyNumberFormat="1" applyFont="1" applyFill="1" applyBorder="1"/>
    <xf numFmtId="164" fontId="0" fillId="0" borderId="0" xfId="1" applyNumberFormat="1" applyFont="1" applyBorder="1"/>
    <xf numFmtId="0" fontId="43" fillId="26" borderId="18" xfId="168" applyFont="1" applyFill="1" applyBorder="1" applyAlignment="1">
      <alignment horizontal="center"/>
    </xf>
    <xf numFmtId="2" fontId="24" fillId="0" borderId="0" xfId="152" applyNumberFormat="1" applyFont="1" applyFill="1"/>
    <xf numFmtId="174" fontId="24" fillId="0" borderId="0" xfId="152" applyNumberFormat="1" applyFont="1" applyFill="1"/>
    <xf numFmtId="0" fontId="98" fillId="0" borderId="0" xfId="0" applyFont="1" applyAlignment="1">
      <alignment horizontal="center" vertical="center" wrapText="1"/>
    </xf>
    <xf numFmtId="0" fontId="99" fillId="0" borderId="0" xfId="0" applyFont="1"/>
    <xf numFmtId="17" fontId="100" fillId="0" borderId="0" xfId="0" applyNumberFormat="1" applyFont="1" applyAlignment="1">
      <alignment horizontal="center" vertical="center"/>
    </xf>
    <xf numFmtId="164" fontId="89" fillId="0" borderId="0" xfId="1" applyNumberFormat="1" applyFont="1"/>
    <xf numFmtId="164" fontId="89" fillId="0" borderId="11" xfId="1" applyNumberFormat="1" applyFont="1" applyBorder="1"/>
    <xf numFmtId="0" fontId="89" fillId="0" borderId="0" xfId="0" applyFont="1"/>
    <xf numFmtId="0" fontId="43" fillId="20" borderId="0" xfId="168" applyFont="1" applyFill="1" applyAlignment="1">
      <alignment wrapText="1"/>
    </xf>
    <xf numFmtId="0" fontId="43" fillId="15" borderId="0" xfId="168" applyFont="1" applyFill="1" applyAlignment="1">
      <alignment wrapText="1"/>
    </xf>
    <xf numFmtId="0" fontId="43" fillId="18" borderId="0" xfId="168" applyFont="1" applyFill="1" applyAlignment="1">
      <alignment wrapText="1"/>
    </xf>
    <xf numFmtId="0" fontId="43" fillId="19" borderId="0" xfId="168" applyFont="1" applyFill="1" applyAlignment="1">
      <alignment wrapText="1"/>
    </xf>
    <xf numFmtId="0" fontId="24" fillId="0" borderId="0" xfId="168" applyFont="1" applyAlignment="1">
      <alignment wrapText="1"/>
    </xf>
    <xf numFmtId="0" fontId="61" fillId="15" borderId="0" xfId="168" applyFont="1" applyFill="1" applyAlignment="1">
      <alignment wrapText="1"/>
    </xf>
    <xf numFmtId="0" fontId="61" fillId="18" borderId="0" xfId="168" applyFont="1" applyFill="1" applyAlignment="1">
      <alignment wrapText="1"/>
    </xf>
    <xf numFmtId="0" fontId="61" fillId="19" borderId="0" xfId="168" applyFont="1" applyFill="1" applyAlignment="1">
      <alignment wrapText="1"/>
    </xf>
    <xf numFmtId="2" fontId="56" fillId="0" borderId="0" xfId="168" applyNumberFormat="1" applyFont="1"/>
    <xf numFmtId="0" fontId="56" fillId="0" borderId="0" xfId="168" applyFont="1"/>
    <xf numFmtId="178" fontId="56" fillId="0" borderId="0" xfId="0" applyNumberFormat="1" applyFont="1" applyFill="1"/>
    <xf numFmtId="164" fontId="26" fillId="0" borderId="0" xfId="0" applyNumberFormat="1" applyFont="1" applyFill="1"/>
    <xf numFmtId="2" fontId="28" fillId="0" borderId="0" xfId="0" applyNumberFormat="1" applyFont="1"/>
    <xf numFmtId="164" fontId="0" fillId="0" borderId="0" xfId="0" pivotButton="1" applyNumberFormat="1"/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70" fontId="89" fillId="0" borderId="0" xfId="0" applyNumberFormat="1" applyFont="1" applyFill="1" applyAlignment="1">
      <alignment vertical="center" wrapText="1"/>
    </xf>
    <xf numFmtId="164" fontId="100" fillId="0" borderId="26" xfId="0" applyNumberFormat="1" applyFont="1" applyFill="1" applyBorder="1"/>
    <xf numFmtId="164" fontId="100" fillId="0" borderId="0" xfId="0" applyNumberFormat="1" applyFont="1" applyFill="1" applyBorder="1"/>
    <xf numFmtId="0" fontId="89" fillId="0" borderId="0" xfId="0" applyFont="1" applyAlignment="1">
      <alignment vertical="center" wrapText="1"/>
    </xf>
    <xf numFmtId="44" fontId="89" fillId="0" borderId="0" xfId="0" applyNumberFormat="1" applyFont="1" applyFill="1"/>
    <xf numFmtId="164" fontId="99" fillId="0" borderId="0" xfId="0" applyNumberFormat="1" applyFont="1" applyFill="1"/>
    <xf numFmtId="0" fontId="100" fillId="22" borderId="0" xfId="0" applyFont="1" applyFill="1" applyAlignment="1">
      <alignment vertical="center" wrapText="1"/>
    </xf>
    <xf numFmtId="0" fontId="100" fillId="22" borderId="0" xfId="0" applyFont="1" applyFill="1" applyAlignment="1">
      <alignment horizontal="center" vertical="center" wrapText="1"/>
    </xf>
    <xf numFmtId="8" fontId="24" fillId="0" borderId="0" xfId="145" applyNumberFormat="1" applyFont="1"/>
    <xf numFmtId="0" fontId="101" fillId="0" borderId="0" xfId="0" applyFont="1" applyAlignment="1">
      <alignment horizontal="left" vertical="center" indent="5"/>
    </xf>
    <xf numFmtId="0" fontId="101" fillId="0" borderId="0" xfId="0" applyFont="1" applyAlignment="1">
      <alignment horizontal="left" vertical="center" indent="10"/>
    </xf>
    <xf numFmtId="0" fontId="100" fillId="0" borderId="0" xfId="0" applyFont="1" applyFill="1" applyAlignment="1">
      <alignment horizontal="center" vertical="center" wrapText="1"/>
    </xf>
    <xf numFmtId="43" fontId="26" fillId="0" borderId="0" xfId="1" applyNumberFormat="1" applyFont="1"/>
    <xf numFmtId="0" fontId="26" fillId="0" borderId="0" xfId="0" applyFont="1" applyAlignment="1">
      <alignment vertical="center" wrapText="1"/>
    </xf>
    <xf numFmtId="164" fontId="60" fillId="0" borderId="14" xfId="0" applyNumberFormat="1" applyFont="1" applyFill="1" applyBorder="1"/>
    <xf numFmtId="10" fontId="60" fillId="0" borderId="0" xfId="3" applyNumberFormat="1" applyFont="1" applyFill="1" applyBorder="1"/>
    <xf numFmtId="0" fontId="65" fillId="22" borderId="0" xfId="0" applyFont="1" applyFill="1" applyAlignment="1">
      <alignment horizontal="center" vertical="center" wrapText="1"/>
    </xf>
    <xf numFmtId="164" fontId="65" fillId="0" borderId="26" xfId="0" applyNumberFormat="1" applyFont="1" applyFill="1" applyBorder="1"/>
    <xf numFmtId="164" fontId="65" fillId="0" borderId="14" xfId="0" applyNumberFormat="1" applyFont="1" applyFill="1" applyBorder="1"/>
    <xf numFmtId="165" fontId="104" fillId="0" borderId="0" xfId="2" applyNumberFormat="1" applyFont="1" applyFill="1"/>
    <xf numFmtId="164" fontId="103" fillId="0" borderId="26" xfId="0" applyNumberFormat="1" applyFont="1" applyFill="1" applyBorder="1"/>
    <xf numFmtId="164" fontId="103" fillId="0" borderId="0" xfId="0" applyNumberFormat="1" applyFont="1" applyFill="1" applyBorder="1"/>
    <xf numFmtId="164" fontId="104" fillId="0" borderId="0" xfId="0" applyNumberFormat="1" applyFont="1" applyFill="1"/>
    <xf numFmtId="0" fontId="104" fillId="0" borderId="0" xfId="0" applyFont="1"/>
    <xf numFmtId="0" fontId="103" fillId="0" borderId="0" xfId="0" applyFont="1"/>
    <xf numFmtId="164" fontId="103" fillId="0" borderId="14" xfId="0" applyNumberFormat="1" applyFont="1" applyFill="1" applyBorder="1"/>
    <xf numFmtId="164" fontId="103" fillId="0" borderId="0" xfId="0" applyNumberFormat="1" applyFont="1"/>
    <xf numFmtId="164" fontId="60" fillId="0" borderId="0" xfId="0" applyNumberFormat="1" applyFont="1" applyFill="1" applyBorder="1"/>
    <xf numFmtId="164" fontId="100" fillId="0" borderId="0" xfId="1" applyNumberFormat="1" applyFont="1" applyFill="1" applyAlignment="1">
      <alignment horizontal="center" vertical="center" wrapText="1"/>
    </xf>
    <xf numFmtId="164" fontId="100" fillId="0" borderId="26" xfId="1" applyNumberFormat="1" applyFont="1" applyFill="1" applyBorder="1"/>
    <xf numFmtId="164" fontId="65" fillId="22" borderId="0" xfId="1" applyNumberFormat="1" applyFont="1" applyFill="1" applyAlignment="1">
      <alignment horizontal="center" vertical="center" wrapText="1"/>
    </xf>
    <xf numFmtId="164" fontId="65" fillId="0" borderId="26" xfId="1" applyNumberFormat="1" applyFont="1" applyFill="1" applyBorder="1"/>
    <xf numFmtId="164" fontId="65" fillId="0" borderId="14" xfId="1" applyNumberFormat="1" applyFont="1" applyFill="1" applyBorder="1"/>
    <xf numFmtId="164" fontId="104" fillId="0" borderId="0" xfId="1" applyNumberFormat="1" applyFont="1"/>
    <xf numFmtId="0" fontId="103" fillId="15" borderId="0" xfId="0" applyFont="1" applyFill="1" applyAlignment="1">
      <alignment horizontal="center" vertical="center" wrapText="1"/>
    </xf>
    <xf numFmtId="165" fontId="104" fillId="0" borderId="0" xfId="2" applyNumberFormat="1" applyFont="1"/>
    <xf numFmtId="181" fontId="89" fillId="0" borderId="0" xfId="0" applyNumberFormat="1" applyFont="1" applyFill="1"/>
    <xf numFmtId="43" fontId="64" fillId="0" borderId="0" xfId="1" applyNumberFormat="1" applyFont="1" applyFill="1"/>
    <xf numFmtId="0" fontId="43" fillId="0" borderId="0" xfId="0" applyFont="1" applyFill="1" applyAlignment="1">
      <alignment horizontal="left" vertical="center" wrapText="1"/>
    </xf>
    <xf numFmtId="0" fontId="26" fillId="0" borderId="0" xfId="0" applyFont="1" applyFill="1" applyAlignment="1">
      <alignment horizontal="left"/>
    </xf>
    <xf numFmtId="2" fontId="26" fillId="0" borderId="0" xfId="0" applyNumberFormat="1" applyFont="1" applyFill="1" applyAlignment="1">
      <alignment horizontal="left"/>
    </xf>
    <xf numFmtId="164" fontId="64" fillId="0" borderId="26" xfId="0" applyNumberFormat="1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64" fillId="0" borderId="0" xfId="0" applyFont="1" applyFill="1" applyAlignment="1">
      <alignment horizontal="left"/>
    </xf>
    <xf numFmtId="0" fontId="62" fillId="0" borderId="0" xfId="0" applyFont="1" applyFill="1" applyAlignment="1">
      <alignment horizontal="left"/>
    </xf>
    <xf numFmtId="164" fontId="104" fillId="0" borderId="0" xfId="1" applyNumberFormat="1" applyFont="1" applyFill="1" applyBorder="1"/>
    <xf numFmtId="0" fontId="64" fillId="0" borderId="0" xfId="0" applyFont="1" applyBorder="1"/>
    <xf numFmtId="164" fontId="62" fillId="0" borderId="0" xfId="1" applyNumberFormat="1" applyFont="1" applyFill="1" applyBorder="1"/>
    <xf numFmtId="164" fontId="64" fillId="0" borderId="0" xfId="1" applyNumberFormat="1" applyFont="1" applyBorder="1"/>
    <xf numFmtId="164" fontId="63" fillId="0" borderId="0" xfId="0" applyNumberFormat="1" applyFont="1" applyFill="1" applyBorder="1"/>
    <xf numFmtId="164" fontId="103" fillId="0" borderId="0" xfId="0" applyNumberFormat="1" applyFont="1" applyBorder="1"/>
    <xf numFmtId="164" fontId="63" fillId="0" borderId="0" xfId="0" applyNumberFormat="1" applyFont="1" applyBorder="1"/>
    <xf numFmtId="0" fontId="103" fillId="0" borderId="0" xfId="0" applyFont="1" applyBorder="1"/>
    <xf numFmtId="10" fontId="0" fillId="0" borderId="0" xfId="3" applyNumberFormat="1" applyFont="1" applyFill="1"/>
    <xf numFmtId="164" fontId="97" fillId="0" borderId="0" xfId="1" applyNumberFormat="1" applyFont="1" applyFill="1"/>
    <xf numFmtId="164" fontId="64" fillId="0" borderId="0" xfId="0" applyNumberFormat="1" applyFont="1" applyFill="1"/>
    <xf numFmtId="0" fontId="43" fillId="17" borderId="16" xfId="168" applyFont="1" applyFill="1" applyBorder="1" applyAlignment="1">
      <alignment horizontal="center"/>
    </xf>
    <xf numFmtId="0" fontId="24" fillId="0" borderId="0" xfId="168" applyFont="1" applyFill="1" applyBorder="1"/>
    <xf numFmtId="0" fontId="43" fillId="0" borderId="0" xfId="168" applyFont="1" applyFill="1" applyBorder="1" applyAlignment="1">
      <alignment horizontal="center"/>
    </xf>
    <xf numFmtId="164" fontId="24" fillId="0" borderId="0" xfId="169" applyNumberFormat="1" applyFont="1" applyFill="1" applyBorder="1"/>
    <xf numFmtId="164" fontId="0" fillId="0" borderId="0" xfId="1" applyNumberFormat="1" applyFont="1" applyFill="1" applyBorder="1"/>
    <xf numFmtId="0" fontId="83" fillId="0" borderId="0" xfId="145" applyFont="1" applyFill="1"/>
    <xf numFmtId="0" fontId="24" fillId="0" borderId="0" xfId="145" applyFont="1" applyFill="1"/>
    <xf numFmtId="173" fontId="24" fillId="0" borderId="0" xfId="145" applyNumberFormat="1" applyFont="1" applyFill="1"/>
    <xf numFmtId="180" fontId="24" fillId="0" borderId="0" xfId="1" applyNumberFormat="1" applyFont="1" applyFill="1"/>
    <xf numFmtId="0" fontId="85" fillId="0" borderId="0" xfId="145" applyFont="1" applyFill="1"/>
    <xf numFmtId="0" fontId="86" fillId="0" borderId="0" xfId="145" applyFont="1" applyFill="1"/>
    <xf numFmtId="180" fontId="24" fillId="0" borderId="0" xfId="1" applyNumberFormat="1" applyFont="1" applyFill="1" applyAlignment="1">
      <alignment horizontal="center" vertical="center" wrapText="1"/>
    </xf>
    <xf numFmtId="0" fontId="24" fillId="0" borderId="0" xfId="145" applyFont="1" applyFill="1" applyAlignment="1">
      <alignment horizontal="center" vertical="center"/>
    </xf>
    <xf numFmtId="0" fontId="24" fillId="0" borderId="11" xfId="145" applyFont="1" applyFill="1" applyBorder="1"/>
    <xf numFmtId="0" fontId="87" fillId="0" borderId="11" xfId="145" applyFont="1" applyFill="1" applyBorder="1"/>
    <xf numFmtId="173" fontId="24" fillId="0" borderId="11" xfId="145" applyNumberFormat="1" applyFont="1" applyFill="1" applyBorder="1"/>
    <xf numFmtId="0" fontId="24" fillId="0" borderId="0" xfId="1" applyNumberFormat="1" applyFont="1" applyFill="1" applyAlignment="1">
      <alignment horizontal="center"/>
    </xf>
    <xf numFmtId="0" fontId="24" fillId="0" borderId="0" xfId="145" applyFont="1" applyFill="1" applyAlignment="1">
      <alignment horizontal="center"/>
    </xf>
    <xf numFmtId="0" fontId="24" fillId="0" borderId="0" xfId="145" applyFont="1" applyFill="1" applyAlignment="1">
      <alignment horizontal="left" indent="1"/>
    </xf>
    <xf numFmtId="169" fontId="24" fillId="0" borderId="0" xfId="145" applyNumberFormat="1" applyFont="1" applyFill="1"/>
    <xf numFmtId="8" fontId="24" fillId="0" borderId="0" xfId="145" applyNumberFormat="1" applyFont="1" applyFill="1"/>
    <xf numFmtId="183" fontId="24" fillId="0" borderId="0" xfId="145" applyNumberFormat="1" applyFont="1" applyFill="1"/>
    <xf numFmtId="179" fontId="24" fillId="0" borderId="0" xfId="1" applyNumberFormat="1" applyFont="1" applyFill="1"/>
    <xf numFmtId="182" fontId="24" fillId="0" borderId="0" xfId="145" applyNumberFormat="1" applyFont="1" applyFill="1"/>
    <xf numFmtId="0" fontId="101" fillId="0" borderId="0" xfId="0" applyFont="1" applyFill="1" applyAlignment="1">
      <alignment horizontal="left" vertical="center" indent="5"/>
    </xf>
    <xf numFmtId="0" fontId="24" fillId="0" borderId="0" xfId="0" applyFont="1" applyFill="1" applyAlignment="1">
      <alignment horizontal="left" vertical="center" indent="5"/>
    </xf>
    <xf numFmtId="0" fontId="101" fillId="0" borderId="0" xfId="0" applyFont="1" applyFill="1" applyAlignment="1">
      <alignment vertical="center"/>
    </xf>
    <xf numFmtId="0" fontId="24" fillId="0" borderId="0" xfId="0" applyFont="1" applyFill="1" applyAlignment="1">
      <alignment horizontal="left" vertical="center" indent="10"/>
    </xf>
    <xf numFmtId="0" fontId="101" fillId="0" borderId="0" xfId="0" applyFont="1" applyFill="1" applyAlignment="1">
      <alignment horizontal="left" vertical="center" indent="10"/>
    </xf>
    <xf numFmtId="0" fontId="102" fillId="0" borderId="0" xfId="0" applyFont="1" applyFill="1" applyAlignment="1">
      <alignment horizontal="left" vertical="center" indent="5"/>
    </xf>
    <xf numFmtId="0" fontId="25" fillId="0" borderId="0" xfId="146" applyFont="1" applyFill="1" applyAlignment="1">
      <alignment horizontal="center"/>
    </xf>
    <xf numFmtId="164" fontId="25" fillId="0" borderId="0" xfId="6" applyNumberFormat="1" applyFont="1" applyFill="1" applyBorder="1" applyAlignment="1">
      <alignment horizontal="center"/>
    </xf>
    <xf numFmtId="164" fontId="25" fillId="0" borderId="0" xfId="6" applyNumberFormat="1" applyFont="1" applyFill="1" applyBorder="1"/>
    <xf numFmtId="164" fontId="25" fillId="0" borderId="0" xfId="6" applyNumberFormat="1" applyFont="1" applyFill="1"/>
    <xf numFmtId="164" fontId="25" fillId="0" borderId="12" xfId="6" applyNumberFormat="1" applyFont="1" applyFill="1" applyBorder="1"/>
    <xf numFmtId="164" fontId="25" fillId="0" borderId="0" xfId="6" applyNumberFormat="1" applyFont="1" applyFill="1" applyBorder="1" applyAlignment="1" applyProtection="1">
      <alignment horizontal="left"/>
      <protection locked="0"/>
    </xf>
    <xf numFmtId="164" fontId="25" fillId="0" borderId="15" xfId="6" applyNumberFormat="1" applyFont="1" applyFill="1" applyBorder="1"/>
    <xf numFmtId="164" fontId="67" fillId="0" borderId="14" xfId="6" applyNumberFormat="1" applyFont="1" applyFill="1" applyBorder="1" applyAlignment="1">
      <alignment horizontal="right"/>
    </xf>
    <xf numFmtId="164" fontId="67" fillId="0" borderId="17" xfId="6" applyNumberFormat="1" applyFont="1" applyFill="1" applyBorder="1" applyAlignment="1">
      <alignment horizontal="right"/>
    </xf>
    <xf numFmtId="164" fontId="67" fillId="0" borderId="0" xfId="6" applyNumberFormat="1" applyFont="1" applyFill="1" applyBorder="1" applyAlignment="1">
      <alignment horizontal="right"/>
    </xf>
    <xf numFmtId="0" fontId="25" fillId="0" borderId="0" xfId="146" applyFont="1" applyFill="1"/>
    <xf numFmtId="164" fontId="25" fillId="0" borderId="0" xfId="146" applyNumberFormat="1" applyFont="1" applyFill="1"/>
    <xf numFmtId="0" fontId="25" fillId="16" borderId="0" xfId="146" applyFont="1" applyFill="1"/>
    <xf numFmtId="0" fontId="24" fillId="0" borderId="0" xfId="166" applyFont="1" applyFill="1"/>
    <xf numFmtId="0" fontId="24" fillId="0" borderId="0" xfId="166" applyFont="1" applyFill="1" applyAlignment="1">
      <alignment horizontal="center"/>
    </xf>
    <xf numFmtId="37" fontId="60" fillId="0" borderId="0" xfId="165" applyNumberFormat="1" applyFont="1" applyFill="1"/>
    <xf numFmtId="175" fontId="77" fillId="0" borderId="0" xfId="165" applyNumberFormat="1" applyFont="1" applyFill="1" applyBorder="1" applyAlignment="1">
      <alignment horizontal="center"/>
    </xf>
    <xf numFmtId="43" fontId="26" fillId="0" borderId="0" xfId="165" applyFont="1" applyFill="1" applyAlignment="1">
      <alignment horizontal="left" indent="2"/>
    </xf>
    <xf numFmtId="164" fontId="82" fillId="0" borderId="0" xfId="165" applyNumberFormat="1" applyFont="1" applyFill="1" applyBorder="1" applyProtection="1">
      <protection locked="0"/>
    </xf>
    <xf numFmtId="164" fontId="60" fillId="0" borderId="0" xfId="165" applyNumberFormat="1" applyFont="1" applyFill="1"/>
    <xf numFmtId="43" fontId="26" fillId="0" borderId="0" xfId="165" applyFont="1" applyFill="1" applyBorder="1" applyAlignment="1">
      <alignment horizontal="left" indent="2"/>
    </xf>
    <xf numFmtId="164" fontId="82" fillId="0" borderId="15" xfId="165" applyNumberFormat="1" applyFont="1" applyFill="1" applyBorder="1" applyProtection="1">
      <protection locked="0"/>
    </xf>
    <xf numFmtId="37" fontId="60" fillId="0" borderId="12" xfId="165" applyNumberFormat="1" applyFont="1" applyFill="1" applyBorder="1" applyAlignment="1">
      <alignment horizontal="right"/>
    </xf>
    <xf numFmtId="164" fontId="60" fillId="0" borderId="0" xfId="76" applyNumberFormat="1" applyFont="1" applyFill="1"/>
    <xf numFmtId="164" fontId="26" fillId="0" borderId="0" xfId="76" applyNumberFormat="1" applyFont="1" applyFill="1" applyProtection="1">
      <protection locked="0"/>
    </xf>
    <xf numFmtId="164" fontId="76" fillId="0" borderId="0" xfId="165" applyNumberFormat="1" applyFont="1" applyFill="1" applyBorder="1" applyProtection="1">
      <protection locked="0"/>
    </xf>
    <xf numFmtId="164" fontId="76" fillId="0" borderId="0" xfId="76" applyNumberFormat="1" applyFont="1" applyFill="1" applyBorder="1" applyProtection="1">
      <protection locked="0"/>
    </xf>
    <xf numFmtId="43" fontId="56" fillId="0" borderId="0" xfId="165" applyFont="1" applyFill="1" applyBorder="1" applyAlignment="1">
      <alignment horizontal="left" indent="2"/>
    </xf>
    <xf numFmtId="43" fontId="26" fillId="0" borderId="15" xfId="165" applyFont="1" applyFill="1" applyBorder="1" applyAlignment="1">
      <alignment horizontal="left" indent="2"/>
    </xf>
    <xf numFmtId="164" fontId="24" fillId="0" borderId="0" xfId="166" applyNumberFormat="1" applyFont="1" applyFill="1"/>
    <xf numFmtId="164" fontId="60" fillId="0" borderId="12" xfId="165" applyNumberFormat="1" applyFont="1" applyFill="1" applyBorder="1"/>
    <xf numFmtId="164" fontId="60" fillId="0" borderId="12" xfId="76" applyNumberFormat="1" applyFont="1" applyFill="1" applyBorder="1"/>
    <xf numFmtId="164" fontId="82" fillId="0" borderId="0" xfId="165" applyNumberFormat="1" applyFont="1" applyFill="1" applyProtection="1">
      <protection locked="0"/>
    </xf>
    <xf numFmtId="164" fontId="60" fillId="0" borderId="14" xfId="165" applyNumberFormat="1" applyFont="1" applyFill="1" applyBorder="1" applyAlignment="1">
      <alignment horizontal="right"/>
    </xf>
    <xf numFmtId="37" fontId="60" fillId="0" borderId="0" xfId="165" applyNumberFormat="1" applyFont="1" applyFill="1" applyBorder="1"/>
    <xf numFmtId="37" fontId="60" fillId="0" borderId="14" xfId="165" applyNumberFormat="1" applyFont="1" applyFill="1" applyBorder="1" applyAlignment="1">
      <alignment horizontal="right"/>
    </xf>
    <xf numFmtId="164" fontId="60" fillId="0" borderId="14" xfId="165" applyNumberFormat="1" applyFont="1" applyFill="1" applyBorder="1"/>
    <xf numFmtId="164" fontId="60" fillId="0" borderId="14" xfId="76" applyNumberFormat="1" applyFont="1" applyFill="1" applyBorder="1"/>
    <xf numFmtId="164" fontId="82" fillId="0" borderId="0" xfId="165" applyNumberFormat="1" applyFont="1" applyFill="1" applyBorder="1" applyAlignment="1" applyProtection="1">
      <alignment vertical="center"/>
      <protection locked="0"/>
    </xf>
    <xf numFmtId="164" fontId="82" fillId="0" borderId="0" xfId="76" applyNumberFormat="1" applyFont="1" applyFill="1" applyBorder="1" applyAlignment="1" applyProtection="1">
      <alignment vertical="center"/>
      <protection locked="0"/>
    </xf>
    <xf numFmtId="0" fontId="56" fillId="0" borderId="0" xfId="146" applyFont="1" applyFill="1" applyAlignment="1">
      <alignment horizontal="right"/>
    </xf>
    <xf numFmtId="164" fontId="60" fillId="0" borderId="0" xfId="165" applyNumberFormat="1" applyFont="1" applyFill="1" applyBorder="1" applyAlignment="1" applyProtection="1">
      <alignment horizontal="right"/>
      <protection locked="0"/>
    </xf>
    <xf numFmtId="0" fontId="60" fillId="0" borderId="0" xfId="166" applyFont="1" applyFill="1"/>
    <xf numFmtId="43" fontId="26" fillId="0" borderId="0" xfId="167" applyFont="1" applyFill="1" applyBorder="1" applyAlignment="1">
      <alignment horizontal="left" indent="2"/>
    </xf>
    <xf numFmtId="164" fontId="26" fillId="0" borderId="0" xfId="165" applyNumberFormat="1" applyFont="1" applyFill="1" applyBorder="1" applyAlignment="1" applyProtection="1">
      <alignment horizontal="right"/>
      <protection locked="0"/>
    </xf>
    <xf numFmtId="0" fontId="60" fillId="0" borderId="0" xfId="166" applyFont="1" applyFill="1" applyAlignment="1">
      <alignment horizontal="left" indent="4"/>
    </xf>
    <xf numFmtId="164" fontId="60" fillId="0" borderId="0" xfId="165" applyNumberFormat="1" applyFont="1" applyFill="1" applyBorder="1" applyAlignment="1">
      <alignment horizontal="right"/>
    </xf>
    <xf numFmtId="0" fontId="62" fillId="0" borderId="0" xfId="166" applyFont="1" applyFill="1"/>
    <xf numFmtId="0" fontId="67" fillId="0" borderId="0" xfId="164" applyFont="1" applyFill="1"/>
    <xf numFmtId="164" fontId="60" fillId="0" borderId="0" xfId="146" applyNumberFormat="1" applyFont="1" applyFill="1"/>
    <xf numFmtId="164" fontId="0" fillId="0" borderId="0" xfId="166" applyNumberFormat="1" applyFont="1" applyFill="1"/>
    <xf numFmtId="0" fontId="26" fillId="0" borderId="0" xfId="164" applyFont="1" applyFill="1"/>
    <xf numFmtId="0" fontId="26" fillId="0" borderId="0" xfId="166" applyFont="1" applyFill="1" applyAlignment="1">
      <alignment horizontal="center"/>
    </xf>
    <xf numFmtId="175" fontId="60" fillId="0" borderId="0" xfId="165" applyNumberFormat="1" applyFont="1" applyFill="1" applyBorder="1" applyAlignment="1">
      <alignment horizontal="center"/>
    </xf>
    <xf numFmtId="164" fontId="26" fillId="0" borderId="0" xfId="165" applyNumberFormat="1" applyFont="1" applyFill="1" applyBorder="1" applyProtection="1">
      <protection locked="0"/>
    </xf>
    <xf numFmtId="43" fontId="26" fillId="0" borderId="0" xfId="164" applyNumberFormat="1" applyFont="1" applyFill="1"/>
    <xf numFmtId="164" fontId="26" fillId="0" borderId="15" xfId="165" applyNumberFormat="1" applyFont="1" applyFill="1" applyBorder="1" applyProtection="1">
      <protection locked="0"/>
    </xf>
    <xf numFmtId="164" fontId="26" fillId="0" borderId="0" xfId="165" applyNumberFormat="1" applyFont="1" applyFill="1"/>
    <xf numFmtId="164" fontId="26" fillId="0" borderId="0" xfId="165" applyNumberFormat="1" applyFont="1" applyFill="1" applyBorder="1" applyAlignment="1" applyProtection="1">
      <alignment vertical="center"/>
      <protection locked="0"/>
    </xf>
    <xf numFmtId="164" fontId="60" fillId="0" borderId="0" xfId="165" applyNumberFormat="1" applyFont="1" applyFill="1" applyBorder="1"/>
    <xf numFmtId="164" fontId="26" fillId="0" borderId="0" xfId="76" applyNumberFormat="1" applyFont="1" applyFill="1" applyBorder="1" applyProtection="1">
      <protection locked="0"/>
    </xf>
    <xf numFmtId="0" fontId="60" fillId="0" borderId="16" xfId="166" applyFont="1" applyFill="1" applyBorder="1" applyAlignment="1">
      <alignment horizontal="left" indent="4"/>
    </xf>
    <xf numFmtId="0" fontId="26" fillId="0" borderId="0" xfId="166" applyFont="1" applyFill="1" applyAlignment="1">
      <alignment horizontal="left" indent="4"/>
    </xf>
    <xf numFmtId="164" fontId="26" fillId="0" borderId="0" xfId="165" applyNumberFormat="1" applyFont="1" applyFill="1" applyBorder="1" applyAlignment="1">
      <alignment horizontal="right"/>
    </xf>
    <xf numFmtId="164" fontId="26" fillId="0" borderId="0" xfId="76" applyNumberFormat="1" applyFont="1" applyFill="1" applyBorder="1" applyAlignment="1">
      <alignment horizontal="right"/>
    </xf>
    <xf numFmtId="0" fontId="60" fillId="0" borderId="0" xfId="164" applyFont="1" applyFill="1"/>
    <xf numFmtId="0" fontId="105" fillId="0" borderId="0" xfId="171" applyFont="1" applyFill="1" applyAlignment="1">
      <alignment horizontal="center"/>
    </xf>
    <xf numFmtId="165" fontId="25" fillId="0" borderId="0" xfId="75" applyNumberFormat="1" applyFont="1" applyFill="1" applyBorder="1" applyProtection="1">
      <protection locked="0"/>
    </xf>
    <xf numFmtId="165" fontId="25" fillId="0" borderId="0" xfId="75" applyNumberFormat="1" applyFont="1" applyFill="1" applyBorder="1" applyAlignment="1" applyProtection="1">
      <alignment vertical="center"/>
      <protection locked="0"/>
    </xf>
    <xf numFmtId="0" fontId="43" fillId="17" borderId="17" xfId="23" applyFont="1" applyFill="1" applyBorder="1"/>
    <xf numFmtId="0" fontId="0" fillId="0" borderId="0" xfId="0" applyFont="1"/>
    <xf numFmtId="0" fontId="0" fillId="0" borderId="0" xfId="0" quotePrefix="1" applyNumberFormat="1" applyAlignment="1">
      <alignment horizontal="center" vertical="center"/>
    </xf>
    <xf numFmtId="0" fontId="58" fillId="0" borderId="0" xfId="153" applyAlignment="1">
      <alignment horizontal="left" vertical="center"/>
    </xf>
    <xf numFmtId="0" fontId="58" fillId="9" borderId="0" xfId="153" applyFill="1" applyAlignment="1">
      <alignment horizontal="left" vertical="center"/>
    </xf>
    <xf numFmtId="2" fontId="0" fillId="0" borderId="0" xfId="168" applyNumberFormat="1" applyFont="1"/>
    <xf numFmtId="0" fontId="43" fillId="15" borderId="25" xfId="168" applyFont="1" applyFill="1" applyBorder="1" applyAlignment="1">
      <alignment horizontal="center" vertical="center" wrapText="1"/>
    </xf>
    <xf numFmtId="0" fontId="43" fillId="15" borderId="29" xfId="168" applyFont="1" applyFill="1" applyBorder="1" applyAlignment="1">
      <alignment horizontal="center" vertical="center" wrapText="1"/>
    </xf>
    <xf numFmtId="0" fontId="43" fillId="15" borderId="28" xfId="168" applyFont="1" applyFill="1" applyBorder="1" applyAlignment="1">
      <alignment horizontal="center" vertical="center" wrapText="1"/>
    </xf>
    <xf numFmtId="0" fontId="43" fillId="15" borderId="16" xfId="0" applyFont="1" applyFill="1" applyBorder="1" applyAlignment="1">
      <alignment horizontal="center" vertical="center"/>
    </xf>
    <xf numFmtId="0" fontId="43" fillId="15" borderId="14" xfId="0" applyFont="1" applyFill="1" applyBorder="1" applyAlignment="1">
      <alignment horizontal="center" vertical="center"/>
    </xf>
    <xf numFmtId="0" fontId="43" fillId="15" borderId="17" xfId="0" applyFont="1" applyFill="1" applyBorder="1" applyAlignment="1">
      <alignment horizontal="center" vertical="center"/>
    </xf>
    <xf numFmtId="0" fontId="43" fillId="15" borderId="16" xfId="1" applyNumberFormat="1" applyFont="1" applyFill="1" applyBorder="1" applyAlignment="1">
      <alignment horizontal="center" vertical="center" wrapText="1"/>
    </xf>
    <xf numFmtId="0" fontId="43" fillId="15" borderId="14" xfId="1" applyNumberFormat="1" applyFont="1" applyFill="1" applyBorder="1" applyAlignment="1">
      <alignment horizontal="center" vertical="center" wrapText="1"/>
    </xf>
    <xf numFmtId="0" fontId="43" fillId="15" borderId="17" xfId="1" applyNumberFormat="1" applyFont="1" applyFill="1" applyBorder="1" applyAlignment="1">
      <alignment horizontal="center" vertical="center" wrapText="1"/>
    </xf>
    <xf numFmtId="0" fontId="43" fillId="15" borderId="18" xfId="168" applyFont="1" applyFill="1" applyBorder="1" applyAlignment="1">
      <alignment horizontal="center" vertical="center"/>
    </xf>
    <xf numFmtId="0" fontId="43" fillId="15" borderId="16" xfId="168" applyFont="1" applyFill="1" applyBorder="1" applyAlignment="1">
      <alignment horizontal="center" vertical="center"/>
    </xf>
    <xf numFmtId="0" fontId="43" fillId="15" borderId="14" xfId="168" applyFont="1" applyFill="1" applyBorder="1" applyAlignment="1">
      <alignment horizontal="center" vertical="center"/>
    </xf>
    <xf numFmtId="0" fontId="43" fillId="15" borderId="17" xfId="168" applyFont="1" applyFill="1" applyBorder="1" applyAlignment="1">
      <alignment horizontal="center" vertical="center"/>
    </xf>
    <xf numFmtId="0" fontId="85" fillId="0" borderId="0" xfId="145" applyFont="1" applyFill="1" applyAlignment="1">
      <alignment horizontal="center"/>
    </xf>
    <xf numFmtId="173" fontId="85" fillId="0" borderId="0" xfId="145" applyNumberFormat="1" applyFont="1" applyFill="1" applyAlignment="1">
      <alignment horizontal="center"/>
    </xf>
  </cellXfs>
  <cellStyles count="189">
    <cellStyle name="40% - Accent1" xfId="151" builtinId="31"/>
    <cellStyle name="Calculation 2" xfId="4" xr:uid="{00000000-0005-0000-0000-000000000000}"/>
    <cellStyle name="Calculation 3" xfId="49" xr:uid="{00000000-0005-0000-0000-000001000000}"/>
    <cellStyle name="CheckCell" xfId="5" xr:uid="{00000000-0005-0000-0000-000002000000}"/>
    <cellStyle name="CheckCell 2" xfId="86" xr:uid="{00000000-0005-0000-0000-000003000000}"/>
    <cellStyle name="Comma" xfId="1" builtinId="3"/>
    <cellStyle name="Comma 10" xfId="160" xr:uid="{F0B06351-0C06-46DB-9DE5-52FF2BDA8053}"/>
    <cellStyle name="Comma 10 2" xfId="174" xr:uid="{4BA2D8EE-FA0F-4503-808D-2A46F9801FF6}"/>
    <cellStyle name="Comma 10 3" xfId="76" xr:uid="{00000000-0005-0000-0000-000005000000}"/>
    <cellStyle name="Comma 11" xfId="165" xr:uid="{012CC4EB-286E-4024-BFC7-0B40AB1E697B}"/>
    <cellStyle name="Comma 12" xfId="169" xr:uid="{644C474A-4954-424A-98ED-BB46298C3E5E}"/>
    <cellStyle name="Comma 13" xfId="178" xr:uid="{E48B34DD-5875-4B54-8EB3-7E41A86DE4B5}"/>
    <cellStyle name="Comma 14" xfId="181" xr:uid="{AE68B630-A989-43A7-A972-728C58394E7F}"/>
    <cellStyle name="Comma 15" xfId="186" xr:uid="{18953E2F-5825-4635-BC5B-270679CBD75F}"/>
    <cellStyle name="Comma 16" xfId="187" xr:uid="{847C351B-139B-419F-A1FE-42CBC3A0674B}"/>
    <cellStyle name="Comma 2" xfId="6" xr:uid="{00000000-0005-0000-0000-000006000000}"/>
    <cellStyle name="Comma 2 2" xfId="72" xr:uid="{00000000-0005-0000-0000-000007000000}"/>
    <cellStyle name="Comma 2 2 2" xfId="87" xr:uid="{00000000-0005-0000-0000-000008000000}"/>
    <cellStyle name="Comma 2 3" xfId="55" xr:uid="{00000000-0005-0000-0000-000009000000}"/>
    <cellStyle name="Comma 21 4" xfId="148" xr:uid="{04BDC56C-9579-4C21-924F-EC5A1AC45862}"/>
    <cellStyle name="Comma 21 4 2" xfId="163" xr:uid="{7CD0C684-FC3C-43C7-BFEF-C128A19AED15}"/>
    <cellStyle name="Comma 21 4 3" xfId="167" xr:uid="{1FFBD91B-B579-4E5F-A6BE-81C8C2CADB8E}"/>
    <cellStyle name="Comma 21 4 4" xfId="173" xr:uid="{79F9735F-92A7-419E-96EA-49AE5A29B7BD}"/>
    <cellStyle name="Comma 21 4 5" xfId="184" xr:uid="{0A177658-399F-49AB-B56C-EDCF76FB4A7A}"/>
    <cellStyle name="Comma 3" xfId="7" xr:uid="{00000000-0005-0000-0000-00000A000000}"/>
    <cellStyle name="Comma 3 2" xfId="88" xr:uid="{00000000-0005-0000-0000-00000B000000}"/>
    <cellStyle name="Comma 4" xfId="47" xr:uid="{00000000-0005-0000-0000-00000C000000}"/>
    <cellStyle name="Comma 4 2" xfId="66" xr:uid="{00000000-0005-0000-0000-00000D000000}"/>
    <cellStyle name="Comma 5" xfId="69" xr:uid="{00000000-0005-0000-0000-00000E000000}"/>
    <cellStyle name="Comma 6" xfId="52" xr:uid="{00000000-0005-0000-0000-00000F000000}"/>
    <cellStyle name="Comma 7" xfId="89" xr:uid="{00000000-0005-0000-0000-000010000000}"/>
    <cellStyle name="Comma 8" xfId="137" xr:uid="{00000000-0005-0000-0000-000011000000}"/>
    <cellStyle name="Comma 9" xfId="156" xr:uid="{13C3F9FB-F27F-4B63-8DE2-0CD3FABCF1BC}"/>
    <cellStyle name="Comma0" xfId="8" xr:uid="{00000000-0005-0000-0000-000012000000}"/>
    <cellStyle name="Comma0 - Style2" xfId="9" xr:uid="{00000000-0005-0000-0000-000013000000}"/>
    <cellStyle name="Comma0 - Style5" xfId="10" xr:uid="{00000000-0005-0000-0000-000014000000}"/>
    <cellStyle name="Comma0 - Style5 2" xfId="90" xr:uid="{00000000-0005-0000-0000-000015000000}"/>
    <cellStyle name="Comma0 2" xfId="91" xr:uid="{00000000-0005-0000-0000-000016000000}"/>
    <cellStyle name="Comma0_00COS Ind Allocators" xfId="11" xr:uid="{00000000-0005-0000-0000-000017000000}"/>
    <cellStyle name="Comma1 - Style1" xfId="12" xr:uid="{00000000-0005-0000-0000-000018000000}"/>
    <cellStyle name="Comma1 - Style1 2" xfId="92" xr:uid="{00000000-0005-0000-0000-000019000000}"/>
    <cellStyle name="COPY" xfId="93" xr:uid="{00000000-0005-0000-0000-00001A000000}"/>
    <cellStyle name="Curren - Style2" xfId="13" xr:uid="{00000000-0005-0000-0000-00001B000000}"/>
    <cellStyle name="Curren - Style2 2" xfId="94" xr:uid="{00000000-0005-0000-0000-00001C000000}"/>
    <cellStyle name="Curren - Style6" xfId="14" xr:uid="{00000000-0005-0000-0000-00001D000000}"/>
    <cellStyle name="Curren - Style6 2" xfId="95" xr:uid="{00000000-0005-0000-0000-00001E000000}"/>
    <cellStyle name="Currency" xfId="2" builtinId="4"/>
    <cellStyle name="Currency 10" xfId="75" xr:uid="{00000000-0005-0000-0000-000020000000}"/>
    <cellStyle name="Currency 2" xfId="15" xr:uid="{00000000-0005-0000-0000-000021000000}"/>
    <cellStyle name="Currency 2 2" xfId="96" xr:uid="{00000000-0005-0000-0000-000022000000}"/>
    <cellStyle name="Currency 3" xfId="46" xr:uid="{00000000-0005-0000-0000-000023000000}"/>
    <cellStyle name="Currency 3 2" xfId="67" xr:uid="{00000000-0005-0000-0000-000024000000}"/>
    <cellStyle name="Currency 3 2 2" xfId="150" xr:uid="{788F182C-4926-4C7F-B9D0-EB3B74AA5935}"/>
    <cellStyle name="Currency 3 3" xfId="84" xr:uid="{00000000-0005-0000-0000-000025000000}"/>
    <cellStyle name="Currency 3 3 2" xfId="143" xr:uid="{DD95544B-0F63-483B-9EC1-448AF8FDC532}"/>
    <cellStyle name="Currency 3 4" xfId="141" xr:uid="{6B5F7AF6-63DC-4BA8-AE30-F5C50ED922FE}"/>
    <cellStyle name="Currency 4" xfId="73" xr:uid="{00000000-0005-0000-0000-000026000000}"/>
    <cellStyle name="Currency 40 82" xfId="149" xr:uid="{4C0C2F78-74AD-4587-8D0F-1D9231E3ADC3}"/>
    <cellStyle name="Currency 5" xfId="53" xr:uid="{00000000-0005-0000-0000-000027000000}"/>
    <cellStyle name="Currency 6" xfId="139" xr:uid="{00000000-0005-0000-0000-000028000000}"/>
    <cellStyle name="Currency 7" xfId="157" xr:uid="{711EE509-4C62-4EC7-99EB-BEBC007B6C06}"/>
    <cellStyle name="Currency 8" xfId="176" xr:uid="{19CB62E2-1B34-43A6-81BA-C38558741AB1}"/>
    <cellStyle name="Currency0" xfId="16" xr:uid="{00000000-0005-0000-0000-000029000000}"/>
    <cellStyle name="Currency0 2" xfId="97" xr:uid="{00000000-0005-0000-0000-00002A000000}"/>
    <cellStyle name="Date" xfId="17" xr:uid="{00000000-0005-0000-0000-00002B000000}"/>
    <cellStyle name="Date 2" xfId="98" xr:uid="{00000000-0005-0000-0000-00002C000000}"/>
    <cellStyle name="Fixed" xfId="18" xr:uid="{00000000-0005-0000-0000-00002D000000}"/>
    <cellStyle name="Fixed 2" xfId="99" xr:uid="{00000000-0005-0000-0000-00002E000000}"/>
    <cellStyle name="Hyperlink" xfId="153" builtinId="8"/>
    <cellStyle name="Hyperlink 2" xfId="100" xr:uid="{00000000-0005-0000-0000-000030000000}"/>
    <cellStyle name="Hyperlink 3" xfId="171" xr:uid="{9125365A-5E7D-4B7D-8983-B6C82FDA9E6A}"/>
    <cellStyle name="Input Cells" xfId="19" xr:uid="{00000000-0005-0000-0000-000031000000}"/>
    <cellStyle name="Input Cells 2" xfId="101" xr:uid="{00000000-0005-0000-0000-000032000000}"/>
    <cellStyle name="Input Cells Percent" xfId="20" xr:uid="{00000000-0005-0000-0000-000033000000}"/>
    <cellStyle name="Input Cells Percent 2" xfId="102" xr:uid="{00000000-0005-0000-0000-000034000000}"/>
    <cellStyle name="Input Cells_ACCOUNTALLOC" xfId="21" xr:uid="{00000000-0005-0000-0000-000035000000}"/>
    <cellStyle name="LINKED" xfId="22" xr:uid="{00000000-0005-0000-0000-000036000000}"/>
    <cellStyle name="Normal" xfId="0" builtinId="0"/>
    <cellStyle name="Normal 10" xfId="103" xr:uid="{00000000-0005-0000-0000-000038000000}"/>
    <cellStyle name="Normal 10 2" xfId="146" xr:uid="{7A9566D3-7FF1-4CED-AF35-CFD65D42BED2}"/>
    <cellStyle name="Normal 11" xfId="104" xr:uid="{00000000-0005-0000-0000-000039000000}"/>
    <cellStyle name="Normal 12" xfId="105" xr:uid="{00000000-0005-0000-0000-00003A000000}"/>
    <cellStyle name="Normal 13" xfId="106" xr:uid="{00000000-0005-0000-0000-00003B000000}"/>
    <cellStyle name="Normal 14" xfId="107" xr:uid="{00000000-0005-0000-0000-00003C000000}"/>
    <cellStyle name="Normal 15" xfId="108" xr:uid="{00000000-0005-0000-0000-00003D000000}"/>
    <cellStyle name="Normal 16" xfId="109" xr:uid="{00000000-0005-0000-0000-00003E000000}"/>
    <cellStyle name="Normal 164" xfId="175" xr:uid="{F8EF30B6-24DB-404A-9E39-A7EE8C7AB170}"/>
    <cellStyle name="Normal 17" xfId="110" xr:uid="{00000000-0005-0000-0000-00003F000000}"/>
    <cellStyle name="Normal 18" xfId="111" xr:uid="{00000000-0005-0000-0000-000040000000}"/>
    <cellStyle name="Normal 19" xfId="112" xr:uid="{00000000-0005-0000-0000-000041000000}"/>
    <cellStyle name="Normal 2" xfId="23" xr:uid="{00000000-0005-0000-0000-000042000000}"/>
    <cellStyle name="Normal 2 2" xfId="57" xr:uid="{00000000-0005-0000-0000-000043000000}"/>
    <cellStyle name="Normal 2 2 2" xfId="113" xr:uid="{00000000-0005-0000-0000-000044000000}"/>
    <cellStyle name="Normal 2 2 3" xfId="114" xr:uid="{00000000-0005-0000-0000-000045000000}"/>
    <cellStyle name="Normal 2 3" xfId="54" xr:uid="{00000000-0005-0000-0000-000046000000}"/>
    <cellStyle name="Normal 2 4" xfId="115" xr:uid="{00000000-0005-0000-0000-000047000000}"/>
    <cellStyle name="Normal 2 5" xfId="116" xr:uid="{00000000-0005-0000-0000-000048000000}"/>
    <cellStyle name="Normal 20" xfId="117" xr:uid="{00000000-0005-0000-0000-000049000000}"/>
    <cellStyle name="Normal 20 2" xfId="134" xr:uid="{00000000-0005-0000-0000-00004A000000}"/>
    <cellStyle name="Normal 21" xfId="135" xr:uid="{00000000-0005-0000-0000-00004B000000}"/>
    <cellStyle name="Normal 21 3" xfId="147" xr:uid="{85A7257D-922D-4D17-AC53-24309765CF7A}"/>
    <cellStyle name="Normal 21 3 2" xfId="162" xr:uid="{15138A17-D5B5-4C63-9DA0-87578D1B6CD1}"/>
    <cellStyle name="Normal 21 3 3" xfId="166" xr:uid="{0943529E-61F5-43A2-A60C-A3ABB83C76F7}"/>
    <cellStyle name="Normal 21 3 4" xfId="172" xr:uid="{DB9BD4DD-B41F-498F-AA2E-4F7520844DEB}"/>
    <cellStyle name="Normal 21 3 5" xfId="183" xr:uid="{036A0BDB-D942-4E7E-B007-3323B1BE54A7}"/>
    <cellStyle name="Normal 22" xfId="136" xr:uid="{00000000-0005-0000-0000-00004C000000}"/>
    <cellStyle name="Normal 23" xfId="140" xr:uid="{1B938467-BD70-47AC-A5F8-7F6075D16F4C}"/>
    <cellStyle name="Normal 24" xfId="142" xr:uid="{A9745F36-BC4E-4396-9C13-3CFA3B836D3F}"/>
    <cellStyle name="Normal 25" xfId="145" xr:uid="{3E2BAC1A-9E21-4FD5-93B3-46A679AFD51A}"/>
    <cellStyle name="Normal 26" xfId="152" xr:uid="{98B1F67C-FE70-4B3A-A355-7A308FF30EFC}"/>
    <cellStyle name="Normal 27" xfId="154" xr:uid="{8379E4DC-BF94-4536-9E46-D7315CC02DBC}"/>
    <cellStyle name="Normal 28" xfId="155" xr:uid="{7446D8D5-96DA-4507-8223-AB2BA5B4E37D}"/>
    <cellStyle name="Normal 29" xfId="158" xr:uid="{2A5F2EC3-86A9-4766-A0A6-B3006E5775F3}"/>
    <cellStyle name="Normal 3" xfId="24" xr:uid="{00000000-0005-0000-0000-00004D000000}"/>
    <cellStyle name="Normal 3 2" xfId="74" xr:uid="{00000000-0005-0000-0000-00004E000000}"/>
    <cellStyle name="Normal 3 3" xfId="56" xr:uid="{00000000-0005-0000-0000-00004F000000}"/>
    <cellStyle name="Normal 30" xfId="159" xr:uid="{2B82143F-D340-4848-B44D-13ACF6352E40}"/>
    <cellStyle name="Normal 31" xfId="164" xr:uid="{ABC98400-920C-44BC-BC3A-B4B0721338A5}"/>
    <cellStyle name="Normal 32" xfId="168" xr:uid="{EB4B49BB-0C33-42DC-BBB6-BF66A439AF10}"/>
    <cellStyle name="Normal 33" xfId="177" xr:uid="{1E34EB46-61C3-403F-A834-4051877B267C}"/>
    <cellStyle name="Normal 338" xfId="60" xr:uid="{00000000-0005-0000-0000-000050000000}"/>
    <cellStyle name="Normal 338 2" xfId="79" xr:uid="{00000000-0005-0000-0000-000051000000}"/>
    <cellStyle name="Normal 338 3" xfId="63" xr:uid="{00000000-0005-0000-0000-000052000000}"/>
    <cellStyle name="Normal 338 4" xfId="81" xr:uid="{00000000-0005-0000-0000-000053000000}"/>
    <cellStyle name="Normal 338 5" xfId="82" xr:uid="{00000000-0005-0000-0000-000054000000}"/>
    <cellStyle name="Normal 34" xfId="180" xr:uid="{9C34D8D3-878F-480C-B686-8E92574BEA2A}"/>
    <cellStyle name="Normal 35" xfId="185" xr:uid="{CD28C3A7-D80E-4FDF-BB09-5BBC0AE5730E}"/>
    <cellStyle name="Normal 36" xfId="188" xr:uid="{536313AC-5A2E-4AFB-8AC2-B28C8CFFE0F6}"/>
    <cellStyle name="Normal 4" xfId="45" xr:uid="{00000000-0005-0000-0000-000055000000}"/>
    <cellStyle name="Normal 4 2" xfId="71" xr:uid="{00000000-0005-0000-0000-000056000000}"/>
    <cellStyle name="Normal 4 2 2" xfId="118" xr:uid="{00000000-0005-0000-0000-000057000000}"/>
    <cellStyle name="Normal 4 3" xfId="59" xr:uid="{00000000-0005-0000-0000-000058000000}"/>
    <cellStyle name="Normal 4 5" xfId="62" xr:uid="{00000000-0005-0000-0000-000059000000}"/>
    <cellStyle name="Normal 4 5 2" xfId="78" xr:uid="{00000000-0005-0000-0000-00005A000000}"/>
    <cellStyle name="Normal 4 5 3" xfId="80" xr:uid="{00000000-0005-0000-0000-00005B000000}"/>
    <cellStyle name="Normal 4 5 4" xfId="77" xr:uid="{00000000-0005-0000-0000-00005C000000}"/>
    <cellStyle name="Normal 4 5 5" xfId="83" xr:uid="{00000000-0005-0000-0000-00005D000000}"/>
    <cellStyle name="Normal 5" xfId="61" xr:uid="{00000000-0005-0000-0000-00005E000000}"/>
    <cellStyle name="Normal 5 2" xfId="119" xr:uid="{00000000-0005-0000-0000-00005F000000}"/>
    <cellStyle name="Normal 6" xfId="64" xr:uid="{00000000-0005-0000-0000-000060000000}"/>
    <cellStyle name="Normal 7" xfId="65" xr:uid="{00000000-0005-0000-0000-000061000000}"/>
    <cellStyle name="Normal 8" xfId="68" xr:uid="{00000000-0005-0000-0000-000062000000}"/>
    <cellStyle name="Normal 9" xfId="51" xr:uid="{00000000-0005-0000-0000-000063000000}"/>
    <cellStyle name="Percen - Style1" xfId="25" xr:uid="{00000000-0005-0000-0000-000064000000}"/>
    <cellStyle name="Percen - Style3" xfId="26" xr:uid="{00000000-0005-0000-0000-000065000000}"/>
    <cellStyle name="Percen - Style3 2" xfId="120" xr:uid="{00000000-0005-0000-0000-000066000000}"/>
    <cellStyle name="Percent" xfId="3" builtinId="5"/>
    <cellStyle name="Percent 10" xfId="161" xr:uid="{BC1F7DCF-3564-4F70-AD96-6A12044A1E94}"/>
    <cellStyle name="Percent 11" xfId="170" xr:uid="{CA7BADFB-96A6-45E3-9E2A-FAE98BCE1116}"/>
    <cellStyle name="Percent 12" xfId="179" xr:uid="{65BA1061-7751-4A4F-8037-701FD7CC1748}"/>
    <cellStyle name="Percent 13" xfId="182" xr:uid="{7247D0C7-BBD2-4919-9BC4-14F84C9DFF99}"/>
    <cellStyle name="Percent 2" xfId="27" xr:uid="{00000000-0005-0000-0000-000068000000}"/>
    <cellStyle name="Percent 2 2" xfId="121" xr:uid="{00000000-0005-0000-0000-000069000000}"/>
    <cellStyle name="Percent 3" xfId="28" xr:uid="{00000000-0005-0000-0000-00006A000000}"/>
    <cellStyle name="Percent 3 2" xfId="70" xr:uid="{00000000-0005-0000-0000-00006B000000}"/>
    <cellStyle name="Percent 4" xfId="48" xr:uid="{00000000-0005-0000-0000-00006C000000}"/>
    <cellStyle name="Percent 4 2" xfId="85" xr:uid="{00000000-0005-0000-0000-00006D000000}"/>
    <cellStyle name="Percent 5" xfId="58" xr:uid="{00000000-0005-0000-0000-00006E000000}"/>
    <cellStyle name="Percent 6" xfId="122" xr:uid="{00000000-0005-0000-0000-00006F000000}"/>
    <cellStyle name="Percent 7" xfId="123" xr:uid="{00000000-0005-0000-0000-000070000000}"/>
    <cellStyle name="Percent 8" xfId="138" xr:uid="{00000000-0005-0000-0000-000071000000}"/>
    <cellStyle name="Percent 9" xfId="144" xr:uid="{823144C0-6CC0-4AC3-B18D-F39BF6BA1014}"/>
    <cellStyle name="Processing" xfId="29" xr:uid="{00000000-0005-0000-0000-000072000000}"/>
    <cellStyle name="Processing 2" xfId="124" xr:uid="{00000000-0005-0000-0000-000073000000}"/>
    <cellStyle name="purple - Style8" xfId="30" xr:uid="{00000000-0005-0000-0000-000074000000}"/>
    <cellStyle name="purple - Style8 2" xfId="125" xr:uid="{00000000-0005-0000-0000-000075000000}"/>
    <cellStyle name="RED" xfId="31" xr:uid="{00000000-0005-0000-0000-000076000000}"/>
    <cellStyle name="Red - Style7" xfId="32" xr:uid="{00000000-0005-0000-0000-000077000000}"/>
    <cellStyle name="Red - Style7 2" xfId="126" xr:uid="{00000000-0005-0000-0000-000078000000}"/>
    <cellStyle name="Report" xfId="33" xr:uid="{00000000-0005-0000-0000-000079000000}"/>
    <cellStyle name="Report 2" xfId="127" xr:uid="{00000000-0005-0000-0000-00007A000000}"/>
    <cellStyle name="Report Bar" xfId="34" xr:uid="{00000000-0005-0000-0000-00007B000000}"/>
    <cellStyle name="Report Bar 2" xfId="128" xr:uid="{00000000-0005-0000-0000-00007C000000}"/>
    <cellStyle name="Report Heading" xfId="35" xr:uid="{00000000-0005-0000-0000-00007D000000}"/>
    <cellStyle name="Report Percent" xfId="36" xr:uid="{00000000-0005-0000-0000-00007E000000}"/>
    <cellStyle name="Report Unit Cost" xfId="37" xr:uid="{00000000-0005-0000-0000-00007F000000}"/>
    <cellStyle name="Report Unit Cost 2" xfId="50" xr:uid="{00000000-0005-0000-0000-000080000000}"/>
    <cellStyle name="Reports Total" xfId="38" xr:uid="{00000000-0005-0000-0000-000081000000}"/>
    <cellStyle name="Reports Total 2" xfId="129" xr:uid="{00000000-0005-0000-0000-000082000000}"/>
    <cellStyle name="Reports Unit Cost Total" xfId="39" xr:uid="{00000000-0005-0000-0000-000083000000}"/>
    <cellStyle name="Sub-total" xfId="40" xr:uid="{00000000-0005-0000-0000-000084000000}"/>
    <cellStyle name="Test" xfId="130" xr:uid="{00000000-0005-0000-0000-000085000000}"/>
    <cellStyle name="Test 2" xfId="131" xr:uid="{00000000-0005-0000-0000-000086000000}"/>
    <cellStyle name="Title: Major" xfId="41" xr:uid="{00000000-0005-0000-0000-000087000000}"/>
    <cellStyle name="Title: Minor" xfId="42" xr:uid="{00000000-0005-0000-0000-000088000000}"/>
    <cellStyle name="Title: Worksheet" xfId="43" xr:uid="{00000000-0005-0000-0000-000089000000}"/>
    <cellStyle name="Total 2" xfId="132" xr:uid="{00000000-0005-0000-0000-00008A000000}"/>
    <cellStyle name="Total4 - Style4" xfId="44" xr:uid="{00000000-0005-0000-0000-00008B000000}"/>
    <cellStyle name="Total4 - Style4 2" xfId="133" xr:uid="{00000000-0005-0000-0000-00008C000000}"/>
  </cellStyles>
  <dxfs count="12">
    <dxf>
      <font>
        <color rgb="FF9C0006"/>
      </font>
      <fill>
        <patternFill>
          <bgColor rgb="FFFFC7CE"/>
        </patternFill>
      </fill>
    </dxf>
    <dxf>
      <alignment horizontal="center"/>
    </dxf>
    <dxf>
      <alignment vertical="center"/>
    </dxf>
    <dxf>
      <alignment wrapText="1"/>
    </dxf>
    <dxf>
      <alignment wrapText="1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horizontal="center"/>
    </dxf>
    <dxf>
      <alignment vertical="center"/>
    </dxf>
    <dxf>
      <alignment wrapText="1"/>
    </dxf>
  </dxfs>
  <tableStyles count="0" defaultTableStyle="TableStyleMedium9" defaultPivotStyle="PivotStyleLight16"/>
  <colors>
    <mruColors>
      <color rgb="FF0033CC"/>
      <color rgb="FFFFFFCC"/>
      <color rgb="FFFF99CC"/>
      <color rgb="FFFF8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26.xml" Id="rId26" /><Relationship Type="http://schemas.openxmlformats.org/officeDocument/2006/relationships/worksheet" Target="worksheets/sheet21.xml" Id="rId21" /><Relationship Type="http://schemas.openxmlformats.org/officeDocument/2006/relationships/externalLink" Target="externalLinks/externalLink13.xml" Id="rId42" /><Relationship Type="http://schemas.openxmlformats.org/officeDocument/2006/relationships/externalLink" Target="externalLinks/externalLink18.xml" Id="rId47" /><Relationship Type="http://schemas.openxmlformats.org/officeDocument/2006/relationships/externalLink" Target="externalLinks/externalLink34.xml" Id="rId63" /><Relationship Type="http://schemas.openxmlformats.org/officeDocument/2006/relationships/externalLink" Target="externalLinks/externalLink39.xml" Id="rId68" /><Relationship Type="http://schemas.openxmlformats.org/officeDocument/2006/relationships/sharedStrings" Target="sharedStrings.xml" Id="rId84" /><Relationship Type="http://schemas.openxmlformats.org/officeDocument/2006/relationships/customXml" Target="../customXml/item3.xml" Id="rId89" /><Relationship Type="http://schemas.openxmlformats.org/officeDocument/2006/relationships/worksheet" Target="worksheets/sheet16.xml" Id="rId16" /><Relationship Type="http://schemas.openxmlformats.org/officeDocument/2006/relationships/worksheet" Target="worksheets/sheet11.xml" Id="rId11" /><Relationship Type="http://schemas.openxmlformats.org/officeDocument/2006/relationships/externalLink" Target="externalLinks/externalLink3.xml" Id="rId32" /><Relationship Type="http://schemas.openxmlformats.org/officeDocument/2006/relationships/externalLink" Target="externalLinks/externalLink8.xml" Id="rId37" /><Relationship Type="http://schemas.openxmlformats.org/officeDocument/2006/relationships/externalLink" Target="externalLinks/externalLink24.xml" Id="rId53" /><Relationship Type="http://schemas.openxmlformats.org/officeDocument/2006/relationships/externalLink" Target="externalLinks/externalLink29.xml" Id="rId58" /><Relationship Type="http://schemas.openxmlformats.org/officeDocument/2006/relationships/externalLink" Target="externalLinks/externalLink45.xml" Id="rId74" /><Relationship Type="http://schemas.openxmlformats.org/officeDocument/2006/relationships/externalLink" Target="externalLinks/externalLink50.xml" Id="rId79" /><Relationship Type="http://schemas.openxmlformats.org/officeDocument/2006/relationships/worksheet" Target="worksheets/sheet5.xml" Id="rId5" /><Relationship Type="http://schemas.openxmlformats.org/officeDocument/2006/relationships/customXml" Target="../customXml/item4.xml" Id="rId90" /><Relationship Type="http://schemas.openxmlformats.org/officeDocument/2006/relationships/worksheet" Target="worksheets/sheet14.xml" Id="rId14" /><Relationship Type="http://schemas.openxmlformats.org/officeDocument/2006/relationships/worksheet" Target="worksheets/sheet22.xml" Id="rId22" /><Relationship Type="http://schemas.openxmlformats.org/officeDocument/2006/relationships/worksheet" Target="worksheets/sheet27.xml" Id="rId27" /><Relationship Type="http://schemas.openxmlformats.org/officeDocument/2006/relationships/externalLink" Target="externalLinks/externalLink1.xml" Id="rId30" /><Relationship Type="http://schemas.openxmlformats.org/officeDocument/2006/relationships/externalLink" Target="externalLinks/externalLink6.xml" Id="rId35" /><Relationship Type="http://schemas.openxmlformats.org/officeDocument/2006/relationships/externalLink" Target="externalLinks/externalLink14.xml" Id="rId43" /><Relationship Type="http://schemas.openxmlformats.org/officeDocument/2006/relationships/externalLink" Target="externalLinks/externalLink19.xml" Id="rId48" /><Relationship Type="http://schemas.openxmlformats.org/officeDocument/2006/relationships/externalLink" Target="externalLinks/externalLink27.xml" Id="rId56" /><Relationship Type="http://schemas.openxmlformats.org/officeDocument/2006/relationships/externalLink" Target="externalLinks/externalLink35.xml" Id="rId64" /><Relationship Type="http://schemas.openxmlformats.org/officeDocument/2006/relationships/externalLink" Target="externalLinks/externalLink40.xml" Id="rId69" /><Relationship Type="http://schemas.openxmlformats.org/officeDocument/2006/relationships/externalLink" Target="externalLinks/externalLink48.xml" Id="rId77" /><Relationship Type="http://schemas.openxmlformats.org/officeDocument/2006/relationships/worksheet" Target="worksheets/sheet8.xml" Id="rId8" /><Relationship Type="http://schemas.openxmlformats.org/officeDocument/2006/relationships/externalLink" Target="externalLinks/externalLink22.xml" Id="rId51" /><Relationship Type="http://schemas.openxmlformats.org/officeDocument/2006/relationships/externalLink" Target="externalLinks/externalLink43.xml" Id="rId72" /><Relationship Type="http://schemas.openxmlformats.org/officeDocument/2006/relationships/externalLink" Target="externalLinks/externalLink51.xml" Id="rId80" /><Relationship Type="http://schemas.openxmlformats.org/officeDocument/2006/relationships/sheetMetadata" Target="metadata.xml" Id="rId85" /><Relationship Type="http://schemas.openxmlformats.org/officeDocument/2006/relationships/worksheet" Target="worksheets/sheet3.xml" Id="rId3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worksheet" Target="worksheets/sheet25.xml" Id="rId25" /><Relationship Type="http://schemas.openxmlformats.org/officeDocument/2006/relationships/externalLink" Target="externalLinks/externalLink4.xml" Id="rId33" /><Relationship Type="http://schemas.openxmlformats.org/officeDocument/2006/relationships/externalLink" Target="externalLinks/externalLink9.xml" Id="rId38" /><Relationship Type="http://schemas.openxmlformats.org/officeDocument/2006/relationships/externalLink" Target="externalLinks/externalLink17.xml" Id="rId46" /><Relationship Type="http://schemas.openxmlformats.org/officeDocument/2006/relationships/externalLink" Target="externalLinks/externalLink30.xml" Id="rId59" /><Relationship Type="http://schemas.openxmlformats.org/officeDocument/2006/relationships/externalLink" Target="externalLinks/externalLink38.xml" Id="rId67" /><Relationship Type="http://schemas.openxmlformats.org/officeDocument/2006/relationships/worksheet" Target="worksheets/sheet20.xml" Id="rId20" /><Relationship Type="http://schemas.openxmlformats.org/officeDocument/2006/relationships/externalLink" Target="externalLinks/externalLink12.xml" Id="rId41" /><Relationship Type="http://schemas.openxmlformats.org/officeDocument/2006/relationships/externalLink" Target="externalLinks/externalLink25.xml" Id="rId54" /><Relationship Type="http://schemas.openxmlformats.org/officeDocument/2006/relationships/externalLink" Target="externalLinks/externalLink33.xml" Id="rId62" /><Relationship Type="http://schemas.openxmlformats.org/officeDocument/2006/relationships/externalLink" Target="externalLinks/externalLink41.xml" Id="rId70" /><Relationship Type="http://schemas.openxmlformats.org/officeDocument/2006/relationships/externalLink" Target="externalLinks/externalLink46.xml" Id="rId75" /><Relationship Type="http://schemas.openxmlformats.org/officeDocument/2006/relationships/styles" Target="styles.xml" Id="rId83" /><Relationship Type="http://schemas.openxmlformats.org/officeDocument/2006/relationships/customXml" Target="../customXml/item2.xml" Id="rId88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5.xml" Id="rId15" /><Relationship Type="http://schemas.openxmlformats.org/officeDocument/2006/relationships/worksheet" Target="worksheets/sheet23.xml" Id="rId23" /><Relationship Type="http://schemas.openxmlformats.org/officeDocument/2006/relationships/worksheet" Target="worksheets/sheet28.xml" Id="rId28" /><Relationship Type="http://schemas.openxmlformats.org/officeDocument/2006/relationships/externalLink" Target="externalLinks/externalLink7.xml" Id="rId36" /><Relationship Type="http://schemas.openxmlformats.org/officeDocument/2006/relationships/externalLink" Target="externalLinks/externalLink20.xml" Id="rId49" /><Relationship Type="http://schemas.openxmlformats.org/officeDocument/2006/relationships/externalLink" Target="externalLinks/externalLink28.xml" Id="rId57" /><Relationship Type="http://schemas.openxmlformats.org/officeDocument/2006/relationships/worksheet" Target="worksheets/sheet10.xml" Id="rId10" /><Relationship Type="http://schemas.openxmlformats.org/officeDocument/2006/relationships/externalLink" Target="externalLinks/externalLink2.xml" Id="rId31" /><Relationship Type="http://schemas.openxmlformats.org/officeDocument/2006/relationships/externalLink" Target="externalLinks/externalLink15.xml" Id="rId44" /><Relationship Type="http://schemas.openxmlformats.org/officeDocument/2006/relationships/externalLink" Target="externalLinks/externalLink23.xml" Id="rId52" /><Relationship Type="http://schemas.openxmlformats.org/officeDocument/2006/relationships/externalLink" Target="externalLinks/externalLink31.xml" Id="rId60" /><Relationship Type="http://schemas.openxmlformats.org/officeDocument/2006/relationships/externalLink" Target="externalLinks/externalLink36.xml" Id="rId65" /><Relationship Type="http://schemas.openxmlformats.org/officeDocument/2006/relationships/externalLink" Target="externalLinks/externalLink44.xml" Id="rId73" /><Relationship Type="http://schemas.openxmlformats.org/officeDocument/2006/relationships/externalLink" Target="externalLinks/externalLink49.xml" Id="rId78" /><Relationship Type="http://schemas.openxmlformats.org/officeDocument/2006/relationships/pivotCacheDefinition" Target="pivotCache/pivotCacheDefinition1.xml" Id="rId81" /><Relationship Type="http://schemas.openxmlformats.org/officeDocument/2006/relationships/calcChain" Target="calcChain.xml" Id="rId86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externalLink" Target="externalLinks/externalLink10.xml" Id="rId39" /><Relationship Type="http://schemas.openxmlformats.org/officeDocument/2006/relationships/externalLink" Target="externalLinks/externalLink5.xml" Id="rId34" /><Relationship Type="http://schemas.openxmlformats.org/officeDocument/2006/relationships/externalLink" Target="externalLinks/externalLink21.xml" Id="rId50" /><Relationship Type="http://schemas.openxmlformats.org/officeDocument/2006/relationships/externalLink" Target="externalLinks/externalLink26.xml" Id="rId55" /><Relationship Type="http://schemas.openxmlformats.org/officeDocument/2006/relationships/externalLink" Target="externalLinks/externalLink47.xml" Id="rId76" /><Relationship Type="http://schemas.openxmlformats.org/officeDocument/2006/relationships/worksheet" Target="worksheets/sheet7.xml" Id="rId7" /><Relationship Type="http://schemas.openxmlformats.org/officeDocument/2006/relationships/externalLink" Target="externalLinks/externalLink42.xml" Id="rId71" /><Relationship Type="http://schemas.openxmlformats.org/officeDocument/2006/relationships/worksheet" Target="worksheets/sheet2.xml" Id="rId2" /><Relationship Type="http://schemas.openxmlformats.org/officeDocument/2006/relationships/worksheet" Target="worksheets/sheet29.xml" Id="rId29" /><Relationship Type="http://schemas.openxmlformats.org/officeDocument/2006/relationships/worksheet" Target="worksheets/sheet24.xml" Id="rId24" /><Relationship Type="http://schemas.openxmlformats.org/officeDocument/2006/relationships/externalLink" Target="externalLinks/externalLink11.xml" Id="rId40" /><Relationship Type="http://schemas.openxmlformats.org/officeDocument/2006/relationships/externalLink" Target="externalLinks/externalLink16.xml" Id="rId45" /><Relationship Type="http://schemas.openxmlformats.org/officeDocument/2006/relationships/externalLink" Target="externalLinks/externalLink37.xml" Id="rId66" /><Relationship Type="http://schemas.openxmlformats.org/officeDocument/2006/relationships/externalLink" Target="externalLinks/externalLink32.xml" Id="rId61" /><Relationship Type="http://schemas.openxmlformats.org/officeDocument/2006/relationships/theme" Target="theme/theme1.xml" Id="rId82" /><Relationship Type="http://schemas.openxmlformats.org/officeDocument/2006/relationships/worksheet" Target="worksheets/sheet19.xml" Id="rId19" /><Relationship Type="http://schemas.openxmlformats.org/officeDocument/2006/relationships/customXml" Target="/customXML/item5.xml" Id="imanage.xml" 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urtis_young.CPK/AppData/Local/Microsoft/Windows/Temporary%20Internet%20Files/Content.Outlook/4BJ31546/Cash%20Projections/Cash%20Projection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Colby\Apex\Apex%202000\Model\Comb21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AMAL\GIBRALTA\COMPLET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HEALT\PROJECTS\CAREMATR\HIST2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NY01\User\DATA\EXCEL\Fenway%20Partners\2001%20Annual%20Report\Fund%20Valuation%20031902%20v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yubarb\blizzard\model\model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NY01\User\Documents%20and%20Settings\scharnow\Local%20Settings\Temporary%20Internet%20Files\OLK6\2003_FenwayLetterCharts%20Consolidated%20Budget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1\p_drive\Accounting\Plant%20-%20Capital\2001%20Budget\Sharpgas%20Budget%20Summary\Revised%202001%20SHG%20Cap%20Summar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psfps01\P_Drive\Accounting\Plant%20-%20Capital\2001%20Budget\Sharpgas%20Budget%20Summary\Revised%202001%20SHG%20Cap%20Summar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NY\HELMET\SENSHEL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DermanC\Snug\models\Recap\snugrecap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jcamfield/My%20Documents/FPU/Template_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homas%20Mo\Regal\Model\Deals\Corillian\Equity\krugcomps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1\p_drive\Departments%20&amp;%20Divisions\Florida%20Regulatory\Gross%20Margin%20Forecast\2015\Gas\Gas%20Gross%20Margin%20Forecast%20-%2006-2015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Kleinman\Catalyst\Valuation%20Matrix\ValMatrix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1\p_drive\Departments%20&amp;%20Divisions\Florida%20Regulatory\Gross%20Margin%20Budget\2016\FINAL%202016%20Electric%20Margin%20Budget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Projects\Texas%20Genco\Tx%20Genco%20model%20v12_S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RAIG\MATH\MODEL\MATH1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Colby\Snug\Model\Linens32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ri\Extendicare\RECAP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Colby\Tool%20Box\Model\mixer82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EALTH\M&amp;AHEALT\PROJECTS\FOUNDATI\Pitch\IPO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y%20Documents\TPG\LBO\Bally\BFT%20Foreca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TEMP\budis112700quarterl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yubarb\blizzard\model\model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maini\Local%20Settings\Temp\Outlook\Regal%20DivRecap%20Model%20v173alt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omps\3q99\cro%203Q99%20being%20updat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Yuwono\Musketeer\mini_merger_1017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Timex-Rolex%20Merger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1\p_drive\Departments%20&amp;%20Divisions\Florida%20Regulatory\Gross%20Margin%20Budget\2018\Electric%20Gross%20Margin%20Forecast%20-%204+8%20Tie%20Out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psfps01\p_drive\Departments%20&amp;%20Divisions\Florida%20Regulatory\Gross%20Margin%20Budget\2018\Electric%20Gross%20Margin%20Forecast%20-%204+8%20Tie%20Out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AMAL\GIBRALTA\DCFYN2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&amp;AHEALT\PROJECTS\CAREMATR\HIST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0557-NIPSCO2021RateCaseSupport/Shared%20Documents/General/COSA%20Model/NIPSCO%20COSA%20Model%20DRAFT_2021_09_07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New%20Pooling%20Analysis%20Tw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TPG/LBO/Bally/BFT%20Forecast%20Mode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TPG\LBO\Bally\BFT%20Forecast%20Mode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Blake\Desktop\Old%20Models\H&amp;F%20One%20Pagers\Wingtip%20Model%206_1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scott\Local%20Settings\Temporary%20Internet%20Files\OLK31\RHT\RHT_Overview6_2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Colby\Apex\Model\Comb41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1\p_drive\Accounting\Plant%20-%20Capital\2001%20Project%20Accounting\November\2001%20Project%20Accounting%20-%20Novembe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psfps01\P_Drive\Accounting\Plant%20-%20Capital\2001%20Project%20Accounting\November\2001%20Project%20Accounting%20-%20Novembe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Damast\Templates\Fendi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Blake\Desktop\Old%20Models\LBO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homas%20Mo\Regal\Model\_Files\Deals\Regal\Comps\Regal%20Equity%20Comps%20(v8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EPT\SalesReport\2000%20Sales%20Report\Blackbaud%20Sales%20Report%20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EPT\SalesReport\ContractSales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1\p_drive\Accounting\Plant%20-%20Capital\2002%20Budget\ESNG\2002%20ESNG%20Capital%20Summar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psfps01\P_Drive\Accounting\Plant%20-%20Capital\2002%20Budget\ESNG\2002%20ESNG%20Capital%20Summar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Project%20Plum\PLUM%20Analysis\HF%20Model\Project%20Engine%20H&amp;F%20Model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jnichols\Local%20Settings\Temporary%20Internet%20Files\Content.Outlook\F56EJI00\5%20Year%20Plan%2009-13%20v5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 BUDGET"/>
      <sheetName val="Updates"/>
      <sheetName val="Assumptions "/>
      <sheetName val="Assumptions"/>
      <sheetName val="Reconciliation"/>
      <sheetName val="Capital - Historical"/>
      <sheetName val="Balance Sheet "/>
      <sheetName val="CASH 2002"/>
      <sheetName val="BOD Summary"/>
      <sheetName val="BOD Summary (2)"/>
      <sheetName val="FPU PV Tax effected (2)"/>
      <sheetName val="BOD Summary (5)"/>
      <sheetName val="5 YR CASH"/>
      <sheetName val="CASH 2003"/>
      <sheetName val="CASH 2004"/>
      <sheetName val="CASH 2005"/>
      <sheetName val="CASH 2006"/>
      <sheetName val="CASH 2007"/>
      <sheetName val="CASH 2008"/>
      <sheetName val="CASH 2009"/>
      <sheetName val="$10M LT DEBT"/>
      <sheetName val="$5.5M LT DEBT "/>
      <sheetName val="$8M LT DEBT"/>
      <sheetName val=" Pension Contributions"/>
      <sheetName val="Environ Exp Rev"/>
      <sheetName val="Env Exp OLD"/>
      <sheetName val="Environmental Exp (2)"/>
      <sheetName val="Environmental Exp (3)"/>
      <sheetName val="Dividends"/>
      <sheetName val="Equity Offering"/>
      <sheetName val="BUDGET CASH 2002"/>
      <sheetName val="CASH 2001"/>
      <sheetName val="TAX PAYMENTS &amp; FOR 2006"/>
      <sheetName val="Income Tax"/>
      <sheetName val="Income Tax - Old"/>
      <sheetName val="2004-2008 CASH PROJ"/>
      <sheetName val="Def Tax Bonus Depn"/>
      <sheetName val="TOTI"/>
      <sheetName val="Def Tax Bonus Depn - Original"/>
      <sheetName val="Property Tax"/>
      <sheetName val="SF Op Center"/>
      <sheetName val="Tax 2006"/>
      <sheetName val="Actual Tax 2005"/>
      <sheetName val="Construction 2006 Actual"/>
      <sheetName val="Construction 2005 Actual"/>
      <sheetName val="Construction "/>
      <sheetName val="Construction  (2)"/>
      <sheetName val="Construction Summary  2006"/>
      <sheetName val="Construction 2006 Detail"/>
      <sheetName val="Construction 2007 Actual"/>
      <sheetName val="Construction Final Budget 2007"/>
      <sheetName val="Construction 2005 (4)"/>
      <sheetName val="Construction 2005"/>
      <sheetName val="CAPEX 2002-2004"/>
      <sheetName val="Construction 2005 (3)"/>
      <sheetName val="Construction 2005 (2)"/>
      <sheetName val="Construction 2004"/>
      <sheetName val="Construction 2003"/>
      <sheetName val="CONSTRUCTION 2002"/>
      <sheetName val="Budget 2004 Orginal Summary "/>
      <sheetName val="Construction 2004 Actual"/>
      <sheetName val="Budget 2004 Summary"/>
      <sheetName val="Electric Rate Case Rulings"/>
      <sheetName val="Op Rev &amp; Exp 2005"/>
      <sheetName val="Op Rev &amp; Exp 2005 Original"/>
      <sheetName val="Cust Dep Int 2003"/>
      <sheetName val="CAPEX 2003 Revised Budget"/>
      <sheetName val="CAPEX Actual Aug YTD"/>
      <sheetName val="CAPEX 2004-Revised"/>
      <sheetName val="CAPEX Summary"/>
      <sheetName val="CAPEX 2003 Original"/>
      <sheetName val="CAPEX 2003 Actual&amp;Budgeted"/>
      <sheetName val="CAPEX 2004-Prelim Budget"/>
      <sheetName val="CAP EX"/>
      <sheetName val="TOTI (ACTUAL)"/>
      <sheetName val="consbud"/>
      <sheetName val="input"/>
      <sheetName val="ITBUD"/>
      <sheetName val="upload"/>
      <sheetName val="Environ Exp Old (2)"/>
      <sheetName val="ADDITIONS &gt; 107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ValSum3"/>
      <sheetName val="NewValSum"/>
      <sheetName val="ValSum"/>
      <sheetName val="AdditionalPrintCode"/>
      <sheetName val="MainPrintCode"/>
      <sheetName val="Teaser"/>
      <sheetName val="DOXmatrix"/>
      <sheetName val="SumComp-ADC"/>
      <sheetName val="SumComp-LHS"/>
      <sheetName val="SumComp-Nortel"/>
      <sheetName val="Summary"/>
      <sheetName val="IncStat"/>
      <sheetName val="ValMatrix"/>
      <sheetName val="DCE"/>
      <sheetName val="DCEInputs"/>
      <sheetName val="MMInputs"/>
      <sheetName val="MMTransinputs"/>
      <sheetName val="Data"/>
      <sheetName val="QAccDil"/>
      <sheetName val="AccDil"/>
      <sheetName val="PFanalysis"/>
      <sheetName val="Acquiror"/>
      <sheetName val="Target"/>
      <sheetName val="Shares"/>
      <sheetName val="Calcs"/>
      <sheetName val="QuarterlyEPS"/>
      <sheetName val="EPS"/>
      <sheetName val="Merger Code"/>
      <sheetName val="MainPrint Code"/>
      <sheetName val="AdditionalPrint Cod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>
        <row r="1">
          <cell r="D1" t="str">
            <v>NT</v>
          </cell>
        </row>
      </sheetData>
      <sheetData sheetId="11"/>
      <sheetData sheetId="12"/>
      <sheetData sheetId="13"/>
      <sheetData sheetId="14"/>
      <sheetData sheetId="15" refreshError="1">
        <row r="5">
          <cell r="I5">
            <v>16.5</v>
          </cell>
        </row>
        <row r="6">
          <cell r="I6">
            <v>36574</v>
          </cell>
        </row>
        <row r="8">
          <cell r="I8">
            <v>0.68720000000000003</v>
          </cell>
        </row>
        <row r="24">
          <cell r="I24">
            <v>0.3</v>
          </cell>
        </row>
        <row r="25">
          <cell r="A25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 I By Time"/>
      <sheetName val="Fund II By Time"/>
      <sheetName val="Fund I Capital Exposed"/>
      <sheetName val="Total Capital Allocation"/>
      <sheetName val="Ownership"/>
      <sheetName val="New Investment Activity"/>
      <sheetName val="Investments By Year"/>
      <sheetName val="Summary History"/>
      <sheetName val="Technology Investments"/>
      <sheetName val="Summary Financials"/>
      <sheetName val="Investment History"/>
      <sheetName val="Fenway Holdings Backup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>
        <row r="2">
          <cell r="C2">
            <v>37256</v>
          </cell>
        </row>
        <row r="3">
          <cell r="C3">
            <v>37256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rol"/>
      <sheetName val="__FDSCACHE__"/>
      <sheetName val="Inputs"/>
      <sheetName val="cases"/>
      <sheetName val="statements"/>
      <sheetName val="DCF Inputs"/>
      <sheetName val="DCF Matrix"/>
      <sheetName val="Val_sum"/>
      <sheetName val="Val_sum (2)"/>
      <sheetName val="Trad_m"/>
      <sheetName val="LBO_statements "/>
      <sheetName val="LBO_bal_rec"/>
      <sheetName val="LBO_summary"/>
      <sheetName val="Snow_recap"/>
      <sheetName val="sens_all"/>
      <sheetName val="sens_all2"/>
      <sheetName val="sens_all3"/>
      <sheetName val="FL"/>
      <sheetName val="FL (2)"/>
      <sheetName val="all_recap"/>
    </sheetNames>
    <sheetDataSet>
      <sheetData sheetId="0" refreshError="1">
        <row r="16">
          <cell r="B16">
            <v>2</v>
          </cell>
        </row>
      </sheetData>
      <sheetData sheetId="1"/>
      <sheetData sheetId="2" refreshError="1">
        <row r="2">
          <cell r="B2">
            <v>36357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9">
          <cell r="R9">
            <v>65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-op adjust PY"/>
      <sheetName val="Earn stmt-Qtr."/>
      <sheetName val="Earn stmt-YTD"/>
      <sheetName val="Earn stmt-Mo."/>
      <sheetName val="Sales Deductions"/>
      <sheetName val="Sales deduc formatted"/>
      <sheetName val="GM"/>
      <sheetName val="Unit AUSP"/>
      <sheetName val="Sales &amp; Margin by Prod"/>
      <sheetName val="Total SG&amp;A"/>
      <sheetName val="Adjusted EBITDA"/>
      <sheetName val="Breakeven"/>
      <sheetName val="Free Cash Flow"/>
      <sheetName val="Depr &amp; Amort"/>
      <sheetName val="Curr Mo - fcst"/>
      <sheetName val="Earn - fcst Q3"/>
      <sheetName val="Earn - fcst TY"/>
      <sheetName val="Qtr by Qtr1"/>
      <sheetName val="Qtr by Qtr"/>
      <sheetName val="AppendixA"/>
      <sheetName val="Earn Q2 2002"/>
      <sheetName val="BS w-scusa"/>
      <sheetName val="Balance Sheet (Post consolid)"/>
      <sheetName val="Sheet1"/>
      <sheetName val="Appendix D"/>
      <sheetName val="warranty % "/>
      <sheetName val="Appendix E"/>
      <sheetName val="Appendix F"/>
      <sheetName val="COGS Breakout"/>
      <sheetName val="Other COGS"/>
      <sheetName val="Var SG&amp;A"/>
      <sheetName val="Fixed SG&amp;A"/>
      <sheetName val="Other SG&amp;A"/>
      <sheetName val="EBITDA REC"/>
      <sheetName val="Data"/>
      <sheetName val="Data2"/>
      <sheetName val="Bank Adj Ebitda"/>
      <sheetName val="int exp and sales rep comp"/>
      <sheetName val="Dropdowns"/>
      <sheetName val="Macro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>
        <row r="1">
          <cell r="C1" t="str">
            <v>Consolidated Simmons Company</v>
          </cell>
          <cell r="F1" t="str">
            <v>All Cost Centers</v>
          </cell>
        </row>
        <row r="2">
          <cell r="B2" t="str">
            <v>Dec YTD</v>
          </cell>
          <cell r="C2" t="str">
            <v>Dec YTD</v>
          </cell>
          <cell r="D2" t="str">
            <v>Dec YTD</v>
          </cell>
          <cell r="E2" t="str">
            <v>Dec YTD</v>
          </cell>
          <cell r="F2" t="str">
            <v>Dec YTD</v>
          </cell>
          <cell r="G2" t="str">
            <v>Dec YTD</v>
          </cell>
          <cell r="H2" t="str">
            <v>Dec YTD</v>
          </cell>
          <cell r="I2" t="str">
            <v>Dec YTD</v>
          </cell>
          <cell r="J2" t="str">
            <v>Dec YTD</v>
          </cell>
          <cell r="K2" t="str">
            <v>Dec YTD</v>
          </cell>
          <cell r="L2" t="str">
            <v>Dec YTD</v>
          </cell>
          <cell r="M2" t="str">
            <v>Dec YTD</v>
          </cell>
          <cell r="N2" t="str">
            <v>Dec YTD</v>
          </cell>
          <cell r="O2" t="str">
            <v>Dec YTD</v>
          </cell>
          <cell r="P2" t="str">
            <v>Dec YTD</v>
          </cell>
          <cell r="Q2" t="str">
            <v>Dec YTD</v>
          </cell>
          <cell r="R2" t="str">
            <v>Dec YTD</v>
          </cell>
          <cell r="S2" t="str">
            <v>Dec YTD</v>
          </cell>
          <cell r="T2" t="str">
            <v>Dec YTD</v>
          </cell>
          <cell r="U2" t="str">
            <v>Dec YTD</v>
          </cell>
          <cell r="W2" t="str">
            <v>January</v>
          </cell>
          <cell r="X2" t="str">
            <v>January</v>
          </cell>
          <cell r="Y2" t="str">
            <v>January</v>
          </cell>
          <cell r="Z2" t="str">
            <v>January</v>
          </cell>
          <cell r="AA2" t="str">
            <v>January</v>
          </cell>
          <cell r="AB2" t="str">
            <v>January</v>
          </cell>
          <cell r="AC2" t="str">
            <v>January</v>
          </cell>
          <cell r="AD2" t="str">
            <v>January</v>
          </cell>
          <cell r="AE2" t="str">
            <v>January</v>
          </cell>
          <cell r="AF2" t="str">
            <v>January</v>
          </cell>
          <cell r="AG2" t="str">
            <v>January</v>
          </cell>
          <cell r="AH2" t="str">
            <v>January</v>
          </cell>
          <cell r="AI2" t="str">
            <v>January</v>
          </cell>
          <cell r="AJ2" t="str">
            <v>January</v>
          </cell>
          <cell r="AK2" t="str">
            <v>January</v>
          </cell>
          <cell r="AL2" t="str">
            <v>January</v>
          </cell>
          <cell r="AN2" t="str">
            <v>Dec YTD</v>
          </cell>
          <cell r="AO2" t="str">
            <v>Dec YTD</v>
          </cell>
          <cell r="AP2" t="str">
            <v>Dec YTD</v>
          </cell>
          <cell r="AQ2" t="str">
            <v>Dec YTD</v>
          </cell>
          <cell r="AR2" t="str">
            <v>Dec YTD</v>
          </cell>
          <cell r="AS2" t="str">
            <v>Dec YTD</v>
          </cell>
          <cell r="AT2" t="str">
            <v>Dec YTD</v>
          </cell>
          <cell r="AU2" t="str">
            <v>Dec YTD</v>
          </cell>
          <cell r="AV2" t="str">
            <v>Dec YTD</v>
          </cell>
          <cell r="AX2" t="str">
            <v>Fiscal Year</v>
          </cell>
          <cell r="AY2" t="str">
            <v>Fiscal Year</v>
          </cell>
          <cell r="AZ2" t="str">
            <v>Fiscal Year</v>
          </cell>
          <cell r="BA2" t="str">
            <v>Fiscal Year</v>
          </cell>
          <cell r="BB2" t="str">
            <v>Fiscal Year</v>
          </cell>
          <cell r="BC2" t="str">
            <v>Fiscal Year</v>
          </cell>
          <cell r="BD2" t="str">
            <v>Fiscal Year</v>
          </cell>
          <cell r="BE2" t="str">
            <v>Fiscal Year</v>
          </cell>
          <cell r="BF2" t="str">
            <v>Fiscal Year</v>
          </cell>
          <cell r="BG2" t="str">
            <v>Fiscal Year</v>
          </cell>
          <cell r="BI2" t="str">
            <v>Apr YTD</v>
          </cell>
          <cell r="BJ2" t="str">
            <v>Apr YTD</v>
          </cell>
          <cell r="BK2" t="str">
            <v>Apr YTD</v>
          </cell>
          <cell r="BL2" t="str">
            <v>Apr YTD</v>
          </cell>
          <cell r="BM2" t="str">
            <v>Apr YTD</v>
          </cell>
          <cell r="BN2" t="str">
            <v>Apr YTD</v>
          </cell>
          <cell r="BO2" t="str">
            <v>Apr YTD</v>
          </cell>
          <cell r="BP2" t="str">
            <v>Apr YTD</v>
          </cell>
          <cell r="BQ2" t="str">
            <v>Apr YTD</v>
          </cell>
          <cell r="BR2" t="str">
            <v>Apr YTD</v>
          </cell>
          <cell r="BS2" t="str">
            <v>Apr YTD</v>
          </cell>
          <cell r="BT2" t="str">
            <v>Apr YTD</v>
          </cell>
          <cell r="BU2" t="str">
            <v>Apr YTD</v>
          </cell>
          <cell r="BW2" t="str">
            <v>Quarter 2</v>
          </cell>
          <cell r="BX2" t="str">
            <v>Quarter 2</v>
          </cell>
          <cell r="BY2" t="str">
            <v>Quarter 2</v>
          </cell>
          <cell r="BZ2" t="str">
            <v>Quarter 2</v>
          </cell>
          <cell r="CA2" t="str">
            <v>Quarter 2</v>
          </cell>
          <cell r="CB2" t="str">
            <v>Quarter 2</v>
          </cell>
          <cell r="CC2" t="str">
            <v>Quarter 2</v>
          </cell>
          <cell r="CD2" t="str">
            <v>Quarter 2</v>
          </cell>
          <cell r="CE2" t="str">
            <v>Quarter 2</v>
          </cell>
          <cell r="CF2" t="str">
            <v>Quarter 2</v>
          </cell>
          <cell r="CG2" t="str">
            <v>Quarter 2</v>
          </cell>
          <cell r="CH2" t="str">
            <v>Quarter 2</v>
          </cell>
          <cell r="CI2" t="str">
            <v>Quarter 2</v>
          </cell>
          <cell r="CK2" t="str">
            <v>Quarter 1</v>
          </cell>
          <cell r="CL2" t="str">
            <v>Quarter 1</v>
          </cell>
          <cell r="CM2" t="str">
            <v>Quarter 1</v>
          </cell>
          <cell r="CN2" t="str">
            <v>Quarter 1</v>
          </cell>
          <cell r="CO2" t="str">
            <v>Quarter 1</v>
          </cell>
          <cell r="CP2" t="str">
            <v>Quarter 1</v>
          </cell>
          <cell r="CQ2" t="str">
            <v>Quarter 1</v>
          </cell>
          <cell r="CR2" t="str">
            <v>Quarter 1</v>
          </cell>
          <cell r="CS2" t="str">
            <v>Quarter 1</v>
          </cell>
          <cell r="CT2" t="str">
            <v>Quarter 1</v>
          </cell>
          <cell r="CU2" t="str">
            <v>Quarter 1</v>
          </cell>
          <cell r="CV2" t="str">
            <v>Quarter 1</v>
          </cell>
          <cell r="CW2" t="str">
            <v>Quarter 1</v>
          </cell>
          <cell r="CY2" t="str">
            <v>Quarter 2</v>
          </cell>
          <cell r="CZ2" t="str">
            <v>Quarter 2</v>
          </cell>
          <cell r="DA2" t="str">
            <v>Quarter 2</v>
          </cell>
          <cell r="DC2" t="str">
            <v>Quarter 1</v>
          </cell>
          <cell r="DD2" t="str">
            <v>Quarter 1</v>
          </cell>
          <cell r="DE2" t="str">
            <v>Quarter 1</v>
          </cell>
          <cell r="DG2" t="str">
            <v>Quarter 2</v>
          </cell>
          <cell r="DH2" t="str">
            <v>Quarter 2</v>
          </cell>
          <cell r="DI2" t="str">
            <v>Quarter 2</v>
          </cell>
          <cell r="DJ2" t="str">
            <v>Quarter 2</v>
          </cell>
          <cell r="DK2" t="str">
            <v>Quarter 2</v>
          </cell>
          <cell r="DL2" t="str">
            <v>Quarter 2</v>
          </cell>
          <cell r="DN2" t="str">
            <v>Quarter 3</v>
          </cell>
          <cell r="DO2" t="str">
            <v>Quarter 3</v>
          </cell>
          <cell r="DP2" t="str">
            <v>Quarter 3</v>
          </cell>
          <cell r="DQ2" t="str">
            <v>Quarter 3</v>
          </cell>
          <cell r="DR2" t="str">
            <v>Quarter 3</v>
          </cell>
          <cell r="DS2" t="str">
            <v>Quarter 3</v>
          </cell>
          <cell r="DT2" t="str">
            <v>Quarter 3</v>
          </cell>
          <cell r="DU2" t="str">
            <v>Quarter 3</v>
          </cell>
          <cell r="DV2" t="str">
            <v>Quarter 3</v>
          </cell>
          <cell r="DW2" t="str">
            <v>Quarter 3</v>
          </cell>
          <cell r="DX2" t="str">
            <v>Quarter 3</v>
          </cell>
          <cell r="DY2" t="str">
            <v>Quarter 3</v>
          </cell>
        </row>
        <row r="3">
          <cell r="B3" t="str">
            <v>Fixed</v>
          </cell>
          <cell r="C3" t="str">
            <v>Fixed</v>
          </cell>
          <cell r="D3" t="str">
            <v>Fixed</v>
          </cell>
          <cell r="E3" t="str">
            <v>Fixed</v>
          </cell>
          <cell r="F3" t="str">
            <v>Fixed</v>
          </cell>
          <cell r="G3" t="str">
            <v>Variable</v>
          </cell>
          <cell r="H3" t="str">
            <v>Variable</v>
          </cell>
          <cell r="I3" t="str">
            <v>Variable</v>
          </cell>
          <cell r="J3" t="str">
            <v>Variable</v>
          </cell>
          <cell r="K3" t="str">
            <v>Variable</v>
          </cell>
          <cell r="L3" t="str">
            <v>Revenue</v>
          </cell>
          <cell r="M3" t="str">
            <v>Revenue</v>
          </cell>
          <cell r="N3" t="str">
            <v>Revenue</v>
          </cell>
          <cell r="O3" t="str">
            <v>Revenue</v>
          </cell>
          <cell r="P3" t="str">
            <v>Revenue</v>
          </cell>
          <cell r="Q3" t="str">
            <v>Other AT</v>
          </cell>
          <cell r="R3" t="str">
            <v>Other AT</v>
          </cell>
          <cell r="S3" t="str">
            <v>Other AT</v>
          </cell>
          <cell r="T3" t="str">
            <v>Other AT</v>
          </cell>
          <cell r="U3" t="str">
            <v>Other AT</v>
          </cell>
          <cell r="W3" t="str">
            <v>Fixed</v>
          </cell>
          <cell r="X3" t="str">
            <v>Fixed</v>
          </cell>
          <cell r="Y3" t="str">
            <v>Fixed</v>
          </cell>
          <cell r="Z3" t="str">
            <v>Fixed</v>
          </cell>
          <cell r="AA3" t="str">
            <v>Variable</v>
          </cell>
          <cell r="AB3" t="str">
            <v>Variable</v>
          </cell>
          <cell r="AC3" t="str">
            <v>Variable</v>
          </cell>
          <cell r="AD3" t="str">
            <v>Variable</v>
          </cell>
          <cell r="AE3" t="str">
            <v>Revenue</v>
          </cell>
          <cell r="AF3" t="str">
            <v>Revenue</v>
          </cell>
          <cell r="AG3" t="str">
            <v>Revenue</v>
          </cell>
          <cell r="AH3" t="str">
            <v>Revenue</v>
          </cell>
          <cell r="AI3" t="str">
            <v>Other AT</v>
          </cell>
          <cell r="AJ3" t="str">
            <v>Other AT</v>
          </cell>
          <cell r="AK3" t="str">
            <v>Other AT</v>
          </cell>
          <cell r="AL3" t="str">
            <v>Other AT</v>
          </cell>
          <cell r="AN3" t="str">
            <v>Fixed</v>
          </cell>
          <cell r="AO3" t="str">
            <v>Fixed</v>
          </cell>
          <cell r="AP3" t="str">
            <v>Fixed</v>
          </cell>
          <cell r="AQ3" t="str">
            <v>Variable</v>
          </cell>
          <cell r="AR3" t="str">
            <v>Variable</v>
          </cell>
          <cell r="AS3" t="str">
            <v>Variable</v>
          </cell>
          <cell r="AT3" t="str">
            <v>Other AT</v>
          </cell>
          <cell r="AU3" t="str">
            <v>Other AT</v>
          </cell>
          <cell r="AV3" t="str">
            <v>Other AT</v>
          </cell>
          <cell r="AX3" t="str">
            <v>Fixed</v>
          </cell>
          <cell r="AY3" t="str">
            <v>Variable</v>
          </cell>
          <cell r="AZ3" t="str">
            <v>Other AT</v>
          </cell>
          <cell r="BA3" t="str">
            <v>Fixed</v>
          </cell>
          <cell r="BB3" t="str">
            <v>Variable</v>
          </cell>
          <cell r="BC3" t="str">
            <v>Other AT</v>
          </cell>
          <cell r="BD3" t="str">
            <v>Fixed</v>
          </cell>
          <cell r="BE3" t="str">
            <v>Variable</v>
          </cell>
          <cell r="BF3" t="str">
            <v>Other AT</v>
          </cell>
          <cell r="BG3" t="str">
            <v>Other AT</v>
          </cell>
          <cell r="BI3" t="str">
            <v>Fixed</v>
          </cell>
          <cell r="BJ3" t="str">
            <v>Variable</v>
          </cell>
          <cell r="BK3" t="str">
            <v>Other AT</v>
          </cell>
          <cell r="BL3" t="str">
            <v>Fixed</v>
          </cell>
          <cell r="BM3" t="str">
            <v>Variable</v>
          </cell>
          <cell r="BN3" t="str">
            <v>Other AT</v>
          </cell>
          <cell r="BO3" t="str">
            <v>Fixed</v>
          </cell>
          <cell r="BP3" t="str">
            <v>Variable</v>
          </cell>
          <cell r="BQ3" t="str">
            <v>Other AT</v>
          </cell>
          <cell r="BR3" t="str">
            <v>Other AT</v>
          </cell>
          <cell r="BS3" t="str">
            <v>Fixed</v>
          </cell>
          <cell r="BT3" t="str">
            <v>Variable</v>
          </cell>
          <cell r="BU3" t="str">
            <v>Other AT</v>
          </cell>
          <cell r="BW3" t="str">
            <v>Fixed</v>
          </cell>
          <cell r="BX3" t="str">
            <v>Variable</v>
          </cell>
          <cell r="BY3" t="str">
            <v>Other AT</v>
          </cell>
          <cell r="BZ3" t="str">
            <v>Fixed</v>
          </cell>
          <cell r="CA3" t="str">
            <v>Variable</v>
          </cell>
          <cell r="CB3" t="str">
            <v>Other AT</v>
          </cell>
          <cell r="CC3" t="str">
            <v>Fixed</v>
          </cell>
          <cell r="CD3" t="str">
            <v>Variable</v>
          </cell>
          <cell r="CE3" t="str">
            <v>Other AT</v>
          </cell>
          <cell r="CF3" t="str">
            <v>Other AT</v>
          </cell>
          <cell r="CG3" t="str">
            <v>Fixed</v>
          </cell>
          <cell r="CH3" t="str">
            <v>Variable</v>
          </cell>
          <cell r="CI3" t="str">
            <v>Other AT</v>
          </cell>
          <cell r="CK3" t="str">
            <v>Fixed</v>
          </cell>
          <cell r="CL3" t="str">
            <v>Variable</v>
          </cell>
          <cell r="CM3" t="str">
            <v>Other AT</v>
          </cell>
          <cell r="CN3" t="str">
            <v>Fixed</v>
          </cell>
          <cell r="CO3" t="str">
            <v>Variable</v>
          </cell>
          <cell r="CP3" t="str">
            <v>Other AT</v>
          </cell>
          <cell r="CQ3" t="str">
            <v>Fixed</v>
          </cell>
          <cell r="CR3" t="str">
            <v>Variable</v>
          </cell>
          <cell r="CS3" t="str">
            <v>Other AT</v>
          </cell>
          <cell r="CT3" t="str">
            <v>Other AT</v>
          </cell>
          <cell r="CU3" t="str">
            <v>Fixed</v>
          </cell>
          <cell r="CV3" t="str">
            <v>Variable</v>
          </cell>
          <cell r="CW3" t="str">
            <v>Other AT</v>
          </cell>
          <cell r="CY3" t="str">
            <v>Fixed</v>
          </cell>
          <cell r="CZ3" t="str">
            <v>Variable</v>
          </cell>
          <cell r="DA3" t="str">
            <v>Other AT</v>
          </cell>
          <cell r="DC3" t="str">
            <v>Fixed</v>
          </cell>
          <cell r="DD3" t="str">
            <v>Variable</v>
          </cell>
          <cell r="DE3" t="str">
            <v>Other AT</v>
          </cell>
          <cell r="DG3" t="str">
            <v>Fixed</v>
          </cell>
          <cell r="DH3" t="str">
            <v>Variable</v>
          </cell>
          <cell r="DI3" t="str">
            <v>Other AT</v>
          </cell>
          <cell r="DJ3" t="str">
            <v>Fixed</v>
          </cell>
          <cell r="DK3" t="str">
            <v>Variable</v>
          </cell>
          <cell r="DL3" t="str">
            <v>Other AT</v>
          </cell>
          <cell r="DN3" t="str">
            <v>Fixed</v>
          </cell>
          <cell r="DO3" t="str">
            <v>Variable</v>
          </cell>
          <cell r="DP3" t="str">
            <v>Other AT</v>
          </cell>
          <cell r="DQ3" t="str">
            <v>Fixed</v>
          </cell>
          <cell r="DR3" t="str">
            <v>Variable</v>
          </cell>
          <cell r="DS3" t="str">
            <v>Other AT</v>
          </cell>
          <cell r="DT3" t="str">
            <v>Fixed</v>
          </cell>
          <cell r="DU3" t="str">
            <v>Variable</v>
          </cell>
          <cell r="DV3" t="str">
            <v>Other AT</v>
          </cell>
          <cell r="DW3" t="str">
            <v>Fixed</v>
          </cell>
          <cell r="DX3" t="str">
            <v>Variable</v>
          </cell>
          <cell r="DY3" t="str">
            <v>Other AT</v>
          </cell>
        </row>
        <row r="4">
          <cell r="B4" t="str">
            <v>CYAct</v>
          </cell>
          <cell r="C4" t="str">
            <v>PYAct</v>
          </cell>
          <cell r="D4" t="str">
            <v>CYBud</v>
          </cell>
          <cell r="E4" t="str">
            <v>Current Forecast</v>
          </cell>
          <cell r="F4" t="str">
            <v>Prior Month Forecast</v>
          </cell>
          <cell r="G4" t="str">
            <v>CYAct</v>
          </cell>
          <cell r="H4" t="str">
            <v>PYAct</v>
          </cell>
          <cell r="I4" t="str">
            <v>CYBud</v>
          </cell>
          <cell r="J4" t="str">
            <v>Current Forecast</v>
          </cell>
          <cell r="K4" t="str">
            <v>Prior Month Forecast</v>
          </cell>
          <cell r="L4" t="str">
            <v>CYAct</v>
          </cell>
          <cell r="M4" t="str">
            <v>PYAct</v>
          </cell>
          <cell r="N4" t="str">
            <v>CYBud</v>
          </cell>
          <cell r="O4" t="str">
            <v>Current Forecast</v>
          </cell>
          <cell r="P4" t="str">
            <v>Prior Month Forecast</v>
          </cell>
          <cell r="Q4" t="str">
            <v>CYAct</v>
          </cell>
          <cell r="R4" t="str">
            <v>PYAct</v>
          </cell>
          <cell r="S4" t="str">
            <v>CYBud</v>
          </cell>
          <cell r="T4" t="str">
            <v>Current Forecast</v>
          </cell>
          <cell r="U4" t="str">
            <v>Prior Month Forecast</v>
          </cell>
          <cell r="W4" t="str">
            <v>PYAct</v>
          </cell>
          <cell r="X4" t="str">
            <v>CYBud</v>
          </cell>
          <cell r="Y4" t="str">
            <v>Current Forecast</v>
          </cell>
          <cell r="Z4" t="str">
            <v>Prior Month Forecast</v>
          </cell>
          <cell r="AA4" t="str">
            <v>PYAct</v>
          </cell>
          <cell r="AB4" t="str">
            <v>CYBud</v>
          </cell>
          <cell r="AC4" t="str">
            <v>Current Forecast</v>
          </cell>
          <cell r="AD4" t="str">
            <v>Prior Month Forecast</v>
          </cell>
          <cell r="AE4" t="str">
            <v>PYAct</v>
          </cell>
          <cell r="AF4" t="str">
            <v>CYBud</v>
          </cell>
          <cell r="AG4" t="str">
            <v>Current Forecast</v>
          </cell>
          <cell r="AH4" t="str">
            <v>Prior Month Forecast</v>
          </cell>
          <cell r="AI4" t="str">
            <v>PYAct</v>
          </cell>
          <cell r="AJ4" t="str">
            <v>CYBud</v>
          </cell>
          <cell r="AK4" t="str">
            <v>Current Forecast</v>
          </cell>
          <cell r="AL4" t="str">
            <v>Prior Month Forecast</v>
          </cell>
          <cell r="AN4" t="str">
            <v>CYAct</v>
          </cell>
          <cell r="AO4" t="str">
            <v>PYAct</v>
          </cell>
          <cell r="AP4" t="str">
            <v>CYBud</v>
          </cell>
          <cell r="AQ4" t="str">
            <v>CYAct</v>
          </cell>
          <cell r="AR4" t="str">
            <v>PYAct</v>
          </cell>
          <cell r="AS4" t="str">
            <v>CYBud</v>
          </cell>
          <cell r="AT4" t="str">
            <v>CYAct</v>
          </cell>
          <cell r="AU4" t="str">
            <v>PYAct</v>
          </cell>
          <cell r="AV4" t="str">
            <v>CYBud</v>
          </cell>
          <cell r="AX4" t="str">
            <v>CYBud</v>
          </cell>
          <cell r="AY4" t="str">
            <v>CYBud</v>
          </cell>
          <cell r="AZ4" t="str">
            <v>CYBud</v>
          </cell>
          <cell r="BA4" t="str">
            <v>PYAct</v>
          </cell>
          <cell r="BB4" t="str">
            <v>PYAct</v>
          </cell>
          <cell r="BC4" t="str">
            <v>PYAct</v>
          </cell>
          <cell r="BD4" t="str">
            <v>Current Forecast</v>
          </cell>
          <cell r="BE4" t="str">
            <v>Current Forecast</v>
          </cell>
          <cell r="BF4" t="str">
            <v>Current Forecast</v>
          </cell>
          <cell r="BG4" t="str">
            <v>Prior Month Forecast</v>
          </cell>
          <cell r="BI4" t="str">
            <v>CYBud</v>
          </cell>
          <cell r="BJ4" t="str">
            <v>CYBud</v>
          </cell>
          <cell r="BK4" t="str">
            <v>CYBud</v>
          </cell>
          <cell r="BL4" t="str">
            <v>PYAct</v>
          </cell>
          <cell r="BM4" t="str">
            <v>PYAct</v>
          </cell>
          <cell r="BN4" t="str">
            <v>PYAct</v>
          </cell>
          <cell r="BO4" t="str">
            <v>Current Forecast</v>
          </cell>
          <cell r="BP4" t="str">
            <v>Current Forecast</v>
          </cell>
          <cell r="BQ4" t="str">
            <v>Current Forecast</v>
          </cell>
          <cell r="BR4" t="str">
            <v>Prior Month Forecast</v>
          </cell>
          <cell r="BS4" t="str">
            <v>CYAct</v>
          </cell>
          <cell r="BT4" t="str">
            <v>CYAct</v>
          </cell>
          <cell r="BU4" t="str">
            <v>CYAct</v>
          </cell>
          <cell r="BW4" t="str">
            <v>CYBud</v>
          </cell>
          <cell r="BX4" t="str">
            <v>CYBud</v>
          </cell>
          <cell r="BY4" t="str">
            <v>CYBud</v>
          </cell>
          <cell r="BZ4" t="str">
            <v>PYAct</v>
          </cell>
          <cell r="CA4" t="str">
            <v>PYAct</v>
          </cell>
          <cell r="CB4" t="str">
            <v>PYAct</v>
          </cell>
          <cell r="CC4" t="str">
            <v>Current Forecast</v>
          </cell>
          <cell r="CD4" t="str">
            <v>Current Forecast</v>
          </cell>
          <cell r="CE4" t="str">
            <v>Current Forecast</v>
          </cell>
          <cell r="CF4" t="str">
            <v>Prior Month Forecast</v>
          </cell>
          <cell r="CG4" t="str">
            <v>CYAct</v>
          </cell>
          <cell r="CH4" t="str">
            <v>CYAct</v>
          </cell>
          <cell r="CI4" t="str">
            <v>CYAct</v>
          </cell>
          <cell r="CK4" t="str">
            <v>CYBud</v>
          </cell>
          <cell r="CL4" t="str">
            <v>CYBud</v>
          </cell>
          <cell r="CM4" t="str">
            <v>CYBud</v>
          </cell>
          <cell r="CN4" t="str">
            <v>PYAct</v>
          </cell>
          <cell r="CO4" t="str">
            <v>PYAct</v>
          </cell>
          <cell r="CP4" t="str">
            <v>PYAct</v>
          </cell>
          <cell r="CQ4" t="str">
            <v>Current Forecast</v>
          </cell>
          <cell r="CR4" t="str">
            <v>Current Forecast</v>
          </cell>
          <cell r="CS4" t="str">
            <v>Current Forecast</v>
          </cell>
          <cell r="CT4" t="str">
            <v>Prior Month Forecast</v>
          </cell>
          <cell r="CU4" t="str">
            <v>CYAct</v>
          </cell>
          <cell r="CV4" t="str">
            <v>CYAct</v>
          </cell>
          <cell r="CW4" t="str">
            <v>CYAct</v>
          </cell>
          <cell r="CY4" t="str">
            <v>CYBud</v>
          </cell>
          <cell r="CZ4" t="str">
            <v>CYBud</v>
          </cell>
          <cell r="DA4" t="str">
            <v>CYBud</v>
          </cell>
          <cell r="DC4" t="str">
            <v>CYAct</v>
          </cell>
          <cell r="DD4" t="str">
            <v>CYAct</v>
          </cell>
          <cell r="DE4" t="str">
            <v>CYAct</v>
          </cell>
          <cell r="DG4" t="str">
            <v>CYAct</v>
          </cell>
          <cell r="DH4" t="str">
            <v>CYAct</v>
          </cell>
          <cell r="DI4" t="str">
            <v>CYAct</v>
          </cell>
          <cell r="DJ4" t="str">
            <v>PYAct</v>
          </cell>
          <cell r="DK4" t="str">
            <v>PYAct</v>
          </cell>
          <cell r="DL4" t="str">
            <v>PYAct</v>
          </cell>
          <cell r="DN4" t="str">
            <v>Current Forecast</v>
          </cell>
          <cell r="DO4" t="str">
            <v>Current Forecast</v>
          </cell>
          <cell r="DP4" t="str">
            <v>Current Forecast</v>
          </cell>
          <cell r="DQ4" t="str">
            <v>PYAct</v>
          </cell>
          <cell r="DR4" t="str">
            <v>PYAct</v>
          </cell>
          <cell r="DS4" t="str">
            <v>PYAct</v>
          </cell>
          <cell r="DT4" t="str">
            <v>CYBud</v>
          </cell>
          <cell r="DU4" t="str">
            <v>CYBud</v>
          </cell>
          <cell r="DV4" t="str">
            <v>CYBud</v>
          </cell>
          <cell r="DW4" t="str">
            <v>CYAct</v>
          </cell>
          <cell r="DX4" t="str">
            <v>CYAct</v>
          </cell>
          <cell r="DY4" t="str">
            <v>CYAct</v>
          </cell>
        </row>
        <row r="5">
          <cell r="A5" t="str">
            <v>Gross Sales</v>
          </cell>
          <cell r="B5" t="str">
            <v>0</v>
          </cell>
          <cell r="C5" t="str">
            <v>0</v>
          </cell>
          <cell r="D5" t="str">
            <v>0</v>
          </cell>
          <cell r="E5" t="str">
            <v>0</v>
          </cell>
          <cell r="F5" t="str">
            <v>0</v>
          </cell>
          <cell r="G5" t="str">
            <v>0</v>
          </cell>
          <cell r="H5" t="str">
            <v>0</v>
          </cell>
          <cell r="I5" t="str">
            <v>0</v>
          </cell>
          <cell r="J5" t="str">
            <v>0</v>
          </cell>
          <cell r="K5" t="str">
            <v>0</v>
          </cell>
          <cell r="L5">
            <v>342940819.72999996</v>
          </cell>
          <cell r="M5">
            <v>760635428.82000017</v>
          </cell>
          <cell r="N5">
            <v>834106936</v>
          </cell>
          <cell r="O5">
            <v>873972739.34144032</v>
          </cell>
          <cell r="P5">
            <v>783240163.8588562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0</v>
          </cell>
          <cell r="U5" t="str">
            <v>0</v>
          </cell>
          <cell r="W5" t="str">
            <v>0</v>
          </cell>
          <cell r="X5" t="str">
            <v>0</v>
          </cell>
          <cell r="Y5" t="str">
            <v>0</v>
          </cell>
          <cell r="Z5" t="str">
            <v>0</v>
          </cell>
          <cell r="AA5" t="str">
            <v>0</v>
          </cell>
          <cell r="AB5" t="str">
            <v>0</v>
          </cell>
          <cell r="AC5" t="str">
            <v>0</v>
          </cell>
          <cell r="AD5" t="str">
            <v>0</v>
          </cell>
          <cell r="AE5">
            <v>76942183.449999988</v>
          </cell>
          <cell r="AF5">
            <v>75177083</v>
          </cell>
          <cell r="AG5">
            <v>81424135.219999999</v>
          </cell>
          <cell r="AH5">
            <v>75212494.439999998</v>
          </cell>
          <cell r="AI5" t="str">
            <v>0</v>
          </cell>
          <cell r="AJ5" t="str">
            <v>0</v>
          </cell>
          <cell r="AK5" t="str">
            <v>0</v>
          </cell>
          <cell r="AL5" t="str">
            <v>0</v>
          </cell>
          <cell r="AN5" t="str">
            <v>0</v>
          </cell>
          <cell r="AO5" t="str">
            <v>0</v>
          </cell>
          <cell r="AP5" t="str">
            <v>0</v>
          </cell>
          <cell r="AQ5" t="str">
            <v>0</v>
          </cell>
          <cell r="AR5" t="str">
            <v>0</v>
          </cell>
          <cell r="AS5" t="str">
            <v>0</v>
          </cell>
          <cell r="AT5" t="str">
            <v>0</v>
          </cell>
          <cell r="AU5" t="str">
            <v>0</v>
          </cell>
          <cell r="AV5" t="str">
            <v>0</v>
          </cell>
          <cell r="AX5" t="str">
            <v>0</v>
          </cell>
          <cell r="AY5" t="str">
            <v>0</v>
          </cell>
          <cell r="AZ5" t="str">
            <v>0</v>
          </cell>
          <cell r="BA5" t="str">
            <v>0</v>
          </cell>
          <cell r="BB5" t="str">
            <v>0</v>
          </cell>
          <cell r="BC5" t="str">
            <v>0</v>
          </cell>
          <cell r="BD5" t="str">
            <v>0</v>
          </cell>
          <cell r="BE5" t="str">
            <v>0</v>
          </cell>
          <cell r="BF5" t="str">
            <v>0</v>
          </cell>
          <cell r="BG5" t="str">
            <v>0</v>
          </cell>
          <cell r="BI5" t="str">
            <v>0</v>
          </cell>
          <cell r="BJ5" t="str">
            <v>0</v>
          </cell>
          <cell r="BK5" t="str">
            <v>0</v>
          </cell>
          <cell r="BL5" t="str">
            <v>0</v>
          </cell>
          <cell r="BM5" t="str">
            <v>0</v>
          </cell>
          <cell r="BN5" t="str">
            <v>0</v>
          </cell>
          <cell r="BO5" t="str">
            <v>0</v>
          </cell>
          <cell r="BP5" t="str">
            <v>0</v>
          </cell>
          <cell r="BQ5" t="str">
            <v>0</v>
          </cell>
          <cell r="BR5" t="str">
            <v>0</v>
          </cell>
          <cell r="BS5" t="str">
            <v>0</v>
          </cell>
          <cell r="BT5" t="str">
            <v>0</v>
          </cell>
          <cell r="BU5" t="str">
            <v>0</v>
          </cell>
          <cell r="BW5" t="str">
            <v>0</v>
          </cell>
          <cell r="BX5" t="str">
            <v>0</v>
          </cell>
          <cell r="BY5" t="str">
            <v>0</v>
          </cell>
          <cell r="BZ5" t="str">
            <v>0</v>
          </cell>
          <cell r="CA5" t="str">
            <v>0</v>
          </cell>
          <cell r="CB5" t="str">
            <v>0</v>
          </cell>
          <cell r="CC5" t="str">
            <v>0</v>
          </cell>
          <cell r="CD5" t="str">
            <v>0</v>
          </cell>
          <cell r="CE5" t="str">
            <v>0</v>
          </cell>
          <cell r="CF5" t="str">
            <v>0</v>
          </cell>
          <cell r="CG5" t="str">
            <v>0</v>
          </cell>
          <cell r="CH5" t="str">
            <v>0</v>
          </cell>
          <cell r="CI5" t="str">
            <v>0</v>
          </cell>
          <cell r="CK5" t="str">
            <v>0</v>
          </cell>
          <cell r="CL5" t="str">
            <v>0</v>
          </cell>
          <cell r="CM5" t="str">
            <v>0</v>
          </cell>
          <cell r="CN5" t="str">
            <v>0</v>
          </cell>
          <cell r="CO5" t="str">
            <v>0</v>
          </cell>
          <cell r="CP5" t="str">
            <v>0</v>
          </cell>
          <cell r="CQ5" t="str">
            <v>0</v>
          </cell>
          <cell r="CR5" t="str">
            <v>0</v>
          </cell>
          <cell r="CS5" t="str">
            <v>0</v>
          </cell>
          <cell r="CT5" t="str">
            <v>0</v>
          </cell>
          <cell r="CU5" t="str">
            <v>0</v>
          </cell>
          <cell r="CV5" t="str">
            <v>0</v>
          </cell>
          <cell r="CW5" t="str">
            <v>0</v>
          </cell>
          <cell r="CY5" t="str">
            <v>0</v>
          </cell>
          <cell r="CZ5" t="str">
            <v>0</v>
          </cell>
          <cell r="DA5" t="str">
            <v>0</v>
          </cell>
          <cell r="DC5" t="str">
            <v>0</v>
          </cell>
          <cell r="DD5" t="str">
            <v>0</v>
          </cell>
          <cell r="DE5" t="str">
            <v>0</v>
          </cell>
          <cell r="DG5" t="str">
            <v>0</v>
          </cell>
          <cell r="DH5" t="str">
            <v>0</v>
          </cell>
          <cell r="DI5" t="str">
            <v>0</v>
          </cell>
          <cell r="DJ5" t="str">
            <v>0</v>
          </cell>
          <cell r="DK5" t="str">
            <v>0</v>
          </cell>
          <cell r="DL5" t="str">
            <v>0</v>
          </cell>
          <cell r="DN5" t="str">
            <v>0</v>
          </cell>
          <cell r="DO5" t="str">
            <v>0</v>
          </cell>
          <cell r="DP5" t="str">
            <v>0</v>
          </cell>
          <cell r="DQ5" t="str">
            <v>0</v>
          </cell>
          <cell r="DR5" t="str">
            <v>0</v>
          </cell>
          <cell r="DS5" t="str">
            <v>0</v>
          </cell>
          <cell r="DT5" t="str">
            <v>0</v>
          </cell>
          <cell r="DU5" t="str">
            <v>0</v>
          </cell>
          <cell r="DV5" t="str">
            <v>0</v>
          </cell>
          <cell r="DW5" t="str">
            <v>0</v>
          </cell>
          <cell r="DX5" t="str">
            <v>0</v>
          </cell>
          <cell r="DY5" t="str">
            <v>0</v>
          </cell>
        </row>
        <row r="6">
          <cell r="A6" t="str">
            <v>Total Sales Adjustments</v>
          </cell>
          <cell r="B6">
            <v>3086737.14</v>
          </cell>
          <cell r="C6">
            <v>4565557.03</v>
          </cell>
          <cell r="D6">
            <v>6997095</v>
          </cell>
          <cell r="E6">
            <v>7891880.4800000004</v>
          </cell>
          <cell r="F6">
            <v>7173898.6600000001</v>
          </cell>
          <cell r="G6">
            <v>34090008.910000004</v>
          </cell>
          <cell r="H6">
            <v>85679375.200000003</v>
          </cell>
          <cell r="I6">
            <v>64352885</v>
          </cell>
          <cell r="J6">
            <v>75701782.473944634</v>
          </cell>
          <cell r="K6">
            <v>69620054.150460452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0</v>
          </cell>
          <cell r="U6" t="str">
            <v>0</v>
          </cell>
          <cell r="W6">
            <v>325101.13</v>
          </cell>
          <cell r="X6">
            <v>632410</v>
          </cell>
          <cell r="Y6">
            <v>626084.65</v>
          </cell>
          <cell r="Z6">
            <v>626084.65</v>
          </cell>
          <cell r="AA6">
            <v>6329315.6699999999</v>
          </cell>
          <cell r="AB6">
            <v>5860488</v>
          </cell>
          <cell r="AC6">
            <v>7708631.629999999</v>
          </cell>
          <cell r="AD6">
            <v>7699797.7599999998</v>
          </cell>
          <cell r="AE6" t="str">
            <v>0</v>
          </cell>
          <cell r="AF6" t="str">
            <v>0</v>
          </cell>
          <cell r="AG6" t="str">
            <v>0</v>
          </cell>
          <cell r="AH6" t="str">
            <v>0</v>
          </cell>
          <cell r="AI6" t="str">
            <v>0</v>
          </cell>
          <cell r="AJ6" t="str">
            <v>0</v>
          </cell>
          <cell r="AK6" t="str">
            <v>0</v>
          </cell>
          <cell r="AL6" t="str">
            <v>0</v>
          </cell>
          <cell r="AN6">
            <v>3086737.14</v>
          </cell>
          <cell r="AO6">
            <v>4565557.03</v>
          </cell>
          <cell r="AP6">
            <v>6997095</v>
          </cell>
          <cell r="AQ6">
            <v>34090008.910000004</v>
          </cell>
          <cell r="AR6">
            <v>85679375.200000003</v>
          </cell>
          <cell r="AS6">
            <v>64352885</v>
          </cell>
          <cell r="AT6" t="str">
            <v>0</v>
          </cell>
          <cell r="AU6" t="str">
            <v>0</v>
          </cell>
          <cell r="AV6" t="str">
            <v>0</v>
          </cell>
          <cell r="AX6">
            <v>6997095</v>
          </cell>
          <cell r="AY6">
            <v>64352885</v>
          </cell>
          <cell r="AZ6" t="str">
            <v>0</v>
          </cell>
          <cell r="BA6">
            <v>4565557.03</v>
          </cell>
          <cell r="BB6">
            <v>85679375.200000003</v>
          </cell>
          <cell r="BC6" t="str">
            <v>0</v>
          </cell>
          <cell r="BD6">
            <v>7891880.4800000004</v>
          </cell>
          <cell r="BE6">
            <v>75701782.473944634</v>
          </cell>
          <cell r="BF6" t="str">
            <v>0</v>
          </cell>
          <cell r="BG6" t="str">
            <v>0</v>
          </cell>
          <cell r="BI6">
            <v>2499813</v>
          </cell>
          <cell r="BJ6">
            <v>21564031</v>
          </cell>
          <cell r="BK6" t="str">
            <v>0</v>
          </cell>
          <cell r="BL6">
            <v>1236435.5900000001</v>
          </cell>
          <cell r="BM6">
            <v>25081691.909999996</v>
          </cell>
          <cell r="BN6" t="str">
            <v>0</v>
          </cell>
          <cell r="BO6">
            <v>2514538.48</v>
          </cell>
          <cell r="BP6">
            <v>30400180.220000003</v>
          </cell>
          <cell r="BQ6" t="str">
            <v>0</v>
          </cell>
          <cell r="BR6" t="str">
            <v>0</v>
          </cell>
          <cell r="BS6">
            <v>2514538.48</v>
          </cell>
          <cell r="BT6">
            <v>30400180.220000003</v>
          </cell>
          <cell r="BU6" t="str">
            <v>0</v>
          </cell>
          <cell r="BW6">
            <v>1797019</v>
          </cell>
          <cell r="BX6">
            <v>15610743</v>
          </cell>
          <cell r="BY6" t="str">
            <v>0</v>
          </cell>
          <cell r="BZ6">
            <v>1053577.71</v>
          </cell>
          <cell r="CA6">
            <v>22443164.160000004</v>
          </cell>
          <cell r="CB6" t="str">
            <v>0</v>
          </cell>
          <cell r="CC6">
            <v>1990066.82</v>
          </cell>
          <cell r="CD6">
            <v>20052968.986817483</v>
          </cell>
          <cell r="CE6" t="str">
            <v>0</v>
          </cell>
          <cell r="CF6" t="str">
            <v>0</v>
          </cell>
          <cell r="CG6">
            <v>1224872.48</v>
          </cell>
          <cell r="CH6">
            <v>13336642.26</v>
          </cell>
          <cell r="CI6" t="str">
            <v>0</v>
          </cell>
          <cell r="CK6">
            <v>1895444</v>
          </cell>
          <cell r="CL6">
            <v>15788826</v>
          </cell>
          <cell r="CM6" t="str">
            <v>0</v>
          </cell>
          <cell r="CN6">
            <v>950636.79</v>
          </cell>
          <cell r="CO6">
            <v>17669457.889999997</v>
          </cell>
          <cell r="CP6" t="str">
            <v>0</v>
          </cell>
          <cell r="CQ6">
            <v>1861864.66</v>
          </cell>
          <cell r="CR6">
            <v>20753366.649999999</v>
          </cell>
          <cell r="CS6" t="str">
            <v>0</v>
          </cell>
          <cell r="CT6" t="str">
            <v>0</v>
          </cell>
          <cell r="CU6">
            <v>1861864.66</v>
          </cell>
          <cell r="CV6">
            <v>20753366.649999999</v>
          </cell>
          <cell r="CW6" t="str">
            <v>0</v>
          </cell>
          <cell r="CY6">
            <v>1797019</v>
          </cell>
          <cell r="CZ6">
            <v>15610743</v>
          </cell>
          <cell r="DA6" t="str">
            <v>0</v>
          </cell>
          <cell r="DC6">
            <v>1861864.66</v>
          </cell>
          <cell r="DD6">
            <v>20753366.649999999</v>
          </cell>
          <cell r="DE6" t="str">
            <v>0</v>
          </cell>
          <cell r="DG6">
            <v>1224872.48</v>
          </cell>
          <cell r="DH6">
            <v>13336642.26</v>
          </cell>
          <cell r="DI6" t="str">
            <v>0</v>
          </cell>
          <cell r="DJ6">
            <v>1053577.71</v>
          </cell>
          <cell r="DK6">
            <v>22443164.160000004</v>
          </cell>
          <cell r="DL6" t="str">
            <v>0</v>
          </cell>
          <cell r="DN6">
            <v>2047574</v>
          </cell>
          <cell r="DO6">
            <v>18730543.360507555</v>
          </cell>
          <cell r="DP6" t="str">
            <v>0</v>
          </cell>
          <cell r="DQ6">
            <v>1169698.08</v>
          </cell>
          <cell r="DR6">
            <v>21630323.599999998</v>
          </cell>
          <cell r="DS6" t="str">
            <v>0</v>
          </cell>
          <cell r="DT6">
            <v>1703680</v>
          </cell>
          <cell r="DU6">
            <v>17577428</v>
          </cell>
          <cell r="DV6" t="str">
            <v>0</v>
          </cell>
          <cell r="DW6" t="str">
            <v>0</v>
          </cell>
          <cell r="DX6" t="str">
            <v>0</v>
          </cell>
          <cell r="DY6" t="str">
            <v>0</v>
          </cell>
        </row>
        <row r="7">
          <cell r="A7" t="str">
            <v>Net Sales</v>
          </cell>
          <cell r="B7">
            <v>3086737.14</v>
          </cell>
          <cell r="C7">
            <v>4565557.03</v>
          </cell>
          <cell r="D7">
            <v>6997095</v>
          </cell>
          <cell r="E7">
            <v>7891880.4800000004</v>
          </cell>
          <cell r="F7">
            <v>7173898.6600000001</v>
          </cell>
          <cell r="G7">
            <v>34090008.910000004</v>
          </cell>
          <cell r="H7">
            <v>85679375.200000003</v>
          </cell>
          <cell r="I7">
            <v>64352885</v>
          </cell>
          <cell r="J7">
            <v>75701782.473944634</v>
          </cell>
          <cell r="K7">
            <v>69620054.150460452</v>
          </cell>
          <cell r="L7">
            <v>342940819.72999996</v>
          </cell>
          <cell r="M7">
            <v>760635428.82000017</v>
          </cell>
          <cell r="N7">
            <v>834106936</v>
          </cell>
          <cell r="O7">
            <v>873972739.34144032</v>
          </cell>
          <cell r="P7">
            <v>783240163.8588562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0</v>
          </cell>
          <cell r="U7" t="str">
            <v>0</v>
          </cell>
          <cell r="W7">
            <v>325101.13</v>
          </cell>
          <cell r="X7">
            <v>632410</v>
          </cell>
          <cell r="Y7">
            <v>626084.65</v>
          </cell>
          <cell r="Z7">
            <v>626084.65</v>
          </cell>
          <cell r="AA7">
            <v>6329315.6699999999</v>
          </cell>
          <cell r="AB7">
            <v>5860488</v>
          </cell>
          <cell r="AC7">
            <v>7708631.629999999</v>
          </cell>
          <cell r="AD7">
            <v>7699797.7599999998</v>
          </cell>
          <cell r="AE7">
            <v>76942183.449999988</v>
          </cell>
          <cell r="AF7">
            <v>75177083</v>
          </cell>
          <cell r="AG7">
            <v>81424135.219999999</v>
          </cell>
          <cell r="AH7">
            <v>75212494.439999998</v>
          </cell>
          <cell r="AI7" t="str">
            <v>0</v>
          </cell>
          <cell r="AJ7" t="str">
            <v>0</v>
          </cell>
          <cell r="AK7" t="str">
            <v>0</v>
          </cell>
          <cell r="AL7" t="str">
            <v>0</v>
          </cell>
          <cell r="AN7">
            <v>3086737.14</v>
          </cell>
          <cell r="AO7">
            <v>4565557.03</v>
          </cell>
          <cell r="AP7">
            <v>6997095</v>
          </cell>
          <cell r="AQ7">
            <v>34090008.910000004</v>
          </cell>
          <cell r="AR7">
            <v>85679375.200000003</v>
          </cell>
          <cell r="AS7">
            <v>64352885</v>
          </cell>
          <cell r="AT7" t="str">
            <v>0</v>
          </cell>
          <cell r="AU7" t="str">
            <v>0</v>
          </cell>
          <cell r="AV7" t="str">
            <v>0</v>
          </cell>
          <cell r="AX7">
            <v>6997095</v>
          </cell>
          <cell r="AY7">
            <v>64352885</v>
          </cell>
          <cell r="AZ7" t="str">
            <v>0</v>
          </cell>
          <cell r="BA7">
            <v>4565557.03</v>
          </cell>
          <cell r="BB7">
            <v>85679375.200000003</v>
          </cell>
          <cell r="BC7" t="str">
            <v>0</v>
          </cell>
          <cell r="BD7">
            <v>7891880.4800000004</v>
          </cell>
          <cell r="BE7">
            <v>75701782.473944634</v>
          </cell>
          <cell r="BF7" t="str">
            <v>0</v>
          </cell>
          <cell r="BG7" t="str">
            <v>0</v>
          </cell>
          <cell r="BI7">
            <v>2499813</v>
          </cell>
          <cell r="BJ7">
            <v>21564031</v>
          </cell>
          <cell r="BK7" t="str">
            <v>0</v>
          </cell>
          <cell r="BL7">
            <v>1236435.5900000001</v>
          </cell>
          <cell r="BM7">
            <v>25081691.909999996</v>
          </cell>
          <cell r="BN7" t="str">
            <v>0</v>
          </cell>
          <cell r="BO7">
            <v>2514538.48</v>
          </cell>
          <cell r="BP7">
            <v>30400180.220000003</v>
          </cell>
          <cell r="BQ7" t="str">
            <v>0</v>
          </cell>
          <cell r="BR7" t="str">
            <v>0</v>
          </cell>
          <cell r="BS7">
            <v>2514538.48</v>
          </cell>
          <cell r="BT7">
            <v>30400180.220000003</v>
          </cell>
          <cell r="BU7" t="str">
            <v>0</v>
          </cell>
          <cell r="BW7">
            <v>1797019</v>
          </cell>
          <cell r="BX7">
            <v>15610743</v>
          </cell>
          <cell r="BY7" t="str">
            <v>0</v>
          </cell>
          <cell r="BZ7">
            <v>1053577.71</v>
          </cell>
          <cell r="CA7">
            <v>22443164.160000004</v>
          </cell>
          <cell r="CB7" t="str">
            <v>0</v>
          </cell>
          <cell r="CC7">
            <v>1990066.82</v>
          </cell>
          <cell r="CD7">
            <v>20052968.986817483</v>
          </cell>
          <cell r="CE7" t="str">
            <v>0</v>
          </cell>
          <cell r="CF7" t="str">
            <v>0</v>
          </cell>
          <cell r="CG7">
            <v>1224872.48</v>
          </cell>
          <cell r="CH7">
            <v>13336642.26</v>
          </cell>
          <cell r="CI7" t="str">
            <v>0</v>
          </cell>
          <cell r="CK7">
            <v>1895444</v>
          </cell>
          <cell r="CL7">
            <v>15788826</v>
          </cell>
          <cell r="CM7" t="str">
            <v>0</v>
          </cell>
          <cell r="CN7">
            <v>950636.79</v>
          </cell>
          <cell r="CO7">
            <v>17669457.889999997</v>
          </cell>
          <cell r="CP7" t="str">
            <v>0</v>
          </cell>
          <cell r="CQ7">
            <v>1861864.66</v>
          </cell>
          <cell r="CR7">
            <v>20753366.649999999</v>
          </cell>
          <cell r="CS7" t="str">
            <v>0</v>
          </cell>
          <cell r="CT7" t="str">
            <v>0</v>
          </cell>
          <cell r="CU7">
            <v>1861864.66</v>
          </cell>
          <cell r="CV7">
            <v>20753366.649999999</v>
          </cell>
          <cell r="CW7" t="str">
            <v>0</v>
          </cell>
          <cell r="CY7">
            <v>1797019</v>
          </cell>
          <cell r="CZ7">
            <v>15610743</v>
          </cell>
          <cell r="DA7" t="str">
            <v>0</v>
          </cell>
          <cell r="DC7">
            <v>1861864.66</v>
          </cell>
          <cell r="DD7">
            <v>20753366.649999999</v>
          </cell>
          <cell r="DE7" t="str">
            <v>0</v>
          </cell>
          <cell r="DG7">
            <v>1224872.48</v>
          </cell>
          <cell r="DH7">
            <v>13336642.26</v>
          </cell>
          <cell r="DI7" t="str">
            <v>0</v>
          </cell>
          <cell r="DJ7">
            <v>1053577.71</v>
          </cell>
          <cell r="DK7">
            <v>22443164.160000004</v>
          </cell>
          <cell r="DL7" t="str">
            <v>0</v>
          </cell>
          <cell r="DN7">
            <v>2047574</v>
          </cell>
          <cell r="DO7">
            <v>18730543.360507555</v>
          </cell>
          <cell r="DP7" t="str">
            <v>0</v>
          </cell>
          <cell r="DQ7">
            <v>1169698.08</v>
          </cell>
          <cell r="DR7">
            <v>21630323.599999998</v>
          </cell>
          <cell r="DS7" t="str">
            <v>0</v>
          </cell>
          <cell r="DT7">
            <v>1703680</v>
          </cell>
          <cell r="DU7">
            <v>17577428</v>
          </cell>
          <cell r="DV7" t="str">
            <v>0</v>
          </cell>
          <cell r="DW7" t="str">
            <v>0</v>
          </cell>
          <cell r="DX7" t="str">
            <v>0</v>
          </cell>
          <cell r="DY7" t="str">
            <v>0</v>
          </cell>
        </row>
        <row r="8">
          <cell r="A8" t="str">
            <v>Standard Material Cost</v>
          </cell>
          <cell r="B8" t="str">
            <v>0</v>
          </cell>
          <cell r="C8" t="str">
            <v>0</v>
          </cell>
          <cell r="D8" t="str">
            <v>0</v>
          </cell>
          <cell r="E8" t="str">
            <v>0</v>
          </cell>
          <cell r="F8" t="str">
            <v>0</v>
          </cell>
          <cell r="G8">
            <v>124709515.81999998</v>
          </cell>
          <cell r="H8">
            <v>265344591.04999998</v>
          </cell>
          <cell r="I8">
            <v>301191218</v>
          </cell>
          <cell r="J8">
            <v>98110442.910000011</v>
          </cell>
          <cell r="K8">
            <v>66933047.470000014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0</v>
          </cell>
          <cell r="U8" t="str">
            <v>0</v>
          </cell>
          <cell r="W8" t="str">
            <v>0</v>
          </cell>
          <cell r="X8" t="str">
            <v>0</v>
          </cell>
          <cell r="Y8" t="str">
            <v>0</v>
          </cell>
          <cell r="Z8" t="str">
            <v>0</v>
          </cell>
          <cell r="AA8">
            <v>25528586.880000003</v>
          </cell>
          <cell r="AB8">
            <v>26796950</v>
          </cell>
          <cell r="AC8">
            <v>27310932.990000002</v>
          </cell>
          <cell r="AD8">
            <v>25719691.380000003</v>
          </cell>
          <cell r="AE8" t="str">
            <v>0</v>
          </cell>
          <cell r="AF8" t="str">
            <v>0</v>
          </cell>
          <cell r="AG8" t="str">
            <v>0</v>
          </cell>
          <cell r="AH8" t="str">
            <v>0</v>
          </cell>
          <cell r="AI8" t="str">
            <v>0</v>
          </cell>
          <cell r="AJ8" t="str">
            <v>0</v>
          </cell>
          <cell r="AK8" t="str">
            <v>0</v>
          </cell>
          <cell r="AL8" t="str">
            <v>0</v>
          </cell>
          <cell r="AN8" t="str">
            <v>0</v>
          </cell>
          <cell r="AO8" t="str">
            <v>0</v>
          </cell>
          <cell r="AP8" t="str">
            <v>0</v>
          </cell>
          <cell r="AQ8">
            <v>124709515.81999998</v>
          </cell>
          <cell r="AR8">
            <v>265344591.04999998</v>
          </cell>
          <cell r="AS8">
            <v>301191218</v>
          </cell>
          <cell r="AT8" t="str">
            <v>0</v>
          </cell>
          <cell r="AU8" t="str">
            <v>0</v>
          </cell>
          <cell r="AV8" t="str">
            <v>0</v>
          </cell>
          <cell r="AX8" t="str">
            <v>0</v>
          </cell>
          <cell r="AY8">
            <v>301191218</v>
          </cell>
          <cell r="AZ8" t="str">
            <v>0</v>
          </cell>
          <cell r="BA8" t="str">
            <v>0</v>
          </cell>
          <cell r="BB8">
            <v>265344591.05000001</v>
          </cell>
          <cell r="BC8" t="str">
            <v>0</v>
          </cell>
          <cell r="BD8" t="str">
            <v>0</v>
          </cell>
          <cell r="BE8">
            <v>98110442.910000011</v>
          </cell>
          <cell r="BF8" t="str">
            <v>0</v>
          </cell>
          <cell r="BG8" t="str">
            <v>0</v>
          </cell>
          <cell r="BI8" t="str">
            <v>0</v>
          </cell>
          <cell r="BJ8">
            <v>99659855</v>
          </cell>
          <cell r="BK8" t="str">
            <v>0</v>
          </cell>
          <cell r="BL8" t="str">
            <v>0</v>
          </cell>
          <cell r="BM8">
            <v>92172595.370000005</v>
          </cell>
          <cell r="BN8" t="str">
            <v>0</v>
          </cell>
          <cell r="BO8" t="str">
            <v>0</v>
          </cell>
          <cell r="BP8">
            <v>98103131.910000011</v>
          </cell>
          <cell r="BQ8" t="str">
            <v>0</v>
          </cell>
          <cell r="BR8" t="str">
            <v>0</v>
          </cell>
          <cell r="BS8" t="str">
            <v>0</v>
          </cell>
          <cell r="BT8">
            <v>98103131.910000011</v>
          </cell>
          <cell r="BU8" t="str">
            <v>0</v>
          </cell>
          <cell r="BW8" t="str">
            <v>0</v>
          </cell>
          <cell r="BX8">
            <v>73667929</v>
          </cell>
          <cell r="BY8" t="str">
            <v>0</v>
          </cell>
          <cell r="BZ8" t="str">
            <v>0</v>
          </cell>
          <cell r="CA8">
            <v>60457289.059999995</v>
          </cell>
          <cell r="CB8" t="str">
            <v>0</v>
          </cell>
          <cell r="CC8" t="str">
            <v>0</v>
          </cell>
          <cell r="CD8">
            <v>26847506.080000006</v>
          </cell>
          <cell r="CE8" t="str">
            <v>0</v>
          </cell>
          <cell r="CF8" t="str">
            <v>0</v>
          </cell>
          <cell r="CG8" t="str">
            <v>0</v>
          </cell>
          <cell r="CH8">
            <v>53452061.99000001</v>
          </cell>
          <cell r="CI8" t="str">
            <v>0</v>
          </cell>
          <cell r="CK8" t="str">
            <v>0</v>
          </cell>
          <cell r="CL8">
            <v>72793962</v>
          </cell>
          <cell r="CM8" t="str">
            <v>0</v>
          </cell>
          <cell r="CN8" t="str">
            <v>0</v>
          </cell>
          <cell r="CO8">
            <v>68027390.340000004</v>
          </cell>
          <cell r="CP8" t="str">
            <v>0</v>
          </cell>
          <cell r="CQ8" t="str">
            <v>0</v>
          </cell>
          <cell r="CR8">
            <v>71257453.830000013</v>
          </cell>
          <cell r="CS8" t="str">
            <v>0</v>
          </cell>
          <cell r="CT8" t="str">
            <v>0</v>
          </cell>
          <cell r="CU8" t="str">
            <v>0</v>
          </cell>
          <cell r="CV8">
            <v>71257453.830000013</v>
          </cell>
          <cell r="CW8" t="str">
            <v>0</v>
          </cell>
          <cell r="CY8" t="str">
            <v>0</v>
          </cell>
          <cell r="CZ8">
            <v>73667929</v>
          </cell>
          <cell r="DA8" t="str">
            <v>0</v>
          </cell>
          <cell r="DC8" t="str">
            <v>0</v>
          </cell>
          <cell r="DD8">
            <v>71257453.830000013</v>
          </cell>
          <cell r="DE8" t="str">
            <v>0</v>
          </cell>
          <cell r="DG8" t="str">
            <v>0</v>
          </cell>
          <cell r="DH8">
            <v>53452061.99000001</v>
          </cell>
          <cell r="DI8" t="str">
            <v>0</v>
          </cell>
          <cell r="DJ8" t="str">
            <v>0</v>
          </cell>
          <cell r="DK8">
            <v>60457289.059999995</v>
          </cell>
          <cell r="DL8" t="str">
            <v>0</v>
          </cell>
          <cell r="DN8" t="str">
            <v>0</v>
          </cell>
          <cell r="DO8">
            <v>2742</v>
          </cell>
          <cell r="DP8" t="str">
            <v>0</v>
          </cell>
          <cell r="DQ8" t="str">
            <v>0</v>
          </cell>
          <cell r="DR8">
            <v>71853721.890000001</v>
          </cell>
          <cell r="DS8" t="str">
            <v>0</v>
          </cell>
          <cell r="DT8" t="str">
            <v>0</v>
          </cell>
          <cell r="DU8">
            <v>84190243</v>
          </cell>
          <cell r="DV8" t="str">
            <v>0</v>
          </cell>
          <cell r="DW8" t="str">
            <v>0</v>
          </cell>
          <cell r="DX8" t="str">
            <v>0</v>
          </cell>
          <cell r="DY8" t="str">
            <v>0</v>
          </cell>
        </row>
        <row r="9">
          <cell r="A9" t="str">
            <v>Std. Direct Labor</v>
          </cell>
          <cell r="B9" t="str">
            <v>0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>
            <v>16024770.859999998</v>
          </cell>
          <cell r="H9">
            <v>35254245.879999995</v>
          </cell>
          <cell r="I9">
            <v>37945270</v>
          </cell>
          <cell r="J9">
            <v>13489766.069999998</v>
          </cell>
          <cell r="K9">
            <v>9799650.1600000001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0</v>
          </cell>
          <cell r="U9" t="str">
            <v>0</v>
          </cell>
          <cell r="W9" t="str">
            <v>0</v>
          </cell>
          <cell r="X9" t="str">
            <v>0</v>
          </cell>
          <cell r="Y9" t="str">
            <v>0</v>
          </cell>
          <cell r="Z9" t="str">
            <v>0</v>
          </cell>
          <cell r="AA9">
            <v>3422138.84</v>
          </cell>
          <cell r="AB9">
            <v>3413882</v>
          </cell>
          <cell r="AC9">
            <v>3757514.04</v>
          </cell>
          <cell r="AD9">
            <v>3757514.04</v>
          </cell>
          <cell r="AE9" t="str">
            <v>0</v>
          </cell>
          <cell r="AF9" t="str">
            <v>0</v>
          </cell>
          <cell r="AG9" t="str">
            <v>0</v>
          </cell>
          <cell r="AH9" t="str">
            <v>0</v>
          </cell>
          <cell r="AI9" t="str">
            <v>0</v>
          </cell>
          <cell r="AJ9" t="str">
            <v>0</v>
          </cell>
          <cell r="AK9" t="str">
            <v>0</v>
          </cell>
          <cell r="AL9" t="str">
            <v>0</v>
          </cell>
          <cell r="AN9" t="str">
            <v>0</v>
          </cell>
          <cell r="AO9" t="str">
            <v>0</v>
          </cell>
          <cell r="AP9" t="str">
            <v>0</v>
          </cell>
          <cell r="AQ9">
            <v>16024770.859999998</v>
          </cell>
          <cell r="AR9">
            <v>35254245.879999995</v>
          </cell>
          <cell r="AS9">
            <v>37945270</v>
          </cell>
          <cell r="AT9" t="str">
            <v>0</v>
          </cell>
          <cell r="AU9" t="str">
            <v>0</v>
          </cell>
          <cell r="AV9" t="str">
            <v>0</v>
          </cell>
          <cell r="AX9" t="str">
            <v>0</v>
          </cell>
          <cell r="AY9">
            <v>37945270</v>
          </cell>
          <cell r="AZ9" t="str">
            <v>0</v>
          </cell>
          <cell r="BA9" t="str">
            <v>0</v>
          </cell>
          <cell r="BB9">
            <v>35254245.880000003</v>
          </cell>
          <cell r="BC9" t="str">
            <v>0</v>
          </cell>
          <cell r="BD9" t="str">
            <v>0</v>
          </cell>
          <cell r="BE9">
            <v>13489766.069999998</v>
          </cell>
          <cell r="BF9" t="str">
            <v>0</v>
          </cell>
          <cell r="BG9" t="str">
            <v>0</v>
          </cell>
          <cell r="BI9" t="str">
            <v>0</v>
          </cell>
          <cell r="BJ9">
            <v>12619968</v>
          </cell>
          <cell r="BK9" t="str">
            <v>0</v>
          </cell>
          <cell r="BL9" t="str">
            <v>0</v>
          </cell>
          <cell r="BM9">
            <v>12299512.210000001</v>
          </cell>
          <cell r="BN9" t="str">
            <v>0</v>
          </cell>
          <cell r="BO9" t="str">
            <v>0</v>
          </cell>
          <cell r="BP9">
            <v>13489766.069999998</v>
          </cell>
          <cell r="BQ9" t="str">
            <v>0</v>
          </cell>
          <cell r="BR9" t="str">
            <v>0</v>
          </cell>
          <cell r="BS9" t="str">
            <v>0</v>
          </cell>
          <cell r="BT9">
            <v>13489766.069999998</v>
          </cell>
          <cell r="BU9" t="str">
            <v>0</v>
          </cell>
          <cell r="BW9" t="str">
            <v>0</v>
          </cell>
          <cell r="BX9">
            <v>9229629</v>
          </cell>
          <cell r="BY9" t="str">
            <v>0</v>
          </cell>
          <cell r="BZ9" t="str">
            <v>0</v>
          </cell>
          <cell r="CA9">
            <v>8207079.0499999998</v>
          </cell>
          <cell r="CB9" t="str">
            <v>0</v>
          </cell>
          <cell r="CC9" t="str">
            <v>0</v>
          </cell>
          <cell r="CD9">
            <v>3690115.91</v>
          </cell>
          <cell r="CE9" t="str">
            <v>0</v>
          </cell>
          <cell r="CF9" t="str">
            <v>0</v>
          </cell>
          <cell r="CG9" t="str">
            <v>0</v>
          </cell>
          <cell r="CH9">
            <v>6225120.7000000002</v>
          </cell>
          <cell r="CI9" t="str">
            <v>0</v>
          </cell>
          <cell r="CK9" t="str">
            <v>0</v>
          </cell>
          <cell r="CL9">
            <v>9213714</v>
          </cell>
          <cell r="CM9" t="str">
            <v>0</v>
          </cell>
          <cell r="CN9" t="str">
            <v>0</v>
          </cell>
          <cell r="CO9">
            <v>9101490.9100000001</v>
          </cell>
          <cell r="CP9" t="str">
            <v>0</v>
          </cell>
          <cell r="CQ9" t="str">
            <v>0</v>
          </cell>
          <cell r="CR9">
            <v>9799650.1600000001</v>
          </cell>
          <cell r="CS9" t="str">
            <v>0</v>
          </cell>
          <cell r="CT9" t="str">
            <v>0</v>
          </cell>
          <cell r="CU9" t="str">
            <v>0</v>
          </cell>
          <cell r="CV9">
            <v>9799650.1600000001</v>
          </cell>
          <cell r="CW9" t="str">
            <v>0</v>
          </cell>
          <cell r="CY9" t="str">
            <v>0</v>
          </cell>
          <cell r="CZ9">
            <v>9229629</v>
          </cell>
          <cell r="DA9" t="str">
            <v>0</v>
          </cell>
          <cell r="DC9" t="str">
            <v>0</v>
          </cell>
          <cell r="DD9">
            <v>9799650.1600000001</v>
          </cell>
          <cell r="DE9" t="str">
            <v>0</v>
          </cell>
          <cell r="DG9" t="str">
            <v>0</v>
          </cell>
          <cell r="DH9">
            <v>6225120.7000000002</v>
          </cell>
          <cell r="DI9" t="str">
            <v>0</v>
          </cell>
          <cell r="DJ9" t="str">
            <v>0</v>
          </cell>
          <cell r="DK9">
            <v>8207079.0499999998</v>
          </cell>
          <cell r="DL9" t="str">
            <v>0</v>
          </cell>
          <cell r="DN9" t="str">
            <v>0</v>
          </cell>
          <cell r="DO9" t="str">
            <v>0</v>
          </cell>
          <cell r="DP9" t="str">
            <v>0</v>
          </cell>
          <cell r="DQ9" t="str">
            <v>0</v>
          </cell>
          <cell r="DR9">
            <v>9496652.75</v>
          </cell>
          <cell r="DS9" t="str">
            <v>0</v>
          </cell>
          <cell r="DT9" t="str">
            <v>0</v>
          </cell>
          <cell r="DU9">
            <v>10470379</v>
          </cell>
          <cell r="DV9" t="str">
            <v>0</v>
          </cell>
          <cell r="DW9" t="str">
            <v>0</v>
          </cell>
          <cell r="DX9" t="str">
            <v>0</v>
          </cell>
          <cell r="DY9" t="str">
            <v>0</v>
          </cell>
        </row>
        <row r="10">
          <cell r="A10" t="str">
            <v>Std. Mfg. O/H</v>
          </cell>
          <cell r="B10" t="str">
            <v>0</v>
          </cell>
          <cell r="C10" t="str">
            <v>0</v>
          </cell>
          <cell r="D10" t="str">
            <v>0</v>
          </cell>
          <cell r="E10" t="str">
            <v>0</v>
          </cell>
          <cell r="F10" t="str">
            <v>0</v>
          </cell>
          <cell r="G10">
            <v>39105769.619999997</v>
          </cell>
          <cell r="H10">
            <v>84822979.579999983</v>
          </cell>
          <cell r="I10">
            <v>95267985</v>
          </cell>
          <cell r="J10">
            <v>33262431.579999994</v>
          </cell>
          <cell r="K10">
            <v>23087654.68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0</v>
          </cell>
          <cell r="U10" t="str">
            <v>0</v>
          </cell>
          <cell r="W10" t="str">
            <v>0</v>
          </cell>
          <cell r="X10" t="str">
            <v>0</v>
          </cell>
          <cell r="Y10" t="str">
            <v>0</v>
          </cell>
          <cell r="Z10" t="str">
            <v>0</v>
          </cell>
          <cell r="AA10">
            <v>9152712.1699999999</v>
          </cell>
          <cell r="AB10">
            <v>8228470</v>
          </cell>
          <cell r="AC10">
            <v>9950179.9500000011</v>
          </cell>
          <cell r="AD10">
            <v>9950179.9500000011</v>
          </cell>
          <cell r="AE10" t="str">
            <v>0</v>
          </cell>
          <cell r="AF10" t="str">
            <v>0</v>
          </cell>
          <cell r="AG10" t="str">
            <v>0</v>
          </cell>
          <cell r="AH10" t="str">
            <v>0</v>
          </cell>
          <cell r="AI10" t="str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N10" t="str">
            <v>0</v>
          </cell>
          <cell r="AO10" t="str">
            <v>0</v>
          </cell>
          <cell r="AP10" t="str">
            <v>0</v>
          </cell>
          <cell r="AQ10">
            <v>39105769.619999997</v>
          </cell>
          <cell r="AR10">
            <v>84822979.579999983</v>
          </cell>
          <cell r="AS10">
            <v>95267985</v>
          </cell>
          <cell r="AT10" t="str">
            <v>0</v>
          </cell>
          <cell r="AU10" t="str">
            <v>0</v>
          </cell>
          <cell r="AV10" t="str">
            <v>0</v>
          </cell>
          <cell r="AX10" t="str">
            <v>0</v>
          </cell>
          <cell r="AY10">
            <v>95267985</v>
          </cell>
          <cell r="AZ10" t="str">
            <v>0</v>
          </cell>
          <cell r="BA10" t="str">
            <v>0</v>
          </cell>
          <cell r="BB10">
            <v>84822979.579999983</v>
          </cell>
          <cell r="BC10" t="str">
            <v>0</v>
          </cell>
          <cell r="BD10" t="str">
            <v>0</v>
          </cell>
          <cell r="BE10">
            <v>33262431.579999994</v>
          </cell>
          <cell r="BF10" t="str">
            <v>0</v>
          </cell>
          <cell r="BG10" t="str">
            <v>0</v>
          </cell>
          <cell r="BI10" t="str">
            <v>0</v>
          </cell>
          <cell r="BJ10">
            <v>31533777</v>
          </cell>
          <cell r="BK10" t="str">
            <v>0</v>
          </cell>
          <cell r="BL10" t="str">
            <v>0</v>
          </cell>
          <cell r="BM10">
            <v>29802967.090000004</v>
          </cell>
          <cell r="BN10" t="str">
            <v>0</v>
          </cell>
          <cell r="BO10" t="str">
            <v>0</v>
          </cell>
          <cell r="BP10">
            <v>33262431.579999994</v>
          </cell>
          <cell r="BQ10" t="str">
            <v>0</v>
          </cell>
          <cell r="BR10" t="str">
            <v>0</v>
          </cell>
          <cell r="BS10" t="str">
            <v>0</v>
          </cell>
          <cell r="BT10">
            <v>33262431.579999994</v>
          </cell>
          <cell r="BU10" t="str">
            <v>0</v>
          </cell>
          <cell r="BW10" t="str">
            <v>0</v>
          </cell>
          <cell r="BX10">
            <v>23585113</v>
          </cell>
          <cell r="BY10" t="str">
            <v>0</v>
          </cell>
          <cell r="BZ10" t="str">
            <v>0</v>
          </cell>
          <cell r="CA10">
            <v>19488258.599999998</v>
          </cell>
          <cell r="CB10" t="str">
            <v>0</v>
          </cell>
          <cell r="CC10" t="str">
            <v>0</v>
          </cell>
          <cell r="CD10">
            <v>10174776.9</v>
          </cell>
          <cell r="CE10" t="str">
            <v>0</v>
          </cell>
          <cell r="CF10" t="str">
            <v>0</v>
          </cell>
          <cell r="CG10" t="str">
            <v>0</v>
          </cell>
          <cell r="CH10">
            <v>16018114.940000001</v>
          </cell>
          <cell r="CI10" t="str">
            <v>0</v>
          </cell>
          <cell r="CK10" t="str">
            <v>0</v>
          </cell>
          <cell r="CL10">
            <v>23283570</v>
          </cell>
          <cell r="CM10" t="str">
            <v>0</v>
          </cell>
          <cell r="CN10" t="str">
            <v>0</v>
          </cell>
          <cell r="CO10">
            <v>21356722.27</v>
          </cell>
          <cell r="CP10" t="str">
            <v>0</v>
          </cell>
          <cell r="CQ10" t="str">
            <v>0</v>
          </cell>
          <cell r="CR10">
            <v>23087654.68</v>
          </cell>
          <cell r="CS10" t="str">
            <v>0</v>
          </cell>
          <cell r="CT10" t="str">
            <v>0</v>
          </cell>
          <cell r="CU10" t="str">
            <v>0</v>
          </cell>
          <cell r="CV10">
            <v>23087654.68</v>
          </cell>
          <cell r="CW10" t="str">
            <v>0</v>
          </cell>
          <cell r="CY10" t="str">
            <v>0</v>
          </cell>
          <cell r="CZ10">
            <v>23585113</v>
          </cell>
          <cell r="DA10" t="str">
            <v>0</v>
          </cell>
          <cell r="DC10" t="str">
            <v>0</v>
          </cell>
          <cell r="DD10">
            <v>23087654.68</v>
          </cell>
          <cell r="DE10" t="str">
            <v>0</v>
          </cell>
          <cell r="DG10" t="str">
            <v>0</v>
          </cell>
          <cell r="DH10">
            <v>16018114.940000001</v>
          </cell>
          <cell r="DI10" t="str">
            <v>0</v>
          </cell>
          <cell r="DJ10" t="str">
            <v>0</v>
          </cell>
          <cell r="DK10">
            <v>19488258.599999998</v>
          </cell>
          <cell r="DL10" t="str">
            <v>0</v>
          </cell>
          <cell r="DN10" t="str">
            <v>0</v>
          </cell>
          <cell r="DO10" t="str">
            <v>0</v>
          </cell>
          <cell r="DP10" t="str">
            <v>0</v>
          </cell>
          <cell r="DQ10" t="str">
            <v>0</v>
          </cell>
          <cell r="DR10">
            <v>23610639.890000001</v>
          </cell>
          <cell r="DS10" t="str">
            <v>0</v>
          </cell>
          <cell r="DT10" t="str">
            <v>0</v>
          </cell>
          <cell r="DU10">
            <v>24950008</v>
          </cell>
          <cell r="DV10" t="str">
            <v>0</v>
          </cell>
          <cell r="DW10" t="str">
            <v>0</v>
          </cell>
          <cell r="DX10" t="str">
            <v>0</v>
          </cell>
          <cell r="DY10" t="str">
            <v>0</v>
          </cell>
        </row>
        <row r="11">
          <cell r="A11" t="str">
            <v>COST OF SALES STD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  <cell r="AA11" t="str">
            <v>0</v>
          </cell>
          <cell r="AB11" t="str">
            <v>0</v>
          </cell>
          <cell r="AC11" t="str">
            <v>0</v>
          </cell>
          <cell r="AD11" t="str">
            <v>0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0</v>
          </cell>
          <cell r="AI11" t="str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 t="str">
            <v>0</v>
          </cell>
          <cell r="AV11" t="str">
            <v>0</v>
          </cell>
          <cell r="AX11" t="str">
            <v>0</v>
          </cell>
          <cell r="AY11" t="str">
            <v>0</v>
          </cell>
          <cell r="AZ11" t="str">
            <v>0</v>
          </cell>
          <cell r="BA11" t="str">
            <v>0</v>
          </cell>
          <cell r="BB11" t="str">
            <v>0</v>
          </cell>
          <cell r="BC11" t="str">
            <v>0</v>
          </cell>
          <cell r="BD11" t="str">
            <v>0</v>
          </cell>
          <cell r="BE11" t="str">
            <v>0</v>
          </cell>
          <cell r="BF11" t="str">
            <v>0</v>
          </cell>
          <cell r="BG11" t="str">
            <v>0</v>
          </cell>
          <cell r="BI11" t="str">
            <v>0</v>
          </cell>
          <cell r="BJ11" t="str">
            <v>0</v>
          </cell>
          <cell r="BK11" t="str">
            <v>0</v>
          </cell>
          <cell r="BL11" t="str">
            <v>0</v>
          </cell>
          <cell r="BM11" t="str">
            <v>0</v>
          </cell>
          <cell r="BN11" t="str">
            <v>0</v>
          </cell>
          <cell r="BO11" t="str">
            <v>0</v>
          </cell>
          <cell r="BP11" t="str">
            <v>0</v>
          </cell>
          <cell r="BQ11" t="str">
            <v>0</v>
          </cell>
          <cell r="BR11" t="str">
            <v>0</v>
          </cell>
          <cell r="BS11" t="str">
            <v>0</v>
          </cell>
          <cell r="BT11" t="str">
            <v>0</v>
          </cell>
          <cell r="BU11" t="str">
            <v>0</v>
          </cell>
          <cell r="BW11" t="str">
            <v>0</v>
          </cell>
          <cell r="BX11" t="str">
            <v>0</v>
          </cell>
          <cell r="BY11" t="str">
            <v>0</v>
          </cell>
          <cell r="BZ11" t="str">
            <v>0</v>
          </cell>
          <cell r="CA11" t="str">
            <v>0</v>
          </cell>
          <cell r="CB11" t="str">
            <v>0</v>
          </cell>
          <cell r="CC11" t="str">
            <v>0</v>
          </cell>
          <cell r="CD11" t="str">
            <v>0</v>
          </cell>
          <cell r="CE11" t="str">
            <v>0</v>
          </cell>
          <cell r="CF11" t="str">
            <v>0</v>
          </cell>
          <cell r="CG11" t="str">
            <v>0</v>
          </cell>
          <cell r="CH11" t="str">
            <v>0</v>
          </cell>
          <cell r="CI11" t="str">
            <v>0</v>
          </cell>
          <cell r="CK11" t="str">
            <v>0</v>
          </cell>
          <cell r="CL11" t="str">
            <v>0</v>
          </cell>
          <cell r="CM11" t="str">
            <v>0</v>
          </cell>
          <cell r="CN11" t="str">
            <v>0</v>
          </cell>
          <cell r="CO11" t="str">
            <v>0</v>
          </cell>
          <cell r="CP11" t="str">
            <v>0</v>
          </cell>
          <cell r="CQ11" t="str">
            <v>0</v>
          </cell>
          <cell r="CR11" t="str">
            <v>0</v>
          </cell>
          <cell r="CS11" t="str">
            <v>0</v>
          </cell>
          <cell r="CT11" t="str">
            <v>0</v>
          </cell>
          <cell r="CU11" t="str">
            <v>0</v>
          </cell>
          <cell r="CV11" t="str">
            <v>0</v>
          </cell>
          <cell r="CW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G11" t="str">
            <v>0</v>
          </cell>
          <cell r="DH11" t="str">
            <v>0</v>
          </cell>
          <cell r="DI11" t="str">
            <v>0</v>
          </cell>
          <cell r="DJ11" t="str">
            <v>0</v>
          </cell>
          <cell r="DK11" t="str">
            <v>0</v>
          </cell>
          <cell r="DL11" t="str">
            <v>0</v>
          </cell>
          <cell r="DN11" t="str">
            <v>0</v>
          </cell>
          <cell r="DO11" t="str">
            <v>0</v>
          </cell>
          <cell r="DP11" t="str">
            <v>0</v>
          </cell>
          <cell r="DQ11" t="str">
            <v>0</v>
          </cell>
          <cell r="DR11" t="str">
            <v>0</v>
          </cell>
          <cell r="DS11" t="str">
            <v>0</v>
          </cell>
          <cell r="DT11" t="str">
            <v>0</v>
          </cell>
          <cell r="DU11" t="str">
            <v>0</v>
          </cell>
          <cell r="DV11" t="str">
            <v>0</v>
          </cell>
          <cell r="DW11" t="str">
            <v>0</v>
          </cell>
          <cell r="DX11" t="str">
            <v>0</v>
          </cell>
          <cell r="DY11" t="str">
            <v>0</v>
          </cell>
        </row>
        <row r="12">
          <cell r="A12" t="str">
            <v>Other Std COS Categ</v>
          </cell>
          <cell r="B12" t="str">
            <v>0</v>
          </cell>
          <cell r="C12" t="str">
            <v>0</v>
          </cell>
          <cell r="D12" t="str">
            <v>0</v>
          </cell>
          <cell r="E12" t="str">
            <v>0</v>
          </cell>
          <cell r="F12" t="str">
            <v>0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0</v>
          </cell>
          <cell r="U12" t="str">
            <v>0</v>
          </cell>
          <cell r="W12" t="str">
            <v>0</v>
          </cell>
          <cell r="X12" t="str">
            <v>0</v>
          </cell>
          <cell r="Y12" t="str">
            <v>0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0</v>
          </cell>
          <cell r="AG12" t="str">
            <v>0</v>
          </cell>
          <cell r="AH12" t="str">
            <v>0</v>
          </cell>
          <cell r="AI12" t="str">
            <v>0</v>
          </cell>
          <cell r="AJ12" t="str">
            <v>0</v>
          </cell>
          <cell r="AK12" t="str">
            <v>0</v>
          </cell>
          <cell r="AL12" t="str">
            <v>0</v>
          </cell>
          <cell r="AN12" t="str">
            <v>0</v>
          </cell>
          <cell r="AO12" t="str">
            <v>0</v>
          </cell>
          <cell r="AP12" t="str">
            <v>0</v>
          </cell>
          <cell r="AQ12" t="str">
            <v>0</v>
          </cell>
          <cell r="AR12" t="str">
            <v>0</v>
          </cell>
          <cell r="AS12" t="str">
            <v>0</v>
          </cell>
          <cell r="AT12" t="str">
            <v>0</v>
          </cell>
          <cell r="AU12" t="str">
            <v>0</v>
          </cell>
          <cell r="AV12" t="str">
            <v>0</v>
          </cell>
          <cell r="AX12" t="str">
            <v>0</v>
          </cell>
          <cell r="AY12" t="str">
            <v>0</v>
          </cell>
          <cell r="AZ12" t="str">
            <v>0</v>
          </cell>
          <cell r="BA12" t="str">
            <v>0</v>
          </cell>
          <cell r="BB12" t="str">
            <v>0</v>
          </cell>
          <cell r="BC12" t="str">
            <v>0</v>
          </cell>
          <cell r="BD12" t="str">
            <v>0</v>
          </cell>
          <cell r="BE12" t="str">
            <v>0</v>
          </cell>
          <cell r="BF12" t="str">
            <v>0</v>
          </cell>
          <cell r="BG12" t="str">
            <v>0</v>
          </cell>
          <cell r="BI12" t="str">
            <v>0</v>
          </cell>
          <cell r="BJ12" t="str">
            <v>0</v>
          </cell>
          <cell r="BK12" t="str">
            <v>0</v>
          </cell>
          <cell r="BL12" t="str">
            <v>0</v>
          </cell>
          <cell r="BM12" t="str">
            <v>0</v>
          </cell>
          <cell r="BN12" t="str">
            <v>0</v>
          </cell>
          <cell r="BO12" t="str">
            <v>0</v>
          </cell>
          <cell r="BP12" t="str">
            <v>0</v>
          </cell>
          <cell r="BQ12" t="str">
            <v>0</v>
          </cell>
          <cell r="BR12" t="str">
            <v>0</v>
          </cell>
          <cell r="BS12" t="str">
            <v>0</v>
          </cell>
          <cell r="BT12" t="str">
            <v>0</v>
          </cell>
          <cell r="BU12" t="str">
            <v>0</v>
          </cell>
          <cell r="BW12" t="str">
            <v>0</v>
          </cell>
          <cell r="BX12" t="str">
            <v>0</v>
          </cell>
          <cell r="BY12" t="str">
            <v>0</v>
          </cell>
          <cell r="BZ12" t="str">
            <v>0</v>
          </cell>
          <cell r="CA12" t="str">
            <v>0</v>
          </cell>
          <cell r="CB12" t="str">
            <v>0</v>
          </cell>
          <cell r="CC12" t="str">
            <v>0</v>
          </cell>
          <cell r="CD12" t="str">
            <v>0</v>
          </cell>
          <cell r="CE12" t="str">
            <v>0</v>
          </cell>
          <cell r="CF12" t="str">
            <v>0</v>
          </cell>
          <cell r="CG12" t="str">
            <v>0</v>
          </cell>
          <cell r="CH12" t="str">
            <v>0</v>
          </cell>
          <cell r="CI12" t="str">
            <v>0</v>
          </cell>
          <cell r="CK12" t="str">
            <v>0</v>
          </cell>
          <cell r="CL12" t="str">
            <v>0</v>
          </cell>
          <cell r="CM12" t="str">
            <v>0</v>
          </cell>
          <cell r="CN12" t="str">
            <v>0</v>
          </cell>
          <cell r="CO12" t="str">
            <v>0</v>
          </cell>
          <cell r="CP12" t="str">
            <v>0</v>
          </cell>
          <cell r="CQ12" t="str">
            <v>0</v>
          </cell>
          <cell r="CR12" t="str">
            <v>0</v>
          </cell>
          <cell r="CS12" t="str">
            <v>0</v>
          </cell>
          <cell r="CT12" t="str">
            <v>0</v>
          </cell>
          <cell r="CU12" t="str">
            <v>0</v>
          </cell>
          <cell r="CV12" t="str">
            <v>0</v>
          </cell>
          <cell r="CW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G12" t="str">
            <v>0</v>
          </cell>
          <cell r="DH12" t="str">
            <v>0</v>
          </cell>
          <cell r="DI12" t="str">
            <v>0</v>
          </cell>
          <cell r="DJ12" t="str">
            <v>0</v>
          </cell>
          <cell r="DK12" t="str">
            <v>0</v>
          </cell>
          <cell r="DL12" t="str">
            <v>0</v>
          </cell>
          <cell r="DN12" t="str">
            <v>0</v>
          </cell>
          <cell r="DO12" t="str">
            <v>0</v>
          </cell>
          <cell r="DP12" t="str">
            <v>0</v>
          </cell>
          <cell r="DQ12" t="str">
            <v>0</v>
          </cell>
          <cell r="DR12" t="str">
            <v>0</v>
          </cell>
          <cell r="DS12" t="str">
            <v>0</v>
          </cell>
          <cell r="DT12" t="str">
            <v>0</v>
          </cell>
          <cell r="DU12" t="str">
            <v>0</v>
          </cell>
          <cell r="DV12" t="str">
            <v>0</v>
          </cell>
          <cell r="DW12" t="str">
            <v>0</v>
          </cell>
          <cell r="DX12" t="str">
            <v>0</v>
          </cell>
          <cell r="DY12" t="str">
            <v>0</v>
          </cell>
        </row>
        <row r="13">
          <cell r="A13" t="str">
            <v>Cost of sales @ standard - Fcst</v>
          </cell>
          <cell r="B13" t="str">
            <v>0</v>
          </cell>
          <cell r="C13" t="str">
            <v>0</v>
          </cell>
          <cell r="D13" t="str">
            <v>0</v>
          </cell>
          <cell r="E13" t="str">
            <v>0</v>
          </cell>
          <cell r="F13" t="str">
            <v>0</v>
          </cell>
          <cell r="G13" t="str">
            <v>0</v>
          </cell>
          <cell r="H13" t="str">
            <v>0</v>
          </cell>
          <cell r="I13" t="str">
            <v>0</v>
          </cell>
          <cell r="J13">
            <v>299761311.93636918</v>
          </cell>
          <cell r="K13">
            <v>309244588.57373762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0</v>
          </cell>
          <cell r="U13" t="str">
            <v>0</v>
          </cell>
          <cell r="W13" t="str">
            <v>0</v>
          </cell>
          <cell r="X13" t="str">
            <v>0</v>
          </cell>
          <cell r="Y13" t="str">
            <v>0</v>
          </cell>
          <cell r="Z13" t="str">
            <v>0</v>
          </cell>
          <cell r="AA13" t="str">
            <v>0</v>
          </cell>
          <cell r="AB13" t="str">
            <v>0</v>
          </cell>
          <cell r="AC13">
            <v>873949.38</v>
          </cell>
          <cell r="AD13" t="str">
            <v>0</v>
          </cell>
          <cell r="AE13" t="str">
            <v>0</v>
          </cell>
          <cell r="AF13" t="str">
            <v>0</v>
          </cell>
          <cell r="AG13" t="str">
            <v>0</v>
          </cell>
          <cell r="AH13" t="str">
            <v>0</v>
          </cell>
          <cell r="AI13" t="str">
            <v>0</v>
          </cell>
          <cell r="AJ13" t="str">
            <v>0</v>
          </cell>
          <cell r="AK13" t="str">
            <v>0</v>
          </cell>
          <cell r="AL13" t="str">
            <v>0</v>
          </cell>
          <cell r="AN13" t="str">
            <v>0</v>
          </cell>
          <cell r="AO13" t="str">
            <v>0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 t="str">
            <v>0</v>
          </cell>
          <cell r="AV13" t="str">
            <v>0</v>
          </cell>
          <cell r="AX13" t="str">
            <v>0</v>
          </cell>
          <cell r="AY13" t="str">
            <v>0</v>
          </cell>
          <cell r="AZ13" t="str">
            <v>0</v>
          </cell>
          <cell r="BA13" t="str">
            <v>0</v>
          </cell>
          <cell r="BB13" t="str">
            <v>0</v>
          </cell>
          <cell r="BC13" t="str">
            <v>0</v>
          </cell>
          <cell r="BD13" t="str">
            <v>0</v>
          </cell>
          <cell r="BE13">
            <v>299761311.93636918</v>
          </cell>
          <cell r="BF13" t="str">
            <v>0</v>
          </cell>
          <cell r="BG13" t="str">
            <v>0</v>
          </cell>
          <cell r="BI13" t="str">
            <v>0</v>
          </cell>
          <cell r="BJ13" t="str">
            <v>0</v>
          </cell>
          <cell r="BK13" t="str">
            <v>0</v>
          </cell>
          <cell r="BL13" t="str">
            <v>0</v>
          </cell>
          <cell r="BM13" t="str">
            <v>0</v>
          </cell>
          <cell r="BN13" t="str">
            <v>0</v>
          </cell>
          <cell r="BO13" t="str">
            <v>0</v>
          </cell>
          <cell r="BP13">
            <v>3910911.48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BW13" t="str">
            <v>0</v>
          </cell>
          <cell r="BX13" t="str">
            <v>0</v>
          </cell>
          <cell r="BY13" t="str">
            <v>0</v>
          </cell>
          <cell r="BZ13" t="str">
            <v>0</v>
          </cell>
          <cell r="CA13" t="str">
            <v>0</v>
          </cell>
          <cell r="CB13" t="str">
            <v>0</v>
          </cell>
          <cell r="CC13" t="str">
            <v>0</v>
          </cell>
          <cell r="CD13">
            <v>70533157.515046999</v>
          </cell>
          <cell r="CE13" t="str">
            <v>0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K13" t="str">
            <v>0</v>
          </cell>
          <cell r="CL13" t="str">
            <v>0</v>
          </cell>
          <cell r="CM13" t="str">
            <v>0</v>
          </cell>
          <cell r="CN13" t="str">
            <v>0</v>
          </cell>
          <cell r="CO13" t="str">
            <v>0</v>
          </cell>
          <cell r="CP13" t="str">
            <v>0</v>
          </cell>
          <cell r="CQ13" t="str">
            <v>0</v>
          </cell>
          <cell r="CR13">
            <v>3269820.02</v>
          </cell>
          <cell r="CS13" t="str">
            <v>0</v>
          </cell>
          <cell r="CT13" t="str">
            <v>0</v>
          </cell>
          <cell r="CU13" t="str">
            <v>0</v>
          </cell>
          <cell r="CV13" t="str">
            <v>0</v>
          </cell>
          <cell r="CW13" t="str">
            <v>0</v>
          </cell>
          <cell r="CY13" t="str">
            <v>0</v>
          </cell>
          <cell r="CZ13" t="str">
            <v>0</v>
          </cell>
          <cell r="DA13" t="str">
            <v>0</v>
          </cell>
          <cell r="DC13" t="str">
            <v>0</v>
          </cell>
          <cell r="DD13" t="str">
            <v>0</v>
          </cell>
          <cell r="DE13" t="str">
            <v>0</v>
          </cell>
          <cell r="DG13" t="str">
            <v>0</v>
          </cell>
          <cell r="DH13" t="str">
            <v>0</v>
          </cell>
          <cell r="DI13" t="str">
            <v>0</v>
          </cell>
          <cell r="DJ13" t="str">
            <v>0</v>
          </cell>
          <cell r="DK13" t="str">
            <v>0</v>
          </cell>
          <cell r="DL13" t="str">
            <v>0</v>
          </cell>
          <cell r="DN13" t="str">
            <v>0</v>
          </cell>
          <cell r="DO13">
            <v>119751470.42118317</v>
          </cell>
          <cell r="DP13" t="str">
            <v>0</v>
          </cell>
          <cell r="DQ13" t="str">
            <v>0</v>
          </cell>
          <cell r="DR13" t="str">
            <v>0</v>
          </cell>
          <cell r="DS13" t="str">
            <v>0</v>
          </cell>
          <cell r="DT13" t="str">
            <v>0</v>
          </cell>
          <cell r="DU13" t="str">
            <v>0</v>
          </cell>
          <cell r="DV13" t="str">
            <v>0</v>
          </cell>
          <cell r="DW13" t="str">
            <v>0</v>
          </cell>
          <cell r="DX13" t="str">
            <v>0</v>
          </cell>
          <cell r="DY13" t="str">
            <v>0</v>
          </cell>
        </row>
        <row r="14">
          <cell r="A14" t="str">
            <v>Cost of sales @ standard</v>
          </cell>
          <cell r="B14" t="str">
            <v>0</v>
          </cell>
          <cell r="C14" t="str">
            <v>0</v>
          </cell>
          <cell r="D14" t="str">
            <v>0</v>
          </cell>
          <cell r="E14" t="str">
            <v>0</v>
          </cell>
          <cell r="F14" t="str">
            <v>0</v>
          </cell>
          <cell r="G14">
            <v>179840056.29999995</v>
          </cell>
          <cell r="H14">
            <v>385421816.50999999</v>
          </cell>
          <cell r="I14">
            <v>434404473</v>
          </cell>
          <cell r="J14">
            <v>444623952.49636912</v>
          </cell>
          <cell r="K14">
            <v>409064940.88373768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0</v>
          </cell>
          <cell r="U14" t="str">
            <v>0</v>
          </cell>
          <cell r="W14" t="str">
            <v>0</v>
          </cell>
          <cell r="X14" t="str">
            <v>0</v>
          </cell>
          <cell r="Y14" t="str">
            <v>0</v>
          </cell>
          <cell r="Z14" t="str">
            <v>0</v>
          </cell>
          <cell r="AA14">
            <v>38103437.890000001</v>
          </cell>
          <cell r="AB14">
            <v>38439302</v>
          </cell>
          <cell r="AC14">
            <v>41892576.359999999</v>
          </cell>
          <cell r="AD14">
            <v>39427385.370000005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0</v>
          </cell>
          <cell r="AI14" t="str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N14" t="str">
            <v>0</v>
          </cell>
          <cell r="AO14" t="str">
            <v>0</v>
          </cell>
          <cell r="AP14" t="str">
            <v>0</v>
          </cell>
          <cell r="AQ14">
            <v>179840056.29999995</v>
          </cell>
          <cell r="AR14">
            <v>385421816.50999999</v>
          </cell>
          <cell r="AS14">
            <v>434404473</v>
          </cell>
          <cell r="AT14" t="str">
            <v>0</v>
          </cell>
          <cell r="AU14" t="str">
            <v>0</v>
          </cell>
          <cell r="AV14" t="str">
            <v>0</v>
          </cell>
          <cell r="AX14" t="str">
            <v>0</v>
          </cell>
          <cell r="AY14">
            <v>434404473</v>
          </cell>
          <cell r="AZ14" t="str">
            <v>0</v>
          </cell>
          <cell r="BA14" t="str">
            <v>0</v>
          </cell>
          <cell r="BB14">
            <v>385421816.50999999</v>
          </cell>
          <cell r="BC14" t="str">
            <v>0</v>
          </cell>
          <cell r="BD14" t="str">
            <v>0</v>
          </cell>
          <cell r="BE14">
            <v>444623952.49636912</v>
          </cell>
          <cell r="BF14" t="str">
            <v>0</v>
          </cell>
          <cell r="BG14" t="str">
            <v>0</v>
          </cell>
          <cell r="BI14" t="str">
            <v>0</v>
          </cell>
          <cell r="BJ14">
            <v>143813600</v>
          </cell>
          <cell r="BK14" t="str">
            <v>0</v>
          </cell>
          <cell r="BL14" t="str">
            <v>0</v>
          </cell>
          <cell r="BM14">
            <v>134275074.67000002</v>
          </cell>
          <cell r="BN14" t="str">
            <v>0</v>
          </cell>
          <cell r="BO14" t="str">
            <v>0</v>
          </cell>
          <cell r="BP14">
            <v>148766241.04000002</v>
          </cell>
          <cell r="BQ14" t="str">
            <v>0</v>
          </cell>
          <cell r="BR14" t="str">
            <v>0</v>
          </cell>
          <cell r="BS14" t="str">
            <v>0</v>
          </cell>
          <cell r="BT14">
            <v>144855329.56</v>
          </cell>
          <cell r="BU14" t="str">
            <v>0</v>
          </cell>
          <cell r="BW14" t="str">
            <v>0</v>
          </cell>
          <cell r="BX14">
            <v>106482671</v>
          </cell>
          <cell r="BY14" t="str">
            <v>0</v>
          </cell>
          <cell r="BZ14" t="str">
            <v>0</v>
          </cell>
          <cell r="CA14">
            <v>88152626.710000008</v>
          </cell>
          <cell r="CB14" t="str">
            <v>0</v>
          </cell>
          <cell r="CC14" t="str">
            <v>0</v>
          </cell>
          <cell r="CD14">
            <v>111245556.40504701</v>
          </cell>
          <cell r="CE14" t="str">
            <v>0</v>
          </cell>
          <cell r="CF14" t="str">
            <v>0</v>
          </cell>
          <cell r="CG14" t="str">
            <v>0</v>
          </cell>
          <cell r="CH14">
            <v>75695297.63000001</v>
          </cell>
          <cell r="CI14" t="str">
            <v>0</v>
          </cell>
          <cell r="CK14" t="str">
            <v>0</v>
          </cell>
          <cell r="CL14">
            <v>105291246</v>
          </cell>
          <cell r="CM14" t="str">
            <v>0</v>
          </cell>
          <cell r="CN14" t="str">
            <v>0</v>
          </cell>
          <cell r="CO14">
            <v>98485603.520000011</v>
          </cell>
          <cell r="CP14" t="str">
            <v>0</v>
          </cell>
          <cell r="CQ14" t="str">
            <v>0</v>
          </cell>
          <cell r="CR14">
            <v>107414578.69000001</v>
          </cell>
          <cell r="CS14" t="str">
            <v>0</v>
          </cell>
          <cell r="CT14" t="str">
            <v>0</v>
          </cell>
          <cell r="CU14" t="str">
            <v>0</v>
          </cell>
          <cell r="CV14">
            <v>104144758.67</v>
          </cell>
          <cell r="CW14" t="str">
            <v>0</v>
          </cell>
          <cell r="CY14" t="str">
            <v>0</v>
          </cell>
          <cell r="CZ14">
            <v>106482671</v>
          </cell>
          <cell r="DA14" t="str">
            <v>0</v>
          </cell>
          <cell r="DC14" t="str">
            <v>0</v>
          </cell>
          <cell r="DD14">
            <v>104144758.67</v>
          </cell>
          <cell r="DE14" t="str">
            <v>0</v>
          </cell>
          <cell r="DG14" t="str">
            <v>0</v>
          </cell>
          <cell r="DH14">
            <v>75695297.63000001</v>
          </cell>
          <cell r="DI14" t="str">
            <v>0</v>
          </cell>
          <cell r="DJ14" t="str">
            <v>0</v>
          </cell>
          <cell r="DK14">
            <v>88152626.710000008</v>
          </cell>
          <cell r="DL14" t="str">
            <v>0</v>
          </cell>
          <cell r="DN14" t="str">
            <v>0</v>
          </cell>
          <cell r="DO14">
            <v>119754212.42118317</v>
          </cell>
          <cell r="DP14" t="str">
            <v>0</v>
          </cell>
          <cell r="DQ14" t="str">
            <v>0</v>
          </cell>
          <cell r="DR14">
            <v>104961014.53000002</v>
          </cell>
          <cell r="DS14" t="str">
            <v>0</v>
          </cell>
          <cell r="DT14" t="str">
            <v>0</v>
          </cell>
          <cell r="DU14">
            <v>119610630</v>
          </cell>
          <cell r="DV14" t="str">
            <v>0</v>
          </cell>
          <cell r="DW14" t="str">
            <v>0</v>
          </cell>
          <cell r="DX14" t="str">
            <v>0</v>
          </cell>
          <cell r="DY14" t="str">
            <v>0</v>
          </cell>
        </row>
        <row r="15">
          <cell r="A15" t="str">
            <v>Standard Gross Profit</v>
          </cell>
          <cell r="B15">
            <v>3086737.14</v>
          </cell>
          <cell r="C15">
            <v>4565557.03</v>
          </cell>
          <cell r="D15">
            <v>6997095</v>
          </cell>
          <cell r="E15">
            <v>7891880.4800000004</v>
          </cell>
          <cell r="F15">
            <v>7173898.6600000001</v>
          </cell>
          <cell r="G15">
            <v>213930065.20999998</v>
          </cell>
          <cell r="H15">
            <v>471101191.70999992</v>
          </cell>
          <cell r="I15">
            <v>498757358</v>
          </cell>
          <cell r="J15">
            <v>520325734.97031379</v>
          </cell>
          <cell r="K15">
            <v>478684995.03419805</v>
          </cell>
          <cell r="L15">
            <v>342940819.72999996</v>
          </cell>
          <cell r="M15">
            <v>760635428.82000017</v>
          </cell>
          <cell r="N15">
            <v>834106936</v>
          </cell>
          <cell r="O15">
            <v>873972739.34144032</v>
          </cell>
          <cell r="P15">
            <v>783240163.8588562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W15">
            <v>325101.13</v>
          </cell>
          <cell r="X15">
            <v>632410</v>
          </cell>
          <cell r="Y15">
            <v>626084.65</v>
          </cell>
          <cell r="Z15">
            <v>626084.65</v>
          </cell>
          <cell r="AA15">
            <v>44432753.560000002</v>
          </cell>
          <cell r="AB15">
            <v>44299790</v>
          </cell>
          <cell r="AC15">
            <v>49601207.989999995</v>
          </cell>
          <cell r="AD15">
            <v>47127183.129999995</v>
          </cell>
          <cell r="AE15">
            <v>76942183.449999988</v>
          </cell>
          <cell r="AF15">
            <v>75177083</v>
          </cell>
          <cell r="AG15">
            <v>81424135.219999999</v>
          </cell>
          <cell r="AH15">
            <v>75212494.439999998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N15">
            <v>3086737.14</v>
          </cell>
          <cell r="AO15">
            <v>4565557.03</v>
          </cell>
          <cell r="AP15">
            <v>6997095</v>
          </cell>
          <cell r="AQ15">
            <v>213930065.20999998</v>
          </cell>
          <cell r="AR15">
            <v>471101191.70999992</v>
          </cell>
          <cell r="AS15">
            <v>498757358</v>
          </cell>
          <cell r="AT15" t="str">
            <v>0</v>
          </cell>
          <cell r="AU15" t="str">
            <v>0</v>
          </cell>
          <cell r="AV15" t="str">
            <v>0</v>
          </cell>
          <cell r="AX15">
            <v>6997095</v>
          </cell>
          <cell r="AY15">
            <v>498757358</v>
          </cell>
          <cell r="AZ15" t="str">
            <v>0</v>
          </cell>
          <cell r="BA15">
            <v>4565557.03</v>
          </cell>
          <cell r="BB15">
            <v>471101191.71000004</v>
          </cell>
          <cell r="BC15" t="str">
            <v>0</v>
          </cell>
          <cell r="BD15">
            <v>7891880.4800000004</v>
          </cell>
          <cell r="BE15">
            <v>520325734.97031379</v>
          </cell>
          <cell r="BF15" t="str">
            <v>0</v>
          </cell>
          <cell r="BG15" t="str">
            <v>0</v>
          </cell>
          <cell r="BI15">
            <v>2499813</v>
          </cell>
          <cell r="BJ15">
            <v>165377631</v>
          </cell>
          <cell r="BK15" t="str">
            <v>0</v>
          </cell>
          <cell r="BL15">
            <v>1236435.5900000001</v>
          </cell>
          <cell r="BM15">
            <v>159356766.58000001</v>
          </cell>
          <cell r="BN15" t="str">
            <v>0</v>
          </cell>
          <cell r="BO15">
            <v>2514538.48</v>
          </cell>
          <cell r="BP15">
            <v>179166421.25999999</v>
          </cell>
          <cell r="BQ15" t="str">
            <v>0</v>
          </cell>
          <cell r="BR15" t="str">
            <v>0</v>
          </cell>
          <cell r="BS15">
            <v>2514538.48</v>
          </cell>
          <cell r="BT15">
            <v>175255509.77999997</v>
          </cell>
          <cell r="BU15" t="str">
            <v>0</v>
          </cell>
          <cell r="BW15">
            <v>1797019</v>
          </cell>
          <cell r="BX15">
            <v>122093414</v>
          </cell>
          <cell r="BY15" t="str">
            <v>0</v>
          </cell>
          <cell r="BZ15">
            <v>1053577.71</v>
          </cell>
          <cell r="CA15">
            <v>110595790.87</v>
          </cell>
          <cell r="CB15" t="str">
            <v>0</v>
          </cell>
          <cell r="CC15">
            <v>1990066.82</v>
          </cell>
          <cell r="CD15">
            <v>131298525.39186449</v>
          </cell>
          <cell r="CE15" t="str">
            <v>0</v>
          </cell>
          <cell r="CF15" t="str">
            <v>0</v>
          </cell>
          <cell r="CG15">
            <v>1224872.48</v>
          </cell>
          <cell r="CH15">
            <v>89031939.890000015</v>
          </cell>
          <cell r="CI15" t="str">
            <v>0</v>
          </cell>
          <cell r="CK15">
            <v>1895444</v>
          </cell>
          <cell r="CL15">
            <v>121080072</v>
          </cell>
          <cell r="CM15" t="str">
            <v>0</v>
          </cell>
          <cell r="CN15">
            <v>950636.79</v>
          </cell>
          <cell r="CO15">
            <v>116155061.41</v>
          </cell>
          <cell r="CP15" t="str">
            <v>0</v>
          </cell>
          <cell r="CQ15">
            <v>1861864.66</v>
          </cell>
          <cell r="CR15">
            <v>128167945.34000002</v>
          </cell>
          <cell r="CS15" t="str">
            <v>0</v>
          </cell>
          <cell r="CT15" t="str">
            <v>0</v>
          </cell>
          <cell r="CU15">
            <v>1861864.66</v>
          </cell>
          <cell r="CV15">
            <v>124898125.32000001</v>
          </cell>
          <cell r="CW15" t="str">
            <v>0</v>
          </cell>
          <cell r="CY15">
            <v>1797019</v>
          </cell>
          <cell r="CZ15">
            <v>122093414</v>
          </cell>
          <cell r="DA15" t="str">
            <v>0</v>
          </cell>
          <cell r="DC15">
            <v>1861864.66</v>
          </cell>
          <cell r="DD15">
            <v>124898125.32000001</v>
          </cell>
          <cell r="DE15" t="str">
            <v>0</v>
          </cell>
          <cell r="DG15">
            <v>1224872.48</v>
          </cell>
          <cell r="DH15">
            <v>89031939.890000015</v>
          </cell>
          <cell r="DI15" t="str">
            <v>0</v>
          </cell>
          <cell r="DJ15">
            <v>1053577.71</v>
          </cell>
          <cell r="DK15">
            <v>110595790.87</v>
          </cell>
          <cell r="DL15" t="str">
            <v>0</v>
          </cell>
          <cell r="DN15">
            <v>2047574</v>
          </cell>
          <cell r="DO15">
            <v>138484755.78169072</v>
          </cell>
          <cell r="DP15" t="str">
            <v>0</v>
          </cell>
          <cell r="DQ15">
            <v>1169698.08</v>
          </cell>
          <cell r="DR15">
            <v>126591338.13000001</v>
          </cell>
          <cell r="DS15" t="str">
            <v>0</v>
          </cell>
          <cell r="DT15">
            <v>1703680</v>
          </cell>
          <cell r="DU15">
            <v>137188058</v>
          </cell>
          <cell r="DV15" t="str">
            <v>0</v>
          </cell>
          <cell r="DW15" t="str">
            <v>0</v>
          </cell>
          <cell r="DX15" t="str">
            <v>0</v>
          </cell>
          <cell r="DY15" t="str">
            <v>0</v>
          </cell>
        </row>
        <row r="16">
          <cell r="A16" t="str">
            <v>Material Variances</v>
          </cell>
          <cell r="B16" t="str">
            <v>0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>
            <v>-22369853.899999999</v>
          </cell>
          <cell r="H16">
            <v>-51839086.880000003</v>
          </cell>
          <cell r="I16">
            <v>-50045467</v>
          </cell>
          <cell r="J16">
            <v>-51457581.193189174</v>
          </cell>
          <cell r="K16">
            <v>-51489079.57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0</v>
          </cell>
          <cell r="W16" t="str">
            <v>0</v>
          </cell>
          <cell r="X16" t="str">
            <v>0</v>
          </cell>
          <cell r="Y16" t="str">
            <v>0</v>
          </cell>
          <cell r="Z16" t="str">
            <v>0</v>
          </cell>
          <cell r="AA16">
            <v>-3963766.45</v>
          </cell>
          <cell r="AB16">
            <v>-4602363</v>
          </cell>
          <cell r="AC16">
            <v>-4845642.3899999997</v>
          </cell>
          <cell r="AD16">
            <v>-4662657.04</v>
          </cell>
          <cell r="AE16" t="str">
            <v>0</v>
          </cell>
          <cell r="AF16" t="str">
            <v>0</v>
          </cell>
          <cell r="AG16" t="str">
            <v>0</v>
          </cell>
          <cell r="AH16" t="str">
            <v>0</v>
          </cell>
          <cell r="AI16" t="str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N16" t="str">
            <v>0</v>
          </cell>
          <cell r="AO16" t="str">
            <v>0</v>
          </cell>
          <cell r="AP16" t="str">
            <v>0</v>
          </cell>
          <cell r="AQ16">
            <v>-22369853.899999999</v>
          </cell>
          <cell r="AR16">
            <v>-51839086.880000003</v>
          </cell>
          <cell r="AS16">
            <v>-50045467</v>
          </cell>
          <cell r="AT16" t="str">
            <v>0</v>
          </cell>
          <cell r="AU16" t="str">
            <v>0</v>
          </cell>
          <cell r="AV16" t="str">
            <v>0</v>
          </cell>
          <cell r="AX16" t="str">
            <v>0</v>
          </cell>
          <cell r="AY16">
            <v>-50045467</v>
          </cell>
          <cell r="AZ16" t="str">
            <v>0</v>
          </cell>
          <cell r="BA16" t="str">
            <v>0</v>
          </cell>
          <cell r="BB16">
            <v>-51839086.880000003</v>
          </cell>
          <cell r="BC16" t="str">
            <v>0</v>
          </cell>
          <cell r="BD16" t="str">
            <v>0</v>
          </cell>
          <cell r="BE16">
            <v>-51457581.193189174</v>
          </cell>
          <cell r="BF16" t="str">
            <v>0</v>
          </cell>
          <cell r="BG16" t="str">
            <v>0</v>
          </cell>
          <cell r="BI16" t="str">
            <v>0</v>
          </cell>
          <cell r="BJ16">
            <v>-16836036</v>
          </cell>
          <cell r="BK16" t="str">
            <v>0</v>
          </cell>
          <cell r="BL16" t="str">
            <v>0</v>
          </cell>
          <cell r="BM16">
            <v>-16599543.079999998</v>
          </cell>
          <cell r="BN16" t="str">
            <v>0</v>
          </cell>
          <cell r="BO16" t="str">
            <v>0</v>
          </cell>
          <cell r="BP16">
            <v>-18205678.770000003</v>
          </cell>
          <cell r="BQ16" t="str">
            <v>0</v>
          </cell>
          <cell r="BR16" t="str">
            <v>0</v>
          </cell>
          <cell r="BS16" t="str">
            <v>0</v>
          </cell>
          <cell r="BT16">
            <v>-18205678.770000003</v>
          </cell>
          <cell r="BU16" t="str">
            <v>0</v>
          </cell>
          <cell r="BW16" t="str">
            <v>0</v>
          </cell>
          <cell r="BX16">
            <v>-12422394</v>
          </cell>
          <cell r="BY16" t="str">
            <v>0</v>
          </cell>
          <cell r="BZ16" t="str">
            <v>0</v>
          </cell>
          <cell r="CA16">
            <v>-13152368.070000002</v>
          </cell>
          <cell r="CB16" t="str">
            <v>0</v>
          </cell>
          <cell r="CC16" t="str">
            <v>0</v>
          </cell>
          <cell r="CD16">
            <v>-12696708.317256181</v>
          </cell>
          <cell r="CE16" t="str">
            <v>0</v>
          </cell>
          <cell r="CF16" t="str">
            <v>0</v>
          </cell>
          <cell r="CG16" t="str">
            <v>0</v>
          </cell>
          <cell r="CH16">
            <v>-8753886.9299999997</v>
          </cell>
          <cell r="CI16" t="str">
            <v>0</v>
          </cell>
          <cell r="CK16" t="str">
            <v>0</v>
          </cell>
          <cell r="CL16">
            <v>-12519098</v>
          </cell>
          <cell r="CM16" t="str">
            <v>0</v>
          </cell>
          <cell r="CN16" t="str">
            <v>0</v>
          </cell>
          <cell r="CO16">
            <v>-12045612.380000001</v>
          </cell>
          <cell r="CP16" t="str">
            <v>0</v>
          </cell>
          <cell r="CQ16" t="str">
            <v>0</v>
          </cell>
          <cell r="CR16">
            <v>-13615966.969999999</v>
          </cell>
          <cell r="CS16" t="str">
            <v>0</v>
          </cell>
          <cell r="CT16" t="str">
            <v>0</v>
          </cell>
          <cell r="CU16" t="str">
            <v>0</v>
          </cell>
          <cell r="CV16">
            <v>-13615966.969999999</v>
          </cell>
          <cell r="CW16" t="str">
            <v>0</v>
          </cell>
          <cell r="CY16" t="str">
            <v>0</v>
          </cell>
          <cell r="CZ16">
            <v>-12422394</v>
          </cell>
          <cell r="DA16" t="str">
            <v>0</v>
          </cell>
          <cell r="DC16" t="str">
            <v>0</v>
          </cell>
          <cell r="DD16">
            <v>-13615966.969999999</v>
          </cell>
          <cell r="DE16" t="str">
            <v>0</v>
          </cell>
          <cell r="DG16" t="str">
            <v>0</v>
          </cell>
          <cell r="DH16">
            <v>-8753886.9299999997</v>
          </cell>
          <cell r="DI16" t="str">
            <v>0</v>
          </cell>
          <cell r="DJ16" t="str">
            <v>0</v>
          </cell>
          <cell r="DK16">
            <v>-13152368.070000002</v>
          </cell>
          <cell r="DL16" t="str">
            <v>0</v>
          </cell>
          <cell r="DN16" t="str">
            <v>0</v>
          </cell>
          <cell r="DO16">
            <v>-13501741.461914413</v>
          </cell>
          <cell r="DP16" t="str">
            <v>0</v>
          </cell>
          <cell r="DQ16" t="str">
            <v>0</v>
          </cell>
          <cell r="DR16">
            <v>-13215364.980000002</v>
          </cell>
          <cell r="DS16" t="str">
            <v>0</v>
          </cell>
          <cell r="DT16" t="str">
            <v>0</v>
          </cell>
          <cell r="DU16">
            <v>-13496641</v>
          </cell>
          <cell r="DV16" t="str">
            <v>0</v>
          </cell>
          <cell r="DW16" t="str">
            <v>0</v>
          </cell>
          <cell r="DX16" t="str">
            <v>0</v>
          </cell>
          <cell r="DY16" t="str">
            <v>0</v>
          </cell>
        </row>
        <row r="17">
          <cell r="A17" t="str">
            <v>Labor Variances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>
            <v>-1808775.89</v>
          </cell>
          <cell r="H17">
            <v>-3355214.01</v>
          </cell>
          <cell r="I17">
            <v>31601</v>
          </cell>
          <cell r="J17">
            <v>-1341889.2124673785</v>
          </cell>
          <cell r="K17">
            <v>-717259.81313223322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>
            <v>-260043.12</v>
          </cell>
          <cell r="AB17">
            <v>2697</v>
          </cell>
          <cell r="AC17">
            <v>-145796.99</v>
          </cell>
          <cell r="AD17">
            <v>-145796.99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Q17">
            <v>-1808775.89</v>
          </cell>
          <cell r="AR17">
            <v>-3355214.01</v>
          </cell>
          <cell r="AS17">
            <v>31601</v>
          </cell>
          <cell r="AT17" t="str">
            <v>0</v>
          </cell>
          <cell r="AU17" t="str">
            <v>0</v>
          </cell>
          <cell r="AV17" t="str">
            <v>0</v>
          </cell>
          <cell r="AX17" t="str">
            <v>0</v>
          </cell>
          <cell r="AY17">
            <v>31601</v>
          </cell>
          <cell r="AZ17" t="str">
            <v>0</v>
          </cell>
          <cell r="BA17" t="str">
            <v>0</v>
          </cell>
          <cell r="BB17">
            <v>-3355214.01</v>
          </cell>
          <cell r="BC17" t="str">
            <v>0</v>
          </cell>
          <cell r="BD17" t="str">
            <v>0</v>
          </cell>
          <cell r="BE17">
            <v>-1341889.2124673785</v>
          </cell>
          <cell r="BF17" t="str">
            <v>0</v>
          </cell>
          <cell r="BG17" t="str">
            <v>0</v>
          </cell>
          <cell r="BI17" t="str">
            <v>0</v>
          </cell>
          <cell r="BJ17">
            <v>10390</v>
          </cell>
          <cell r="BK17" t="str">
            <v>0</v>
          </cell>
          <cell r="BL17" t="str">
            <v>0</v>
          </cell>
          <cell r="BM17">
            <v>-757349.53999999911</v>
          </cell>
          <cell r="BN17" t="str">
            <v>0</v>
          </cell>
          <cell r="BO17" t="str">
            <v>0</v>
          </cell>
          <cell r="BP17">
            <v>-865168.68999999948</v>
          </cell>
          <cell r="BQ17" t="str">
            <v>0</v>
          </cell>
          <cell r="BR17" t="str">
            <v>0</v>
          </cell>
          <cell r="BS17" t="str">
            <v>0</v>
          </cell>
          <cell r="BT17">
            <v>-865168.68999999948</v>
          </cell>
          <cell r="BU17" t="str">
            <v>0</v>
          </cell>
          <cell r="BW17" t="str">
            <v>0</v>
          </cell>
          <cell r="BX17">
            <v>11704</v>
          </cell>
          <cell r="BY17" t="str">
            <v>0</v>
          </cell>
          <cell r="BZ17" t="str">
            <v>0</v>
          </cell>
          <cell r="CA17">
            <v>-563988.85999999754</v>
          </cell>
          <cell r="CB17" t="str">
            <v>0</v>
          </cell>
          <cell r="CC17" t="str">
            <v>0</v>
          </cell>
          <cell r="CD17">
            <v>-301376.90022484434</v>
          </cell>
          <cell r="CE17" t="str">
            <v>0</v>
          </cell>
          <cell r="CF17" t="str">
            <v>0</v>
          </cell>
          <cell r="CG17" t="str">
            <v>0</v>
          </cell>
          <cell r="CH17">
            <v>-1139045.8799999999</v>
          </cell>
          <cell r="CI17" t="str">
            <v>0</v>
          </cell>
          <cell r="CK17" t="str">
            <v>0</v>
          </cell>
          <cell r="CL17">
            <v>9089</v>
          </cell>
          <cell r="CM17" t="str">
            <v>0</v>
          </cell>
          <cell r="CN17" t="str">
            <v>0</v>
          </cell>
          <cell r="CO17">
            <v>-544387.52999999933</v>
          </cell>
          <cell r="CP17" t="str">
            <v>0</v>
          </cell>
          <cell r="CQ17" t="str">
            <v>0</v>
          </cell>
          <cell r="CR17">
            <v>-669730.00999999791</v>
          </cell>
          <cell r="CS17" t="str">
            <v>0</v>
          </cell>
          <cell r="CT17" t="str">
            <v>0</v>
          </cell>
          <cell r="CU17" t="str">
            <v>0</v>
          </cell>
          <cell r="CV17">
            <v>-669730.00999999791</v>
          </cell>
          <cell r="CW17" t="str">
            <v>0</v>
          </cell>
          <cell r="CY17" t="str">
            <v>0</v>
          </cell>
          <cell r="CZ17">
            <v>11704</v>
          </cell>
          <cell r="DA17" t="str">
            <v>0</v>
          </cell>
          <cell r="DC17" t="str">
            <v>0</v>
          </cell>
          <cell r="DD17">
            <v>-669730.00999999791</v>
          </cell>
          <cell r="DE17" t="str">
            <v>0</v>
          </cell>
          <cell r="DG17" t="str">
            <v>0</v>
          </cell>
          <cell r="DH17">
            <v>-1139045.8799999999</v>
          </cell>
          <cell r="DI17" t="str">
            <v>0</v>
          </cell>
          <cell r="DJ17" t="str">
            <v>0</v>
          </cell>
          <cell r="DK17">
            <v>-563988.85999999754</v>
          </cell>
          <cell r="DL17" t="str">
            <v>0</v>
          </cell>
          <cell r="DN17" t="str">
            <v>0</v>
          </cell>
          <cell r="DO17">
            <v>-199948.61249253474</v>
          </cell>
          <cell r="DP17" t="str">
            <v>0</v>
          </cell>
          <cell r="DQ17" t="str">
            <v>0</v>
          </cell>
          <cell r="DR17">
            <v>-1390883.89</v>
          </cell>
          <cell r="DS17" t="str">
            <v>0</v>
          </cell>
          <cell r="DT17" t="str">
            <v>0</v>
          </cell>
          <cell r="DU17">
            <v>7143</v>
          </cell>
          <cell r="DV17" t="str">
            <v>0</v>
          </cell>
          <cell r="DW17" t="str">
            <v>0</v>
          </cell>
          <cell r="DX17" t="str">
            <v>0</v>
          </cell>
          <cell r="DY17" t="str">
            <v>0</v>
          </cell>
        </row>
        <row r="18">
          <cell r="A18" t="str">
            <v>OH Variances</v>
          </cell>
          <cell r="B18">
            <v>15573795.629999999</v>
          </cell>
          <cell r="C18">
            <v>34736742.329999998</v>
          </cell>
          <cell r="D18">
            <v>38735254</v>
          </cell>
          <cell r="E18">
            <v>12080297.389999999</v>
          </cell>
          <cell r="F18">
            <v>8640339.7699999996</v>
          </cell>
          <cell r="G18">
            <v>-16423994.669999998</v>
          </cell>
          <cell r="H18">
            <v>-28448078.460000008</v>
          </cell>
          <cell r="I18">
            <v>-39175228</v>
          </cell>
          <cell r="J18">
            <v>-12550804.620000005</v>
          </cell>
          <cell r="K18">
            <v>-8933643.9199999906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0</v>
          </cell>
          <cell r="W18">
            <v>2951122.34</v>
          </cell>
          <cell r="X18">
            <v>3230043</v>
          </cell>
          <cell r="Y18">
            <v>2929597.76</v>
          </cell>
          <cell r="Z18">
            <v>2929597.76</v>
          </cell>
          <cell r="AA18">
            <v>-2578164.9</v>
          </cell>
          <cell r="AB18">
            <v>-3425708</v>
          </cell>
          <cell r="AC18">
            <v>-3249667.99</v>
          </cell>
          <cell r="AD18">
            <v>-3249667.99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0</v>
          </cell>
          <cell r="AI18" t="str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N18">
            <v>15573795.629999999</v>
          </cell>
          <cell r="AO18">
            <v>34736742.329999998</v>
          </cell>
          <cell r="AP18">
            <v>38735254</v>
          </cell>
          <cell r="AQ18">
            <v>-16423994.669999998</v>
          </cell>
          <cell r="AR18">
            <v>-28448078.460000008</v>
          </cell>
          <cell r="AS18">
            <v>-39175228</v>
          </cell>
          <cell r="AT18" t="str">
            <v>0</v>
          </cell>
          <cell r="AU18" t="str">
            <v>0</v>
          </cell>
          <cell r="AV18" t="str">
            <v>0</v>
          </cell>
          <cell r="AX18">
            <v>38735254</v>
          </cell>
          <cell r="AY18">
            <v>-39175228</v>
          </cell>
          <cell r="AZ18" t="str">
            <v>0</v>
          </cell>
          <cell r="BA18">
            <v>34736742.330000006</v>
          </cell>
          <cell r="BB18">
            <v>-28448078.460000001</v>
          </cell>
          <cell r="BC18" t="str">
            <v>0</v>
          </cell>
          <cell r="BD18">
            <v>12080297.389999999</v>
          </cell>
          <cell r="BE18">
            <v>-12550804.620000005</v>
          </cell>
          <cell r="BF18" t="str">
            <v>0</v>
          </cell>
          <cell r="BG18" t="str">
            <v>0</v>
          </cell>
          <cell r="BI18">
            <v>12762111</v>
          </cell>
          <cell r="BJ18">
            <v>-13158096</v>
          </cell>
          <cell r="BK18" t="str">
            <v>0</v>
          </cell>
          <cell r="BL18">
            <v>11869829.629999999</v>
          </cell>
          <cell r="BM18">
            <v>-9476121.9700000007</v>
          </cell>
          <cell r="BN18" t="str">
            <v>0</v>
          </cell>
          <cell r="BO18">
            <v>12080297.389999999</v>
          </cell>
          <cell r="BP18">
            <v>-12623472.620000005</v>
          </cell>
          <cell r="BQ18" t="str">
            <v>0</v>
          </cell>
          <cell r="BR18" t="str">
            <v>0</v>
          </cell>
          <cell r="BS18">
            <v>12080297.389999999</v>
          </cell>
          <cell r="BT18">
            <v>-12623472.620000005</v>
          </cell>
          <cell r="BU18" t="str">
            <v>0</v>
          </cell>
          <cell r="BW18">
            <v>9557771</v>
          </cell>
          <cell r="BX18">
            <v>-9649823</v>
          </cell>
          <cell r="BY18" t="str">
            <v>0</v>
          </cell>
          <cell r="BZ18">
            <v>8757170.2100000009</v>
          </cell>
          <cell r="CA18">
            <v>-5757952.8899999997</v>
          </cell>
          <cell r="CB18" t="str">
            <v>0</v>
          </cell>
          <cell r="CC18">
            <v>3134694.61</v>
          </cell>
          <cell r="CD18">
            <v>-3589911.7</v>
          </cell>
          <cell r="CE18" t="str">
            <v>0</v>
          </cell>
          <cell r="CF18" t="str">
            <v>0</v>
          </cell>
          <cell r="CG18">
            <v>6628192.8499999996</v>
          </cell>
          <cell r="CH18">
            <v>-7408599.7499999953</v>
          </cell>
          <cell r="CI18" t="str">
            <v>0</v>
          </cell>
          <cell r="CK18">
            <v>9495069</v>
          </cell>
          <cell r="CL18">
            <v>-9624749</v>
          </cell>
          <cell r="CM18" t="str">
            <v>0</v>
          </cell>
          <cell r="CN18">
            <v>8773921.0999999996</v>
          </cell>
          <cell r="CO18">
            <v>-6716702.4900000012</v>
          </cell>
          <cell r="CP18" t="str">
            <v>0</v>
          </cell>
          <cell r="CQ18">
            <v>8945602.7799999993</v>
          </cell>
          <cell r="CR18">
            <v>-9015394.9199999906</v>
          </cell>
          <cell r="CS18" t="str">
            <v>0</v>
          </cell>
          <cell r="CT18" t="str">
            <v>0</v>
          </cell>
          <cell r="CU18">
            <v>8945602.7799999993</v>
          </cell>
          <cell r="CV18">
            <v>-9015394.9199999906</v>
          </cell>
          <cell r="CW18" t="str">
            <v>0</v>
          </cell>
          <cell r="CY18">
            <v>9557771</v>
          </cell>
          <cell r="CZ18">
            <v>-9649823</v>
          </cell>
          <cell r="DA18" t="str">
            <v>0</v>
          </cell>
          <cell r="DC18">
            <v>8945602.7799999993</v>
          </cell>
          <cell r="DD18">
            <v>-9015394.9199999906</v>
          </cell>
          <cell r="DE18" t="str">
            <v>0</v>
          </cell>
          <cell r="DG18">
            <v>6628192.8499999996</v>
          </cell>
          <cell r="DH18">
            <v>-7408599.7499999953</v>
          </cell>
          <cell r="DI18" t="str">
            <v>0</v>
          </cell>
          <cell r="DJ18">
            <v>8757170.2100000009</v>
          </cell>
          <cell r="DK18">
            <v>-5757952.8899999997</v>
          </cell>
          <cell r="DL18" t="str">
            <v>0</v>
          </cell>
          <cell r="DN18" t="str">
            <v>0</v>
          </cell>
          <cell r="DO18">
            <v>27249</v>
          </cell>
          <cell r="DP18" t="str">
            <v>0</v>
          </cell>
          <cell r="DQ18">
            <v>8901724.1199999992</v>
          </cell>
          <cell r="DR18">
            <v>-8482910.209999999</v>
          </cell>
          <cell r="DS18" t="str">
            <v>0</v>
          </cell>
          <cell r="DT18">
            <v>10003605</v>
          </cell>
          <cell r="DU18">
            <v>-10425411</v>
          </cell>
          <cell r="DV18" t="str">
            <v>0</v>
          </cell>
          <cell r="DW18" t="str">
            <v>0</v>
          </cell>
          <cell r="DX18" t="str">
            <v>0</v>
          </cell>
          <cell r="DY18" t="str">
            <v>0</v>
          </cell>
        </row>
        <row r="19">
          <cell r="A19" t="str">
            <v>VARIANCES</v>
          </cell>
          <cell r="B19" t="str">
            <v>0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0</v>
          </cell>
          <cell r="W19" t="str">
            <v>0</v>
          </cell>
          <cell r="X19" t="str">
            <v>0</v>
          </cell>
          <cell r="Y19" t="str">
            <v>0</v>
          </cell>
          <cell r="Z19" t="str">
            <v>0</v>
          </cell>
          <cell r="AA19" t="str">
            <v>0</v>
          </cell>
          <cell r="AB19" t="str">
            <v>0</v>
          </cell>
          <cell r="AC19" t="str">
            <v>0</v>
          </cell>
          <cell r="AD19" t="str">
            <v>0</v>
          </cell>
          <cell r="AE19" t="str">
            <v>0</v>
          </cell>
          <cell r="AF19" t="str">
            <v>0</v>
          </cell>
          <cell r="AG19" t="str">
            <v>0</v>
          </cell>
          <cell r="AH19" t="str">
            <v>0</v>
          </cell>
          <cell r="AI19" t="str">
            <v>0</v>
          </cell>
          <cell r="AJ19" t="str">
            <v>0</v>
          </cell>
          <cell r="AK19" t="str">
            <v>0</v>
          </cell>
          <cell r="AL19" t="str">
            <v>0</v>
          </cell>
          <cell r="AN19" t="str">
            <v>0</v>
          </cell>
          <cell r="AO19" t="str">
            <v>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 t="str">
            <v>0</v>
          </cell>
          <cell r="AV19" t="str">
            <v>0</v>
          </cell>
          <cell r="AX19" t="str">
            <v>0</v>
          </cell>
          <cell r="AY19" t="str">
            <v>0</v>
          </cell>
          <cell r="AZ19" t="str">
            <v>0</v>
          </cell>
          <cell r="BA19" t="str">
            <v>0</v>
          </cell>
          <cell r="BB19" t="str">
            <v>0</v>
          </cell>
          <cell r="BC19" t="str">
            <v>0</v>
          </cell>
          <cell r="BD19" t="str">
            <v>0</v>
          </cell>
          <cell r="BE19" t="str">
            <v>0</v>
          </cell>
          <cell r="BF19" t="str">
            <v>0</v>
          </cell>
          <cell r="BG19" t="str">
            <v>0</v>
          </cell>
          <cell r="BI19" t="str">
            <v>0</v>
          </cell>
          <cell r="BJ19" t="str">
            <v>0</v>
          </cell>
          <cell r="BK19" t="str">
            <v>0</v>
          </cell>
          <cell r="BL19" t="str">
            <v>0</v>
          </cell>
          <cell r="BM19" t="str">
            <v>0</v>
          </cell>
          <cell r="BN19" t="str">
            <v>0</v>
          </cell>
          <cell r="BO19" t="str">
            <v>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BW19" t="str">
            <v>0</v>
          </cell>
          <cell r="BX19" t="str">
            <v>0</v>
          </cell>
          <cell r="BY19" t="str">
            <v>0</v>
          </cell>
          <cell r="BZ19" t="str">
            <v>0</v>
          </cell>
          <cell r="CA19" t="str">
            <v>0</v>
          </cell>
          <cell r="CB19" t="str">
            <v>0</v>
          </cell>
          <cell r="CC19" t="str">
            <v>0</v>
          </cell>
          <cell r="CD19" t="str">
            <v>0</v>
          </cell>
          <cell r="CE19" t="str">
            <v>0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K19" t="str">
            <v>0</v>
          </cell>
          <cell r="CL19" t="str">
            <v>0</v>
          </cell>
          <cell r="CM19" t="str">
            <v>0</v>
          </cell>
          <cell r="CN19" t="str">
            <v>0</v>
          </cell>
          <cell r="CO19" t="str">
            <v>0</v>
          </cell>
          <cell r="CP19" t="str">
            <v>0</v>
          </cell>
          <cell r="CQ19" t="str">
            <v>0</v>
          </cell>
          <cell r="CR19" t="str">
            <v>0</v>
          </cell>
          <cell r="CS19" t="str">
            <v>0</v>
          </cell>
          <cell r="CT19" t="str">
            <v>0</v>
          </cell>
          <cell r="CU19" t="str">
            <v>0</v>
          </cell>
          <cell r="CV19" t="str">
            <v>0</v>
          </cell>
          <cell r="CW19" t="str">
            <v>0</v>
          </cell>
          <cell r="CY19" t="str">
            <v>0</v>
          </cell>
          <cell r="CZ19" t="str">
            <v>0</v>
          </cell>
          <cell r="DA19" t="str">
            <v>0</v>
          </cell>
          <cell r="DC19" t="str">
            <v>0</v>
          </cell>
          <cell r="DD19" t="str">
            <v>0</v>
          </cell>
          <cell r="DE19" t="str">
            <v>0</v>
          </cell>
          <cell r="DG19" t="str">
            <v>0</v>
          </cell>
          <cell r="DH19" t="str">
            <v>0</v>
          </cell>
          <cell r="DI19" t="str">
            <v>0</v>
          </cell>
          <cell r="DJ19" t="str">
            <v>0</v>
          </cell>
          <cell r="DK19" t="str">
            <v>0</v>
          </cell>
          <cell r="DL19" t="str">
            <v>0</v>
          </cell>
          <cell r="DN19" t="str">
            <v>0</v>
          </cell>
          <cell r="DO19" t="str">
            <v>0</v>
          </cell>
          <cell r="DP19" t="str">
            <v>0</v>
          </cell>
          <cell r="DQ19" t="str">
            <v>0</v>
          </cell>
          <cell r="DR19" t="str">
            <v>0</v>
          </cell>
          <cell r="DS19" t="str">
            <v>0</v>
          </cell>
          <cell r="DT19" t="str">
            <v>0</v>
          </cell>
          <cell r="DU19" t="str">
            <v>0</v>
          </cell>
          <cell r="DV19" t="str">
            <v>0</v>
          </cell>
          <cell r="DW19" t="str">
            <v>0</v>
          </cell>
          <cell r="DX19" t="str">
            <v>0</v>
          </cell>
          <cell r="DY19" t="str">
            <v>0</v>
          </cell>
        </row>
        <row r="20">
          <cell r="A20" t="str">
            <v>Total Variances</v>
          </cell>
          <cell r="B20">
            <v>15573795.629999999</v>
          </cell>
          <cell r="C20">
            <v>34736742.329999998</v>
          </cell>
          <cell r="D20">
            <v>38735254</v>
          </cell>
          <cell r="E20">
            <v>12080297.389999999</v>
          </cell>
          <cell r="F20">
            <v>8640339.7699999996</v>
          </cell>
          <cell r="G20">
            <v>-40602624.460000008</v>
          </cell>
          <cell r="H20">
            <v>-83642379.349999949</v>
          </cell>
          <cell r="I20">
            <v>-89189094</v>
          </cell>
          <cell r="J20">
            <v>-65350275.025656596</v>
          </cell>
          <cell r="K20">
            <v>-61139983.303132229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0</v>
          </cell>
          <cell r="W20">
            <v>2951122.34</v>
          </cell>
          <cell r="X20">
            <v>3230043</v>
          </cell>
          <cell r="Y20">
            <v>2929597.76</v>
          </cell>
          <cell r="Z20">
            <v>2929597.76</v>
          </cell>
          <cell r="AA20">
            <v>-6801974.4699999942</v>
          </cell>
          <cell r="AB20">
            <v>-8025374</v>
          </cell>
          <cell r="AC20">
            <v>-8241107.3699999982</v>
          </cell>
          <cell r="AD20">
            <v>-8058122.0199999968</v>
          </cell>
          <cell r="AE20" t="str">
            <v>0</v>
          </cell>
          <cell r="AF20" t="str">
            <v>0</v>
          </cell>
          <cell r="AG20" t="str">
            <v>0</v>
          </cell>
          <cell r="AH20" t="str">
            <v>0</v>
          </cell>
          <cell r="AI20" t="str">
            <v>0</v>
          </cell>
          <cell r="AJ20" t="str">
            <v>0</v>
          </cell>
          <cell r="AK20" t="str">
            <v>0</v>
          </cell>
          <cell r="AL20" t="str">
            <v>0</v>
          </cell>
          <cell r="AN20">
            <v>15573795.629999999</v>
          </cell>
          <cell r="AO20">
            <v>34736742.329999998</v>
          </cell>
          <cell r="AP20">
            <v>38735254</v>
          </cell>
          <cell r="AQ20">
            <v>-40602624.460000008</v>
          </cell>
          <cell r="AR20">
            <v>-83642379.349999949</v>
          </cell>
          <cell r="AS20">
            <v>-89189094</v>
          </cell>
          <cell r="AT20" t="str">
            <v>0</v>
          </cell>
          <cell r="AU20" t="str">
            <v>0</v>
          </cell>
          <cell r="AV20" t="str">
            <v>0</v>
          </cell>
          <cell r="AX20">
            <v>38735254</v>
          </cell>
          <cell r="AY20">
            <v>-89189094</v>
          </cell>
          <cell r="AZ20" t="str">
            <v>0</v>
          </cell>
          <cell r="BA20">
            <v>34736742.330000006</v>
          </cell>
          <cell r="BB20">
            <v>-83642379.349999949</v>
          </cell>
          <cell r="BC20" t="str">
            <v>0</v>
          </cell>
          <cell r="BD20">
            <v>12080297.389999999</v>
          </cell>
          <cell r="BE20">
            <v>-65350275.025656596</v>
          </cell>
          <cell r="BF20" t="str">
            <v>0</v>
          </cell>
          <cell r="BG20" t="str">
            <v>0</v>
          </cell>
          <cell r="BI20">
            <v>12762111</v>
          </cell>
          <cell r="BJ20">
            <v>-29983742</v>
          </cell>
          <cell r="BK20" t="str">
            <v>0</v>
          </cell>
          <cell r="BL20">
            <v>11869829.629999999</v>
          </cell>
          <cell r="BM20">
            <v>-26833014.59</v>
          </cell>
          <cell r="BN20" t="str">
            <v>0</v>
          </cell>
          <cell r="BO20">
            <v>12080297.389999999</v>
          </cell>
          <cell r="BP20">
            <v>-31694320.079999983</v>
          </cell>
          <cell r="BQ20" t="str">
            <v>0</v>
          </cell>
          <cell r="BR20" t="str">
            <v>0</v>
          </cell>
          <cell r="BS20">
            <v>12080297.389999999</v>
          </cell>
          <cell r="BT20">
            <v>-31694320.079999983</v>
          </cell>
          <cell r="BU20" t="str">
            <v>0</v>
          </cell>
          <cell r="BW20">
            <v>9557771</v>
          </cell>
          <cell r="BX20">
            <v>-22060513</v>
          </cell>
          <cell r="BY20" t="str">
            <v>0</v>
          </cell>
          <cell r="BZ20">
            <v>8757170.2100000009</v>
          </cell>
          <cell r="CA20">
            <v>-19474309.820000004</v>
          </cell>
          <cell r="CB20" t="str">
            <v>0</v>
          </cell>
          <cell r="CC20">
            <v>3134694.61</v>
          </cell>
          <cell r="CD20">
            <v>-16587996.917481024</v>
          </cell>
          <cell r="CE20" t="str">
            <v>0</v>
          </cell>
          <cell r="CF20" t="str">
            <v>0</v>
          </cell>
          <cell r="CG20">
            <v>6628192.8499999996</v>
          </cell>
          <cell r="CH20">
            <v>-17301532.559999995</v>
          </cell>
          <cell r="CI20" t="str">
            <v>0</v>
          </cell>
          <cell r="CK20">
            <v>9495069</v>
          </cell>
          <cell r="CL20">
            <v>-22134758</v>
          </cell>
          <cell r="CM20" t="str">
            <v>0</v>
          </cell>
          <cell r="CN20">
            <v>8773921.0999999996</v>
          </cell>
          <cell r="CO20">
            <v>-19306702.400000006</v>
          </cell>
          <cell r="CP20" t="str">
            <v>0</v>
          </cell>
          <cell r="CQ20">
            <v>8945602.7799999993</v>
          </cell>
          <cell r="CR20">
            <v>-23301091.899999995</v>
          </cell>
          <cell r="CS20" t="str">
            <v>0</v>
          </cell>
          <cell r="CT20" t="str">
            <v>0</v>
          </cell>
          <cell r="CU20">
            <v>8945602.7799999993</v>
          </cell>
          <cell r="CV20">
            <v>-23301091.899999995</v>
          </cell>
          <cell r="CW20" t="str">
            <v>0</v>
          </cell>
          <cell r="CY20">
            <v>9557771</v>
          </cell>
          <cell r="CZ20">
            <v>-22060513</v>
          </cell>
          <cell r="DA20" t="str">
            <v>0</v>
          </cell>
          <cell r="DC20">
            <v>8945602.7799999993</v>
          </cell>
          <cell r="DD20">
            <v>-23301091.899999995</v>
          </cell>
          <cell r="DE20" t="str">
            <v>0</v>
          </cell>
          <cell r="DG20">
            <v>6628192.8499999996</v>
          </cell>
          <cell r="DH20">
            <v>-17301532.559999995</v>
          </cell>
          <cell r="DI20" t="str">
            <v>0</v>
          </cell>
          <cell r="DJ20">
            <v>8757170.2100000009</v>
          </cell>
          <cell r="DK20">
            <v>-19474309.820000004</v>
          </cell>
          <cell r="DL20" t="str">
            <v>0</v>
          </cell>
          <cell r="DN20" t="str">
            <v>0</v>
          </cell>
          <cell r="DO20">
            <v>-13674441.074406948</v>
          </cell>
          <cell r="DP20" t="str">
            <v>0</v>
          </cell>
          <cell r="DQ20">
            <v>8901724.1199999992</v>
          </cell>
          <cell r="DR20">
            <v>-23089159.079999998</v>
          </cell>
          <cell r="DS20" t="str">
            <v>0</v>
          </cell>
          <cell r="DT20">
            <v>10003605</v>
          </cell>
          <cell r="DU20">
            <v>-23914909</v>
          </cell>
          <cell r="DV20" t="str">
            <v>0</v>
          </cell>
          <cell r="DW20" t="str">
            <v>0</v>
          </cell>
          <cell r="DX20" t="str">
            <v>0</v>
          </cell>
          <cell r="DY20" t="str">
            <v>0</v>
          </cell>
        </row>
        <row r="21">
          <cell r="A21" t="str">
            <v>Adjusted Gross Profit</v>
          </cell>
          <cell r="B21">
            <v>18660532.769999992</v>
          </cell>
          <cell r="C21">
            <v>39302299.359999992</v>
          </cell>
          <cell r="D21">
            <v>45732349</v>
          </cell>
          <cell r="E21">
            <v>19972177.869999997</v>
          </cell>
          <cell r="F21">
            <v>15814238.430000002</v>
          </cell>
          <cell r="G21">
            <v>173327440.74999997</v>
          </cell>
          <cell r="H21">
            <v>387458812.35999984</v>
          </cell>
          <cell r="I21">
            <v>409568264</v>
          </cell>
          <cell r="J21">
            <v>454975459.94465703</v>
          </cell>
          <cell r="K21">
            <v>417545011.73106593</v>
          </cell>
          <cell r="L21">
            <v>342940819.72999996</v>
          </cell>
          <cell r="M21">
            <v>760635428.82000017</v>
          </cell>
          <cell r="N21">
            <v>834106936</v>
          </cell>
          <cell r="O21">
            <v>873972739.34144032</v>
          </cell>
          <cell r="P21">
            <v>783240163.8588562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0</v>
          </cell>
          <cell r="U21" t="str">
            <v>0</v>
          </cell>
          <cell r="W21">
            <v>3276223.47</v>
          </cell>
          <cell r="X21">
            <v>3862453</v>
          </cell>
          <cell r="Y21">
            <v>3555682.41</v>
          </cell>
          <cell r="Z21">
            <v>3555682.41</v>
          </cell>
          <cell r="AA21">
            <v>37630779.089999989</v>
          </cell>
          <cell r="AB21">
            <v>36274416</v>
          </cell>
          <cell r="AC21">
            <v>41360100.619999997</v>
          </cell>
          <cell r="AD21">
            <v>39069061.109999999</v>
          </cell>
          <cell r="AE21">
            <v>76942183.449999988</v>
          </cell>
          <cell r="AF21">
            <v>75177083</v>
          </cell>
          <cell r="AG21">
            <v>81424135.219999999</v>
          </cell>
          <cell r="AH21">
            <v>75212494.439999998</v>
          </cell>
          <cell r="AI21" t="str">
            <v>0</v>
          </cell>
          <cell r="AJ21" t="str">
            <v>0</v>
          </cell>
          <cell r="AK21" t="str">
            <v>0</v>
          </cell>
          <cell r="AL21" t="str">
            <v>0</v>
          </cell>
          <cell r="AN21">
            <v>18660532.769999992</v>
          </cell>
          <cell r="AO21">
            <v>39302299.359999992</v>
          </cell>
          <cell r="AP21">
            <v>45732349</v>
          </cell>
          <cell r="AQ21">
            <v>173327440.74999997</v>
          </cell>
          <cell r="AR21">
            <v>387458812.35999984</v>
          </cell>
          <cell r="AS21">
            <v>409568264</v>
          </cell>
          <cell r="AT21" t="str">
            <v>0</v>
          </cell>
          <cell r="AU21" t="str">
            <v>0</v>
          </cell>
          <cell r="AV21" t="str">
            <v>0</v>
          </cell>
          <cell r="AX21">
            <v>45732349</v>
          </cell>
          <cell r="AY21">
            <v>409568264</v>
          </cell>
          <cell r="AZ21" t="str">
            <v>0</v>
          </cell>
          <cell r="BA21">
            <v>39302299.359999992</v>
          </cell>
          <cell r="BB21">
            <v>387458812.35999995</v>
          </cell>
          <cell r="BC21" t="str">
            <v>0</v>
          </cell>
          <cell r="BD21">
            <v>19972177.869999997</v>
          </cell>
          <cell r="BE21">
            <v>454975459.94465703</v>
          </cell>
          <cell r="BF21" t="str">
            <v>0</v>
          </cell>
          <cell r="BG21" t="str">
            <v>0</v>
          </cell>
          <cell r="BI21">
            <v>15261924</v>
          </cell>
          <cell r="BJ21">
            <v>135393889</v>
          </cell>
          <cell r="BK21" t="str">
            <v>0</v>
          </cell>
          <cell r="BL21">
            <v>13106265.219999999</v>
          </cell>
          <cell r="BM21">
            <v>132523751.99000011</v>
          </cell>
          <cell r="BN21" t="str">
            <v>0</v>
          </cell>
          <cell r="BO21">
            <v>14594835.869999999</v>
          </cell>
          <cell r="BP21">
            <v>147472101.1800001</v>
          </cell>
          <cell r="BQ21" t="str">
            <v>0</v>
          </cell>
          <cell r="BR21" t="str">
            <v>0</v>
          </cell>
          <cell r="BS21">
            <v>14594835.869999999</v>
          </cell>
          <cell r="BT21">
            <v>143561189.70000005</v>
          </cell>
          <cell r="BU21" t="str">
            <v>0</v>
          </cell>
          <cell r="BW21">
            <v>11354790</v>
          </cell>
          <cell r="BX21">
            <v>100032901</v>
          </cell>
          <cell r="BY21" t="str">
            <v>0</v>
          </cell>
          <cell r="BZ21">
            <v>9810747.9199999999</v>
          </cell>
          <cell r="CA21">
            <v>91121481.050000116</v>
          </cell>
          <cell r="CB21" t="str">
            <v>0</v>
          </cell>
          <cell r="CC21">
            <v>5124761.43</v>
          </cell>
          <cell r="CD21">
            <v>114710528.47438347</v>
          </cell>
          <cell r="CE21" t="str">
            <v>0</v>
          </cell>
          <cell r="CF21" t="str">
            <v>0</v>
          </cell>
          <cell r="CG21">
            <v>7853065.3300000001</v>
          </cell>
          <cell r="CH21">
            <v>71730407.330000028</v>
          </cell>
          <cell r="CI21" t="str">
            <v>0</v>
          </cell>
          <cell r="CK21">
            <v>11390513</v>
          </cell>
          <cell r="CL21">
            <v>98945314</v>
          </cell>
          <cell r="CM21" t="str">
            <v>0</v>
          </cell>
          <cell r="CN21">
            <v>9724557.8899999987</v>
          </cell>
          <cell r="CO21">
            <v>96848359.009999961</v>
          </cell>
          <cell r="CP21" t="str">
            <v>0</v>
          </cell>
          <cell r="CQ21">
            <v>10807467.439999999</v>
          </cell>
          <cell r="CR21">
            <v>104866853.44</v>
          </cell>
          <cell r="CS21" t="str">
            <v>0</v>
          </cell>
          <cell r="CT21" t="str">
            <v>0</v>
          </cell>
          <cell r="CU21">
            <v>10807467.439999999</v>
          </cell>
          <cell r="CV21">
            <v>101597033.41999999</v>
          </cell>
          <cell r="CW21" t="str">
            <v>0</v>
          </cell>
          <cell r="CY21">
            <v>11354790</v>
          </cell>
          <cell r="CZ21">
            <v>100032901</v>
          </cell>
          <cell r="DA21" t="str">
            <v>0</v>
          </cell>
          <cell r="DC21">
            <v>10807467.439999999</v>
          </cell>
          <cell r="DD21">
            <v>101597033.41999999</v>
          </cell>
          <cell r="DE21" t="str">
            <v>0</v>
          </cell>
          <cell r="DG21">
            <v>7853065.3300000001</v>
          </cell>
          <cell r="DH21">
            <v>71730407.330000028</v>
          </cell>
          <cell r="DI21" t="str">
            <v>0</v>
          </cell>
          <cell r="DJ21">
            <v>9810747.9199999999</v>
          </cell>
          <cell r="DK21">
            <v>91121481.050000116</v>
          </cell>
          <cell r="DL21" t="str">
            <v>0</v>
          </cell>
          <cell r="DN21">
            <v>2047574</v>
          </cell>
          <cell r="DO21">
            <v>124810314.70728377</v>
          </cell>
          <cell r="DP21" t="str">
            <v>0</v>
          </cell>
          <cell r="DQ21">
            <v>10071422.199999997</v>
          </cell>
          <cell r="DR21">
            <v>103502179.05</v>
          </cell>
          <cell r="DS21" t="str">
            <v>0</v>
          </cell>
          <cell r="DT21">
            <v>11707285</v>
          </cell>
          <cell r="DU21">
            <v>113273149</v>
          </cell>
          <cell r="DV21" t="str">
            <v>0</v>
          </cell>
          <cell r="DW21" t="str">
            <v>0</v>
          </cell>
          <cell r="DX21" t="str">
            <v>0</v>
          </cell>
          <cell r="DY21" t="str">
            <v>0</v>
          </cell>
        </row>
        <row r="22">
          <cell r="A22" t="str">
            <v>Warranty Provision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>
            <v>3310743.49</v>
          </cell>
          <cell r="H22">
            <v>6878325.3399999999</v>
          </cell>
          <cell r="I22">
            <v>6642173</v>
          </cell>
          <cell r="J22">
            <v>7459020.2010373082</v>
          </cell>
          <cell r="K22">
            <v>6744485.915393129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  <cell r="AA22">
            <v>819341.66</v>
          </cell>
          <cell r="AB22">
            <v>608429</v>
          </cell>
          <cell r="AC22">
            <v>721594.01</v>
          </cell>
          <cell r="AD22">
            <v>721594.01</v>
          </cell>
          <cell r="AE22" t="str">
            <v>0</v>
          </cell>
          <cell r="AF22" t="str">
            <v>0</v>
          </cell>
          <cell r="AG22" t="str">
            <v>0</v>
          </cell>
          <cell r="AH22" t="str">
            <v>0</v>
          </cell>
          <cell r="AI22" t="str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N22" t="str">
            <v>0</v>
          </cell>
          <cell r="AO22" t="str">
            <v>0</v>
          </cell>
          <cell r="AP22" t="str">
            <v>0</v>
          </cell>
          <cell r="AQ22">
            <v>3310743.49</v>
          </cell>
          <cell r="AR22">
            <v>6878325.3399999999</v>
          </cell>
          <cell r="AS22">
            <v>6642173</v>
          </cell>
          <cell r="AT22" t="str">
            <v>0</v>
          </cell>
          <cell r="AU22" t="str">
            <v>0</v>
          </cell>
          <cell r="AV22" t="str">
            <v>0</v>
          </cell>
          <cell r="AX22" t="str">
            <v>0</v>
          </cell>
          <cell r="AY22">
            <v>6642173</v>
          </cell>
          <cell r="AZ22" t="str">
            <v>0</v>
          </cell>
          <cell r="BA22" t="str">
            <v>0</v>
          </cell>
          <cell r="BB22">
            <v>6878325.3399999999</v>
          </cell>
          <cell r="BC22" t="str">
            <v>0</v>
          </cell>
          <cell r="BD22" t="str">
            <v>0</v>
          </cell>
          <cell r="BE22">
            <v>7459020.2010373082</v>
          </cell>
          <cell r="BF22" t="str">
            <v>0</v>
          </cell>
          <cell r="BG22" t="str">
            <v>0</v>
          </cell>
          <cell r="BI22" t="str">
            <v>0</v>
          </cell>
          <cell r="BJ22">
            <v>2223922</v>
          </cell>
          <cell r="BK22" t="str">
            <v>0</v>
          </cell>
          <cell r="BL22" t="str">
            <v>0</v>
          </cell>
          <cell r="BM22">
            <v>2850800.79</v>
          </cell>
          <cell r="BN22" t="str">
            <v>0</v>
          </cell>
          <cell r="BO22" t="str">
            <v>0</v>
          </cell>
          <cell r="BP22">
            <v>2719511.64</v>
          </cell>
          <cell r="BQ22" t="str">
            <v>0</v>
          </cell>
          <cell r="BR22" t="str">
            <v>0</v>
          </cell>
          <cell r="BS22" t="str">
            <v>0</v>
          </cell>
          <cell r="BT22">
            <v>2719511.64</v>
          </cell>
          <cell r="BU22" t="str">
            <v>0</v>
          </cell>
          <cell r="BW22" t="str">
            <v>0</v>
          </cell>
          <cell r="BX22">
            <v>1627587</v>
          </cell>
          <cell r="BY22" t="str">
            <v>0</v>
          </cell>
          <cell r="BZ22" t="str">
            <v>0</v>
          </cell>
          <cell r="CA22">
            <v>2134028.7599999998</v>
          </cell>
          <cell r="CB22" t="str">
            <v>0</v>
          </cell>
          <cell r="CC22" t="str">
            <v>0</v>
          </cell>
          <cell r="CD22">
            <v>1911606.2836337565</v>
          </cell>
          <cell r="CE22" t="str">
            <v>0</v>
          </cell>
          <cell r="CF22" t="str">
            <v>0</v>
          </cell>
          <cell r="CG22" t="str">
            <v>0</v>
          </cell>
          <cell r="CH22">
            <v>1332871.55</v>
          </cell>
          <cell r="CI22" t="str">
            <v>0</v>
          </cell>
          <cell r="CK22" t="str">
            <v>0</v>
          </cell>
          <cell r="CL22">
            <v>1630552</v>
          </cell>
          <cell r="CM22" t="str">
            <v>0</v>
          </cell>
          <cell r="CN22" t="str">
            <v>0</v>
          </cell>
          <cell r="CO22">
            <v>1953041.81</v>
          </cell>
          <cell r="CP22" t="str">
            <v>0</v>
          </cell>
          <cell r="CQ22" t="str">
            <v>0</v>
          </cell>
          <cell r="CR22">
            <v>1977871.94</v>
          </cell>
          <cell r="CS22" t="str">
            <v>0</v>
          </cell>
          <cell r="CT22" t="str">
            <v>0</v>
          </cell>
          <cell r="CU22" t="str">
            <v>0</v>
          </cell>
          <cell r="CV22">
            <v>1977871.94</v>
          </cell>
          <cell r="CW22" t="str">
            <v>0</v>
          </cell>
          <cell r="CY22" t="str">
            <v>0</v>
          </cell>
          <cell r="CZ22">
            <v>1627587</v>
          </cell>
          <cell r="DA22" t="str">
            <v>0</v>
          </cell>
          <cell r="DC22" t="str">
            <v>0</v>
          </cell>
          <cell r="DD22">
            <v>1977871.94</v>
          </cell>
          <cell r="DE22" t="str">
            <v>0</v>
          </cell>
          <cell r="DG22" t="str">
            <v>0</v>
          </cell>
          <cell r="DH22">
            <v>1332871.55</v>
          </cell>
          <cell r="DI22" t="str">
            <v>0</v>
          </cell>
          <cell r="DJ22" t="str">
            <v>0</v>
          </cell>
          <cell r="DK22">
            <v>2134028.7599999998</v>
          </cell>
          <cell r="DL22" t="str">
            <v>0</v>
          </cell>
          <cell r="DN22" t="str">
            <v>0</v>
          </cell>
          <cell r="DO22">
            <v>1901293.3240617425</v>
          </cell>
          <cell r="DP22" t="str">
            <v>0</v>
          </cell>
          <cell r="DQ22" t="str">
            <v>0</v>
          </cell>
          <cell r="DR22">
            <v>1803865.51</v>
          </cell>
          <cell r="DS22" t="str">
            <v>0</v>
          </cell>
          <cell r="DT22" t="str">
            <v>0</v>
          </cell>
          <cell r="DU22">
            <v>1822685</v>
          </cell>
          <cell r="DV22" t="str">
            <v>0</v>
          </cell>
          <cell r="DW22" t="str">
            <v>0</v>
          </cell>
          <cell r="DX22" t="str">
            <v>0</v>
          </cell>
          <cell r="DY22" t="str">
            <v>0</v>
          </cell>
        </row>
        <row r="23">
          <cell r="A23" t="str">
            <v>Inventory Reserves/Adjustments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>
            <v>1315877</v>
          </cell>
          <cell r="H23">
            <v>2815462.27</v>
          </cell>
          <cell r="I23">
            <v>2806273</v>
          </cell>
          <cell r="J23">
            <v>2834654.8620726434</v>
          </cell>
          <cell r="K23">
            <v>3041859.085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0</v>
          </cell>
          <cell r="AA23">
            <v>405228.54</v>
          </cell>
          <cell r="AB23">
            <v>246804</v>
          </cell>
          <cell r="AC23">
            <v>72864.45</v>
          </cell>
          <cell r="AD23">
            <v>64092.43</v>
          </cell>
          <cell r="AE23" t="str">
            <v>0</v>
          </cell>
          <cell r="AF23" t="str">
            <v>0</v>
          </cell>
          <cell r="AG23" t="str">
            <v>0</v>
          </cell>
          <cell r="AH23" t="str">
            <v>0</v>
          </cell>
          <cell r="AI23" t="str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N23" t="str">
            <v>0</v>
          </cell>
          <cell r="AO23" t="str">
            <v>0</v>
          </cell>
          <cell r="AP23" t="str">
            <v>0</v>
          </cell>
          <cell r="AQ23">
            <v>1315877</v>
          </cell>
          <cell r="AR23">
            <v>2815462.27</v>
          </cell>
          <cell r="AS23">
            <v>2806273</v>
          </cell>
          <cell r="AT23" t="str">
            <v>0</v>
          </cell>
          <cell r="AU23" t="str">
            <v>0</v>
          </cell>
          <cell r="AV23" t="str">
            <v>0</v>
          </cell>
          <cell r="AX23" t="str">
            <v>0</v>
          </cell>
          <cell r="AY23">
            <v>2806273</v>
          </cell>
          <cell r="AZ23" t="str">
            <v>0</v>
          </cell>
          <cell r="BA23" t="str">
            <v>0</v>
          </cell>
          <cell r="BB23">
            <v>2815462.27</v>
          </cell>
          <cell r="BC23" t="str">
            <v>0</v>
          </cell>
          <cell r="BD23" t="str">
            <v>0</v>
          </cell>
          <cell r="BE23">
            <v>2834654.8620726434</v>
          </cell>
          <cell r="BF23" t="str">
            <v>0</v>
          </cell>
          <cell r="BG23" t="str">
            <v>0</v>
          </cell>
          <cell r="BI23" t="str">
            <v>0</v>
          </cell>
          <cell r="BJ23">
            <v>942658</v>
          </cell>
          <cell r="BK23" t="str">
            <v>0</v>
          </cell>
          <cell r="BL23" t="str">
            <v>0</v>
          </cell>
          <cell r="BM23">
            <v>1199798.8799999999</v>
          </cell>
          <cell r="BN23" t="str">
            <v>0</v>
          </cell>
          <cell r="BO23" t="str">
            <v>0</v>
          </cell>
          <cell r="BP23">
            <v>857764.81</v>
          </cell>
          <cell r="BQ23" t="str">
            <v>0</v>
          </cell>
          <cell r="BR23" t="str">
            <v>0</v>
          </cell>
          <cell r="BS23" t="str">
            <v>0</v>
          </cell>
          <cell r="BT23">
            <v>857764.81</v>
          </cell>
          <cell r="BU23" t="str">
            <v>0</v>
          </cell>
          <cell r="BW23" t="str">
            <v>0</v>
          </cell>
          <cell r="BX23">
            <v>678382</v>
          </cell>
          <cell r="BY23" t="str">
            <v>0</v>
          </cell>
          <cell r="BZ23" t="str">
            <v>0</v>
          </cell>
          <cell r="CA23">
            <v>89606.17</v>
          </cell>
          <cell r="CB23" t="str">
            <v>0</v>
          </cell>
          <cell r="CC23" t="str">
            <v>0</v>
          </cell>
          <cell r="CD23">
            <v>698330.31963034754</v>
          </cell>
          <cell r="CE23" t="str">
            <v>0</v>
          </cell>
          <cell r="CF23" t="str">
            <v>0</v>
          </cell>
          <cell r="CG23" t="str">
            <v>0</v>
          </cell>
          <cell r="CH23">
            <v>679690.15</v>
          </cell>
          <cell r="CI23" t="str">
            <v>0</v>
          </cell>
          <cell r="CK23" t="str">
            <v>0</v>
          </cell>
          <cell r="CL23">
            <v>696238</v>
          </cell>
          <cell r="CM23" t="str">
            <v>0</v>
          </cell>
          <cell r="CN23" t="str">
            <v>0</v>
          </cell>
          <cell r="CO23">
            <v>914101.2</v>
          </cell>
          <cell r="CP23" t="str">
            <v>0</v>
          </cell>
          <cell r="CQ23" t="str">
            <v>0</v>
          </cell>
          <cell r="CR23">
            <v>637345.41</v>
          </cell>
          <cell r="CS23" t="str">
            <v>0</v>
          </cell>
          <cell r="CT23" t="str">
            <v>0</v>
          </cell>
          <cell r="CU23" t="str">
            <v>0</v>
          </cell>
          <cell r="CV23">
            <v>637345.41</v>
          </cell>
          <cell r="CW23" t="str">
            <v>0</v>
          </cell>
          <cell r="CY23" t="str">
            <v>0</v>
          </cell>
          <cell r="CZ23">
            <v>678382</v>
          </cell>
          <cell r="DA23" t="str">
            <v>0</v>
          </cell>
          <cell r="DC23" t="str">
            <v>0</v>
          </cell>
          <cell r="DD23">
            <v>637345.41</v>
          </cell>
          <cell r="DE23" t="str">
            <v>0</v>
          </cell>
          <cell r="DG23" t="str">
            <v>0</v>
          </cell>
          <cell r="DH23">
            <v>679690.15</v>
          </cell>
          <cell r="DI23" t="str">
            <v>0</v>
          </cell>
          <cell r="DJ23" t="str">
            <v>0</v>
          </cell>
          <cell r="DK23">
            <v>89606.17</v>
          </cell>
          <cell r="DL23" t="str">
            <v>0</v>
          </cell>
          <cell r="DN23" t="str">
            <v>0</v>
          </cell>
          <cell r="DO23">
            <v>807304.23421000293</v>
          </cell>
          <cell r="DP23" t="str">
            <v>0</v>
          </cell>
          <cell r="DQ23" t="str">
            <v>0</v>
          </cell>
          <cell r="DR23">
            <v>1546892.96</v>
          </cell>
          <cell r="DS23" t="str">
            <v>0</v>
          </cell>
          <cell r="DT23" t="str">
            <v>0</v>
          </cell>
          <cell r="DU23">
            <v>761643</v>
          </cell>
          <cell r="DV23" t="str">
            <v>0</v>
          </cell>
          <cell r="DW23" t="str">
            <v>0</v>
          </cell>
          <cell r="DX23" t="str">
            <v>0</v>
          </cell>
          <cell r="DY23" t="str">
            <v>0</v>
          </cell>
        </row>
        <row r="24">
          <cell r="A24" t="str">
            <v>Other Manufacturing Cost</v>
          </cell>
          <cell r="B24">
            <v>285382.86</v>
          </cell>
          <cell r="C24">
            <v>671419.7</v>
          </cell>
          <cell r="D24">
            <v>640079</v>
          </cell>
          <cell r="E24">
            <v>651047.6</v>
          </cell>
          <cell r="F24">
            <v>630138.27</v>
          </cell>
          <cell r="G24">
            <v>-243720.17</v>
          </cell>
          <cell r="H24">
            <v>-334631.99</v>
          </cell>
          <cell r="I24">
            <v>-890700</v>
          </cell>
          <cell r="J24">
            <v>58217.619999999937</v>
          </cell>
          <cell r="K24">
            <v>-6609.6100000001024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0</v>
          </cell>
          <cell r="U24" t="str">
            <v>0</v>
          </cell>
          <cell r="W24">
            <v>53058.06</v>
          </cell>
          <cell r="X24">
            <v>52507</v>
          </cell>
          <cell r="Y24">
            <v>51229.51</v>
          </cell>
          <cell r="Z24">
            <v>51229.51</v>
          </cell>
          <cell r="AA24">
            <v>8067.7199999999939</v>
          </cell>
          <cell r="AB24">
            <v>-89549</v>
          </cell>
          <cell r="AC24">
            <v>-89658.69</v>
          </cell>
          <cell r="AD24">
            <v>-89658.69</v>
          </cell>
          <cell r="AE24" t="str">
            <v>0</v>
          </cell>
          <cell r="AF24" t="str">
            <v>0</v>
          </cell>
          <cell r="AG24" t="str">
            <v>0</v>
          </cell>
          <cell r="AH24" t="str">
            <v>0</v>
          </cell>
          <cell r="AI24" t="str">
            <v>0</v>
          </cell>
          <cell r="AJ24" t="str">
            <v>0</v>
          </cell>
          <cell r="AK24" t="str">
            <v>0</v>
          </cell>
          <cell r="AL24" t="str">
            <v>0</v>
          </cell>
          <cell r="AN24">
            <v>285382.86</v>
          </cell>
          <cell r="AO24">
            <v>671419.7</v>
          </cell>
          <cell r="AP24">
            <v>640079</v>
          </cell>
          <cell r="AQ24">
            <v>-243720.17</v>
          </cell>
          <cell r="AR24">
            <v>-334631.99</v>
          </cell>
          <cell r="AS24">
            <v>-890700</v>
          </cell>
          <cell r="AT24" t="str">
            <v>0</v>
          </cell>
          <cell r="AU24" t="str">
            <v>0</v>
          </cell>
          <cell r="AV24" t="str">
            <v>0</v>
          </cell>
          <cell r="AX24">
            <v>640079</v>
          </cell>
          <cell r="AY24">
            <v>-890700</v>
          </cell>
          <cell r="AZ24" t="str">
            <v>0</v>
          </cell>
          <cell r="BA24">
            <v>671419.7</v>
          </cell>
          <cell r="BB24">
            <v>-334631.99</v>
          </cell>
          <cell r="BC24" t="str">
            <v>0</v>
          </cell>
          <cell r="BD24">
            <v>651047.6</v>
          </cell>
          <cell r="BE24">
            <v>58217.619999999937</v>
          </cell>
          <cell r="BF24" t="str">
            <v>0</v>
          </cell>
          <cell r="BG24" t="str">
            <v>0</v>
          </cell>
          <cell r="BI24">
            <v>210028</v>
          </cell>
          <cell r="BJ24">
            <v>-298467</v>
          </cell>
          <cell r="BK24" t="str">
            <v>0</v>
          </cell>
          <cell r="BL24">
            <v>215481.26</v>
          </cell>
          <cell r="BM24">
            <v>-144512.54999999999</v>
          </cell>
          <cell r="BN24" t="str">
            <v>0</v>
          </cell>
          <cell r="BO24">
            <v>239596.6</v>
          </cell>
          <cell r="BP24">
            <v>-176276.38</v>
          </cell>
          <cell r="BQ24" t="str">
            <v>0</v>
          </cell>
          <cell r="BR24" t="str">
            <v>0</v>
          </cell>
          <cell r="BS24">
            <v>239596.6</v>
          </cell>
          <cell r="BT24">
            <v>-176276.38</v>
          </cell>
          <cell r="BU24" t="str">
            <v>0</v>
          </cell>
          <cell r="BW24">
            <v>167521</v>
          </cell>
          <cell r="BX24">
            <v>-222474</v>
          </cell>
          <cell r="BY24" t="str">
            <v>0</v>
          </cell>
          <cell r="BZ24">
            <v>156633.28</v>
          </cell>
          <cell r="CA24">
            <v>-369470.96</v>
          </cell>
          <cell r="CB24" t="str">
            <v>0</v>
          </cell>
          <cell r="CC24">
            <v>175205.33</v>
          </cell>
          <cell r="CD24">
            <v>152763.23000000001</v>
          </cell>
          <cell r="CE24" t="str">
            <v>0</v>
          </cell>
          <cell r="CF24" t="str">
            <v>0</v>
          </cell>
          <cell r="CG24">
            <v>118127.59</v>
          </cell>
          <cell r="CH24">
            <v>26695.439999999999</v>
          </cell>
          <cell r="CI24" t="str">
            <v>0</v>
          </cell>
          <cell r="CK24">
            <v>157521</v>
          </cell>
          <cell r="CL24">
            <v>-204018</v>
          </cell>
          <cell r="CM24" t="str">
            <v>0</v>
          </cell>
          <cell r="CN24">
            <v>162473.26</v>
          </cell>
          <cell r="CO24">
            <v>240663.4</v>
          </cell>
          <cell r="CP24" t="str">
            <v>0</v>
          </cell>
          <cell r="CQ24">
            <v>167255.26999999999</v>
          </cell>
          <cell r="CR24">
            <v>-270415.61</v>
          </cell>
          <cell r="CS24" t="str">
            <v>0</v>
          </cell>
          <cell r="CT24" t="str">
            <v>0</v>
          </cell>
          <cell r="CU24">
            <v>167255.26999999999</v>
          </cell>
          <cell r="CV24">
            <v>-270415.61</v>
          </cell>
          <cell r="CW24" t="str">
            <v>0</v>
          </cell>
          <cell r="CY24">
            <v>167521</v>
          </cell>
          <cell r="CZ24">
            <v>-222474</v>
          </cell>
          <cell r="DA24" t="str">
            <v>0</v>
          </cell>
          <cell r="DC24">
            <v>167255.26999999999</v>
          </cell>
          <cell r="DD24">
            <v>-270415.61</v>
          </cell>
          <cell r="DE24" t="str">
            <v>0</v>
          </cell>
          <cell r="DG24">
            <v>118127.59</v>
          </cell>
          <cell r="DH24">
            <v>26695.439999999999</v>
          </cell>
          <cell r="DI24" t="str">
            <v>0</v>
          </cell>
          <cell r="DJ24">
            <v>156633.28</v>
          </cell>
          <cell r="DK24">
            <v>-369470.96</v>
          </cell>
          <cell r="DL24" t="str">
            <v>0</v>
          </cell>
          <cell r="DN24">
            <v>154296</v>
          </cell>
          <cell r="DO24">
            <v>87936</v>
          </cell>
          <cell r="DP24" t="str">
            <v>0</v>
          </cell>
          <cell r="DQ24">
            <v>163799.26999999999</v>
          </cell>
          <cell r="DR24">
            <v>-259293.12</v>
          </cell>
          <cell r="DS24" t="str">
            <v>0</v>
          </cell>
          <cell r="DT24">
            <v>157521</v>
          </cell>
          <cell r="DU24">
            <v>-255531</v>
          </cell>
          <cell r="DV24" t="str">
            <v>0</v>
          </cell>
          <cell r="DW24" t="str">
            <v>0</v>
          </cell>
          <cell r="DX24" t="str">
            <v>0</v>
          </cell>
          <cell r="DY24" t="str">
            <v>0</v>
          </cell>
        </row>
        <row r="25">
          <cell r="A25" t="str">
            <v>Warehouse Costs</v>
          </cell>
          <cell r="B25">
            <v>936984.9</v>
          </cell>
          <cell r="C25">
            <v>2266844.7400000002</v>
          </cell>
          <cell r="D25">
            <v>2241066</v>
          </cell>
          <cell r="E25">
            <v>767793.27</v>
          </cell>
          <cell r="F25">
            <v>576106.68999999994</v>
          </cell>
          <cell r="G25">
            <v>3294815.53</v>
          </cell>
          <cell r="H25">
            <v>7630687.1799999997</v>
          </cell>
          <cell r="I25">
            <v>8511336</v>
          </cell>
          <cell r="J25">
            <v>2923552.25</v>
          </cell>
          <cell r="K25">
            <v>2152313.9300000002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0</v>
          </cell>
          <cell r="U25" t="str">
            <v>0</v>
          </cell>
          <cell r="W25">
            <v>198434.84</v>
          </cell>
          <cell r="X25">
            <v>185244</v>
          </cell>
          <cell r="Y25">
            <v>186576.91</v>
          </cell>
          <cell r="Z25">
            <v>186576.91</v>
          </cell>
          <cell r="AA25">
            <v>765256.65</v>
          </cell>
          <cell r="AB25">
            <v>753452</v>
          </cell>
          <cell r="AC25">
            <v>801569.19</v>
          </cell>
          <cell r="AD25">
            <v>801569.19</v>
          </cell>
          <cell r="AE25" t="str">
            <v>0</v>
          </cell>
          <cell r="AF25" t="str">
            <v>0</v>
          </cell>
          <cell r="AG25" t="str">
            <v>0</v>
          </cell>
          <cell r="AH25" t="str">
            <v>0</v>
          </cell>
          <cell r="AI25" t="str">
            <v>0</v>
          </cell>
          <cell r="AJ25" t="str">
            <v>0</v>
          </cell>
          <cell r="AK25" t="str">
            <v>0</v>
          </cell>
          <cell r="AL25" t="str">
            <v>0</v>
          </cell>
          <cell r="AN25">
            <v>936984.9</v>
          </cell>
          <cell r="AO25">
            <v>2266844.7400000002</v>
          </cell>
          <cell r="AP25">
            <v>2241066</v>
          </cell>
          <cell r="AQ25">
            <v>3294815.53</v>
          </cell>
          <cell r="AR25">
            <v>7630687.1799999997</v>
          </cell>
          <cell r="AS25">
            <v>8511336</v>
          </cell>
          <cell r="AT25" t="str">
            <v>0</v>
          </cell>
          <cell r="AU25" t="str">
            <v>0</v>
          </cell>
          <cell r="AV25" t="str">
            <v>0</v>
          </cell>
          <cell r="AX25">
            <v>2241066</v>
          </cell>
          <cell r="AY25">
            <v>8511336</v>
          </cell>
          <cell r="AZ25" t="str">
            <v>0</v>
          </cell>
          <cell r="BA25">
            <v>2266844.7400000002</v>
          </cell>
          <cell r="BB25">
            <v>7630687.1799999997</v>
          </cell>
          <cell r="BC25" t="str">
            <v>0</v>
          </cell>
          <cell r="BD25">
            <v>767793.27</v>
          </cell>
          <cell r="BE25">
            <v>2923552.25</v>
          </cell>
          <cell r="BF25" t="str">
            <v>0</v>
          </cell>
          <cell r="BG25" t="str">
            <v>0</v>
          </cell>
          <cell r="BI25">
            <v>744050</v>
          </cell>
          <cell r="BJ25">
            <v>2819039</v>
          </cell>
          <cell r="BK25" t="str">
            <v>0</v>
          </cell>
          <cell r="BL25">
            <v>756420.55</v>
          </cell>
          <cell r="BM25">
            <v>2664675.9700000002</v>
          </cell>
          <cell r="BN25" t="str">
            <v>0</v>
          </cell>
          <cell r="BO25">
            <v>747793.27</v>
          </cell>
          <cell r="BP25">
            <v>2904352.25</v>
          </cell>
          <cell r="BQ25" t="str">
            <v>0</v>
          </cell>
          <cell r="BR25" t="str">
            <v>0</v>
          </cell>
          <cell r="BS25">
            <v>747793.27</v>
          </cell>
          <cell r="BT25">
            <v>2904352.25</v>
          </cell>
          <cell r="BU25" t="str">
            <v>0</v>
          </cell>
          <cell r="BW25">
            <v>559968</v>
          </cell>
          <cell r="BX25">
            <v>2101493</v>
          </cell>
          <cell r="BY25" t="str">
            <v>0</v>
          </cell>
          <cell r="BZ25">
            <v>555017.6</v>
          </cell>
          <cell r="CA25">
            <v>1798542.2</v>
          </cell>
          <cell r="CB25" t="str">
            <v>0</v>
          </cell>
          <cell r="CC25">
            <v>199186.58</v>
          </cell>
          <cell r="CD25">
            <v>778438.32</v>
          </cell>
          <cell r="CE25" t="str">
            <v>0</v>
          </cell>
          <cell r="CF25" t="str">
            <v>0</v>
          </cell>
          <cell r="CG25">
            <v>383378.21</v>
          </cell>
          <cell r="CH25">
            <v>1164101.6000000001</v>
          </cell>
          <cell r="CI25" t="str">
            <v>0</v>
          </cell>
          <cell r="CK25">
            <v>557356</v>
          </cell>
          <cell r="CL25">
            <v>2064112</v>
          </cell>
          <cell r="CM25" t="str">
            <v>0</v>
          </cell>
          <cell r="CN25">
            <v>572036.69999999995</v>
          </cell>
          <cell r="CO25">
            <v>1967251.23</v>
          </cell>
          <cell r="CP25" t="str">
            <v>0</v>
          </cell>
          <cell r="CQ25">
            <v>553606.68999999994</v>
          </cell>
          <cell r="CR25">
            <v>2130713.9300000002</v>
          </cell>
          <cell r="CS25" t="str">
            <v>0</v>
          </cell>
          <cell r="CT25" t="str">
            <v>0</v>
          </cell>
          <cell r="CU25">
            <v>553606.68999999994</v>
          </cell>
          <cell r="CV25">
            <v>2130713.9300000002</v>
          </cell>
          <cell r="CW25" t="str">
            <v>0</v>
          </cell>
          <cell r="CY25">
            <v>559968</v>
          </cell>
          <cell r="CZ25">
            <v>2101493</v>
          </cell>
          <cell r="DA25" t="str">
            <v>0</v>
          </cell>
          <cell r="DC25">
            <v>553606.68999999994</v>
          </cell>
          <cell r="DD25">
            <v>2130713.9300000002</v>
          </cell>
          <cell r="DE25" t="str">
            <v>0</v>
          </cell>
          <cell r="DG25">
            <v>383378.21</v>
          </cell>
          <cell r="DH25">
            <v>1164101.6000000001</v>
          </cell>
          <cell r="DI25" t="str">
            <v>0</v>
          </cell>
          <cell r="DJ25">
            <v>555017.6</v>
          </cell>
          <cell r="DK25">
            <v>1798542.2</v>
          </cell>
          <cell r="DL25" t="str">
            <v>0</v>
          </cell>
          <cell r="DN25">
            <v>7500</v>
          </cell>
          <cell r="DO25">
            <v>7200</v>
          </cell>
          <cell r="DP25" t="str">
            <v>0</v>
          </cell>
          <cell r="DQ25">
            <v>573194.14</v>
          </cell>
          <cell r="DR25">
            <v>1915003.12</v>
          </cell>
          <cell r="DS25" t="str">
            <v>0</v>
          </cell>
          <cell r="DT25">
            <v>562544</v>
          </cell>
          <cell r="DU25">
            <v>2331916</v>
          </cell>
          <cell r="DV25" t="str">
            <v>0</v>
          </cell>
          <cell r="DW25" t="str">
            <v>0</v>
          </cell>
          <cell r="DX25" t="str">
            <v>0</v>
          </cell>
          <cell r="DY25" t="str">
            <v>0</v>
          </cell>
        </row>
        <row r="26">
          <cell r="A26" t="str">
            <v>Total Other Cost of Sales</v>
          </cell>
          <cell r="B26">
            <v>1222367.76</v>
          </cell>
          <cell r="C26">
            <v>2938264.44</v>
          </cell>
          <cell r="D26">
            <v>2881145</v>
          </cell>
          <cell r="E26">
            <v>1418840.87</v>
          </cell>
          <cell r="F26">
            <v>1206244.96</v>
          </cell>
          <cell r="G26">
            <v>7677715.8500000006</v>
          </cell>
          <cell r="H26">
            <v>16989842.799999997</v>
          </cell>
          <cell r="I26">
            <v>17069082</v>
          </cell>
          <cell r="J26">
            <v>13275444.933109952</v>
          </cell>
          <cell r="K26">
            <v>11932049.32039313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0</v>
          </cell>
          <cell r="U26" t="str">
            <v>0</v>
          </cell>
          <cell r="W26">
            <v>251492.9</v>
          </cell>
          <cell r="X26">
            <v>237751</v>
          </cell>
          <cell r="Y26">
            <v>237806.42</v>
          </cell>
          <cell r="Z26">
            <v>237806.42</v>
          </cell>
          <cell r="AA26">
            <v>1997894.57</v>
          </cell>
          <cell r="AB26">
            <v>1519136</v>
          </cell>
          <cell r="AC26">
            <v>1506368.96</v>
          </cell>
          <cell r="AD26">
            <v>1497596.94</v>
          </cell>
          <cell r="AE26" t="str">
            <v>0</v>
          </cell>
          <cell r="AF26" t="str">
            <v>0</v>
          </cell>
          <cell r="AG26" t="str">
            <v>0</v>
          </cell>
          <cell r="AH26" t="str">
            <v>0</v>
          </cell>
          <cell r="AI26" t="str">
            <v>0</v>
          </cell>
          <cell r="AJ26" t="str">
            <v>0</v>
          </cell>
          <cell r="AK26" t="str">
            <v>0</v>
          </cell>
          <cell r="AL26" t="str">
            <v>0</v>
          </cell>
          <cell r="AN26">
            <v>1222367.76</v>
          </cell>
          <cell r="AO26">
            <v>2938264.44</v>
          </cell>
          <cell r="AP26">
            <v>2881145</v>
          </cell>
          <cell r="AQ26">
            <v>7677715.8500000006</v>
          </cell>
          <cell r="AR26">
            <v>16989842.799999997</v>
          </cell>
          <cell r="AS26">
            <v>17069082</v>
          </cell>
          <cell r="AT26" t="str">
            <v>0</v>
          </cell>
          <cell r="AU26" t="str">
            <v>0</v>
          </cell>
          <cell r="AV26" t="str">
            <v>0</v>
          </cell>
          <cell r="AX26">
            <v>2881145</v>
          </cell>
          <cell r="AY26">
            <v>17069082</v>
          </cell>
          <cell r="AZ26" t="str">
            <v>0</v>
          </cell>
          <cell r="BA26">
            <v>2938264.44</v>
          </cell>
          <cell r="BB26">
            <v>16989842.800000001</v>
          </cell>
          <cell r="BC26" t="str">
            <v>0</v>
          </cell>
          <cell r="BD26">
            <v>1418840.87</v>
          </cell>
          <cell r="BE26">
            <v>13275444.933109952</v>
          </cell>
          <cell r="BF26" t="str">
            <v>0</v>
          </cell>
          <cell r="BG26" t="str">
            <v>0</v>
          </cell>
          <cell r="BI26">
            <v>954078</v>
          </cell>
          <cell r="BJ26">
            <v>5687152</v>
          </cell>
          <cell r="BK26" t="str">
            <v>0</v>
          </cell>
          <cell r="BL26">
            <v>971901.81</v>
          </cell>
          <cell r="BM26">
            <v>6570763.0899999989</v>
          </cell>
          <cell r="BN26" t="str">
            <v>0</v>
          </cell>
          <cell r="BO26">
            <v>987389.87</v>
          </cell>
          <cell r="BP26">
            <v>6305352.3199999994</v>
          </cell>
          <cell r="BQ26" t="str">
            <v>0</v>
          </cell>
          <cell r="BR26" t="str">
            <v>0</v>
          </cell>
          <cell r="BS26">
            <v>987389.87</v>
          </cell>
          <cell r="BT26">
            <v>6305352.3199999994</v>
          </cell>
          <cell r="BU26" t="str">
            <v>0</v>
          </cell>
          <cell r="BW26">
            <v>727489</v>
          </cell>
          <cell r="BX26">
            <v>4184988</v>
          </cell>
          <cell r="BY26" t="str">
            <v>0</v>
          </cell>
          <cell r="BZ26">
            <v>711650.88</v>
          </cell>
          <cell r="CA26">
            <v>3652706.17</v>
          </cell>
          <cell r="CB26" t="str">
            <v>0</v>
          </cell>
          <cell r="CC26">
            <v>374391.91</v>
          </cell>
          <cell r="CD26">
            <v>3541138.1532641035</v>
          </cell>
          <cell r="CE26" t="str">
            <v>0</v>
          </cell>
          <cell r="CF26" t="str">
            <v>0</v>
          </cell>
          <cell r="CG26">
            <v>501505.8</v>
          </cell>
          <cell r="CH26">
            <v>3203358.74</v>
          </cell>
          <cell r="CI26" t="str">
            <v>0</v>
          </cell>
          <cell r="CK26">
            <v>714877</v>
          </cell>
          <cell r="CL26">
            <v>4186884</v>
          </cell>
          <cell r="CM26" t="str">
            <v>0</v>
          </cell>
          <cell r="CN26">
            <v>734509.96</v>
          </cell>
          <cell r="CO26">
            <v>5075057.6399999997</v>
          </cell>
          <cell r="CP26" t="str">
            <v>0</v>
          </cell>
          <cell r="CQ26">
            <v>720861.96</v>
          </cell>
          <cell r="CR26">
            <v>4475515.67</v>
          </cell>
          <cell r="CS26" t="str">
            <v>0</v>
          </cell>
          <cell r="CT26" t="str">
            <v>0</v>
          </cell>
          <cell r="CU26">
            <v>720861.96</v>
          </cell>
          <cell r="CV26">
            <v>4475515.67</v>
          </cell>
          <cell r="CW26" t="str">
            <v>0</v>
          </cell>
          <cell r="CY26">
            <v>727489</v>
          </cell>
          <cell r="CZ26">
            <v>4184988</v>
          </cell>
          <cell r="DA26" t="str">
            <v>0</v>
          </cell>
          <cell r="DC26">
            <v>720861.96</v>
          </cell>
          <cell r="DD26">
            <v>4475515.67</v>
          </cell>
          <cell r="DE26" t="str">
            <v>0</v>
          </cell>
          <cell r="DG26">
            <v>501505.8</v>
          </cell>
          <cell r="DH26">
            <v>3203358.74</v>
          </cell>
          <cell r="DI26" t="str">
            <v>0</v>
          </cell>
          <cell r="DJ26">
            <v>711650.88</v>
          </cell>
          <cell r="DK26">
            <v>3652706.17</v>
          </cell>
          <cell r="DL26" t="str">
            <v>0</v>
          </cell>
          <cell r="DN26">
            <v>161796</v>
          </cell>
          <cell r="DO26">
            <v>2803733.5582717452</v>
          </cell>
          <cell r="DP26" t="str">
            <v>0</v>
          </cell>
          <cell r="DQ26">
            <v>736993.41</v>
          </cell>
          <cell r="DR26">
            <v>5006468.47</v>
          </cell>
          <cell r="DS26" t="str">
            <v>0</v>
          </cell>
          <cell r="DT26">
            <v>720065</v>
          </cell>
          <cell r="DU26">
            <v>4660713</v>
          </cell>
          <cell r="DV26" t="str">
            <v>0</v>
          </cell>
          <cell r="DW26" t="str">
            <v>0</v>
          </cell>
          <cell r="DX26" t="str">
            <v>0</v>
          </cell>
          <cell r="DY26" t="str">
            <v>0</v>
          </cell>
        </row>
        <row r="27">
          <cell r="A27" t="str">
            <v>Actual Gross Profit</v>
          </cell>
          <cell r="B27">
            <v>19882900.52999999</v>
          </cell>
          <cell r="C27">
            <v>42240563.79999999</v>
          </cell>
          <cell r="D27">
            <v>48613494</v>
          </cell>
          <cell r="E27">
            <v>21391018.739999998</v>
          </cell>
          <cell r="F27">
            <v>17020483.390000001</v>
          </cell>
          <cell r="G27">
            <v>181005156.59999999</v>
          </cell>
          <cell r="H27">
            <v>404448655.15999967</v>
          </cell>
          <cell r="I27">
            <v>426637346</v>
          </cell>
          <cell r="J27">
            <v>468250904.87776685</v>
          </cell>
          <cell r="K27">
            <v>429477061.05145901</v>
          </cell>
          <cell r="L27">
            <v>342940819.72999996</v>
          </cell>
          <cell r="M27">
            <v>760635428.82000017</v>
          </cell>
          <cell r="N27">
            <v>834106936</v>
          </cell>
          <cell r="O27">
            <v>873972739.34144032</v>
          </cell>
          <cell r="P27">
            <v>783240163.8588562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0</v>
          </cell>
          <cell r="U27" t="str">
            <v>0</v>
          </cell>
          <cell r="W27">
            <v>3527716.37</v>
          </cell>
          <cell r="X27">
            <v>4100204</v>
          </cell>
          <cell r="Y27">
            <v>3793488.83</v>
          </cell>
          <cell r="Z27">
            <v>3793488.83</v>
          </cell>
          <cell r="AA27">
            <v>39628673.659999982</v>
          </cell>
          <cell r="AB27">
            <v>37793552</v>
          </cell>
          <cell r="AC27">
            <v>42866469.580000006</v>
          </cell>
          <cell r="AD27">
            <v>40566658.050000004</v>
          </cell>
          <cell r="AE27">
            <v>76942183.449999988</v>
          </cell>
          <cell r="AF27">
            <v>75177083</v>
          </cell>
          <cell r="AG27">
            <v>81424135.219999999</v>
          </cell>
          <cell r="AH27">
            <v>75212494.439999998</v>
          </cell>
          <cell r="AI27" t="str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N27">
            <v>19882900.52999999</v>
          </cell>
          <cell r="AO27">
            <v>42240563.79999999</v>
          </cell>
          <cell r="AP27">
            <v>48613494</v>
          </cell>
          <cell r="AQ27">
            <v>181005156.59999999</v>
          </cell>
          <cell r="AR27">
            <v>404448655.15999967</v>
          </cell>
          <cell r="AS27">
            <v>426637346</v>
          </cell>
          <cell r="AT27" t="str">
            <v>0</v>
          </cell>
          <cell r="AU27" t="str">
            <v>0</v>
          </cell>
          <cell r="AV27" t="str">
            <v>0</v>
          </cell>
          <cell r="AX27">
            <v>48613494</v>
          </cell>
          <cell r="AY27">
            <v>426637346</v>
          </cell>
          <cell r="AZ27" t="str">
            <v>0</v>
          </cell>
          <cell r="BA27">
            <v>42240563.79999999</v>
          </cell>
          <cell r="BB27">
            <v>404448655.15999979</v>
          </cell>
          <cell r="BC27" t="str">
            <v>0</v>
          </cell>
          <cell r="BD27">
            <v>21391018.739999998</v>
          </cell>
          <cell r="BE27">
            <v>468250904.87776685</v>
          </cell>
          <cell r="BF27" t="str">
            <v>0</v>
          </cell>
          <cell r="BG27" t="str">
            <v>0</v>
          </cell>
          <cell r="BI27">
            <v>16216002</v>
          </cell>
          <cell r="BJ27">
            <v>141081041</v>
          </cell>
          <cell r="BK27" t="str">
            <v>0</v>
          </cell>
          <cell r="BL27">
            <v>14078167.029999999</v>
          </cell>
          <cell r="BM27">
            <v>139094515.08000016</v>
          </cell>
          <cell r="BN27" t="str">
            <v>0</v>
          </cell>
          <cell r="BO27">
            <v>15582225.739999998</v>
          </cell>
          <cell r="BP27">
            <v>153777453.50000015</v>
          </cell>
          <cell r="BQ27" t="str">
            <v>0</v>
          </cell>
          <cell r="BR27" t="str">
            <v>0</v>
          </cell>
          <cell r="BS27">
            <v>15582225.739999998</v>
          </cell>
          <cell r="BT27">
            <v>149866542.0200001</v>
          </cell>
          <cell r="BU27" t="str">
            <v>0</v>
          </cell>
          <cell r="BW27">
            <v>12082279</v>
          </cell>
          <cell r="BX27">
            <v>104217889</v>
          </cell>
          <cell r="BY27" t="str">
            <v>0</v>
          </cell>
          <cell r="BZ27">
            <v>10522398.799999999</v>
          </cell>
          <cell r="CA27">
            <v>94774187.220000118</v>
          </cell>
          <cell r="CB27" t="str">
            <v>0</v>
          </cell>
          <cell r="CC27">
            <v>5499153.3400000017</v>
          </cell>
          <cell r="CD27">
            <v>118251666.62764758</v>
          </cell>
          <cell r="CE27" t="str">
            <v>0</v>
          </cell>
          <cell r="CF27" t="str">
            <v>0</v>
          </cell>
          <cell r="CG27">
            <v>8354571.1300000008</v>
          </cell>
          <cell r="CH27">
            <v>74933766.070000008</v>
          </cell>
          <cell r="CI27" t="str">
            <v>0</v>
          </cell>
          <cell r="CK27">
            <v>12105390</v>
          </cell>
          <cell r="CL27">
            <v>103132198</v>
          </cell>
          <cell r="CM27" t="str">
            <v>0</v>
          </cell>
          <cell r="CN27">
            <v>10459067.85</v>
          </cell>
          <cell r="CO27">
            <v>101923416.64999993</v>
          </cell>
          <cell r="CP27" t="str">
            <v>0</v>
          </cell>
          <cell r="CQ27">
            <v>11528329.399999999</v>
          </cell>
          <cell r="CR27">
            <v>109342369.11000004</v>
          </cell>
          <cell r="CS27" t="str">
            <v>0</v>
          </cell>
          <cell r="CT27" t="str">
            <v>0</v>
          </cell>
          <cell r="CU27">
            <v>11528329.399999999</v>
          </cell>
          <cell r="CV27">
            <v>106072549.09000003</v>
          </cell>
          <cell r="CW27" t="str">
            <v>0</v>
          </cell>
          <cell r="CY27">
            <v>12082279</v>
          </cell>
          <cell r="CZ27">
            <v>104217889</v>
          </cell>
          <cell r="DA27" t="str">
            <v>0</v>
          </cell>
          <cell r="DC27">
            <v>11528329.399999999</v>
          </cell>
          <cell r="DD27">
            <v>106072549.09000003</v>
          </cell>
          <cell r="DE27" t="str">
            <v>0</v>
          </cell>
          <cell r="DG27">
            <v>8354571.1300000008</v>
          </cell>
          <cell r="DH27">
            <v>74933766.070000008</v>
          </cell>
          <cell r="DI27" t="str">
            <v>0</v>
          </cell>
          <cell r="DJ27">
            <v>10522398.799999999</v>
          </cell>
          <cell r="DK27">
            <v>94774187.220000118</v>
          </cell>
          <cell r="DL27" t="str">
            <v>0</v>
          </cell>
          <cell r="DN27">
            <v>2209370</v>
          </cell>
          <cell r="DO27">
            <v>127614048.2655555</v>
          </cell>
          <cell r="DP27" t="str">
            <v>0</v>
          </cell>
          <cell r="DQ27">
            <v>10808415.609999996</v>
          </cell>
          <cell r="DR27">
            <v>108508647.52000003</v>
          </cell>
          <cell r="DS27" t="str">
            <v>0</v>
          </cell>
          <cell r="DT27">
            <v>12427350</v>
          </cell>
          <cell r="DU27">
            <v>117933862</v>
          </cell>
          <cell r="DV27" t="str">
            <v>0</v>
          </cell>
          <cell r="DW27" t="str">
            <v>0</v>
          </cell>
          <cell r="DX27" t="str">
            <v>0</v>
          </cell>
          <cell r="DY27" t="str">
            <v>0</v>
          </cell>
        </row>
        <row r="28">
          <cell r="A28" t="str">
            <v>Distribution Costs</v>
          </cell>
          <cell r="B28">
            <v>1337665.5</v>
          </cell>
          <cell r="C28">
            <v>2953844.7</v>
          </cell>
          <cell r="D28">
            <v>3452117.76</v>
          </cell>
          <cell r="E28">
            <v>1213047.29</v>
          </cell>
          <cell r="F28">
            <v>918552.54</v>
          </cell>
          <cell r="G28">
            <v>12281424.450000001</v>
          </cell>
          <cell r="H28">
            <v>28916391.100000001</v>
          </cell>
          <cell r="I28">
            <v>31287015</v>
          </cell>
          <cell r="J28">
            <v>11537201.270000001</v>
          </cell>
          <cell r="K28">
            <v>8223565.5600000015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0</v>
          </cell>
          <cell r="U28" t="str">
            <v>0</v>
          </cell>
          <cell r="W28">
            <v>289946.77</v>
          </cell>
          <cell r="X28">
            <v>287829.48</v>
          </cell>
          <cell r="Y28">
            <v>254827.54</v>
          </cell>
          <cell r="Z28">
            <v>254827.54</v>
          </cell>
          <cell r="AA28">
            <v>2722809.74</v>
          </cell>
          <cell r="AB28">
            <v>2799922</v>
          </cell>
          <cell r="AC28">
            <v>3055072.95</v>
          </cell>
          <cell r="AD28">
            <v>2967467.62</v>
          </cell>
          <cell r="AE28" t="str">
            <v>0</v>
          </cell>
          <cell r="AF28" t="str">
            <v>0</v>
          </cell>
          <cell r="AG28" t="str">
            <v>0</v>
          </cell>
          <cell r="AH28" t="str">
            <v>0</v>
          </cell>
          <cell r="AI28" t="str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N28">
            <v>1337665.5</v>
          </cell>
          <cell r="AO28">
            <v>2953844.7</v>
          </cell>
          <cell r="AP28">
            <v>3452117.76</v>
          </cell>
          <cell r="AQ28">
            <v>12281424.450000001</v>
          </cell>
          <cell r="AR28">
            <v>28916391.100000001</v>
          </cell>
          <cell r="AS28">
            <v>31287015</v>
          </cell>
          <cell r="AT28" t="str">
            <v>0</v>
          </cell>
          <cell r="AU28" t="str">
            <v>0</v>
          </cell>
          <cell r="AV28" t="str">
            <v>0</v>
          </cell>
          <cell r="AX28">
            <v>3452117.76</v>
          </cell>
          <cell r="AY28">
            <v>31287015</v>
          </cell>
          <cell r="AZ28" t="str">
            <v>0</v>
          </cell>
          <cell r="BA28">
            <v>2953844.7</v>
          </cell>
          <cell r="BB28">
            <v>28916391.100000001</v>
          </cell>
          <cell r="BC28" t="str">
            <v>0</v>
          </cell>
          <cell r="BD28">
            <v>1213047.29</v>
          </cell>
          <cell r="BE28">
            <v>11537201.270000001</v>
          </cell>
          <cell r="BF28" t="str">
            <v>0</v>
          </cell>
          <cell r="BG28" t="str">
            <v>0</v>
          </cell>
          <cell r="BI28">
            <v>1137406.92</v>
          </cell>
          <cell r="BJ28">
            <v>10421288</v>
          </cell>
          <cell r="BK28" t="str">
            <v>0</v>
          </cell>
          <cell r="BL28">
            <v>1040732.42</v>
          </cell>
          <cell r="BM28">
            <v>9725586.3200000003</v>
          </cell>
          <cell r="BN28" t="str">
            <v>0</v>
          </cell>
          <cell r="BO28">
            <v>1105075.45</v>
          </cell>
          <cell r="BP28">
            <v>11073212.270000001</v>
          </cell>
          <cell r="BQ28" t="str">
            <v>0</v>
          </cell>
          <cell r="BR28" t="str">
            <v>0</v>
          </cell>
          <cell r="BS28">
            <v>1105075.45</v>
          </cell>
          <cell r="BT28">
            <v>11073212.270000001</v>
          </cell>
          <cell r="BU28" t="str">
            <v>0</v>
          </cell>
          <cell r="BW28">
            <v>865607.44</v>
          </cell>
          <cell r="BX28">
            <v>7708781</v>
          </cell>
          <cell r="BY28" t="str">
            <v>0</v>
          </cell>
          <cell r="BZ28">
            <v>749577.27</v>
          </cell>
          <cell r="CA28">
            <v>6750168.1199999992</v>
          </cell>
          <cell r="CB28" t="str">
            <v>0</v>
          </cell>
          <cell r="CC28">
            <v>334984.19</v>
          </cell>
          <cell r="CD28">
            <v>3263456.08</v>
          </cell>
          <cell r="CE28" t="str">
            <v>0</v>
          </cell>
          <cell r="CF28" t="str">
            <v>0</v>
          </cell>
          <cell r="CG28">
            <v>540581.28</v>
          </cell>
          <cell r="CH28">
            <v>4355256.26</v>
          </cell>
          <cell r="CI28" t="str">
            <v>0</v>
          </cell>
          <cell r="CK28">
            <v>843509.44</v>
          </cell>
          <cell r="CL28">
            <v>7634668</v>
          </cell>
          <cell r="CM28" t="str">
            <v>0</v>
          </cell>
          <cell r="CN28">
            <v>778806.42</v>
          </cell>
          <cell r="CO28">
            <v>7026679.6400000006</v>
          </cell>
          <cell r="CP28" t="str">
            <v>0</v>
          </cell>
          <cell r="CQ28">
            <v>797084.22</v>
          </cell>
          <cell r="CR28">
            <v>7926168.1900000013</v>
          </cell>
          <cell r="CS28" t="str">
            <v>0</v>
          </cell>
          <cell r="CT28" t="str">
            <v>0</v>
          </cell>
          <cell r="CU28">
            <v>797084.22</v>
          </cell>
          <cell r="CV28">
            <v>7926168.1900000013</v>
          </cell>
          <cell r="CW28" t="str">
            <v>0</v>
          </cell>
          <cell r="CY28">
            <v>865607.44</v>
          </cell>
          <cell r="CZ28">
            <v>7708781</v>
          </cell>
          <cell r="DA28" t="str">
            <v>0</v>
          </cell>
          <cell r="DC28">
            <v>797084.22</v>
          </cell>
          <cell r="DD28">
            <v>7926168.1900000013</v>
          </cell>
          <cell r="DE28" t="str">
            <v>0</v>
          </cell>
          <cell r="DG28">
            <v>540581.28</v>
          </cell>
          <cell r="DH28">
            <v>4355256.26</v>
          </cell>
          <cell r="DI28" t="str">
            <v>0</v>
          </cell>
          <cell r="DJ28">
            <v>749577.27</v>
          </cell>
          <cell r="DK28">
            <v>6750168.1199999992</v>
          </cell>
          <cell r="DL28" t="str">
            <v>0</v>
          </cell>
          <cell r="DN28">
            <v>40489.440000000002</v>
          </cell>
          <cell r="DO28">
            <v>174618</v>
          </cell>
          <cell r="DP28" t="str">
            <v>0</v>
          </cell>
          <cell r="DQ28">
            <v>723867.63</v>
          </cell>
          <cell r="DR28">
            <v>7154926.3800000008</v>
          </cell>
          <cell r="DS28" t="str">
            <v>0</v>
          </cell>
          <cell r="DT28">
            <v>895961.44</v>
          </cell>
          <cell r="DU28">
            <v>8701324</v>
          </cell>
          <cell r="DV28" t="str">
            <v>0</v>
          </cell>
          <cell r="DW28" t="str">
            <v>0</v>
          </cell>
          <cell r="DX28" t="str">
            <v>0</v>
          </cell>
          <cell r="DY28" t="str">
            <v>0</v>
          </cell>
        </row>
        <row r="29">
          <cell r="A29" t="str">
            <v>National Advertising</v>
          </cell>
          <cell r="B29">
            <v>2690298.22</v>
          </cell>
          <cell r="C29">
            <v>10795912.169999994</v>
          </cell>
          <cell r="D29">
            <v>7158151.8799999999</v>
          </cell>
          <cell r="E29">
            <v>15209747.93</v>
          </cell>
          <cell r="F29">
            <v>7213175.6900000004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W29">
            <v>792577.37</v>
          </cell>
          <cell r="X29">
            <v>596974.24</v>
          </cell>
          <cell r="Y29">
            <v>1408033.85</v>
          </cell>
          <cell r="Z29">
            <v>704041.85</v>
          </cell>
          <cell r="AA29" t="str">
            <v>0</v>
          </cell>
          <cell r="AB29" t="str">
            <v>0</v>
          </cell>
          <cell r="AC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N29">
            <v>2690298.22</v>
          </cell>
          <cell r="AO29">
            <v>10795912.169999994</v>
          </cell>
          <cell r="AP29">
            <v>7158151.8799999999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X29">
            <v>7158151.8799999999</v>
          </cell>
          <cell r="AY29" t="str">
            <v>0</v>
          </cell>
          <cell r="AZ29" t="str">
            <v>0</v>
          </cell>
          <cell r="BA29">
            <v>10795912.169999992</v>
          </cell>
          <cell r="BB29" t="str">
            <v>0</v>
          </cell>
          <cell r="BC29" t="str">
            <v>0</v>
          </cell>
          <cell r="BD29">
            <v>15209747.93</v>
          </cell>
          <cell r="BE29" t="str">
            <v>0</v>
          </cell>
          <cell r="BF29" t="str">
            <v>0</v>
          </cell>
          <cell r="BG29" t="str">
            <v>0</v>
          </cell>
          <cell r="BI29">
            <v>2386639.96</v>
          </cell>
          <cell r="BJ29" t="str">
            <v>0</v>
          </cell>
          <cell r="BK29" t="str">
            <v>0</v>
          </cell>
          <cell r="BL29">
            <v>2573732.9900000002</v>
          </cell>
          <cell r="BM29" t="str">
            <v>0</v>
          </cell>
          <cell r="BN29" t="str">
            <v>0</v>
          </cell>
          <cell r="BO29">
            <v>4923038.01</v>
          </cell>
          <cell r="BP29" t="str">
            <v>0</v>
          </cell>
          <cell r="BQ29" t="str">
            <v>0</v>
          </cell>
          <cell r="BR29" t="str">
            <v>0</v>
          </cell>
          <cell r="BS29">
            <v>2245519.0099999998</v>
          </cell>
          <cell r="BT29" t="str">
            <v>0</v>
          </cell>
          <cell r="BU29" t="str">
            <v>0</v>
          </cell>
          <cell r="BW29">
            <v>1788672.72</v>
          </cell>
          <cell r="BX29" t="str">
            <v>0</v>
          </cell>
          <cell r="BY29" t="str">
            <v>0</v>
          </cell>
          <cell r="BZ29">
            <v>2493285.23</v>
          </cell>
          <cell r="CA29" t="str">
            <v>0</v>
          </cell>
          <cell r="CB29" t="str">
            <v>0</v>
          </cell>
          <cell r="CC29">
            <v>3633489.96</v>
          </cell>
          <cell r="CD29" t="str">
            <v>0</v>
          </cell>
          <cell r="CE29" t="str">
            <v>0</v>
          </cell>
          <cell r="CF29" t="str">
            <v>0</v>
          </cell>
          <cell r="CG29">
            <v>1044858.69</v>
          </cell>
          <cell r="CH29" t="str">
            <v>0</v>
          </cell>
          <cell r="CI29" t="str">
            <v>0</v>
          </cell>
          <cell r="CK29">
            <v>1790415.72</v>
          </cell>
          <cell r="CL29" t="str">
            <v>0</v>
          </cell>
          <cell r="CM29" t="str">
            <v>0</v>
          </cell>
          <cell r="CN29">
            <v>1981996.9</v>
          </cell>
          <cell r="CO29" t="str">
            <v>0</v>
          </cell>
          <cell r="CP29" t="str">
            <v>0</v>
          </cell>
          <cell r="CQ29">
            <v>3655991.53</v>
          </cell>
          <cell r="CR29" t="str">
            <v>0</v>
          </cell>
          <cell r="CS29" t="str">
            <v>0</v>
          </cell>
          <cell r="CT29" t="str">
            <v>0</v>
          </cell>
          <cell r="CU29">
            <v>1645439.53</v>
          </cell>
          <cell r="CV29" t="str">
            <v>0</v>
          </cell>
          <cell r="CW29" t="str">
            <v>0</v>
          </cell>
          <cell r="CY29">
            <v>1788672.72</v>
          </cell>
          <cell r="CZ29" t="str">
            <v>0</v>
          </cell>
          <cell r="DA29" t="str">
            <v>0</v>
          </cell>
          <cell r="DC29">
            <v>1645439.53</v>
          </cell>
          <cell r="DD29" t="str">
            <v>0</v>
          </cell>
          <cell r="DE29" t="str">
            <v>0</v>
          </cell>
          <cell r="DG29">
            <v>1044858.69</v>
          </cell>
          <cell r="DH29" t="str">
            <v>0</v>
          </cell>
          <cell r="DI29" t="str">
            <v>0</v>
          </cell>
          <cell r="DJ29">
            <v>2493285.23</v>
          </cell>
          <cell r="DK29" t="str">
            <v>0</v>
          </cell>
          <cell r="DL29" t="str">
            <v>0</v>
          </cell>
          <cell r="DN29">
            <v>4109721.72</v>
          </cell>
          <cell r="DO29" t="str">
            <v>0</v>
          </cell>
          <cell r="DP29" t="str">
            <v>0</v>
          </cell>
          <cell r="DQ29">
            <v>3288012.55</v>
          </cell>
          <cell r="DR29" t="str">
            <v>0</v>
          </cell>
          <cell r="DS29" t="str">
            <v>0</v>
          </cell>
          <cell r="DT29">
            <v>1789422.72</v>
          </cell>
          <cell r="DU29" t="str">
            <v>0</v>
          </cell>
          <cell r="DV29" t="str">
            <v>0</v>
          </cell>
          <cell r="DW29" t="str">
            <v>0</v>
          </cell>
          <cell r="DX29" t="str">
            <v>0</v>
          </cell>
          <cell r="DY29" t="str">
            <v>0</v>
          </cell>
        </row>
        <row r="30">
          <cell r="A30" t="str">
            <v>National Selling</v>
          </cell>
          <cell r="B30">
            <v>6163421.2699999986</v>
          </cell>
          <cell r="C30">
            <v>10792175.950000001</v>
          </cell>
          <cell r="D30">
            <v>11106413.440000001</v>
          </cell>
          <cell r="E30">
            <v>11164512.76</v>
          </cell>
          <cell r="F30">
            <v>10944317.15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W30">
            <v>717556.5</v>
          </cell>
          <cell r="X30">
            <v>939831.87</v>
          </cell>
          <cell r="Y30">
            <v>675418.86</v>
          </cell>
          <cell r="Z30">
            <v>675418.86</v>
          </cell>
          <cell r="AA30" t="str">
            <v>0</v>
          </cell>
          <cell r="AB30" t="str">
            <v>0</v>
          </cell>
          <cell r="AC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N30">
            <v>6163421.2699999986</v>
          </cell>
          <cell r="AO30">
            <v>10792175.950000001</v>
          </cell>
          <cell r="AP30">
            <v>11106413.440000001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X30">
            <v>11106413.440000001</v>
          </cell>
          <cell r="AY30" t="str">
            <v>0</v>
          </cell>
          <cell r="AZ30" t="str">
            <v>0</v>
          </cell>
          <cell r="BA30">
            <v>10792175.950000001</v>
          </cell>
          <cell r="BB30" t="str">
            <v>0</v>
          </cell>
          <cell r="BC30" t="str">
            <v>0</v>
          </cell>
          <cell r="BD30">
            <v>11164512.76</v>
          </cell>
          <cell r="BE30" t="str">
            <v>0</v>
          </cell>
          <cell r="BF30" t="str">
            <v>0</v>
          </cell>
          <cell r="BG30" t="str">
            <v>0</v>
          </cell>
          <cell r="BI30">
            <v>3669576.48</v>
          </cell>
          <cell r="BJ30" t="str">
            <v>0</v>
          </cell>
          <cell r="BK30" t="str">
            <v>0</v>
          </cell>
          <cell r="BL30">
            <v>3191298.92</v>
          </cell>
          <cell r="BM30" t="str">
            <v>0</v>
          </cell>
          <cell r="BN30" t="str">
            <v>0</v>
          </cell>
          <cell r="BO30">
            <v>3727675.8</v>
          </cell>
          <cell r="BP30" t="str">
            <v>0</v>
          </cell>
          <cell r="BQ30" t="str">
            <v>0</v>
          </cell>
          <cell r="BR30" t="str">
            <v>0</v>
          </cell>
          <cell r="BS30">
            <v>3727675.8</v>
          </cell>
          <cell r="BT30" t="str">
            <v>0</v>
          </cell>
          <cell r="BU30" t="str">
            <v>0</v>
          </cell>
          <cell r="BW30">
            <v>2729494.61</v>
          </cell>
          <cell r="BX30" t="str">
            <v>0</v>
          </cell>
          <cell r="BY30" t="str">
            <v>0</v>
          </cell>
          <cell r="BZ30">
            <v>3016194.29</v>
          </cell>
          <cell r="CA30" t="str">
            <v>0</v>
          </cell>
          <cell r="CB30" t="str">
            <v>0</v>
          </cell>
          <cell r="CC30">
            <v>2949690.22</v>
          </cell>
          <cell r="CD30" t="str">
            <v>0</v>
          </cell>
          <cell r="CE30" t="str">
            <v>0</v>
          </cell>
          <cell r="CF30" t="str">
            <v>0</v>
          </cell>
          <cell r="CG30">
            <v>3565771.95</v>
          </cell>
          <cell r="CH30" t="str">
            <v>0</v>
          </cell>
          <cell r="CI30" t="str">
            <v>0</v>
          </cell>
          <cell r="CK30">
            <v>2759745.61</v>
          </cell>
          <cell r="CL30" t="str">
            <v>0</v>
          </cell>
          <cell r="CM30" t="str">
            <v>0</v>
          </cell>
          <cell r="CN30">
            <v>1900344.14</v>
          </cell>
          <cell r="CO30" t="str">
            <v>0</v>
          </cell>
          <cell r="CP30" t="str">
            <v>0</v>
          </cell>
          <cell r="CQ30">
            <v>2597649.3199999998</v>
          </cell>
          <cell r="CR30" t="str">
            <v>0</v>
          </cell>
          <cell r="CS30" t="str">
            <v>0</v>
          </cell>
          <cell r="CT30" t="str">
            <v>0</v>
          </cell>
          <cell r="CU30">
            <v>2597649.3199999998</v>
          </cell>
          <cell r="CV30" t="str">
            <v>0</v>
          </cell>
          <cell r="CW30" t="str">
            <v>0</v>
          </cell>
          <cell r="CY30">
            <v>2729494.61</v>
          </cell>
          <cell r="CZ30" t="str">
            <v>0</v>
          </cell>
          <cell r="DA30" t="str">
            <v>0</v>
          </cell>
          <cell r="DC30">
            <v>2597649.3199999998</v>
          </cell>
          <cell r="DD30" t="str">
            <v>0</v>
          </cell>
          <cell r="DE30" t="str">
            <v>0</v>
          </cell>
          <cell r="DG30">
            <v>3565771.95</v>
          </cell>
          <cell r="DH30" t="str">
            <v>0</v>
          </cell>
          <cell r="DI30" t="str">
            <v>0</v>
          </cell>
          <cell r="DJ30">
            <v>3016194.29</v>
          </cell>
          <cell r="DK30" t="str">
            <v>0</v>
          </cell>
          <cell r="DL30" t="str">
            <v>0</v>
          </cell>
          <cell r="DN30">
            <v>2759653.61</v>
          </cell>
          <cell r="DO30" t="str">
            <v>0</v>
          </cell>
          <cell r="DP30" t="str">
            <v>0</v>
          </cell>
          <cell r="DQ30">
            <v>2776386.49</v>
          </cell>
          <cell r="DR30" t="str">
            <v>0</v>
          </cell>
          <cell r="DS30" t="str">
            <v>0</v>
          </cell>
          <cell r="DT30">
            <v>2759653.61</v>
          </cell>
          <cell r="DU30" t="str">
            <v>0</v>
          </cell>
          <cell r="DV30" t="str">
            <v>0</v>
          </cell>
          <cell r="DW30" t="str">
            <v>0</v>
          </cell>
          <cell r="DX30" t="str">
            <v>0</v>
          </cell>
          <cell r="DY30" t="str">
            <v>0</v>
          </cell>
        </row>
        <row r="31">
          <cell r="A31" t="str">
            <v>Regional Selling</v>
          </cell>
          <cell r="B31">
            <v>10705057.450000001</v>
          </cell>
          <cell r="C31">
            <v>25974422.549999997</v>
          </cell>
          <cell r="D31">
            <v>23365400.02</v>
          </cell>
          <cell r="E31">
            <v>8551045.7300000004</v>
          </cell>
          <cell r="F31">
            <v>6203787.1399999997</v>
          </cell>
          <cell r="G31">
            <v>3790517.54</v>
          </cell>
          <cell r="H31">
            <v>9273580.6300000008</v>
          </cell>
          <cell r="I31">
            <v>11655371</v>
          </cell>
          <cell r="J31">
            <v>3669342.9</v>
          </cell>
          <cell r="K31">
            <v>2654880.84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W31">
            <v>1913372.76</v>
          </cell>
          <cell r="X31">
            <v>2039985.2</v>
          </cell>
          <cell r="Y31">
            <v>2387852.23</v>
          </cell>
          <cell r="Z31">
            <v>2387852.23</v>
          </cell>
          <cell r="AA31">
            <v>1016532.02</v>
          </cell>
          <cell r="AB31">
            <v>1022737</v>
          </cell>
          <cell r="AC31">
            <v>1054250.17</v>
          </cell>
          <cell r="AD31">
            <v>1054250.17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N31">
            <v>10705057.450000001</v>
          </cell>
          <cell r="AO31">
            <v>25974422.549999997</v>
          </cell>
          <cell r="AP31">
            <v>23365400.02</v>
          </cell>
          <cell r="AQ31">
            <v>3790517.54</v>
          </cell>
          <cell r="AR31">
            <v>9273580.6300000008</v>
          </cell>
          <cell r="AS31">
            <v>11655371</v>
          </cell>
          <cell r="AT31" t="str">
            <v>0</v>
          </cell>
          <cell r="AU31" t="str">
            <v>0</v>
          </cell>
          <cell r="AV31" t="str">
            <v>0</v>
          </cell>
          <cell r="AX31">
            <v>23365400.02</v>
          </cell>
          <cell r="AY31">
            <v>11655371</v>
          </cell>
          <cell r="AZ31" t="str">
            <v>0</v>
          </cell>
          <cell r="BA31">
            <v>25974422.550000001</v>
          </cell>
          <cell r="BB31">
            <v>9273580.629999999</v>
          </cell>
          <cell r="BC31" t="str">
            <v>0</v>
          </cell>
          <cell r="BD31">
            <v>8551045.7300000004</v>
          </cell>
          <cell r="BE31">
            <v>3669342.9</v>
          </cell>
          <cell r="BF31" t="str">
            <v>0</v>
          </cell>
          <cell r="BG31" t="str">
            <v>0</v>
          </cell>
          <cell r="BI31">
            <v>7806459.75</v>
          </cell>
          <cell r="BJ31">
            <v>3875369</v>
          </cell>
          <cell r="BK31" t="str">
            <v>0</v>
          </cell>
          <cell r="BL31">
            <v>8632327.1900000013</v>
          </cell>
          <cell r="BM31">
            <v>3078853.45</v>
          </cell>
          <cell r="BN31" t="str">
            <v>0</v>
          </cell>
          <cell r="BO31">
            <v>8545045.7300000004</v>
          </cell>
          <cell r="BP31">
            <v>3669342.9</v>
          </cell>
          <cell r="BQ31" t="str">
            <v>0</v>
          </cell>
          <cell r="BR31" t="str">
            <v>0</v>
          </cell>
          <cell r="BS31">
            <v>8545045.7300000004</v>
          </cell>
          <cell r="BT31">
            <v>3669342.9</v>
          </cell>
          <cell r="BU31" t="str">
            <v>0</v>
          </cell>
          <cell r="BW31">
            <v>5813434.5499999998</v>
          </cell>
          <cell r="BX31">
            <v>2886410</v>
          </cell>
          <cell r="BY31" t="str">
            <v>0</v>
          </cell>
          <cell r="BZ31">
            <v>6234474.7900000019</v>
          </cell>
          <cell r="CA31">
            <v>2072254.22</v>
          </cell>
          <cell r="CB31" t="str">
            <v>0</v>
          </cell>
          <cell r="CC31">
            <v>2349508.59</v>
          </cell>
          <cell r="CD31">
            <v>1014462.06</v>
          </cell>
          <cell r="CE31" t="str">
            <v>0</v>
          </cell>
          <cell r="CF31" t="str">
            <v>0</v>
          </cell>
          <cell r="CG31">
            <v>4508020.3099999996</v>
          </cell>
          <cell r="CH31">
            <v>1135636.7</v>
          </cell>
          <cell r="CI31" t="str">
            <v>0</v>
          </cell>
          <cell r="CK31">
            <v>5789232.1299999999</v>
          </cell>
          <cell r="CL31">
            <v>2844105</v>
          </cell>
          <cell r="CM31" t="str">
            <v>0</v>
          </cell>
          <cell r="CN31">
            <v>6421448.2699999996</v>
          </cell>
          <cell r="CO31">
            <v>2233038.14</v>
          </cell>
          <cell r="CP31" t="str">
            <v>0</v>
          </cell>
          <cell r="CQ31">
            <v>6197037.1399999997</v>
          </cell>
          <cell r="CR31">
            <v>2654880.84</v>
          </cell>
          <cell r="CS31" t="str">
            <v>0</v>
          </cell>
          <cell r="CT31" t="str">
            <v>0</v>
          </cell>
          <cell r="CU31">
            <v>6197037.1399999997</v>
          </cell>
          <cell r="CV31">
            <v>2654880.84</v>
          </cell>
          <cell r="CW31" t="str">
            <v>0</v>
          </cell>
          <cell r="CY31">
            <v>5813434.5499999998</v>
          </cell>
          <cell r="CZ31">
            <v>2886410</v>
          </cell>
          <cell r="DA31" t="str">
            <v>0</v>
          </cell>
          <cell r="DC31">
            <v>6197037.1399999997</v>
          </cell>
          <cell r="DD31">
            <v>2654880.84</v>
          </cell>
          <cell r="DE31" t="str">
            <v>0</v>
          </cell>
          <cell r="DG31">
            <v>4508020.3099999996</v>
          </cell>
          <cell r="DH31">
            <v>1135636.7</v>
          </cell>
          <cell r="DI31" t="str">
            <v>0</v>
          </cell>
          <cell r="DJ31">
            <v>6234474.7900000019</v>
          </cell>
          <cell r="DK31">
            <v>2072254.22</v>
          </cell>
          <cell r="DL31" t="str">
            <v>0</v>
          </cell>
          <cell r="DN31">
            <v>2250</v>
          </cell>
          <cell r="DO31" t="str">
            <v>0</v>
          </cell>
          <cell r="DP31" t="str">
            <v>0</v>
          </cell>
          <cell r="DQ31">
            <v>7050267.5099999988</v>
          </cell>
          <cell r="DR31">
            <v>2682422.3199999998</v>
          </cell>
          <cell r="DS31" t="str">
            <v>0</v>
          </cell>
          <cell r="DT31">
            <v>6034703.6899999995</v>
          </cell>
          <cell r="DU31">
            <v>3152164</v>
          </cell>
          <cell r="DV31" t="str">
            <v>0</v>
          </cell>
          <cell r="DW31" t="str">
            <v>0</v>
          </cell>
          <cell r="DX31" t="str">
            <v>0</v>
          </cell>
          <cell r="DY31" t="str">
            <v>0</v>
          </cell>
        </row>
        <row r="32">
          <cell r="A32" t="str">
            <v>Other Selling</v>
          </cell>
          <cell r="B32">
            <v>3573817.79</v>
          </cell>
          <cell r="C32">
            <v>5422720.0899999999</v>
          </cell>
          <cell r="D32">
            <v>4597662</v>
          </cell>
          <cell r="E32">
            <v>2362902.4900000002</v>
          </cell>
          <cell r="F32">
            <v>2026235.68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W32">
            <v>566902.69999999995</v>
          </cell>
          <cell r="X32">
            <v>400708.03</v>
          </cell>
          <cell r="Y32">
            <v>615356.35</v>
          </cell>
          <cell r="Z32">
            <v>615356.35</v>
          </cell>
          <cell r="AA32" t="str">
            <v>0</v>
          </cell>
          <cell r="AB32" t="str">
            <v>0</v>
          </cell>
          <cell r="AC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N32">
            <v>3573817.79</v>
          </cell>
          <cell r="AO32">
            <v>5422720.0899999999</v>
          </cell>
          <cell r="AP32">
            <v>4597662</v>
          </cell>
          <cell r="AQ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X32">
            <v>4597662</v>
          </cell>
          <cell r="AY32" t="str">
            <v>0</v>
          </cell>
          <cell r="AZ32" t="str">
            <v>0</v>
          </cell>
          <cell r="BA32">
            <v>5422720.0899999999</v>
          </cell>
          <cell r="BB32" t="str">
            <v>0</v>
          </cell>
          <cell r="BC32" t="str">
            <v>0</v>
          </cell>
          <cell r="BD32">
            <v>2362902.4900000002</v>
          </cell>
          <cell r="BE32" t="str">
            <v>0</v>
          </cell>
          <cell r="BF32" t="str">
            <v>0</v>
          </cell>
          <cell r="BG32" t="str">
            <v>0</v>
          </cell>
          <cell r="BI32">
            <v>1560589.02</v>
          </cell>
          <cell r="BJ32" t="str">
            <v>0</v>
          </cell>
          <cell r="BK32" t="str">
            <v>0</v>
          </cell>
          <cell r="BL32">
            <v>2430106.96</v>
          </cell>
          <cell r="BM32" t="str">
            <v>0</v>
          </cell>
          <cell r="BN32" t="str">
            <v>0</v>
          </cell>
          <cell r="BO32">
            <v>1980599.49</v>
          </cell>
          <cell r="BP32" t="str">
            <v>0</v>
          </cell>
          <cell r="BQ32" t="str">
            <v>0</v>
          </cell>
          <cell r="BR32" t="str">
            <v>0</v>
          </cell>
          <cell r="BS32">
            <v>1980599.49</v>
          </cell>
          <cell r="BT32" t="str">
            <v>0</v>
          </cell>
          <cell r="BU32" t="str">
            <v>0</v>
          </cell>
          <cell r="BW32">
            <v>1133215.27</v>
          </cell>
          <cell r="BX32" t="str">
            <v>0</v>
          </cell>
          <cell r="BY32" t="str">
            <v>0</v>
          </cell>
          <cell r="BZ32">
            <v>1383137.23</v>
          </cell>
          <cell r="CA32" t="str">
            <v>0</v>
          </cell>
          <cell r="CB32" t="str">
            <v>0</v>
          </cell>
          <cell r="CC32">
            <v>481379.81</v>
          </cell>
          <cell r="CD32" t="str">
            <v>0</v>
          </cell>
          <cell r="CE32" t="str">
            <v>0</v>
          </cell>
          <cell r="CF32" t="str">
            <v>0</v>
          </cell>
          <cell r="CG32">
            <v>1981726.11</v>
          </cell>
          <cell r="CH32" t="str">
            <v>0</v>
          </cell>
          <cell r="CI32" t="str">
            <v>0</v>
          </cell>
          <cell r="CK32">
            <v>1160126.79</v>
          </cell>
          <cell r="CL32" t="str">
            <v>0</v>
          </cell>
          <cell r="CM32" t="str">
            <v>0</v>
          </cell>
          <cell r="CN32">
            <v>1621100.43</v>
          </cell>
          <cell r="CO32" t="str">
            <v>0</v>
          </cell>
          <cell r="CP32" t="str">
            <v>0</v>
          </cell>
          <cell r="CQ32">
            <v>1592091.68</v>
          </cell>
          <cell r="CR32" t="str">
            <v>0</v>
          </cell>
          <cell r="CS32" t="str">
            <v>0</v>
          </cell>
          <cell r="CT32" t="str">
            <v>0</v>
          </cell>
          <cell r="CU32">
            <v>1592091.68</v>
          </cell>
          <cell r="CV32" t="str">
            <v>0</v>
          </cell>
          <cell r="CW32" t="str">
            <v>0</v>
          </cell>
          <cell r="CY32">
            <v>1133215.27</v>
          </cell>
          <cell r="CZ32" t="str">
            <v>0</v>
          </cell>
          <cell r="DA32" t="str">
            <v>0</v>
          </cell>
          <cell r="DC32">
            <v>1592091.68</v>
          </cell>
          <cell r="DD32" t="str">
            <v>0</v>
          </cell>
          <cell r="DE32" t="str">
            <v>0</v>
          </cell>
          <cell r="DG32">
            <v>1981726.11</v>
          </cell>
          <cell r="DH32" t="str">
            <v>0</v>
          </cell>
          <cell r="DI32" t="str">
            <v>0</v>
          </cell>
          <cell r="DJ32">
            <v>1383137.23</v>
          </cell>
          <cell r="DK32" t="str">
            <v>0</v>
          </cell>
          <cell r="DL32" t="str">
            <v>0</v>
          </cell>
          <cell r="DN32">
            <v>144713</v>
          </cell>
          <cell r="DO32" t="str">
            <v>0</v>
          </cell>
          <cell r="DP32" t="str">
            <v>0</v>
          </cell>
          <cell r="DQ32">
            <v>1020146.27</v>
          </cell>
          <cell r="DR32" t="str">
            <v>0</v>
          </cell>
          <cell r="DS32" t="str">
            <v>0</v>
          </cell>
          <cell r="DT32">
            <v>1176442.56</v>
          </cell>
          <cell r="DU32" t="str">
            <v>0</v>
          </cell>
          <cell r="DV32" t="str">
            <v>0</v>
          </cell>
          <cell r="DW32" t="str">
            <v>0</v>
          </cell>
          <cell r="DX32" t="str">
            <v>0</v>
          </cell>
          <cell r="DY32" t="str">
            <v>0</v>
          </cell>
        </row>
        <row r="33">
          <cell r="A33" t="str">
            <v>Selling Expenses</v>
          </cell>
          <cell r="B33">
            <v>20442296.510000005</v>
          </cell>
          <cell r="C33">
            <v>42189318.589999996</v>
          </cell>
          <cell r="D33">
            <v>39069475.460000001</v>
          </cell>
          <cell r="E33">
            <v>22078460.979999993</v>
          </cell>
          <cell r="F33">
            <v>19174339.970000006</v>
          </cell>
          <cell r="G33">
            <v>3790517.54</v>
          </cell>
          <cell r="H33">
            <v>9273580.6300000008</v>
          </cell>
          <cell r="I33">
            <v>11655371</v>
          </cell>
          <cell r="J33">
            <v>3669342.9</v>
          </cell>
          <cell r="K33">
            <v>2654880.84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W33">
            <v>3197831.96</v>
          </cell>
          <cell r="X33">
            <v>3380525.1</v>
          </cell>
          <cell r="Y33">
            <v>3678627.44</v>
          </cell>
          <cell r="Z33">
            <v>3678627.44</v>
          </cell>
          <cell r="AA33">
            <v>1016532.02</v>
          </cell>
          <cell r="AB33">
            <v>1022737</v>
          </cell>
          <cell r="AC33">
            <v>1054250.17</v>
          </cell>
          <cell r="AD33">
            <v>1054250.17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N33">
            <v>20442296.510000005</v>
          </cell>
          <cell r="AO33">
            <v>42189318.589999996</v>
          </cell>
          <cell r="AP33">
            <v>39069475.460000001</v>
          </cell>
          <cell r="AQ33">
            <v>3790517.54</v>
          </cell>
          <cell r="AR33">
            <v>9273580.6300000008</v>
          </cell>
          <cell r="AS33">
            <v>11655371</v>
          </cell>
          <cell r="AT33" t="str">
            <v>0</v>
          </cell>
          <cell r="AU33" t="str">
            <v>0</v>
          </cell>
          <cell r="AV33" t="str">
            <v>0</v>
          </cell>
          <cell r="AX33">
            <v>39069475.460000001</v>
          </cell>
          <cell r="AY33">
            <v>11655371</v>
          </cell>
          <cell r="AZ33" t="str">
            <v>0</v>
          </cell>
          <cell r="BA33">
            <v>42189318.589999996</v>
          </cell>
          <cell r="BB33">
            <v>9273580.629999999</v>
          </cell>
          <cell r="BC33" t="str">
            <v>0</v>
          </cell>
          <cell r="BD33">
            <v>22078460.979999993</v>
          </cell>
          <cell r="BE33">
            <v>3669342.9</v>
          </cell>
          <cell r="BF33" t="str">
            <v>0</v>
          </cell>
          <cell r="BG33" t="str">
            <v>0</v>
          </cell>
          <cell r="BI33">
            <v>13036625.25</v>
          </cell>
          <cell r="BJ33">
            <v>3875369</v>
          </cell>
          <cell r="BK33" t="str">
            <v>0</v>
          </cell>
          <cell r="BL33">
            <v>14253733.069999998</v>
          </cell>
          <cell r="BM33">
            <v>3078853.45</v>
          </cell>
          <cell r="BN33" t="str">
            <v>0</v>
          </cell>
          <cell r="BO33">
            <v>14253321.020000005</v>
          </cell>
          <cell r="BP33">
            <v>3669342.9</v>
          </cell>
          <cell r="BQ33" t="str">
            <v>0</v>
          </cell>
          <cell r="BR33" t="str">
            <v>0</v>
          </cell>
          <cell r="BS33">
            <v>14253321.020000005</v>
          </cell>
          <cell r="BT33">
            <v>3669342.9</v>
          </cell>
          <cell r="BU33" t="str">
            <v>0</v>
          </cell>
          <cell r="BW33">
            <v>9676144.4299999997</v>
          </cell>
          <cell r="BX33">
            <v>2886410</v>
          </cell>
          <cell r="BY33" t="str">
            <v>0</v>
          </cell>
          <cell r="BZ33">
            <v>10633806.310000002</v>
          </cell>
          <cell r="CA33">
            <v>2072254.22</v>
          </cell>
          <cell r="CB33" t="str">
            <v>0</v>
          </cell>
          <cell r="CC33">
            <v>5780578.6199999992</v>
          </cell>
          <cell r="CD33">
            <v>1014462.06</v>
          </cell>
          <cell r="CE33" t="str">
            <v>0</v>
          </cell>
          <cell r="CF33" t="str">
            <v>0</v>
          </cell>
          <cell r="CG33">
            <v>10055518.369999995</v>
          </cell>
          <cell r="CH33">
            <v>1135636.7</v>
          </cell>
          <cell r="CI33" t="str">
            <v>0</v>
          </cell>
          <cell r="CK33">
            <v>9709104.5300000012</v>
          </cell>
          <cell r="CL33">
            <v>2844105</v>
          </cell>
          <cell r="CM33" t="str">
            <v>0</v>
          </cell>
          <cell r="CN33">
            <v>9942892.8399999999</v>
          </cell>
          <cell r="CO33">
            <v>2233038.14</v>
          </cell>
          <cell r="CP33" t="str">
            <v>0</v>
          </cell>
          <cell r="CQ33">
            <v>10386778.140000001</v>
          </cell>
          <cell r="CR33">
            <v>2654880.84</v>
          </cell>
          <cell r="CS33" t="str">
            <v>0</v>
          </cell>
          <cell r="CT33" t="str">
            <v>0</v>
          </cell>
          <cell r="CU33">
            <v>10386778.140000001</v>
          </cell>
          <cell r="CV33">
            <v>2654880.84</v>
          </cell>
          <cell r="CW33" t="str">
            <v>0</v>
          </cell>
          <cell r="CY33">
            <v>9676144.4299999997</v>
          </cell>
          <cell r="CZ33">
            <v>2886410</v>
          </cell>
          <cell r="DA33" t="str">
            <v>0</v>
          </cell>
          <cell r="DC33">
            <v>10386778.140000001</v>
          </cell>
          <cell r="DD33">
            <v>2654880.84</v>
          </cell>
          <cell r="DE33" t="str">
            <v>0</v>
          </cell>
          <cell r="DG33">
            <v>10055518.369999995</v>
          </cell>
          <cell r="DH33">
            <v>1135636.7</v>
          </cell>
          <cell r="DI33" t="str">
            <v>0</v>
          </cell>
          <cell r="DJ33">
            <v>10633806.310000002</v>
          </cell>
          <cell r="DK33">
            <v>2072254.22</v>
          </cell>
          <cell r="DL33" t="str">
            <v>0</v>
          </cell>
          <cell r="DN33">
            <v>2906616.61</v>
          </cell>
          <cell r="DO33" t="str">
            <v>0</v>
          </cell>
          <cell r="DP33" t="str">
            <v>0</v>
          </cell>
          <cell r="DQ33">
            <v>10846800.269999998</v>
          </cell>
          <cell r="DR33">
            <v>2682422.3199999998</v>
          </cell>
          <cell r="DS33" t="str">
            <v>0</v>
          </cell>
          <cell r="DT33">
            <v>9970799.8600000013</v>
          </cell>
          <cell r="DU33">
            <v>3152164</v>
          </cell>
          <cell r="DV33" t="str">
            <v>0</v>
          </cell>
          <cell r="DW33" t="str">
            <v>0</v>
          </cell>
          <cell r="DX33" t="str">
            <v>0</v>
          </cell>
          <cell r="DY33" t="str">
            <v>0</v>
          </cell>
        </row>
        <row r="34">
          <cell r="A34" t="str">
            <v>MAP</v>
          </cell>
          <cell r="B34" t="str">
            <v>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>
            <v>21799576.219999995</v>
          </cell>
          <cell r="H34">
            <v>49347425.210000001</v>
          </cell>
          <cell r="I34">
            <v>69118921</v>
          </cell>
          <cell r="J34">
            <v>12821237.710000001</v>
          </cell>
          <cell r="K34">
            <v>8079921.5599999977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>
            <v>7198015.9799999986</v>
          </cell>
          <cell r="AB34">
            <v>6425931</v>
          </cell>
          <cell r="AC34">
            <v>4544214</v>
          </cell>
          <cell r="AD34">
            <v>4539889.1900000004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Q34">
            <v>21799576.219999995</v>
          </cell>
          <cell r="AR34">
            <v>49347425.210000001</v>
          </cell>
          <cell r="AS34">
            <v>69118921</v>
          </cell>
          <cell r="AT34" t="str">
            <v>0</v>
          </cell>
          <cell r="AU34" t="str">
            <v>0</v>
          </cell>
          <cell r="AV34" t="str">
            <v>0</v>
          </cell>
          <cell r="AX34" t="str">
            <v>0</v>
          </cell>
          <cell r="AY34">
            <v>69118921</v>
          </cell>
          <cell r="AZ34" t="str">
            <v>0</v>
          </cell>
          <cell r="BA34" t="str">
            <v>0</v>
          </cell>
          <cell r="BB34">
            <v>49347425.210000001</v>
          </cell>
          <cell r="BC34" t="str">
            <v>0</v>
          </cell>
          <cell r="BD34" t="str">
            <v>0</v>
          </cell>
          <cell r="BE34">
            <v>12821237.710000001</v>
          </cell>
          <cell r="BF34" t="str">
            <v>0</v>
          </cell>
          <cell r="BG34" t="str">
            <v>0</v>
          </cell>
          <cell r="BI34" t="str">
            <v>0</v>
          </cell>
          <cell r="BJ34">
            <v>23284926</v>
          </cell>
          <cell r="BK34" t="str">
            <v>0</v>
          </cell>
          <cell r="BL34" t="str">
            <v>0</v>
          </cell>
          <cell r="BM34">
            <v>23700995.720000003</v>
          </cell>
          <cell r="BN34" t="str">
            <v>0</v>
          </cell>
          <cell r="BO34" t="str">
            <v>0</v>
          </cell>
          <cell r="BP34">
            <v>15487905.710000001</v>
          </cell>
          <cell r="BQ34" t="str">
            <v>0</v>
          </cell>
          <cell r="BR34" t="str">
            <v>0</v>
          </cell>
          <cell r="BS34" t="str">
            <v>0</v>
          </cell>
          <cell r="BT34">
            <v>15487905.710000001</v>
          </cell>
          <cell r="BU34" t="str">
            <v>0</v>
          </cell>
          <cell r="BW34" t="str">
            <v>0</v>
          </cell>
          <cell r="BX34">
            <v>16829949</v>
          </cell>
          <cell r="BY34" t="str">
            <v>0</v>
          </cell>
          <cell r="BZ34" t="str">
            <v>0</v>
          </cell>
          <cell r="CA34">
            <v>10723078.350000001</v>
          </cell>
          <cell r="CB34" t="str">
            <v>0</v>
          </cell>
          <cell r="CC34" t="str">
            <v>0</v>
          </cell>
          <cell r="CD34">
            <v>3719475.57</v>
          </cell>
          <cell r="CE34" t="str">
            <v>0</v>
          </cell>
          <cell r="CF34" t="str">
            <v>0</v>
          </cell>
          <cell r="CG34" t="str">
            <v>0</v>
          </cell>
          <cell r="CH34">
            <v>10697812.079999998</v>
          </cell>
          <cell r="CI34" t="str">
            <v>0</v>
          </cell>
          <cell r="CK34" t="str">
            <v>0</v>
          </cell>
          <cell r="CL34">
            <v>17058787</v>
          </cell>
          <cell r="CM34" t="str">
            <v>0</v>
          </cell>
          <cell r="CN34" t="str">
            <v>0</v>
          </cell>
          <cell r="CO34">
            <v>17268307.620000001</v>
          </cell>
          <cell r="CP34" t="str">
            <v>0</v>
          </cell>
          <cell r="CQ34" t="str">
            <v>0</v>
          </cell>
          <cell r="CR34">
            <v>11101764.139999999</v>
          </cell>
          <cell r="CS34" t="str">
            <v>0</v>
          </cell>
          <cell r="CT34" t="str">
            <v>0</v>
          </cell>
          <cell r="CU34" t="str">
            <v>0</v>
          </cell>
          <cell r="CV34">
            <v>11101764.139999999</v>
          </cell>
          <cell r="CW34" t="str">
            <v>0</v>
          </cell>
          <cell r="CY34" t="str">
            <v>0</v>
          </cell>
          <cell r="CZ34">
            <v>16829949</v>
          </cell>
          <cell r="DA34" t="str">
            <v>0</v>
          </cell>
          <cell r="DC34" t="str">
            <v>0</v>
          </cell>
          <cell r="DD34">
            <v>11101764.139999999</v>
          </cell>
          <cell r="DE34" t="str">
            <v>0</v>
          </cell>
          <cell r="DG34" t="str">
            <v>0</v>
          </cell>
          <cell r="DH34">
            <v>10697812.079999998</v>
          </cell>
          <cell r="DI34" t="str">
            <v>0</v>
          </cell>
          <cell r="DJ34" t="str">
            <v>0</v>
          </cell>
          <cell r="DK34">
            <v>10723078.350000001</v>
          </cell>
          <cell r="DL34" t="str">
            <v>0</v>
          </cell>
          <cell r="DN34" t="str">
            <v>0</v>
          </cell>
          <cell r="DO34">
            <v>-999999</v>
          </cell>
          <cell r="DP34" t="str">
            <v>0</v>
          </cell>
          <cell r="DQ34" t="str">
            <v>0</v>
          </cell>
          <cell r="DR34">
            <v>13206735.330000002</v>
          </cell>
          <cell r="DS34" t="str">
            <v>0</v>
          </cell>
          <cell r="DT34" t="str">
            <v>0</v>
          </cell>
          <cell r="DU34">
            <v>18964568</v>
          </cell>
          <cell r="DV34" t="str">
            <v>0</v>
          </cell>
          <cell r="DW34" t="str">
            <v>0</v>
          </cell>
          <cell r="DX34" t="str">
            <v>0</v>
          </cell>
          <cell r="DY34" t="str">
            <v>0</v>
          </cell>
        </row>
        <row r="35">
          <cell r="A35" t="str">
            <v>Selling Support</v>
          </cell>
          <cell r="B35" t="str">
            <v>0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>
            <v>9691725.9499999993</v>
          </cell>
          <cell r="H35">
            <v>19796718.620000001</v>
          </cell>
          <cell r="I35">
            <v>18147189</v>
          </cell>
          <cell r="J35">
            <v>6759717.8300000001</v>
          </cell>
          <cell r="K35">
            <v>5161162.0199999996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>
            <v>3306839.66</v>
          </cell>
          <cell r="AB35">
            <v>1642881</v>
          </cell>
          <cell r="AC35">
            <v>2021001.56</v>
          </cell>
          <cell r="AD35">
            <v>2021001.56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Q35">
            <v>9691725.9499999993</v>
          </cell>
          <cell r="AR35">
            <v>19796718.620000001</v>
          </cell>
          <cell r="AS35">
            <v>18147189</v>
          </cell>
          <cell r="AT35" t="str">
            <v>0</v>
          </cell>
          <cell r="AU35" t="str">
            <v>0</v>
          </cell>
          <cell r="AV35" t="str">
            <v>0</v>
          </cell>
          <cell r="AX35" t="str">
            <v>0</v>
          </cell>
          <cell r="AY35">
            <v>18147189</v>
          </cell>
          <cell r="AZ35" t="str">
            <v>0</v>
          </cell>
          <cell r="BA35" t="str">
            <v>0</v>
          </cell>
          <cell r="BB35">
            <v>19796718.620000005</v>
          </cell>
          <cell r="BC35" t="str">
            <v>0</v>
          </cell>
          <cell r="BD35" t="str">
            <v>0</v>
          </cell>
          <cell r="BE35">
            <v>6759717.8300000001</v>
          </cell>
          <cell r="BF35" t="str">
            <v>0</v>
          </cell>
          <cell r="BG35" t="str">
            <v>0</v>
          </cell>
          <cell r="BI35" t="str">
            <v>0</v>
          </cell>
          <cell r="BJ35">
            <v>6119402</v>
          </cell>
          <cell r="BK35" t="str">
            <v>0</v>
          </cell>
          <cell r="BL35" t="str">
            <v>0</v>
          </cell>
          <cell r="BM35">
            <v>9191927.2300000004</v>
          </cell>
          <cell r="BN35" t="str">
            <v>0</v>
          </cell>
          <cell r="BO35" t="str">
            <v>0</v>
          </cell>
          <cell r="BP35">
            <v>6759717.8300000001</v>
          </cell>
          <cell r="BQ35" t="str">
            <v>0</v>
          </cell>
          <cell r="BR35" t="str">
            <v>0</v>
          </cell>
          <cell r="BS35" t="str">
            <v>0</v>
          </cell>
          <cell r="BT35">
            <v>6759717.8300000001</v>
          </cell>
          <cell r="BU35" t="str">
            <v>0</v>
          </cell>
          <cell r="BW35" t="str">
            <v>0</v>
          </cell>
          <cell r="BX35">
            <v>4413864</v>
          </cell>
          <cell r="BY35" t="str">
            <v>0</v>
          </cell>
          <cell r="BZ35" t="str">
            <v>0</v>
          </cell>
          <cell r="CA35">
            <v>4916182.68</v>
          </cell>
          <cell r="CB35" t="str">
            <v>0</v>
          </cell>
          <cell r="CC35" t="str">
            <v>0</v>
          </cell>
          <cell r="CD35">
            <v>1598555.81</v>
          </cell>
          <cell r="CE35" t="str">
            <v>0</v>
          </cell>
          <cell r="CF35" t="str">
            <v>0</v>
          </cell>
          <cell r="CG35" t="str">
            <v>0</v>
          </cell>
          <cell r="CH35">
            <v>4530563.93</v>
          </cell>
          <cell r="CI35" t="str">
            <v>0</v>
          </cell>
          <cell r="CK35" t="str">
            <v>0</v>
          </cell>
          <cell r="CL35">
            <v>4474260</v>
          </cell>
          <cell r="CM35" t="str">
            <v>0</v>
          </cell>
          <cell r="CN35" t="str">
            <v>0</v>
          </cell>
          <cell r="CO35">
            <v>7435339.7599999988</v>
          </cell>
          <cell r="CP35" t="str">
            <v>0</v>
          </cell>
          <cell r="CQ35" t="str">
            <v>0</v>
          </cell>
          <cell r="CR35">
            <v>5161162.0199999996</v>
          </cell>
          <cell r="CS35" t="str">
            <v>0</v>
          </cell>
          <cell r="CT35" t="str">
            <v>0</v>
          </cell>
          <cell r="CU35" t="str">
            <v>0</v>
          </cell>
          <cell r="CV35">
            <v>5161162.0199999996</v>
          </cell>
          <cell r="CW35" t="str">
            <v>0</v>
          </cell>
          <cell r="CY35" t="str">
            <v>0</v>
          </cell>
          <cell r="CZ35">
            <v>4413864</v>
          </cell>
          <cell r="DA35" t="str">
            <v>0</v>
          </cell>
          <cell r="DC35" t="str">
            <v>0</v>
          </cell>
          <cell r="DD35">
            <v>5161162.0199999996</v>
          </cell>
          <cell r="DE35" t="str">
            <v>0</v>
          </cell>
          <cell r="DG35" t="str">
            <v>0</v>
          </cell>
          <cell r="DH35">
            <v>4530563.93</v>
          </cell>
          <cell r="DI35" t="str">
            <v>0</v>
          </cell>
          <cell r="DJ35" t="str">
            <v>0</v>
          </cell>
          <cell r="DK35">
            <v>4916182.68</v>
          </cell>
          <cell r="DL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>
            <v>5474995.1300000008</v>
          </cell>
          <cell r="DS35" t="str">
            <v>0</v>
          </cell>
          <cell r="DT35" t="str">
            <v>0</v>
          </cell>
          <cell r="DU35">
            <v>5058356</v>
          </cell>
          <cell r="DV35" t="str">
            <v>0</v>
          </cell>
          <cell r="DW35" t="str">
            <v>0</v>
          </cell>
          <cell r="DX35" t="str">
            <v>0</v>
          </cell>
          <cell r="DY35" t="str">
            <v>0</v>
          </cell>
        </row>
        <row r="36">
          <cell r="A36" t="str">
            <v>Local Advertising</v>
          </cell>
          <cell r="B36">
            <v>53986.720000000001</v>
          </cell>
          <cell r="C36">
            <v>249393</v>
          </cell>
          <cell r="D36">
            <v>359000.04</v>
          </cell>
          <cell r="E36">
            <v>283954.64</v>
          </cell>
          <cell r="F36">
            <v>313679.64</v>
          </cell>
          <cell r="G36">
            <v>860263.49</v>
          </cell>
          <cell r="H36">
            <v>1314433.6299999999</v>
          </cell>
          <cell r="I36">
            <v>1757044.96</v>
          </cell>
          <cell r="J36">
            <v>1640385.25</v>
          </cell>
          <cell r="K36">
            <v>1595032.12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W36">
            <v>49015.33</v>
          </cell>
          <cell r="X36">
            <v>29916.67</v>
          </cell>
          <cell r="Y36">
            <v>16620.3</v>
          </cell>
          <cell r="Z36">
            <v>16620.3</v>
          </cell>
          <cell r="AA36">
            <v>137068.79999999999</v>
          </cell>
          <cell r="AB36">
            <v>141446.32999999999</v>
          </cell>
          <cell r="AC36">
            <v>127598.95</v>
          </cell>
          <cell r="AD36">
            <v>127598.95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N36">
            <v>53986.720000000001</v>
          </cell>
          <cell r="AO36">
            <v>249393</v>
          </cell>
          <cell r="AP36">
            <v>359000.04</v>
          </cell>
          <cell r="AQ36">
            <v>860263.49</v>
          </cell>
          <cell r="AR36">
            <v>1314433.6299999999</v>
          </cell>
          <cell r="AS36">
            <v>1757044.96</v>
          </cell>
          <cell r="AT36" t="str">
            <v>0</v>
          </cell>
          <cell r="AU36" t="str">
            <v>0</v>
          </cell>
          <cell r="AV36" t="str">
            <v>0</v>
          </cell>
          <cell r="AX36">
            <v>359000.04</v>
          </cell>
          <cell r="AY36">
            <v>1757044.96</v>
          </cell>
          <cell r="AZ36" t="str">
            <v>0</v>
          </cell>
          <cell r="BA36">
            <v>249393</v>
          </cell>
          <cell r="BB36">
            <v>1314433.6299999999</v>
          </cell>
          <cell r="BC36" t="str">
            <v>0</v>
          </cell>
          <cell r="BD36">
            <v>283954.64</v>
          </cell>
          <cell r="BE36">
            <v>1640385.25</v>
          </cell>
          <cell r="BF36" t="str">
            <v>0</v>
          </cell>
          <cell r="BG36" t="str">
            <v>0</v>
          </cell>
          <cell r="BI36">
            <v>119666.68</v>
          </cell>
          <cell r="BJ36">
            <v>585461.31999999995</v>
          </cell>
          <cell r="BK36" t="str">
            <v>0</v>
          </cell>
          <cell r="BL36">
            <v>70742.98</v>
          </cell>
          <cell r="BM36">
            <v>449634.19</v>
          </cell>
          <cell r="BN36" t="str">
            <v>0</v>
          </cell>
          <cell r="BO36">
            <v>44621.279999999999</v>
          </cell>
          <cell r="BP36">
            <v>707050.61</v>
          </cell>
          <cell r="BQ36" t="str">
            <v>0</v>
          </cell>
          <cell r="BR36" t="str">
            <v>0</v>
          </cell>
          <cell r="BS36">
            <v>44621.279999999999</v>
          </cell>
          <cell r="BT36">
            <v>707050.61</v>
          </cell>
          <cell r="BU36" t="str">
            <v>0</v>
          </cell>
          <cell r="BW36">
            <v>89750.01</v>
          </cell>
          <cell r="BX36">
            <v>439925.99</v>
          </cell>
          <cell r="BY36" t="str">
            <v>0</v>
          </cell>
          <cell r="BZ36">
            <v>13288.09</v>
          </cell>
          <cell r="CA36">
            <v>-4093.5000000000146</v>
          </cell>
          <cell r="CB36" t="str">
            <v>0</v>
          </cell>
          <cell r="CC36">
            <v>60025.01</v>
          </cell>
          <cell r="CD36">
            <v>395352.12</v>
          </cell>
          <cell r="CE36" t="str">
            <v>0</v>
          </cell>
          <cell r="CF36" t="str">
            <v>0</v>
          </cell>
          <cell r="CG36">
            <v>9557.11</v>
          </cell>
          <cell r="CH36">
            <v>315232.34000000003</v>
          </cell>
          <cell r="CI36" t="str">
            <v>0</v>
          </cell>
          <cell r="CK36">
            <v>89750.01</v>
          </cell>
          <cell r="CL36">
            <v>438052.99</v>
          </cell>
          <cell r="CM36" t="str">
            <v>0</v>
          </cell>
          <cell r="CN36">
            <v>64962.48</v>
          </cell>
          <cell r="CO36">
            <v>324652.64</v>
          </cell>
          <cell r="CP36" t="str">
            <v>0</v>
          </cell>
          <cell r="CQ36">
            <v>44429.61</v>
          </cell>
          <cell r="CR36">
            <v>545031.15</v>
          </cell>
          <cell r="CS36" t="str">
            <v>0</v>
          </cell>
          <cell r="CT36" t="str">
            <v>0</v>
          </cell>
          <cell r="CU36">
            <v>44429.61</v>
          </cell>
          <cell r="CV36">
            <v>545031.15</v>
          </cell>
          <cell r="CW36" t="str">
            <v>0</v>
          </cell>
          <cell r="CY36">
            <v>89750.01</v>
          </cell>
          <cell r="CZ36">
            <v>439925.99</v>
          </cell>
          <cell r="DA36" t="str">
            <v>0</v>
          </cell>
          <cell r="DC36">
            <v>44429.61</v>
          </cell>
          <cell r="DD36">
            <v>545031.15</v>
          </cell>
          <cell r="DE36" t="str">
            <v>0</v>
          </cell>
          <cell r="DG36">
            <v>9557.11</v>
          </cell>
          <cell r="DH36">
            <v>315232.34000000003</v>
          </cell>
          <cell r="DI36" t="str">
            <v>0</v>
          </cell>
          <cell r="DJ36">
            <v>13288.09</v>
          </cell>
          <cell r="DK36">
            <v>-4093.5000000000146</v>
          </cell>
          <cell r="DL36" t="str">
            <v>0</v>
          </cell>
          <cell r="DN36">
            <v>89750.01</v>
          </cell>
          <cell r="DO36">
            <v>349998.99</v>
          </cell>
          <cell r="DP36" t="str">
            <v>0</v>
          </cell>
          <cell r="DQ36">
            <v>122611.79</v>
          </cell>
          <cell r="DR36">
            <v>533903.97</v>
          </cell>
          <cell r="DS36" t="str">
            <v>0</v>
          </cell>
          <cell r="DT36">
            <v>89750.01</v>
          </cell>
          <cell r="DU36">
            <v>442792.99</v>
          </cell>
          <cell r="DV36" t="str">
            <v>0</v>
          </cell>
          <cell r="DW36" t="str">
            <v>0</v>
          </cell>
          <cell r="DX36" t="str">
            <v>0</v>
          </cell>
          <cell r="DY36" t="str">
            <v>0</v>
          </cell>
        </row>
        <row r="37">
          <cell r="A37" t="str">
            <v>CO-OP &amp; Selling Support Expenses</v>
          </cell>
          <cell r="B37">
            <v>53986.720000000001</v>
          </cell>
          <cell r="C37">
            <v>249393</v>
          </cell>
          <cell r="D37">
            <v>359000.04</v>
          </cell>
          <cell r="E37">
            <v>283954.64</v>
          </cell>
          <cell r="F37">
            <v>313679.64</v>
          </cell>
          <cell r="G37">
            <v>32351565.659999993</v>
          </cell>
          <cell r="H37">
            <v>70458577.460000008</v>
          </cell>
          <cell r="I37">
            <v>89023154.959999993</v>
          </cell>
          <cell r="J37">
            <v>77815034.269604042</v>
          </cell>
          <cell r="K37">
            <v>81012823.939929664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W37">
            <v>49015.33</v>
          </cell>
          <cell r="X37">
            <v>29916.67</v>
          </cell>
          <cell r="Y37">
            <v>16620.3</v>
          </cell>
          <cell r="Z37">
            <v>16620.3</v>
          </cell>
          <cell r="AA37">
            <v>10641924.439999999</v>
          </cell>
          <cell r="AB37">
            <v>8210258.3300000001</v>
          </cell>
          <cell r="AC37">
            <v>6129272.5100000007</v>
          </cell>
          <cell r="AD37">
            <v>6688489.7000000002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N37">
            <v>53986.720000000001</v>
          </cell>
          <cell r="AO37">
            <v>249393</v>
          </cell>
          <cell r="AP37">
            <v>359000.04</v>
          </cell>
          <cell r="AQ37">
            <v>32351565.659999993</v>
          </cell>
          <cell r="AR37">
            <v>70458577.460000008</v>
          </cell>
          <cell r="AS37">
            <v>89023154.959999993</v>
          </cell>
          <cell r="AT37" t="str">
            <v>0</v>
          </cell>
          <cell r="AU37" t="str">
            <v>0</v>
          </cell>
          <cell r="AV37" t="str">
            <v>0</v>
          </cell>
          <cell r="AX37">
            <v>359000.04</v>
          </cell>
          <cell r="AY37">
            <v>89023154.959999993</v>
          </cell>
          <cell r="AZ37" t="str">
            <v>0</v>
          </cell>
          <cell r="BA37">
            <v>249393</v>
          </cell>
          <cell r="BB37">
            <v>70458577.460000023</v>
          </cell>
          <cell r="BC37" t="str">
            <v>0</v>
          </cell>
          <cell r="BD37">
            <v>283954.64</v>
          </cell>
          <cell r="BE37">
            <v>77815034.269604042</v>
          </cell>
          <cell r="BF37" t="str">
            <v>0</v>
          </cell>
          <cell r="BG37" t="str">
            <v>0</v>
          </cell>
          <cell r="BI37">
            <v>119666.68</v>
          </cell>
          <cell r="BJ37">
            <v>29989789.32</v>
          </cell>
          <cell r="BK37" t="str">
            <v>0</v>
          </cell>
          <cell r="BL37">
            <v>70742.98</v>
          </cell>
          <cell r="BM37">
            <v>33342557.140000004</v>
          </cell>
          <cell r="BN37" t="str">
            <v>0</v>
          </cell>
          <cell r="BO37">
            <v>44621.279999999999</v>
          </cell>
          <cell r="BP37">
            <v>21213337.149999999</v>
          </cell>
          <cell r="BQ37" t="str">
            <v>0</v>
          </cell>
          <cell r="BR37" t="str">
            <v>0</v>
          </cell>
          <cell r="BS37">
            <v>44621.279999999999</v>
          </cell>
          <cell r="BT37">
            <v>22954674.149999999</v>
          </cell>
          <cell r="BU37" t="str">
            <v>0</v>
          </cell>
          <cell r="BW37">
            <v>89750.01</v>
          </cell>
          <cell r="BX37">
            <v>21683738.989999998</v>
          </cell>
          <cell r="BY37" t="str">
            <v>0</v>
          </cell>
          <cell r="BZ37">
            <v>13288.09</v>
          </cell>
          <cell r="CA37">
            <v>15635167.530000001</v>
          </cell>
          <cell r="CB37" t="str">
            <v>0</v>
          </cell>
          <cell r="CC37">
            <v>60025.01</v>
          </cell>
          <cell r="CD37">
            <v>19088080.806963906</v>
          </cell>
          <cell r="CE37" t="str">
            <v>0</v>
          </cell>
          <cell r="CF37" t="str">
            <v>0</v>
          </cell>
          <cell r="CG37">
            <v>9557.11</v>
          </cell>
          <cell r="CH37">
            <v>15543608.349999998</v>
          </cell>
          <cell r="CI37" t="str">
            <v>0</v>
          </cell>
          <cell r="CK37">
            <v>89750.01</v>
          </cell>
          <cell r="CL37">
            <v>21971099.989999998</v>
          </cell>
          <cell r="CM37" t="str">
            <v>0</v>
          </cell>
          <cell r="CN37">
            <v>64962.48</v>
          </cell>
          <cell r="CO37">
            <v>25028300.02</v>
          </cell>
          <cell r="CP37" t="str">
            <v>0</v>
          </cell>
          <cell r="CQ37">
            <v>44429.61</v>
          </cell>
          <cell r="CR37">
            <v>15440488.309999999</v>
          </cell>
          <cell r="CS37" t="str">
            <v>0</v>
          </cell>
          <cell r="CT37" t="str">
            <v>0</v>
          </cell>
          <cell r="CU37">
            <v>44429.61</v>
          </cell>
          <cell r="CV37">
            <v>16807957.309999999</v>
          </cell>
          <cell r="CW37" t="str">
            <v>0</v>
          </cell>
          <cell r="CY37">
            <v>89750.01</v>
          </cell>
          <cell r="CZ37">
            <v>21683738.989999998</v>
          </cell>
          <cell r="DA37" t="str">
            <v>0</v>
          </cell>
          <cell r="DC37">
            <v>44429.61</v>
          </cell>
          <cell r="DD37">
            <v>16807957.309999999</v>
          </cell>
          <cell r="DE37" t="str">
            <v>0</v>
          </cell>
          <cell r="DG37">
            <v>9557.11</v>
          </cell>
          <cell r="DH37">
            <v>15543608.349999998</v>
          </cell>
          <cell r="DI37" t="str">
            <v>0</v>
          </cell>
          <cell r="DJ37">
            <v>13288.09</v>
          </cell>
          <cell r="DK37">
            <v>15635167.530000001</v>
          </cell>
          <cell r="DL37" t="str">
            <v>0</v>
          </cell>
          <cell r="DN37">
            <v>89750.01</v>
          </cell>
          <cell r="DO37">
            <v>23436058.786346234</v>
          </cell>
          <cell r="DP37" t="str">
            <v>0</v>
          </cell>
          <cell r="DQ37">
            <v>122611.79</v>
          </cell>
          <cell r="DR37">
            <v>19215634.43</v>
          </cell>
          <cell r="DS37" t="str">
            <v>0</v>
          </cell>
          <cell r="DT37">
            <v>89750.01</v>
          </cell>
          <cell r="DU37">
            <v>24465716.989999998</v>
          </cell>
          <cell r="DV37" t="str">
            <v>0</v>
          </cell>
          <cell r="DW37" t="str">
            <v>0</v>
          </cell>
          <cell r="DX37" t="str">
            <v>0</v>
          </cell>
          <cell r="DY37" t="str">
            <v>0</v>
          </cell>
        </row>
        <row r="38">
          <cell r="A38" t="str">
            <v>MAP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>
            <v>21799576.219999995</v>
          </cell>
          <cell r="H38">
            <v>49347425.210000001</v>
          </cell>
          <cell r="I38">
            <v>69118921</v>
          </cell>
          <cell r="J38">
            <v>12821237.710000001</v>
          </cell>
          <cell r="K38">
            <v>8079921.5599999977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>
            <v>7198015.9799999986</v>
          </cell>
          <cell r="AB38">
            <v>6425931</v>
          </cell>
          <cell r="AC38">
            <v>4544214</v>
          </cell>
          <cell r="AD38">
            <v>4539889.1900000004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Q38">
            <v>21799576.219999995</v>
          </cell>
          <cell r="AR38">
            <v>49347425.210000001</v>
          </cell>
          <cell r="AS38">
            <v>69118921</v>
          </cell>
          <cell r="AT38" t="str">
            <v>0</v>
          </cell>
          <cell r="AU38" t="str">
            <v>0</v>
          </cell>
          <cell r="AV38" t="str">
            <v>0</v>
          </cell>
          <cell r="AX38" t="str">
            <v>0</v>
          </cell>
          <cell r="AY38">
            <v>69118921</v>
          </cell>
          <cell r="AZ38" t="str">
            <v>0</v>
          </cell>
          <cell r="BA38" t="str">
            <v>0</v>
          </cell>
          <cell r="BB38">
            <v>49347425.210000001</v>
          </cell>
          <cell r="BC38" t="str">
            <v>0</v>
          </cell>
          <cell r="BD38" t="str">
            <v>0</v>
          </cell>
          <cell r="BE38">
            <v>12821237.710000001</v>
          </cell>
          <cell r="BF38" t="str">
            <v>0</v>
          </cell>
          <cell r="BG38" t="str">
            <v>0</v>
          </cell>
          <cell r="BI38" t="str">
            <v>0</v>
          </cell>
          <cell r="BJ38">
            <v>23284926</v>
          </cell>
          <cell r="BK38" t="str">
            <v>0</v>
          </cell>
          <cell r="BL38" t="str">
            <v>0</v>
          </cell>
          <cell r="BM38">
            <v>23700995.720000003</v>
          </cell>
          <cell r="BN38" t="str">
            <v>0</v>
          </cell>
          <cell r="BO38" t="str">
            <v>0</v>
          </cell>
          <cell r="BP38">
            <v>15487905.710000001</v>
          </cell>
          <cell r="BQ38" t="str">
            <v>0</v>
          </cell>
          <cell r="BR38" t="str">
            <v>0</v>
          </cell>
          <cell r="BS38" t="str">
            <v>0</v>
          </cell>
          <cell r="BT38">
            <v>15487905.710000001</v>
          </cell>
          <cell r="BU38" t="str">
            <v>0</v>
          </cell>
          <cell r="BW38" t="str">
            <v>0</v>
          </cell>
          <cell r="BX38">
            <v>16829949</v>
          </cell>
          <cell r="BY38" t="str">
            <v>0</v>
          </cell>
          <cell r="BZ38" t="str">
            <v>0</v>
          </cell>
          <cell r="CA38">
            <v>10723078.350000001</v>
          </cell>
          <cell r="CB38" t="str">
            <v>0</v>
          </cell>
          <cell r="CC38" t="str">
            <v>0</v>
          </cell>
          <cell r="CD38">
            <v>3719475.57</v>
          </cell>
          <cell r="CE38" t="str">
            <v>0</v>
          </cell>
          <cell r="CF38" t="str">
            <v>0</v>
          </cell>
          <cell r="CG38" t="str">
            <v>0</v>
          </cell>
          <cell r="CH38">
            <v>10697812.079999998</v>
          </cell>
          <cell r="CI38" t="str">
            <v>0</v>
          </cell>
          <cell r="CK38" t="str">
            <v>0</v>
          </cell>
          <cell r="CL38">
            <v>17058787</v>
          </cell>
          <cell r="CM38" t="str">
            <v>0</v>
          </cell>
          <cell r="CN38" t="str">
            <v>0</v>
          </cell>
          <cell r="CO38">
            <v>17268307.620000001</v>
          </cell>
          <cell r="CP38" t="str">
            <v>0</v>
          </cell>
          <cell r="CQ38" t="str">
            <v>0</v>
          </cell>
          <cell r="CR38">
            <v>11101764.139999999</v>
          </cell>
          <cell r="CS38" t="str">
            <v>0</v>
          </cell>
          <cell r="CT38" t="str">
            <v>0</v>
          </cell>
          <cell r="CU38" t="str">
            <v>0</v>
          </cell>
          <cell r="CV38">
            <v>11101764.139999999</v>
          </cell>
          <cell r="CW38" t="str">
            <v>0</v>
          </cell>
          <cell r="CY38" t="str">
            <v>0</v>
          </cell>
          <cell r="CZ38">
            <v>16829949</v>
          </cell>
          <cell r="DA38" t="str">
            <v>0</v>
          </cell>
          <cell r="DC38" t="str">
            <v>0</v>
          </cell>
          <cell r="DD38">
            <v>11101764.139999999</v>
          </cell>
          <cell r="DE38" t="str">
            <v>0</v>
          </cell>
          <cell r="DG38" t="str">
            <v>0</v>
          </cell>
          <cell r="DH38">
            <v>10697812.079999998</v>
          </cell>
          <cell r="DI38" t="str">
            <v>0</v>
          </cell>
          <cell r="DJ38" t="str">
            <v>0</v>
          </cell>
          <cell r="DK38">
            <v>10723078.350000001</v>
          </cell>
          <cell r="DL38" t="str">
            <v>0</v>
          </cell>
          <cell r="DN38" t="str">
            <v>0</v>
          </cell>
          <cell r="DO38">
            <v>-999999</v>
          </cell>
          <cell r="DP38" t="str">
            <v>0</v>
          </cell>
          <cell r="DQ38" t="str">
            <v>0</v>
          </cell>
          <cell r="DR38">
            <v>13206735.330000002</v>
          </cell>
          <cell r="DS38" t="str">
            <v>0</v>
          </cell>
          <cell r="DT38" t="str">
            <v>0</v>
          </cell>
          <cell r="DU38">
            <v>18964568</v>
          </cell>
          <cell r="DV38" t="str">
            <v>0</v>
          </cell>
          <cell r="DW38" t="str">
            <v>0</v>
          </cell>
          <cell r="DX38" t="str">
            <v>0</v>
          </cell>
          <cell r="DY38" t="str">
            <v>0</v>
          </cell>
        </row>
        <row r="39">
          <cell r="A39" t="str">
            <v>Bad Debt/Collection Expense - G</v>
          </cell>
          <cell r="B39">
            <v>1495470.91</v>
          </cell>
          <cell r="C39">
            <v>2773844.92</v>
          </cell>
          <cell r="D39">
            <v>3464704</v>
          </cell>
          <cell r="E39">
            <v>3437056.6</v>
          </cell>
          <cell r="F39">
            <v>3357819.21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W39">
            <v>377865.06</v>
          </cell>
          <cell r="X39">
            <v>288726</v>
          </cell>
          <cell r="Y39">
            <v>266695.52</v>
          </cell>
          <cell r="Z39">
            <v>266695.52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N39">
            <v>1495470.91</v>
          </cell>
          <cell r="AO39">
            <v>2773844.92</v>
          </cell>
          <cell r="AP39">
            <v>3464704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X39">
            <v>3464704</v>
          </cell>
          <cell r="AY39" t="str">
            <v>0</v>
          </cell>
          <cell r="AZ39" t="str">
            <v>0</v>
          </cell>
          <cell r="BA39">
            <v>2773844.92</v>
          </cell>
          <cell r="BB39" t="str">
            <v>0</v>
          </cell>
          <cell r="BC39" t="str">
            <v>0</v>
          </cell>
          <cell r="BD39">
            <v>3437056.6</v>
          </cell>
          <cell r="BE39" t="str">
            <v>0</v>
          </cell>
          <cell r="BF39" t="str">
            <v>0</v>
          </cell>
          <cell r="BG39" t="str">
            <v>0</v>
          </cell>
          <cell r="BI39">
            <v>1154904</v>
          </cell>
          <cell r="BJ39" t="str">
            <v>0</v>
          </cell>
          <cell r="BK39" t="str">
            <v>0</v>
          </cell>
          <cell r="BL39">
            <v>1524196.52</v>
          </cell>
          <cell r="BM39" t="str">
            <v>0</v>
          </cell>
          <cell r="BN39" t="str">
            <v>0</v>
          </cell>
          <cell r="BO39">
            <v>1188592.6000000001</v>
          </cell>
          <cell r="BP39" t="str">
            <v>0</v>
          </cell>
          <cell r="BQ39" t="str">
            <v>0</v>
          </cell>
          <cell r="BR39" t="str">
            <v>0</v>
          </cell>
          <cell r="BS39">
            <v>1188592.6000000001</v>
          </cell>
          <cell r="BT39" t="str">
            <v>0</v>
          </cell>
          <cell r="BU39" t="str">
            <v>0</v>
          </cell>
          <cell r="BW39">
            <v>866178</v>
          </cell>
          <cell r="BX39" t="str">
            <v>0</v>
          </cell>
          <cell r="BY39" t="str">
            <v>0</v>
          </cell>
          <cell r="BZ39">
            <v>1124477.5900000001</v>
          </cell>
          <cell r="CA39" t="str">
            <v>0</v>
          </cell>
          <cell r="CB39" t="str">
            <v>0</v>
          </cell>
          <cell r="CC39">
            <v>922414.39</v>
          </cell>
          <cell r="CD39" t="str">
            <v>0</v>
          </cell>
          <cell r="CE39" t="str">
            <v>0</v>
          </cell>
          <cell r="CF39" t="str">
            <v>0</v>
          </cell>
          <cell r="CG39">
            <v>667174.69999999995</v>
          </cell>
          <cell r="CH39" t="str">
            <v>0</v>
          </cell>
          <cell r="CI39" t="str">
            <v>0</v>
          </cell>
          <cell r="CK39">
            <v>866178</v>
          </cell>
          <cell r="CL39" t="str">
            <v>0</v>
          </cell>
          <cell r="CM39" t="str">
            <v>0</v>
          </cell>
          <cell r="CN39">
            <v>1152023.8999999999</v>
          </cell>
          <cell r="CO39" t="str">
            <v>0</v>
          </cell>
          <cell r="CP39" t="str">
            <v>0</v>
          </cell>
          <cell r="CQ39">
            <v>828296.21</v>
          </cell>
          <cell r="CR39" t="str">
            <v>0</v>
          </cell>
          <cell r="CS39" t="str">
            <v>0</v>
          </cell>
          <cell r="CT39" t="str">
            <v>0</v>
          </cell>
          <cell r="CU39">
            <v>828296.21</v>
          </cell>
          <cell r="CV39" t="str">
            <v>0</v>
          </cell>
          <cell r="CW39" t="str">
            <v>0</v>
          </cell>
          <cell r="CY39">
            <v>866178</v>
          </cell>
          <cell r="CZ39" t="str">
            <v>0</v>
          </cell>
          <cell r="DA39" t="str">
            <v>0</v>
          </cell>
          <cell r="DC39">
            <v>828296.21</v>
          </cell>
          <cell r="DD39" t="str">
            <v>0</v>
          </cell>
          <cell r="DE39" t="str">
            <v>0</v>
          </cell>
          <cell r="DG39">
            <v>667174.69999999995</v>
          </cell>
          <cell r="DH39" t="str">
            <v>0</v>
          </cell>
          <cell r="DI39" t="str">
            <v>0</v>
          </cell>
          <cell r="DJ39">
            <v>1124477.5900000001</v>
          </cell>
          <cell r="DK39" t="str">
            <v>0</v>
          </cell>
          <cell r="DL39" t="str">
            <v>0</v>
          </cell>
          <cell r="DN39">
            <v>843177</v>
          </cell>
          <cell r="DO39" t="str">
            <v>0</v>
          </cell>
          <cell r="DP39" t="str">
            <v>0</v>
          </cell>
          <cell r="DQ39">
            <v>752896.08</v>
          </cell>
          <cell r="DR39" t="str">
            <v>0</v>
          </cell>
          <cell r="DS39" t="str">
            <v>0</v>
          </cell>
          <cell r="DT39">
            <v>866178</v>
          </cell>
          <cell r="DU39" t="str">
            <v>0</v>
          </cell>
          <cell r="DV39" t="str">
            <v>0</v>
          </cell>
          <cell r="DW39" t="str">
            <v>0</v>
          </cell>
          <cell r="DX39" t="str">
            <v>0</v>
          </cell>
          <cell r="DY39" t="str">
            <v>0</v>
          </cell>
        </row>
        <row r="40">
          <cell r="A40" t="str">
            <v>Upfront Fees Amort - OS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C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 t="str">
            <v>0</v>
          </cell>
          <cell r="BF40" t="str">
            <v>0</v>
          </cell>
          <cell r="BG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U40" t="str">
            <v>0</v>
          </cell>
          <cell r="CV40" t="str">
            <v>0</v>
          </cell>
          <cell r="CW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G40" t="str">
            <v>0</v>
          </cell>
          <cell r="DH40" t="str">
            <v>0</v>
          </cell>
          <cell r="DI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  <cell r="DW40" t="str">
            <v>0</v>
          </cell>
          <cell r="DX40" t="str">
            <v>0</v>
          </cell>
          <cell r="DY40" t="str">
            <v>0</v>
          </cell>
        </row>
        <row r="41">
          <cell r="A41" t="str">
            <v>SEVERANCE PAY-G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0</v>
          </cell>
          <cell r="P41" t="str">
            <v>0</v>
          </cell>
          <cell r="Q41">
            <v>23051.85</v>
          </cell>
          <cell r="R41">
            <v>544670.41</v>
          </cell>
          <cell r="S41">
            <v>3000</v>
          </cell>
          <cell r="T41">
            <v>23051.85</v>
          </cell>
          <cell r="U41">
            <v>21363.78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C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>
            <v>41667</v>
          </cell>
          <cell r="AJ41">
            <v>3000</v>
          </cell>
          <cell r="AK41" t="str">
            <v>0</v>
          </cell>
          <cell r="AL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>
            <v>23051.85</v>
          </cell>
          <cell r="AU41">
            <v>544670.41</v>
          </cell>
          <cell r="AV41">
            <v>3000</v>
          </cell>
          <cell r="AX41" t="str">
            <v>0</v>
          </cell>
          <cell r="AY41" t="str">
            <v>0</v>
          </cell>
          <cell r="AZ41">
            <v>3000</v>
          </cell>
          <cell r="BA41" t="str">
            <v>0</v>
          </cell>
          <cell r="BB41" t="str">
            <v>0</v>
          </cell>
          <cell r="BC41">
            <v>544670.41</v>
          </cell>
          <cell r="BD41" t="str">
            <v>0</v>
          </cell>
          <cell r="BE41" t="str">
            <v>0</v>
          </cell>
          <cell r="BF41">
            <v>23051.85</v>
          </cell>
          <cell r="BG41">
            <v>21363.78</v>
          </cell>
          <cell r="BI41" t="str">
            <v>0</v>
          </cell>
          <cell r="BJ41" t="str">
            <v>0</v>
          </cell>
          <cell r="BK41">
            <v>3000</v>
          </cell>
          <cell r="BL41" t="str">
            <v>0</v>
          </cell>
          <cell r="BM41" t="str">
            <v>0</v>
          </cell>
          <cell r="BN41">
            <v>166668</v>
          </cell>
          <cell r="BO41" t="str">
            <v>0</v>
          </cell>
          <cell r="BP41" t="str">
            <v>0</v>
          </cell>
          <cell r="BQ41">
            <v>23051.85</v>
          </cell>
          <cell r="BR41">
            <v>21363.78</v>
          </cell>
          <cell r="BS41" t="str">
            <v>0</v>
          </cell>
          <cell r="BT41" t="str">
            <v>0</v>
          </cell>
          <cell r="BU41">
            <v>23051.85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>
            <v>179167.67</v>
          </cell>
          <cell r="CC41" t="str">
            <v>0</v>
          </cell>
          <cell r="CD41" t="str">
            <v>0</v>
          </cell>
          <cell r="CE41">
            <v>1688.07</v>
          </cell>
          <cell r="CF41" t="str">
            <v>0</v>
          </cell>
          <cell r="CG41" t="str">
            <v>0</v>
          </cell>
          <cell r="CH41" t="str">
            <v>0</v>
          </cell>
          <cell r="CI41">
            <v>1688.07</v>
          </cell>
          <cell r="CK41" t="str">
            <v>0</v>
          </cell>
          <cell r="CL41" t="str">
            <v>0</v>
          </cell>
          <cell r="CM41">
            <v>3000</v>
          </cell>
          <cell r="CN41" t="str">
            <v>0</v>
          </cell>
          <cell r="CO41" t="str">
            <v>0</v>
          </cell>
          <cell r="CP41">
            <v>125001</v>
          </cell>
          <cell r="CQ41" t="str">
            <v>0</v>
          </cell>
          <cell r="CR41" t="str">
            <v>0</v>
          </cell>
          <cell r="CS41">
            <v>21363.78</v>
          </cell>
          <cell r="CT41">
            <v>21363.78</v>
          </cell>
          <cell r="CU41" t="str">
            <v>0</v>
          </cell>
          <cell r="CV41" t="str">
            <v>0</v>
          </cell>
          <cell r="CW41">
            <v>21363.78</v>
          </cell>
          <cell r="CY41" t="str">
            <v>0</v>
          </cell>
          <cell r="CZ41" t="str">
            <v>0</v>
          </cell>
          <cell r="DA41" t="str">
            <v>0</v>
          </cell>
          <cell r="DC41" t="str">
            <v>0</v>
          </cell>
          <cell r="DD41" t="str">
            <v>0</v>
          </cell>
          <cell r="DE41">
            <v>21363.78</v>
          </cell>
          <cell r="DG41" t="str">
            <v>0</v>
          </cell>
          <cell r="DH41" t="str">
            <v>0</v>
          </cell>
          <cell r="DI41">
            <v>1688.07</v>
          </cell>
          <cell r="DJ41" t="str">
            <v>0</v>
          </cell>
          <cell r="DK41" t="str">
            <v>0</v>
          </cell>
          <cell r="DL41">
            <v>179167.67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>
            <v>252588.02</v>
          </cell>
          <cell r="DT41" t="str">
            <v>0</v>
          </cell>
          <cell r="DU41" t="str">
            <v>0</v>
          </cell>
          <cell r="DV41" t="str">
            <v>0</v>
          </cell>
          <cell r="DW41" t="str">
            <v>0</v>
          </cell>
          <cell r="DX41" t="str">
            <v>0</v>
          </cell>
          <cell r="DY41" t="str">
            <v>0</v>
          </cell>
        </row>
        <row r="42">
          <cell r="A42" t="str">
            <v>Compensation-G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>
            <v>2085733.69</v>
          </cell>
          <cell r="R42">
            <v>15560943.150000002</v>
          </cell>
          <cell r="S42">
            <v>7581448</v>
          </cell>
          <cell r="T42">
            <v>6512022.6899999995</v>
          </cell>
          <cell r="U42">
            <v>7570120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>
            <v>442586</v>
          </cell>
          <cell r="AJ42">
            <v>631787</v>
          </cell>
          <cell r="AK42">
            <v>587678</v>
          </cell>
          <cell r="AL42">
            <v>587678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>
            <v>2085733.69</v>
          </cell>
          <cell r="AU42">
            <v>15560943.150000002</v>
          </cell>
          <cell r="AV42">
            <v>7581448</v>
          </cell>
          <cell r="AX42" t="str">
            <v>0</v>
          </cell>
          <cell r="AY42" t="str">
            <v>0</v>
          </cell>
          <cell r="AZ42">
            <v>7581448</v>
          </cell>
          <cell r="BA42" t="str">
            <v>0</v>
          </cell>
          <cell r="BB42" t="str">
            <v>0</v>
          </cell>
          <cell r="BC42">
            <v>15560943.150000002</v>
          </cell>
          <cell r="BD42" t="str">
            <v>0</v>
          </cell>
          <cell r="BE42" t="str">
            <v>0</v>
          </cell>
          <cell r="BF42">
            <v>6512022.6899999995</v>
          </cell>
          <cell r="BG42">
            <v>7570120</v>
          </cell>
          <cell r="BI42" t="str">
            <v>0</v>
          </cell>
          <cell r="BJ42" t="str">
            <v>0</v>
          </cell>
          <cell r="BK42">
            <v>2527148</v>
          </cell>
          <cell r="BL42" t="str">
            <v>0</v>
          </cell>
          <cell r="BM42" t="str">
            <v>0</v>
          </cell>
          <cell r="BN42">
            <v>3714699</v>
          </cell>
          <cell r="BO42" t="str">
            <v>0</v>
          </cell>
          <cell r="BP42" t="str">
            <v>0</v>
          </cell>
          <cell r="BQ42">
            <v>1457722.69</v>
          </cell>
          <cell r="BR42">
            <v>2515820</v>
          </cell>
          <cell r="BS42" t="str">
            <v>0</v>
          </cell>
          <cell r="BT42" t="str">
            <v>0</v>
          </cell>
          <cell r="BU42">
            <v>1457722.69</v>
          </cell>
          <cell r="BW42" t="str">
            <v>0</v>
          </cell>
          <cell r="BX42" t="str">
            <v>0</v>
          </cell>
          <cell r="BY42">
            <v>1895361</v>
          </cell>
          <cell r="BZ42" t="str">
            <v>0</v>
          </cell>
          <cell r="CA42" t="str">
            <v>0</v>
          </cell>
          <cell r="CB42">
            <v>6357923</v>
          </cell>
          <cell r="CC42" t="str">
            <v>0</v>
          </cell>
          <cell r="CD42" t="str">
            <v>0</v>
          </cell>
          <cell r="CE42">
            <v>1891585</v>
          </cell>
          <cell r="CF42">
            <v>1895361</v>
          </cell>
          <cell r="CG42" t="str">
            <v>0</v>
          </cell>
          <cell r="CH42" t="str">
            <v>0</v>
          </cell>
          <cell r="CI42">
            <v>1256022</v>
          </cell>
          <cell r="CK42" t="str">
            <v>0</v>
          </cell>
          <cell r="CL42" t="str">
            <v>0</v>
          </cell>
          <cell r="CM42">
            <v>1895361</v>
          </cell>
          <cell r="CN42" t="str">
            <v>0</v>
          </cell>
          <cell r="CO42" t="str">
            <v>0</v>
          </cell>
          <cell r="CP42">
            <v>3127021</v>
          </cell>
          <cell r="CQ42" t="str">
            <v>0</v>
          </cell>
          <cell r="CR42" t="str">
            <v>0</v>
          </cell>
          <cell r="CS42">
            <v>829711.69</v>
          </cell>
          <cell r="CT42">
            <v>1884033</v>
          </cell>
          <cell r="CU42" t="str">
            <v>0</v>
          </cell>
          <cell r="CV42" t="str">
            <v>0</v>
          </cell>
          <cell r="CW42">
            <v>829711.69</v>
          </cell>
          <cell r="CY42" t="str">
            <v>0</v>
          </cell>
          <cell r="CZ42" t="str">
            <v>0</v>
          </cell>
          <cell r="DA42">
            <v>1895361</v>
          </cell>
          <cell r="DC42" t="str">
            <v>0</v>
          </cell>
          <cell r="DD42" t="str">
            <v>0</v>
          </cell>
          <cell r="DE42">
            <v>829711.69</v>
          </cell>
          <cell r="DG42" t="str">
            <v>0</v>
          </cell>
          <cell r="DH42" t="str">
            <v>0</v>
          </cell>
          <cell r="DI42">
            <v>1256022</v>
          </cell>
          <cell r="DJ42" t="str">
            <v>0</v>
          </cell>
          <cell r="DK42" t="str">
            <v>0</v>
          </cell>
          <cell r="DL42">
            <v>6357923</v>
          </cell>
          <cell r="DN42" t="str">
            <v>0</v>
          </cell>
          <cell r="DO42" t="str">
            <v>0</v>
          </cell>
          <cell r="DP42">
            <v>1895361</v>
          </cell>
          <cell r="DQ42" t="str">
            <v>0</v>
          </cell>
          <cell r="DR42" t="str">
            <v>0</v>
          </cell>
          <cell r="DS42">
            <v>2076021</v>
          </cell>
          <cell r="DT42" t="str">
            <v>0</v>
          </cell>
          <cell r="DU42" t="str">
            <v>0</v>
          </cell>
          <cell r="DV42">
            <v>1895361</v>
          </cell>
          <cell r="DW42" t="str">
            <v>0</v>
          </cell>
          <cell r="DX42" t="str">
            <v>0</v>
          </cell>
          <cell r="DY42" t="str">
            <v>0</v>
          </cell>
        </row>
        <row r="43">
          <cell r="A43" t="str">
            <v>General &amp; Administrative</v>
          </cell>
          <cell r="B43">
            <v>34351022.459999993</v>
          </cell>
          <cell r="C43">
            <v>73439132.089999974</v>
          </cell>
          <cell r="D43">
            <v>86333786.450000003</v>
          </cell>
          <cell r="E43">
            <v>89055320.965976179</v>
          </cell>
          <cell r="F43">
            <v>67285538.352877676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  <cell r="P43" t="str">
            <v>0</v>
          </cell>
          <cell r="Q43">
            <v>2108785.54</v>
          </cell>
          <cell r="R43">
            <v>16105613.560000002</v>
          </cell>
          <cell r="S43">
            <v>7584448</v>
          </cell>
          <cell r="T43">
            <v>6535074.5399999991</v>
          </cell>
          <cell r="U43">
            <v>7591483.7800000003</v>
          </cell>
          <cell r="W43">
            <v>5865406.080000001</v>
          </cell>
          <cell r="X43">
            <v>7561790.0700000003</v>
          </cell>
          <cell r="Y43">
            <v>7225923.6199999973</v>
          </cell>
          <cell r="Z43">
            <v>5479182.3299999982</v>
          </cell>
          <cell r="AA43" t="str">
            <v>0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>
            <v>484253</v>
          </cell>
          <cell r="AJ43">
            <v>634787</v>
          </cell>
          <cell r="AK43">
            <v>587678</v>
          </cell>
          <cell r="AL43">
            <v>587678</v>
          </cell>
          <cell r="AN43">
            <v>34351022.459999993</v>
          </cell>
          <cell r="AO43">
            <v>73439132.089999974</v>
          </cell>
          <cell r="AP43">
            <v>86333786.450000003</v>
          </cell>
          <cell r="AQ43" t="str">
            <v>0</v>
          </cell>
          <cell r="AR43" t="str">
            <v>0</v>
          </cell>
          <cell r="AS43" t="str">
            <v>0</v>
          </cell>
          <cell r="AT43">
            <v>2108785.54</v>
          </cell>
          <cell r="AU43">
            <v>16105613.560000002</v>
          </cell>
          <cell r="AV43">
            <v>7584448</v>
          </cell>
          <cell r="AX43">
            <v>86333786.450000003</v>
          </cell>
          <cell r="AY43" t="str">
            <v>0</v>
          </cell>
          <cell r="AZ43">
            <v>7584448</v>
          </cell>
          <cell r="BA43">
            <v>73439132.089999974</v>
          </cell>
          <cell r="BB43" t="str">
            <v>0</v>
          </cell>
          <cell r="BC43">
            <v>16105613.560000002</v>
          </cell>
          <cell r="BD43">
            <v>89055320.965976179</v>
          </cell>
          <cell r="BE43" t="str">
            <v>0</v>
          </cell>
          <cell r="BF43">
            <v>6535074.5399999991</v>
          </cell>
          <cell r="BG43">
            <v>7591483.7800000003</v>
          </cell>
          <cell r="BI43">
            <v>29528296.199999999</v>
          </cell>
          <cell r="BJ43" t="str">
            <v>0</v>
          </cell>
          <cell r="BK43">
            <v>2530148</v>
          </cell>
          <cell r="BL43">
            <v>24055780.659999989</v>
          </cell>
          <cell r="BM43" t="str">
            <v>0</v>
          </cell>
          <cell r="BN43">
            <v>3881367</v>
          </cell>
          <cell r="BO43">
            <v>30438215.130000006</v>
          </cell>
          <cell r="BP43" t="str">
            <v>0</v>
          </cell>
          <cell r="BQ43">
            <v>1480774.54</v>
          </cell>
          <cell r="BR43">
            <v>2537183.7799999998</v>
          </cell>
          <cell r="BS43">
            <v>28800941.130000006</v>
          </cell>
          <cell r="BT43" t="str">
            <v>0</v>
          </cell>
          <cell r="BU43">
            <v>1480774.54</v>
          </cell>
          <cell r="BW43">
            <v>21574505.629999999</v>
          </cell>
          <cell r="BX43" t="str">
            <v>0</v>
          </cell>
          <cell r="BY43">
            <v>1895361</v>
          </cell>
          <cell r="BZ43">
            <v>17653876.930000003</v>
          </cell>
          <cell r="CA43" t="str">
            <v>0</v>
          </cell>
          <cell r="CB43">
            <v>6537090.6699999999</v>
          </cell>
          <cell r="CC43">
            <v>21853210.595724821</v>
          </cell>
          <cell r="CD43" t="str">
            <v>0</v>
          </cell>
          <cell r="CE43">
            <v>1893273.07</v>
          </cell>
          <cell r="CF43">
            <v>1895361</v>
          </cell>
          <cell r="CG43">
            <v>12846830.339999996</v>
          </cell>
          <cell r="CH43" t="str">
            <v>0</v>
          </cell>
          <cell r="CI43">
            <v>1257710.07</v>
          </cell>
          <cell r="CK43">
            <v>22158367.989999998</v>
          </cell>
          <cell r="CL43" t="str">
            <v>0</v>
          </cell>
          <cell r="CM43">
            <v>1898361</v>
          </cell>
          <cell r="CN43">
            <v>18002946.539999992</v>
          </cell>
          <cell r="CO43" t="str">
            <v>0</v>
          </cell>
          <cell r="CP43">
            <v>3252022</v>
          </cell>
          <cell r="CQ43">
            <v>22859229.120000008</v>
          </cell>
          <cell r="CR43" t="str">
            <v>0</v>
          </cell>
          <cell r="CS43">
            <v>851075.47</v>
          </cell>
          <cell r="CT43">
            <v>1905396.78</v>
          </cell>
          <cell r="CU43">
            <v>21504192.120000008</v>
          </cell>
          <cell r="CV43" t="str">
            <v>0</v>
          </cell>
          <cell r="CW43">
            <v>851075.47</v>
          </cell>
          <cell r="CY43">
            <v>21574505.629999999</v>
          </cell>
          <cell r="CZ43" t="str">
            <v>0</v>
          </cell>
          <cell r="DA43">
            <v>1895361</v>
          </cell>
          <cell r="DC43">
            <v>21504192.120000008</v>
          </cell>
          <cell r="DD43" t="str">
            <v>0</v>
          </cell>
          <cell r="DE43">
            <v>851075.47</v>
          </cell>
          <cell r="DG43">
            <v>12846830.339999996</v>
          </cell>
          <cell r="DH43" t="str">
            <v>0</v>
          </cell>
          <cell r="DI43">
            <v>1257710.07</v>
          </cell>
          <cell r="DJ43">
            <v>17653876.930000003</v>
          </cell>
          <cell r="DK43" t="str">
            <v>0</v>
          </cell>
          <cell r="DL43">
            <v>6537090.6699999999</v>
          </cell>
          <cell r="DN43">
            <v>22534854.770125687</v>
          </cell>
          <cell r="DO43" t="str">
            <v>0</v>
          </cell>
          <cell r="DP43">
            <v>1895361</v>
          </cell>
          <cell r="DQ43">
            <v>18496506.800000004</v>
          </cell>
          <cell r="DR43" t="str">
            <v>0</v>
          </cell>
          <cell r="DS43">
            <v>2328609.02</v>
          </cell>
          <cell r="DT43">
            <v>21682440.060000002</v>
          </cell>
          <cell r="DU43" t="str">
            <v>0</v>
          </cell>
          <cell r="DV43">
            <v>1895361</v>
          </cell>
          <cell r="DW43" t="str">
            <v>0</v>
          </cell>
          <cell r="DX43" t="str">
            <v>0</v>
          </cell>
          <cell r="DY43" t="str">
            <v>0</v>
          </cell>
        </row>
        <row r="44">
          <cell r="A44" t="str">
            <v>Mattress Gallery - (Income)/Loss</v>
          </cell>
          <cell r="B44" t="str">
            <v>0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  <cell r="P44" t="str">
            <v>0</v>
          </cell>
          <cell r="Q44">
            <v>0</v>
          </cell>
          <cell r="R44">
            <v>1</v>
          </cell>
          <cell r="S44">
            <v>0</v>
          </cell>
          <cell r="T44">
            <v>0</v>
          </cell>
          <cell r="U44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>
            <v>22164</v>
          </cell>
          <cell r="AJ44">
            <v>0</v>
          </cell>
          <cell r="AK44">
            <v>0</v>
          </cell>
          <cell r="AL44">
            <v>-20732</v>
          </cell>
          <cell r="AN44" t="str">
            <v>0</v>
          </cell>
          <cell r="AO44" t="str">
            <v>0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>
            <v>0</v>
          </cell>
          <cell r="AU44">
            <v>1</v>
          </cell>
          <cell r="AV44">
            <v>0</v>
          </cell>
          <cell r="AX44" t="str">
            <v>0</v>
          </cell>
          <cell r="AY44" t="str">
            <v>0</v>
          </cell>
          <cell r="AZ44">
            <v>0</v>
          </cell>
          <cell r="BA44" t="str">
            <v>0</v>
          </cell>
          <cell r="BB44" t="str">
            <v>0</v>
          </cell>
          <cell r="BC44">
            <v>1</v>
          </cell>
          <cell r="BD44" t="str">
            <v>0</v>
          </cell>
          <cell r="BE44" t="str">
            <v>0</v>
          </cell>
          <cell r="BF44">
            <v>0</v>
          </cell>
          <cell r="BG44">
            <v>1703400</v>
          </cell>
          <cell r="BI44" t="str">
            <v>0</v>
          </cell>
          <cell r="BJ44" t="str">
            <v>0</v>
          </cell>
          <cell r="BK44">
            <v>0</v>
          </cell>
          <cell r="BL44" t="str">
            <v>0</v>
          </cell>
          <cell r="BM44" t="str">
            <v>0</v>
          </cell>
          <cell r="BN44">
            <v>-39717</v>
          </cell>
          <cell r="BO44" t="str">
            <v>0</v>
          </cell>
          <cell r="BP44" t="str">
            <v>0</v>
          </cell>
          <cell r="BQ44">
            <v>0</v>
          </cell>
          <cell r="BR44">
            <v>0</v>
          </cell>
          <cell r="BS44" t="str">
            <v>0</v>
          </cell>
          <cell r="BT44" t="str">
            <v>0</v>
          </cell>
          <cell r="BU44">
            <v>0</v>
          </cell>
          <cell r="BW44" t="str">
            <v>0</v>
          </cell>
          <cell r="BX44" t="str">
            <v>0</v>
          </cell>
          <cell r="BY44">
            <v>0</v>
          </cell>
          <cell r="BZ44" t="str">
            <v>0</v>
          </cell>
          <cell r="CA44" t="str">
            <v>0</v>
          </cell>
          <cell r="CB44">
            <v>39412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G44" t="str">
            <v>0</v>
          </cell>
          <cell r="CH44" t="str">
            <v>0</v>
          </cell>
          <cell r="CI44" t="str">
            <v>0</v>
          </cell>
          <cell r="CK44" t="str">
            <v>0</v>
          </cell>
          <cell r="CL44" t="str">
            <v>0</v>
          </cell>
          <cell r="CM44">
            <v>0</v>
          </cell>
          <cell r="CN44" t="str">
            <v>0</v>
          </cell>
          <cell r="CO44" t="str">
            <v>0</v>
          </cell>
          <cell r="CP44">
            <v>-39546</v>
          </cell>
          <cell r="CQ44" t="str">
            <v>0</v>
          </cell>
          <cell r="CR44" t="str">
            <v>0</v>
          </cell>
          <cell r="CS44">
            <v>0</v>
          </cell>
          <cell r="CT44">
            <v>0</v>
          </cell>
          <cell r="CU44" t="str">
            <v>0</v>
          </cell>
          <cell r="CV44" t="str">
            <v>0</v>
          </cell>
          <cell r="CW44">
            <v>0</v>
          </cell>
          <cell r="CY44" t="str">
            <v>0</v>
          </cell>
          <cell r="CZ44" t="str">
            <v>0</v>
          </cell>
          <cell r="DA44">
            <v>0</v>
          </cell>
          <cell r="DC44" t="str">
            <v>0</v>
          </cell>
          <cell r="DD44" t="str">
            <v>0</v>
          </cell>
          <cell r="DE44">
            <v>0</v>
          </cell>
          <cell r="DG44" t="str">
            <v>0</v>
          </cell>
          <cell r="DH44" t="str">
            <v>0</v>
          </cell>
          <cell r="DI44" t="str">
            <v>0</v>
          </cell>
          <cell r="DJ44" t="str">
            <v>0</v>
          </cell>
          <cell r="DK44" t="str">
            <v>0</v>
          </cell>
          <cell r="DL44">
            <v>39412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>
            <v>-1</v>
          </cell>
          <cell r="DT44" t="str">
            <v>0</v>
          </cell>
          <cell r="DU44" t="str">
            <v>0</v>
          </cell>
          <cell r="DV44">
            <v>0</v>
          </cell>
          <cell r="DW44" t="str">
            <v>0</v>
          </cell>
          <cell r="DX44" t="str">
            <v>0</v>
          </cell>
          <cell r="DY44" t="str">
            <v>0</v>
          </cell>
        </row>
        <row r="45">
          <cell r="A45" t="str">
            <v>Other Operating (Inc)/Exp</v>
          </cell>
          <cell r="B45">
            <v>-20010.490000000078</v>
          </cell>
          <cell r="C45">
            <v>1269560</v>
          </cell>
          <cell r="D45">
            <v>617390.28</v>
          </cell>
          <cell r="E45">
            <v>471063.62</v>
          </cell>
          <cell r="F45">
            <v>518273.43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  <cell r="P45" t="str">
            <v>0</v>
          </cell>
          <cell r="Q45">
            <v>773292.63</v>
          </cell>
          <cell r="R45">
            <v>780852.96</v>
          </cell>
          <cell r="S45">
            <v>310501</v>
          </cell>
          <cell r="T45">
            <v>1110304.98</v>
          </cell>
          <cell r="U45">
            <v>258022.37</v>
          </cell>
          <cell r="W45">
            <v>670530.9</v>
          </cell>
          <cell r="X45">
            <v>53932.94</v>
          </cell>
          <cell r="Y45">
            <v>39898.300000000003</v>
          </cell>
          <cell r="Z45">
            <v>39898.300000000003</v>
          </cell>
          <cell r="AA45" t="str">
            <v>0</v>
          </cell>
          <cell r="AB45" t="str">
            <v>0</v>
          </cell>
          <cell r="AC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>
            <v>40808.69</v>
          </cell>
          <cell r="AJ45">
            <v>25875</v>
          </cell>
          <cell r="AK45">
            <v>48334.47</v>
          </cell>
          <cell r="AL45">
            <v>27663.47</v>
          </cell>
          <cell r="AN45">
            <v>-20010.490000000078</v>
          </cell>
          <cell r="AO45">
            <v>1269560</v>
          </cell>
          <cell r="AP45">
            <v>617390.28</v>
          </cell>
          <cell r="AQ45" t="str">
            <v>0</v>
          </cell>
          <cell r="AR45" t="str">
            <v>0</v>
          </cell>
          <cell r="AS45" t="str">
            <v>0</v>
          </cell>
          <cell r="AT45">
            <v>773292.63</v>
          </cell>
          <cell r="AU45">
            <v>780852.96</v>
          </cell>
          <cell r="AV45">
            <v>310501</v>
          </cell>
          <cell r="AX45">
            <v>617390.28</v>
          </cell>
          <cell r="AY45" t="str">
            <v>0</v>
          </cell>
          <cell r="AZ45">
            <v>310501</v>
          </cell>
          <cell r="BA45">
            <v>1269560</v>
          </cell>
          <cell r="BB45" t="str">
            <v>0</v>
          </cell>
          <cell r="BC45">
            <v>780852.96</v>
          </cell>
          <cell r="BD45">
            <v>471063.62</v>
          </cell>
          <cell r="BE45" t="str">
            <v>0</v>
          </cell>
          <cell r="BF45">
            <v>1110304.98</v>
          </cell>
          <cell r="BG45">
            <v>2012237.37</v>
          </cell>
          <cell r="BI45">
            <v>212814.76</v>
          </cell>
          <cell r="BJ45" t="str">
            <v>0</v>
          </cell>
          <cell r="BK45">
            <v>103500</v>
          </cell>
          <cell r="BL45">
            <v>927393.73</v>
          </cell>
          <cell r="BM45" t="str">
            <v>0</v>
          </cell>
          <cell r="BN45">
            <v>-94048.320000000007</v>
          </cell>
          <cell r="BO45">
            <v>-518.90000000006694</v>
          </cell>
          <cell r="BP45" t="str">
            <v>0</v>
          </cell>
          <cell r="BQ45">
            <v>948535.98</v>
          </cell>
          <cell r="BR45">
            <v>118105.37</v>
          </cell>
          <cell r="BS45">
            <v>-518.90000000006694</v>
          </cell>
          <cell r="BT45" t="str">
            <v>0</v>
          </cell>
          <cell r="BU45">
            <v>938283.98</v>
          </cell>
          <cell r="BW45">
            <v>151700.82</v>
          </cell>
          <cell r="BX45" t="str">
            <v>0</v>
          </cell>
          <cell r="BY45">
            <v>77625</v>
          </cell>
          <cell r="BZ45">
            <v>585512.29</v>
          </cell>
          <cell r="CA45" t="str">
            <v>0</v>
          </cell>
          <cell r="CB45">
            <v>118548.4</v>
          </cell>
          <cell r="CC45">
            <v>-456154.8</v>
          </cell>
          <cell r="CD45" t="str">
            <v>0</v>
          </cell>
          <cell r="CE45">
            <v>868732.61</v>
          </cell>
          <cell r="CF45">
            <v>55364</v>
          </cell>
          <cell r="CG45">
            <v>-593542.27</v>
          </cell>
          <cell r="CH45" t="str">
            <v>0</v>
          </cell>
          <cell r="CI45">
            <v>675070.26</v>
          </cell>
          <cell r="CK45">
            <v>162760.82</v>
          </cell>
          <cell r="CL45" t="str">
            <v>0</v>
          </cell>
          <cell r="CM45">
            <v>77625</v>
          </cell>
          <cell r="CN45">
            <v>671021.32999999996</v>
          </cell>
          <cell r="CO45" t="str">
            <v>0</v>
          </cell>
          <cell r="CP45">
            <v>-47137.57</v>
          </cell>
          <cell r="CQ45">
            <v>573531.78</v>
          </cell>
          <cell r="CR45" t="str">
            <v>0</v>
          </cell>
          <cell r="CS45">
            <v>98596.37</v>
          </cell>
          <cell r="CT45">
            <v>98222.37</v>
          </cell>
          <cell r="CU45">
            <v>573531.78</v>
          </cell>
          <cell r="CV45" t="str">
            <v>0</v>
          </cell>
          <cell r="CW45">
            <v>98222.37</v>
          </cell>
          <cell r="CY45">
            <v>151700.82</v>
          </cell>
          <cell r="CZ45" t="str">
            <v>0</v>
          </cell>
          <cell r="DA45">
            <v>77625</v>
          </cell>
          <cell r="DC45">
            <v>573531.78</v>
          </cell>
          <cell r="DD45" t="str">
            <v>0</v>
          </cell>
          <cell r="DE45">
            <v>98222.37</v>
          </cell>
          <cell r="DG45">
            <v>-593542.27</v>
          </cell>
          <cell r="DH45" t="str">
            <v>0</v>
          </cell>
          <cell r="DI45">
            <v>675070.26</v>
          </cell>
          <cell r="DJ45">
            <v>585512.29</v>
          </cell>
          <cell r="DK45" t="str">
            <v>0</v>
          </cell>
          <cell r="DL45">
            <v>118548.4</v>
          </cell>
          <cell r="DN45">
            <v>176843.82</v>
          </cell>
          <cell r="DO45" t="str">
            <v>0</v>
          </cell>
          <cell r="DP45">
            <v>71500</v>
          </cell>
          <cell r="DQ45">
            <v>115686.61</v>
          </cell>
          <cell r="DR45" t="str">
            <v>0</v>
          </cell>
          <cell r="DS45">
            <v>494059.65</v>
          </cell>
          <cell r="DT45">
            <v>146618.82</v>
          </cell>
          <cell r="DU45" t="str">
            <v>0</v>
          </cell>
          <cell r="DV45">
            <v>77625</v>
          </cell>
          <cell r="DW45" t="str">
            <v>0</v>
          </cell>
          <cell r="DX45" t="str">
            <v>0</v>
          </cell>
          <cell r="DY45" t="str">
            <v>0</v>
          </cell>
        </row>
        <row r="46">
          <cell r="A46" t="str">
            <v>ACQUISITION COSTS-G</v>
          </cell>
          <cell r="B46" t="str">
            <v>0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  <cell r="P46" t="str">
            <v>0</v>
          </cell>
          <cell r="Q46">
            <v>607591.64</v>
          </cell>
          <cell r="R46">
            <v>893952.62</v>
          </cell>
          <cell r="S46" t="str">
            <v>0</v>
          </cell>
          <cell r="T46">
            <v>799763.23</v>
          </cell>
          <cell r="U46">
            <v>23906.85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C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>
            <v>23906.85</v>
          </cell>
          <cell r="AL46">
            <v>23906.85</v>
          </cell>
          <cell r="AN46" t="str">
            <v>0</v>
          </cell>
          <cell r="AO46" t="str">
            <v>0</v>
          </cell>
          <cell r="AP46" t="str">
            <v>0</v>
          </cell>
          <cell r="AQ46" t="str">
            <v>0</v>
          </cell>
          <cell r="AR46" t="str">
            <v>0</v>
          </cell>
          <cell r="AS46" t="str">
            <v>0</v>
          </cell>
          <cell r="AT46">
            <v>607591.64</v>
          </cell>
          <cell r="AU46">
            <v>893952.62</v>
          </cell>
          <cell r="AV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>
            <v>893952.62</v>
          </cell>
          <cell r="BD46" t="str">
            <v>0</v>
          </cell>
          <cell r="BE46" t="str">
            <v>0</v>
          </cell>
          <cell r="BF46">
            <v>799763.23</v>
          </cell>
          <cell r="BG46">
            <v>23906.85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>
            <v>395730.5</v>
          </cell>
          <cell r="BO46" t="str">
            <v>0</v>
          </cell>
          <cell r="BP46" t="str">
            <v>0</v>
          </cell>
          <cell r="BQ46">
            <v>799763.23</v>
          </cell>
          <cell r="BR46">
            <v>23906.85</v>
          </cell>
          <cell r="BS46" t="str">
            <v>0</v>
          </cell>
          <cell r="BT46" t="str">
            <v>0</v>
          </cell>
          <cell r="BU46">
            <v>799763.23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>
            <v>454976.24</v>
          </cell>
          <cell r="CC46" t="str">
            <v>0</v>
          </cell>
          <cell r="CD46" t="str">
            <v>0</v>
          </cell>
          <cell r="CE46">
            <v>775856.38</v>
          </cell>
          <cell r="CF46" t="str">
            <v>0</v>
          </cell>
          <cell r="CG46" t="str">
            <v>0</v>
          </cell>
          <cell r="CH46" t="str">
            <v>0</v>
          </cell>
          <cell r="CI46">
            <v>583684.79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>
            <v>23906.85</v>
          </cell>
          <cell r="CT46">
            <v>23906.85</v>
          </cell>
          <cell r="CU46" t="str">
            <v>0</v>
          </cell>
          <cell r="CV46" t="str">
            <v>0</v>
          </cell>
          <cell r="CW46">
            <v>23906.85</v>
          </cell>
          <cell r="CY46" t="str">
            <v>0</v>
          </cell>
          <cell r="CZ46" t="str">
            <v>0</v>
          </cell>
          <cell r="DA46" t="str">
            <v>0</v>
          </cell>
          <cell r="DC46" t="str">
            <v>0</v>
          </cell>
          <cell r="DD46" t="str">
            <v>0</v>
          </cell>
          <cell r="DE46">
            <v>23906.85</v>
          </cell>
          <cell r="DG46" t="str">
            <v>0</v>
          </cell>
          <cell r="DH46" t="str">
            <v>0</v>
          </cell>
          <cell r="DI46">
            <v>583684.79</v>
          </cell>
          <cell r="DJ46" t="str">
            <v>0</v>
          </cell>
          <cell r="DK46" t="str">
            <v>0</v>
          </cell>
          <cell r="DL46">
            <v>454976.24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>
            <v>350984.68</v>
          </cell>
          <cell r="DT46" t="str">
            <v>0</v>
          </cell>
          <cell r="DU46" t="str">
            <v>0</v>
          </cell>
          <cell r="DV46" t="str">
            <v>0</v>
          </cell>
          <cell r="DW46" t="str">
            <v>0</v>
          </cell>
          <cell r="DX46" t="str">
            <v>0</v>
          </cell>
          <cell r="DY46" t="str">
            <v>0</v>
          </cell>
        </row>
        <row r="47">
          <cell r="A47" t="str">
            <v>Total Operating Expense</v>
          </cell>
          <cell r="B47">
            <v>58855258.920000054</v>
          </cell>
          <cell r="C47">
            <v>130897160.54999992</v>
          </cell>
          <cell r="D47">
            <v>136989921.87</v>
          </cell>
          <cell r="E47">
            <v>128311595.42597614</v>
          </cell>
          <cell r="F47">
            <v>95423559.622877717</v>
          </cell>
          <cell r="G47">
            <v>48423507.649999999</v>
          </cell>
          <cell r="H47">
            <v>108648549.19000003</v>
          </cell>
          <cell r="I47">
            <v>131965540.95999999</v>
          </cell>
          <cell r="J47">
            <v>93021578.439604044</v>
          </cell>
          <cell r="K47">
            <v>91891270.33992967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 t="str">
            <v>0</v>
          </cell>
          <cell r="Q47">
            <v>2882078.17</v>
          </cell>
          <cell r="R47">
            <v>16886466.520000003</v>
          </cell>
          <cell r="S47">
            <v>7894949</v>
          </cell>
          <cell r="T47">
            <v>7645379.5199999986</v>
          </cell>
          <cell r="U47">
            <v>7849506.1500000004</v>
          </cell>
          <cell r="W47">
            <v>10865308.410000002</v>
          </cell>
          <cell r="X47">
            <v>11910968.499999998</v>
          </cell>
          <cell r="Y47">
            <v>12623931.049999997</v>
          </cell>
          <cell r="Z47">
            <v>10173197.75999999</v>
          </cell>
          <cell r="AA47">
            <v>14381266.199999999</v>
          </cell>
          <cell r="AB47">
            <v>12032917.33</v>
          </cell>
          <cell r="AC47">
            <v>10238595.630000001</v>
          </cell>
          <cell r="AD47">
            <v>10710207.49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>
            <v>525061.68999999994</v>
          </cell>
          <cell r="AJ47">
            <v>660662</v>
          </cell>
          <cell r="AK47">
            <v>636012.47</v>
          </cell>
          <cell r="AL47">
            <v>615341.47</v>
          </cell>
          <cell r="AN47">
            <v>58855258.920000054</v>
          </cell>
          <cell r="AO47">
            <v>130897160.54999992</v>
          </cell>
          <cell r="AP47">
            <v>136989921.87</v>
          </cell>
          <cell r="AQ47">
            <v>48423507.649999999</v>
          </cell>
          <cell r="AR47">
            <v>108648549.19000003</v>
          </cell>
          <cell r="AS47">
            <v>131965540.95999999</v>
          </cell>
          <cell r="AT47">
            <v>2882078.17</v>
          </cell>
          <cell r="AU47">
            <v>16886466.520000003</v>
          </cell>
          <cell r="AV47">
            <v>7894949</v>
          </cell>
          <cell r="AX47">
            <v>136989921.87</v>
          </cell>
          <cell r="AY47">
            <v>131965540.95999999</v>
          </cell>
          <cell r="AZ47">
            <v>7894949</v>
          </cell>
          <cell r="BA47">
            <v>130897160.54999991</v>
          </cell>
          <cell r="BB47">
            <v>108648549.19000003</v>
          </cell>
          <cell r="BC47">
            <v>16886466.520000003</v>
          </cell>
          <cell r="BD47">
            <v>128311595.42597616</v>
          </cell>
          <cell r="BE47">
            <v>93021578.439604044</v>
          </cell>
          <cell r="BF47">
            <v>7645379.5199999986</v>
          </cell>
          <cell r="BG47">
            <v>9603721.1500000004</v>
          </cell>
          <cell r="BI47">
            <v>46421449.769999996</v>
          </cell>
          <cell r="BJ47">
            <v>44286446.32</v>
          </cell>
          <cell r="BK47">
            <v>2633648</v>
          </cell>
          <cell r="BL47">
            <v>42922115.849999987</v>
          </cell>
          <cell r="BM47">
            <v>46146996.910000004</v>
          </cell>
          <cell r="BN47">
            <v>3787318.68</v>
          </cell>
          <cell r="BO47">
            <v>50763751.990000024</v>
          </cell>
          <cell r="BP47">
            <v>35955892.320000008</v>
          </cell>
          <cell r="BQ47">
            <v>2429310.52</v>
          </cell>
          <cell r="BR47">
            <v>2655289.15</v>
          </cell>
          <cell r="BS47">
            <v>46448958.990000017</v>
          </cell>
          <cell r="BT47">
            <v>37697229.320000008</v>
          </cell>
          <cell r="BU47">
            <v>2419058.52</v>
          </cell>
          <cell r="BW47">
            <v>34146381.04999999</v>
          </cell>
          <cell r="BX47">
            <v>32278929.989999998</v>
          </cell>
          <cell r="BY47">
            <v>1972986</v>
          </cell>
          <cell r="BZ47">
            <v>32129346.119999982</v>
          </cell>
          <cell r="CA47">
            <v>24457589.870000001</v>
          </cell>
          <cell r="CB47">
            <v>6655639.0700000003</v>
          </cell>
          <cell r="CC47">
            <v>31206133.575724814</v>
          </cell>
          <cell r="CD47">
            <v>23365998.94696391</v>
          </cell>
          <cell r="CE47">
            <v>2762005.68</v>
          </cell>
          <cell r="CF47">
            <v>1950725</v>
          </cell>
          <cell r="CG47">
            <v>23903803.52</v>
          </cell>
          <cell r="CH47">
            <v>21034501.309999999</v>
          </cell>
          <cell r="CI47">
            <v>1932780.33</v>
          </cell>
          <cell r="CK47">
            <v>34753908.509999998</v>
          </cell>
          <cell r="CL47">
            <v>32449872.989999998</v>
          </cell>
          <cell r="CM47">
            <v>1975986</v>
          </cell>
          <cell r="CN47">
            <v>31442626.510000024</v>
          </cell>
          <cell r="CO47">
            <v>34288017.800000004</v>
          </cell>
          <cell r="CP47">
            <v>3204884.43</v>
          </cell>
          <cell r="CQ47">
            <v>38317044.399999999</v>
          </cell>
          <cell r="CR47">
            <v>26021537.34</v>
          </cell>
          <cell r="CS47">
            <v>949671.84</v>
          </cell>
          <cell r="CT47">
            <v>2003619.15</v>
          </cell>
          <cell r="CU47">
            <v>34951455.399999991</v>
          </cell>
          <cell r="CV47">
            <v>27389006.34</v>
          </cell>
          <cell r="CW47">
            <v>949297.84</v>
          </cell>
          <cell r="CY47">
            <v>34146381.04999999</v>
          </cell>
          <cell r="CZ47">
            <v>32278929.989999998</v>
          </cell>
          <cell r="DA47">
            <v>1972986</v>
          </cell>
          <cell r="DC47">
            <v>34951455.399999991</v>
          </cell>
          <cell r="DD47">
            <v>27389006.34</v>
          </cell>
          <cell r="DE47">
            <v>949297.84</v>
          </cell>
          <cell r="DG47">
            <v>23903803.52</v>
          </cell>
          <cell r="DH47">
            <v>21034501.309999999</v>
          </cell>
          <cell r="DI47">
            <v>1932780.33</v>
          </cell>
          <cell r="DJ47">
            <v>32129346.119999982</v>
          </cell>
          <cell r="DK47">
            <v>24457589.870000001</v>
          </cell>
          <cell r="DL47">
            <v>6655639.0700000003</v>
          </cell>
          <cell r="DN47">
            <v>29858276.370125685</v>
          </cell>
          <cell r="DO47">
            <v>23610676.786346234</v>
          </cell>
          <cell r="DP47">
            <v>1966861</v>
          </cell>
          <cell r="DQ47">
            <v>33593485.649999999</v>
          </cell>
          <cell r="DR47">
            <v>29052983.130000003</v>
          </cell>
          <cell r="DS47">
            <v>2822668.67</v>
          </cell>
          <cell r="DT47">
            <v>34574992.909999996</v>
          </cell>
          <cell r="DU47">
            <v>36319204.990000002</v>
          </cell>
          <cell r="DV47">
            <v>1972986</v>
          </cell>
          <cell r="DW47" t="str">
            <v>0</v>
          </cell>
          <cell r="DX47" t="str">
            <v>0</v>
          </cell>
          <cell r="DY47" t="str">
            <v>0</v>
          </cell>
        </row>
        <row r="48">
          <cell r="A48" t="str">
            <v>Royalty Inc.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>
            <v>-3594103.14</v>
          </cell>
          <cell r="R48">
            <v>-8606880.1399999969</v>
          </cell>
          <cell r="S48">
            <v>-10633322.08</v>
          </cell>
          <cell r="T48">
            <v>-10143354.119999999</v>
          </cell>
          <cell r="U48">
            <v>-10019886.4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>
            <v>-825694.71999999997</v>
          </cell>
          <cell r="AJ48">
            <v>-886111.21</v>
          </cell>
          <cell r="AK48">
            <v>-837914.71</v>
          </cell>
          <cell r="AL48">
            <v>-837914.71</v>
          </cell>
          <cell r="AN48" t="str">
            <v>0</v>
          </cell>
          <cell r="AO48" t="str">
            <v>0</v>
          </cell>
          <cell r="AP48" t="str">
            <v>0</v>
          </cell>
          <cell r="AQ48" t="str">
            <v>0</v>
          </cell>
          <cell r="AR48" t="str">
            <v>0</v>
          </cell>
          <cell r="AS48" t="str">
            <v>0</v>
          </cell>
          <cell r="AT48">
            <v>-3594103.14</v>
          </cell>
          <cell r="AU48">
            <v>-8606880.1399999969</v>
          </cell>
          <cell r="AV48">
            <v>-10633322.08</v>
          </cell>
          <cell r="AX48" t="str">
            <v>0</v>
          </cell>
          <cell r="AY48" t="str">
            <v>0</v>
          </cell>
          <cell r="AZ48">
            <v>-10633322.08</v>
          </cell>
          <cell r="BA48" t="str">
            <v>0</v>
          </cell>
          <cell r="BB48" t="str">
            <v>0</v>
          </cell>
          <cell r="BC48">
            <v>-8606880.1399999987</v>
          </cell>
          <cell r="BD48" t="str">
            <v>0</v>
          </cell>
          <cell r="BE48" t="str">
            <v>0</v>
          </cell>
          <cell r="BF48">
            <v>-10143354.119999999</v>
          </cell>
          <cell r="BG48">
            <v>-10265886.4</v>
          </cell>
          <cell r="BI48" t="str">
            <v>0</v>
          </cell>
          <cell r="BJ48" t="str">
            <v>0</v>
          </cell>
          <cell r="BK48">
            <v>-3544444.72</v>
          </cell>
          <cell r="BL48" t="str">
            <v>0</v>
          </cell>
          <cell r="BM48" t="str">
            <v>0</v>
          </cell>
          <cell r="BN48">
            <v>-3787625.65</v>
          </cell>
          <cell r="BO48" t="str">
            <v>0</v>
          </cell>
          <cell r="BP48" t="str">
            <v>0</v>
          </cell>
          <cell r="BQ48">
            <v>-3369476.76</v>
          </cell>
          <cell r="BR48">
            <v>-3259009.04</v>
          </cell>
          <cell r="BS48" t="str">
            <v>0</v>
          </cell>
          <cell r="BT48" t="str">
            <v>0</v>
          </cell>
          <cell r="BU48">
            <v>-3369476.76</v>
          </cell>
          <cell r="BW48" t="str">
            <v>0</v>
          </cell>
          <cell r="BX48" t="str">
            <v>0</v>
          </cell>
          <cell r="BY48">
            <v>-2658333.5099999998</v>
          </cell>
          <cell r="BZ48" t="str">
            <v>0</v>
          </cell>
          <cell r="CA48" t="str">
            <v>0</v>
          </cell>
          <cell r="CB48">
            <v>-2172706.31</v>
          </cell>
          <cell r="CC48" t="str">
            <v>0</v>
          </cell>
          <cell r="CD48" t="str">
            <v>0</v>
          </cell>
          <cell r="CE48">
            <v>-2663301.23</v>
          </cell>
          <cell r="CF48">
            <v>-2535333.5099999998</v>
          </cell>
          <cell r="CG48" t="str">
            <v>0</v>
          </cell>
          <cell r="CH48" t="str">
            <v>0</v>
          </cell>
          <cell r="CI48">
            <v>-1180205.27</v>
          </cell>
          <cell r="CK48" t="str">
            <v>0</v>
          </cell>
          <cell r="CL48" t="str">
            <v>0</v>
          </cell>
          <cell r="CM48">
            <v>-2658333.5499999998</v>
          </cell>
          <cell r="CN48" t="str">
            <v>0</v>
          </cell>
          <cell r="CO48" t="str">
            <v>0</v>
          </cell>
          <cell r="CP48">
            <v>-2611606.71</v>
          </cell>
          <cell r="CQ48" t="str">
            <v>0</v>
          </cell>
          <cell r="CR48" t="str">
            <v>0</v>
          </cell>
          <cell r="CS48">
            <v>-2413897.87</v>
          </cell>
          <cell r="CT48">
            <v>-2413897.87</v>
          </cell>
          <cell r="CU48" t="str">
            <v>0</v>
          </cell>
          <cell r="CV48" t="str">
            <v>0</v>
          </cell>
          <cell r="CW48">
            <v>-2413897.87</v>
          </cell>
          <cell r="CY48" t="str">
            <v>0</v>
          </cell>
          <cell r="CZ48" t="str">
            <v>0</v>
          </cell>
          <cell r="DA48">
            <v>-2658333.5099999998</v>
          </cell>
          <cell r="DC48" t="str">
            <v>0</v>
          </cell>
          <cell r="DD48" t="str">
            <v>0</v>
          </cell>
          <cell r="DE48">
            <v>-2413897.87</v>
          </cell>
          <cell r="DG48" t="str">
            <v>0</v>
          </cell>
          <cell r="DH48" t="str">
            <v>0</v>
          </cell>
          <cell r="DI48">
            <v>-1180205.27</v>
          </cell>
          <cell r="DJ48" t="str">
            <v>0</v>
          </cell>
          <cell r="DK48" t="str">
            <v>0</v>
          </cell>
          <cell r="DL48">
            <v>-2172706.31</v>
          </cell>
          <cell r="DN48" t="str">
            <v>0</v>
          </cell>
          <cell r="DO48" t="str">
            <v>0</v>
          </cell>
          <cell r="DP48">
            <v>-2533083.5099999998</v>
          </cell>
          <cell r="DQ48" t="str">
            <v>0</v>
          </cell>
          <cell r="DR48" t="str">
            <v>0</v>
          </cell>
          <cell r="DS48">
            <v>-2142086.73</v>
          </cell>
          <cell r="DT48" t="str">
            <v>0</v>
          </cell>
          <cell r="DU48" t="str">
            <v>0</v>
          </cell>
          <cell r="DV48">
            <v>-2658333.5099999998</v>
          </cell>
          <cell r="DW48" t="str">
            <v>0</v>
          </cell>
          <cell r="DX48" t="str">
            <v>0</v>
          </cell>
          <cell r="DY48" t="str">
            <v>0</v>
          </cell>
        </row>
        <row r="49">
          <cell r="A49" t="str">
            <v>SG&amp;A</v>
          </cell>
          <cell r="B49">
            <v>58855258.920000054</v>
          </cell>
          <cell r="C49">
            <v>130897160.54999992</v>
          </cell>
          <cell r="D49">
            <v>136989921.87</v>
          </cell>
          <cell r="E49">
            <v>128311595.42597614</v>
          </cell>
          <cell r="F49">
            <v>95423559.622877717</v>
          </cell>
          <cell r="G49">
            <v>48423507.649999999</v>
          </cell>
          <cell r="H49">
            <v>108648549.19000003</v>
          </cell>
          <cell r="I49">
            <v>131965540.95999999</v>
          </cell>
          <cell r="J49">
            <v>93021578.439604044</v>
          </cell>
          <cell r="K49">
            <v>91891270.33992967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 t="str">
            <v>0</v>
          </cell>
          <cell r="Q49">
            <v>-712024.97</v>
          </cell>
          <cell r="R49">
            <v>8279586.3800000055</v>
          </cell>
          <cell r="S49">
            <v>-2738373.08</v>
          </cell>
          <cell r="T49">
            <v>-2497974.6</v>
          </cell>
          <cell r="U49">
            <v>-2170380.25</v>
          </cell>
          <cell r="W49">
            <v>10865308.410000002</v>
          </cell>
          <cell r="X49">
            <v>11910968.499999998</v>
          </cell>
          <cell r="Y49">
            <v>12623931.049999997</v>
          </cell>
          <cell r="Z49">
            <v>10173197.75999999</v>
          </cell>
          <cell r="AA49">
            <v>14381266.199999999</v>
          </cell>
          <cell r="AB49">
            <v>12032917.33</v>
          </cell>
          <cell r="AC49">
            <v>10238595.630000001</v>
          </cell>
          <cell r="AD49">
            <v>10710207.49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>
            <v>-300633.03000000003</v>
          </cell>
          <cell r="AJ49">
            <v>-225449.21</v>
          </cell>
          <cell r="AK49">
            <v>-201902.24</v>
          </cell>
          <cell r="AL49">
            <v>-222573.24</v>
          </cell>
          <cell r="AN49">
            <v>58855258.920000054</v>
          </cell>
          <cell r="AO49">
            <v>130897160.54999992</v>
          </cell>
          <cell r="AP49">
            <v>136989921.87</v>
          </cell>
          <cell r="AQ49">
            <v>48423507.649999999</v>
          </cell>
          <cell r="AR49">
            <v>108648549.19000003</v>
          </cell>
          <cell r="AS49">
            <v>131965540.95999999</v>
          </cell>
          <cell r="AT49">
            <v>-712024.97</v>
          </cell>
          <cell r="AU49">
            <v>8279586.3800000055</v>
          </cell>
          <cell r="AV49">
            <v>-2738373.08</v>
          </cell>
          <cell r="AX49">
            <v>136989921.87</v>
          </cell>
          <cell r="AY49">
            <v>131965540.95999999</v>
          </cell>
          <cell r="AZ49">
            <v>-2738373.08</v>
          </cell>
          <cell r="BA49">
            <v>130897160.54999991</v>
          </cell>
          <cell r="BB49">
            <v>108648549.19000003</v>
          </cell>
          <cell r="BC49">
            <v>8279586.3800000055</v>
          </cell>
          <cell r="BD49">
            <v>128311595.42597616</v>
          </cell>
          <cell r="BE49">
            <v>93021578.439604044</v>
          </cell>
          <cell r="BF49">
            <v>-2497974.6</v>
          </cell>
          <cell r="BG49">
            <v>-662165.24999999942</v>
          </cell>
          <cell r="BI49">
            <v>46421449.769999996</v>
          </cell>
          <cell r="BJ49">
            <v>44286446.32</v>
          </cell>
          <cell r="BK49">
            <v>-910796.72</v>
          </cell>
          <cell r="BL49">
            <v>42922115.849999987</v>
          </cell>
          <cell r="BM49">
            <v>46146996.910000004</v>
          </cell>
          <cell r="BN49">
            <v>-306.96999999985565</v>
          </cell>
          <cell r="BO49">
            <v>50763751.990000024</v>
          </cell>
          <cell r="BP49">
            <v>35955892.320000008</v>
          </cell>
          <cell r="BQ49">
            <v>-940166.24</v>
          </cell>
          <cell r="BR49">
            <v>-603719.89</v>
          </cell>
          <cell r="BS49">
            <v>46448958.990000017</v>
          </cell>
          <cell r="BT49">
            <v>37697229.320000008</v>
          </cell>
          <cell r="BU49">
            <v>-950418.24</v>
          </cell>
          <cell r="BW49">
            <v>34146381.04999999</v>
          </cell>
          <cell r="BX49">
            <v>32278929.989999998</v>
          </cell>
          <cell r="BY49">
            <v>-685347.51</v>
          </cell>
          <cell r="BZ49">
            <v>32129346.119999982</v>
          </cell>
          <cell r="CA49">
            <v>24457589.870000001</v>
          </cell>
          <cell r="CB49">
            <v>4482932.76</v>
          </cell>
          <cell r="CC49">
            <v>31206133.575724814</v>
          </cell>
          <cell r="CD49">
            <v>23365998.94696391</v>
          </cell>
          <cell r="CE49">
            <v>98704.450000000274</v>
          </cell>
          <cell r="CF49">
            <v>-584608.51</v>
          </cell>
          <cell r="CG49">
            <v>23903803.52</v>
          </cell>
          <cell r="CH49">
            <v>21034501.309999999</v>
          </cell>
          <cell r="CI49">
            <v>752575.06</v>
          </cell>
          <cell r="CK49">
            <v>34753908.509999998</v>
          </cell>
          <cell r="CL49">
            <v>32449872.989999998</v>
          </cell>
          <cell r="CM49">
            <v>-682347.55</v>
          </cell>
          <cell r="CN49">
            <v>31442626.510000024</v>
          </cell>
          <cell r="CO49">
            <v>34288017.800000004</v>
          </cell>
          <cell r="CP49">
            <v>593277.72</v>
          </cell>
          <cell r="CQ49">
            <v>38317044.399999999</v>
          </cell>
          <cell r="CR49">
            <v>26021537.34</v>
          </cell>
          <cell r="CS49">
            <v>-1464226.03</v>
          </cell>
          <cell r="CT49">
            <v>-410278.72</v>
          </cell>
          <cell r="CU49">
            <v>34951455.399999991</v>
          </cell>
          <cell r="CV49">
            <v>27389006.34</v>
          </cell>
          <cell r="CW49">
            <v>-1464600.03</v>
          </cell>
          <cell r="CY49">
            <v>34146381.04999999</v>
          </cell>
          <cell r="CZ49">
            <v>32278929.989999998</v>
          </cell>
          <cell r="DA49">
            <v>-685347.51</v>
          </cell>
          <cell r="DC49">
            <v>34951455.399999991</v>
          </cell>
          <cell r="DD49">
            <v>27389006.34</v>
          </cell>
          <cell r="DE49">
            <v>-1464600.03</v>
          </cell>
          <cell r="DG49">
            <v>23903803.52</v>
          </cell>
          <cell r="DH49">
            <v>21034501.309999999</v>
          </cell>
          <cell r="DI49">
            <v>752575.06</v>
          </cell>
          <cell r="DJ49">
            <v>32129346.119999982</v>
          </cell>
          <cell r="DK49">
            <v>24457589.870000001</v>
          </cell>
          <cell r="DL49">
            <v>4482932.76</v>
          </cell>
          <cell r="DN49">
            <v>29858276.370125685</v>
          </cell>
          <cell r="DO49">
            <v>23610676.786346234</v>
          </cell>
          <cell r="DP49">
            <v>-566222.51</v>
          </cell>
          <cell r="DQ49">
            <v>33593485.649999999</v>
          </cell>
          <cell r="DR49">
            <v>29052983.130000003</v>
          </cell>
          <cell r="DS49">
            <v>680581.93999999948</v>
          </cell>
          <cell r="DT49">
            <v>34574992.909999996</v>
          </cell>
          <cell r="DU49">
            <v>36319204.990000002</v>
          </cell>
          <cell r="DV49">
            <v>-685347.51</v>
          </cell>
          <cell r="DW49" t="str">
            <v>0</v>
          </cell>
          <cell r="DX49" t="str">
            <v>0</v>
          </cell>
          <cell r="DY49" t="str">
            <v>0</v>
          </cell>
        </row>
        <row r="50">
          <cell r="A50" t="str">
            <v>Operating Income</v>
          </cell>
          <cell r="B50">
            <v>78738159.449999958</v>
          </cell>
          <cell r="C50">
            <v>173137724.35000008</v>
          </cell>
          <cell r="D50">
            <v>185603415.87</v>
          </cell>
          <cell r="E50">
            <v>149702614.16597614</v>
          </cell>
          <cell r="F50">
            <v>112444043.01287773</v>
          </cell>
          <cell r="G50">
            <v>229428664.24999997</v>
          </cell>
          <cell r="H50">
            <v>513097204.34999985</v>
          </cell>
          <cell r="I50">
            <v>558602886.96000004</v>
          </cell>
          <cell r="J50">
            <v>561272483.31737089</v>
          </cell>
          <cell r="K50">
            <v>521368331.39138871</v>
          </cell>
          <cell r="L50">
            <v>342940819.72999996</v>
          </cell>
          <cell r="M50">
            <v>760635428.82000017</v>
          </cell>
          <cell r="N50">
            <v>834106936</v>
          </cell>
          <cell r="O50">
            <v>873972739.34144032</v>
          </cell>
          <cell r="P50">
            <v>783240163.8588562</v>
          </cell>
          <cell r="Q50">
            <v>-712024.97</v>
          </cell>
          <cell r="R50">
            <v>8279586.3800000055</v>
          </cell>
          <cell r="S50">
            <v>-2738373.08</v>
          </cell>
          <cell r="T50">
            <v>-2497974.6</v>
          </cell>
          <cell r="U50">
            <v>-2170380.25</v>
          </cell>
          <cell r="W50">
            <v>14393024.779999997</v>
          </cell>
          <cell r="X50">
            <v>16011172.499999998</v>
          </cell>
          <cell r="Y50">
            <v>16417419.879999999</v>
          </cell>
          <cell r="Z50">
            <v>13966686.589999994</v>
          </cell>
          <cell r="AA50">
            <v>54009939.859999985</v>
          </cell>
          <cell r="AB50">
            <v>49826469.329999998</v>
          </cell>
          <cell r="AC50">
            <v>53105065.210000008</v>
          </cell>
          <cell r="AD50">
            <v>51276865.540000007</v>
          </cell>
          <cell r="AE50">
            <v>76942183.449999988</v>
          </cell>
          <cell r="AF50">
            <v>75177083</v>
          </cell>
          <cell r="AG50">
            <v>81424135.219999999</v>
          </cell>
          <cell r="AH50">
            <v>75212494.439999998</v>
          </cell>
          <cell r="AI50">
            <v>-300633.03000000003</v>
          </cell>
          <cell r="AJ50">
            <v>-225449.21</v>
          </cell>
          <cell r="AK50">
            <v>-201902.24</v>
          </cell>
          <cell r="AL50">
            <v>-222573.24</v>
          </cell>
          <cell r="AN50">
            <v>78738159.449999958</v>
          </cell>
          <cell r="AO50">
            <v>173137724.35000008</v>
          </cell>
          <cell r="AP50">
            <v>185603415.87</v>
          </cell>
          <cell r="AQ50">
            <v>229428664.24999997</v>
          </cell>
          <cell r="AR50">
            <v>513097204.34999985</v>
          </cell>
          <cell r="AS50">
            <v>558602886.96000004</v>
          </cell>
          <cell r="AT50">
            <v>-712024.97</v>
          </cell>
          <cell r="AU50">
            <v>8279586.3800000055</v>
          </cell>
          <cell r="AV50">
            <v>-2738373.08</v>
          </cell>
          <cell r="AX50">
            <v>185603415.87</v>
          </cell>
          <cell r="AY50">
            <v>558602886.96000004</v>
          </cell>
          <cell r="AZ50">
            <v>-2738373.08</v>
          </cell>
          <cell r="BA50">
            <v>173137724.35000008</v>
          </cell>
          <cell r="BB50">
            <v>513097204.34999996</v>
          </cell>
          <cell r="BC50">
            <v>8279586.3800000055</v>
          </cell>
          <cell r="BD50">
            <v>149702614.16597614</v>
          </cell>
          <cell r="BE50">
            <v>561272483.31737089</v>
          </cell>
          <cell r="BF50">
            <v>-2497974.6</v>
          </cell>
          <cell r="BG50">
            <v>-662165.24999999942</v>
          </cell>
          <cell r="BI50">
            <v>62637451.769999996</v>
          </cell>
          <cell r="BJ50">
            <v>185367487.31999999</v>
          </cell>
          <cell r="BK50">
            <v>-910796.72</v>
          </cell>
          <cell r="BL50">
            <v>57000282.879999958</v>
          </cell>
          <cell r="BM50">
            <v>185241511.99000013</v>
          </cell>
          <cell r="BN50">
            <v>-306.96999999985565</v>
          </cell>
          <cell r="BO50">
            <v>66345977.730000079</v>
          </cell>
          <cell r="BP50">
            <v>189733345.82000008</v>
          </cell>
          <cell r="BQ50">
            <v>-940166.24</v>
          </cell>
          <cell r="BR50">
            <v>-603719.89</v>
          </cell>
          <cell r="BS50">
            <v>62031184.730000064</v>
          </cell>
          <cell r="BT50">
            <v>187563771.34000003</v>
          </cell>
          <cell r="BU50">
            <v>-950418.24</v>
          </cell>
          <cell r="BW50">
            <v>46228660.050000004</v>
          </cell>
          <cell r="BX50">
            <v>136496818.99000001</v>
          </cell>
          <cell r="BY50">
            <v>-685347.51</v>
          </cell>
          <cell r="BZ50">
            <v>42651744.920000009</v>
          </cell>
          <cell r="CA50">
            <v>119231777.09000009</v>
          </cell>
          <cell r="CB50">
            <v>4482932.76</v>
          </cell>
          <cell r="CC50">
            <v>36705286.915724836</v>
          </cell>
          <cell r="CD50">
            <v>141617665.57461149</v>
          </cell>
          <cell r="CE50">
            <v>98704.450000000274</v>
          </cell>
          <cell r="CF50">
            <v>-584608.51</v>
          </cell>
          <cell r="CG50">
            <v>32258374.650000002</v>
          </cell>
          <cell r="CH50">
            <v>95968267.38000001</v>
          </cell>
          <cell r="CI50">
            <v>752575.06</v>
          </cell>
          <cell r="CK50">
            <v>46859298.510000005</v>
          </cell>
          <cell r="CL50">
            <v>135582070.99000001</v>
          </cell>
          <cell r="CM50">
            <v>-682347.55</v>
          </cell>
          <cell r="CN50">
            <v>41901694.360000014</v>
          </cell>
          <cell r="CO50">
            <v>136211434.44999993</v>
          </cell>
          <cell r="CP50">
            <v>593277.72</v>
          </cell>
          <cell r="CQ50">
            <v>49845373.800000004</v>
          </cell>
          <cell r="CR50">
            <v>135363906.45000005</v>
          </cell>
          <cell r="CS50">
            <v>-1464226.03</v>
          </cell>
          <cell r="CT50">
            <v>-410278.72</v>
          </cell>
          <cell r="CU50">
            <v>46479784.79999999</v>
          </cell>
          <cell r="CV50">
            <v>133461555.43000001</v>
          </cell>
          <cell r="CW50">
            <v>-1464600.03</v>
          </cell>
          <cell r="CY50">
            <v>46228660.050000004</v>
          </cell>
          <cell r="CZ50">
            <v>136496818.99000001</v>
          </cell>
          <cell r="DA50">
            <v>-685347.51</v>
          </cell>
          <cell r="DC50">
            <v>46479784.79999999</v>
          </cell>
          <cell r="DD50">
            <v>133461555.43000001</v>
          </cell>
          <cell r="DE50">
            <v>-1464600.03</v>
          </cell>
          <cell r="DG50">
            <v>32258374.650000002</v>
          </cell>
          <cell r="DH50">
            <v>95968267.38000001</v>
          </cell>
          <cell r="DI50">
            <v>752575.06</v>
          </cell>
          <cell r="DJ50">
            <v>42651744.920000009</v>
          </cell>
          <cell r="DK50">
            <v>119231777.09000009</v>
          </cell>
          <cell r="DL50">
            <v>4482932.76</v>
          </cell>
          <cell r="DN50">
            <v>32067646.370125685</v>
          </cell>
          <cell r="DO50">
            <v>151224725.05190173</v>
          </cell>
          <cell r="DP50">
            <v>-566222.51</v>
          </cell>
          <cell r="DQ50">
            <v>44401901.26000002</v>
          </cell>
          <cell r="DR50">
            <v>137561630.65000004</v>
          </cell>
          <cell r="DS50">
            <v>680581.93999999948</v>
          </cell>
          <cell r="DT50">
            <v>47002342.910000011</v>
          </cell>
          <cell r="DU50">
            <v>154253066.99000001</v>
          </cell>
          <cell r="DV50">
            <v>-685347.51</v>
          </cell>
          <cell r="DW50" t="str">
            <v>0</v>
          </cell>
          <cell r="DX50" t="str">
            <v>0</v>
          </cell>
          <cell r="DY50" t="str">
            <v>0</v>
          </cell>
        </row>
        <row r="51">
          <cell r="A51" t="str">
            <v>ESOP Expense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>
            <v>0</v>
          </cell>
          <cell r="U51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Q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E51" t="str">
            <v>0</v>
          </cell>
          <cell r="BF51">
            <v>0</v>
          </cell>
          <cell r="BG51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>
            <v>0</v>
          </cell>
          <cell r="BS51" t="str">
            <v>0</v>
          </cell>
          <cell r="BT51" t="str">
            <v>0</v>
          </cell>
          <cell r="BU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>
            <v>0</v>
          </cell>
          <cell r="CF51">
            <v>0</v>
          </cell>
          <cell r="CG51" t="str">
            <v>0</v>
          </cell>
          <cell r="CH51" t="str">
            <v>0</v>
          </cell>
          <cell r="CI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U51" t="str">
            <v>0</v>
          </cell>
          <cell r="CV51" t="str">
            <v>0</v>
          </cell>
          <cell r="CW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G51" t="str">
            <v>0</v>
          </cell>
          <cell r="DH51" t="str">
            <v>0</v>
          </cell>
          <cell r="DI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N51" t="str">
            <v>0</v>
          </cell>
          <cell r="DO51" t="str">
            <v>0</v>
          </cell>
          <cell r="DP51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  <cell r="DW51" t="str">
            <v>0</v>
          </cell>
          <cell r="DX51" t="str">
            <v>0</v>
          </cell>
          <cell r="DY51" t="str">
            <v>0</v>
          </cell>
        </row>
        <row r="52">
          <cell r="A52" t="str">
            <v>Amortization of Intangibles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>
            <v>27850</v>
          </cell>
          <cell r="R52">
            <v>1030025.4</v>
          </cell>
          <cell r="S52">
            <v>66840</v>
          </cell>
          <cell r="T52">
            <v>286836</v>
          </cell>
          <cell r="U52">
            <v>66840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>
            <v>225655.28</v>
          </cell>
          <cell r="AJ52">
            <v>5570</v>
          </cell>
          <cell r="AK52">
            <v>23903</v>
          </cell>
          <cell r="AL52">
            <v>5570</v>
          </cell>
          <cell r="AN52" t="str">
            <v>0</v>
          </cell>
          <cell r="AO52" t="str">
            <v>0</v>
          </cell>
          <cell r="AP52" t="str">
            <v>0</v>
          </cell>
          <cell r="AQ52" t="str">
            <v>0</v>
          </cell>
          <cell r="AR52" t="str">
            <v>0</v>
          </cell>
          <cell r="AS52" t="str">
            <v>0</v>
          </cell>
          <cell r="AT52">
            <v>27850</v>
          </cell>
          <cell r="AU52">
            <v>1030025.4</v>
          </cell>
          <cell r="AV52">
            <v>66840</v>
          </cell>
          <cell r="AX52" t="str">
            <v>0</v>
          </cell>
          <cell r="AY52" t="str">
            <v>0</v>
          </cell>
          <cell r="AZ52">
            <v>66840</v>
          </cell>
          <cell r="BA52" t="str">
            <v>0</v>
          </cell>
          <cell r="BB52" t="str">
            <v>0</v>
          </cell>
          <cell r="BC52">
            <v>1030025.4</v>
          </cell>
          <cell r="BD52" t="str">
            <v>0</v>
          </cell>
          <cell r="BE52" t="str">
            <v>0</v>
          </cell>
          <cell r="BF52">
            <v>286836</v>
          </cell>
          <cell r="BG52">
            <v>66840</v>
          </cell>
          <cell r="BI52" t="str">
            <v>0</v>
          </cell>
          <cell r="BJ52" t="str">
            <v>0</v>
          </cell>
          <cell r="BK52">
            <v>22280</v>
          </cell>
          <cell r="BL52" t="str">
            <v>0</v>
          </cell>
          <cell r="BM52" t="str">
            <v>0</v>
          </cell>
          <cell r="BN52">
            <v>1015537.82</v>
          </cell>
          <cell r="BO52" t="str">
            <v>0</v>
          </cell>
          <cell r="BP52" t="str">
            <v>0</v>
          </cell>
          <cell r="BQ52">
            <v>95612</v>
          </cell>
          <cell r="BR52">
            <v>22280</v>
          </cell>
          <cell r="BS52" t="str">
            <v>0</v>
          </cell>
          <cell r="BT52" t="str">
            <v>0</v>
          </cell>
          <cell r="BU52">
            <v>22280</v>
          </cell>
          <cell r="BW52" t="str">
            <v>0</v>
          </cell>
          <cell r="BX52" t="str">
            <v>0</v>
          </cell>
          <cell r="BY52">
            <v>16710</v>
          </cell>
          <cell r="BZ52" t="str">
            <v>0</v>
          </cell>
          <cell r="CA52" t="str">
            <v>0</v>
          </cell>
          <cell r="CB52">
            <v>310505.59999999998</v>
          </cell>
          <cell r="CC52" t="str">
            <v>0</v>
          </cell>
          <cell r="CD52" t="str">
            <v>0</v>
          </cell>
          <cell r="CE52">
            <v>71709</v>
          </cell>
          <cell r="CF52">
            <v>16710</v>
          </cell>
          <cell r="CG52" t="str">
            <v>0</v>
          </cell>
          <cell r="CH52" t="str">
            <v>0</v>
          </cell>
          <cell r="CI52">
            <v>11140</v>
          </cell>
          <cell r="CK52" t="str">
            <v>0</v>
          </cell>
          <cell r="CL52" t="str">
            <v>0</v>
          </cell>
          <cell r="CM52">
            <v>16710</v>
          </cell>
          <cell r="CN52" t="str">
            <v>0</v>
          </cell>
          <cell r="CO52" t="str">
            <v>0</v>
          </cell>
          <cell r="CP52">
            <v>697459.72</v>
          </cell>
          <cell r="CQ52" t="str">
            <v>0</v>
          </cell>
          <cell r="CR52" t="str">
            <v>0</v>
          </cell>
          <cell r="CS52">
            <v>71709</v>
          </cell>
          <cell r="CT52">
            <v>16710</v>
          </cell>
          <cell r="CU52" t="str">
            <v>0</v>
          </cell>
          <cell r="CV52" t="str">
            <v>0</v>
          </cell>
          <cell r="CW52">
            <v>16710</v>
          </cell>
          <cell r="CY52" t="str">
            <v>0</v>
          </cell>
          <cell r="CZ52" t="str">
            <v>0</v>
          </cell>
          <cell r="DA52">
            <v>16710</v>
          </cell>
          <cell r="DC52" t="str">
            <v>0</v>
          </cell>
          <cell r="DD52" t="str">
            <v>0</v>
          </cell>
          <cell r="DE52">
            <v>16710</v>
          </cell>
          <cell r="DG52" t="str">
            <v>0</v>
          </cell>
          <cell r="DH52" t="str">
            <v>0</v>
          </cell>
          <cell r="DI52">
            <v>11140</v>
          </cell>
          <cell r="DJ52" t="str">
            <v>0</v>
          </cell>
          <cell r="DK52" t="str">
            <v>0</v>
          </cell>
          <cell r="DL52">
            <v>310505.59999999998</v>
          </cell>
          <cell r="DN52" t="str">
            <v>0</v>
          </cell>
          <cell r="DO52" t="str">
            <v>0</v>
          </cell>
          <cell r="DP52">
            <v>71709</v>
          </cell>
          <cell r="DQ52" t="str">
            <v>0</v>
          </cell>
          <cell r="DR52" t="str">
            <v>0</v>
          </cell>
          <cell r="DS52">
            <v>5219.33</v>
          </cell>
          <cell r="DT52" t="str">
            <v>0</v>
          </cell>
          <cell r="DU52" t="str">
            <v>0</v>
          </cell>
          <cell r="DV52">
            <v>16710</v>
          </cell>
          <cell r="DW52" t="str">
            <v>0</v>
          </cell>
          <cell r="DX52" t="str">
            <v>0</v>
          </cell>
          <cell r="DY52" t="str">
            <v>0</v>
          </cell>
        </row>
        <row r="53">
          <cell r="A53" t="str">
            <v>Interest Income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>
            <v>-80338.240000000005</v>
          </cell>
          <cell r="R53">
            <v>-193492.49</v>
          </cell>
          <cell r="S53">
            <v>0</v>
          </cell>
          <cell r="T53">
            <v>-177369.21</v>
          </cell>
          <cell r="U53">
            <v>-50256.78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C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>
            <v>-16958.509999999998</v>
          </cell>
          <cell r="AJ53">
            <v>0</v>
          </cell>
          <cell r="AK53">
            <v>-69336.7</v>
          </cell>
          <cell r="AL53">
            <v>-69336.7</v>
          </cell>
          <cell r="AN53" t="str">
            <v>0</v>
          </cell>
          <cell r="AO53" t="str">
            <v>0</v>
          </cell>
          <cell r="AP53" t="str">
            <v>0</v>
          </cell>
          <cell r="AQ53" t="str">
            <v>0</v>
          </cell>
          <cell r="AR53" t="str">
            <v>0</v>
          </cell>
          <cell r="AS53" t="str">
            <v>0</v>
          </cell>
          <cell r="AT53">
            <v>-80338.240000000005</v>
          </cell>
          <cell r="AU53">
            <v>-193492.49</v>
          </cell>
          <cell r="AV53">
            <v>0</v>
          </cell>
          <cell r="AX53" t="str">
            <v>0</v>
          </cell>
          <cell r="AY53" t="str">
            <v>0</v>
          </cell>
          <cell r="AZ53">
            <v>0</v>
          </cell>
          <cell r="BA53" t="str">
            <v>0</v>
          </cell>
          <cell r="BB53" t="str">
            <v>0</v>
          </cell>
          <cell r="BC53">
            <v>-193492.49</v>
          </cell>
          <cell r="BD53" t="str">
            <v>0</v>
          </cell>
          <cell r="BE53" t="str">
            <v>0</v>
          </cell>
          <cell r="BF53">
            <v>-177369.21</v>
          </cell>
          <cell r="BG53">
            <v>-50256.78</v>
          </cell>
          <cell r="BI53" t="str">
            <v>0</v>
          </cell>
          <cell r="BJ53" t="str">
            <v>0</v>
          </cell>
          <cell r="BK53">
            <v>0</v>
          </cell>
          <cell r="BL53" t="str">
            <v>0</v>
          </cell>
          <cell r="BM53" t="str">
            <v>0</v>
          </cell>
          <cell r="BN53">
            <v>30516.2</v>
          </cell>
          <cell r="BO53" t="str">
            <v>0</v>
          </cell>
          <cell r="BP53" t="str">
            <v>0</v>
          </cell>
          <cell r="BQ53">
            <v>-65369.21</v>
          </cell>
          <cell r="BR53">
            <v>-50256.78</v>
          </cell>
          <cell r="BS53" t="str">
            <v>0</v>
          </cell>
          <cell r="BT53" t="str">
            <v>0</v>
          </cell>
          <cell r="BU53">
            <v>-66407.679999999993</v>
          </cell>
          <cell r="BW53" t="str">
            <v>0</v>
          </cell>
          <cell r="BX53" t="str">
            <v>0</v>
          </cell>
          <cell r="BY53">
            <v>0</v>
          </cell>
          <cell r="BZ53" t="str">
            <v>0</v>
          </cell>
          <cell r="CA53" t="str">
            <v>0</v>
          </cell>
          <cell r="CB53">
            <v>-46803.91</v>
          </cell>
          <cell r="CC53" t="str">
            <v>0</v>
          </cell>
          <cell r="CD53" t="str">
            <v>0</v>
          </cell>
          <cell r="CE53">
            <v>-43112.43</v>
          </cell>
          <cell r="CF53">
            <v>0</v>
          </cell>
          <cell r="CG53" t="str">
            <v>0</v>
          </cell>
          <cell r="CH53" t="str">
            <v>0</v>
          </cell>
          <cell r="CI53">
            <v>-30081.46</v>
          </cell>
          <cell r="CK53" t="str">
            <v>0</v>
          </cell>
          <cell r="CL53" t="str">
            <v>0</v>
          </cell>
          <cell r="CM53">
            <v>0</v>
          </cell>
          <cell r="CN53" t="str">
            <v>0</v>
          </cell>
          <cell r="CO53" t="str">
            <v>0</v>
          </cell>
          <cell r="CP53">
            <v>-37176.239999999998</v>
          </cell>
          <cell r="CQ53" t="str">
            <v>0</v>
          </cell>
          <cell r="CR53" t="str">
            <v>0</v>
          </cell>
          <cell r="CS53">
            <v>-50256.78</v>
          </cell>
          <cell r="CT53">
            <v>-50256.78</v>
          </cell>
          <cell r="CU53" t="str">
            <v>0</v>
          </cell>
          <cell r="CV53" t="str">
            <v>0</v>
          </cell>
          <cell r="CW53">
            <v>-50256.78</v>
          </cell>
          <cell r="CY53" t="str">
            <v>0</v>
          </cell>
          <cell r="CZ53" t="str">
            <v>0</v>
          </cell>
          <cell r="DA53">
            <v>0</v>
          </cell>
          <cell r="DC53" t="str">
            <v>0</v>
          </cell>
          <cell r="DD53" t="str">
            <v>0</v>
          </cell>
          <cell r="DE53">
            <v>-50256.78</v>
          </cell>
          <cell r="DG53" t="str">
            <v>0</v>
          </cell>
          <cell r="DH53" t="str">
            <v>0</v>
          </cell>
          <cell r="DI53">
            <v>-30081.46</v>
          </cell>
          <cell r="DJ53" t="str">
            <v>0</v>
          </cell>
          <cell r="DK53" t="str">
            <v>0</v>
          </cell>
          <cell r="DL53">
            <v>-46803.91</v>
          </cell>
          <cell r="DN53" t="str">
            <v>0</v>
          </cell>
          <cell r="DO53" t="str">
            <v>0</v>
          </cell>
          <cell r="DP53">
            <v>-42000</v>
          </cell>
          <cell r="DQ53" t="str">
            <v>0</v>
          </cell>
          <cell r="DR53" t="str">
            <v>0</v>
          </cell>
          <cell r="DS53">
            <v>-66652.58</v>
          </cell>
          <cell r="DT53" t="str">
            <v>0</v>
          </cell>
          <cell r="DU53" t="str">
            <v>0</v>
          </cell>
          <cell r="DV53">
            <v>0</v>
          </cell>
          <cell r="DW53" t="str">
            <v>0</v>
          </cell>
          <cell r="DX53" t="str">
            <v>0</v>
          </cell>
          <cell r="DY53" t="str">
            <v>0</v>
          </cell>
        </row>
        <row r="54">
          <cell r="A54" t="str">
            <v>Interest Expense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  <cell r="Q54">
            <v>8087223.6099999985</v>
          </cell>
          <cell r="R54">
            <v>25532446.150000002</v>
          </cell>
          <cell r="S54">
            <v>23561986</v>
          </cell>
          <cell r="T54">
            <v>23806080.359999999</v>
          </cell>
          <cell r="U54">
            <v>23272458.040000007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C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>
            <v>2548285.89</v>
          </cell>
          <cell r="AJ54">
            <v>2222159</v>
          </cell>
          <cell r="AK54">
            <v>2295999.86</v>
          </cell>
          <cell r="AL54">
            <v>2090614.07</v>
          </cell>
          <cell r="AN54" t="str">
            <v>0</v>
          </cell>
          <cell r="AO54" t="str">
            <v>0</v>
          </cell>
          <cell r="AP54" t="str">
            <v>0</v>
          </cell>
          <cell r="AQ54" t="str">
            <v>0</v>
          </cell>
          <cell r="AR54" t="str">
            <v>0</v>
          </cell>
          <cell r="AS54" t="str">
            <v>0</v>
          </cell>
          <cell r="AT54">
            <v>8087223.6099999985</v>
          </cell>
          <cell r="AU54">
            <v>25532446.150000002</v>
          </cell>
          <cell r="AV54">
            <v>23561986</v>
          </cell>
          <cell r="AX54" t="str">
            <v>0</v>
          </cell>
          <cell r="AY54" t="str">
            <v>0</v>
          </cell>
          <cell r="AZ54">
            <v>23561986</v>
          </cell>
          <cell r="BA54" t="str">
            <v>0</v>
          </cell>
          <cell r="BB54" t="str">
            <v>0</v>
          </cell>
          <cell r="BC54">
            <v>25532446.150000002</v>
          </cell>
          <cell r="BD54" t="str">
            <v>0</v>
          </cell>
          <cell r="BE54" t="str">
            <v>0</v>
          </cell>
          <cell r="BF54">
            <v>23806080.359999999</v>
          </cell>
          <cell r="BG54">
            <v>23189658.040000007</v>
          </cell>
          <cell r="BI54" t="str">
            <v>0</v>
          </cell>
          <cell r="BJ54" t="str">
            <v>0</v>
          </cell>
          <cell r="BK54">
            <v>8079891</v>
          </cell>
          <cell r="BL54" t="str">
            <v>0</v>
          </cell>
          <cell r="BM54" t="str">
            <v>0</v>
          </cell>
          <cell r="BN54">
            <v>9359041.9800000004</v>
          </cell>
          <cell r="BO54" t="str">
            <v>0</v>
          </cell>
          <cell r="BP54" t="str">
            <v>0</v>
          </cell>
          <cell r="BQ54">
            <v>8460118.3599999994</v>
          </cell>
          <cell r="BR54">
            <v>7900763.040000001</v>
          </cell>
          <cell r="BS54" t="str">
            <v>0</v>
          </cell>
          <cell r="BT54" t="str">
            <v>0</v>
          </cell>
          <cell r="BU54">
            <v>7956449.8899999987</v>
          </cell>
          <cell r="BW54" t="str">
            <v>0</v>
          </cell>
          <cell r="BX54" t="str">
            <v>0</v>
          </cell>
          <cell r="BY54">
            <v>6364663</v>
          </cell>
          <cell r="BZ54" t="str">
            <v>0</v>
          </cell>
          <cell r="CA54" t="str">
            <v>0</v>
          </cell>
          <cell r="CB54">
            <v>6464317.4500000002</v>
          </cell>
          <cell r="CC54" t="str">
            <v>0</v>
          </cell>
          <cell r="CD54" t="str">
            <v>0</v>
          </cell>
          <cell r="CE54">
            <v>6257991.0799999991</v>
          </cell>
          <cell r="CF54">
            <v>6323263</v>
          </cell>
          <cell r="CG54" t="str">
            <v>0</v>
          </cell>
          <cell r="CH54" t="str">
            <v>0</v>
          </cell>
          <cell r="CI54">
            <v>2297899.33</v>
          </cell>
          <cell r="CK54" t="str">
            <v>0</v>
          </cell>
          <cell r="CL54" t="str">
            <v>0</v>
          </cell>
          <cell r="CM54">
            <v>5838447</v>
          </cell>
          <cell r="CN54" t="str">
            <v>0</v>
          </cell>
          <cell r="CO54" t="str">
            <v>0</v>
          </cell>
          <cell r="CP54">
            <v>6805141.3400000017</v>
          </cell>
          <cell r="CQ54" t="str">
            <v>0</v>
          </cell>
          <cell r="CR54" t="str">
            <v>0</v>
          </cell>
          <cell r="CS54">
            <v>6290864.2800000012</v>
          </cell>
          <cell r="CT54">
            <v>5673119.040000001</v>
          </cell>
          <cell r="CU54" t="str">
            <v>0</v>
          </cell>
          <cell r="CV54" t="str">
            <v>0</v>
          </cell>
          <cell r="CW54">
            <v>5789324.2800000012</v>
          </cell>
          <cell r="CY54" t="str">
            <v>0</v>
          </cell>
          <cell r="CZ54" t="str">
            <v>0</v>
          </cell>
          <cell r="DA54">
            <v>6364663</v>
          </cell>
          <cell r="DC54" t="str">
            <v>0</v>
          </cell>
          <cell r="DD54" t="str">
            <v>0</v>
          </cell>
          <cell r="DE54">
            <v>5789324.2800000012</v>
          </cell>
          <cell r="DG54" t="str">
            <v>0</v>
          </cell>
          <cell r="DH54" t="str">
            <v>0</v>
          </cell>
          <cell r="DI54">
            <v>2297899.33</v>
          </cell>
          <cell r="DJ54" t="str">
            <v>0</v>
          </cell>
          <cell r="DK54" t="str">
            <v>0</v>
          </cell>
          <cell r="DL54">
            <v>6464317.4500000002</v>
          </cell>
          <cell r="DN54" t="str">
            <v>0</v>
          </cell>
          <cell r="DO54" t="str">
            <v>0</v>
          </cell>
          <cell r="DP54">
            <v>5808345</v>
          </cell>
          <cell r="DQ54" t="str">
            <v>0</v>
          </cell>
          <cell r="DR54" t="str">
            <v>0</v>
          </cell>
          <cell r="DS54">
            <v>6292241.3000000026</v>
          </cell>
          <cell r="DT54" t="str">
            <v>0</v>
          </cell>
          <cell r="DU54" t="str">
            <v>0</v>
          </cell>
          <cell r="DV54">
            <v>5860068</v>
          </cell>
          <cell r="DW54" t="str">
            <v>0</v>
          </cell>
          <cell r="DX54" t="str">
            <v>0</v>
          </cell>
          <cell r="DY54" t="str">
            <v>0</v>
          </cell>
        </row>
        <row r="55">
          <cell r="A55" t="str">
            <v>Other Deductions (Net)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>
            <v>1318896.08</v>
          </cell>
          <cell r="R55">
            <v>2048823.11</v>
          </cell>
          <cell r="S55">
            <v>2613600</v>
          </cell>
          <cell r="T55">
            <v>3592435.5871600001</v>
          </cell>
          <cell r="U55">
            <v>2886350.8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C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>
            <v>34002</v>
          </cell>
          <cell r="AJ55">
            <v>217800</v>
          </cell>
          <cell r="AK55">
            <v>290758</v>
          </cell>
          <cell r="AL55">
            <v>290758</v>
          </cell>
          <cell r="AN55" t="str">
            <v>0</v>
          </cell>
          <cell r="AO55" t="str">
            <v>0</v>
          </cell>
          <cell r="AP55" t="str">
            <v>0</v>
          </cell>
          <cell r="AQ55" t="str">
            <v>0</v>
          </cell>
          <cell r="AR55" t="str">
            <v>0</v>
          </cell>
          <cell r="AS55" t="str">
            <v>0</v>
          </cell>
          <cell r="AT55">
            <v>1318896.08</v>
          </cell>
          <cell r="AU55">
            <v>2048823.11</v>
          </cell>
          <cell r="AV55">
            <v>2613600</v>
          </cell>
          <cell r="AX55" t="str">
            <v>0</v>
          </cell>
          <cell r="AY55" t="str">
            <v>0</v>
          </cell>
          <cell r="AZ55">
            <v>2613600</v>
          </cell>
          <cell r="BA55" t="str">
            <v>0</v>
          </cell>
          <cell r="BB55" t="str">
            <v>0</v>
          </cell>
          <cell r="BC55">
            <v>2048823.11</v>
          </cell>
          <cell r="BD55" t="str">
            <v>0</v>
          </cell>
          <cell r="BE55" t="str">
            <v>0</v>
          </cell>
          <cell r="BF55">
            <v>3592435.5871600001</v>
          </cell>
          <cell r="BG55">
            <v>2886350.8</v>
          </cell>
          <cell r="BI55" t="str">
            <v>0</v>
          </cell>
          <cell r="BJ55" t="str">
            <v>0</v>
          </cell>
          <cell r="BK55">
            <v>871200</v>
          </cell>
          <cell r="BL55" t="str">
            <v>0</v>
          </cell>
          <cell r="BM55" t="str">
            <v>0</v>
          </cell>
          <cell r="BN55">
            <v>483852</v>
          </cell>
          <cell r="BO55" t="str">
            <v>0</v>
          </cell>
          <cell r="BP55" t="str">
            <v>0</v>
          </cell>
          <cell r="BQ55">
            <v>1101096.08</v>
          </cell>
          <cell r="BR55">
            <v>1143950.8</v>
          </cell>
          <cell r="BS55" t="str">
            <v>0</v>
          </cell>
          <cell r="BT55" t="str">
            <v>0</v>
          </cell>
          <cell r="BU55">
            <v>1101096.08</v>
          </cell>
          <cell r="BW55" t="str">
            <v>0</v>
          </cell>
          <cell r="BX55" t="str">
            <v>0</v>
          </cell>
          <cell r="BY55">
            <v>653400</v>
          </cell>
          <cell r="BZ55" t="str">
            <v>0</v>
          </cell>
          <cell r="CA55" t="str">
            <v>0</v>
          </cell>
          <cell r="CB55">
            <v>449850</v>
          </cell>
          <cell r="CC55" t="str">
            <v>0</v>
          </cell>
          <cell r="CD55" t="str">
            <v>0</v>
          </cell>
          <cell r="CE55">
            <v>787557.71821600001</v>
          </cell>
          <cell r="CF55">
            <v>653400</v>
          </cell>
          <cell r="CG55" t="str">
            <v>0</v>
          </cell>
          <cell r="CH55" t="str">
            <v>0</v>
          </cell>
          <cell r="CI55">
            <v>441749.66</v>
          </cell>
          <cell r="CK55" t="str">
            <v>0</v>
          </cell>
          <cell r="CL55" t="str">
            <v>0</v>
          </cell>
          <cell r="CM55">
            <v>653400</v>
          </cell>
          <cell r="CN55" t="str">
            <v>0</v>
          </cell>
          <cell r="CO55" t="str">
            <v>0</v>
          </cell>
          <cell r="CP55">
            <v>334002</v>
          </cell>
          <cell r="CQ55" t="str">
            <v>0</v>
          </cell>
          <cell r="CR55" t="str">
            <v>0</v>
          </cell>
          <cell r="CS55">
            <v>877146.42</v>
          </cell>
          <cell r="CT55">
            <v>926150.8</v>
          </cell>
          <cell r="CU55" t="str">
            <v>0</v>
          </cell>
          <cell r="CV55" t="str">
            <v>0</v>
          </cell>
          <cell r="CW55">
            <v>877146.42</v>
          </cell>
          <cell r="CY55" t="str">
            <v>0</v>
          </cell>
          <cell r="CZ55" t="str">
            <v>0</v>
          </cell>
          <cell r="DA55">
            <v>653400</v>
          </cell>
          <cell r="DC55" t="str">
            <v>0</v>
          </cell>
          <cell r="DD55" t="str">
            <v>0</v>
          </cell>
          <cell r="DE55">
            <v>877146.42</v>
          </cell>
          <cell r="DG55" t="str">
            <v>0</v>
          </cell>
          <cell r="DH55" t="str">
            <v>0</v>
          </cell>
          <cell r="DI55">
            <v>441749.66</v>
          </cell>
          <cell r="DJ55" t="str">
            <v>0</v>
          </cell>
          <cell r="DK55" t="str">
            <v>0</v>
          </cell>
          <cell r="DL55">
            <v>449850</v>
          </cell>
          <cell r="DN55" t="str">
            <v>0</v>
          </cell>
          <cell r="DO55" t="str">
            <v>0</v>
          </cell>
          <cell r="DP55">
            <v>896348.92471199995</v>
          </cell>
          <cell r="DQ55" t="str">
            <v>0</v>
          </cell>
          <cell r="DR55" t="str">
            <v>0</v>
          </cell>
          <cell r="DS55">
            <v>487489.93999999948</v>
          </cell>
          <cell r="DT55" t="str">
            <v>0</v>
          </cell>
          <cell r="DU55" t="str">
            <v>0</v>
          </cell>
          <cell r="DV55">
            <v>653400</v>
          </cell>
          <cell r="DW55" t="str">
            <v>0</v>
          </cell>
          <cell r="DX55" t="str">
            <v>0</v>
          </cell>
          <cell r="DY55" t="str">
            <v>0</v>
          </cell>
        </row>
        <row r="56">
          <cell r="A56" t="str">
            <v>Earnings of Subs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C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Q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E56" t="str">
            <v>0</v>
          </cell>
          <cell r="BF56" t="str">
            <v>0</v>
          </cell>
          <cell r="BG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S56" t="str">
            <v>0</v>
          </cell>
          <cell r="BT56" t="str">
            <v>0</v>
          </cell>
          <cell r="BU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G56" t="str">
            <v>0</v>
          </cell>
          <cell r="CH56" t="str">
            <v>0</v>
          </cell>
          <cell r="CI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U56" t="str">
            <v>0</v>
          </cell>
          <cell r="CV56" t="str">
            <v>0</v>
          </cell>
          <cell r="CW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G56" t="str">
            <v>0</v>
          </cell>
          <cell r="DH56" t="str">
            <v>0</v>
          </cell>
          <cell r="DI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  <cell r="DW56" t="str">
            <v>0</v>
          </cell>
          <cell r="DX56" t="str">
            <v>0</v>
          </cell>
          <cell r="DY56" t="str">
            <v>0</v>
          </cell>
        </row>
        <row r="57">
          <cell r="A57" t="str">
            <v>Net Income (Loss) Before Taxes</v>
          </cell>
          <cell r="B57">
            <v>78738159.449999958</v>
          </cell>
          <cell r="C57">
            <v>173137724.35000008</v>
          </cell>
          <cell r="D57">
            <v>185603415.87</v>
          </cell>
          <cell r="E57">
            <v>149702614.16597614</v>
          </cell>
          <cell r="F57">
            <v>112444043.01287773</v>
          </cell>
          <cell r="G57">
            <v>229428664.24999997</v>
          </cell>
          <cell r="H57">
            <v>513097204.34999985</v>
          </cell>
          <cell r="I57">
            <v>558602886.96000004</v>
          </cell>
          <cell r="J57">
            <v>561272483.31737089</v>
          </cell>
          <cell r="K57">
            <v>521368331.39138871</v>
          </cell>
          <cell r="L57">
            <v>342940819.72999996</v>
          </cell>
          <cell r="M57">
            <v>760635428.82000017</v>
          </cell>
          <cell r="N57">
            <v>834106936</v>
          </cell>
          <cell r="O57">
            <v>873972739.34144032</v>
          </cell>
          <cell r="P57">
            <v>783240163.8588562</v>
          </cell>
          <cell r="Q57">
            <v>8721944.7199999988</v>
          </cell>
          <cell r="R57">
            <v>36890881.040000007</v>
          </cell>
          <cell r="S57">
            <v>23504052.920000002</v>
          </cell>
          <cell r="T57">
            <v>25187377.34716</v>
          </cell>
          <cell r="U57">
            <v>24055268.590000007</v>
          </cell>
          <cell r="W57">
            <v>14393024.779999997</v>
          </cell>
          <cell r="X57">
            <v>16011172.499999998</v>
          </cell>
          <cell r="Y57">
            <v>16417419.879999999</v>
          </cell>
          <cell r="Z57">
            <v>13966686.589999994</v>
          </cell>
          <cell r="AA57">
            <v>54009939.859999985</v>
          </cell>
          <cell r="AB57">
            <v>49826469.329999998</v>
          </cell>
          <cell r="AC57">
            <v>53105065.210000008</v>
          </cell>
          <cell r="AD57">
            <v>51276865.540000007</v>
          </cell>
          <cell r="AE57">
            <v>76942183.449999988</v>
          </cell>
          <cell r="AF57">
            <v>75177083</v>
          </cell>
          <cell r="AG57">
            <v>81424135.219999999</v>
          </cell>
          <cell r="AH57">
            <v>75212494.439999998</v>
          </cell>
          <cell r="AI57">
            <v>2507310.14</v>
          </cell>
          <cell r="AJ57">
            <v>2220079.79</v>
          </cell>
          <cell r="AK57">
            <v>2408758.62</v>
          </cell>
          <cell r="AL57">
            <v>2164368.83</v>
          </cell>
          <cell r="AN57">
            <v>78738159.449999958</v>
          </cell>
          <cell r="AO57">
            <v>173137724.35000008</v>
          </cell>
          <cell r="AP57">
            <v>185603415.87</v>
          </cell>
          <cell r="AQ57">
            <v>229428664.24999997</v>
          </cell>
          <cell r="AR57">
            <v>513097204.34999985</v>
          </cell>
          <cell r="AS57">
            <v>558602886.96000004</v>
          </cell>
          <cell r="AT57">
            <v>8721944.7199999988</v>
          </cell>
          <cell r="AU57">
            <v>36890881.040000007</v>
          </cell>
          <cell r="AV57">
            <v>23504052.920000002</v>
          </cell>
          <cell r="AX57">
            <v>185603415.87</v>
          </cell>
          <cell r="AY57">
            <v>558602886.96000004</v>
          </cell>
          <cell r="AZ57">
            <v>23504052.920000002</v>
          </cell>
          <cell r="BA57">
            <v>173137724.35000008</v>
          </cell>
          <cell r="BB57">
            <v>513097204.34999996</v>
          </cell>
          <cell r="BC57">
            <v>36890881.040000007</v>
          </cell>
          <cell r="BD57">
            <v>149702614.16597614</v>
          </cell>
          <cell r="BE57">
            <v>561272483.31737089</v>
          </cell>
          <cell r="BF57">
            <v>25187377.34716</v>
          </cell>
          <cell r="BG57">
            <v>25480683.590000007</v>
          </cell>
          <cell r="BI57">
            <v>62637451.769999996</v>
          </cell>
          <cell r="BJ57">
            <v>185367487.31999999</v>
          </cell>
          <cell r="BK57">
            <v>8062574.2800000003</v>
          </cell>
          <cell r="BL57">
            <v>57000282.879999958</v>
          </cell>
          <cell r="BM57">
            <v>185241511.99000013</v>
          </cell>
          <cell r="BN57">
            <v>10858124.830000002</v>
          </cell>
          <cell r="BO57">
            <v>66345977.730000079</v>
          </cell>
          <cell r="BP57">
            <v>189733345.82000008</v>
          </cell>
          <cell r="BQ57">
            <v>8716660.1999999974</v>
          </cell>
          <cell r="BR57">
            <v>8463273.9500000011</v>
          </cell>
          <cell r="BS57">
            <v>62031184.730000064</v>
          </cell>
          <cell r="BT57">
            <v>187563771.34000003</v>
          </cell>
          <cell r="BU57">
            <v>8129407.7299999986</v>
          </cell>
          <cell r="BW57">
            <v>46228660.050000004</v>
          </cell>
          <cell r="BX57">
            <v>136496818.99000001</v>
          </cell>
          <cell r="BY57">
            <v>6349425.4900000002</v>
          </cell>
          <cell r="BZ57">
            <v>42651744.920000009</v>
          </cell>
          <cell r="CA57">
            <v>119231777.09000009</v>
          </cell>
          <cell r="CB57">
            <v>11707605.809999999</v>
          </cell>
          <cell r="CC57">
            <v>36705286.915724836</v>
          </cell>
          <cell r="CD57">
            <v>141617665.57461149</v>
          </cell>
          <cell r="CE57">
            <v>7215962.2482159995</v>
          </cell>
          <cell r="CF57">
            <v>6408764.4900000002</v>
          </cell>
          <cell r="CG57">
            <v>32258374.650000002</v>
          </cell>
          <cell r="CH57">
            <v>95968267.38000001</v>
          </cell>
          <cell r="CI57">
            <v>3503364.05</v>
          </cell>
          <cell r="CK57">
            <v>46859298.510000005</v>
          </cell>
          <cell r="CL57">
            <v>135582070.99000001</v>
          </cell>
          <cell r="CM57">
            <v>5826209.4500000002</v>
          </cell>
          <cell r="CN57">
            <v>41901694.360000014</v>
          </cell>
          <cell r="CO57">
            <v>136211434.44999993</v>
          </cell>
          <cell r="CP57">
            <v>8429880.7800000012</v>
          </cell>
          <cell r="CQ57">
            <v>49845373.800000004</v>
          </cell>
          <cell r="CR57">
            <v>135363906.45000005</v>
          </cell>
          <cell r="CS57">
            <v>5775493.6700000009</v>
          </cell>
          <cell r="CT57">
            <v>6205701.120000002</v>
          </cell>
          <cell r="CU57">
            <v>46479784.79999999</v>
          </cell>
          <cell r="CV57">
            <v>133461555.43000001</v>
          </cell>
          <cell r="CW57">
            <v>5218580.67</v>
          </cell>
          <cell r="CY57">
            <v>46228660.050000004</v>
          </cell>
          <cell r="CZ57">
            <v>136496818.99000001</v>
          </cell>
          <cell r="DA57">
            <v>6349425.4900000002</v>
          </cell>
          <cell r="DC57">
            <v>46479784.79999999</v>
          </cell>
          <cell r="DD57">
            <v>133461555.43000001</v>
          </cell>
          <cell r="DE57">
            <v>5218580.67</v>
          </cell>
          <cell r="DG57">
            <v>32258374.650000002</v>
          </cell>
          <cell r="DH57">
            <v>95968267.38000001</v>
          </cell>
          <cell r="DI57">
            <v>3503364.05</v>
          </cell>
          <cell r="DJ57">
            <v>42651744.920000009</v>
          </cell>
          <cell r="DK57">
            <v>119231777.09000009</v>
          </cell>
          <cell r="DL57">
            <v>11707605.809999999</v>
          </cell>
          <cell r="DN57">
            <v>32067646.370125685</v>
          </cell>
          <cell r="DO57">
            <v>151224725.05190173</v>
          </cell>
          <cell r="DP57">
            <v>6210180.4147120006</v>
          </cell>
          <cell r="DQ57">
            <v>44401901.26000002</v>
          </cell>
          <cell r="DR57">
            <v>137561630.65000004</v>
          </cell>
          <cell r="DS57">
            <v>7465532.5100000016</v>
          </cell>
          <cell r="DT57">
            <v>47002342.910000011</v>
          </cell>
          <cell r="DU57">
            <v>154253066.99000001</v>
          </cell>
          <cell r="DV57">
            <v>5844830.4900000002</v>
          </cell>
          <cell r="DW57" t="str">
            <v>0</v>
          </cell>
          <cell r="DX57" t="str">
            <v>0</v>
          </cell>
          <cell r="DY57" t="str">
            <v>0</v>
          </cell>
        </row>
        <row r="58">
          <cell r="A58" t="str">
            <v>Income Taxes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0</v>
          </cell>
          <cell r="Q58">
            <v>7392535.8899999997</v>
          </cell>
          <cell r="R58">
            <v>13128000.319999998</v>
          </cell>
          <cell r="S58">
            <v>15421985</v>
          </cell>
          <cell r="T58">
            <v>14299912.619999999</v>
          </cell>
          <cell r="U58">
            <v>13274210.949999999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C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>
            <v>36000</v>
          </cell>
          <cell r="AJ58">
            <v>2638686</v>
          </cell>
          <cell r="AK58">
            <v>2855312.28</v>
          </cell>
          <cell r="AL58">
            <v>2855312.28</v>
          </cell>
          <cell r="AN58" t="str">
            <v>0</v>
          </cell>
          <cell r="AO58" t="str">
            <v>0</v>
          </cell>
          <cell r="AP58" t="str">
            <v>0</v>
          </cell>
          <cell r="AQ58" t="str">
            <v>0</v>
          </cell>
          <cell r="AR58" t="str">
            <v>0</v>
          </cell>
          <cell r="AS58" t="str">
            <v>0</v>
          </cell>
          <cell r="AT58">
            <v>7392535.8899999997</v>
          </cell>
          <cell r="AU58">
            <v>13128000.319999998</v>
          </cell>
          <cell r="AV58">
            <v>15421985</v>
          </cell>
          <cell r="AX58" t="str">
            <v>0</v>
          </cell>
          <cell r="AY58" t="str">
            <v>0</v>
          </cell>
          <cell r="AZ58">
            <v>15421985</v>
          </cell>
          <cell r="BA58" t="str">
            <v>0</v>
          </cell>
          <cell r="BB58" t="str">
            <v>0</v>
          </cell>
          <cell r="BC58">
            <v>13128000.319999998</v>
          </cell>
          <cell r="BD58" t="str">
            <v>0</v>
          </cell>
          <cell r="BE58" t="str">
            <v>0</v>
          </cell>
          <cell r="BF58">
            <v>14299912.619999999</v>
          </cell>
          <cell r="BG58">
            <v>13274210.949999999</v>
          </cell>
          <cell r="BI58" t="str">
            <v>0</v>
          </cell>
          <cell r="BJ58" t="str">
            <v>0</v>
          </cell>
          <cell r="BK58">
            <v>7635744</v>
          </cell>
          <cell r="BL58" t="str">
            <v>0</v>
          </cell>
          <cell r="BM58" t="str">
            <v>0</v>
          </cell>
          <cell r="BN58">
            <v>5624360</v>
          </cell>
          <cell r="BO58" t="str">
            <v>0</v>
          </cell>
          <cell r="BP58" t="str">
            <v>0</v>
          </cell>
          <cell r="BQ58">
            <v>7370211.6200000001</v>
          </cell>
          <cell r="BR58">
            <v>6697049.9500000002</v>
          </cell>
          <cell r="BS58" t="str">
            <v>0</v>
          </cell>
          <cell r="BT58" t="str">
            <v>0</v>
          </cell>
          <cell r="BU58">
            <v>7370211.6200000001</v>
          </cell>
          <cell r="BW58" t="str">
            <v>0</v>
          </cell>
          <cell r="BX58" t="str">
            <v>0</v>
          </cell>
          <cell r="BY58">
            <v>5224058</v>
          </cell>
          <cell r="BZ58" t="str">
            <v>0</v>
          </cell>
          <cell r="CA58" t="str">
            <v>0</v>
          </cell>
          <cell r="CB58">
            <v>1730640.45</v>
          </cell>
          <cell r="CC58" t="str">
            <v>0</v>
          </cell>
          <cell r="CD58" t="str">
            <v>0</v>
          </cell>
          <cell r="CE58">
            <v>4056413.67</v>
          </cell>
          <cell r="CF58">
            <v>4014978</v>
          </cell>
          <cell r="CG58" t="str">
            <v>0</v>
          </cell>
          <cell r="CH58" t="str">
            <v>0</v>
          </cell>
          <cell r="CI58">
            <v>2081905.94</v>
          </cell>
          <cell r="CK58" t="str">
            <v>0</v>
          </cell>
          <cell r="CL58" t="str">
            <v>0</v>
          </cell>
          <cell r="CM58">
            <v>5265058</v>
          </cell>
          <cell r="CN58" t="str">
            <v>0</v>
          </cell>
          <cell r="CO58" t="str">
            <v>0</v>
          </cell>
          <cell r="CP58">
            <v>3636360</v>
          </cell>
          <cell r="CQ58" t="str">
            <v>0</v>
          </cell>
          <cell r="CR58" t="str">
            <v>0</v>
          </cell>
          <cell r="CS58">
            <v>5310629.95</v>
          </cell>
          <cell r="CT58">
            <v>4326363.95</v>
          </cell>
          <cell r="CU58" t="str">
            <v>0</v>
          </cell>
          <cell r="CV58" t="str">
            <v>0</v>
          </cell>
          <cell r="CW58">
            <v>5310629.95</v>
          </cell>
          <cell r="CY58" t="str">
            <v>0</v>
          </cell>
          <cell r="CZ58" t="str">
            <v>0</v>
          </cell>
          <cell r="DA58">
            <v>5224058</v>
          </cell>
          <cell r="DC58" t="str">
            <v>0</v>
          </cell>
          <cell r="DD58" t="str">
            <v>0</v>
          </cell>
          <cell r="DE58">
            <v>5310629.95</v>
          </cell>
          <cell r="DG58" t="str">
            <v>0</v>
          </cell>
          <cell r="DH58" t="str">
            <v>0</v>
          </cell>
          <cell r="DI58">
            <v>2081905.94</v>
          </cell>
          <cell r="DJ58" t="str">
            <v>0</v>
          </cell>
          <cell r="DK58" t="str">
            <v>0</v>
          </cell>
          <cell r="DL58">
            <v>1730640.45</v>
          </cell>
          <cell r="DN58" t="str">
            <v>0</v>
          </cell>
          <cell r="DO58" t="str">
            <v>0</v>
          </cell>
          <cell r="DP58">
            <v>2466438</v>
          </cell>
          <cell r="DQ58" t="str">
            <v>0</v>
          </cell>
          <cell r="DR58" t="str">
            <v>0</v>
          </cell>
          <cell r="DS58">
            <v>6237814.3300000001</v>
          </cell>
          <cell r="DT58" t="str">
            <v>0</v>
          </cell>
          <cell r="DU58" t="str">
            <v>0</v>
          </cell>
          <cell r="DV58">
            <v>2466438</v>
          </cell>
          <cell r="DW58" t="str">
            <v>0</v>
          </cell>
          <cell r="DX58" t="str">
            <v>0</v>
          </cell>
          <cell r="DY58" t="str">
            <v>0</v>
          </cell>
        </row>
        <row r="59">
          <cell r="A59" t="str">
            <v>Extrordinary Item (Net)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C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Q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E59" t="str">
            <v>0</v>
          </cell>
          <cell r="BF59" t="str">
            <v>0</v>
          </cell>
          <cell r="BG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S59" t="str">
            <v>0</v>
          </cell>
          <cell r="BT59" t="str">
            <v>0</v>
          </cell>
          <cell r="BU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G59" t="str">
            <v>0</v>
          </cell>
          <cell r="CH59" t="str">
            <v>0</v>
          </cell>
          <cell r="CI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U59" t="str">
            <v>0</v>
          </cell>
          <cell r="CV59" t="str">
            <v>0</v>
          </cell>
          <cell r="CW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G59" t="str">
            <v>0</v>
          </cell>
          <cell r="DH59" t="str">
            <v>0</v>
          </cell>
          <cell r="DI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  <cell r="DW59" t="str">
            <v>0</v>
          </cell>
          <cell r="DX59" t="str">
            <v>0</v>
          </cell>
          <cell r="DY59" t="str">
            <v>0</v>
          </cell>
        </row>
        <row r="60">
          <cell r="A60" t="str">
            <v>Earnings of Subs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C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Q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E60" t="str">
            <v>0</v>
          </cell>
          <cell r="BF60" t="str">
            <v>0</v>
          </cell>
          <cell r="BG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S60" t="str">
            <v>0</v>
          </cell>
          <cell r="BT60" t="str">
            <v>0</v>
          </cell>
          <cell r="BU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G60" t="str">
            <v>0</v>
          </cell>
          <cell r="CH60" t="str">
            <v>0</v>
          </cell>
          <cell r="CI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U60" t="str">
            <v>0</v>
          </cell>
          <cell r="CV60" t="str">
            <v>0</v>
          </cell>
          <cell r="CW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G60" t="str">
            <v>0</v>
          </cell>
          <cell r="DH60" t="str">
            <v>0</v>
          </cell>
          <cell r="DI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  <cell r="DW60" t="str">
            <v>0</v>
          </cell>
          <cell r="DX60" t="str">
            <v>0</v>
          </cell>
          <cell r="DY60" t="str">
            <v>0</v>
          </cell>
        </row>
        <row r="61">
          <cell r="A61" t="str">
            <v>Net Income (Loss) After Taxes</v>
          </cell>
          <cell r="B61">
            <v>78738159.449999958</v>
          </cell>
          <cell r="C61">
            <v>173137724.35000008</v>
          </cell>
          <cell r="D61">
            <v>185603415.87</v>
          </cell>
          <cell r="E61">
            <v>149702614.16597614</v>
          </cell>
          <cell r="F61">
            <v>112444043.01287773</v>
          </cell>
          <cell r="G61">
            <v>229428664.24999997</v>
          </cell>
          <cell r="H61">
            <v>513097204.34999985</v>
          </cell>
          <cell r="I61">
            <v>558602886.96000004</v>
          </cell>
          <cell r="J61">
            <v>561272483.31737089</v>
          </cell>
          <cell r="K61">
            <v>521368331.39138871</v>
          </cell>
          <cell r="L61">
            <v>342940819.72999996</v>
          </cell>
          <cell r="M61">
            <v>760635428.82000017</v>
          </cell>
          <cell r="N61">
            <v>834106936</v>
          </cell>
          <cell r="O61">
            <v>873972739.34144032</v>
          </cell>
          <cell r="P61">
            <v>783240163.8588562</v>
          </cell>
          <cell r="Q61">
            <v>16114480.609999999</v>
          </cell>
          <cell r="R61">
            <v>50018881.360000007</v>
          </cell>
          <cell r="S61">
            <v>38926037.920000002</v>
          </cell>
          <cell r="T61">
            <v>39487289.967159994</v>
          </cell>
          <cell r="U61">
            <v>37329479.540000007</v>
          </cell>
          <cell r="W61">
            <v>14393024.779999997</v>
          </cell>
          <cell r="X61">
            <v>16011172.499999998</v>
          </cell>
          <cell r="Y61">
            <v>16417419.879999999</v>
          </cell>
          <cell r="Z61">
            <v>13966686.589999994</v>
          </cell>
          <cell r="AA61">
            <v>54009939.859999985</v>
          </cell>
          <cell r="AB61">
            <v>49826469.329999998</v>
          </cell>
          <cell r="AC61">
            <v>53105065.210000008</v>
          </cell>
          <cell r="AD61">
            <v>51276865.540000007</v>
          </cell>
          <cell r="AE61">
            <v>76942183.449999988</v>
          </cell>
          <cell r="AF61">
            <v>75177083</v>
          </cell>
          <cell r="AG61">
            <v>81424135.219999999</v>
          </cell>
          <cell r="AH61">
            <v>75212494.439999998</v>
          </cell>
          <cell r="AI61">
            <v>2543310.14</v>
          </cell>
          <cell r="AJ61">
            <v>4858765.79</v>
          </cell>
          <cell r="AK61">
            <v>5264070.9000000004</v>
          </cell>
          <cell r="AL61">
            <v>5019681.1100000003</v>
          </cell>
          <cell r="AN61">
            <v>78738159.449999958</v>
          </cell>
          <cell r="AO61">
            <v>173137724.35000008</v>
          </cell>
          <cell r="AP61">
            <v>185603415.87</v>
          </cell>
          <cell r="AQ61">
            <v>229428664.24999997</v>
          </cell>
          <cell r="AR61">
            <v>513097204.34999985</v>
          </cell>
          <cell r="AS61">
            <v>558602886.96000004</v>
          </cell>
          <cell r="AT61">
            <v>16114480.609999999</v>
          </cell>
          <cell r="AU61">
            <v>50018881.360000007</v>
          </cell>
          <cell r="AV61">
            <v>38926037.920000002</v>
          </cell>
          <cell r="AX61">
            <v>185603415.87</v>
          </cell>
          <cell r="AY61">
            <v>558602886.96000004</v>
          </cell>
          <cell r="AZ61">
            <v>38926037.920000002</v>
          </cell>
          <cell r="BA61">
            <v>173137724.35000008</v>
          </cell>
          <cell r="BB61">
            <v>513097204.34999996</v>
          </cell>
          <cell r="BC61">
            <v>50018881.360000007</v>
          </cell>
          <cell r="BD61">
            <v>149702614.16597614</v>
          </cell>
          <cell r="BE61">
            <v>561272483.31737089</v>
          </cell>
          <cell r="BF61">
            <v>39487289.967159994</v>
          </cell>
          <cell r="BG61">
            <v>38754894.540000007</v>
          </cell>
          <cell r="BI61">
            <v>62637451.769999996</v>
          </cell>
          <cell r="BJ61">
            <v>185367487.31999999</v>
          </cell>
          <cell r="BK61">
            <v>15698318.280000001</v>
          </cell>
          <cell r="BL61">
            <v>57000282.879999958</v>
          </cell>
          <cell r="BM61">
            <v>185241511.99000013</v>
          </cell>
          <cell r="BN61">
            <v>16482484.830000002</v>
          </cell>
          <cell r="BO61">
            <v>66345977.730000079</v>
          </cell>
          <cell r="BP61">
            <v>189733345.82000008</v>
          </cell>
          <cell r="BQ61">
            <v>16086871.819999997</v>
          </cell>
          <cell r="BR61">
            <v>15160323.9</v>
          </cell>
          <cell r="BS61">
            <v>62031184.730000064</v>
          </cell>
          <cell r="BT61">
            <v>187563771.34000003</v>
          </cell>
          <cell r="BU61">
            <v>15499619.349999998</v>
          </cell>
          <cell r="BW61">
            <v>46228660.050000004</v>
          </cell>
          <cell r="BX61">
            <v>136496818.99000001</v>
          </cell>
          <cell r="BY61">
            <v>11573483.49</v>
          </cell>
          <cell r="BZ61">
            <v>42651744.920000009</v>
          </cell>
          <cell r="CA61">
            <v>119231777.09000009</v>
          </cell>
          <cell r="CB61">
            <v>13438246.259999998</v>
          </cell>
          <cell r="CC61">
            <v>36705286.915724836</v>
          </cell>
          <cell r="CD61">
            <v>141617665.57461149</v>
          </cell>
          <cell r="CE61">
            <v>11272375.918215999</v>
          </cell>
          <cell r="CF61">
            <v>10423742.49</v>
          </cell>
          <cell r="CG61">
            <v>32258374.650000002</v>
          </cell>
          <cell r="CH61">
            <v>95968267.38000001</v>
          </cell>
          <cell r="CI61">
            <v>5585269.9900000002</v>
          </cell>
          <cell r="CK61">
            <v>46859298.510000005</v>
          </cell>
          <cell r="CL61">
            <v>135582070.99000001</v>
          </cell>
          <cell r="CM61">
            <v>11091267.449999999</v>
          </cell>
          <cell r="CN61">
            <v>41901694.360000014</v>
          </cell>
          <cell r="CO61">
            <v>136211434.44999993</v>
          </cell>
          <cell r="CP61">
            <v>12066240.780000001</v>
          </cell>
          <cell r="CQ61">
            <v>49845373.800000004</v>
          </cell>
          <cell r="CR61">
            <v>135363906.45000005</v>
          </cell>
          <cell r="CS61">
            <v>11086123.620000001</v>
          </cell>
          <cell r="CT61">
            <v>10532065.07</v>
          </cell>
          <cell r="CU61">
            <v>46479784.79999999</v>
          </cell>
          <cell r="CV61">
            <v>133461555.43000001</v>
          </cell>
          <cell r="CW61">
            <v>10529210.619999999</v>
          </cell>
          <cell r="CY61">
            <v>46228660.050000004</v>
          </cell>
          <cell r="CZ61">
            <v>136496818.99000001</v>
          </cell>
          <cell r="DA61">
            <v>11573483.49</v>
          </cell>
          <cell r="DC61">
            <v>46479784.79999999</v>
          </cell>
          <cell r="DD61">
            <v>133461555.43000001</v>
          </cell>
          <cell r="DE61">
            <v>10529210.619999999</v>
          </cell>
          <cell r="DG61">
            <v>32258374.650000002</v>
          </cell>
          <cell r="DH61">
            <v>95968267.38000001</v>
          </cell>
          <cell r="DI61">
            <v>5585269.9900000002</v>
          </cell>
          <cell r="DJ61">
            <v>42651744.920000009</v>
          </cell>
          <cell r="DK61">
            <v>119231777.09000009</v>
          </cell>
          <cell r="DL61">
            <v>13438246.259999998</v>
          </cell>
          <cell r="DN61">
            <v>32067646.370125685</v>
          </cell>
          <cell r="DO61">
            <v>151224725.05190173</v>
          </cell>
          <cell r="DP61">
            <v>8676618.4147120006</v>
          </cell>
          <cell r="DQ61">
            <v>44401901.26000002</v>
          </cell>
          <cell r="DR61">
            <v>137561630.65000004</v>
          </cell>
          <cell r="DS61">
            <v>13703346.84</v>
          </cell>
          <cell r="DT61">
            <v>47002342.910000011</v>
          </cell>
          <cell r="DU61">
            <v>154253066.99000001</v>
          </cell>
          <cell r="DV61">
            <v>8311268.4900000002</v>
          </cell>
          <cell r="DW61" t="str">
            <v>0</v>
          </cell>
          <cell r="DX61" t="str">
            <v>0</v>
          </cell>
          <cell r="DY61" t="str">
            <v>0</v>
          </cell>
        </row>
        <row r="62">
          <cell r="A62" t="str">
            <v>Depreciation/Amortization</v>
          </cell>
          <cell r="B62">
            <v>9007326.4000000004</v>
          </cell>
          <cell r="C62">
            <v>17407028.330000002</v>
          </cell>
          <cell r="D62">
            <v>22400615.359999999</v>
          </cell>
          <cell r="E62">
            <v>11792546.27</v>
          </cell>
          <cell r="F62">
            <v>9962463.2200000007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1415455.36</v>
          </cell>
          <cell r="X62">
            <v>1873371.28</v>
          </cell>
          <cell r="Y62">
            <v>1731947.02</v>
          </cell>
          <cell r="Z62">
            <v>1674224.24</v>
          </cell>
          <cell r="AA62" t="str">
            <v>0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>
            <v>27582</v>
          </cell>
          <cell r="AJ62">
            <v>0</v>
          </cell>
          <cell r="AK62">
            <v>0</v>
          </cell>
          <cell r="AL62">
            <v>-57723</v>
          </cell>
          <cell r="AN62">
            <v>9007326.4000000004</v>
          </cell>
          <cell r="AO62">
            <v>17407028.330000002</v>
          </cell>
          <cell r="AP62">
            <v>22400615.359999999</v>
          </cell>
          <cell r="AQ62" t="str">
            <v>0</v>
          </cell>
          <cell r="AR62" t="str">
            <v>0</v>
          </cell>
          <cell r="AS62" t="str">
            <v>0</v>
          </cell>
          <cell r="AT62">
            <v>0</v>
          </cell>
          <cell r="AU62">
            <v>0</v>
          </cell>
          <cell r="AV62">
            <v>0</v>
          </cell>
          <cell r="AX62">
            <v>22400615.359999999</v>
          </cell>
          <cell r="AY62" t="str">
            <v>0</v>
          </cell>
          <cell r="AZ62">
            <v>0</v>
          </cell>
          <cell r="BA62">
            <v>17407028.330000002</v>
          </cell>
          <cell r="BB62" t="str">
            <v>0</v>
          </cell>
          <cell r="BC62">
            <v>0</v>
          </cell>
          <cell r="BD62">
            <v>11792546.27</v>
          </cell>
          <cell r="BE62" t="str">
            <v>0</v>
          </cell>
          <cell r="BF62">
            <v>0</v>
          </cell>
          <cell r="BG62">
            <v>-136200</v>
          </cell>
          <cell r="BI62">
            <v>7490790.1199999992</v>
          </cell>
          <cell r="BJ62" t="str">
            <v>0</v>
          </cell>
          <cell r="BK62">
            <v>0</v>
          </cell>
          <cell r="BL62">
            <v>5460974.9299999988</v>
          </cell>
          <cell r="BM62" t="str">
            <v>0</v>
          </cell>
          <cell r="BN62">
            <v>285</v>
          </cell>
          <cell r="BO62">
            <v>7366462.0300000003</v>
          </cell>
          <cell r="BP62" t="str">
            <v>0</v>
          </cell>
          <cell r="BQ62">
            <v>0</v>
          </cell>
          <cell r="BR62">
            <v>0</v>
          </cell>
          <cell r="BS62">
            <v>7366462.0300000003</v>
          </cell>
          <cell r="BT62" t="str">
            <v>0</v>
          </cell>
          <cell r="BU62">
            <v>0</v>
          </cell>
          <cell r="BW62">
            <v>5575893.8399999999</v>
          </cell>
          <cell r="BX62" t="str">
            <v>0</v>
          </cell>
          <cell r="BY62">
            <v>0</v>
          </cell>
          <cell r="BZ62">
            <v>4173553.87</v>
          </cell>
          <cell r="CA62" t="str">
            <v>0</v>
          </cell>
          <cell r="CB62">
            <v>0</v>
          </cell>
          <cell r="CC62">
            <v>3017550</v>
          </cell>
          <cell r="CD62" t="str">
            <v>0</v>
          </cell>
          <cell r="CE62" t="str">
            <v>0</v>
          </cell>
          <cell r="CF62" t="str">
            <v>0</v>
          </cell>
          <cell r="CG62">
            <v>3551889.81</v>
          </cell>
          <cell r="CH62" t="str">
            <v>0</v>
          </cell>
          <cell r="CI62" t="str">
            <v>0</v>
          </cell>
          <cell r="CK62">
            <v>5626469.8399999999</v>
          </cell>
          <cell r="CL62" t="str">
            <v>0</v>
          </cell>
          <cell r="CM62">
            <v>0</v>
          </cell>
          <cell r="CN62">
            <v>4170555.18</v>
          </cell>
          <cell r="CO62" t="str">
            <v>0</v>
          </cell>
          <cell r="CP62">
            <v>0</v>
          </cell>
          <cell r="CQ62">
            <v>5455436.5900000008</v>
          </cell>
          <cell r="CR62" t="str">
            <v>0</v>
          </cell>
          <cell r="CS62">
            <v>0</v>
          </cell>
          <cell r="CT62">
            <v>0</v>
          </cell>
          <cell r="CU62">
            <v>5455436.5900000008</v>
          </cell>
          <cell r="CV62" t="str">
            <v>0</v>
          </cell>
          <cell r="CW62">
            <v>0</v>
          </cell>
          <cell r="CY62">
            <v>5575893.8399999999</v>
          </cell>
          <cell r="CZ62" t="str">
            <v>0</v>
          </cell>
          <cell r="DA62">
            <v>0</v>
          </cell>
          <cell r="DC62">
            <v>5455436.5900000008</v>
          </cell>
          <cell r="DD62" t="str">
            <v>0</v>
          </cell>
          <cell r="DE62">
            <v>0</v>
          </cell>
          <cell r="DG62">
            <v>3551889.81</v>
          </cell>
          <cell r="DH62" t="str">
            <v>0</v>
          </cell>
          <cell r="DI62" t="str">
            <v>0</v>
          </cell>
          <cell r="DJ62">
            <v>4173553.87</v>
          </cell>
          <cell r="DK62" t="str">
            <v>0</v>
          </cell>
          <cell r="DL62">
            <v>0</v>
          </cell>
          <cell r="DN62">
            <v>1659786.84</v>
          </cell>
          <cell r="DO62" t="str">
            <v>0</v>
          </cell>
          <cell r="DP62" t="str">
            <v>0</v>
          </cell>
          <cell r="DQ62">
            <v>4354239.43</v>
          </cell>
          <cell r="DR62" t="str">
            <v>0</v>
          </cell>
          <cell r="DS62">
            <v>0</v>
          </cell>
          <cell r="DT62">
            <v>5632331.8399999999</v>
          </cell>
          <cell r="DU62" t="str">
            <v>0</v>
          </cell>
          <cell r="DV62">
            <v>0</v>
          </cell>
          <cell r="DW62" t="str">
            <v>0</v>
          </cell>
          <cell r="DX62" t="str">
            <v>0</v>
          </cell>
          <cell r="DY62" t="str">
            <v>0</v>
          </cell>
        </row>
        <row r="63">
          <cell r="A63" t="str">
            <v>EBITDA</v>
          </cell>
          <cell r="B63">
            <v>78738159.449999958</v>
          </cell>
          <cell r="C63">
            <v>173137724.35000008</v>
          </cell>
          <cell r="D63">
            <v>185603415.87</v>
          </cell>
          <cell r="E63">
            <v>149702614.16597614</v>
          </cell>
          <cell r="F63">
            <v>112444043.01287773</v>
          </cell>
          <cell r="G63">
            <v>229428664.24999997</v>
          </cell>
          <cell r="H63">
            <v>513097204.34999985</v>
          </cell>
          <cell r="I63">
            <v>558602886.96000004</v>
          </cell>
          <cell r="J63">
            <v>561272483.31737089</v>
          </cell>
          <cell r="K63">
            <v>521368331.39138871</v>
          </cell>
          <cell r="L63">
            <v>342940819.72999996</v>
          </cell>
          <cell r="M63">
            <v>760635428.82000017</v>
          </cell>
          <cell r="N63">
            <v>834106936</v>
          </cell>
          <cell r="O63">
            <v>873972739.34144032</v>
          </cell>
          <cell r="P63">
            <v>783240163.8588562</v>
          </cell>
          <cell r="Q63">
            <v>-712024.97</v>
          </cell>
          <cell r="R63">
            <v>8279586.3800000055</v>
          </cell>
          <cell r="S63">
            <v>-2738373.08</v>
          </cell>
          <cell r="T63">
            <v>-2497974.6</v>
          </cell>
          <cell r="U63">
            <v>-2170380.25</v>
          </cell>
          <cell r="W63">
            <v>14393024.779999997</v>
          </cell>
          <cell r="X63">
            <v>16011172.499999998</v>
          </cell>
          <cell r="Y63">
            <v>16417419.879999999</v>
          </cell>
          <cell r="Z63">
            <v>13966686.589999994</v>
          </cell>
          <cell r="AA63">
            <v>54009939.859999985</v>
          </cell>
          <cell r="AB63">
            <v>49826469.329999998</v>
          </cell>
          <cell r="AC63">
            <v>53105065.210000008</v>
          </cell>
          <cell r="AD63">
            <v>51276865.540000007</v>
          </cell>
          <cell r="AE63">
            <v>76942183.449999988</v>
          </cell>
          <cell r="AF63">
            <v>75177083</v>
          </cell>
          <cell r="AG63">
            <v>81424135.219999999</v>
          </cell>
          <cell r="AH63">
            <v>75212494.439999998</v>
          </cell>
          <cell r="AI63">
            <v>-300633.03000000003</v>
          </cell>
          <cell r="AJ63">
            <v>-225449.21</v>
          </cell>
          <cell r="AK63">
            <v>-201902.24</v>
          </cell>
          <cell r="AL63">
            <v>-222573.24</v>
          </cell>
          <cell r="AN63">
            <v>78738159.449999958</v>
          </cell>
          <cell r="AO63">
            <v>173137724.35000008</v>
          </cell>
          <cell r="AP63">
            <v>185603415.87</v>
          </cell>
          <cell r="AQ63">
            <v>229428664.24999997</v>
          </cell>
          <cell r="AR63">
            <v>513097204.34999985</v>
          </cell>
          <cell r="AS63">
            <v>558602886.96000004</v>
          </cell>
          <cell r="AT63">
            <v>-712024.97</v>
          </cell>
          <cell r="AU63">
            <v>8279586.3800000055</v>
          </cell>
          <cell r="AV63">
            <v>-2738373.08</v>
          </cell>
          <cell r="AX63">
            <v>185603415.87</v>
          </cell>
          <cell r="AY63">
            <v>558602886.96000004</v>
          </cell>
          <cell r="AZ63">
            <v>-2738373.08</v>
          </cell>
          <cell r="BA63">
            <v>173137724.35000008</v>
          </cell>
          <cell r="BB63">
            <v>513097204.34999996</v>
          </cell>
          <cell r="BC63">
            <v>8279586.3800000055</v>
          </cell>
          <cell r="BD63">
            <v>149702614.16597614</v>
          </cell>
          <cell r="BE63">
            <v>561272483.31737089</v>
          </cell>
          <cell r="BF63">
            <v>-2497974.6</v>
          </cell>
          <cell r="BG63">
            <v>-662165.24999999942</v>
          </cell>
          <cell r="BI63">
            <v>62637451.769999996</v>
          </cell>
          <cell r="BJ63">
            <v>185367487.31999999</v>
          </cell>
          <cell r="BK63">
            <v>-910796.72</v>
          </cell>
          <cell r="BL63">
            <v>57000282.879999958</v>
          </cell>
          <cell r="BM63">
            <v>185241511.99000013</v>
          </cell>
          <cell r="BN63">
            <v>-306.96999999985565</v>
          </cell>
          <cell r="BO63">
            <v>66345977.730000079</v>
          </cell>
          <cell r="BP63">
            <v>189733345.82000008</v>
          </cell>
          <cell r="BQ63">
            <v>-940166.24</v>
          </cell>
          <cell r="BR63">
            <v>-603719.89</v>
          </cell>
          <cell r="BS63">
            <v>62031184.730000064</v>
          </cell>
          <cell r="BT63">
            <v>187563771.34000003</v>
          </cell>
          <cell r="BU63">
            <v>-950418.24</v>
          </cell>
          <cell r="BW63">
            <v>46228660.050000004</v>
          </cell>
          <cell r="BX63">
            <v>136496818.99000001</v>
          </cell>
          <cell r="BY63">
            <v>-685347.51</v>
          </cell>
          <cell r="BZ63">
            <v>42651744.920000009</v>
          </cell>
          <cell r="CA63">
            <v>119231777.09000009</v>
          </cell>
          <cell r="CB63">
            <v>4482932.76</v>
          </cell>
          <cell r="CC63">
            <v>36705286.915724836</v>
          </cell>
          <cell r="CD63">
            <v>141617665.57461149</v>
          </cell>
          <cell r="CE63">
            <v>98704.450000000274</v>
          </cell>
          <cell r="CF63">
            <v>-584608.51</v>
          </cell>
          <cell r="CG63">
            <v>32258374.650000002</v>
          </cell>
          <cell r="CH63">
            <v>95968267.38000001</v>
          </cell>
          <cell r="CI63">
            <v>752575.06</v>
          </cell>
          <cell r="CK63">
            <v>46859298.510000005</v>
          </cell>
          <cell r="CL63">
            <v>135582070.99000001</v>
          </cell>
          <cell r="CM63">
            <v>-682347.55</v>
          </cell>
          <cell r="CN63">
            <v>41901694.360000014</v>
          </cell>
          <cell r="CO63">
            <v>136211434.44999993</v>
          </cell>
          <cell r="CP63">
            <v>593277.72</v>
          </cell>
          <cell r="CQ63">
            <v>49845373.800000004</v>
          </cell>
          <cell r="CR63">
            <v>135363906.45000005</v>
          </cell>
          <cell r="CS63">
            <v>-1464226.03</v>
          </cell>
          <cell r="CT63">
            <v>-410278.72</v>
          </cell>
          <cell r="CU63">
            <v>46479784.79999999</v>
          </cell>
          <cell r="CV63">
            <v>133461555.43000001</v>
          </cell>
          <cell r="CW63">
            <v>-1464600.03</v>
          </cell>
          <cell r="CY63">
            <v>46228660.050000004</v>
          </cell>
          <cell r="CZ63">
            <v>136496818.99000001</v>
          </cell>
          <cell r="DA63">
            <v>-685347.51</v>
          </cell>
          <cell r="DC63">
            <v>46479784.79999999</v>
          </cell>
          <cell r="DD63">
            <v>133461555.43000001</v>
          </cell>
          <cell r="DE63">
            <v>-1464600.03</v>
          </cell>
          <cell r="DG63">
            <v>32258374.650000002</v>
          </cell>
          <cell r="DH63">
            <v>95968267.38000001</v>
          </cell>
          <cell r="DI63">
            <v>752575.06</v>
          </cell>
          <cell r="DJ63">
            <v>42651744.920000009</v>
          </cell>
          <cell r="DK63">
            <v>119231777.09000009</v>
          </cell>
          <cell r="DL63">
            <v>4482932.76</v>
          </cell>
          <cell r="DN63">
            <v>32067646.370125685</v>
          </cell>
          <cell r="DO63">
            <v>151224725.05190173</v>
          </cell>
          <cell r="DP63">
            <v>-566222.51</v>
          </cell>
          <cell r="DQ63">
            <v>44401901.26000002</v>
          </cell>
          <cell r="DR63">
            <v>137561630.65000004</v>
          </cell>
          <cell r="DS63">
            <v>680581.93999999948</v>
          </cell>
          <cell r="DT63">
            <v>47002342.910000011</v>
          </cell>
          <cell r="DU63">
            <v>154253066.99000001</v>
          </cell>
          <cell r="DV63">
            <v>-685347.51</v>
          </cell>
          <cell r="DW63" t="str">
            <v>0</v>
          </cell>
          <cell r="DX63" t="str">
            <v>0</v>
          </cell>
          <cell r="DY63" t="str">
            <v>0</v>
          </cell>
        </row>
        <row r="64">
          <cell r="A64" t="str">
            <v>Adjusted EBITDA</v>
          </cell>
          <cell r="B64">
            <v>87745485.84999992</v>
          </cell>
          <cell r="C64">
            <v>190544752.68000007</v>
          </cell>
          <cell r="D64">
            <v>208004031.23000005</v>
          </cell>
          <cell r="E64">
            <v>161495160.43597612</v>
          </cell>
          <cell r="F64">
            <v>122406506.2328777</v>
          </cell>
          <cell r="G64">
            <v>229428664.24999997</v>
          </cell>
          <cell r="H64">
            <v>513097204.34999985</v>
          </cell>
          <cell r="I64">
            <v>558602886.96000004</v>
          </cell>
          <cell r="J64">
            <v>561272483.31737089</v>
          </cell>
          <cell r="K64">
            <v>521368331.39138871</v>
          </cell>
          <cell r="L64">
            <v>342940819.72999996</v>
          </cell>
          <cell r="M64">
            <v>760635428.82000017</v>
          </cell>
          <cell r="N64">
            <v>834106936</v>
          </cell>
          <cell r="O64">
            <v>873972739.34144032</v>
          </cell>
          <cell r="P64">
            <v>783240163.8588562</v>
          </cell>
          <cell r="Q64">
            <v>-792363.21</v>
          </cell>
          <cell r="R64">
            <v>8086093.8900000062</v>
          </cell>
          <cell r="S64">
            <v>-2738373.08</v>
          </cell>
          <cell r="T64">
            <v>-2675343.81</v>
          </cell>
          <cell r="U64">
            <v>-2220637.0299999998</v>
          </cell>
          <cell r="W64">
            <v>15808480.139999997</v>
          </cell>
          <cell r="X64">
            <v>17884543.779999997</v>
          </cell>
          <cell r="Y64">
            <v>18149366.900000002</v>
          </cell>
          <cell r="Z64">
            <v>15640910.829999993</v>
          </cell>
          <cell r="AA64">
            <v>54009939.859999985</v>
          </cell>
          <cell r="AB64">
            <v>49826469.329999998</v>
          </cell>
          <cell r="AC64">
            <v>53105065.210000008</v>
          </cell>
          <cell r="AD64">
            <v>51276865.540000007</v>
          </cell>
          <cell r="AE64">
            <v>76942183.449999988</v>
          </cell>
          <cell r="AF64">
            <v>75177083</v>
          </cell>
          <cell r="AG64">
            <v>81424135.219999999</v>
          </cell>
          <cell r="AH64">
            <v>75212494.439999998</v>
          </cell>
          <cell r="AI64">
            <v>-290009.53999999998</v>
          </cell>
          <cell r="AJ64">
            <v>-225449.21</v>
          </cell>
          <cell r="AK64">
            <v>-271238.94</v>
          </cell>
          <cell r="AL64">
            <v>-349632.94</v>
          </cell>
          <cell r="AN64">
            <v>87745485.84999992</v>
          </cell>
          <cell r="AO64">
            <v>190544752.68000007</v>
          </cell>
          <cell r="AP64">
            <v>208004031.23000005</v>
          </cell>
          <cell r="AQ64">
            <v>229428664.24999997</v>
          </cell>
          <cell r="AR64">
            <v>513097204.34999985</v>
          </cell>
          <cell r="AS64">
            <v>558602886.96000004</v>
          </cell>
          <cell r="AT64">
            <v>-792363.21</v>
          </cell>
          <cell r="AU64">
            <v>8086093.8900000062</v>
          </cell>
          <cell r="AV64">
            <v>-2738373.08</v>
          </cell>
          <cell r="AX64">
            <v>208004031.23000005</v>
          </cell>
          <cell r="AY64">
            <v>558602886.96000004</v>
          </cell>
          <cell r="AZ64">
            <v>-2738373.08</v>
          </cell>
          <cell r="BA64">
            <v>190544752.68000007</v>
          </cell>
          <cell r="BB64">
            <v>513097204.34999996</v>
          </cell>
          <cell r="BC64">
            <v>8086093.8900000062</v>
          </cell>
          <cell r="BD64">
            <v>161495160.43597612</v>
          </cell>
          <cell r="BE64">
            <v>561272483.31737089</v>
          </cell>
          <cell r="BF64">
            <v>-2675343.81</v>
          </cell>
          <cell r="BG64">
            <v>-848622.02999999945</v>
          </cell>
          <cell r="BI64">
            <v>70128241.890000001</v>
          </cell>
          <cell r="BJ64">
            <v>185367487.31999999</v>
          </cell>
          <cell r="BK64">
            <v>-910796.72</v>
          </cell>
          <cell r="BL64">
            <v>62461257.80999995</v>
          </cell>
          <cell r="BM64">
            <v>185241511.99000013</v>
          </cell>
          <cell r="BN64">
            <v>30494.230000000145</v>
          </cell>
          <cell r="BO64">
            <v>73712439.760000035</v>
          </cell>
          <cell r="BP64">
            <v>189733345.82000008</v>
          </cell>
          <cell r="BQ64">
            <v>-1005535.45</v>
          </cell>
          <cell r="BR64">
            <v>-653976.67000000004</v>
          </cell>
          <cell r="BS64">
            <v>69397646.760000035</v>
          </cell>
          <cell r="BT64">
            <v>187563771.34000003</v>
          </cell>
          <cell r="BU64">
            <v>-1016825.92</v>
          </cell>
          <cell r="BW64">
            <v>51804553.890000015</v>
          </cell>
          <cell r="BX64">
            <v>136496818.99000001</v>
          </cell>
          <cell r="BY64">
            <v>-685347.51</v>
          </cell>
          <cell r="BZ64">
            <v>46825298.790000036</v>
          </cell>
          <cell r="CA64">
            <v>119231777.09000009</v>
          </cell>
          <cell r="CB64">
            <v>4436128.8499999996</v>
          </cell>
          <cell r="CC64">
            <v>39722836.915724836</v>
          </cell>
          <cell r="CD64">
            <v>141617665.57461149</v>
          </cell>
          <cell r="CE64">
            <v>55592.020000000281</v>
          </cell>
          <cell r="CF64">
            <v>-584608.51</v>
          </cell>
          <cell r="CG64">
            <v>35810264.459999979</v>
          </cell>
          <cell r="CH64">
            <v>95968267.38000001</v>
          </cell>
          <cell r="CI64">
            <v>722493.6</v>
          </cell>
          <cell r="CK64">
            <v>52485768.350000016</v>
          </cell>
          <cell r="CL64">
            <v>135582070.99000001</v>
          </cell>
          <cell r="CM64">
            <v>-682347.55</v>
          </cell>
          <cell r="CN64">
            <v>46072249.539999984</v>
          </cell>
          <cell r="CO64">
            <v>136211434.44999993</v>
          </cell>
          <cell r="CP64">
            <v>556101.48</v>
          </cell>
          <cell r="CQ64">
            <v>55300810.390000001</v>
          </cell>
          <cell r="CR64">
            <v>135363906.45000005</v>
          </cell>
          <cell r="CS64">
            <v>-1514482.81</v>
          </cell>
          <cell r="CT64">
            <v>-460535.5</v>
          </cell>
          <cell r="CU64">
            <v>51935221.389999993</v>
          </cell>
          <cell r="CV64">
            <v>133461555.43000001</v>
          </cell>
          <cell r="CW64">
            <v>-1514856.81</v>
          </cell>
          <cell r="CY64">
            <v>51804553.890000015</v>
          </cell>
          <cell r="CZ64">
            <v>136496818.99000001</v>
          </cell>
          <cell r="DA64">
            <v>-685347.51</v>
          </cell>
          <cell r="DC64">
            <v>51935221.389999993</v>
          </cell>
          <cell r="DD64">
            <v>133461555.43000001</v>
          </cell>
          <cell r="DE64">
            <v>-1514856.81</v>
          </cell>
          <cell r="DG64">
            <v>35810264.459999979</v>
          </cell>
          <cell r="DH64">
            <v>95968267.38000001</v>
          </cell>
          <cell r="DI64">
            <v>722493.6</v>
          </cell>
          <cell r="DJ64">
            <v>46825298.790000036</v>
          </cell>
          <cell r="DK64">
            <v>119231777.09000009</v>
          </cell>
          <cell r="DL64">
            <v>4436128.8499999996</v>
          </cell>
          <cell r="DN64">
            <v>33727433.210125685</v>
          </cell>
          <cell r="DO64">
            <v>151224725.05190173</v>
          </cell>
          <cell r="DP64">
            <v>-608222.51</v>
          </cell>
          <cell r="DQ64">
            <v>48756140.69000005</v>
          </cell>
          <cell r="DR64">
            <v>137561630.65000004</v>
          </cell>
          <cell r="DS64">
            <v>613929.36</v>
          </cell>
          <cell r="DT64">
            <v>52634674.750000022</v>
          </cell>
          <cell r="DU64">
            <v>154253066.99000001</v>
          </cell>
          <cell r="DV64">
            <v>-685347.51</v>
          </cell>
          <cell r="DW64" t="str">
            <v>0</v>
          </cell>
          <cell r="DX64" t="str">
            <v>0</v>
          </cell>
          <cell r="DY64" t="str">
            <v>0</v>
          </cell>
        </row>
        <row r="65">
          <cell r="A65" t="str">
            <v>Fixed Mfg OH</v>
          </cell>
          <cell r="B65">
            <v>13046260.990000002</v>
          </cell>
          <cell r="C65">
            <v>28192829.619999997</v>
          </cell>
          <cell r="D65">
            <v>32092098</v>
          </cell>
          <cell r="E65">
            <v>9957781.6000000034</v>
          </cell>
          <cell r="F65">
            <v>7130652.0000000009</v>
          </cell>
          <cell r="G65">
            <v>125930.3</v>
          </cell>
          <cell r="H65">
            <v>463819.73</v>
          </cell>
          <cell r="I65">
            <v>412068</v>
          </cell>
          <cell r="J65">
            <v>102171.32</v>
          </cell>
          <cell r="K65">
            <v>65698.81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W65">
            <v>2389582.2400000002</v>
          </cell>
          <cell r="X65">
            <v>2636595</v>
          </cell>
          <cell r="Y65">
            <v>2391686.54</v>
          </cell>
          <cell r="Z65">
            <v>2391686.54</v>
          </cell>
          <cell r="AA65">
            <v>93236.31</v>
          </cell>
          <cell r="AB65">
            <v>44604</v>
          </cell>
          <cell r="AC65">
            <v>154079.04000000001</v>
          </cell>
          <cell r="AD65">
            <v>154079.04000000001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N65">
            <v>13046260.990000002</v>
          </cell>
          <cell r="AO65">
            <v>28192829.619999997</v>
          </cell>
          <cell r="AP65">
            <v>32092098</v>
          </cell>
          <cell r="AQ65">
            <v>125930.3</v>
          </cell>
          <cell r="AR65">
            <v>463819.73</v>
          </cell>
          <cell r="AS65">
            <v>412068</v>
          </cell>
          <cell r="AT65" t="str">
            <v>0</v>
          </cell>
          <cell r="AU65" t="str">
            <v>0</v>
          </cell>
          <cell r="AV65" t="str">
            <v>0</v>
          </cell>
          <cell r="AX65">
            <v>32092098</v>
          </cell>
          <cell r="AY65">
            <v>412068</v>
          </cell>
          <cell r="AZ65" t="str">
            <v>0</v>
          </cell>
          <cell r="BA65">
            <v>28192829.620000001</v>
          </cell>
          <cell r="BB65">
            <v>463819.73</v>
          </cell>
          <cell r="BC65" t="str">
            <v>0</v>
          </cell>
          <cell r="BD65">
            <v>9957781.6000000034</v>
          </cell>
          <cell r="BE65">
            <v>102171.32</v>
          </cell>
          <cell r="BF65" t="str">
            <v>0</v>
          </cell>
          <cell r="BG65" t="str">
            <v>0</v>
          </cell>
          <cell r="BI65">
            <v>10536093</v>
          </cell>
          <cell r="BJ65">
            <v>188620</v>
          </cell>
          <cell r="BK65" t="str">
            <v>0</v>
          </cell>
          <cell r="BL65">
            <v>9592773.1399999987</v>
          </cell>
          <cell r="BM65">
            <v>309218.7</v>
          </cell>
          <cell r="BN65" t="str">
            <v>0</v>
          </cell>
          <cell r="BO65">
            <v>9957781.6000000034</v>
          </cell>
          <cell r="BP65">
            <v>102171.32</v>
          </cell>
          <cell r="BQ65" t="str">
            <v>0</v>
          </cell>
          <cell r="BR65" t="str">
            <v>0</v>
          </cell>
          <cell r="BS65">
            <v>9957781.6000000034</v>
          </cell>
          <cell r="BT65">
            <v>102171.32</v>
          </cell>
          <cell r="BU65" t="str">
            <v>0</v>
          </cell>
          <cell r="BW65">
            <v>7929069</v>
          </cell>
          <cell r="BX65">
            <v>114418</v>
          </cell>
          <cell r="BY65" t="str">
            <v>0</v>
          </cell>
          <cell r="BZ65">
            <v>7246111.6100000003</v>
          </cell>
          <cell r="CA65">
            <v>163320.84</v>
          </cell>
          <cell r="CB65" t="str">
            <v>0</v>
          </cell>
          <cell r="CC65">
            <v>2521866.59</v>
          </cell>
          <cell r="CD65">
            <v>36472.51</v>
          </cell>
          <cell r="CE65" t="str">
            <v>0</v>
          </cell>
          <cell r="CF65" t="str">
            <v>0</v>
          </cell>
          <cell r="CG65">
            <v>5610345.9800000004</v>
          </cell>
          <cell r="CH65">
            <v>60231.49</v>
          </cell>
          <cell r="CI65" t="str">
            <v>0</v>
          </cell>
          <cell r="CK65">
            <v>7868075</v>
          </cell>
          <cell r="CL65">
            <v>143814</v>
          </cell>
          <cell r="CM65" t="str">
            <v>0</v>
          </cell>
          <cell r="CN65">
            <v>7133333.4000000004</v>
          </cell>
          <cell r="CO65">
            <v>234352.29</v>
          </cell>
          <cell r="CP65" t="str">
            <v>0</v>
          </cell>
          <cell r="CQ65">
            <v>7435915.0100000007</v>
          </cell>
          <cell r="CR65">
            <v>65698.81</v>
          </cell>
          <cell r="CS65" t="str">
            <v>0</v>
          </cell>
          <cell r="CT65" t="str">
            <v>0</v>
          </cell>
          <cell r="CU65">
            <v>7435915.0100000007</v>
          </cell>
          <cell r="CV65">
            <v>65698.81</v>
          </cell>
          <cell r="CW65" t="str">
            <v>0</v>
          </cell>
          <cell r="CY65">
            <v>7929069</v>
          </cell>
          <cell r="CZ65">
            <v>114418</v>
          </cell>
          <cell r="DA65" t="str">
            <v>0</v>
          </cell>
          <cell r="DC65">
            <v>7435915.0100000007</v>
          </cell>
          <cell r="DD65">
            <v>65698.81</v>
          </cell>
          <cell r="DE65" t="str">
            <v>0</v>
          </cell>
          <cell r="DG65">
            <v>5610345.9800000004</v>
          </cell>
          <cell r="DH65">
            <v>60231.49</v>
          </cell>
          <cell r="DI65" t="str">
            <v>0</v>
          </cell>
          <cell r="DJ65">
            <v>7246111.6100000003</v>
          </cell>
          <cell r="DK65">
            <v>163320.84</v>
          </cell>
          <cell r="DL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>
            <v>7151386.870000002</v>
          </cell>
          <cell r="DR65">
            <v>-10929.84</v>
          </cell>
          <cell r="DS65" t="str">
            <v>0</v>
          </cell>
          <cell r="DT65">
            <v>8179153</v>
          </cell>
          <cell r="DU65">
            <v>76918</v>
          </cell>
          <cell r="DV65" t="str">
            <v>0</v>
          </cell>
          <cell r="DW65" t="str">
            <v>0</v>
          </cell>
          <cell r="DX65" t="str">
            <v>0</v>
          </cell>
          <cell r="DY65" t="str">
            <v>0</v>
          </cell>
        </row>
        <row r="66">
          <cell r="A66" t="str">
            <v>Total OH</v>
          </cell>
          <cell r="B66">
            <v>15573795.629999999</v>
          </cell>
          <cell r="C66">
            <v>34736742.329999998</v>
          </cell>
          <cell r="D66">
            <v>38735254</v>
          </cell>
          <cell r="E66">
            <v>12080297.389999999</v>
          </cell>
          <cell r="F66">
            <v>8640339.7699999996</v>
          </cell>
          <cell r="G66">
            <v>23534127.340000015</v>
          </cell>
          <cell r="H66">
            <v>56493674.659999982</v>
          </cell>
          <cell r="I66">
            <v>53762001</v>
          </cell>
          <cell r="J66">
            <v>19555806.850000005</v>
          </cell>
          <cell r="K66">
            <v>14268722.469999999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0</v>
          </cell>
          <cell r="W66">
            <v>2951122.34</v>
          </cell>
          <cell r="X66">
            <v>3230043</v>
          </cell>
          <cell r="Y66">
            <v>2929597.76</v>
          </cell>
          <cell r="Z66">
            <v>2929597.76</v>
          </cell>
          <cell r="AA66">
            <v>5754618.9800000004</v>
          </cell>
          <cell r="AB66">
            <v>4784579</v>
          </cell>
          <cell r="AC66">
            <v>5511220.1500000013</v>
          </cell>
          <cell r="AD66">
            <v>5511220.1500000013</v>
          </cell>
          <cell r="AE66" t="str">
            <v>0</v>
          </cell>
          <cell r="AF66" t="str">
            <v>0</v>
          </cell>
          <cell r="AG66" t="str">
            <v>0</v>
          </cell>
          <cell r="AH66" t="str">
            <v>0</v>
          </cell>
          <cell r="AI66" t="str">
            <v>0</v>
          </cell>
          <cell r="AJ66" t="str">
            <v>0</v>
          </cell>
          <cell r="AK66" t="str">
            <v>0</v>
          </cell>
          <cell r="AL66" t="str">
            <v>0</v>
          </cell>
          <cell r="AN66">
            <v>15573795.629999999</v>
          </cell>
          <cell r="AO66">
            <v>34736742.329999998</v>
          </cell>
          <cell r="AP66">
            <v>38735254</v>
          </cell>
          <cell r="AQ66">
            <v>23534127.340000015</v>
          </cell>
          <cell r="AR66">
            <v>56493674.659999982</v>
          </cell>
          <cell r="AS66">
            <v>53762001</v>
          </cell>
          <cell r="AT66" t="str">
            <v>0</v>
          </cell>
          <cell r="AU66" t="str">
            <v>0</v>
          </cell>
          <cell r="AV66" t="str">
            <v>0</v>
          </cell>
          <cell r="AX66">
            <v>38735254</v>
          </cell>
          <cell r="AY66">
            <v>53762001</v>
          </cell>
          <cell r="AZ66" t="str">
            <v>0</v>
          </cell>
          <cell r="BA66">
            <v>34736742.330000006</v>
          </cell>
          <cell r="BB66">
            <v>56493674.659999982</v>
          </cell>
          <cell r="BC66" t="str">
            <v>0</v>
          </cell>
          <cell r="BD66">
            <v>12080297.389999999</v>
          </cell>
          <cell r="BE66">
            <v>19555806.850000005</v>
          </cell>
          <cell r="BF66" t="str">
            <v>0</v>
          </cell>
          <cell r="BG66" t="str">
            <v>0</v>
          </cell>
          <cell r="BI66">
            <v>12762111</v>
          </cell>
          <cell r="BJ66">
            <v>17963842</v>
          </cell>
          <cell r="BK66" t="str">
            <v>0</v>
          </cell>
          <cell r="BL66">
            <v>11869829.629999999</v>
          </cell>
          <cell r="BM66">
            <v>19855599.5</v>
          </cell>
          <cell r="BN66" t="str">
            <v>0</v>
          </cell>
          <cell r="BO66">
            <v>12080297.389999999</v>
          </cell>
          <cell r="BP66">
            <v>19483138.850000005</v>
          </cell>
          <cell r="BQ66" t="str">
            <v>0</v>
          </cell>
          <cell r="BR66" t="str">
            <v>0</v>
          </cell>
          <cell r="BS66">
            <v>12080297.389999999</v>
          </cell>
          <cell r="BT66">
            <v>19483138.850000005</v>
          </cell>
          <cell r="BU66" t="str">
            <v>0</v>
          </cell>
          <cell r="BW66">
            <v>9557771</v>
          </cell>
          <cell r="BX66">
            <v>13340180</v>
          </cell>
          <cell r="BY66" t="str">
            <v>0</v>
          </cell>
          <cell r="BZ66">
            <v>8757170.2100000009</v>
          </cell>
          <cell r="CA66">
            <v>14536943.239999998</v>
          </cell>
          <cell r="CB66" t="str">
            <v>0</v>
          </cell>
          <cell r="CC66">
            <v>3134694.61</v>
          </cell>
          <cell r="CD66">
            <v>5314333.38</v>
          </cell>
          <cell r="CE66" t="str">
            <v>0</v>
          </cell>
          <cell r="CF66" t="str">
            <v>0</v>
          </cell>
          <cell r="CG66">
            <v>6628192.8499999996</v>
          </cell>
          <cell r="CH66">
            <v>9347155.8699999992</v>
          </cell>
          <cell r="CI66" t="str">
            <v>0</v>
          </cell>
          <cell r="CK66">
            <v>9495069</v>
          </cell>
          <cell r="CL66">
            <v>13287617</v>
          </cell>
          <cell r="CM66" t="str">
            <v>0</v>
          </cell>
          <cell r="CN66">
            <v>8773921.0999999996</v>
          </cell>
          <cell r="CO66">
            <v>14606785.969999999</v>
          </cell>
          <cell r="CP66" t="str">
            <v>0</v>
          </cell>
          <cell r="CQ66">
            <v>8945602.7799999993</v>
          </cell>
          <cell r="CR66">
            <v>14186971.469999999</v>
          </cell>
          <cell r="CS66" t="str">
            <v>0</v>
          </cell>
          <cell r="CT66" t="str">
            <v>0</v>
          </cell>
          <cell r="CU66">
            <v>8945602.7799999993</v>
          </cell>
          <cell r="CV66">
            <v>14186971.469999999</v>
          </cell>
          <cell r="CW66" t="str">
            <v>0</v>
          </cell>
          <cell r="CY66">
            <v>9557771</v>
          </cell>
          <cell r="CZ66">
            <v>13340180</v>
          </cell>
          <cell r="DA66" t="str">
            <v>0</v>
          </cell>
          <cell r="DC66">
            <v>8945602.7799999993</v>
          </cell>
          <cell r="DD66">
            <v>14186971.469999999</v>
          </cell>
          <cell r="DE66" t="str">
            <v>0</v>
          </cell>
          <cell r="DG66">
            <v>6628192.8499999996</v>
          </cell>
          <cell r="DH66">
            <v>9347155.8699999992</v>
          </cell>
          <cell r="DI66" t="str">
            <v>0</v>
          </cell>
          <cell r="DJ66">
            <v>8757170.2100000009</v>
          </cell>
          <cell r="DK66">
            <v>14536943.239999998</v>
          </cell>
          <cell r="DL66" t="str">
            <v>0</v>
          </cell>
          <cell r="DN66" t="str">
            <v>0</v>
          </cell>
          <cell r="DO66">
            <v>27249</v>
          </cell>
          <cell r="DP66" t="str">
            <v>0</v>
          </cell>
          <cell r="DQ66">
            <v>8901724.1199999992</v>
          </cell>
          <cell r="DR66">
            <v>14417985.719999999</v>
          </cell>
          <cell r="DS66" t="str">
            <v>0</v>
          </cell>
          <cell r="DT66">
            <v>10003605</v>
          </cell>
          <cell r="DU66">
            <v>14068293</v>
          </cell>
          <cell r="DV66" t="str">
            <v>0</v>
          </cell>
          <cell r="DW66" t="str">
            <v>0</v>
          </cell>
          <cell r="DX66" t="str">
            <v>0</v>
          </cell>
          <cell r="DY66" t="str">
            <v>0</v>
          </cell>
        </row>
        <row r="67">
          <cell r="A67" t="str">
            <v>General Manufacturing</v>
          </cell>
          <cell r="B67">
            <v>15573795.629999999</v>
          </cell>
          <cell r="C67">
            <v>34736742.329999998</v>
          </cell>
          <cell r="D67">
            <v>38735254</v>
          </cell>
          <cell r="E67">
            <v>12080297.389999999</v>
          </cell>
          <cell r="F67">
            <v>8640339.7699999996</v>
          </cell>
          <cell r="G67">
            <v>139237431.83999985</v>
          </cell>
          <cell r="H67">
            <v>301779437.15999997</v>
          </cell>
          <cell r="I67">
            <v>345215379</v>
          </cell>
          <cell r="J67">
            <v>80051351.479999945</v>
          </cell>
          <cell r="K67">
            <v>39447986.81000001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0</v>
          </cell>
          <cell r="W67">
            <v>2951122.34</v>
          </cell>
          <cell r="X67">
            <v>3230043</v>
          </cell>
          <cell r="Y67">
            <v>2929597.76</v>
          </cell>
          <cell r="Z67">
            <v>2929597.76</v>
          </cell>
          <cell r="AA67">
            <v>31301463.420000002</v>
          </cell>
          <cell r="AB67">
            <v>30413928</v>
          </cell>
          <cell r="AC67">
            <v>32777519.610000003</v>
          </cell>
          <cell r="AD67">
            <v>31369263.350000005</v>
          </cell>
          <cell r="AE67" t="str">
            <v>0</v>
          </cell>
          <cell r="AF67" t="str">
            <v>0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N67">
            <v>15573795.629999999</v>
          </cell>
          <cell r="AO67">
            <v>34736742.329999998</v>
          </cell>
          <cell r="AP67">
            <v>38735254</v>
          </cell>
          <cell r="AQ67">
            <v>139237431.83999985</v>
          </cell>
          <cell r="AR67">
            <v>301779437.15999997</v>
          </cell>
          <cell r="AS67">
            <v>345215379</v>
          </cell>
          <cell r="AT67" t="str">
            <v>0</v>
          </cell>
          <cell r="AU67" t="str">
            <v>0</v>
          </cell>
          <cell r="AV67" t="str">
            <v>0</v>
          </cell>
          <cell r="AX67">
            <v>38735254</v>
          </cell>
          <cell r="AY67">
            <v>345215379</v>
          </cell>
          <cell r="AZ67" t="str">
            <v>0</v>
          </cell>
          <cell r="BA67">
            <v>34736742.330000006</v>
          </cell>
          <cell r="BB67">
            <v>301779437.15999997</v>
          </cell>
          <cell r="BC67" t="str">
            <v>0</v>
          </cell>
          <cell r="BD67">
            <v>12080297.389999999</v>
          </cell>
          <cell r="BE67">
            <v>80051351.479999945</v>
          </cell>
          <cell r="BF67" t="str">
            <v>0</v>
          </cell>
          <cell r="BG67" t="str">
            <v>0</v>
          </cell>
          <cell r="BI67">
            <v>12762111</v>
          </cell>
          <cell r="BJ67">
            <v>113829858</v>
          </cell>
          <cell r="BK67" t="str">
            <v>0</v>
          </cell>
          <cell r="BL67">
            <v>11869829.629999999</v>
          </cell>
          <cell r="BM67">
            <v>107442060.08000003</v>
          </cell>
          <cell r="BN67" t="str">
            <v>0</v>
          </cell>
          <cell r="BO67">
            <v>12080297.389999999</v>
          </cell>
          <cell r="BP67">
            <v>113161009.47999997</v>
          </cell>
          <cell r="BQ67" t="str">
            <v>0</v>
          </cell>
          <cell r="BR67" t="str">
            <v>0</v>
          </cell>
          <cell r="BS67">
            <v>12080297.389999999</v>
          </cell>
          <cell r="BT67">
            <v>113161009.47999997</v>
          </cell>
          <cell r="BU67" t="str">
            <v>0</v>
          </cell>
          <cell r="BW67">
            <v>9557771</v>
          </cell>
          <cell r="BX67">
            <v>84422158</v>
          </cell>
          <cell r="BY67" t="str">
            <v>0</v>
          </cell>
          <cell r="BZ67">
            <v>8757170.2100000009</v>
          </cell>
          <cell r="CA67">
            <v>68678316.890000105</v>
          </cell>
          <cell r="CB67" t="str">
            <v>0</v>
          </cell>
          <cell r="CC67">
            <v>3134694.61</v>
          </cell>
          <cell r="CD67">
            <v>24236492.710000005</v>
          </cell>
          <cell r="CE67" t="str">
            <v>0</v>
          </cell>
          <cell r="CF67" t="str">
            <v>0</v>
          </cell>
          <cell r="CG67">
            <v>6628192.8499999996</v>
          </cell>
          <cell r="CH67">
            <v>58393765.070000023</v>
          </cell>
          <cell r="CI67" t="str">
            <v>0</v>
          </cell>
          <cell r="CK67">
            <v>9495069</v>
          </cell>
          <cell r="CL67">
            <v>83156488</v>
          </cell>
          <cell r="CM67" t="str">
            <v>0</v>
          </cell>
          <cell r="CN67">
            <v>8773921.0999999996</v>
          </cell>
          <cell r="CO67">
            <v>79178901.119999975</v>
          </cell>
          <cell r="CP67" t="str">
            <v>0</v>
          </cell>
          <cell r="CQ67">
            <v>8945602.7799999993</v>
          </cell>
          <cell r="CR67">
            <v>80843666.769999981</v>
          </cell>
          <cell r="CS67" t="str">
            <v>0</v>
          </cell>
          <cell r="CT67" t="str">
            <v>0</v>
          </cell>
          <cell r="CU67">
            <v>8945602.7799999993</v>
          </cell>
          <cell r="CV67">
            <v>80843666.769999981</v>
          </cell>
          <cell r="CW67" t="str">
            <v>0</v>
          </cell>
          <cell r="CY67">
            <v>9557771</v>
          </cell>
          <cell r="CZ67">
            <v>84422158</v>
          </cell>
          <cell r="DA67" t="str">
            <v>0</v>
          </cell>
          <cell r="DC67">
            <v>8945602.7799999993</v>
          </cell>
          <cell r="DD67">
            <v>80843666.769999981</v>
          </cell>
          <cell r="DE67" t="str">
            <v>0</v>
          </cell>
          <cell r="DG67">
            <v>6628192.8499999996</v>
          </cell>
          <cell r="DH67">
            <v>58393765.070000023</v>
          </cell>
          <cell r="DI67" t="str">
            <v>0</v>
          </cell>
          <cell r="DJ67">
            <v>8757170.2100000009</v>
          </cell>
          <cell r="DK67">
            <v>68678316.890000105</v>
          </cell>
          <cell r="DL67" t="str">
            <v>0</v>
          </cell>
          <cell r="DN67" t="str">
            <v>0</v>
          </cell>
          <cell r="DO67">
            <v>-13458482</v>
          </cell>
          <cell r="DP67" t="str">
            <v>0</v>
          </cell>
          <cell r="DQ67">
            <v>8901724.1199999992</v>
          </cell>
          <cell r="DR67">
            <v>81871855.450000003</v>
          </cell>
          <cell r="DS67" t="str">
            <v>0</v>
          </cell>
          <cell r="DT67">
            <v>10003605</v>
          </cell>
          <cell r="DU67">
            <v>95695721</v>
          </cell>
          <cell r="DV67" t="str">
            <v>0</v>
          </cell>
          <cell r="DW67" t="str">
            <v>0</v>
          </cell>
          <cell r="DX67" t="str">
            <v>0</v>
          </cell>
          <cell r="DY67" t="str">
            <v>0</v>
          </cell>
        </row>
        <row r="68">
          <cell r="A68" t="str">
            <v>Total Selling Expenses</v>
          </cell>
          <cell r="B68">
            <v>20442296.510000005</v>
          </cell>
          <cell r="C68">
            <v>42189318.589999996</v>
          </cell>
          <cell r="D68">
            <v>39069475.460000001</v>
          </cell>
          <cell r="E68">
            <v>22078460.979999993</v>
          </cell>
          <cell r="F68">
            <v>19174339.970000006</v>
          </cell>
          <cell r="G68">
            <v>3790517.54</v>
          </cell>
          <cell r="H68">
            <v>9273580.6300000008</v>
          </cell>
          <cell r="I68">
            <v>11655371</v>
          </cell>
          <cell r="J68">
            <v>3669342.9</v>
          </cell>
          <cell r="K68">
            <v>2654880.84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0</v>
          </cell>
          <cell r="W68">
            <v>3197831.96</v>
          </cell>
          <cell r="X68">
            <v>3380525.1</v>
          </cell>
          <cell r="Y68">
            <v>3678627.44</v>
          </cell>
          <cell r="Z68">
            <v>3678627.44</v>
          </cell>
          <cell r="AA68">
            <v>1016532.02</v>
          </cell>
          <cell r="AB68">
            <v>1022737</v>
          </cell>
          <cell r="AC68">
            <v>1054250.17</v>
          </cell>
          <cell r="AD68">
            <v>1054250.17</v>
          </cell>
          <cell r="AE68" t="str">
            <v>0</v>
          </cell>
          <cell r="AF68" t="str">
            <v>0</v>
          </cell>
          <cell r="AG68" t="str">
            <v>0</v>
          </cell>
          <cell r="AH68" t="str">
            <v>0</v>
          </cell>
          <cell r="AI68" t="str">
            <v>0</v>
          </cell>
          <cell r="AJ68" t="str">
            <v>0</v>
          </cell>
          <cell r="AK68" t="str">
            <v>0</v>
          </cell>
          <cell r="AL68" t="str">
            <v>0</v>
          </cell>
          <cell r="AN68">
            <v>20442296.510000005</v>
          </cell>
          <cell r="AO68">
            <v>42189318.589999996</v>
          </cell>
          <cell r="AP68">
            <v>39069475.460000001</v>
          </cell>
          <cell r="AQ68">
            <v>3790517.54</v>
          </cell>
          <cell r="AR68">
            <v>9273580.6300000008</v>
          </cell>
          <cell r="AS68">
            <v>11655371</v>
          </cell>
          <cell r="AT68" t="str">
            <v>0</v>
          </cell>
          <cell r="AU68" t="str">
            <v>0</v>
          </cell>
          <cell r="AV68" t="str">
            <v>0</v>
          </cell>
          <cell r="AX68">
            <v>39069475.460000001</v>
          </cell>
          <cell r="AY68">
            <v>11655371</v>
          </cell>
          <cell r="AZ68" t="str">
            <v>0</v>
          </cell>
          <cell r="BA68">
            <v>42189318.589999996</v>
          </cell>
          <cell r="BB68">
            <v>9273580.629999999</v>
          </cell>
          <cell r="BC68" t="str">
            <v>0</v>
          </cell>
          <cell r="BD68">
            <v>22078460.979999993</v>
          </cell>
          <cell r="BE68">
            <v>3669342.9</v>
          </cell>
          <cell r="BF68" t="str">
            <v>0</v>
          </cell>
          <cell r="BG68" t="str">
            <v>0</v>
          </cell>
          <cell r="BI68">
            <v>13036625.25</v>
          </cell>
          <cell r="BJ68">
            <v>3875369</v>
          </cell>
          <cell r="BK68" t="str">
            <v>0</v>
          </cell>
          <cell r="BL68">
            <v>14253733.069999998</v>
          </cell>
          <cell r="BM68">
            <v>3078853.45</v>
          </cell>
          <cell r="BN68" t="str">
            <v>0</v>
          </cell>
          <cell r="BO68">
            <v>14253321.020000005</v>
          </cell>
          <cell r="BP68">
            <v>3669342.9</v>
          </cell>
          <cell r="BQ68" t="str">
            <v>0</v>
          </cell>
          <cell r="BR68" t="str">
            <v>0</v>
          </cell>
          <cell r="BS68">
            <v>14253321.020000005</v>
          </cell>
          <cell r="BT68">
            <v>3669342.9</v>
          </cell>
          <cell r="BU68" t="str">
            <v>0</v>
          </cell>
          <cell r="BW68">
            <v>9676144.4299999997</v>
          </cell>
          <cell r="BX68">
            <v>2886410</v>
          </cell>
          <cell r="BY68" t="str">
            <v>0</v>
          </cell>
          <cell r="BZ68">
            <v>10633806.310000002</v>
          </cell>
          <cell r="CA68">
            <v>2072254.22</v>
          </cell>
          <cell r="CB68" t="str">
            <v>0</v>
          </cell>
          <cell r="CC68">
            <v>5780578.6199999992</v>
          </cell>
          <cell r="CD68">
            <v>1014462.06</v>
          </cell>
          <cell r="CE68" t="str">
            <v>0</v>
          </cell>
          <cell r="CF68" t="str">
            <v>0</v>
          </cell>
          <cell r="CG68">
            <v>10055518.369999995</v>
          </cell>
          <cell r="CH68">
            <v>1135636.7</v>
          </cell>
          <cell r="CI68" t="str">
            <v>0</v>
          </cell>
          <cell r="CK68">
            <v>9709104.5300000012</v>
          </cell>
          <cell r="CL68">
            <v>2844105</v>
          </cell>
          <cell r="CM68" t="str">
            <v>0</v>
          </cell>
          <cell r="CN68">
            <v>9942892.8399999999</v>
          </cell>
          <cell r="CO68">
            <v>2233038.14</v>
          </cell>
          <cell r="CP68" t="str">
            <v>0</v>
          </cell>
          <cell r="CQ68">
            <v>10386778.140000001</v>
          </cell>
          <cell r="CR68">
            <v>2654880.84</v>
          </cell>
          <cell r="CS68" t="str">
            <v>0</v>
          </cell>
          <cell r="CT68" t="str">
            <v>0</v>
          </cell>
          <cell r="CU68">
            <v>10386778.140000001</v>
          </cell>
          <cell r="CV68">
            <v>2654880.84</v>
          </cell>
          <cell r="CW68" t="str">
            <v>0</v>
          </cell>
          <cell r="CY68">
            <v>9676144.4299999997</v>
          </cell>
          <cell r="CZ68">
            <v>2886410</v>
          </cell>
          <cell r="DA68" t="str">
            <v>0</v>
          </cell>
          <cell r="DC68">
            <v>10386778.140000001</v>
          </cell>
          <cell r="DD68">
            <v>2654880.84</v>
          </cell>
          <cell r="DE68" t="str">
            <v>0</v>
          </cell>
          <cell r="DG68">
            <v>10055518.369999995</v>
          </cell>
          <cell r="DH68">
            <v>1135636.7</v>
          </cell>
          <cell r="DI68" t="str">
            <v>0</v>
          </cell>
          <cell r="DJ68">
            <v>10633806.310000002</v>
          </cell>
          <cell r="DK68">
            <v>2072254.22</v>
          </cell>
          <cell r="DL68" t="str">
            <v>0</v>
          </cell>
          <cell r="DN68">
            <v>2906616.61</v>
          </cell>
          <cell r="DO68" t="str">
            <v>0</v>
          </cell>
          <cell r="DP68" t="str">
            <v>0</v>
          </cell>
          <cell r="DQ68">
            <v>10846800.269999998</v>
          </cell>
          <cell r="DR68">
            <v>2682422.3199999998</v>
          </cell>
          <cell r="DS68" t="str">
            <v>0</v>
          </cell>
          <cell r="DT68">
            <v>9970799.8600000013</v>
          </cell>
          <cell r="DU68">
            <v>3152164</v>
          </cell>
          <cell r="DV68" t="str">
            <v>0</v>
          </cell>
          <cell r="DW68" t="str">
            <v>0</v>
          </cell>
          <cell r="DX68" t="str">
            <v>0</v>
          </cell>
          <cell r="DY68" t="str">
            <v>0</v>
          </cell>
        </row>
        <row r="69">
          <cell r="A69" t="str">
            <v>Actual Cost of Goods Sold</v>
          </cell>
          <cell r="B69">
            <v>16796163.389999997</v>
          </cell>
          <cell r="C69">
            <v>37675006.769999996</v>
          </cell>
          <cell r="D69">
            <v>41616399</v>
          </cell>
          <cell r="E69">
            <v>13499138.259999998</v>
          </cell>
          <cell r="F69">
            <v>9846584.7299999986</v>
          </cell>
          <cell r="G69">
            <v>146915147.68999988</v>
          </cell>
          <cell r="H69">
            <v>318769279.9599998</v>
          </cell>
          <cell r="I69">
            <v>362284461</v>
          </cell>
          <cell r="J69">
            <v>392549122.40382218</v>
          </cell>
          <cell r="K69">
            <v>359857006.90099865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0</v>
          </cell>
          <cell r="W69">
            <v>3202615.24</v>
          </cell>
          <cell r="X69">
            <v>3467794</v>
          </cell>
          <cell r="Y69">
            <v>3167404.18</v>
          </cell>
          <cell r="Z69">
            <v>3167404.18</v>
          </cell>
          <cell r="AA69">
            <v>33299357.989999998</v>
          </cell>
          <cell r="AB69">
            <v>31933064</v>
          </cell>
          <cell r="AC69">
            <v>35157837.95000001</v>
          </cell>
          <cell r="AD69">
            <v>32866860.290000007</v>
          </cell>
          <cell r="AE69" t="str">
            <v>0</v>
          </cell>
          <cell r="AF69" t="str">
            <v>0</v>
          </cell>
          <cell r="AG69" t="str">
            <v>0</v>
          </cell>
          <cell r="AH69" t="str">
            <v>0</v>
          </cell>
          <cell r="AI69" t="str">
            <v>0</v>
          </cell>
          <cell r="AJ69" t="str">
            <v>0</v>
          </cell>
          <cell r="AK69" t="str">
            <v>0</v>
          </cell>
          <cell r="AL69" t="str">
            <v>0</v>
          </cell>
          <cell r="AN69">
            <v>16796163.389999997</v>
          </cell>
          <cell r="AO69">
            <v>37675006.769999996</v>
          </cell>
          <cell r="AP69">
            <v>41616399</v>
          </cell>
          <cell r="AQ69">
            <v>146915147.68999988</v>
          </cell>
          <cell r="AR69">
            <v>318769279.9599998</v>
          </cell>
          <cell r="AS69">
            <v>362284461</v>
          </cell>
          <cell r="AT69" t="str">
            <v>0</v>
          </cell>
          <cell r="AU69" t="str">
            <v>0</v>
          </cell>
          <cell r="AV69" t="str">
            <v>0</v>
          </cell>
          <cell r="AX69">
            <v>41616399</v>
          </cell>
          <cell r="AY69">
            <v>362284461</v>
          </cell>
          <cell r="AZ69" t="str">
            <v>0</v>
          </cell>
          <cell r="BA69">
            <v>37675006.770000003</v>
          </cell>
          <cell r="BB69">
            <v>318769279.9599998</v>
          </cell>
          <cell r="BC69" t="str">
            <v>0</v>
          </cell>
          <cell r="BD69">
            <v>13499138.259999998</v>
          </cell>
          <cell r="BE69">
            <v>392549122.40382218</v>
          </cell>
          <cell r="BF69" t="str">
            <v>0</v>
          </cell>
          <cell r="BG69" t="str">
            <v>0</v>
          </cell>
          <cell r="BI69">
            <v>13716189</v>
          </cell>
          <cell r="BJ69">
            <v>119517010</v>
          </cell>
          <cell r="BK69" t="str">
            <v>0</v>
          </cell>
          <cell r="BL69">
            <v>12841731.439999999</v>
          </cell>
          <cell r="BM69">
            <v>114012823.17</v>
          </cell>
          <cell r="BN69" t="str">
            <v>0</v>
          </cell>
          <cell r="BO69">
            <v>13067687.259999998</v>
          </cell>
          <cell r="BP69">
            <v>123377273.27999997</v>
          </cell>
          <cell r="BQ69" t="str">
            <v>0</v>
          </cell>
          <cell r="BR69" t="str">
            <v>0</v>
          </cell>
          <cell r="BS69">
            <v>13067687.259999998</v>
          </cell>
          <cell r="BT69">
            <v>119466361.79999995</v>
          </cell>
          <cell r="BU69" t="str">
            <v>0</v>
          </cell>
          <cell r="BW69">
            <v>10285260</v>
          </cell>
          <cell r="BX69">
            <v>88607146</v>
          </cell>
          <cell r="BY69" t="str">
            <v>0</v>
          </cell>
          <cell r="BZ69">
            <v>9468821.0899999999</v>
          </cell>
          <cell r="CA69">
            <v>72331023.060000107</v>
          </cell>
          <cell r="CB69" t="str">
            <v>0</v>
          </cell>
          <cell r="CC69">
            <v>3509086.52</v>
          </cell>
          <cell r="CD69">
            <v>98198697.6408301</v>
          </cell>
          <cell r="CE69" t="str">
            <v>0</v>
          </cell>
          <cell r="CF69" t="str">
            <v>0</v>
          </cell>
          <cell r="CG69">
            <v>7129698.6500000004</v>
          </cell>
          <cell r="CH69">
            <v>61597123.810000055</v>
          </cell>
          <cell r="CI69" t="str">
            <v>0</v>
          </cell>
          <cell r="CK69">
            <v>10209946</v>
          </cell>
          <cell r="CL69">
            <v>87343372</v>
          </cell>
          <cell r="CM69" t="str">
            <v>0</v>
          </cell>
          <cell r="CN69">
            <v>9508431.0600000005</v>
          </cell>
          <cell r="CO69">
            <v>84253958.759999946</v>
          </cell>
          <cell r="CP69" t="str">
            <v>0</v>
          </cell>
          <cell r="CQ69">
            <v>9666464.7399999984</v>
          </cell>
          <cell r="CR69">
            <v>88589002.460000038</v>
          </cell>
          <cell r="CS69" t="str">
            <v>0</v>
          </cell>
          <cell r="CT69" t="str">
            <v>0</v>
          </cell>
          <cell r="CU69">
            <v>9666464.7399999984</v>
          </cell>
          <cell r="CV69">
            <v>85319182.440000027</v>
          </cell>
          <cell r="CW69" t="str">
            <v>0</v>
          </cell>
          <cell r="CY69">
            <v>10285260</v>
          </cell>
          <cell r="CZ69">
            <v>88607146</v>
          </cell>
          <cell r="DA69" t="str">
            <v>0</v>
          </cell>
          <cell r="DC69">
            <v>9666464.7399999984</v>
          </cell>
          <cell r="DD69">
            <v>85319182.440000027</v>
          </cell>
          <cell r="DE69" t="str">
            <v>0</v>
          </cell>
          <cell r="DG69">
            <v>7129698.6500000004</v>
          </cell>
          <cell r="DH69">
            <v>61597123.810000055</v>
          </cell>
          <cell r="DI69" t="str">
            <v>0</v>
          </cell>
          <cell r="DJ69">
            <v>9468821.0899999999</v>
          </cell>
          <cell r="DK69">
            <v>72331023.060000107</v>
          </cell>
          <cell r="DL69" t="str">
            <v>0</v>
          </cell>
          <cell r="DN69">
            <v>161796</v>
          </cell>
          <cell r="DO69">
            <v>108883504.90504795</v>
          </cell>
          <cell r="DP69" t="str">
            <v>0</v>
          </cell>
          <cell r="DQ69">
            <v>9638717.5299999975</v>
          </cell>
          <cell r="DR69">
            <v>86878323.920000032</v>
          </cell>
          <cell r="DS69" t="str">
            <v>0</v>
          </cell>
          <cell r="DT69">
            <v>10723670</v>
          </cell>
          <cell r="DU69">
            <v>100356434</v>
          </cell>
          <cell r="DV69" t="str">
            <v>0</v>
          </cell>
          <cell r="DW69" t="str">
            <v>0</v>
          </cell>
          <cell r="DX69" t="str">
            <v>0</v>
          </cell>
          <cell r="DY69" t="str">
            <v>0</v>
          </cell>
        </row>
        <row r="70">
          <cell r="A70" t="str">
            <v>Actual Gross Profit</v>
          </cell>
          <cell r="B70">
            <v>19882900.52999999</v>
          </cell>
          <cell r="C70">
            <v>42240563.79999999</v>
          </cell>
          <cell r="D70">
            <v>48613494</v>
          </cell>
          <cell r="E70">
            <v>21391018.739999998</v>
          </cell>
          <cell r="F70">
            <v>17020483.390000001</v>
          </cell>
          <cell r="G70">
            <v>181005156.59999999</v>
          </cell>
          <cell r="H70">
            <v>404448655.15999967</v>
          </cell>
          <cell r="I70">
            <v>426637346</v>
          </cell>
          <cell r="J70">
            <v>468250904.87776685</v>
          </cell>
          <cell r="K70">
            <v>429477061.05145901</v>
          </cell>
          <cell r="L70">
            <v>342940819.72999996</v>
          </cell>
          <cell r="M70">
            <v>760635428.82000017</v>
          </cell>
          <cell r="N70">
            <v>834106936</v>
          </cell>
          <cell r="O70">
            <v>873972739.34144032</v>
          </cell>
          <cell r="P70">
            <v>783240163.8588562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0</v>
          </cell>
          <cell r="W70">
            <v>3527716.37</v>
          </cell>
          <cell r="X70">
            <v>4100204</v>
          </cell>
          <cell r="Y70">
            <v>3793488.83</v>
          </cell>
          <cell r="Z70">
            <v>3793488.83</v>
          </cell>
          <cell r="AA70">
            <v>39628673.659999982</v>
          </cell>
          <cell r="AB70">
            <v>37793552</v>
          </cell>
          <cell r="AC70">
            <v>42866469.580000006</v>
          </cell>
          <cell r="AD70">
            <v>40566658.050000004</v>
          </cell>
          <cell r="AE70">
            <v>76942183.449999988</v>
          </cell>
          <cell r="AF70">
            <v>75177083</v>
          </cell>
          <cell r="AG70">
            <v>81424135.219999999</v>
          </cell>
          <cell r="AH70">
            <v>75212494.439999998</v>
          </cell>
          <cell r="AI70" t="str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N70">
            <v>19882900.52999999</v>
          </cell>
          <cell r="AO70">
            <v>42240563.79999999</v>
          </cell>
          <cell r="AP70">
            <v>48613494</v>
          </cell>
          <cell r="AQ70">
            <v>181005156.59999999</v>
          </cell>
          <cell r="AR70">
            <v>404448655.15999967</v>
          </cell>
          <cell r="AS70">
            <v>426637346</v>
          </cell>
          <cell r="AT70" t="str">
            <v>0</v>
          </cell>
          <cell r="AU70" t="str">
            <v>0</v>
          </cell>
          <cell r="AV70" t="str">
            <v>0</v>
          </cell>
          <cell r="AX70">
            <v>48613494</v>
          </cell>
          <cell r="AY70">
            <v>426637346</v>
          </cell>
          <cell r="AZ70" t="str">
            <v>0</v>
          </cell>
          <cell r="BA70">
            <v>42240563.79999999</v>
          </cell>
          <cell r="BB70">
            <v>404448655.15999979</v>
          </cell>
          <cell r="BC70" t="str">
            <v>0</v>
          </cell>
          <cell r="BD70">
            <v>21391018.739999998</v>
          </cell>
          <cell r="BE70">
            <v>468250904.87776685</v>
          </cell>
          <cell r="BF70" t="str">
            <v>0</v>
          </cell>
          <cell r="BG70" t="str">
            <v>0</v>
          </cell>
          <cell r="BI70">
            <v>16216002</v>
          </cell>
          <cell r="BJ70">
            <v>141081041</v>
          </cell>
          <cell r="BK70" t="str">
            <v>0</v>
          </cell>
          <cell r="BL70">
            <v>14078167.029999999</v>
          </cell>
          <cell r="BM70">
            <v>139094515.08000016</v>
          </cell>
          <cell r="BN70" t="str">
            <v>0</v>
          </cell>
          <cell r="BO70">
            <v>15582225.739999998</v>
          </cell>
          <cell r="BP70">
            <v>153777453.50000015</v>
          </cell>
          <cell r="BQ70" t="str">
            <v>0</v>
          </cell>
          <cell r="BR70" t="str">
            <v>0</v>
          </cell>
          <cell r="BS70">
            <v>15582225.739999998</v>
          </cell>
          <cell r="BT70">
            <v>149866542.0200001</v>
          </cell>
          <cell r="BU70" t="str">
            <v>0</v>
          </cell>
          <cell r="BW70">
            <v>12082279</v>
          </cell>
          <cell r="BX70">
            <v>104217889</v>
          </cell>
          <cell r="BY70" t="str">
            <v>0</v>
          </cell>
          <cell r="BZ70">
            <v>10522398.799999999</v>
          </cell>
          <cell r="CA70">
            <v>94774187.220000118</v>
          </cell>
          <cell r="CB70" t="str">
            <v>0</v>
          </cell>
          <cell r="CC70">
            <v>5499153.3400000017</v>
          </cell>
          <cell r="CD70">
            <v>118251666.62764758</v>
          </cell>
          <cell r="CE70" t="str">
            <v>0</v>
          </cell>
          <cell r="CF70" t="str">
            <v>0</v>
          </cell>
          <cell r="CG70">
            <v>8354571.1300000008</v>
          </cell>
          <cell r="CH70">
            <v>74933766.070000008</v>
          </cell>
          <cell r="CI70" t="str">
            <v>0</v>
          </cell>
          <cell r="CK70">
            <v>12105390</v>
          </cell>
          <cell r="CL70">
            <v>103132198</v>
          </cell>
          <cell r="CM70" t="str">
            <v>0</v>
          </cell>
          <cell r="CN70">
            <v>10459067.85</v>
          </cell>
          <cell r="CO70">
            <v>101923416.64999993</v>
          </cell>
          <cell r="CP70" t="str">
            <v>0</v>
          </cell>
          <cell r="CQ70">
            <v>11528329.399999999</v>
          </cell>
          <cell r="CR70">
            <v>109342369.11000004</v>
          </cell>
          <cell r="CS70" t="str">
            <v>0</v>
          </cell>
          <cell r="CT70" t="str">
            <v>0</v>
          </cell>
          <cell r="CU70">
            <v>11528329.399999999</v>
          </cell>
          <cell r="CV70">
            <v>106072549.09000003</v>
          </cell>
          <cell r="CW70" t="str">
            <v>0</v>
          </cell>
          <cell r="CY70">
            <v>12082279</v>
          </cell>
          <cell r="CZ70">
            <v>104217889</v>
          </cell>
          <cell r="DA70" t="str">
            <v>0</v>
          </cell>
          <cell r="DC70">
            <v>11528329.399999999</v>
          </cell>
          <cell r="DD70">
            <v>106072549.09000003</v>
          </cell>
          <cell r="DE70" t="str">
            <v>0</v>
          </cell>
          <cell r="DG70">
            <v>8354571.1300000008</v>
          </cell>
          <cell r="DH70">
            <v>74933766.070000008</v>
          </cell>
          <cell r="DI70" t="str">
            <v>0</v>
          </cell>
          <cell r="DJ70">
            <v>10522398.799999999</v>
          </cell>
          <cell r="DK70">
            <v>94774187.220000118</v>
          </cell>
          <cell r="DL70" t="str">
            <v>0</v>
          </cell>
          <cell r="DN70">
            <v>2209370</v>
          </cell>
          <cell r="DO70">
            <v>127614048.2655555</v>
          </cell>
          <cell r="DP70" t="str">
            <v>0</v>
          </cell>
          <cell r="DQ70">
            <v>10808415.609999996</v>
          </cell>
          <cell r="DR70">
            <v>108508647.52000003</v>
          </cell>
          <cell r="DS70" t="str">
            <v>0</v>
          </cell>
          <cell r="DT70">
            <v>12427350</v>
          </cell>
          <cell r="DU70">
            <v>117933862</v>
          </cell>
          <cell r="DV70" t="str">
            <v>0</v>
          </cell>
          <cell r="DW70" t="str">
            <v>0</v>
          </cell>
          <cell r="DX70" t="str">
            <v>0</v>
          </cell>
          <cell r="DY70" t="str">
            <v>0</v>
          </cell>
        </row>
        <row r="71">
          <cell r="A71" t="str">
            <v>Dealer Contribution</v>
          </cell>
          <cell r="B71">
            <v>19936887.249999989</v>
          </cell>
          <cell r="C71">
            <v>42489956.79999999</v>
          </cell>
          <cell r="D71">
            <v>48972494.039999999</v>
          </cell>
          <cell r="E71">
            <v>21674973.379999999</v>
          </cell>
          <cell r="F71">
            <v>17334163.030000001</v>
          </cell>
          <cell r="G71">
            <v>213356722.25999999</v>
          </cell>
          <cell r="H71">
            <v>474907232.61999971</v>
          </cell>
          <cell r="I71">
            <v>515660500.95999998</v>
          </cell>
          <cell r="J71">
            <v>546065939.14737082</v>
          </cell>
          <cell r="K71">
            <v>510489884.99138868</v>
          </cell>
          <cell r="L71">
            <v>342940819.72999996</v>
          </cell>
          <cell r="M71">
            <v>760635428.82000017</v>
          </cell>
          <cell r="N71">
            <v>834106936</v>
          </cell>
          <cell r="O71">
            <v>873972739.34144032</v>
          </cell>
          <cell r="P71">
            <v>783240163.8588562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0</v>
          </cell>
          <cell r="W71">
            <v>3576731.7</v>
          </cell>
          <cell r="X71">
            <v>4130120.67</v>
          </cell>
          <cell r="Y71">
            <v>3810109.13</v>
          </cell>
          <cell r="Z71">
            <v>3810109.13</v>
          </cell>
          <cell r="AA71">
            <v>50270598.099999979</v>
          </cell>
          <cell r="AB71">
            <v>46003810.329999998</v>
          </cell>
          <cell r="AC71">
            <v>48995742.090000011</v>
          </cell>
          <cell r="AD71">
            <v>47255147.750000007</v>
          </cell>
          <cell r="AE71">
            <v>76942183.449999988</v>
          </cell>
          <cell r="AF71">
            <v>75177083</v>
          </cell>
          <cell r="AG71">
            <v>81424135.219999999</v>
          </cell>
          <cell r="AH71">
            <v>75212494.439999998</v>
          </cell>
          <cell r="AI71" t="str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N71">
            <v>19936887.249999989</v>
          </cell>
          <cell r="AO71">
            <v>42489956.79999999</v>
          </cell>
          <cell r="AP71">
            <v>48972494.039999999</v>
          </cell>
          <cell r="AQ71">
            <v>213356722.25999999</v>
          </cell>
          <cell r="AR71">
            <v>474907232.61999971</v>
          </cell>
          <cell r="AS71">
            <v>515660500.95999998</v>
          </cell>
          <cell r="AT71" t="str">
            <v>0</v>
          </cell>
          <cell r="AU71" t="str">
            <v>0</v>
          </cell>
          <cell r="AV71" t="str">
            <v>0</v>
          </cell>
          <cell r="AX71">
            <v>48972494.039999999</v>
          </cell>
          <cell r="AY71">
            <v>515660500.95999998</v>
          </cell>
          <cell r="AZ71" t="str">
            <v>0</v>
          </cell>
          <cell r="BA71">
            <v>42489956.79999999</v>
          </cell>
          <cell r="BB71">
            <v>474907232.61999983</v>
          </cell>
          <cell r="BC71" t="str">
            <v>0</v>
          </cell>
          <cell r="BD71">
            <v>21674973.379999999</v>
          </cell>
          <cell r="BE71">
            <v>546065939.14737082</v>
          </cell>
          <cell r="BF71" t="str">
            <v>0</v>
          </cell>
          <cell r="BG71" t="str">
            <v>0</v>
          </cell>
          <cell r="BI71">
            <v>16335668.68</v>
          </cell>
          <cell r="BJ71">
            <v>171070830.31999999</v>
          </cell>
          <cell r="BK71" t="str">
            <v>0</v>
          </cell>
          <cell r="BL71">
            <v>14148910.01</v>
          </cell>
          <cell r="BM71">
            <v>172437072.22000015</v>
          </cell>
          <cell r="BN71" t="str">
            <v>0</v>
          </cell>
          <cell r="BO71">
            <v>15626847.019999998</v>
          </cell>
          <cell r="BP71">
            <v>174990790.65000015</v>
          </cell>
          <cell r="BQ71" t="str">
            <v>0</v>
          </cell>
          <cell r="BR71" t="str">
            <v>0</v>
          </cell>
          <cell r="BS71">
            <v>15626847.019999998</v>
          </cell>
          <cell r="BT71">
            <v>172821216.17000011</v>
          </cell>
          <cell r="BU71" t="str">
            <v>0</v>
          </cell>
          <cell r="BW71">
            <v>12172029.01</v>
          </cell>
          <cell r="BX71">
            <v>125901627.98999999</v>
          </cell>
          <cell r="BY71" t="str">
            <v>0</v>
          </cell>
          <cell r="BZ71">
            <v>10535686.889999999</v>
          </cell>
          <cell r="CA71">
            <v>110409354.75000012</v>
          </cell>
          <cell r="CB71" t="str">
            <v>0</v>
          </cell>
          <cell r="CC71">
            <v>5559178.3500000015</v>
          </cell>
          <cell r="CD71">
            <v>137339747.43461147</v>
          </cell>
          <cell r="CE71" t="str">
            <v>0</v>
          </cell>
          <cell r="CF71" t="str">
            <v>0</v>
          </cell>
          <cell r="CG71">
            <v>8364128.2400000012</v>
          </cell>
          <cell r="CH71">
            <v>90477374.420000017</v>
          </cell>
          <cell r="CI71" t="str">
            <v>0</v>
          </cell>
          <cell r="CK71">
            <v>12195140.01</v>
          </cell>
          <cell r="CL71">
            <v>125103297.98999999</v>
          </cell>
          <cell r="CM71" t="str">
            <v>0</v>
          </cell>
          <cell r="CN71">
            <v>10524030.33</v>
          </cell>
          <cell r="CO71">
            <v>126951716.66999994</v>
          </cell>
          <cell r="CP71" t="str">
            <v>0</v>
          </cell>
          <cell r="CQ71">
            <v>11572759.009999998</v>
          </cell>
          <cell r="CR71">
            <v>124782857.42000003</v>
          </cell>
          <cell r="CS71" t="str">
            <v>0</v>
          </cell>
          <cell r="CT71" t="str">
            <v>0</v>
          </cell>
          <cell r="CU71">
            <v>11572759.009999998</v>
          </cell>
          <cell r="CV71">
            <v>122880506.40000002</v>
          </cell>
          <cell r="CW71" t="str">
            <v>0</v>
          </cell>
          <cell r="CY71">
            <v>12172029.01</v>
          </cell>
          <cell r="CZ71">
            <v>125901627.98999999</v>
          </cell>
          <cell r="DA71" t="str">
            <v>0</v>
          </cell>
          <cell r="DC71">
            <v>11572759.009999998</v>
          </cell>
          <cell r="DD71">
            <v>122880506.40000002</v>
          </cell>
          <cell r="DE71" t="str">
            <v>0</v>
          </cell>
          <cell r="DG71">
            <v>8364128.2400000012</v>
          </cell>
          <cell r="DH71">
            <v>90477374.420000017</v>
          </cell>
          <cell r="DI71" t="str">
            <v>0</v>
          </cell>
          <cell r="DJ71">
            <v>10535686.889999999</v>
          </cell>
          <cell r="DK71">
            <v>110409354.75000012</v>
          </cell>
          <cell r="DL71" t="str">
            <v>0</v>
          </cell>
          <cell r="DN71">
            <v>2299120.0099999998</v>
          </cell>
          <cell r="DO71">
            <v>151050107.05190173</v>
          </cell>
          <cell r="DP71" t="str">
            <v>0</v>
          </cell>
          <cell r="DQ71">
            <v>10931027.399999995</v>
          </cell>
          <cell r="DR71">
            <v>127724281.95000005</v>
          </cell>
          <cell r="DS71" t="str">
            <v>0</v>
          </cell>
          <cell r="DT71">
            <v>12517100.01</v>
          </cell>
          <cell r="DU71">
            <v>142399578.99000001</v>
          </cell>
          <cell r="DV71" t="str">
            <v>0</v>
          </cell>
          <cell r="DW71" t="str">
            <v>0</v>
          </cell>
          <cell r="DX71" t="str">
            <v>0</v>
          </cell>
          <cell r="DY71" t="str">
            <v>0</v>
          </cell>
        </row>
        <row r="72">
          <cell r="A72" t="str">
            <v>Total Postage</v>
          </cell>
          <cell r="B72">
            <v>290416.74</v>
          </cell>
          <cell r="C72">
            <v>633200.32999999996</v>
          </cell>
          <cell r="D72">
            <v>649050</v>
          </cell>
          <cell r="E72">
            <v>451557.64</v>
          </cell>
          <cell r="F72">
            <v>408278.25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0</v>
          </cell>
          <cell r="W72">
            <v>58674.62</v>
          </cell>
          <cell r="X72">
            <v>58485</v>
          </cell>
          <cell r="Y72">
            <v>67519.070000000007</v>
          </cell>
          <cell r="Z72">
            <v>66210.98</v>
          </cell>
          <cell r="AA72" t="str">
            <v>0</v>
          </cell>
          <cell r="AB72" t="str">
            <v>0</v>
          </cell>
          <cell r="AC72" t="str">
            <v>0</v>
          </cell>
          <cell r="AD72" t="str">
            <v>0</v>
          </cell>
          <cell r="AE72" t="str">
            <v>0</v>
          </cell>
          <cell r="AF72" t="str">
            <v>0</v>
          </cell>
          <cell r="AG72" t="str">
            <v>0</v>
          </cell>
          <cell r="AH72" t="str">
            <v>0</v>
          </cell>
          <cell r="AI72" t="str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N72">
            <v>290416.74</v>
          </cell>
          <cell r="AO72">
            <v>633200.32999999996</v>
          </cell>
          <cell r="AP72">
            <v>649050</v>
          </cell>
          <cell r="AQ72" t="str">
            <v>0</v>
          </cell>
          <cell r="AR72" t="str">
            <v>0</v>
          </cell>
          <cell r="AS72" t="str">
            <v>0</v>
          </cell>
          <cell r="AT72" t="str">
            <v>0</v>
          </cell>
          <cell r="AU72" t="str">
            <v>0</v>
          </cell>
          <cell r="AV72" t="str">
            <v>0</v>
          </cell>
          <cell r="AX72">
            <v>649050</v>
          </cell>
          <cell r="AY72" t="str">
            <v>0</v>
          </cell>
          <cell r="AZ72" t="str">
            <v>0</v>
          </cell>
          <cell r="BA72">
            <v>633200.32999999996</v>
          </cell>
          <cell r="BB72" t="str">
            <v>0</v>
          </cell>
          <cell r="BC72" t="str">
            <v>0</v>
          </cell>
          <cell r="BD72">
            <v>451557.64</v>
          </cell>
          <cell r="BE72" t="str">
            <v>0</v>
          </cell>
          <cell r="BF72" t="str">
            <v>0</v>
          </cell>
          <cell r="BG72" t="str">
            <v>0</v>
          </cell>
          <cell r="BI72">
            <v>220205</v>
          </cell>
          <cell r="BJ72" t="str">
            <v>0</v>
          </cell>
          <cell r="BK72" t="str">
            <v>0</v>
          </cell>
          <cell r="BL72">
            <v>224336.53</v>
          </cell>
          <cell r="BM72" t="str">
            <v>0</v>
          </cell>
          <cell r="BN72" t="str">
            <v>0</v>
          </cell>
          <cell r="BO72">
            <v>239793.64</v>
          </cell>
          <cell r="BP72" t="str">
            <v>0</v>
          </cell>
          <cell r="BQ72" t="str">
            <v>0</v>
          </cell>
          <cell r="BR72" t="str">
            <v>0</v>
          </cell>
          <cell r="BS72">
            <v>239793.64</v>
          </cell>
          <cell r="BT72" t="str">
            <v>0</v>
          </cell>
          <cell r="BU72" t="str">
            <v>0</v>
          </cell>
          <cell r="BW72">
            <v>162539</v>
          </cell>
          <cell r="BX72" t="str">
            <v>0</v>
          </cell>
          <cell r="BY72" t="str">
            <v>0</v>
          </cell>
          <cell r="BZ72">
            <v>154969.03</v>
          </cell>
          <cell r="CA72" t="str">
            <v>0</v>
          </cell>
          <cell r="CB72" t="str">
            <v>0</v>
          </cell>
          <cell r="CC72">
            <v>120740.99</v>
          </cell>
          <cell r="CD72" t="str">
            <v>0</v>
          </cell>
          <cell r="CE72" t="str">
            <v>0</v>
          </cell>
          <cell r="CF72" t="str">
            <v>0</v>
          </cell>
          <cell r="CG72">
            <v>121122.09</v>
          </cell>
          <cell r="CH72" t="str">
            <v>0</v>
          </cell>
          <cell r="CI72" t="str">
            <v>0</v>
          </cell>
          <cell r="CK72">
            <v>162515</v>
          </cell>
          <cell r="CL72" t="str">
            <v>0</v>
          </cell>
          <cell r="CM72" t="str">
            <v>0</v>
          </cell>
          <cell r="CN72">
            <v>167365.1</v>
          </cell>
          <cell r="CO72" t="str">
            <v>0</v>
          </cell>
          <cell r="CP72" t="str">
            <v>0</v>
          </cell>
          <cell r="CQ72">
            <v>169294.65</v>
          </cell>
          <cell r="CR72" t="str">
            <v>0</v>
          </cell>
          <cell r="CS72" t="str">
            <v>0</v>
          </cell>
          <cell r="CT72" t="str">
            <v>0</v>
          </cell>
          <cell r="CU72">
            <v>169294.65</v>
          </cell>
          <cell r="CV72" t="str">
            <v>0</v>
          </cell>
          <cell r="CW72" t="str">
            <v>0</v>
          </cell>
          <cell r="CY72">
            <v>162539</v>
          </cell>
          <cell r="CZ72" t="str">
            <v>0</v>
          </cell>
          <cell r="DA72" t="str">
            <v>0</v>
          </cell>
          <cell r="DC72">
            <v>169294.65</v>
          </cell>
          <cell r="DD72" t="str">
            <v>0</v>
          </cell>
          <cell r="DE72" t="str">
            <v>0</v>
          </cell>
          <cell r="DG72">
            <v>121122.09</v>
          </cell>
          <cell r="DH72" t="str">
            <v>0</v>
          </cell>
          <cell r="DI72" t="str">
            <v>0</v>
          </cell>
          <cell r="DJ72">
            <v>154969.03</v>
          </cell>
          <cell r="DK72" t="str">
            <v>0</v>
          </cell>
          <cell r="DL72" t="str">
            <v>0</v>
          </cell>
          <cell r="DN72">
            <v>80767</v>
          </cell>
          <cell r="DO72" t="str">
            <v>0</v>
          </cell>
          <cell r="DP72" t="str">
            <v>0</v>
          </cell>
          <cell r="DQ72">
            <v>148490.43</v>
          </cell>
          <cell r="DR72" t="str">
            <v>0</v>
          </cell>
          <cell r="DS72" t="str">
            <v>0</v>
          </cell>
          <cell r="DT72">
            <v>162669</v>
          </cell>
          <cell r="DU72" t="str">
            <v>0</v>
          </cell>
          <cell r="DV72" t="str">
            <v>0</v>
          </cell>
          <cell r="DW72" t="str">
            <v>0</v>
          </cell>
          <cell r="DX72" t="str">
            <v>0</v>
          </cell>
          <cell r="DY72" t="str">
            <v>0</v>
          </cell>
        </row>
        <row r="73">
          <cell r="A73" t="str">
            <v>Total Travel</v>
          </cell>
          <cell r="B73">
            <v>1797498.77</v>
          </cell>
          <cell r="C73">
            <v>4600186.75</v>
          </cell>
          <cell r="D73">
            <v>5288569.88</v>
          </cell>
          <cell r="E73">
            <v>3338239.48</v>
          </cell>
          <cell r="F73">
            <v>3115529.99</v>
          </cell>
          <cell r="G73">
            <v>281189.69</v>
          </cell>
          <cell r="H73">
            <v>583885.18000000005</v>
          </cell>
          <cell r="I73">
            <v>658778</v>
          </cell>
          <cell r="J73">
            <v>273995.28000000003</v>
          </cell>
          <cell r="K73">
            <v>195357.3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W73">
            <v>297455.57</v>
          </cell>
          <cell r="X73">
            <v>439322.86</v>
          </cell>
          <cell r="Y73">
            <v>275777.53999999998</v>
          </cell>
          <cell r="Z73">
            <v>273958.18</v>
          </cell>
          <cell r="AA73">
            <v>15140.84</v>
          </cell>
          <cell r="AB73">
            <v>55242</v>
          </cell>
          <cell r="AC73">
            <v>38166.68</v>
          </cell>
          <cell r="AD73">
            <v>38166.68</v>
          </cell>
          <cell r="AE73" t="str">
            <v>0</v>
          </cell>
          <cell r="AF73" t="str">
            <v>0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N73">
            <v>1797498.77</v>
          </cell>
          <cell r="AO73">
            <v>4600186.75</v>
          </cell>
          <cell r="AP73">
            <v>5288569.88</v>
          </cell>
          <cell r="AQ73">
            <v>281189.69</v>
          </cell>
          <cell r="AR73">
            <v>583885.18000000005</v>
          </cell>
          <cell r="AS73">
            <v>658778</v>
          </cell>
          <cell r="AT73" t="str">
            <v>0</v>
          </cell>
          <cell r="AU73" t="str">
            <v>0</v>
          </cell>
          <cell r="AV73" t="str">
            <v>0</v>
          </cell>
          <cell r="AX73">
            <v>5288569.88</v>
          </cell>
          <cell r="AY73">
            <v>658778</v>
          </cell>
          <cell r="AZ73" t="str">
            <v>0</v>
          </cell>
          <cell r="BA73">
            <v>4600186.75</v>
          </cell>
          <cell r="BB73">
            <v>583885.18000000005</v>
          </cell>
          <cell r="BC73" t="str">
            <v>0</v>
          </cell>
          <cell r="BD73">
            <v>3338239.48</v>
          </cell>
          <cell r="BE73">
            <v>273995.28000000003</v>
          </cell>
          <cell r="BF73" t="str">
            <v>0</v>
          </cell>
          <cell r="BG73" t="str">
            <v>0</v>
          </cell>
          <cell r="BI73">
            <v>1759487.32</v>
          </cell>
          <cell r="BJ73">
            <v>220187</v>
          </cell>
          <cell r="BK73" t="str">
            <v>0</v>
          </cell>
          <cell r="BL73">
            <v>1363789.05</v>
          </cell>
          <cell r="BM73">
            <v>152059.5</v>
          </cell>
          <cell r="BN73" t="str">
            <v>0</v>
          </cell>
          <cell r="BO73">
            <v>1408122.92</v>
          </cell>
          <cell r="BP73">
            <v>216995.28</v>
          </cell>
          <cell r="BQ73" t="str">
            <v>0</v>
          </cell>
          <cell r="BR73" t="str">
            <v>0</v>
          </cell>
          <cell r="BS73">
            <v>1408122.92</v>
          </cell>
          <cell r="BT73">
            <v>216995.28</v>
          </cell>
          <cell r="BU73" t="str">
            <v>0</v>
          </cell>
          <cell r="BW73">
            <v>1317521.46</v>
          </cell>
          <cell r="BX73">
            <v>164760</v>
          </cell>
          <cell r="BY73" t="str">
            <v>0</v>
          </cell>
          <cell r="BZ73">
            <v>1069262.28</v>
          </cell>
          <cell r="CA73">
            <v>125125.05</v>
          </cell>
          <cell r="CB73" t="str">
            <v>0</v>
          </cell>
          <cell r="CC73">
            <v>925248.08</v>
          </cell>
          <cell r="CD73">
            <v>100012.98</v>
          </cell>
          <cell r="CE73" t="str">
            <v>0</v>
          </cell>
          <cell r="CF73" t="str">
            <v>0</v>
          </cell>
          <cell r="CG73">
            <v>841074.29</v>
          </cell>
          <cell r="CH73">
            <v>149957.39000000001</v>
          </cell>
          <cell r="CI73" t="str">
            <v>0</v>
          </cell>
          <cell r="CK73">
            <v>1316219.5</v>
          </cell>
          <cell r="CL73">
            <v>163109</v>
          </cell>
          <cell r="CM73" t="str">
            <v>0</v>
          </cell>
          <cell r="CN73">
            <v>1002581.57</v>
          </cell>
          <cell r="CO73">
            <v>91657.93</v>
          </cell>
          <cell r="CP73" t="str">
            <v>0</v>
          </cell>
          <cell r="CQ73">
            <v>956424.48</v>
          </cell>
          <cell r="CR73">
            <v>131232.29999999999</v>
          </cell>
          <cell r="CS73" t="str">
            <v>0</v>
          </cell>
          <cell r="CT73" t="str">
            <v>0</v>
          </cell>
          <cell r="CU73">
            <v>956424.48</v>
          </cell>
          <cell r="CV73">
            <v>131232.29999999999</v>
          </cell>
          <cell r="CW73" t="str">
            <v>0</v>
          </cell>
          <cell r="CY73">
            <v>1317521.46</v>
          </cell>
          <cell r="CZ73">
            <v>164760</v>
          </cell>
          <cell r="DA73" t="str">
            <v>0</v>
          </cell>
          <cell r="DC73">
            <v>956424.48</v>
          </cell>
          <cell r="DD73">
            <v>131232.29999999999</v>
          </cell>
          <cell r="DE73" t="str">
            <v>0</v>
          </cell>
          <cell r="DG73">
            <v>841074.29</v>
          </cell>
          <cell r="DH73">
            <v>149957.39000000001</v>
          </cell>
          <cell r="DI73" t="str">
            <v>0</v>
          </cell>
          <cell r="DJ73">
            <v>1069262.28</v>
          </cell>
          <cell r="DK73">
            <v>125125.05</v>
          </cell>
          <cell r="DL73" t="str">
            <v>0</v>
          </cell>
          <cell r="DN73">
            <v>741921.46</v>
          </cell>
          <cell r="DO73">
            <v>21375</v>
          </cell>
          <cell r="DP73" t="str">
            <v>0</v>
          </cell>
          <cell r="DQ73">
            <v>1200644.45</v>
          </cell>
          <cell r="DR73">
            <v>135869.69</v>
          </cell>
          <cell r="DS73" t="str">
            <v>0</v>
          </cell>
          <cell r="DT73">
            <v>1343708.46</v>
          </cell>
          <cell r="DU73">
            <v>167814</v>
          </cell>
          <cell r="DV73" t="str">
            <v>0</v>
          </cell>
          <cell r="DW73" t="str">
            <v>0</v>
          </cell>
          <cell r="DX73" t="str">
            <v>0</v>
          </cell>
          <cell r="DY73" t="str">
            <v>0</v>
          </cell>
        </row>
        <row r="74">
          <cell r="A74" t="str">
            <v>Total Entertainment</v>
          </cell>
          <cell r="B74">
            <v>482718.59</v>
          </cell>
          <cell r="C74">
            <v>1326615.1000000001</v>
          </cell>
          <cell r="D74">
            <v>1357485.28</v>
          </cell>
          <cell r="E74">
            <v>837993.38</v>
          </cell>
          <cell r="F74">
            <v>806732.76</v>
          </cell>
          <cell r="G74">
            <v>76595.22</v>
          </cell>
          <cell r="H74">
            <v>136477.67000000001</v>
          </cell>
          <cell r="I74">
            <v>156436</v>
          </cell>
          <cell r="J74">
            <v>67280.31</v>
          </cell>
          <cell r="K74">
            <v>50375.72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W74">
            <v>114769.13</v>
          </cell>
          <cell r="X74">
            <v>113537.69</v>
          </cell>
          <cell r="Y74">
            <v>83706.77</v>
          </cell>
          <cell r="Z74">
            <v>83706.77</v>
          </cell>
          <cell r="AA74">
            <v>6677.61</v>
          </cell>
          <cell r="AB74">
            <v>13602</v>
          </cell>
          <cell r="AC74">
            <v>9852.82</v>
          </cell>
          <cell r="AD74">
            <v>9852.82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N74">
            <v>482718.59</v>
          </cell>
          <cell r="AO74">
            <v>1326615.1000000001</v>
          </cell>
          <cell r="AP74">
            <v>1357485.28</v>
          </cell>
          <cell r="AQ74">
            <v>76595.22</v>
          </cell>
          <cell r="AR74">
            <v>136477.67000000001</v>
          </cell>
          <cell r="AS74">
            <v>156436</v>
          </cell>
          <cell r="AT74" t="str">
            <v>0</v>
          </cell>
          <cell r="AU74" t="str">
            <v>0</v>
          </cell>
          <cell r="AV74" t="str">
            <v>0</v>
          </cell>
          <cell r="AX74">
            <v>1357485.28</v>
          </cell>
          <cell r="AY74">
            <v>156436</v>
          </cell>
          <cell r="AZ74" t="str">
            <v>0</v>
          </cell>
          <cell r="BA74">
            <v>1326615.1000000001</v>
          </cell>
          <cell r="BB74">
            <v>136477.67000000001</v>
          </cell>
          <cell r="BC74" t="str">
            <v>0</v>
          </cell>
          <cell r="BD74">
            <v>837993.38</v>
          </cell>
          <cell r="BE74">
            <v>67280.31</v>
          </cell>
          <cell r="BF74" t="str">
            <v>0</v>
          </cell>
          <cell r="BG74" t="str">
            <v>0</v>
          </cell>
          <cell r="BI74">
            <v>451064.76</v>
          </cell>
          <cell r="BJ74">
            <v>52777</v>
          </cell>
          <cell r="BK74" t="str">
            <v>0</v>
          </cell>
          <cell r="BL74">
            <v>432316.9</v>
          </cell>
          <cell r="BM74">
            <v>36827.86</v>
          </cell>
          <cell r="BN74" t="str">
            <v>0</v>
          </cell>
          <cell r="BO74">
            <v>376213.86</v>
          </cell>
          <cell r="BP74">
            <v>59280.31</v>
          </cell>
          <cell r="BQ74" t="str">
            <v>0</v>
          </cell>
          <cell r="BR74" t="str">
            <v>0</v>
          </cell>
          <cell r="BS74">
            <v>376213.86</v>
          </cell>
          <cell r="BT74">
            <v>59280.31</v>
          </cell>
          <cell r="BU74" t="str">
            <v>0</v>
          </cell>
          <cell r="BW74">
            <v>337308.07</v>
          </cell>
          <cell r="BX74">
            <v>39132</v>
          </cell>
          <cell r="BY74" t="str">
            <v>0</v>
          </cell>
          <cell r="BZ74">
            <v>320870.13</v>
          </cell>
          <cell r="CA74">
            <v>31173.57</v>
          </cell>
          <cell r="CB74" t="str">
            <v>0</v>
          </cell>
          <cell r="CC74">
            <v>202596.69</v>
          </cell>
          <cell r="CD74">
            <v>19904.59</v>
          </cell>
          <cell r="CE74" t="str">
            <v>0</v>
          </cell>
          <cell r="CF74" t="str">
            <v>0</v>
          </cell>
          <cell r="CG74">
            <v>195182.04</v>
          </cell>
          <cell r="CH74">
            <v>35219.5</v>
          </cell>
          <cell r="CI74" t="str">
            <v>0</v>
          </cell>
          <cell r="CK74">
            <v>337287.07</v>
          </cell>
          <cell r="CL74">
            <v>39024</v>
          </cell>
          <cell r="CM74" t="str">
            <v>0</v>
          </cell>
          <cell r="CN74">
            <v>326376.8</v>
          </cell>
          <cell r="CO74">
            <v>24280.01</v>
          </cell>
          <cell r="CP74" t="str">
            <v>0</v>
          </cell>
          <cell r="CQ74">
            <v>287536.55</v>
          </cell>
          <cell r="CR74">
            <v>41375.72</v>
          </cell>
          <cell r="CS74" t="str">
            <v>0</v>
          </cell>
          <cell r="CT74" t="str">
            <v>0</v>
          </cell>
          <cell r="CU74">
            <v>287536.55</v>
          </cell>
          <cell r="CV74">
            <v>41375.72</v>
          </cell>
          <cell r="CW74" t="str">
            <v>0</v>
          </cell>
          <cell r="CY74">
            <v>337308.07</v>
          </cell>
          <cell r="CZ74">
            <v>39132</v>
          </cell>
          <cell r="DA74" t="str">
            <v>0</v>
          </cell>
          <cell r="DC74">
            <v>287536.55</v>
          </cell>
          <cell r="DD74">
            <v>41375.72</v>
          </cell>
          <cell r="DE74" t="str">
            <v>0</v>
          </cell>
          <cell r="DG74">
            <v>195182.04</v>
          </cell>
          <cell r="DH74">
            <v>35219.5</v>
          </cell>
          <cell r="DI74" t="str">
            <v>0</v>
          </cell>
          <cell r="DJ74">
            <v>320870.13</v>
          </cell>
          <cell r="DK74">
            <v>31173.57</v>
          </cell>
          <cell r="DL74" t="str">
            <v>0</v>
          </cell>
          <cell r="DN74">
            <v>176360.07</v>
          </cell>
          <cell r="DO74">
            <v>3000</v>
          </cell>
          <cell r="DP74" t="str">
            <v>0</v>
          </cell>
          <cell r="DQ74">
            <v>318431.99</v>
          </cell>
          <cell r="DR74">
            <v>38020.589999999997</v>
          </cell>
          <cell r="DS74" t="str">
            <v>0</v>
          </cell>
          <cell r="DT74">
            <v>342561.07</v>
          </cell>
          <cell r="DU74">
            <v>39448</v>
          </cell>
          <cell r="DV74" t="str">
            <v>0</v>
          </cell>
          <cell r="DW74" t="str">
            <v>0</v>
          </cell>
          <cell r="DX74" t="str">
            <v>0</v>
          </cell>
          <cell r="DY74" t="str">
            <v>0</v>
          </cell>
        </row>
        <row r="75">
          <cell r="A75" t="str">
            <v>Total T&amp;E</v>
          </cell>
          <cell r="B75">
            <v>2280217.36</v>
          </cell>
          <cell r="C75">
            <v>5926801.8499999996</v>
          </cell>
          <cell r="D75">
            <v>6646055.1600000001</v>
          </cell>
          <cell r="E75">
            <v>4176232.86</v>
          </cell>
          <cell r="F75">
            <v>3922262.75</v>
          </cell>
          <cell r="G75">
            <v>357784.91</v>
          </cell>
          <cell r="H75">
            <v>720362.85</v>
          </cell>
          <cell r="I75">
            <v>815214</v>
          </cell>
          <cell r="J75">
            <v>341275.59</v>
          </cell>
          <cell r="K75">
            <v>245733.02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W75">
            <v>412224.7</v>
          </cell>
          <cell r="X75">
            <v>552860.55000000005</v>
          </cell>
          <cell r="Y75">
            <v>359484.31</v>
          </cell>
          <cell r="Z75">
            <v>357664.95</v>
          </cell>
          <cell r="AA75">
            <v>21818.45</v>
          </cell>
          <cell r="AB75">
            <v>68844</v>
          </cell>
          <cell r="AC75">
            <v>48019.5</v>
          </cell>
          <cell r="AD75">
            <v>48019.5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N75">
            <v>2280217.36</v>
          </cell>
          <cell r="AO75">
            <v>5926801.8499999996</v>
          </cell>
          <cell r="AP75">
            <v>6646055.1600000001</v>
          </cell>
          <cell r="AQ75">
            <v>357784.91</v>
          </cell>
          <cell r="AR75">
            <v>720362.85</v>
          </cell>
          <cell r="AS75">
            <v>815214</v>
          </cell>
          <cell r="AT75" t="str">
            <v>0</v>
          </cell>
          <cell r="AU75" t="str">
            <v>0</v>
          </cell>
          <cell r="AV75" t="str">
            <v>0</v>
          </cell>
          <cell r="AX75">
            <v>6646055.1600000001</v>
          </cell>
          <cell r="AY75">
            <v>815214</v>
          </cell>
          <cell r="AZ75" t="str">
            <v>0</v>
          </cell>
          <cell r="BA75">
            <v>5926801.8500000006</v>
          </cell>
          <cell r="BB75">
            <v>720362.85</v>
          </cell>
          <cell r="BC75" t="str">
            <v>0</v>
          </cell>
          <cell r="BD75">
            <v>4176232.86</v>
          </cell>
          <cell r="BE75">
            <v>341275.59</v>
          </cell>
          <cell r="BF75" t="str">
            <v>0</v>
          </cell>
          <cell r="BG75" t="str">
            <v>0</v>
          </cell>
          <cell r="BI75">
            <v>2210552.08</v>
          </cell>
          <cell r="BJ75">
            <v>272964</v>
          </cell>
          <cell r="BK75" t="str">
            <v>0</v>
          </cell>
          <cell r="BL75">
            <v>1796105.95</v>
          </cell>
          <cell r="BM75">
            <v>188887.36</v>
          </cell>
          <cell r="BN75" t="str">
            <v>0</v>
          </cell>
          <cell r="BO75">
            <v>1784336.78</v>
          </cell>
          <cell r="BP75">
            <v>276275.59000000003</v>
          </cell>
          <cell r="BQ75" t="str">
            <v>0</v>
          </cell>
          <cell r="BR75" t="str">
            <v>0</v>
          </cell>
          <cell r="BS75">
            <v>1784336.78</v>
          </cell>
          <cell r="BT75">
            <v>276275.59000000003</v>
          </cell>
          <cell r="BU75" t="str">
            <v>0</v>
          </cell>
          <cell r="BW75">
            <v>1654829.53</v>
          </cell>
          <cell r="BX75">
            <v>203892</v>
          </cell>
          <cell r="BY75" t="str">
            <v>0</v>
          </cell>
          <cell r="BZ75">
            <v>1390132.41</v>
          </cell>
          <cell r="CA75">
            <v>156298.62</v>
          </cell>
          <cell r="CB75" t="str">
            <v>0</v>
          </cell>
          <cell r="CC75">
            <v>1127844.77</v>
          </cell>
          <cell r="CD75">
            <v>119917.57</v>
          </cell>
          <cell r="CE75" t="str">
            <v>0</v>
          </cell>
          <cell r="CF75" t="str">
            <v>0</v>
          </cell>
          <cell r="CG75">
            <v>1036256.33</v>
          </cell>
          <cell r="CH75">
            <v>185176.89</v>
          </cell>
          <cell r="CI75" t="str">
            <v>0</v>
          </cell>
          <cell r="CK75">
            <v>1653506.57</v>
          </cell>
          <cell r="CL75">
            <v>202133</v>
          </cell>
          <cell r="CM75" t="str">
            <v>0</v>
          </cell>
          <cell r="CN75">
            <v>1328958.3700000001</v>
          </cell>
          <cell r="CO75">
            <v>115937.94</v>
          </cell>
          <cell r="CP75" t="str">
            <v>0</v>
          </cell>
          <cell r="CQ75">
            <v>1243961.03</v>
          </cell>
          <cell r="CR75">
            <v>172608.02</v>
          </cell>
          <cell r="CS75" t="str">
            <v>0</v>
          </cell>
          <cell r="CT75" t="str">
            <v>0</v>
          </cell>
          <cell r="CU75">
            <v>1243961.03</v>
          </cell>
          <cell r="CV75">
            <v>172608.02</v>
          </cell>
          <cell r="CW75" t="str">
            <v>0</v>
          </cell>
          <cell r="CY75">
            <v>1654829.53</v>
          </cell>
          <cell r="CZ75">
            <v>203892</v>
          </cell>
          <cell r="DA75" t="str">
            <v>0</v>
          </cell>
          <cell r="DC75">
            <v>1243961.03</v>
          </cell>
          <cell r="DD75">
            <v>172608.02</v>
          </cell>
          <cell r="DE75" t="str">
            <v>0</v>
          </cell>
          <cell r="DG75">
            <v>1036256.33</v>
          </cell>
          <cell r="DH75">
            <v>185176.89</v>
          </cell>
          <cell r="DI75" t="str">
            <v>0</v>
          </cell>
          <cell r="DJ75">
            <v>1390132.41</v>
          </cell>
          <cell r="DK75">
            <v>156298.62</v>
          </cell>
          <cell r="DL75" t="str">
            <v>0</v>
          </cell>
          <cell r="DN75">
            <v>918281.53</v>
          </cell>
          <cell r="DO75">
            <v>24375</v>
          </cell>
          <cell r="DP75" t="str">
            <v>0</v>
          </cell>
          <cell r="DQ75">
            <v>1519076.44</v>
          </cell>
          <cell r="DR75">
            <v>173890.28</v>
          </cell>
          <cell r="DS75" t="str">
            <v>0</v>
          </cell>
          <cell r="DT75">
            <v>1686269.53</v>
          </cell>
          <cell r="DU75">
            <v>207262</v>
          </cell>
          <cell r="DV75" t="str">
            <v>0</v>
          </cell>
          <cell r="DW75" t="str">
            <v>0</v>
          </cell>
          <cell r="DX75" t="str">
            <v>0</v>
          </cell>
          <cell r="DY75" t="str">
            <v>0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Detail"/>
      <sheetName val="Board presentation"/>
      <sheetName val="NewDepr"/>
      <sheetName val="OldDepr"/>
      <sheetName val="DeprCoDetail"/>
      <sheetName val="DeprSum"/>
      <sheetName val="5YrCapSum"/>
      <sheetName val="Sheet1"/>
    </sheetNames>
    <sheetDataSet>
      <sheetData sheetId="0"/>
      <sheetData sheetId="1" refreshError="1"/>
      <sheetData sheetId="2"/>
      <sheetData sheetId="3"/>
      <sheetData sheetId="4">
        <row r="1">
          <cell r="A1" t="str">
            <v>**********1999 PROJECTED FOR 2000- TRANSPORT**********</v>
          </cell>
        </row>
        <row r="2">
          <cell r="A2" t="str">
            <v>A/C #</v>
          </cell>
          <cell r="B2" t="str">
            <v>DESCRIPTION</v>
          </cell>
          <cell r="C2" t="str">
            <v>JAN</v>
          </cell>
          <cell r="D2" t="str">
            <v>FEB</v>
          </cell>
          <cell r="E2" t="str">
            <v>MARCH</v>
          </cell>
          <cell r="F2" t="str">
            <v>APRIL</v>
          </cell>
          <cell r="G2" t="str">
            <v>MAY</v>
          </cell>
        </row>
        <row r="3">
          <cell r="A3" t="str">
            <v>101-304</v>
          </cell>
          <cell r="B3" t="str">
            <v>Land</v>
          </cell>
        </row>
        <row r="4">
          <cell r="A4" t="str">
            <v>101-305</v>
          </cell>
          <cell r="B4" t="str">
            <v>Structures &amp; Improvements</v>
          </cell>
        </row>
        <row r="5">
          <cell r="A5" t="str">
            <v>101-311</v>
          </cell>
          <cell r="B5" t="str">
            <v>Propane Tanks</v>
          </cell>
        </row>
        <row r="6">
          <cell r="A6" t="str">
            <v>101-313</v>
          </cell>
          <cell r="B6" t="str">
            <v>Compressed Gas Tanks</v>
          </cell>
        </row>
        <row r="7">
          <cell r="A7" t="str">
            <v>101-314</v>
          </cell>
          <cell r="B7" t="str">
            <v>Vehicle Fuel Tanks</v>
          </cell>
        </row>
        <row r="8">
          <cell r="A8" t="str">
            <v>101-362</v>
          </cell>
          <cell r="B8" t="str">
            <v>Propane Bulk Plants</v>
          </cell>
        </row>
        <row r="9">
          <cell r="A9" t="str">
            <v>101-363</v>
          </cell>
          <cell r="B9" t="str">
            <v>Propane Bulk Plant-Plantations</v>
          </cell>
        </row>
        <row r="10">
          <cell r="A10" t="str">
            <v>101-381</v>
          </cell>
          <cell r="B10" t="str">
            <v>Meters</v>
          </cell>
        </row>
        <row r="11">
          <cell r="A11" t="str">
            <v>101-383</v>
          </cell>
          <cell r="B11" t="str">
            <v>Regulators</v>
          </cell>
        </row>
        <row r="12">
          <cell r="A12" t="str">
            <v>101-387</v>
          </cell>
          <cell r="B12" t="str">
            <v>Propane Related Equipment</v>
          </cell>
        </row>
        <row r="13">
          <cell r="A13" t="str">
            <v>101-390</v>
          </cell>
          <cell r="B13" t="str">
            <v>Office Building</v>
          </cell>
        </row>
        <row r="14">
          <cell r="A14" t="str">
            <v>101-391</v>
          </cell>
          <cell r="B14" t="str">
            <v>Office Furniture &amp; Equipment</v>
          </cell>
        </row>
        <row r="15">
          <cell r="A15" t="str">
            <v>101-392</v>
          </cell>
          <cell r="B15" t="str">
            <v>Trans Equipment</v>
          </cell>
        </row>
        <row r="16">
          <cell r="A16" t="str">
            <v>101-394</v>
          </cell>
          <cell r="B16" t="str">
            <v>Tools &amp; Shop Equipment</v>
          </cell>
        </row>
        <row r="17">
          <cell r="A17" t="str">
            <v>101-396</v>
          </cell>
          <cell r="B17" t="str">
            <v>Power Operated Equipment</v>
          </cell>
        </row>
        <row r="18">
          <cell r="A18" t="str">
            <v>101-397</v>
          </cell>
          <cell r="B18" t="str">
            <v>Communication Equipment</v>
          </cell>
        </row>
        <row r="19">
          <cell r="A19" t="str">
            <v>101-499</v>
          </cell>
          <cell r="B19" t="str">
            <v>W/H Leased</v>
          </cell>
        </row>
        <row r="20">
          <cell r="A20" t="str">
            <v>104</v>
          </cell>
          <cell r="B20" t="str">
            <v>Water Heaters Rented</v>
          </cell>
        </row>
        <row r="21">
          <cell r="A21" t="str">
            <v>104A</v>
          </cell>
          <cell r="B21" t="str">
            <v>PA Office</v>
          </cell>
        </row>
        <row r="22">
          <cell r="A22" t="str">
            <v>101-398</v>
          </cell>
          <cell r="B22" t="str">
            <v>Miscellaneous Equipment</v>
          </cell>
        </row>
        <row r="23">
          <cell r="B23" t="str">
            <v>TOTAL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7">
          <cell r="A27" t="str">
            <v>**********1999 PROJECTED - TRANSPORT**********</v>
          </cell>
        </row>
        <row r="28">
          <cell r="A28" t="str">
            <v>A/C #</v>
          </cell>
          <cell r="B28" t="str">
            <v>DESCRIPTION</v>
          </cell>
          <cell r="C28" t="str">
            <v>JAN</v>
          </cell>
          <cell r="D28" t="str">
            <v>FEB</v>
          </cell>
          <cell r="E28" t="str">
            <v>MARCH</v>
          </cell>
          <cell r="F28" t="str">
            <v>APRIL</v>
          </cell>
          <cell r="G28" t="str">
            <v>MAY</v>
          </cell>
        </row>
        <row r="29">
          <cell r="A29" t="str">
            <v>101-304</v>
          </cell>
          <cell r="B29" t="str">
            <v>Land</v>
          </cell>
        </row>
        <row r="30">
          <cell r="A30" t="str">
            <v>101-305</v>
          </cell>
          <cell r="B30" t="str">
            <v>Structures &amp; Improvements</v>
          </cell>
        </row>
        <row r="31">
          <cell r="A31" t="str">
            <v>101-311</v>
          </cell>
          <cell r="B31" t="str">
            <v>Propane Tanks</v>
          </cell>
        </row>
        <row r="32">
          <cell r="A32" t="str">
            <v>101-313</v>
          </cell>
          <cell r="B32" t="str">
            <v>Compressed Gas Tanks</v>
          </cell>
        </row>
        <row r="33">
          <cell r="A33" t="str">
            <v>101-314</v>
          </cell>
          <cell r="B33" t="str">
            <v>Vehicle Fuel Tanks</v>
          </cell>
        </row>
        <row r="34">
          <cell r="A34" t="str">
            <v>101-362</v>
          </cell>
          <cell r="B34" t="str">
            <v>Propane Bulk Plants</v>
          </cell>
        </row>
        <row r="35">
          <cell r="A35" t="str">
            <v>101-363</v>
          </cell>
          <cell r="B35" t="str">
            <v>Propane Bulk Plant-Plantations</v>
          </cell>
        </row>
        <row r="36">
          <cell r="A36" t="str">
            <v>101-381</v>
          </cell>
          <cell r="B36" t="str">
            <v>Meters</v>
          </cell>
        </row>
      </sheetData>
      <sheetData sheetId="5">
        <row r="1">
          <cell r="C1" t="str">
            <v>**********2001 BUDGET SUMMARY - ALL DISTRICTS**********</v>
          </cell>
        </row>
        <row r="2">
          <cell r="B2" t="str">
            <v>A/C #</v>
          </cell>
          <cell r="C2" t="str">
            <v>DESCRIPTION</v>
          </cell>
          <cell r="D2" t="str">
            <v>Jan</v>
          </cell>
          <cell r="E2" t="str">
            <v>Feb</v>
          </cell>
          <cell r="F2" t="str">
            <v>Mar</v>
          </cell>
          <cell r="G2" t="str">
            <v>Apr</v>
          </cell>
        </row>
        <row r="3">
          <cell r="B3" t="str">
            <v>101-304</v>
          </cell>
          <cell r="C3" t="str">
            <v>Land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B4" t="str">
            <v>101-305</v>
          </cell>
          <cell r="C4" t="str">
            <v>Structures &amp; Improvements</v>
          </cell>
          <cell r="D4">
            <v>16</v>
          </cell>
          <cell r="E4">
            <v>32</v>
          </cell>
          <cell r="F4">
            <v>35</v>
          </cell>
          <cell r="G4">
            <v>37</v>
          </cell>
        </row>
        <row r="5">
          <cell r="B5" t="str">
            <v>101-311</v>
          </cell>
          <cell r="C5" t="str">
            <v>Propane Tanks</v>
          </cell>
          <cell r="D5">
            <v>46</v>
          </cell>
          <cell r="E5">
            <v>139</v>
          </cell>
          <cell r="F5">
            <v>231</v>
          </cell>
          <cell r="G5">
            <v>324</v>
          </cell>
        </row>
        <row r="6">
          <cell r="B6" t="str">
            <v>101-362</v>
          </cell>
          <cell r="C6" t="str">
            <v>Propane Bulk Plants</v>
          </cell>
          <cell r="D6">
            <v>490</v>
          </cell>
          <cell r="E6">
            <v>979</v>
          </cell>
          <cell r="F6">
            <v>979</v>
          </cell>
          <cell r="G6">
            <v>979</v>
          </cell>
        </row>
        <row r="7">
          <cell r="B7" t="str">
            <v>101-363</v>
          </cell>
          <cell r="C7" t="str">
            <v>Propane Bulk Plant-Plantations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B8" t="str">
            <v>101-381</v>
          </cell>
          <cell r="C8" t="str">
            <v>Meters</v>
          </cell>
          <cell r="D8">
            <v>31</v>
          </cell>
          <cell r="E8">
            <v>94</v>
          </cell>
          <cell r="F8">
            <v>156</v>
          </cell>
          <cell r="G8">
            <v>219</v>
          </cell>
        </row>
        <row r="9">
          <cell r="B9" t="str">
            <v>101-383</v>
          </cell>
          <cell r="C9" t="str">
            <v>Regulators</v>
          </cell>
          <cell r="D9">
            <v>10</v>
          </cell>
          <cell r="E9">
            <v>32</v>
          </cell>
          <cell r="F9">
            <v>54</v>
          </cell>
          <cell r="G9">
            <v>75</v>
          </cell>
        </row>
        <row r="10">
          <cell r="B10" t="str">
            <v>101-390</v>
          </cell>
          <cell r="C10" t="str">
            <v>Office Building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 t="str">
            <v>101-391</v>
          </cell>
          <cell r="C11" t="str">
            <v>Office Furniture &amp; Equipment</v>
          </cell>
          <cell r="D11">
            <v>0</v>
          </cell>
          <cell r="E11">
            <v>0</v>
          </cell>
          <cell r="F11">
            <v>603</v>
          </cell>
          <cell r="G11">
            <v>1206</v>
          </cell>
        </row>
        <row r="12">
          <cell r="B12" t="str">
            <v>101-392</v>
          </cell>
          <cell r="C12" t="str">
            <v>Trans Equipment</v>
          </cell>
          <cell r="D12">
            <v>749</v>
          </cell>
          <cell r="E12">
            <v>1771</v>
          </cell>
          <cell r="F12">
            <v>2044</v>
          </cell>
          <cell r="G12">
            <v>2044</v>
          </cell>
        </row>
        <row r="13">
          <cell r="B13" t="str">
            <v>101-394</v>
          </cell>
          <cell r="C13" t="str">
            <v>Tools &amp; Shop Equipment</v>
          </cell>
          <cell r="D13">
            <v>7</v>
          </cell>
          <cell r="E13">
            <v>14</v>
          </cell>
          <cell r="F13">
            <v>18</v>
          </cell>
          <cell r="G13">
            <v>22</v>
          </cell>
        </row>
        <row r="14">
          <cell r="B14" t="str">
            <v>101-396</v>
          </cell>
          <cell r="C14" t="str">
            <v>Power Operated Equipment</v>
          </cell>
          <cell r="D14">
            <v>3</v>
          </cell>
          <cell r="E14">
            <v>6</v>
          </cell>
          <cell r="F14">
            <v>6</v>
          </cell>
          <cell r="G14">
            <v>6</v>
          </cell>
        </row>
        <row r="15">
          <cell r="B15" t="str">
            <v>101-380</v>
          </cell>
          <cell r="C15" t="str">
            <v>Service Installations</v>
          </cell>
          <cell r="D15">
            <v>149</v>
          </cell>
          <cell r="E15">
            <v>447</v>
          </cell>
          <cell r="F15">
            <v>744</v>
          </cell>
          <cell r="G15">
            <v>1042</v>
          </cell>
        </row>
        <row r="16">
          <cell r="B16" t="str">
            <v>101-398</v>
          </cell>
          <cell r="C16" t="str">
            <v>Miscellaneous Equipment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 t="str">
            <v>Sub-total</v>
          </cell>
          <cell r="D17">
            <v>1501</v>
          </cell>
          <cell r="E17">
            <v>3514</v>
          </cell>
          <cell r="F17">
            <v>4870</v>
          </cell>
          <cell r="G17">
            <v>5954</v>
          </cell>
        </row>
        <row r="19">
          <cell r="C19" t="str">
            <v>1999 Projected Budgeted Items</v>
          </cell>
          <cell r="D19">
            <v>15372</v>
          </cell>
          <cell r="E19">
            <v>15372</v>
          </cell>
          <cell r="F19">
            <v>15372</v>
          </cell>
          <cell r="G19">
            <v>15372</v>
          </cell>
        </row>
        <row r="20">
          <cell r="C20" t="str">
            <v>Current Assets Being Depreciated</v>
          </cell>
          <cell r="D20">
            <v>103664</v>
          </cell>
          <cell r="E20">
            <v>103664</v>
          </cell>
          <cell r="F20">
            <v>103664</v>
          </cell>
          <cell r="G20">
            <v>103664</v>
          </cell>
        </row>
        <row r="22">
          <cell r="C22" t="str">
            <v xml:space="preserve">Total depreciation </v>
          </cell>
          <cell r="D22">
            <v>120537</v>
          </cell>
          <cell r="E22">
            <v>122550</v>
          </cell>
          <cell r="F22">
            <v>123906</v>
          </cell>
          <cell r="G22">
            <v>124990</v>
          </cell>
        </row>
        <row r="25">
          <cell r="B25" t="str">
            <v xml:space="preserve">Note:  </v>
          </cell>
          <cell r="C25" t="str">
            <v>Transport depreciation is not included since it assumed to be considered in the cost of gas model.</v>
          </cell>
        </row>
        <row r="28">
          <cell r="C28" t="str">
            <v>Depreciation Analysis</v>
          </cell>
        </row>
        <row r="29">
          <cell r="C29" t="str">
            <v>Current Budget Projection</v>
          </cell>
        </row>
        <row r="30">
          <cell r="C30" t="str">
            <v>Excluding Transport</v>
          </cell>
          <cell r="D30">
            <v>120537</v>
          </cell>
          <cell r="E30">
            <v>122550</v>
          </cell>
          <cell r="F30">
            <v>123906</v>
          </cell>
          <cell r="G30">
            <v>124990</v>
          </cell>
        </row>
        <row r="31">
          <cell r="C31" t="str">
            <v>Projection from prior year</v>
          </cell>
          <cell r="D31">
            <v>1278897</v>
          </cell>
          <cell r="E31">
            <v>1328077</v>
          </cell>
          <cell r="F31">
            <v>1369273</v>
          </cell>
          <cell r="G31">
            <v>1378766</v>
          </cell>
        </row>
        <row r="32">
          <cell r="C32" t="str">
            <v>$ DIFF</v>
          </cell>
          <cell r="D32">
            <v>-1158360</v>
          </cell>
          <cell r="E32">
            <v>-1205527</v>
          </cell>
          <cell r="F32">
            <v>-1245367</v>
          </cell>
          <cell r="G32">
            <v>-1253776</v>
          </cell>
        </row>
        <row r="33">
          <cell r="C33" t="str">
            <v>% DIFF</v>
          </cell>
          <cell r="D33">
            <v>-0.90574925111248206</v>
          </cell>
          <cell r="E33">
            <v>-0.90772372385034905</v>
          </cell>
          <cell r="F33">
            <v>-0.90950964489915453</v>
          </cell>
          <cell r="G33">
            <v>-0.90934647358580067</v>
          </cell>
        </row>
      </sheetData>
      <sheetData sheetId="6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Detail"/>
      <sheetName val="Board presentation"/>
      <sheetName val="NewDepr"/>
      <sheetName val="OldDepr"/>
      <sheetName val="DeprCoDetail"/>
      <sheetName val="DeprSum"/>
      <sheetName val="5YrCapSum"/>
      <sheetName val="Sheet1"/>
    </sheetNames>
    <sheetDataSet>
      <sheetData sheetId="0"/>
      <sheetData sheetId="1" refreshError="1"/>
      <sheetData sheetId="2"/>
      <sheetData sheetId="3"/>
      <sheetData sheetId="4">
        <row r="1">
          <cell r="A1" t="str">
            <v>**********1999 PROJECTED FOR 2000- TRANSPORT**********</v>
          </cell>
        </row>
        <row r="2">
          <cell r="A2" t="str">
            <v>A/C #</v>
          </cell>
          <cell r="B2" t="str">
            <v>DESCRIPTION</v>
          </cell>
          <cell r="C2" t="str">
            <v>JAN</v>
          </cell>
          <cell r="D2" t="str">
            <v>FEB</v>
          </cell>
          <cell r="E2" t="str">
            <v>MARCH</v>
          </cell>
          <cell r="F2" t="str">
            <v>APRIL</v>
          </cell>
          <cell r="G2" t="str">
            <v>MAY</v>
          </cell>
        </row>
        <row r="3">
          <cell r="A3" t="str">
            <v>101-304</v>
          </cell>
          <cell r="B3" t="str">
            <v>Land</v>
          </cell>
        </row>
        <row r="4">
          <cell r="A4" t="str">
            <v>101-305</v>
          </cell>
          <cell r="B4" t="str">
            <v>Structures &amp; Improvements</v>
          </cell>
        </row>
        <row r="5">
          <cell r="A5" t="str">
            <v>101-311</v>
          </cell>
          <cell r="B5" t="str">
            <v>Propane Tanks</v>
          </cell>
        </row>
        <row r="6">
          <cell r="A6" t="str">
            <v>101-313</v>
          </cell>
          <cell r="B6" t="str">
            <v>Compressed Gas Tanks</v>
          </cell>
        </row>
        <row r="7">
          <cell r="A7" t="str">
            <v>101-314</v>
          </cell>
          <cell r="B7" t="str">
            <v>Vehicle Fuel Tanks</v>
          </cell>
        </row>
        <row r="8">
          <cell r="A8" t="str">
            <v>101-362</v>
          </cell>
          <cell r="B8" t="str">
            <v>Propane Bulk Plants</v>
          </cell>
        </row>
        <row r="9">
          <cell r="A9" t="str">
            <v>101-363</v>
          </cell>
          <cell r="B9" t="str">
            <v>Propane Bulk Plant-Plantations</v>
          </cell>
        </row>
        <row r="10">
          <cell r="A10" t="str">
            <v>101-381</v>
          </cell>
          <cell r="B10" t="str">
            <v>Meters</v>
          </cell>
        </row>
        <row r="11">
          <cell r="A11" t="str">
            <v>101-383</v>
          </cell>
          <cell r="B11" t="str">
            <v>Regulators</v>
          </cell>
        </row>
        <row r="12">
          <cell r="A12" t="str">
            <v>101-387</v>
          </cell>
          <cell r="B12" t="str">
            <v>Propane Related Equipment</v>
          </cell>
        </row>
        <row r="13">
          <cell r="A13" t="str">
            <v>101-390</v>
          </cell>
          <cell r="B13" t="str">
            <v>Office Building</v>
          </cell>
        </row>
        <row r="14">
          <cell r="A14" t="str">
            <v>101-391</v>
          </cell>
          <cell r="B14" t="str">
            <v>Office Furniture &amp; Equipment</v>
          </cell>
        </row>
        <row r="15">
          <cell r="A15" t="str">
            <v>101-392</v>
          </cell>
          <cell r="B15" t="str">
            <v>Trans Equipment</v>
          </cell>
        </row>
        <row r="16">
          <cell r="A16" t="str">
            <v>101-394</v>
          </cell>
          <cell r="B16" t="str">
            <v>Tools &amp; Shop Equipment</v>
          </cell>
        </row>
        <row r="17">
          <cell r="A17" t="str">
            <v>101-396</v>
          </cell>
          <cell r="B17" t="str">
            <v>Power Operated Equipment</v>
          </cell>
        </row>
        <row r="18">
          <cell r="A18" t="str">
            <v>101-397</v>
          </cell>
          <cell r="B18" t="str">
            <v>Communication Equipment</v>
          </cell>
        </row>
        <row r="19">
          <cell r="A19" t="str">
            <v>101-499</v>
          </cell>
          <cell r="B19" t="str">
            <v>W/H Leased</v>
          </cell>
        </row>
        <row r="20">
          <cell r="A20" t="str">
            <v>104</v>
          </cell>
          <cell r="B20" t="str">
            <v>Water Heaters Rented</v>
          </cell>
        </row>
        <row r="21">
          <cell r="A21" t="str">
            <v>104A</v>
          </cell>
          <cell r="B21" t="str">
            <v>PA Office</v>
          </cell>
        </row>
        <row r="22">
          <cell r="A22" t="str">
            <v>101-398</v>
          </cell>
          <cell r="B22" t="str">
            <v>Miscellaneous Equipment</v>
          </cell>
        </row>
        <row r="23">
          <cell r="B23" t="str">
            <v>TOTAL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7">
          <cell r="A27" t="str">
            <v>**********1999 PROJECTED - TRANSPORT**********</v>
          </cell>
        </row>
        <row r="28">
          <cell r="A28" t="str">
            <v>A/C #</v>
          </cell>
          <cell r="B28" t="str">
            <v>DESCRIPTION</v>
          </cell>
          <cell r="C28" t="str">
            <v>JAN</v>
          </cell>
          <cell r="D28" t="str">
            <v>FEB</v>
          </cell>
          <cell r="E28" t="str">
            <v>MARCH</v>
          </cell>
          <cell r="F28" t="str">
            <v>APRIL</v>
          </cell>
          <cell r="G28" t="str">
            <v>MAY</v>
          </cell>
        </row>
        <row r="29">
          <cell r="A29" t="str">
            <v>101-304</v>
          </cell>
          <cell r="B29" t="str">
            <v>Land</v>
          </cell>
        </row>
        <row r="30">
          <cell r="A30" t="str">
            <v>101-305</v>
          </cell>
          <cell r="B30" t="str">
            <v>Structures &amp; Improvements</v>
          </cell>
        </row>
        <row r="31">
          <cell r="A31" t="str">
            <v>101-311</v>
          </cell>
          <cell r="B31" t="str">
            <v>Propane Tanks</v>
          </cell>
        </row>
        <row r="32">
          <cell r="A32" t="str">
            <v>101-313</v>
          </cell>
          <cell r="B32" t="str">
            <v>Compressed Gas Tanks</v>
          </cell>
        </row>
        <row r="33">
          <cell r="A33" t="str">
            <v>101-314</v>
          </cell>
          <cell r="B33" t="str">
            <v>Vehicle Fuel Tanks</v>
          </cell>
        </row>
        <row r="34">
          <cell r="A34" t="str">
            <v>101-362</v>
          </cell>
          <cell r="B34" t="str">
            <v>Propane Bulk Plants</v>
          </cell>
        </row>
        <row r="35">
          <cell r="A35" t="str">
            <v>101-363</v>
          </cell>
          <cell r="B35" t="str">
            <v>Propane Bulk Plant-Plantations</v>
          </cell>
        </row>
        <row r="36">
          <cell r="A36" t="str">
            <v>101-381</v>
          </cell>
          <cell r="B36" t="str">
            <v>Meters</v>
          </cell>
        </row>
      </sheetData>
      <sheetData sheetId="5">
        <row r="1">
          <cell r="C1" t="str">
            <v>**********2001 BUDGET SUMMARY - ALL DISTRICTS**********</v>
          </cell>
        </row>
        <row r="2">
          <cell r="B2" t="str">
            <v>A/C #</v>
          </cell>
          <cell r="C2" t="str">
            <v>DESCRIPTION</v>
          </cell>
          <cell r="D2" t="str">
            <v>Jan</v>
          </cell>
          <cell r="E2" t="str">
            <v>Feb</v>
          </cell>
          <cell r="F2" t="str">
            <v>Mar</v>
          </cell>
          <cell r="G2" t="str">
            <v>Apr</v>
          </cell>
        </row>
        <row r="3">
          <cell r="B3" t="str">
            <v>101-304</v>
          </cell>
          <cell r="C3" t="str">
            <v>Land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B4" t="str">
            <v>101-305</v>
          </cell>
          <cell r="C4" t="str">
            <v>Structures &amp; Improvements</v>
          </cell>
          <cell r="D4">
            <v>16</v>
          </cell>
          <cell r="E4">
            <v>32</v>
          </cell>
          <cell r="F4">
            <v>35</v>
          </cell>
          <cell r="G4">
            <v>37</v>
          </cell>
        </row>
        <row r="5">
          <cell r="B5" t="str">
            <v>101-311</v>
          </cell>
          <cell r="C5" t="str">
            <v>Propane Tanks</v>
          </cell>
          <cell r="D5">
            <v>46</v>
          </cell>
          <cell r="E5">
            <v>139</v>
          </cell>
          <cell r="F5">
            <v>231</v>
          </cell>
          <cell r="G5">
            <v>324</v>
          </cell>
        </row>
        <row r="6">
          <cell r="B6" t="str">
            <v>101-362</v>
          </cell>
          <cell r="C6" t="str">
            <v>Propane Bulk Plants</v>
          </cell>
          <cell r="D6">
            <v>490</v>
          </cell>
          <cell r="E6">
            <v>979</v>
          </cell>
          <cell r="F6">
            <v>979</v>
          </cell>
          <cell r="G6">
            <v>979</v>
          </cell>
        </row>
        <row r="7">
          <cell r="B7" t="str">
            <v>101-363</v>
          </cell>
          <cell r="C7" t="str">
            <v>Propane Bulk Plant-Plantations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B8" t="str">
            <v>101-381</v>
          </cell>
          <cell r="C8" t="str">
            <v>Meters</v>
          </cell>
          <cell r="D8">
            <v>31</v>
          </cell>
          <cell r="E8">
            <v>94</v>
          </cell>
          <cell r="F8">
            <v>156</v>
          </cell>
          <cell r="G8">
            <v>219</v>
          </cell>
        </row>
        <row r="9">
          <cell r="B9" t="str">
            <v>101-383</v>
          </cell>
          <cell r="C9" t="str">
            <v>Regulators</v>
          </cell>
          <cell r="D9">
            <v>10</v>
          </cell>
          <cell r="E9">
            <v>32</v>
          </cell>
          <cell r="F9">
            <v>54</v>
          </cell>
          <cell r="G9">
            <v>75</v>
          </cell>
        </row>
        <row r="10">
          <cell r="B10" t="str">
            <v>101-390</v>
          </cell>
          <cell r="C10" t="str">
            <v>Office Building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 t="str">
            <v>101-391</v>
          </cell>
          <cell r="C11" t="str">
            <v>Office Furniture &amp; Equipment</v>
          </cell>
          <cell r="D11">
            <v>0</v>
          </cell>
          <cell r="E11">
            <v>0</v>
          </cell>
          <cell r="F11">
            <v>603</v>
          </cell>
          <cell r="G11">
            <v>1206</v>
          </cell>
        </row>
        <row r="12">
          <cell r="B12" t="str">
            <v>101-392</v>
          </cell>
          <cell r="C12" t="str">
            <v>Trans Equipment</v>
          </cell>
          <cell r="D12">
            <v>749</v>
          </cell>
          <cell r="E12">
            <v>1771</v>
          </cell>
          <cell r="F12">
            <v>2044</v>
          </cell>
          <cell r="G12">
            <v>2044</v>
          </cell>
        </row>
        <row r="13">
          <cell r="B13" t="str">
            <v>101-394</v>
          </cell>
          <cell r="C13" t="str">
            <v>Tools &amp; Shop Equipment</v>
          </cell>
          <cell r="D13">
            <v>7</v>
          </cell>
          <cell r="E13">
            <v>14</v>
          </cell>
          <cell r="F13">
            <v>18</v>
          </cell>
          <cell r="G13">
            <v>22</v>
          </cell>
        </row>
        <row r="14">
          <cell r="B14" t="str">
            <v>101-396</v>
          </cell>
          <cell r="C14" t="str">
            <v>Power Operated Equipment</v>
          </cell>
          <cell r="D14">
            <v>3</v>
          </cell>
          <cell r="E14">
            <v>6</v>
          </cell>
          <cell r="F14">
            <v>6</v>
          </cell>
          <cell r="G14">
            <v>6</v>
          </cell>
        </row>
        <row r="15">
          <cell r="B15" t="str">
            <v>101-380</v>
          </cell>
          <cell r="C15" t="str">
            <v>Service Installations</v>
          </cell>
          <cell r="D15">
            <v>149</v>
          </cell>
          <cell r="E15">
            <v>447</v>
          </cell>
          <cell r="F15">
            <v>744</v>
          </cell>
          <cell r="G15">
            <v>1042</v>
          </cell>
        </row>
        <row r="16">
          <cell r="B16" t="str">
            <v>101-398</v>
          </cell>
          <cell r="C16" t="str">
            <v>Miscellaneous Equipment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 t="str">
            <v>Sub-total</v>
          </cell>
          <cell r="D17">
            <v>1501</v>
          </cell>
          <cell r="E17">
            <v>3514</v>
          </cell>
          <cell r="F17">
            <v>4870</v>
          </cell>
          <cell r="G17">
            <v>5954</v>
          </cell>
        </row>
        <row r="19">
          <cell r="C19" t="str">
            <v>1999 Projected Budgeted Items</v>
          </cell>
          <cell r="D19">
            <v>15372</v>
          </cell>
          <cell r="E19">
            <v>15372</v>
          </cell>
          <cell r="F19">
            <v>15372</v>
          </cell>
          <cell r="G19">
            <v>15372</v>
          </cell>
        </row>
        <row r="20">
          <cell r="C20" t="str">
            <v>Current Assets Being Depreciated</v>
          </cell>
          <cell r="D20">
            <v>103664</v>
          </cell>
          <cell r="E20">
            <v>103664</v>
          </cell>
          <cell r="F20">
            <v>103664</v>
          </cell>
          <cell r="G20">
            <v>103664</v>
          </cell>
        </row>
        <row r="22">
          <cell r="C22" t="str">
            <v xml:space="preserve">Total depreciation </v>
          </cell>
          <cell r="D22">
            <v>120537</v>
          </cell>
          <cell r="E22">
            <v>122550</v>
          </cell>
          <cell r="F22">
            <v>123906</v>
          </cell>
          <cell r="G22">
            <v>124990</v>
          </cell>
        </row>
        <row r="25">
          <cell r="B25" t="str">
            <v xml:space="preserve">Note:  </v>
          </cell>
          <cell r="C25" t="str">
            <v>Transport depreciation is not included since it assumed to be considered in the cost of gas model.</v>
          </cell>
        </row>
        <row r="28">
          <cell r="C28" t="str">
            <v>Depreciation Analysis</v>
          </cell>
        </row>
        <row r="29">
          <cell r="C29" t="str">
            <v>Current Budget Projection</v>
          </cell>
        </row>
        <row r="30">
          <cell r="C30" t="str">
            <v>Excluding Transport</v>
          </cell>
          <cell r="D30">
            <v>120537</v>
          </cell>
          <cell r="E30">
            <v>122550</v>
          </cell>
          <cell r="F30">
            <v>123906</v>
          </cell>
          <cell r="G30">
            <v>124990</v>
          </cell>
        </row>
        <row r="31">
          <cell r="C31" t="str">
            <v>Projection from prior year</v>
          </cell>
          <cell r="D31">
            <v>1278897</v>
          </cell>
          <cell r="E31">
            <v>1328077</v>
          </cell>
          <cell r="F31">
            <v>1369273</v>
          </cell>
          <cell r="G31">
            <v>1378766</v>
          </cell>
        </row>
        <row r="32">
          <cell r="C32" t="str">
            <v>$ DIFF</v>
          </cell>
          <cell r="D32">
            <v>-1158360</v>
          </cell>
          <cell r="E32">
            <v>-1205527</v>
          </cell>
          <cell r="F32">
            <v>-1245367</v>
          </cell>
          <cell r="G32">
            <v>-1253776</v>
          </cell>
        </row>
        <row r="33">
          <cell r="C33" t="str">
            <v>% DIFF</v>
          </cell>
          <cell r="D33">
            <v>-0.90574925111248206</v>
          </cell>
          <cell r="E33">
            <v>-0.90772372385034905</v>
          </cell>
          <cell r="F33">
            <v>-0.90950964489915453</v>
          </cell>
          <cell r="G33">
            <v>-0.90934647358580067</v>
          </cell>
        </row>
      </sheetData>
      <sheetData sheetId="6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Ownership"/>
      <sheetName val="Cases"/>
      <sheetName val="Earnings"/>
      <sheetName val="Bal Sheets"/>
      <sheetName val="Schedules"/>
      <sheetName val="Stub Value"/>
      <sheetName val="LBO IRR"/>
      <sheetName val="RECAP Summary"/>
      <sheetName val="Recap Summary 2"/>
      <sheetName val="PFMA Cap"/>
      <sheetName val="PFMA Credit"/>
      <sheetName val="PFMA Fin Sum"/>
      <sheetName val="LBO Sens"/>
      <sheetName val="DCF Inputs"/>
      <sheetName val="DCF Matrix"/>
      <sheetName val="Standalone"/>
      <sheetName val="Proj Graph"/>
      <sheetName val="Hist Graph"/>
      <sheetName val="Trading Value"/>
      <sheetName val="Trading Val Calc"/>
      <sheetName val="Credit Graph"/>
      <sheetName val="Fin Graph"/>
      <sheetName val="sum_macro"/>
      <sheetName val="print_macro"/>
      <sheetName val="DCFLBO Code"/>
      <sheetName val="CasesDialog"/>
      <sheetName val="MainPrint Code"/>
      <sheetName val="AdditionalPrint Code"/>
      <sheetName val="InitialPrintDialog"/>
    </sheetNames>
    <sheetDataSet>
      <sheetData sheetId="0" refreshError="1">
        <row r="56">
          <cell r="G5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 Page"/>
      <sheetName val="Assumptions"/>
      <sheetName val="Fins"/>
      <sheetName val="AdditionalPrintCode"/>
      <sheetName val="MainPrintCode"/>
      <sheetName val="LBO FINS"/>
      <sheetName val="LBO Analysis"/>
      <sheetName val="SensitivityIRR"/>
      <sheetName val="SensitivityPrice"/>
      <sheetName val="Quick LBO"/>
      <sheetName val="Valuation Summary 1"/>
      <sheetName val="Val Sum 2"/>
      <sheetName val="Valuation Matrix 1"/>
      <sheetName val="Val Matrix 2"/>
      <sheetName val="Contribution"/>
      <sheetName val="DCF Inputs"/>
      <sheetName val="DCF Matrix"/>
      <sheetName val="Module1"/>
      <sheetName val="Module2"/>
      <sheetName val="Module3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>
        <row r="216">
          <cell r="E216">
            <v>8.5000000000000006E-2</v>
          </cell>
        </row>
      </sheetData>
      <sheetData sheetId="7" refreshError="1">
        <row r="10">
          <cell r="J10">
            <v>0.11</v>
          </cell>
        </row>
        <row r="23">
          <cell r="AB23">
            <v>500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</sheetNames>
    <sheetDataSet>
      <sheetData sheetId="0">
        <row r="1">
          <cell r="A1" t="str">
            <v>Schedule D-9</v>
          </cell>
          <cell r="H1" t="str">
            <v>COMMON STOCK DATA</v>
          </cell>
          <cell r="Q1" t="str">
            <v>Page___of___</v>
          </cell>
        </row>
        <row r="4">
          <cell r="A4" t="str">
            <v>FLORIDA PUBLIC SERVICE COMMISSION</v>
          </cell>
          <cell r="E4" t="str">
            <v>EXPLANATION:</v>
          </cell>
          <cell r="G4" t="str">
            <v>Provide the most recent five year data for the company, or consolidated</v>
          </cell>
          <cell r="O4" t="str">
            <v>Type of Data Shown:</v>
          </cell>
        </row>
        <row r="5">
          <cell r="G5" t="str">
            <v>parent if the company is not publicly traded as indicated.  To the extent</v>
          </cell>
          <cell r="O5" t="str">
            <v>____Historical Test Year Ended ___/___/___</v>
          </cell>
        </row>
        <row r="6">
          <cell r="A6" t="str">
            <v>COMPANY:</v>
          </cell>
          <cell r="G6" t="str">
            <v>the requested data is available from other sources, the Company can</v>
          </cell>
          <cell r="O6" t="str">
            <v>____Projected Test Year Ended ___/___/___</v>
          </cell>
        </row>
        <row r="7">
          <cell r="G7" t="str">
            <v>reference and attach the information to comply with the requirements of</v>
          </cell>
          <cell r="O7" t="str">
            <v>____ Prior Year Ended ___/___/___</v>
          </cell>
        </row>
        <row r="8">
          <cell r="A8" t="str">
            <v>DOCKET NO.:</v>
          </cell>
          <cell r="G8" t="str">
            <v>this MFR.</v>
          </cell>
          <cell r="O8" t="str">
            <v>Witness:</v>
          </cell>
        </row>
        <row r="11">
          <cell r="A11" t="str">
            <v>Line</v>
          </cell>
          <cell r="H11" t="str">
            <v>_______</v>
          </cell>
          <cell r="J11" t="str">
            <v>_______</v>
          </cell>
          <cell r="L11" t="str">
            <v>_______</v>
          </cell>
          <cell r="N11" t="str">
            <v>_______</v>
          </cell>
          <cell r="P11" t="str">
            <v>_______</v>
          </cell>
        </row>
        <row r="12">
          <cell r="A12" t="str">
            <v>No.</v>
          </cell>
          <cell r="H12" t="str">
            <v>Year</v>
          </cell>
          <cell r="J12" t="str">
            <v>Year</v>
          </cell>
          <cell r="L12" t="str">
            <v>Year</v>
          </cell>
          <cell r="N12" t="str">
            <v>Year</v>
          </cell>
          <cell r="P12" t="str">
            <v>Year</v>
          </cell>
        </row>
        <row r="15">
          <cell r="A15" t="str">
            <v>1.</v>
          </cell>
          <cell r="B15" t="str">
            <v>Pre-tax Interest Coverage Ratio (x)</v>
          </cell>
        </row>
        <row r="17">
          <cell r="A17" t="str">
            <v>2.</v>
          </cell>
          <cell r="B17" t="str">
            <v>Earned Returns on Average Book Equity (%)</v>
          </cell>
        </row>
        <row r="19">
          <cell r="A19" t="str">
            <v>3.</v>
          </cell>
          <cell r="B19" t="str">
            <v>Book Value/Share ($)</v>
          </cell>
        </row>
        <row r="21">
          <cell r="A21" t="str">
            <v>4.</v>
          </cell>
          <cell r="B21" t="str">
            <v>Dividends/Share ($)</v>
          </cell>
        </row>
        <row r="23">
          <cell r="A23" t="str">
            <v>5.</v>
          </cell>
          <cell r="B23" t="str">
            <v>Earnings/Share ($)</v>
          </cell>
        </row>
        <row r="25">
          <cell r="A25" t="str">
            <v>6.</v>
          </cell>
          <cell r="B25" t="str">
            <v>Market Value/Share ($)</v>
          </cell>
        </row>
        <row r="27">
          <cell r="A27" t="str">
            <v>7.</v>
          </cell>
          <cell r="B27" t="str">
            <v>Market/Book Ratio (%)</v>
          </cell>
        </row>
        <row r="29">
          <cell r="A29" t="str">
            <v>8.</v>
          </cell>
          <cell r="B29" t="str">
            <v>Price/Earning Ratio (6) / (5)</v>
          </cell>
        </row>
        <row r="48">
          <cell r="A48" t="str">
            <v>Supporting Schedules:</v>
          </cell>
          <cell r="L48" t="str">
            <v>Recap Schedules: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Sheet1"/>
      <sheetName val="Cap&amp;SU"/>
      <sheetName val="Valuation"/>
      <sheetName val="efs"/>
      <sheetName val="temp"/>
      <sheetName val="NFNT"/>
      <sheetName val="ORCC"/>
      <sheetName val="SONE"/>
      <sheetName val="DGIN"/>
      <sheetName val="BRKT"/>
      <sheetName val="__FDSCACHE__"/>
      <sheetName val="Data"/>
      <sheetName val="Mo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1">
          <cell r="C11">
            <v>0.96245000000000003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NG Snapshot"/>
      <sheetName val="Frct by Month"/>
      <sheetName val="CFG Snapshot"/>
      <sheetName val="FPU Snapshot"/>
      <sheetName val="FI Snapshot"/>
      <sheetName val="FT Snapshot"/>
      <sheetName val="Forecast @ Bud"/>
      <sheetName val="Special Contracts"/>
      <sheetName val="Other Revenue"/>
      <sheetName val="COGS"/>
      <sheetName val="GRIP FPUC"/>
      <sheetName val="GRIP CFG"/>
      <sheetName val="Rates"/>
      <sheetName val="Budget"/>
      <sheetName val="FRCT INPUT-CFG"/>
      <sheetName val="FRCT INPUT-FN"/>
      <sheetName val="FRCT INPUT-FT"/>
      <sheetName val="Total DW NG Snapshot"/>
      <sheetName val="DW Forecast"/>
      <sheetName val="TS4 Frct"/>
      <sheetName val="NG Cust-Vol"/>
      <sheetName val="FPUC GRIP Rate 2016"/>
      <sheetName val="CFG GRIP Rate 2016"/>
      <sheetName val="FPUC GRIP Rate 2017"/>
      <sheetName val="CFG GRIP Rate 2017"/>
      <sheetName val="FPUC GRIP Rate 2018"/>
      <sheetName val="CFG GRIP Rate 2018"/>
      <sheetName val="FPUC GRIP Rate 2019"/>
      <sheetName val="CFG GRIP Rate 2019"/>
      <sheetName val="FPUC GRIP Rate 2020"/>
      <sheetName val="CFG GRIP Rate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2">
          <cell r="P32">
            <v>226588.34122000006</v>
          </cell>
        </row>
        <row r="41">
          <cell r="D41">
            <v>1461898.2599999949</v>
          </cell>
          <cell r="E41">
            <v>1582295.390000002</v>
          </cell>
          <cell r="F41">
            <v>1520019.960000003</v>
          </cell>
          <cell r="G41">
            <v>1405400.9499999951</v>
          </cell>
          <cell r="H41">
            <v>1424539.3200000019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Val"/>
      <sheetName val="Sheet1"/>
    </sheetNames>
    <sheetDataSet>
      <sheetData sheetId="0" refreshError="1"/>
      <sheetData sheetId="1" refreshError="1"/>
      <sheetData sheetId="2" refreshError="1">
        <row r="2">
          <cell r="D2" t="str">
            <v>l:\mard\kleinman\catalyst\dcf\[dcf2.xls]valsum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 - Margin"/>
      <sheetName val="Graphs"/>
      <sheetName val="Frct by Month"/>
      <sheetName val="Forecast"/>
      <sheetName val="Lighting Service"/>
      <sheetName val="Rev-COGS"/>
      <sheetName val="Misc Revenue"/>
      <sheetName val="2015 Budget"/>
      <sheetName val="Rates"/>
      <sheetName val="Budgeted OL"/>
      <sheetName val="FRCT INPUT-FE"/>
      <sheetName val="DW Snapshot - Margin"/>
      <sheetName val="FPL Interconnect"/>
      <sheetName val="Forecast DW"/>
      <sheetName val="Frct by Month (2)"/>
      <sheetName val="Mapping"/>
      <sheetName val="Electric UBUE Walk"/>
      <sheetName val="Electric JH"/>
      <sheetName val="Gross Margin lead"/>
      <sheetName val="HDD"/>
      <sheetName val="GM"/>
      <sheetName val="GM Detail"/>
      <sheetName val="Worksheet"/>
      <sheetName val="FE by 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1">
          <cell r="D41">
            <v>1730738</v>
          </cell>
          <cell r="E41">
            <v>1780722</v>
          </cell>
          <cell r="F41">
            <v>1632230.8299999996</v>
          </cell>
          <cell r="G41">
            <v>1450388.08</v>
          </cell>
          <cell r="H41">
            <v>1707631</v>
          </cell>
        </row>
      </sheetData>
      <sheetData sheetId="11" refreshError="1"/>
      <sheetData sheetId="12" refreshError="1"/>
      <sheetData sheetId="13">
        <row r="14">
          <cell r="BA14">
            <v>24037.666666666668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Valuation"/>
      <sheetName val="Plant %"/>
      <sheetName val="Plant Name"/>
      <sheetName val="Financing Assumptions"/>
      <sheetName val="Sensitivities"/>
      <sheetName val="Hedging Analysis"/>
      <sheetName val="Financial Projections"/>
      <sheetName val="NPV Analysis"/>
      <sheetName val="Plant Data"/>
      <sheetName val="Assumptions"/>
      <sheetName val="Base Case Assumptions"/>
      <sheetName val="New Build Economics"/>
      <sheetName val="Module1"/>
      <sheetName val="Module2"/>
      <sheetName val="Module3"/>
      <sheetName val="Module4"/>
      <sheetName val="Module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N12">
            <v>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gers"/>
      <sheetName val="Deal"/>
      <sheetName val="Ownership"/>
      <sheetName val="Stub"/>
      <sheetName val="Model"/>
    </sheetNames>
    <sheetDataSet>
      <sheetData sheetId="0" refreshError="1">
        <row r="3">
          <cell r="A3" t="str">
            <v>Management's Estimates</v>
          </cell>
        </row>
        <row r="13">
          <cell r="E13">
            <v>33.299999999999997</v>
          </cell>
        </row>
        <row r="21">
          <cell r="E21">
            <v>1</v>
          </cell>
        </row>
        <row r="23">
          <cell r="E23">
            <v>20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Research"/>
      <sheetName val="Bath"/>
      <sheetName val="AccDil"/>
      <sheetName val="PFSum"/>
      <sheetName val="Comparison"/>
      <sheetName val="Comparison2"/>
      <sheetName val="Comparison3"/>
      <sheetName val="Sources &amp; Uses"/>
      <sheetName val="PF BS adj"/>
      <sheetName val="IntRateSens"/>
      <sheetName val="PF Model"/>
      <sheetName val="IncSummary"/>
      <sheetName val="Side by Side"/>
      <sheetName val="Sheet1 (4)"/>
      <sheetName val="Sheet1 (3)"/>
      <sheetName val="Summary"/>
      <sheetName val="Plush Summary"/>
      <sheetName val="PF Summary"/>
      <sheetName val="Cases"/>
      <sheetName val="Syn AccDil"/>
      <sheetName val="LBOSourceUse"/>
      <sheetName val="LBOpfBS"/>
      <sheetName val="LBOSummary"/>
      <sheetName val="IRR"/>
      <sheetName val="LBORecap"/>
      <sheetName val="Sheet1 (5)"/>
      <sheetName val="Plush"/>
      <sheetName val="Snug"/>
      <sheetName val="NewLBOSum"/>
      <sheetName val="LBORecapSens"/>
      <sheetName val="Plush LBO SourceUse"/>
      <sheetName val="Sheet1 (2)"/>
      <sheetName val="Sheet1"/>
      <sheetName val="Plush LBO"/>
      <sheetName val="Plush LBOpfbs"/>
      <sheetName val="Snug LBO"/>
      <sheetName val="DCF-Plush"/>
      <sheetName val="DCF Output"/>
      <sheetName val="ValSum"/>
      <sheetName val="Plush-VM"/>
    </sheetNames>
    <sheetDataSet>
      <sheetData sheetId="0"/>
      <sheetData sheetId="1" refreshError="1">
        <row r="5">
          <cell r="D5" t="str">
            <v>PROJECT SNUG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7">
          <cell r="D7">
            <v>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7">
          <cell r="D7">
            <v>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-RECAP-------&gt;"/>
      <sheetName val="BUILD"/>
      <sheetName val="IS"/>
      <sheetName val="__FDSCACHE__"/>
      <sheetName val="EARNINGS"/>
      <sheetName val="CASES"/>
      <sheetName val="INPUTS"/>
      <sheetName val="TRANS"/>
      <sheetName val="SUM1"/>
      <sheetName val="SUM2"/>
      <sheetName val="PFBS"/>
      <sheetName val="AdditionalPrintCode"/>
      <sheetName val="MainPrintCode"/>
      <sheetName val="Val Matrix"/>
      <sheetName val="SCHEDULES"/>
      <sheetName val="CAPITALIZATION"/>
      <sheetName val="IPO IRR"/>
      <sheetName val="CREDIT"/>
      <sheetName val="FINANCIALS"/>
      <sheetName val="EQUITY VALUE"/>
      <sheetName val="EBITDA IRR"/>
      <sheetName val="EBITDAR IRR"/>
      <sheetName val="EXTRA-------&gt;"/>
      <sheetName val="Bridge"/>
      <sheetName val="PrecVal"/>
      <sheetName val="UpsideVal"/>
      <sheetName val="UpsideVal - 2"/>
      <sheetName val="DCF Inputs"/>
      <sheetName val="Recap Sens"/>
      <sheetName val="Recap_Sum"/>
      <sheetName val="DCF"/>
      <sheetName val="DCF Matrix"/>
      <sheetName val="LBO"/>
      <sheetName val="LBO Summary"/>
      <sheetName val="LBO Sens"/>
      <sheetName val="Recap"/>
      <sheetName val="Recap Summary"/>
      <sheetName val="Recap Shares"/>
      <sheetName val="Module1"/>
      <sheetName val="MainPrint Code"/>
      <sheetName val="AdditionalPrint Code"/>
      <sheetName val="InitialPrintDialog"/>
      <sheetName val="FINCO Code"/>
      <sheetName val="CasesDialog"/>
      <sheetName val="Mortgage Calcs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">
          <cell r="D10" t="str">
            <v>LBO</v>
          </cell>
        </row>
        <row r="14">
          <cell r="D14" t="str">
            <v>Recapitalization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evel"/>
      <sheetName val="Sheet1"/>
      <sheetName val="SourceUse"/>
      <sheetName val="InterestSens"/>
      <sheetName val="GW Calc"/>
      <sheetName val="Options Calc"/>
      <sheetName val="__FDSCACHE__"/>
      <sheetName val="Sidebyside"/>
      <sheetName val="FFsum"/>
      <sheetName val="DCredit"/>
      <sheetName val="LSensInp"/>
      <sheetName val="LCredit"/>
      <sheetName val="LevelLBO"/>
      <sheetName val="LBOPFBS"/>
      <sheetName val="LBOSum"/>
      <sheetName val="LBOoutput"/>
      <sheetName val="DCFOut"/>
      <sheetName val="DDCF"/>
      <sheetName val="Working Cap Calc"/>
      <sheetName val="DDCFinp"/>
      <sheetName val="PFCredit"/>
      <sheetName val="IRRbackup"/>
      <sheetName val="IRR"/>
      <sheetName val="LDCF"/>
      <sheetName val="LDCFinp"/>
      <sheetName val="Buildup"/>
      <sheetName val="PF"/>
      <sheetName val="Drill"/>
      <sheetName val="BSadj"/>
      <sheetName val="PriceSens"/>
      <sheetName val="CemPriceSens"/>
      <sheetName val="FinMixSens"/>
      <sheetName val="PFVM"/>
      <sheetName val="IBESvm"/>
      <sheetName val="AnnotVM"/>
      <sheetName val="VM"/>
      <sheetName val="IntInfo"/>
      <sheetName val="mminp"/>
      <sheetName val="accdil"/>
      <sheetName val="mmsum"/>
      <sheetName val="mmcalc"/>
      <sheetName val="acq"/>
    </sheetNames>
    <sheetDataSet>
      <sheetData sheetId="0" refreshError="1">
        <row r="24">
          <cell r="P24">
            <v>23.613645908592321</v>
          </cell>
        </row>
        <row r="27">
          <cell r="P27">
            <v>78.406999999999996</v>
          </cell>
        </row>
        <row r="28">
          <cell r="P28">
            <v>50</v>
          </cell>
        </row>
        <row r="29">
          <cell r="P29">
            <v>0</v>
          </cell>
        </row>
        <row r="30">
          <cell r="P30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74">
          <cell r="Z374">
            <v>1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ONEW"/>
    </sheetNames>
    <definedNames>
      <definedName name="Macro4"/>
    </defined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attrition"/>
      <sheetName val="Sheet1"/>
      <sheetName val="IncStmt"/>
      <sheetName val="CashFlow"/>
      <sheetName val="BalSht"/>
      <sheetName val="Allowance"/>
      <sheetName val="CashEBITDA"/>
      <sheetName val="FxdChg"/>
      <sheetName val="Ratio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REP2L.RPT"/>
      <sheetName val="working copy"/>
      <sheetName val="mapping"/>
    </sheetNames>
    <sheetDataSet>
      <sheetData sheetId="0"/>
      <sheetData sheetId="1"/>
      <sheetData sheetId="2">
        <row r="2">
          <cell r="A2" t="str">
            <v>01-431000-0105-0100</v>
          </cell>
          <cell r="B2" t="str">
            <v>105</v>
          </cell>
          <cell r="C2" t="str">
            <v>fin</v>
          </cell>
          <cell r="D2" t="str">
            <v>1 - Sal</v>
          </cell>
          <cell r="F2" t="str">
            <v xml:space="preserve">                        Salaries - Customer Service</v>
          </cell>
        </row>
        <row r="3">
          <cell r="A3" t="str">
            <v>01-431000-0110-0100</v>
          </cell>
          <cell r="B3" t="str">
            <v>110</v>
          </cell>
          <cell r="C3" t="str">
            <v>fin</v>
          </cell>
          <cell r="D3" t="str">
            <v>1 - Sal</v>
          </cell>
          <cell r="F3" t="str">
            <v xml:space="preserve">                        Salaries - Administration</v>
          </cell>
        </row>
        <row r="4">
          <cell r="A4" t="str">
            <v>01-431000-0120-0100</v>
          </cell>
          <cell r="B4" t="str">
            <v>120</v>
          </cell>
          <cell r="C4" t="str">
            <v>fin</v>
          </cell>
          <cell r="D4" t="str">
            <v>1 - Sal</v>
          </cell>
          <cell r="F4" t="str">
            <v xml:space="preserve">                        Salaries - Acctg &amp; Finance</v>
          </cell>
        </row>
        <row r="5">
          <cell r="A5" t="str">
            <v>01-431000-0125-0100</v>
          </cell>
          <cell r="B5">
            <v>125</v>
          </cell>
          <cell r="C5" t="str">
            <v>fin</v>
          </cell>
          <cell r="D5" t="str">
            <v>1 - Sal</v>
          </cell>
          <cell r="F5" t="str">
            <v xml:space="preserve">                        Salaries - Exec Admin</v>
          </cell>
        </row>
        <row r="6">
          <cell r="A6" t="str">
            <v>01-431000-0135-0100</v>
          </cell>
          <cell r="B6" t="str">
            <v>135</v>
          </cell>
          <cell r="C6" t="str">
            <v>fin</v>
          </cell>
          <cell r="D6" t="str">
            <v>1 - Sal</v>
          </cell>
          <cell r="F6" t="str">
            <v xml:space="preserve">                        Salaries - HR</v>
          </cell>
        </row>
        <row r="7">
          <cell r="A7" t="str">
            <v>01-431000-0140-0100</v>
          </cell>
          <cell r="B7">
            <v>140</v>
          </cell>
          <cell r="C7" t="str">
            <v>fin</v>
          </cell>
          <cell r="D7" t="str">
            <v>1 - Sal</v>
          </cell>
          <cell r="F7" t="str">
            <v xml:space="preserve">                        Salaries - Facilities</v>
          </cell>
        </row>
        <row r="8">
          <cell r="A8" t="str">
            <v>01-431000-0210-0100</v>
          </cell>
          <cell r="B8" t="str">
            <v>210</v>
          </cell>
          <cell r="C8" t="str">
            <v>sales</v>
          </cell>
          <cell r="D8" t="str">
            <v>1 - Sal</v>
          </cell>
          <cell r="F8" t="str">
            <v xml:space="preserve">                        Salaries - Sales &amp; Mktg Mgt</v>
          </cell>
        </row>
        <row r="9">
          <cell r="A9" t="str">
            <v>01-431000-0215-0100</v>
          </cell>
          <cell r="B9" t="str">
            <v>215</v>
          </cell>
          <cell r="C9" t="str">
            <v>sales</v>
          </cell>
          <cell r="D9" t="str">
            <v>1 - Sal</v>
          </cell>
          <cell r="F9" t="str">
            <v xml:space="preserve">                        Salaries - Qualifiers</v>
          </cell>
        </row>
        <row r="10">
          <cell r="A10" t="str">
            <v>01-431000-0220-0100</v>
          </cell>
          <cell r="B10" t="str">
            <v>220</v>
          </cell>
          <cell r="C10" t="str">
            <v>sales</v>
          </cell>
          <cell r="D10" t="str">
            <v>1 - Sal</v>
          </cell>
          <cell r="F10" t="str">
            <v xml:space="preserve">                        Salaries - Marketing</v>
          </cell>
        </row>
        <row r="11">
          <cell r="A11" t="str">
            <v>01-431000-0225-0100</v>
          </cell>
          <cell r="B11" t="str">
            <v>225</v>
          </cell>
          <cell r="C11" t="str">
            <v>sales</v>
          </cell>
          <cell r="D11" t="str">
            <v>1 - Sal</v>
          </cell>
          <cell r="F11" t="str">
            <v xml:space="preserve">                        Salaries - Sales Comeau</v>
          </cell>
        </row>
        <row r="12">
          <cell r="A12" t="str">
            <v>01-431000-0235-0100</v>
          </cell>
          <cell r="B12" t="str">
            <v>235</v>
          </cell>
          <cell r="C12" t="str">
            <v>sales</v>
          </cell>
          <cell r="D12" t="str">
            <v>1 - Sal</v>
          </cell>
          <cell r="F12" t="str">
            <v xml:space="preserve">                        Salaries - Sales Operations</v>
          </cell>
        </row>
        <row r="13">
          <cell r="A13" t="str">
            <v>01-431000-0245-0100</v>
          </cell>
          <cell r="B13" t="str">
            <v>245</v>
          </cell>
          <cell r="C13" t="str">
            <v>sales</v>
          </cell>
          <cell r="D13" t="str">
            <v>1 - Sal</v>
          </cell>
          <cell r="F13" t="str">
            <v xml:space="preserve">                        Salaries - Sales Catanzarite</v>
          </cell>
        </row>
        <row r="14">
          <cell r="A14" t="str">
            <v>01-431000-0255-0100</v>
          </cell>
          <cell r="B14" t="str">
            <v>255</v>
          </cell>
          <cell r="C14" t="str">
            <v>sales</v>
          </cell>
          <cell r="D14" t="str">
            <v>1 - Sal</v>
          </cell>
          <cell r="F14" t="str">
            <v xml:space="preserve">                        Salaries - Sales Region 2</v>
          </cell>
        </row>
        <row r="15">
          <cell r="A15" t="str">
            <v>01-431000-0275-0100</v>
          </cell>
          <cell r="B15" t="str">
            <v>275</v>
          </cell>
          <cell r="C15" t="str">
            <v>sales</v>
          </cell>
          <cell r="D15" t="str">
            <v>1 - Sal</v>
          </cell>
          <cell r="F15" t="str">
            <v xml:space="preserve">                        Salaries - Sales AFN</v>
          </cell>
        </row>
        <row r="16">
          <cell r="A16" t="str">
            <v>01-431000-0290-0100</v>
          </cell>
          <cell r="B16" t="str">
            <v>290</v>
          </cell>
          <cell r="C16" t="str">
            <v>sales</v>
          </cell>
          <cell r="D16" t="str">
            <v>1 - Sal</v>
          </cell>
          <cell r="F16" t="str">
            <v xml:space="preserve">                        Salaries - Business Partners</v>
          </cell>
        </row>
        <row r="17">
          <cell r="A17" t="str">
            <v>01-431000-0295-0100</v>
          </cell>
          <cell r="B17" t="str">
            <v>295</v>
          </cell>
          <cell r="C17" t="str">
            <v>sales</v>
          </cell>
          <cell r="D17" t="str">
            <v>1 - Sal</v>
          </cell>
          <cell r="F17" t="str">
            <v xml:space="preserve">                        Salaries - Major Accounts</v>
          </cell>
        </row>
        <row r="18">
          <cell r="A18" t="str">
            <v>01-431000-0305-0100</v>
          </cell>
          <cell r="B18" t="str">
            <v>305</v>
          </cell>
          <cell r="C18" t="str">
            <v>cust supp</v>
          </cell>
          <cell r="D18" t="str">
            <v>1 - Sal</v>
          </cell>
          <cell r="F18" t="str">
            <v xml:space="preserve">                        Salaries - Cust Supp Mgmt</v>
          </cell>
        </row>
        <row r="19">
          <cell r="A19" t="str">
            <v>01-431000-0310-0100</v>
          </cell>
          <cell r="B19" t="str">
            <v>310</v>
          </cell>
          <cell r="C19" t="str">
            <v>cust supp</v>
          </cell>
          <cell r="D19" t="str">
            <v>1 - Sal</v>
          </cell>
          <cell r="F19" t="str">
            <v xml:space="preserve">                        Salaries - Cust Supp Admin</v>
          </cell>
        </row>
        <row r="20">
          <cell r="A20" t="str">
            <v>01-431000-0315-0100</v>
          </cell>
          <cell r="B20" t="str">
            <v>315</v>
          </cell>
          <cell r="C20" t="str">
            <v>prod dev</v>
          </cell>
          <cell r="D20" t="str">
            <v>1 - Sal</v>
          </cell>
          <cell r="F20" t="str">
            <v xml:space="preserve">                        Salaries - Cust Supp Multi Media</v>
          </cell>
        </row>
        <row r="21">
          <cell r="A21" t="str">
            <v>01-431000-0320-0100</v>
          </cell>
          <cell r="B21" t="str">
            <v>320</v>
          </cell>
          <cell r="C21" t="str">
            <v>cust supp</v>
          </cell>
          <cell r="D21" t="str">
            <v>1 - Sal</v>
          </cell>
          <cell r="F21" t="str">
            <v xml:space="preserve">                        Salaries - Cust Supp SAS</v>
          </cell>
        </row>
        <row r="22">
          <cell r="A22" t="str">
            <v>01-431000-0325-0100</v>
          </cell>
          <cell r="B22" t="str">
            <v>325</v>
          </cell>
          <cell r="C22" t="str">
            <v>cust supp</v>
          </cell>
          <cell r="D22" t="str">
            <v>1 - Sal</v>
          </cell>
          <cell r="F22" t="str">
            <v xml:space="preserve">                        Salaries - Tech Support</v>
          </cell>
        </row>
        <row r="23">
          <cell r="A23" t="str">
            <v>01-431000-0330-0100</v>
          </cell>
          <cell r="B23" t="str">
            <v>330</v>
          </cell>
          <cell r="C23" t="str">
            <v>cust supp</v>
          </cell>
          <cell r="D23" t="str">
            <v>1 - Sal</v>
          </cell>
          <cell r="F23" t="str">
            <v xml:space="preserve">                        Salaries - Cust Supp FRS</v>
          </cell>
        </row>
        <row r="24">
          <cell r="A24" t="str">
            <v>01-431000-0335-0100</v>
          </cell>
          <cell r="B24" t="str">
            <v>335</v>
          </cell>
          <cell r="C24" t="str">
            <v>cust supp</v>
          </cell>
          <cell r="D24" t="str">
            <v>1 - Sal</v>
          </cell>
          <cell r="F24" t="str">
            <v xml:space="preserve">                        Salaries - Support FRS Consultants</v>
          </cell>
        </row>
        <row r="25">
          <cell r="A25" t="str">
            <v>01-431000-0340-0100</v>
          </cell>
          <cell r="B25" t="str">
            <v>340</v>
          </cell>
          <cell r="C25" t="str">
            <v>cust supp</v>
          </cell>
          <cell r="D25" t="str">
            <v>1 - Sal</v>
          </cell>
          <cell r="F25" t="str">
            <v xml:space="preserve">                        Salaries - Cust Supp FAS</v>
          </cell>
        </row>
        <row r="26">
          <cell r="A26" t="str">
            <v>01-431000-0345-0100</v>
          </cell>
          <cell r="B26" t="str">
            <v>345</v>
          </cell>
          <cell r="C26" t="str">
            <v>cust supp</v>
          </cell>
          <cell r="D26" t="str">
            <v>1 - Sal</v>
          </cell>
          <cell r="F26" t="str">
            <v xml:space="preserve">                        Salaries - Support FAS Consultants</v>
          </cell>
        </row>
        <row r="27">
          <cell r="A27" t="str">
            <v>01-431000-0355-0100</v>
          </cell>
          <cell r="B27" t="str">
            <v>355</v>
          </cell>
          <cell r="C27" t="str">
            <v>cust supp</v>
          </cell>
          <cell r="D27" t="str">
            <v>1 - Sal</v>
          </cell>
          <cell r="F27" t="str">
            <v xml:space="preserve">                        Salaries - Service Operations</v>
          </cell>
        </row>
        <row r="28">
          <cell r="A28" t="str">
            <v>01-431000-0360-0100</v>
          </cell>
          <cell r="B28" t="str">
            <v>360</v>
          </cell>
          <cell r="C28" t="str">
            <v>cust supp</v>
          </cell>
          <cell r="D28" t="str">
            <v>1 - Sal</v>
          </cell>
          <cell r="F28" t="str">
            <v xml:space="preserve">                        Salaries - Support Education</v>
          </cell>
        </row>
        <row r="29">
          <cell r="A29" t="str">
            <v>01-431000-0365-0100</v>
          </cell>
          <cell r="B29" t="str">
            <v>365</v>
          </cell>
          <cell r="C29" t="str">
            <v>cust supp</v>
          </cell>
          <cell r="D29" t="str">
            <v>1 - Sal</v>
          </cell>
          <cell r="F29" t="str">
            <v xml:space="preserve">                        Salaries - Support SAS Consultants</v>
          </cell>
        </row>
        <row r="30">
          <cell r="A30" t="str">
            <v>01-431000-0370-0100</v>
          </cell>
          <cell r="B30" t="str">
            <v>370</v>
          </cell>
          <cell r="C30" t="str">
            <v>cust supp</v>
          </cell>
          <cell r="D30" t="str">
            <v>1 - Sal</v>
          </cell>
          <cell r="F30" t="str">
            <v xml:space="preserve">                        Salaries - Technical Consulting</v>
          </cell>
        </row>
        <row r="31">
          <cell r="A31" t="str">
            <v>01-431000-0385-0100</v>
          </cell>
          <cell r="B31" t="str">
            <v>385</v>
          </cell>
          <cell r="C31" t="str">
            <v>cust supp</v>
          </cell>
          <cell r="D31" t="str">
            <v>1 - Sal</v>
          </cell>
          <cell r="F31" t="str">
            <v xml:space="preserve">                        **Salaries - Customer Support FM</v>
          </cell>
        </row>
        <row r="32">
          <cell r="A32" t="str">
            <v>01-431000-0405-0100</v>
          </cell>
          <cell r="B32" t="str">
            <v>405</v>
          </cell>
          <cell r="C32" t="str">
            <v>prod dev</v>
          </cell>
          <cell r="D32" t="str">
            <v>1 - Sal</v>
          </cell>
          <cell r="F32" t="str">
            <v xml:space="preserve">                        Salaries - Internet Technology</v>
          </cell>
        </row>
        <row r="33">
          <cell r="A33" t="str">
            <v>01-431000-0410-0100</v>
          </cell>
          <cell r="B33" t="str">
            <v>410</v>
          </cell>
          <cell r="C33" t="str">
            <v>prod dev</v>
          </cell>
          <cell r="D33" t="str">
            <v>1 - Sal</v>
          </cell>
          <cell r="F33" t="str">
            <v xml:space="preserve">                        Salaries - Prod Design - FRS</v>
          </cell>
        </row>
        <row r="34">
          <cell r="A34" t="str">
            <v>01-431000-0415-0100</v>
          </cell>
          <cell r="B34" t="str">
            <v>415</v>
          </cell>
          <cell r="C34" t="str">
            <v>prod dev</v>
          </cell>
          <cell r="D34" t="str">
            <v>1 - Sal</v>
          </cell>
          <cell r="F34" t="str">
            <v xml:space="preserve">                        Salaries - Prod Design - SAS</v>
          </cell>
        </row>
        <row r="35">
          <cell r="A35" t="str">
            <v>01-431000-0420-0100</v>
          </cell>
          <cell r="B35" t="str">
            <v>420</v>
          </cell>
          <cell r="C35" t="str">
            <v>prod dev</v>
          </cell>
          <cell r="D35" t="str">
            <v>1 - Sal</v>
          </cell>
          <cell r="F35" t="str">
            <v xml:space="preserve">                        Salaries - Prod Design - FAS</v>
          </cell>
        </row>
        <row r="36">
          <cell r="A36" t="str">
            <v>01-431000-0430-0100</v>
          </cell>
          <cell r="B36" t="str">
            <v>430</v>
          </cell>
          <cell r="C36" t="str">
            <v>prod dev</v>
          </cell>
          <cell r="D36" t="str">
            <v>1 - Sal</v>
          </cell>
          <cell r="F36" t="str">
            <v xml:space="preserve">                        Salaries - Prod Program - FRS</v>
          </cell>
        </row>
        <row r="37">
          <cell r="A37" t="str">
            <v>01-431000-0435-0100</v>
          </cell>
          <cell r="B37" t="str">
            <v>435</v>
          </cell>
          <cell r="C37" t="str">
            <v>prod dev</v>
          </cell>
          <cell r="D37" t="str">
            <v>1 - Sal</v>
          </cell>
          <cell r="F37" t="str">
            <v xml:space="preserve">                        Salaries - Prod Program - SAS</v>
          </cell>
        </row>
        <row r="38">
          <cell r="A38" t="str">
            <v>01-431000-0440-0100</v>
          </cell>
          <cell r="B38" t="str">
            <v>440</v>
          </cell>
          <cell r="C38" t="str">
            <v>prod dev</v>
          </cell>
          <cell r="D38" t="str">
            <v>1 - Sal</v>
          </cell>
          <cell r="F38" t="str">
            <v xml:space="preserve">                        Salaries - Prod Program - FAS</v>
          </cell>
        </row>
        <row r="39">
          <cell r="A39" t="str">
            <v>01-431000-0450-0100</v>
          </cell>
          <cell r="B39" t="str">
            <v>450</v>
          </cell>
          <cell r="C39" t="str">
            <v>prod dev</v>
          </cell>
          <cell r="D39" t="str">
            <v>1 - Sal</v>
          </cell>
          <cell r="F39" t="str">
            <v xml:space="preserve">                        Salaries - QA - FRS</v>
          </cell>
        </row>
        <row r="40">
          <cell r="A40" t="str">
            <v>01-431000-0455-0100</v>
          </cell>
          <cell r="B40" t="str">
            <v>455</v>
          </cell>
          <cell r="C40" t="str">
            <v>prod dev</v>
          </cell>
          <cell r="D40" t="str">
            <v>1 - Sal</v>
          </cell>
          <cell r="F40" t="str">
            <v xml:space="preserve">                        Salaries - QA - SAS</v>
          </cell>
        </row>
        <row r="41">
          <cell r="A41" t="str">
            <v>01-431000-0460-0100</v>
          </cell>
          <cell r="B41" t="str">
            <v>460</v>
          </cell>
          <cell r="C41" t="str">
            <v>prod dev</v>
          </cell>
          <cell r="D41" t="str">
            <v>1 - Sal</v>
          </cell>
          <cell r="F41" t="str">
            <v xml:space="preserve">                        Salaries - QA - FAS</v>
          </cell>
        </row>
        <row r="42">
          <cell r="A42" t="str">
            <v>01-431000-0470-0100</v>
          </cell>
          <cell r="B42" t="str">
            <v>470</v>
          </cell>
          <cell r="C42" t="str">
            <v>prod dev</v>
          </cell>
          <cell r="D42" t="str">
            <v>1 - Sal</v>
          </cell>
          <cell r="F42" t="str">
            <v xml:space="preserve">                        Salaries - Prod Documentation - FRS</v>
          </cell>
        </row>
        <row r="43">
          <cell r="A43" t="str">
            <v>01-431000-0475-0100</v>
          </cell>
          <cell r="B43" t="str">
            <v>475</v>
          </cell>
          <cell r="C43" t="str">
            <v>prod dev</v>
          </cell>
          <cell r="D43" t="str">
            <v>1 - Sal</v>
          </cell>
          <cell r="F43" t="str">
            <v xml:space="preserve">                        Salaries - Prod Documentation - SAS</v>
          </cell>
        </row>
        <row r="44">
          <cell r="A44" t="str">
            <v>01-431000-0480-0100</v>
          </cell>
          <cell r="B44" t="str">
            <v>480</v>
          </cell>
          <cell r="C44" t="str">
            <v>prod dev</v>
          </cell>
          <cell r="D44" t="str">
            <v>1 - Sal</v>
          </cell>
          <cell r="F44" t="str">
            <v xml:space="preserve">                        Salaries - Prod Documentation - FAS</v>
          </cell>
        </row>
        <row r="45">
          <cell r="A45" t="str">
            <v>01-431000-0490-0100</v>
          </cell>
          <cell r="B45" t="str">
            <v>490</v>
          </cell>
          <cell r="C45" t="str">
            <v>prod dev</v>
          </cell>
          <cell r="D45" t="str">
            <v>1 - Sal</v>
          </cell>
          <cell r="F45" t="str">
            <v xml:space="preserve">                        Salaries - Prod Development Mgmt</v>
          </cell>
        </row>
        <row r="46">
          <cell r="A46" t="str">
            <v>01-431000-0495-0100</v>
          </cell>
          <cell r="B46" t="str">
            <v>495</v>
          </cell>
          <cell r="C46" t="str">
            <v>prod dev</v>
          </cell>
          <cell r="D46" t="str">
            <v>1 - Sal</v>
          </cell>
          <cell r="F46" t="str">
            <v xml:space="preserve">                        Salaries - Prod Div Mgmt - FAS</v>
          </cell>
        </row>
        <row r="47">
          <cell r="A47" t="str">
            <v>01-431000-0496-0100</v>
          </cell>
          <cell r="B47" t="str">
            <v>496</v>
          </cell>
          <cell r="C47" t="str">
            <v>prod dev</v>
          </cell>
          <cell r="D47" t="str">
            <v>1 - Sal</v>
          </cell>
          <cell r="F47" t="str">
            <v xml:space="preserve">                        Salaries - Prod Div - CT/R</v>
          </cell>
        </row>
        <row r="48">
          <cell r="A48" t="str">
            <v>01-431000-0497-0100</v>
          </cell>
          <cell r="B48" t="str">
            <v>497</v>
          </cell>
          <cell r="C48" t="str">
            <v>prod dev</v>
          </cell>
          <cell r="D48" t="str">
            <v>1 - Sal</v>
          </cell>
          <cell r="F48" t="str">
            <v xml:space="preserve">                        Salaries - Prod Div - Prod Dir</v>
          </cell>
        </row>
        <row r="49">
          <cell r="A49" t="str">
            <v>01-431000-0498-0100</v>
          </cell>
          <cell r="B49" t="str">
            <v>498</v>
          </cell>
          <cell r="C49" t="str">
            <v>prod dev</v>
          </cell>
          <cell r="D49" t="str">
            <v>1 - Sal</v>
          </cell>
          <cell r="F49" t="str">
            <v xml:space="preserve">                        Salaries - Prod Div Mgmt - FRS</v>
          </cell>
        </row>
        <row r="50">
          <cell r="A50" t="str">
            <v>01-431000-0499-0100</v>
          </cell>
          <cell r="B50" t="str">
            <v>499</v>
          </cell>
          <cell r="C50" t="str">
            <v>prod dev</v>
          </cell>
          <cell r="D50" t="str">
            <v>1 - Sal</v>
          </cell>
          <cell r="F50" t="str">
            <v xml:space="preserve">                        Salaries - Prod Div Mgmt - SAS</v>
          </cell>
        </row>
        <row r="51">
          <cell r="A51" t="str">
            <v>01-431000-0505-0100</v>
          </cell>
          <cell r="B51" t="str">
            <v>505</v>
          </cell>
          <cell r="C51" t="str">
            <v>strategy</v>
          </cell>
          <cell r="D51" t="str">
            <v>1 - Sal</v>
          </cell>
          <cell r="F51" t="str">
            <v xml:space="preserve">                        Salaries - Strategy &amp; Product Mgmt</v>
          </cell>
        </row>
        <row r="52">
          <cell r="A52" t="str">
            <v>01-431000-0510-0100</v>
          </cell>
          <cell r="B52" t="str">
            <v>510</v>
          </cell>
          <cell r="C52" t="str">
            <v>strategy</v>
          </cell>
          <cell r="D52" t="str">
            <v>1 - Sal</v>
          </cell>
          <cell r="F52" t="str">
            <v xml:space="preserve">                        Salaries - Market Research</v>
          </cell>
        </row>
        <row r="53">
          <cell r="A53" t="str">
            <v>01-431000-0515-0100</v>
          </cell>
          <cell r="B53">
            <v>515</v>
          </cell>
          <cell r="C53" t="str">
            <v>strategy</v>
          </cell>
          <cell r="D53" t="str">
            <v>1 - Sal</v>
          </cell>
          <cell r="F53" t="str">
            <v xml:space="preserve">                        Salaries - Product Management</v>
          </cell>
        </row>
        <row r="54">
          <cell r="A54" t="str">
            <v>01-431000-0530-0100</v>
          </cell>
          <cell r="B54" t="str">
            <v>530</v>
          </cell>
          <cell r="C54" t="str">
            <v>cust supp</v>
          </cell>
          <cell r="D54" t="str">
            <v>1 - Sal</v>
          </cell>
          <cell r="F54" t="str">
            <v xml:space="preserve">                        Salaries - Client Relations</v>
          </cell>
        </row>
        <row r="55">
          <cell r="A55" t="str">
            <v>01-431000-0705-0100</v>
          </cell>
          <cell r="B55" t="str">
            <v>705</v>
          </cell>
          <cell r="C55" t="str">
            <v>tech svc</v>
          </cell>
          <cell r="D55" t="str">
            <v>1 - Sal</v>
          </cell>
          <cell r="F55" t="str">
            <v xml:space="preserve">                        Salaries - T.S. Mgmt</v>
          </cell>
        </row>
        <row r="56">
          <cell r="A56" t="str">
            <v>01-431000-0720-0100</v>
          </cell>
          <cell r="B56" t="str">
            <v>720</v>
          </cell>
          <cell r="C56" t="str">
            <v>cust supp</v>
          </cell>
          <cell r="D56" t="str">
            <v>1 - Sal</v>
          </cell>
          <cell r="F56" t="str">
            <v xml:space="preserve">                        Salaries - Conversions</v>
          </cell>
        </row>
        <row r="57">
          <cell r="A57" t="str">
            <v>01-431000-0730-0100</v>
          </cell>
          <cell r="B57" t="str">
            <v>730</v>
          </cell>
          <cell r="C57" t="str">
            <v>tech svc</v>
          </cell>
          <cell r="D57" t="str">
            <v>1 - Sal</v>
          </cell>
          <cell r="F57" t="str">
            <v xml:space="preserve">                        Salaries - Corporate Systems Support</v>
          </cell>
        </row>
        <row r="58">
          <cell r="A58" t="str">
            <v>01-431000-0750-0100</v>
          </cell>
          <cell r="B58" t="str">
            <v>750</v>
          </cell>
          <cell r="C58" t="str">
            <v>tech svc</v>
          </cell>
          <cell r="D58" t="str">
            <v>1 - Sal</v>
          </cell>
          <cell r="F58" t="str">
            <v xml:space="preserve">                        Salaries - Information Systems</v>
          </cell>
        </row>
        <row r="59">
          <cell r="A59" t="str">
            <v>01-431000-0755-0100</v>
          </cell>
          <cell r="B59" t="str">
            <v>755</v>
          </cell>
          <cell r="C59" t="str">
            <v>tech svc</v>
          </cell>
          <cell r="D59" t="str">
            <v>1 - Sal</v>
          </cell>
          <cell r="F59" t="str">
            <v xml:space="preserve">                        Salaries - Information Technology</v>
          </cell>
        </row>
        <row r="60">
          <cell r="A60" t="str">
            <v>01-432000-0105-0200</v>
          </cell>
          <cell r="B60" t="str">
            <v>105</v>
          </cell>
          <cell r="C60" t="str">
            <v>fin</v>
          </cell>
          <cell r="D60" t="str">
            <v>2 - OT</v>
          </cell>
          <cell r="F60" t="str">
            <v xml:space="preserve">                        Overtime - Customer Service</v>
          </cell>
        </row>
        <row r="61">
          <cell r="A61" t="str">
            <v>01-432000-0110-0200</v>
          </cell>
          <cell r="B61" t="str">
            <v>110</v>
          </cell>
          <cell r="C61" t="str">
            <v>fin</v>
          </cell>
          <cell r="D61" t="str">
            <v>2 - OT</v>
          </cell>
          <cell r="F61" t="str">
            <v xml:space="preserve">                        Overtime - Administration</v>
          </cell>
        </row>
        <row r="62">
          <cell r="A62" t="str">
            <v>01-432000-0120-0200</v>
          </cell>
          <cell r="B62" t="str">
            <v>120</v>
          </cell>
          <cell r="C62" t="str">
            <v>fin</v>
          </cell>
          <cell r="D62" t="str">
            <v>2 - OT</v>
          </cell>
          <cell r="F62" t="str">
            <v xml:space="preserve">                        Overtime - Acct &amp; Finance</v>
          </cell>
        </row>
        <row r="63">
          <cell r="A63" t="str">
            <v>01-432000-0135-0200</v>
          </cell>
          <cell r="B63" t="str">
            <v>135</v>
          </cell>
          <cell r="C63" t="str">
            <v>fin</v>
          </cell>
          <cell r="D63" t="str">
            <v>2 - OT</v>
          </cell>
          <cell r="F63" t="str">
            <v xml:space="preserve">                        Overtime - HR</v>
          </cell>
        </row>
        <row r="64">
          <cell r="A64" t="str">
            <v>01-432000-0140-0200</v>
          </cell>
          <cell r="B64" t="str">
            <v>140</v>
          </cell>
          <cell r="C64" t="str">
            <v>fin</v>
          </cell>
          <cell r="D64" t="str">
            <v>2 - OT</v>
          </cell>
          <cell r="F64" t="str">
            <v xml:space="preserve">                        Overtime - Facilities</v>
          </cell>
        </row>
        <row r="65">
          <cell r="A65" t="str">
            <v>01-432000-0210-0200</v>
          </cell>
          <cell r="B65" t="str">
            <v>210</v>
          </cell>
          <cell r="C65" t="str">
            <v>sales</v>
          </cell>
          <cell r="D65" t="str">
            <v>2 - OT</v>
          </cell>
          <cell r="F65" t="str">
            <v xml:space="preserve">                        Overtime - Sales &amp; Mktg Mgt</v>
          </cell>
        </row>
        <row r="66">
          <cell r="A66" t="str">
            <v>01-432000-0220-0200</v>
          </cell>
          <cell r="B66" t="str">
            <v>220</v>
          </cell>
          <cell r="C66" t="str">
            <v>sales</v>
          </cell>
          <cell r="D66" t="str">
            <v>2 - OT</v>
          </cell>
          <cell r="F66" t="str">
            <v xml:space="preserve">                        Overtime - Marketing</v>
          </cell>
        </row>
        <row r="67">
          <cell r="A67" t="str">
            <v>01-432000-0235-0200</v>
          </cell>
          <cell r="B67" t="str">
            <v>235</v>
          </cell>
          <cell r="C67" t="str">
            <v>sales</v>
          </cell>
          <cell r="D67" t="str">
            <v>2 - OT</v>
          </cell>
          <cell r="F67" t="str">
            <v xml:space="preserve">                        Overtime - Sales Operations</v>
          </cell>
        </row>
        <row r="68">
          <cell r="A68" t="str">
            <v>01-432000-0275-0200</v>
          </cell>
          <cell r="B68" t="str">
            <v>275</v>
          </cell>
          <cell r="C68" t="str">
            <v>sales</v>
          </cell>
          <cell r="D68" t="str">
            <v>2 - OT</v>
          </cell>
          <cell r="F68" t="str">
            <v xml:space="preserve">                        Overtime - Sales AFN</v>
          </cell>
        </row>
        <row r="69">
          <cell r="A69" t="str">
            <v>01-432000-0305-0200</v>
          </cell>
          <cell r="B69" t="str">
            <v>305</v>
          </cell>
          <cell r="C69" t="str">
            <v>cust supp</v>
          </cell>
          <cell r="D69" t="str">
            <v>2 - OT</v>
          </cell>
          <cell r="F69" t="str">
            <v xml:space="preserve">                        Overtime - Cust Supp Mgmt</v>
          </cell>
        </row>
        <row r="70">
          <cell r="A70" t="str">
            <v>01-432000-0310-0200</v>
          </cell>
          <cell r="B70" t="str">
            <v>310</v>
          </cell>
          <cell r="C70" t="str">
            <v>cust supp</v>
          </cell>
          <cell r="D70" t="str">
            <v>2 - OT</v>
          </cell>
          <cell r="F70" t="str">
            <v xml:space="preserve">                        Overtime - Support Admin</v>
          </cell>
        </row>
        <row r="71">
          <cell r="A71" t="str">
            <v>01-432000-0320-0200</v>
          </cell>
          <cell r="B71" t="str">
            <v>320</v>
          </cell>
          <cell r="C71" t="str">
            <v>cust supp</v>
          </cell>
          <cell r="D71" t="str">
            <v>2 - OT</v>
          </cell>
          <cell r="F71" t="str">
            <v xml:space="preserve">                        Overtime - Cust Supp SAS</v>
          </cell>
        </row>
        <row r="72">
          <cell r="A72" t="str">
            <v>01-432000-0325-0200</v>
          </cell>
          <cell r="B72" t="str">
            <v>325</v>
          </cell>
          <cell r="C72" t="str">
            <v>cust supp</v>
          </cell>
          <cell r="D72" t="str">
            <v>2 - OT</v>
          </cell>
          <cell r="F72" t="str">
            <v xml:space="preserve">                        Overtime - Tech Support</v>
          </cell>
        </row>
        <row r="73">
          <cell r="A73" t="str">
            <v>01-432000-0330-0200</v>
          </cell>
          <cell r="B73" t="str">
            <v>330</v>
          </cell>
          <cell r="C73" t="str">
            <v>cust supp</v>
          </cell>
          <cell r="D73" t="str">
            <v>2 - OT</v>
          </cell>
          <cell r="F73" t="str">
            <v xml:space="preserve">                        Overtime - Support FRS</v>
          </cell>
        </row>
        <row r="74">
          <cell r="A74" t="str">
            <v>01-432000-0340-0200</v>
          </cell>
          <cell r="B74" t="str">
            <v>340</v>
          </cell>
          <cell r="C74" t="str">
            <v>cust supp</v>
          </cell>
          <cell r="D74" t="str">
            <v>2 - OT</v>
          </cell>
          <cell r="F74" t="str">
            <v xml:space="preserve">                        Overtime - Support FAS</v>
          </cell>
        </row>
        <row r="75">
          <cell r="A75" t="str">
            <v>01-432000-0360-0200</v>
          </cell>
          <cell r="B75" t="str">
            <v>360</v>
          </cell>
          <cell r="C75" t="str">
            <v>cust supp</v>
          </cell>
          <cell r="D75" t="str">
            <v>2 - OT</v>
          </cell>
          <cell r="F75" t="str">
            <v xml:space="preserve">                        Overtime - Support Education</v>
          </cell>
        </row>
        <row r="76">
          <cell r="A76" t="str">
            <v>01-432000-0440-0200</v>
          </cell>
          <cell r="B76" t="str">
            <v>440</v>
          </cell>
          <cell r="C76" t="str">
            <v>prod dev</v>
          </cell>
          <cell r="D76" t="str">
            <v>2 - OT</v>
          </cell>
          <cell r="F76" t="str">
            <v xml:space="preserve">                        Overtime - Prod Program - FAS</v>
          </cell>
        </row>
        <row r="77">
          <cell r="A77" t="str">
            <v>01-432000-0470-0200</v>
          </cell>
          <cell r="B77" t="str">
            <v>470</v>
          </cell>
          <cell r="C77" t="str">
            <v>prod dev</v>
          </cell>
          <cell r="D77" t="str">
            <v>2 - OT</v>
          </cell>
          <cell r="F77" t="str">
            <v xml:space="preserve">                        Overtime - Product Doc - FRS</v>
          </cell>
        </row>
        <row r="78">
          <cell r="A78" t="str">
            <v>01-432000-0490-0200</v>
          </cell>
          <cell r="B78" t="str">
            <v>490</v>
          </cell>
          <cell r="C78" t="str">
            <v>prod dev</v>
          </cell>
          <cell r="D78" t="str">
            <v>2 - OT</v>
          </cell>
          <cell r="F78" t="str">
            <v xml:space="preserve">                        Overtime - Prod Development Mgmt</v>
          </cell>
        </row>
        <row r="79">
          <cell r="A79" t="str">
            <v>01-432000-0505-0200</v>
          </cell>
          <cell r="B79" t="str">
            <v>505</v>
          </cell>
          <cell r="C79" t="str">
            <v>prod dev</v>
          </cell>
          <cell r="D79" t="str">
            <v>2 - OT</v>
          </cell>
          <cell r="F79" t="str">
            <v xml:space="preserve">                        Overtime - Strategy &amp; Product Mgmt</v>
          </cell>
        </row>
        <row r="80">
          <cell r="A80" t="str">
            <v>01-432000-0530-0200</v>
          </cell>
          <cell r="B80" t="str">
            <v>530</v>
          </cell>
          <cell r="C80" t="str">
            <v>cust supp</v>
          </cell>
          <cell r="D80" t="str">
            <v>2 - OT</v>
          </cell>
          <cell r="F80" t="str">
            <v xml:space="preserve">                        Overtime - Client Relations</v>
          </cell>
        </row>
        <row r="81">
          <cell r="A81" t="str">
            <v>01-432000-0750-0200</v>
          </cell>
          <cell r="B81" t="str">
            <v>750</v>
          </cell>
          <cell r="C81" t="str">
            <v>tech svc</v>
          </cell>
          <cell r="D81" t="str">
            <v>2 - OT</v>
          </cell>
          <cell r="F81" t="str">
            <v xml:space="preserve">                        Overtime - Information Systems</v>
          </cell>
        </row>
        <row r="82">
          <cell r="A82" t="str">
            <v>01-432000-0755-0200</v>
          </cell>
          <cell r="B82" t="str">
            <v>755</v>
          </cell>
          <cell r="C82" t="str">
            <v>tech svc</v>
          </cell>
          <cell r="D82" t="str">
            <v>2 - OT</v>
          </cell>
          <cell r="F82" t="str">
            <v xml:space="preserve">                        Overtime - Information Tech</v>
          </cell>
        </row>
        <row r="83">
          <cell r="A83" t="str">
            <v>01-434000-0120-0400</v>
          </cell>
          <cell r="B83" t="str">
            <v>120</v>
          </cell>
          <cell r="C83" t="str">
            <v>fin</v>
          </cell>
          <cell r="D83" t="str">
            <v>3 - Relo</v>
          </cell>
          <cell r="F83" t="str">
            <v xml:space="preserve">                        Relocation - Acct &amp; Finance</v>
          </cell>
        </row>
        <row r="84">
          <cell r="A84" t="str">
            <v>01-434000-0125-0400</v>
          </cell>
          <cell r="B84" t="str">
            <v>125</v>
          </cell>
          <cell r="C84" t="str">
            <v>fin</v>
          </cell>
          <cell r="D84" t="str">
            <v>3 - Relo</v>
          </cell>
          <cell r="F84" t="str">
            <v xml:space="preserve">                        Relocation - Executive Admin</v>
          </cell>
        </row>
        <row r="85">
          <cell r="A85" t="str">
            <v>01-434000-0135-0400</v>
          </cell>
          <cell r="B85" t="str">
            <v>135</v>
          </cell>
          <cell r="C85" t="str">
            <v>fin</v>
          </cell>
          <cell r="D85" t="str">
            <v>3 - Relo</v>
          </cell>
          <cell r="F85" t="str">
            <v xml:space="preserve">                        Relocation - HR</v>
          </cell>
        </row>
        <row r="86">
          <cell r="A86" t="str">
            <v>01-434000-0210-0400</v>
          </cell>
          <cell r="B86" t="str">
            <v>210</v>
          </cell>
          <cell r="C86" t="str">
            <v>sales</v>
          </cell>
          <cell r="D86" t="str">
            <v>3 - Relo</v>
          </cell>
          <cell r="F86" t="str">
            <v xml:space="preserve">                        Relocation - Sales &amp; Mktg Mgt</v>
          </cell>
        </row>
        <row r="87">
          <cell r="A87" t="str">
            <v>01-434000-0235-0400</v>
          </cell>
          <cell r="B87" t="str">
            <v>235</v>
          </cell>
          <cell r="C87" t="str">
            <v>sales</v>
          </cell>
          <cell r="D87" t="str">
            <v>3 - Relo</v>
          </cell>
          <cell r="F87" t="str">
            <v xml:space="preserve">                        Relocation - Sales Operations</v>
          </cell>
        </row>
        <row r="88">
          <cell r="A88" t="str">
            <v>01-434000-0245-0400</v>
          </cell>
          <cell r="B88" t="str">
            <v>245</v>
          </cell>
          <cell r="C88" t="str">
            <v>sales</v>
          </cell>
          <cell r="D88" t="str">
            <v>3 - Relo</v>
          </cell>
          <cell r="F88" t="str">
            <v xml:space="preserve">                        Relocation - Sales Catanzarite</v>
          </cell>
        </row>
        <row r="89">
          <cell r="A89" t="str">
            <v>01-434000-0255-0400</v>
          </cell>
          <cell r="B89" t="str">
            <v>255</v>
          </cell>
          <cell r="C89" t="str">
            <v>sales</v>
          </cell>
          <cell r="D89" t="str">
            <v>3 - Relo</v>
          </cell>
          <cell r="F89" t="str">
            <v xml:space="preserve">                        Relocation - Sales Region 2</v>
          </cell>
        </row>
        <row r="90">
          <cell r="A90" t="str">
            <v>01-434000-0275-0400</v>
          </cell>
          <cell r="B90" t="str">
            <v>275</v>
          </cell>
          <cell r="C90" t="str">
            <v>sales</v>
          </cell>
          <cell r="D90" t="str">
            <v>3 - Relo</v>
          </cell>
          <cell r="F90" t="str">
            <v xml:space="preserve">                        Relocation - Sales AFN</v>
          </cell>
        </row>
        <row r="91">
          <cell r="A91" t="str">
            <v>01-434000-0335-0400</v>
          </cell>
          <cell r="B91" t="str">
            <v>335</v>
          </cell>
          <cell r="C91" t="str">
            <v>cust supp</v>
          </cell>
          <cell r="D91" t="str">
            <v>3 - Relo</v>
          </cell>
          <cell r="F91" t="str">
            <v xml:space="preserve">                        Relocation - Support FRS Consultants</v>
          </cell>
        </row>
        <row r="92">
          <cell r="A92" t="str">
            <v>01-434000-0355-0400</v>
          </cell>
          <cell r="B92" t="str">
            <v>355</v>
          </cell>
          <cell r="C92" t="str">
            <v>cust supp</v>
          </cell>
          <cell r="D92" t="str">
            <v>3 - Relo</v>
          </cell>
          <cell r="F92" t="str">
            <v xml:space="preserve">                        Relocation - Service Operations</v>
          </cell>
        </row>
        <row r="93">
          <cell r="A93" t="str">
            <v>01-434000-0490-0400</v>
          </cell>
          <cell r="B93" t="str">
            <v>490</v>
          </cell>
          <cell r="C93" t="str">
            <v>prod dev</v>
          </cell>
          <cell r="D93" t="str">
            <v>3 - Relo</v>
          </cell>
          <cell r="F93" t="str">
            <v xml:space="preserve">                        Relocation - Prod Development Mgmt</v>
          </cell>
        </row>
        <row r="94">
          <cell r="A94" t="str">
            <v>01-434000-0505-0400</v>
          </cell>
          <cell r="B94" t="str">
            <v>505</v>
          </cell>
          <cell r="C94" t="str">
            <v>strategy</v>
          </cell>
          <cell r="D94" t="str">
            <v>3 - Relo</v>
          </cell>
          <cell r="F94" t="str">
            <v xml:space="preserve">                        Relocation - Strategy &amp; Product Mgmt</v>
          </cell>
        </row>
        <row r="95">
          <cell r="A95" t="str">
            <v>01-434000-0530-0400</v>
          </cell>
          <cell r="B95" t="str">
            <v>530</v>
          </cell>
          <cell r="C95" t="str">
            <v>cust supp</v>
          </cell>
          <cell r="D95" t="str">
            <v>3 - Relo</v>
          </cell>
          <cell r="F95" t="str">
            <v xml:space="preserve">                        Relocation - Client Relations</v>
          </cell>
        </row>
        <row r="96">
          <cell r="A96" t="str">
            <v>01-434000-0705-0400</v>
          </cell>
          <cell r="B96" t="str">
            <v>705</v>
          </cell>
          <cell r="C96" t="str">
            <v>tech svc</v>
          </cell>
          <cell r="D96" t="str">
            <v>3 - Relo</v>
          </cell>
          <cell r="F96" t="str">
            <v xml:space="preserve">                        Relocation - T.S. Management</v>
          </cell>
        </row>
        <row r="97">
          <cell r="A97" t="str">
            <v>01-434000-0750-0400</v>
          </cell>
          <cell r="B97" t="str">
            <v>750</v>
          </cell>
          <cell r="C97" t="str">
            <v>tech svc</v>
          </cell>
          <cell r="D97" t="str">
            <v>3 - Relo</v>
          </cell>
          <cell r="F97" t="str">
            <v xml:space="preserve">                        Relocation - Info Systems</v>
          </cell>
        </row>
        <row r="98">
          <cell r="A98" t="str">
            <v>01-434000-0755-0400</v>
          </cell>
          <cell r="B98" t="str">
            <v>755</v>
          </cell>
          <cell r="C98" t="str">
            <v>tech svc</v>
          </cell>
          <cell r="D98" t="str">
            <v>3 - Relo</v>
          </cell>
          <cell r="F98" t="str">
            <v xml:space="preserve">                        Relocation - Info Tech</v>
          </cell>
        </row>
        <row r="99">
          <cell r="A99" t="str">
            <v>01-435000-0110-0500</v>
          </cell>
          <cell r="B99" t="str">
            <v>110</v>
          </cell>
          <cell r="C99" t="str">
            <v>fin</v>
          </cell>
          <cell r="D99" t="str">
            <v>4 - bonus</v>
          </cell>
          <cell r="F99" t="str">
            <v xml:space="preserve">                        Bonus - Administration</v>
          </cell>
        </row>
        <row r="100">
          <cell r="A100" t="str">
            <v>01-435000-0120-0500</v>
          </cell>
          <cell r="B100" t="str">
            <v>120</v>
          </cell>
          <cell r="C100" t="str">
            <v>fin</v>
          </cell>
          <cell r="D100" t="str">
            <v>4 - bonus</v>
          </cell>
          <cell r="F100" t="str">
            <v xml:space="preserve">                        Bonus - Acct &amp; Finance</v>
          </cell>
        </row>
        <row r="101">
          <cell r="A101" t="str">
            <v>01-435000-0135-0500</v>
          </cell>
          <cell r="B101" t="str">
            <v>135</v>
          </cell>
          <cell r="C101" t="str">
            <v>fin</v>
          </cell>
          <cell r="D101" t="str">
            <v>4 - bonus</v>
          </cell>
          <cell r="F101" t="str">
            <v xml:space="preserve">                        Bonus - HR</v>
          </cell>
        </row>
        <row r="102">
          <cell r="A102" t="str">
            <v>01-435000-0215-0500</v>
          </cell>
          <cell r="B102" t="str">
            <v>215</v>
          </cell>
          <cell r="C102" t="str">
            <v>sales</v>
          </cell>
          <cell r="D102" t="str">
            <v>4 - bonus</v>
          </cell>
          <cell r="F102" t="str">
            <v xml:space="preserve">                        Bonus - Qualifiers</v>
          </cell>
        </row>
        <row r="103">
          <cell r="A103" t="str">
            <v>01-435000-0220-0500</v>
          </cell>
          <cell r="B103" t="str">
            <v>220</v>
          </cell>
          <cell r="C103" t="str">
            <v>sales</v>
          </cell>
          <cell r="D103" t="str">
            <v>4 - bonus</v>
          </cell>
          <cell r="F103" t="str">
            <v xml:space="preserve">                        Bonus - Marketing</v>
          </cell>
        </row>
        <row r="104">
          <cell r="A104" t="str">
            <v>01-435000-0235-0500</v>
          </cell>
          <cell r="B104" t="str">
            <v>235</v>
          </cell>
          <cell r="C104" t="str">
            <v>sales</v>
          </cell>
          <cell r="D104" t="str">
            <v>4 - bonus</v>
          </cell>
          <cell r="F104" t="str">
            <v xml:space="preserve">                        Bonus - Sales Operations</v>
          </cell>
        </row>
        <row r="105">
          <cell r="A105" t="str">
            <v>01-435000-0310-0500</v>
          </cell>
          <cell r="B105" t="str">
            <v>310</v>
          </cell>
          <cell r="C105" t="str">
            <v>cust supp</v>
          </cell>
          <cell r="D105" t="str">
            <v>4 - bonus</v>
          </cell>
          <cell r="F105" t="str">
            <v xml:space="preserve">                        Bonus - Support Admin</v>
          </cell>
        </row>
        <row r="106">
          <cell r="A106" t="str">
            <v>01-435000-0340-0500</v>
          </cell>
          <cell r="B106" t="str">
            <v>340</v>
          </cell>
          <cell r="C106" t="str">
            <v>cust supp</v>
          </cell>
          <cell r="D106" t="str">
            <v>4 - bonus</v>
          </cell>
          <cell r="F106" t="str">
            <v xml:space="preserve">                        Bonus - Cust Supp FAS</v>
          </cell>
        </row>
        <row r="107">
          <cell r="A107" t="str">
            <v>01-435000-0345-0500</v>
          </cell>
          <cell r="B107" t="str">
            <v>345</v>
          </cell>
          <cell r="C107" t="str">
            <v>cust supp</v>
          </cell>
          <cell r="D107" t="str">
            <v>4 - bonus</v>
          </cell>
          <cell r="F107" t="str">
            <v xml:space="preserve">                        Bonus - Support FAS Consultants</v>
          </cell>
        </row>
        <row r="108">
          <cell r="A108" t="str">
            <v>01-435000-0440-0500</v>
          </cell>
          <cell r="B108" t="str">
            <v>440</v>
          </cell>
          <cell r="C108" t="str">
            <v>prod dev</v>
          </cell>
          <cell r="D108" t="str">
            <v>4 - bonus</v>
          </cell>
          <cell r="F108" t="str">
            <v xml:space="preserve">                        Bonus - Prod Program - FAS</v>
          </cell>
        </row>
        <row r="109">
          <cell r="A109" t="str">
            <v>01-435000-0705-0500</v>
          </cell>
          <cell r="B109" t="str">
            <v>705</v>
          </cell>
          <cell r="C109" t="str">
            <v>tech svc</v>
          </cell>
          <cell r="D109" t="str">
            <v>4 - bonus</v>
          </cell>
          <cell r="F109" t="str">
            <v xml:space="preserve">                        Bonus - T.S. Mgmt</v>
          </cell>
        </row>
        <row r="110">
          <cell r="A110" t="str">
            <v>01-435000-0720-0500</v>
          </cell>
          <cell r="B110" t="str">
            <v>720</v>
          </cell>
          <cell r="C110" t="str">
            <v>cust supp</v>
          </cell>
          <cell r="D110" t="str">
            <v>4 - bonus</v>
          </cell>
          <cell r="F110" t="str">
            <v xml:space="preserve">                        Bonus - Conversion</v>
          </cell>
        </row>
        <row r="111">
          <cell r="A111" t="str">
            <v>01-435000-0750-0500</v>
          </cell>
          <cell r="B111" t="str">
            <v>750</v>
          </cell>
          <cell r="C111" t="str">
            <v>tech svc</v>
          </cell>
          <cell r="D111" t="str">
            <v>4 - bonus</v>
          </cell>
          <cell r="F111" t="str">
            <v xml:space="preserve">                        Bonus - Information Systems</v>
          </cell>
        </row>
        <row r="112">
          <cell r="A112" t="str">
            <v>01-435000-0755-0500</v>
          </cell>
          <cell r="B112" t="str">
            <v>755</v>
          </cell>
          <cell r="C112" t="str">
            <v>tech svc</v>
          </cell>
          <cell r="D112" t="str">
            <v>4 - bonus</v>
          </cell>
          <cell r="F112" t="str">
            <v xml:space="preserve">                        Bonus - Info Tech</v>
          </cell>
        </row>
        <row r="113">
          <cell r="A113" t="str">
            <v>01-436104-0130-0110</v>
          </cell>
          <cell r="B113" t="str">
            <v>130</v>
          </cell>
          <cell r="C113" t="str">
            <v>fin</v>
          </cell>
          <cell r="D113" t="str">
            <v>5 - bene</v>
          </cell>
          <cell r="F113" t="str">
            <v xml:space="preserve">                        Employers FICA liability</v>
          </cell>
        </row>
        <row r="114">
          <cell r="A114" t="str">
            <v>01-436205-0130-0110</v>
          </cell>
          <cell r="B114" t="str">
            <v>130</v>
          </cell>
          <cell r="C114" t="str">
            <v>fin</v>
          </cell>
          <cell r="D114" t="str">
            <v>5 - bene</v>
          </cell>
          <cell r="F114" t="str">
            <v xml:space="preserve">                        Medicare Taxes Liability</v>
          </cell>
        </row>
        <row r="115">
          <cell r="A115" t="str">
            <v>01-436410-0130-0110</v>
          </cell>
          <cell r="B115" t="str">
            <v>130</v>
          </cell>
          <cell r="C115" t="str">
            <v>fin</v>
          </cell>
          <cell r="D115" t="str">
            <v>5 - bene</v>
          </cell>
          <cell r="F115" t="str">
            <v xml:space="preserve">                              Federal Unemployment</v>
          </cell>
        </row>
        <row r="116">
          <cell r="A116" t="str">
            <v>01-436415-0130-0110</v>
          </cell>
          <cell r="B116" t="str">
            <v>130</v>
          </cell>
          <cell r="C116" t="str">
            <v>fin</v>
          </cell>
          <cell r="D116" t="str">
            <v>5 - bene</v>
          </cell>
          <cell r="F116" t="str">
            <v xml:space="preserve">                              IL Unemployment</v>
          </cell>
        </row>
        <row r="117">
          <cell r="A117" t="str">
            <v>01-436416-0130-0110</v>
          </cell>
          <cell r="B117" t="str">
            <v>130</v>
          </cell>
          <cell r="C117" t="str">
            <v>fin</v>
          </cell>
          <cell r="D117" t="str">
            <v>5 - bene</v>
          </cell>
          <cell r="F117" t="str">
            <v xml:space="preserve">                              FL Unemployment</v>
          </cell>
        </row>
        <row r="118">
          <cell r="A118" t="str">
            <v>01-436419-0130-0110</v>
          </cell>
          <cell r="B118" t="str">
            <v>130</v>
          </cell>
          <cell r="C118" t="str">
            <v>fin</v>
          </cell>
          <cell r="D118" t="str">
            <v>5 - bene</v>
          </cell>
          <cell r="F118" t="str">
            <v xml:space="preserve">                              OR Unemployment</v>
          </cell>
        </row>
        <row r="119">
          <cell r="A119" t="str">
            <v>01-436420-0130-0110</v>
          </cell>
          <cell r="B119" t="str">
            <v>130</v>
          </cell>
          <cell r="C119" t="str">
            <v>fin</v>
          </cell>
          <cell r="D119" t="str">
            <v>5 - bene</v>
          </cell>
          <cell r="F119" t="str">
            <v xml:space="preserve">                              NY Unemployment</v>
          </cell>
        </row>
        <row r="120">
          <cell r="A120" t="str">
            <v>01-436421-0130-0110</v>
          </cell>
          <cell r="B120" t="str">
            <v>130</v>
          </cell>
          <cell r="C120" t="str">
            <v>fin</v>
          </cell>
          <cell r="D120" t="str">
            <v>5 - bene</v>
          </cell>
          <cell r="F120" t="str">
            <v xml:space="preserve">                              VA Unemployment</v>
          </cell>
        </row>
        <row r="121">
          <cell r="A121" t="str">
            <v>01-436422-0130-0110</v>
          </cell>
          <cell r="B121" t="str">
            <v>130</v>
          </cell>
          <cell r="C121" t="str">
            <v>fin</v>
          </cell>
          <cell r="D121" t="str">
            <v>5 - bene</v>
          </cell>
          <cell r="F121" t="str">
            <v xml:space="preserve">                              TX Unemployment</v>
          </cell>
        </row>
        <row r="122">
          <cell r="A122" t="str">
            <v>01-436423-0130-0110</v>
          </cell>
          <cell r="B122" t="str">
            <v>130</v>
          </cell>
          <cell r="C122" t="str">
            <v>fin</v>
          </cell>
          <cell r="D122" t="str">
            <v>5 - bene</v>
          </cell>
          <cell r="F122" t="str">
            <v xml:space="preserve">                              AL Unemployment</v>
          </cell>
        </row>
        <row r="123">
          <cell r="A123" t="str">
            <v>01-436424-0130-0110</v>
          </cell>
          <cell r="B123" t="str">
            <v>130</v>
          </cell>
          <cell r="C123" t="str">
            <v>fin</v>
          </cell>
          <cell r="D123" t="str">
            <v>5 - bene</v>
          </cell>
          <cell r="F123" t="str">
            <v xml:space="preserve">                              AL-Birmingham Occupational Tax</v>
          </cell>
        </row>
        <row r="124">
          <cell r="A124" t="str">
            <v>01-436425-0130-0110</v>
          </cell>
          <cell r="B124" t="str">
            <v>130</v>
          </cell>
          <cell r="C124" t="str">
            <v>fin</v>
          </cell>
          <cell r="D124" t="str">
            <v>5 - bene</v>
          </cell>
          <cell r="F124" t="str">
            <v xml:space="preserve">                              SC Unemployment</v>
          </cell>
        </row>
        <row r="125">
          <cell r="A125" t="str">
            <v>01-436426-0130-0110</v>
          </cell>
          <cell r="B125" t="str">
            <v>130</v>
          </cell>
          <cell r="C125" t="str">
            <v>fin</v>
          </cell>
          <cell r="D125" t="str">
            <v>5 - bene</v>
          </cell>
          <cell r="F125" t="str">
            <v xml:space="preserve">                              OR Tri-Met Transit Tax</v>
          </cell>
        </row>
        <row r="126">
          <cell r="A126" t="str">
            <v>01-436427-0130-0110</v>
          </cell>
          <cell r="B126" t="str">
            <v>130</v>
          </cell>
          <cell r="C126" t="str">
            <v>fin</v>
          </cell>
          <cell r="D126" t="str">
            <v>5 - bene</v>
          </cell>
          <cell r="F126" t="str">
            <v xml:space="preserve">                              AK Employer Unemployment</v>
          </cell>
        </row>
        <row r="127">
          <cell r="A127" t="str">
            <v>01-436428-0130-0110</v>
          </cell>
          <cell r="B127" t="str">
            <v>130</v>
          </cell>
          <cell r="C127" t="str">
            <v>fin</v>
          </cell>
          <cell r="D127" t="str">
            <v>5 - bene</v>
          </cell>
          <cell r="F127" t="str">
            <v xml:space="preserve">                              TN Unemployment</v>
          </cell>
        </row>
        <row r="128">
          <cell r="A128" t="str">
            <v>01-436429-0130-0110</v>
          </cell>
          <cell r="B128" t="str">
            <v>130</v>
          </cell>
          <cell r="C128" t="str">
            <v>fin</v>
          </cell>
          <cell r="D128" t="str">
            <v>5 - bene</v>
          </cell>
          <cell r="F128" t="str">
            <v xml:space="preserve">                              UT Unemployment</v>
          </cell>
        </row>
        <row r="129">
          <cell r="A129" t="str">
            <v>01-436431-0130-0110</v>
          </cell>
          <cell r="B129" t="str">
            <v>130</v>
          </cell>
          <cell r="C129" t="str">
            <v>fin</v>
          </cell>
          <cell r="D129" t="str">
            <v>5 - bene</v>
          </cell>
          <cell r="F129" t="str">
            <v xml:space="preserve">                              AZ Unemployment</v>
          </cell>
        </row>
        <row r="130">
          <cell r="A130" t="str">
            <v>01-436432-0130-0110</v>
          </cell>
          <cell r="B130" t="str">
            <v>130</v>
          </cell>
          <cell r="C130" t="str">
            <v>fin</v>
          </cell>
          <cell r="D130" t="str">
            <v>5 - bene</v>
          </cell>
          <cell r="F130" t="str">
            <v xml:space="preserve">                              DC Unemployment</v>
          </cell>
        </row>
        <row r="131">
          <cell r="A131" t="str">
            <v>01-436433-0130-0110</v>
          </cell>
          <cell r="B131" t="str">
            <v>130</v>
          </cell>
          <cell r="C131" t="str">
            <v>fin</v>
          </cell>
          <cell r="D131" t="str">
            <v>5 - bene</v>
          </cell>
          <cell r="F131" t="str">
            <v xml:space="preserve">                              CT Unemployment</v>
          </cell>
        </row>
        <row r="132">
          <cell r="A132" t="str">
            <v>01-436434-0130-0110</v>
          </cell>
          <cell r="B132" t="str">
            <v>130</v>
          </cell>
          <cell r="C132" t="str">
            <v>fin</v>
          </cell>
          <cell r="D132" t="str">
            <v>5 - bene</v>
          </cell>
          <cell r="F132" t="str">
            <v xml:space="preserve">                              NC Unemployment</v>
          </cell>
        </row>
        <row r="133">
          <cell r="A133" t="str">
            <v>01-436435-0130-0110</v>
          </cell>
          <cell r="B133" t="str">
            <v>130</v>
          </cell>
          <cell r="C133" t="str">
            <v>fin</v>
          </cell>
          <cell r="D133" t="str">
            <v>5 - bene</v>
          </cell>
          <cell r="F133" t="str">
            <v xml:space="preserve">                              CA Unemployment</v>
          </cell>
        </row>
        <row r="134">
          <cell r="A134" t="str">
            <v>01-436440-0130-0110</v>
          </cell>
          <cell r="B134" t="str">
            <v>130</v>
          </cell>
          <cell r="C134" t="str">
            <v>fin</v>
          </cell>
          <cell r="D134" t="str">
            <v>5 - bene</v>
          </cell>
          <cell r="F134" t="str">
            <v xml:space="preserve">                              IN Unemployment</v>
          </cell>
        </row>
        <row r="135">
          <cell r="A135" t="str">
            <v>01-436441-0130-0110</v>
          </cell>
          <cell r="B135" t="str">
            <v>130</v>
          </cell>
          <cell r="C135" t="str">
            <v>fin</v>
          </cell>
          <cell r="D135" t="str">
            <v>5 - bene</v>
          </cell>
          <cell r="F135" t="str">
            <v xml:space="preserve">                              NJ Unemployment</v>
          </cell>
        </row>
        <row r="136">
          <cell r="A136" t="str">
            <v>01-436442-0130-0110</v>
          </cell>
          <cell r="B136" t="str">
            <v>130</v>
          </cell>
          <cell r="C136" t="str">
            <v>fin</v>
          </cell>
          <cell r="D136" t="str">
            <v>5 - bene</v>
          </cell>
          <cell r="F136" t="str">
            <v xml:space="preserve">                              NJ SDI</v>
          </cell>
        </row>
        <row r="137">
          <cell r="A137" t="str">
            <v>01-436455-0130-0110</v>
          </cell>
          <cell r="B137" t="str">
            <v>130</v>
          </cell>
          <cell r="C137" t="str">
            <v>fin</v>
          </cell>
          <cell r="D137" t="str">
            <v>5 - bene</v>
          </cell>
          <cell r="F137" t="str">
            <v xml:space="preserve">                              PA Unemployment</v>
          </cell>
        </row>
        <row r="138">
          <cell r="A138" t="str">
            <v>01-436495-0130-0110</v>
          </cell>
          <cell r="B138" t="str">
            <v>130</v>
          </cell>
          <cell r="C138" t="str">
            <v>fin</v>
          </cell>
          <cell r="D138" t="str">
            <v>5 - bene</v>
          </cell>
          <cell r="F138" t="str">
            <v xml:space="preserve">                        401(k) Discretionary Match</v>
          </cell>
        </row>
        <row r="139">
          <cell r="A139" t="str">
            <v>01-436500-0130-0110</v>
          </cell>
          <cell r="B139" t="str">
            <v>130</v>
          </cell>
          <cell r="C139" t="str">
            <v>fin</v>
          </cell>
          <cell r="D139" t="str">
            <v>5 - bene</v>
          </cell>
          <cell r="F139" t="str">
            <v xml:space="preserve">                        401(k) Employer Contribution</v>
          </cell>
        </row>
        <row r="140">
          <cell r="A140" t="str">
            <v>01-436600-0130-0110</v>
          </cell>
          <cell r="B140" t="str">
            <v>130</v>
          </cell>
          <cell r="C140" t="str">
            <v>fin</v>
          </cell>
          <cell r="D140" t="str">
            <v>5 - bene</v>
          </cell>
          <cell r="F140" t="str">
            <v xml:space="preserve">                        401(k) Administration</v>
          </cell>
        </row>
        <row r="141">
          <cell r="A141" t="str">
            <v>01-436700-0130-0110</v>
          </cell>
          <cell r="B141" t="str">
            <v>130</v>
          </cell>
          <cell r="C141" t="str">
            <v>fin</v>
          </cell>
          <cell r="D141" t="str">
            <v>5 - bene</v>
          </cell>
          <cell r="F141" t="str">
            <v xml:space="preserve">                              Employee Benefits/Health</v>
          </cell>
        </row>
        <row r="142">
          <cell r="A142" t="str">
            <v>01-436710-0130-0110</v>
          </cell>
          <cell r="B142" t="str">
            <v>130</v>
          </cell>
          <cell r="C142" t="str">
            <v>fin</v>
          </cell>
          <cell r="D142" t="str">
            <v>5 - bene</v>
          </cell>
          <cell r="F142" t="str">
            <v xml:space="preserve">                              Health Benefits-Contributory</v>
          </cell>
        </row>
        <row r="143">
          <cell r="A143" t="str">
            <v>01-436720-0130-0110</v>
          </cell>
          <cell r="B143" t="str">
            <v>130</v>
          </cell>
          <cell r="C143" t="str">
            <v>fin</v>
          </cell>
          <cell r="D143" t="str">
            <v>5 - bene</v>
          </cell>
          <cell r="F143" t="str">
            <v xml:space="preserve">                              Health Benefits -Termed Empl's</v>
          </cell>
        </row>
        <row r="144">
          <cell r="A144" t="str">
            <v>01-436730-0130-0110</v>
          </cell>
          <cell r="B144" t="str">
            <v>130</v>
          </cell>
          <cell r="C144" t="str">
            <v>fin</v>
          </cell>
          <cell r="D144" t="str">
            <v>5 - bene</v>
          </cell>
          <cell r="F144" t="str">
            <v xml:space="preserve">                              Employee Benefits-Disab/Life</v>
          </cell>
        </row>
        <row r="145">
          <cell r="A145" t="str">
            <v>01-436740-0130-0110</v>
          </cell>
          <cell r="B145" t="str">
            <v>130</v>
          </cell>
          <cell r="C145" t="str">
            <v>fin</v>
          </cell>
          <cell r="D145" t="str">
            <v>5 - bene</v>
          </cell>
          <cell r="F145" t="str">
            <v xml:space="preserve">                              Employee Wellness Programs</v>
          </cell>
        </row>
        <row r="146">
          <cell r="A146" t="str">
            <v>01-436741-0140-0100</v>
          </cell>
          <cell r="B146" t="str">
            <v>140</v>
          </cell>
          <cell r="C146" t="str">
            <v>fin</v>
          </cell>
          <cell r="D146" t="str">
            <v>5 - bene</v>
          </cell>
          <cell r="F146" t="str">
            <v xml:space="preserve">                              Supplies for Wellness Center</v>
          </cell>
        </row>
        <row r="147">
          <cell r="A147" t="str">
            <v>01-436750-0130-0110</v>
          </cell>
          <cell r="B147" t="str">
            <v>130</v>
          </cell>
          <cell r="C147" t="str">
            <v>fin</v>
          </cell>
          <cell r="D147" t="str">
            <v>5 - bene</v>
          </cell>
          <cell r="F147" t="str">
            <v xml:space="preserve">                              FSP Administration</v>
          </cell>
        </row>
        <row r="148">
          <cell r="A148" t="str">
            <v>01-436811-0130-0110</v>
          </cell>
          <cell r="B148" t="str">
            <v>130</v>
          </cell>
          <cell r="C148" t="str">
            <v>fin</v>
          </cell>
          <cell r="D148" t="str">
            <v>5 - bene</v>
          </cell>
          <cell r="F148" t="str">
            <v xml:space="preserve">                              Insurance - Worker's Comp</v>
          </cell>
        </row>
        <row r="149">
          <cell r="A149" t="str">
            <v>01-436911-0105-0100</v>
          </cell>
          <cell r="B149" t="str">
            <v>105</v>
          </cell>
          <cell r="C149" t="str">
            <v>fin</v>
          </cell>
          <cell r="D149" t="str">
            <v>5 - bene</v>
          </cell>
          <cell r="E149" t="str">
            <v>bene alloc</v>
          </cell>
          <cell r="F149" t="str">
            <v xml:space="preserve">                              Benefit Alloc - Customer Service</v>
          </cell>
        </row>
        <row r="150">
          <cell r="A150" t="str">
            <v>01-436912-0110-0100</v>
          </cell>
          <cell r="B150" t="str">
            <v>110</v>
          </cell>
          <cell r="C150" t="str">
            <v>fin</v>
          </cell>
          <cell r="D150" t="str">
            <v>5 - bene</v>
          </cell>
          <cell r="E150" t="str">
            <v>bene alloc</v>
          </cell>
          <cell r="F150" t="str">
            <v xml:space="preserve">                              Benefit Alloc - Admin</v>
          </cell>
        </row>
        <row r="151">
          <cell r="A151" t="str">
            <v>01-436913-0120-0100</v>
          </cell>
          <cell r="B151" t="str">
            <v>120</v>
          </cell>
          <cell r="C151" t="str">
            <v>fin</v>
          </cell>
          <cell r="D151" t="str">
            <v>5 - bene</v>
          </cell>
          <cell r="E151" t="str">
            <v>bene alloc</v>
          </cell>
          <cell r="F151" t="str">
            <v xml:space="preserve">                              Benefit Alloc -  Act &amp; Fin</v>
          </cell>
        </row>
        <row r="152">
          <cell r="A152" t="str">
            <v>01-436916-0135-0100</v>
          </cell>
          <cell r="B152" t="str">
            <v>135</v>
          </cell>
          <cell r="C152" t="str">
            <v>fin</v>
          </cell>
          <cell r="D152" t="str">
            <v>5 - bene</v>
          </cell>
          <cell r="E152" t="str">
            <v>bene alloc</v>
          </cell>
          <cell r="F152" t="str">
            <v xml:space="preserve">                              Benefit Alloc - HR</v>
          </cell>
        </row>
        <row r="153">
          <cell r="A153" t="str">
            <v>01-436919-0275-0200</v>
          </cell>
          <cell r="B153" t="str">
            <v>275</v>
          </cell>
          <cell r="C153" t="str">
            <v>sales</v>
          </cell>
          <cell r="D153" t="str">
            <v>5 - bene</v>
          </cell>
          <cell r="E153" t="str">
            <v>bene alloc</v>
          </cell>
          <cell r="F153" t="str">
            <v xml:space="preserve">                              Benefit Alloc - Sales AFN</v>
          </cell>
        </row>
        <row r="154">
          <cell r="A154" t="str">
            <v>01-436920-0210-0200</v>
          </cell>
          <cell r="B154" t="str">
            <v>210</v>
          </cell>
          <cell r="C154" t="str">
            <v>sales</v>
          </cell>
          <cell r="D154" t="str">
            <v>5 - bene</v>
          </cell>
          <cell r="E154" t="str">
            <v>bene alloc</v>
          </cell>
          <cell r="F154" t="str">
            <v xml:space="preserve">                              Benefit Alloc - Sls &amp; Mktg Mgt</v>
          </cell>
        </row>
        <row r="155">
          <cell r="A155" t="str">
            <v>01-436921-0220-0230</v>
          </cell>
          <cell r="B155" t="str">
            <v>220</v>
          </cell>
          <cell r="C155" t="str">
            <v>sales</v>
          </cell>
          <cell r="D155" t="str">
            <v>5 - bene</v>
          </cell>
          <cell r="E155" t="str">
            <v>bene alloc</v>
          </cell>
          <cell r="F155" t="str">
            <v xml:space="preserve">                              Benefit Alloc - Marketing</v>
          </cell>
        </row>
        <row r="156">
          <cell r="A156" t="str">
            <v>01-436922-0225-0200</v>
          </cell>
          <cell r="B156" t="str">
            <v>225</v>
          </cell>
          <cell r="C156" t="str">
            <v>sales</v>
          </cell>
          <cell r="D156" t="str">
            <v>5 - bene</v>
          </cell>
          <cell r="E156" t="str">
            <v>bene alloc</v>
          </cell>
          <cell r="F156" t="str">
            <v xml:space="preserve">                              Benefit Alloc - Inside Sales - Comeau</v>
          </cell>
        </row>
        <row r="157">
          <cell r="A157" t="str">
            <v>01-436923-0235-0200</v>
          </cell>
          <cell r="B157" t="str">
            <v>235</v>
          </cell>
          <cell r="C157" t="str">
            <v>sales</v>
          </cell>
          <cell r="D157" t="str">
            <v>5 - bene</v>
          </cell>
          <cell r="E157" t="str">
            <v>bene alloc</v>
          </cell>
          <cell r="F157" t="str">
            <v xml:space="preserve">                              Benefit Alloc - Sales Operations</v>
          </cell>
        </row>
        <row r="158">
          <cell r="A158" t="str">
            <v>01-436924-0245-0200</v>
          </cell>
          <cell r="B158" t="str">
            <v>245</v>
          </cell>
          <cell r="C158" t="str">
            <v>sales</v>
          </cell>
          <cell r="D158" t="str">
            <v>5 - bene</v>
          </cell>
          <cell r="E158" t="str">
            <v>bene alloc</v>
          </cell>
          <cell r="F158" t="str">
            <v xml:space="preserve">                              Benefit Alloc - Sales Reg 1- Catanzarite</v>
          </cell>
        </row>
        <row r="159">
          <cell r="A159" t="str">
            <v>01-436925-0255-0200</v>
          </cell>
          <cell r="B159" t="str">
            <v>255</v>
          </cell>
          <cell r="C159" t="str">
            <v>sales</v>
          </cell>
          <cell r="D159" t="str">
            <v>5 - bene</v>
          </cell>
          <cell r="E159" t="str">
            <v>bene alloc</v>
          </cell>
          <cell r="F159" t="str">
            <v xml:space="preserve">                              Benefit Alloc - Sales Region 2</v>
          </cell>
        </row>
        <row r="160">
          <cell r="A160" t="str">
            <v>01-436926-0415-0400</v>
          </cell>
          <cell r="B160" t="str">
            <v>415</v>
          </cell>
          <cell r="C160" t="str">
            <v>prod dev</v>
          </cell>
          <cell r="D160" t="str">
            <v>5 - bene</v>
          </cell>
          <cell r="E160" t="str">
            <v>bene alloc</v>
          </cell>
          <cell r="F160" t="str">
            <v xml:space="preserve">                              Benefit Alloc - Prod Design - SAS</v>
          </cell>
        </row>
        <row r="161">
          <cell r="A161" t="str">
            <v>01-436927-0305-0300</v>
          </cell>
          <cell r="B161" t="str">
            <v>305</v>
          </cell>
          <cell r="C161" t="str">
            <v>cust supp</v>
          </cell>
          <cell r="D161" t="str">
            <v>5 - bene</v>
          </cell>
          <cell r="E161" t="str">
            <v>bene alloc</v>
          </cell>
          <cell r="F161" t="str">
            <v xml:space="preserve">                              Benefit Alloc - Cust Supp Mgmt</v>
          </cell>
        </row>
        <row r="162">
          <cell r="A162" t="str">
            <v>01-436930-0310-0300</v>
          </cell>
          <cell r="B162" t="str">
            <v>310</v>
          </cell>
          <cell r="C162" t="str">
            <v>cust supp</v>
          </cell>
          <cell r="D162" t="str">
            <v>5 - bene</v>
          </cell>
          <cell r="E162" t="str">
            <v>bene alloc</v>
          </cell>
          <cell r="F162" t="str">
            <v xml:space="preserve">                              Benefit Alloc - Cust Supp Admin</v>
          </cell>
        </row>
        <row r="163">
          <cell r="A163" t="str">
            <v>01-436931-0315-0300</v>
          </cell>
          <cell r="B163" t="str">
            <v>315</v>
          </cell>
          <cell r="C163" t="str">
            <v>prod dev</v>
          </cell>
          <cell r="D163" t="str">
            <v>5 - bene</v>
          </cell>
          <cell r="E163" t="str">
            <v>bene alloc</v>
          </cell>
          <cell r="F163" t="str">
            <v xml:space="preserve">                              Benefit Alloc - Multimedia Support</v>
          </cell>
        </row>
        <row r="164">
          <cell r="A164" t="str">
            <v>01-436932-0320-0300</v>
          </cell>
          <cell r="B164" t="str">
            <v>320</v>
          </cell>
          <cell r="C164" t="str">
            <v>cust supp</v>
          </cell>
          <cell r="D164" t="str">
            <v>5 - bene</v>
          </cell>
          <cell r="E164" t="str">
            <v>bene alloc</v>
          </cell>
          <cell r="F164" t="str">
            <v xml:space="preserve">                              Benefit Alloc - Support  SAS</v>
          </cell>
        </row>
        <row r="165">
          <cell r="A165" t="str">
            <v>01-436933-0325-0300</v>
          </cell>
          <cell r="B165" t="str">
            <v>325</v>
          </cell>
          <cell r="C165" t="str">
            <v>cust supp</v>
          </cell>
          <cell r="D165" t="str">
            <v>5 - bene</v>
          </cell>
          <cell r="E165" t="str">
            <v>bene alloc</v>
          </cell>
          <cell r="F165" t="str">
            <v xml:space="preserve">                              Benefit Alloc - Tech Support</v>
          </cell>
        </row>
        <row r="166">
          <cell r="A166" t="str">
            <v>01-436934-0330-0300</v>
          </cell>
          <cell r="B166" t="str">
            <v>330</v>
          </cell>
          <cell r="C166" t="str">
            <v>cust supp</v>
          </cell>
          <cell r="D166" t="str">
            <v>5 - bene</v>
          </cell>
          <cell r="E166" t="str">
            <v>bene alloc</v>
          </cell>
          <cell r="F166" t="str">
            <v xml:space="preserve">                              Benefit Alloc - Cust Supp FRS</v>
          </cell>
        </row>
        <row r="167">
          <cell r="A167" t="str">
            <v>01-436935-0340-0300</v>
          </cell>
          <cell r="B167" t="str">
            <v>340</v>
          </cell>
          <cell r="C167" t="str">
            <v>cust supp</v>
          </cell>
          <cell r="D167" t="str">
            <v>5 - bene</v>
          </cell>
          <cell r="E167" t="str">
            <v>bene alloc</v>
          </cell>
          <cell r="F167" t="str">
            <v xml:space="preserve">                              Benefit Alloc - Cust Sup FAS</v>
          </cell>
        </row>
        <row r="168">
          <cell r="A168" t="str">
            <v>01-436936-0360-0300</v>
          </cell>
          <cell r="B168" t="str">
            <v>360</v>
          </cell>
          <cell r="C168" t="str">
            <v>cust supp</v>
          </cell>
          <cell r="D168" t="str">
            <v>5 - bene</v>
          </cell>
          <cell r="E168" t="str">
            <v>bene alloc</v>
          </cell>
          <cell r="F168" t="str">
            <v xml:space="preserve">                              Benefit Alloc - Support Education</v>
          </cell>
        </row>
        <row r="169">
          <cell r="A169" t="str">
            <v>01-436937-0435-0400</v>
          </cell>
          <cell r="B169" t="str">
            <v>435</v>
          </cell>
          <cell r="C169" t="str">
            <v>prod dev</v>
          </cell>
          <cell r="D169" t="str">
            <v>5 - bene</v>
          </cell>
          <cell r="E169" t="str">
            <v>bene alloc</v>
          </cell>
          <cell r="F169" t="str">
            <v xml:space="preserve">                              Benefit Alloc - Prod Program - SAS</v>
          </cell>
        </row>
        <row r="170">
          <cell r="A170" t="str">
            <v>01-436938-0405-0400</v>
          </cell>
          <cell r="B170" t="str">
            <v>405</v>
          </cell>
          <cell r="C170" t="str">
            <v>prod dev</v>
          </cell>
          <cell r="D170" t="str">
            <v>5 - bene</v>
          </cell>
          <cell r="E170" t="str">
            <v>bene alloc</v>
          </cell>
          <cell r="F170" t="str">
            <v xml:space="preserve">                              Benefit Alloc - Internet Technology</v>
          </cell>
        </row>
        <row r="171">
          <cell r="A171" t="str">
            <v>01-436939-0410-0400</v>
          </cell>
          <cell r="B171" t="str">
            <v>410</v>
          </cell>
          <cell r="C171" t="str">
            <v>prod dev</v>
          </cell>
          <cell r="D171" t="str">
            <v>5 - bene</v>
          </cell>
          <cell r="E171" t="str">
            <v>bene alloc</v>
          </cell>
          <cell r="F171" t="str">
            <v xml:space="preserve">                              Benefit Alloc - Prod Design - FRS</v>
          </cell>
        </row>
        <row r="172">
          <cell r="A172" t="str">
            <v>01-436940-0705-0400</v>
          </cell>
          <cell r="B172" t="str">
            <v>705</v>
          </cell>
          <cell r="C172" t="str">
            <v>tech svc</v>
          </cell>
          <cell r="D172" t="str">
            <v>5 - bene</v>
          </cell>
          <cell r="E172" t="str">
            <v>bene alloc</v>
          </cell>
          <cell r="F172" t="str">
            <v xml:space="preserve">                              Benefit Alloc - T.S. Mgmt</v>
          </cell>
        </row>
        <row r="173">
          <cell r="A173" t="str">
            <v>01-436941-0420-0400</v>
          </cell>
          <cell r="B173" t="str">
            <v>420</v>
          </cell>
          <cell r="C173" t="str">
            <v>prod dev</v>
          </cell>
          <cell r="D173" t="str">
            <v>5 - bene</v>
          </cell>
          <cell r="E173" t="str">
            <v>bene alloc</v>
          </cell>
          <cell r="F173" t="str">
            <v xml:space="preserve">                              Benefit Alloc - Product Design - FAS</v>
          </cell>
        </row>
        <row r="174">
          <cell r="A174" t="str">
            <v>01-436942-0430-0400</v>
          </cell>
          <cell r="B174" t="str">
            <v>430</v>
          </cell>
          <cell r="C174" t="str">
            <v>prod dev</v>
          </cell>
          <cell r="D174" t="str">
            <v>5 - bene</v>
          </cell>
          <cell r="E174" t="str">
            <v>bene alloc</v>
          </cell>
          <cell r="F174" t="str">
            <v xml:space="preserve">                              Benefit Alloc - Prod Program - FRS</v>
          </cell>
        </row>
        <row r="175">
          <cell r="A175" t="str">
            <v>01-436943-0440-0400</v>
          </cell>
          <cell r="B175" t="str">
            <v>440</v>
          </cell>
          <cell r="C175" t="str">
            <v>prod dev</v>
          </cell>
          <cell r="D175" t="str">
            <v>5 - bene</v>
          </cell>
          <cell r="E175" t="str">
            <v>bene alloc</v>
          </cell>
          <cell r="F175" t="str">
            <v xml:space="preserve">                              Benefit Alloc - Prod. Programming - FAS</v>
          </cell>
        </row>
        <row r="176">
          <cell r="A176" t="str">
            <v>01-436944-0750-0400</v>
          </cell>
          <cell r="B176" t="str">
            <v>750</v>
          </cell>
          <cell r="C176" t="str">
            <v>tech svc</v>
          </cell>
          <cell r="D176" t="str">
            <v>5 - bene</v>
          </cell>
          <cell r="E176" t="str">
            <v>bene alloc</v>
          </cell>
          <cell r="F176" t="str">
            <v xml:space="preserve">                              Benefit Alloc - Info Systems</v>
          </cell>
        </row>
        <row r="177">
          <cell r="A177" t="str">
            <v>01-436945-0755-0400</v>
          </cell>
          <cell r="B177" t="str">
            <v>755</v>
          </cell>
          <cell r="C177" t="str">
            <v>tech svc</v>
          </cell>
          <cell r="D177" t="str">
            <v>5 - bene</v>
          </cell>
          <cell r="E177" t="str">
            <v>bene alloc</v>
          </cell>
          <cell r="F177" t="str">
            <v xml:space="preserve">                              Benefit Alloc - Info Tech</v>
          </cell>
        </row>
        <row r="178">
          <cell r="A178" t="str">
            <v>01-436946-0460-0400</v>
          </cell>
          <cell r="B178" t="str">
            <v>460</v>
          </cell>
          <cell r="C178" t="str">
            <v>prod dev</v>
          </cell>
          <cell r="D178" t="str">
            <v>5 - bene</v>
          </cell>
          <cell r="E178" t="str">
            <v>bene alloc</v>
          </cell>
          <cell r="F178" t="str">
            <v xml:space="preserve">                              Benefit Alloc - Quality Assurance - FAS</v>
          </cell>
        </row>
        <row r="179">
          <cell r="A179" t="str">
            <v>01-436947-0470-0400</v>
          </cell>
          <cell r="B179" t="str">
            <v>470</v>
          </cell>
          <cell r="C179" t="str">
            <v>prod dev</v>
          </cell>
          <cell r="D179" t="str">
            <v>5 - bene</v>
          </cell>
          <cell r="E179" t="str">
            <v>bene alloc</v>
          </cell>
          <cell r="F179" t="str">
            <v xml:space="preserve">                              Benefit Alloc - Product Doc - FRS</v>
          </cell>
        </row>
        <row r="180">
          <cell r="A180" t="str">
            <v>01-436948-0480-0400</v>
          </cell>
          <cell r="B180" t="str">
            <v>480</v>
          </cell>
          <cell r="C180" t="str">
            <v>prod dev</v>
          </cell>
          <cell r="D180" t="str">
            <v>5 - bene</v>
          </cell>
          <cell r="E180" t="str">
            <v>bene alloc</v>
          </cell>
          <cell r="F180" t="str">
            <v xml:space="preserve">                              Benefit Alloc - Prod. Documentation - FAS</v>
          </cell>
        </row>
        <row r="181">
          <cell r="A181" t="str">
            <v>01-436949-0490-0400</v>
          </cell>
          <cell r="B181" t="str">
            <v>490</v>
          </cell>
          <cell r="C181" t="str">
            <v>prod dev</v>
          </cell>
          <cell r="D181" t="str">
            <v>5 - bene</v>
          </cell>
          <cell r="E181" t="str">
            <v>bene alloc</v>
          </cell>
          <cell r="F181" t="str">
            <v xml:space="preserve">                              Benefit Alloc - Prod. Dev. Mgmt.</v>
          </cell>
        </row>
        <row r="182">
          <cell r="A182" t="str">
            <v>01-436950-0495-0400</v>
          </cell>
          <cell r="B182" t="str">
            <v>495</v>
          </cell>
          <cell r="C182" t="str">
            <v>prod dev</v>
          </cell>
          <cell r="D182" t="str">
            <v>5 - bene</v>
          </cell>
          <cell r="E182" t="str">
            <v>bene alloc</v>
          </cell>
          <cell r="F182" t="str">
            <v xml:space="preserve">                              Benefit Alloc - Prod. Division Mgmt. - FAS</v>
          </cell>
        </row>
        <row r="183">
          <cell r="A183" t="str">
            <v>01-436951-0498-0400</v>
          </cell>
          <cell r="B183" t="str">
            <v>498</v>
          </cell>
          <cell r="C183" t="str">
            <v>prod dev</v>
          </cell>
          <cell r="D183" t="str">
            <v>5 - bene</v>
          </cell>
          <cell r="E183" t="str">
            <v>bene alloc</v>
          </cell>
          <cell r="F183" t="str">
            <v xml:space="preserve">                              Benefit Alloc - Prod Div Mgmt - FRS</v>
          </cell>
        </row>
        <row r="184">
          <cell r="A184" t="str">
            <v>01-436952-0496-0400</v>
          </cell>
          <cell r="B184" t="str">
            <v>496</v>
          </cell>
          <cell r="C184" t="str">
            <v>prod dev</v>
          </cell>
          <cell r="D184" t="str">
            <v>5 - bene</v>
          </cell>
          <cell r="E184" t="str">
            <v>bene alloc</v>
          </cell>
          <cell r="F184" t="str">
            <v xml:space="preserve">                              Benefit Alloc - Prod. Division - CT/R</v>
          </cell>
        </row>
        <row r="185">
          <cell r="A185" t="str">
            <v>01-436953-0497-0400</v>
          </cell>
          <cell r="B185" t="str">
            <v>497</v>
          </cell>
          <cell r="C185" t="str">
            <v>prod dev</v>
          </cell>
          <cell r="D185" t="str">
            <v>5 - bene</v>
          </cell>
          <cell r="E185" t="str">
            <v>bene alloc</v>
          </cell>
          <cell r="F185" t="str">
            <v xml:space="preserve">                              Benefit Alloc - Prod. Division - Prod Dir</v>
          </cell>
        </row>
        <row r="186">
          <cell r="A186" t="str">
            <v>01-436954-0499-0400</v>
          </cell>
          <cell r="B186" t="str">
            <v>499</v>
          </cell>
          <cell r="C186" t="str">
            <v>prod dev</v>
          </cell>
          <cell r="D186" t="str">
            <v>5 - bene</v>
          </cell>
          <cell r="E186" t="str">
            <v>bene alloc</v>
          </cell>
          <cell r="F186" t="str">
            <v xml:space="preserve">                              Benefit Alloc - Prod Div Mgmt - SAS</v>
          </cell>
        </row>
        <row r="187">
          <cell r="A187" t="str">
            <v>01-436955-0450-0400</v>
          </cell>
          <cell r="B187" t="str">
            <v>450</v>
          </cell>
          <cell r="C187" t="str">
            <v>prod dev</v>
          </cell>
          <cell r="D187" t="str">
            <v>5 - bene</v>
          </cell>
          <cell r="E187" t="str">
            <v>bene alloc</v>
          </cell>
          <cell r="F187" t="str">
            <v xml:space="preserve">                              Benefit Alloc - QA - FRS</v>
          </cell>
        </row>
        <row r="188">
          <cell r="A188" t="str">
            <v>01-436956-0455-0400</v>
          </cell>
          <cell r="B188" t="str">
            <v>455</v>
          </cell>
          <cell r="C188" t="str">
            <v>prod dev</v>
          </cell>
          <cell r="D188" t="str">
            <v>5 - bene</v>
          </cell>
          <cell r="E188" t="str">
            <v>bene alloc</v>
          </cell>
          <cell r="F188" t="str">
            <v xml:space="preserve">                              Benefit Alloc - QA - SAS</v>
          </cell>
        </row>
        <row r="189">
          <cell r="A189" t="str">
            <v>01-436957-0475-0400</v>
          </cell>
          <cell r="B189" t="str">
            <v>475</v>
          </cell>
          <cell r="C189" t="str">
            <v>prod dev</v>
          </cell>
          <cell r="D189" t="str">
            <v>5 - bene</v>
          </cell>
          <cell r="E189" t="str">
            <v>bene alloc</v>
          </cell>
          <cell r="F189" t="str">
            <v xml:space="preserve">                              Benefit Alloc - Product Doc - SAS</v>
          </cell>
        </row>
        <row r="190">
          <cell r="A190" t="str">
            <v>01-436959-0505-0500</v>
          </cell>
          <cell r="B190" t="str">
            <v>505</v>
          </cell>
          <cell r="C190" t="str">
            <v>strategy</v>
          </cell>
          <cell r="D190" t="str">
            <v>5 - bene</v>
          </cell>
          <cell r="E190" t="str">
            <v>bene alloc</v>
          </cell>
          <cell r="F190" t="str">
            <v xml:space="preserve">                              Benefit Alloc - Strategy &amp; Product Mgmt</v>
          </cell>
        </row>
        <row r="191">
          <cell r="A191" t="str">
            <v>01-436960-0510-0500</v>
          </cell>
          <cell r="B191" t="str">
            <v>510</v>
          </cell>
          <cell r="C191" t="str">
            <v>strategy</v>
          </cell>
          <cell r="D191" t="str">
            <v>5 - bene</v>
          </cell>
          <cell r="E191" t="str">
            <v>bene alloc</v>
          </cell>
          <cell r="F191" t="str">
            <v xml:space="preserve">                              Benefit Alloc - Market Research</v>
          </cell>
        </row>
        <row r="192">
          <cell r="A192" t="str">
            <v>01-436965-0530-0530</v>
          </cell>
          <cell r="B192" t="str">
            <v>530</v>
          </cell>
          <cell r="C192" t="str">
            <v>cust supp</v>
          </cell>
          <cell r="D192" t="str">
            <v>5 - bene</v>
          </cell>
          <cell r="E192" t="str">
            <v>bene alloc</v>
          </cell>
          <cell r="F192" t="str">
            <v xml:space="preserve">                              Benefit Alloc - Client Relations</v>
          </cell>
        </row>
        <row r="193">
          <cell r="A193" t="str">
            <v>01-436966-0370-0300</v>
          </cell>
          <cell r="B193" t="str">
            <v>370</v>
          </cell>
          <cell r="C193" t="str">
            <v>cust supp</v>
          </cell>
          <cell r="D193" t="str">
            <v>5 - bene</v>
          </cell>
          <cell r="E193" t="str">
            <v>bene alloc</v>
          </cell>
          <cell r="F193" t="str">
            <v xml:space="preserve">                              Benefit Alloc - Tech Consulting</v>
          </cell>
        </row>
        <row r="194">
          <cell r="A194" t="str">
            <v>01-436970-0730-0700</v>
          </cell>
          <cell r="B194" t="str">
            <v>730</v>
          </cell>
          <cell r="C194" t="str">
            <v>tech svc</v>
          </cell>
          <cell r="D194" t="str">
            <v>5 - bene</v>
          </cell>
          <cell r="E194" t="str">
            <v>bene alloc</v>
          </cell>
          <cell r="F194" t="str">
            <v xml:space="preserve">                              Benefit Alloc - Corporate Systems Support</v>
          </cell>
        </row>
        <row r="195">
          <cell r="A195" t="str">
            <v>01-436972-0720-0410</v>
          </cell>
          <cell r="B195" t="str">
            <v>720</v>
          </cell>
          <cell r="C195" t="str">
            <v>cust supp</v>
          </cell>
          <cell r="D195" t="str">
            <v>5 - bene</v>
          </cell>
          <cell r="E195" t="str">
            <v>bene alloc</v>
          </cell>
          <cell r="F195" t="str">
            <v xml:space="preserve">                              Benefit Alloc - Conversion</v>
          </cell>
        </row>
        <row r="196">
          <cell r="A196" t="str">
            <v>01-436974-0335-0300</v>
          </cell>
          <cell r="B196" t="str">
            <v>335</v>
          </cell>
          <cell r="C196" t="str">
            <v>cust supp</v>
          </cell>
          <cell r="D196" t="str">
            <v>5 - bene</v>
          </cell>
          <cell r="E196" t="str">
            <v>bene alloc</v>
          </cell>
          <cell r="F196" t="str">
            <v xml:space="preserve">                              Benefit Alloc - Support FRS Consultants</v>
          </cell>
        </row>
        <row r="197">
          <cell r="A197" t="str">
            <v>01-436975-0345-0300</v>
          </cell>
          <cell r="B197" t="str">
            <v>345</v>
          </cell>
          <cell r="C197" t="str">
            <v>cust supp</v>
          </cell>
          <cell r="D197" t="str">
            <v>5 - bene</v>
          </cell>
          <cell r="E197" t="str">
            <v>bene alloc</v>
          </cell>
          <cell r="F197" t="str">
            <v xml:space="preserve">                              Benefit Alloc - Support AFN Consultants</v>
          </cell>
        </row>
        <row r="198">
          <cell r="A198" t="str">
            <v>01-436977-0385-0300</v>
          </cell>
          <cell r="B198" t="str">
            <v>385</v>
          </cell>
          <cell r="C198" t="str">
            <v>cust supp</v>
          </cell>
          <cell r="D198" t="str">
            <v>5 - bene</v>
          </cell>
          <cell r="E198" t="str">
            <v>bene alloc</v>
          </cell>
          <cell r="F198" t="str">
            <v xml:space="preserve">                              **Benefit Alloc - Cust Support FM</v>
          </cell>
        </row>
        <row r="199">
          <cell r="A199" t="str">
            <v>01-436979-0355-0300</v>
          </cell>
          <cell r="B199" t="str">
            <v>355</v>
          </cell>
          <cell r="C199" t="str">
            <v>cust supp</v>
          </cell>
          <cell r="D199" t="str">
            <v>5 - bene</v>
          </cell>
          <cell r="E199" t="str">
            <v>bene alloc</v>
          </cell>
          <cell r="F199" t="str">
            <v xml:space="preserve">                              Benefit Alloc - Service Operations</v>
          </cell>
        </row>
        <row r="200">
          <cell r="A200" t="str">
            <v>01-436998-0130-0110</v>
          </cell>
          <cell r="B200" t="str">
            <v>130</v>
          </cell>
          <cell r="C200" t="str">
            <v>fin</v>
          </cell>
          <cell r="D200" t="str">
            <v>5 - bene</v>
          </cell>
          <cell r="E200" t="str">
            <v>bene alloc</v>
          </cell>
          <cell r="F200" t="str">
            <v xml:space="preserve">                              Benefit Alloc out to Depts</v>
          </cell>
        </row>
        <row r="201">
          <cell r="A201" t="str">
            <v>01-437150-0150-0110</v>
          </cell>
          <cell r="B201" t="str">
            <v>150</v>
          </cell>
          <cell r="C201" t="str">
            <v>fin</v>
          </cell>
          <cell r="D201" t="str">
            <v>51 - auto</v>
          </cell>
          <cell r="F201" t="str">
            <v xml:space="preserve">                        Car Lease/Taxes/Insurance</v>
          </cell>
        </row>
        <row r="202">
          <cell r="A202" t="str">
            <v>01-437152-0150-0110</v>
          </cell>
          <cell r="B202" t="str">
            <v>150</v>
          </cell>
          <cell r="C202" t="str">
            <v>fin</v>
          </cell>
          <cell r="D202" t="str">
            <v>51 - auto</v>
          </cell>
          <cell r="F202" t="str">
            <v xml:space="preserve">                        Car Lease for W-2</v>
          </cell>
        </row>
        <row r="203">
          <cell r="A203" t="str">
            <v>01-437155-0150-0110</v>
          </cell>
          <cell r="B203" t="str">
            <v>150</v>
          </cell>
          <cell r="C203" t="str">
            <v>fin</v>
          </cell>
          <cell r="D203" t="str">
            <v>51 - auto</v>
          </cell>
          <cell r="F203" t="str">
            <v xml:space="preserve">                        Car repairs/maintenance</v>
          </cell>
        </row>
        <row r="204">
          <cell r="A204" t="str">
            <v>01-437158-0150-0110</v>
          </cell>
          <cell r="B204" t="str">
            <v>150</v>
          </cell>
          <cell r="C204" t="str">
            <v>fin</v>
          </cell>
          <cell r="D204" t="str">
            <v>51 - auto</v>
          </cell>
          <cell r="F204" t="str">
            <v xml:space="preserve">                              Auto Alloc Out to departments</v>
          </cell>
        </row>
        <row r="205">
          <cell r="A205" t="str">
            <v>01-437190-0110-0100</v>
          </cell>
          <cell r="B205" t="str">
            <v>110</v>
          </cell>
          <cell r="C205" t="str">
            <v>fin</v>
          </cell>
          <cell r="D205" t="str">
            <v>51 - auto</v>
          </cell>
          <cell r="F205" t="str">
            <v xml:space="preserve">                              Auto Alloc - Admin</v>
          </cell>
        </row>
        <row r="206">
          <cell r="A206" t="str">
            <v>01-437191-0120-0100</v>
          </cell>
          <cell r="B206" t="str">
            <v>120</v>
          </cell>
          <cell r="C206" t="str">
            <v>fin</v>
          </cell>
          <cell r="D206" t="str">
            <v>51 - auto</v>
          </cell>
          <cell r="F206" t="str">
            <v xml:space="preserve">                              Auto Alloc - Acctg &amp; Fin. Exec</v>
          </cell>
        </row>
        <row r="207">
          <cell r="A207" t="str">
            <v>01-437192-0125-0100</v>
          </cell>
          <cell r="B207" t="str">
            <v>125</v>
          </cell>
          <cell r="C207" t="str">
            <v>fin</v>
          </cell>
          <cell r="D207" t="str">
            <v>51 - auto</v>
          </cell>
          <cell r="F207" t="str">
            <v xml:space="preserve">                              Auto Alloc - Executive Admin</v>
          </cell>
        </row>
        <row r="208">
          <cell r="A208" t="str">
            <v>01-437193-0135-0100</v>
          </cell>
          <cell r="B208" t="str">
            <v>135</v>
          </cell>
          <cell r="C208" t="str">
            <v>fin</v>
          </cell>
          <cell r="D208" t="str">
            <v>51 - auto</v>
          </cell>
          <cell r="F208" t="str">
            <v xml:space="preserve">                              Auto Alloc - HR</v>
          </cell>
        </row>
        <row r="209">
          <cell r="A209" t="str">
            <v>01-437215-0210-0200</v>
          </cell>
          <cell r="B209" t="str">
            <v>210</v>
          </cell>
          <cell r="C209" t="str">
            <v>sales</v>
          </cell>
          <cell r="D209" t="str">
            <v>51 - auto</v>
          </cell>
          <cell r="F209" t="str">
            <v xml:space="preserve">                              Auto Alloc - Sales Mgmt</v>
          </cell>
        </row>
        <row r="210">
          <cell r="A210" t="str">
            <v>01-437218-0245-0200</v>
          </cell>
          <cell r="B210" t="str">
            <v>245</v>
          </cell>
          <cell r="C210" t="str">
            <v>sales</v>
          </cell>
          <cell r="D210" t="str">
            <v>51 - auto</v>
          </cell>
          <cell r="F210" t="str">
            <v xml:space="preserve">                              Auto Alloc - Region 1- Catanzarite</v>
          </cell>
        </row>
        <row r="211">
          <cell r="A211" t="str">
            <v>01-437219-0255-0200</v>
          </cell>
          <cell r="B211" t="str">
            <v>255</v>
          </cell>
          <cell r="C211" t="str">
            <v>sales</v>
          </cell>
          <cell r="D211" t="str">
            <v>51 - auto</v>
          </cell>
          <cell r="F211" t="str">
            <v xml:space="preserve">                              Auto Alloc - Sales Region 2</v>
          </cell>
        </row>
        <row r="212">
          <cell r="A212" t="str">
            <v>01-437275-0275-0200</v>
          </cell>
          <cell r="B212" t="str">
            <v>275</v>
          </cell>
          <cell r="C212" t="str">
            <v>sales</v>
          </cell>
          <cell r="D212" t="str">
            <v>51 - auto</v>
          </cell>
          <cell r="F212" t="str">
            <v xml:space="preserve">                              Auto Alloc - Sales AFN</v>
          </cell>
        </row>
        <row r="213">
          <cell r="A213" t="str">
            <v>01-437290-0290-0200</v>
          </cell>
          <cell r="B213" t="str">
            <v>290</v>
          </cell>
          <cell r="C213" t="str">
            <v>sales</v>
          </cell>
          <cell r="D213" t="str">
            <v>51 - auto</v>
          </cell>
          <cell r="F213" t="str">
            <v xml:space="preserve">                              Auto Alloc - Business Partners</v>
          </cell>
        </row>
        <row r="214">
          <cell r="A214" t="str">
            <v>01-437295-0295-0200</v>
          </cell>
          <cell r="B214" t="str">
            <v>295</v>
          </cell>
          <cell r="C214" t="str">
            <v>sales</v>
          </cell>
          <cell r="D214" t="str">
            <v>51 - auto</v>
          </cell>
          <cell r="F214" t="str">
            <v xml:space="preserve">                              Auto Alloc - Major Accounts</v>
          </cell>
        </row>
        <row r="215">
          <cell r="A215" t="str">
            <v>01-437315-0305-0300</v>
          </cell>
          <cell r="B215" t="str">
            <v>305</v>
          </cell>
          <cell r="C215" t="str">
            <v>cust supp</v>
          </cell>
          <cell r="D215" t="str">
            <v>51 - auto</v>
          </cell>
          <cell r="F215" t="str">
            <v xml:space="preserve">                              Auto Alloc - Cust Support Mgmt</v>
          </cell>
        </row>
        <row r="216">
          <cell r="A216" t="str">
            <v>01-437417-0490-0400</v>
          </cell>
          <cell r="B216" t="str">
            <v>490</v>
          </cell>
          <cell r="C216" t="str">
            <v>prod dev</v>
          </cell>
          <cell r="D216" t="str">
            <v>51 - auto</v>
          </cell>
          <cell r="F216" t="str">
            <v xml:space="preserve">                              Auto Alloc - Product Dev Mgmt</v>
          </cell>
        </row>
        <row r="217">
          <cell r="A217" t="str">
            <v>01-437419-0498-0400</v>
          </cell>
          <cell r="B217" t="str">
            <v>498</v>
          </cell>
          <cell r="C217" t="str">
            <v>prod dev</v>
          </cell>
          <cell r="D217" t="str">
            <v>51 - auto</v>
          </cell>
          <cell r="F217" t="str">
            <v xml:space="preserve">                              Auto Alloc - Product Division Mgmt</v>
          </cell>
        </row>
        <row r="218">
          <cell r="A218" t="str">
            <v>01-437505-0505-0500</v>
          </cell>
          <cell r="B218" t="str">
            <v>505</v>
          </cell>
          <cell r="C218" t="str">
            <v>strategy</v>
          </cell>
          <cell r="D218" t="str">
            <v>51 - auto</v>
          </cell>
          <cell r="F218" t="str">
            <v xml:space="preserve">                              Auto Alloc - Strategy &amp; Product Mgmt</v>
          </cell>
        </row>
        <row r="219">
          <cell r="A219" t="str">
            <v>01-437515-0510-0500</v>
          </cell>
          <cell r="B219" t="str">
            <v>510</v>
          </cell>
          <cell r="C219" t="str">
            <v>strategy</v>
          </cell>
          <cell r="D219" t="str">
            <v>51 - auto</v>
          </cell>
          <cell r="F219" t="str">
            <v xml:space="preserve">                              Auto Alloc - Market Research</v>
          </cell>
        </row>
        <row r="220">
          <cell r="A220" t="str">
            <v>01-437530-0530-0500</v>
          </cell>
          <cell r="B220" t="str">
            <v>530</v>
          </cell>
          <cell r="C220" t="str">
            <v>cust supp</v>
          </cell>
          <cell r="D220" t="str">
            <v>51 - auto</v>
          </cell>
          <cell r="F220" t="str">
            <v xml:space="preserve">                              Auto Alloc - Client Relations</v>
          </cell>
        </row>
        <row r="221">
          <cell r="A221" t="str">
            <v>01-437705-0705-0400</v>
          </cell>
          <cell r="B221" t="str">
            <v>705</v>
          </cell>
          <cell r="C221" t="str">
            <v>tech svc</v>
          </cell>
          <cell r="D221" t="str">
            <v>51 - auto</v>
          </cell>
          <cell r="F221" t="str">
            <v xml:space="preserve">                              Auto Alloc - T.S.  Mgmt</v>
          </cell>
        </row>
        <row r="222">
          <cell r="A222" t="str">
            <v>01-438000-0105-0800</v>
          </cell>
          <cell r="B222" t="str">
            <v>105</v>
          </cell>
          <cell r="C222" t="str">
            <v>fin</v>
          </cell>
          <cell r="D222" t="str">
            <v>6 - Recruiting</v>
          </cell>
          <cell r="F222" t="str">
            <v xml:space="preserve">                        Recruiting - Cust Service</v>
          </cell>
        </row>
        <row r="223">
          <cell r="A223" t="str">
            <v>01-438000-0110-0800</v>
          </cell>
          <cell r="B223" t="str">
            <v>110</v>
          </cell>
          <cell r="C223" t="str">
            <v>fin</v>
          </cell>
          <cell r="D223" t="str">
            <v>6 - Recruiting</v>
          </cell>
          <cell r="F223" t="str">
            <v xml:space="preserve">                        Recruiting - Administration</v>
          </cell>
        </row>
        <row r="224">
          <cell r="A224" t="str">
            <v>01-438000-0120-0800</v>
          </cell>
          <cell r="B224" t="str">
            <v>120</v>
          </cell>
          <cell r="C224" t="str">
            <v>fin</v>
          </cell>
          <cell r="D224" t="str">
            <v>6 - Recruiting</v>
          </cell>
          <cell r="F224" t="str">
            <v xml:space="preserve">                        Recruiting - Acct. &amp; Exec</v>
          </cell>
        </row>
        <row r="225">
          <cell r="A225" t="str">
            <v>01-438000-0125-0800</v>
          </cell>
          <cell r="B225" t="str">
            <v>125</v>
          </cell>
          <cell r="C225" t="str">
            <v>fin</v>
          </cell>
          <cell r="D225" t="str">
            <v>6 - Recruiting</v>
          </cell>
          <cell r="F225" t="str">
            <v xml:space="preserve">                        Recruiting - Executive Admin</v>
          </cell>
        </row>
        <row r="226">
          <cell r="A226" t="str">
            <v>01-438000-0130-0800</v>
          </cell>
          <cell r="B226" t="str">
            <v>130</v>
          </cell>
          <cell r="C226" t="str">
            <v>fin</v>
          </cell>
          <cell r="D226" t="str">
            <v>6 - Recruiting</v>
          </cell>
          <cell r="F226" t="str">
            <v xml:space="preserve">                        Recruiting - Allocable  (HR)</v>
          </cell>
        </row>
        <row r="227">
          <cell r="A227" t="str">
            <v>01-438000-0135-0800</v>
          </cell>
          <cell r="B227" t="str">
            <v>135</v>
          </cell>
          <cell r="C227" t="str">
            <v>fin</v>
          </cell>
          <cell r="D227" t="str">
            <v>6 - Recruiting</v>
          </cell>
          <cell r="F227" t="str">
            <v xml:space="preserve">                        Recruiting - HR</v>
          </cell>
        </row>
        <row r="228">
          <cell r="A228" t="str">
            <v>01-438000-0140-0800</v>
          </cell>
          <cell r="B228" t="str">
            <v>140</v>
          </cell>
          <cell r="C228" t="str">
            <v>fin</v>
          </cell>
          <cell r="D228" t="str">
            <v>6 - Recruiting</v>
          </cell>
          <cell r="F228" t="str">
            <v xml:space="preserve">                        Recruiting - Facilities</v>
          </cell>
        </row>
        <row r="229">
          <cell r="A229" t="str">
            <v>01-438000-0210-0800</v>
          </cell>
          <cell r="B229" t="str">
            <v>210</v>
          </cell>
          <cell r="C229" t="str">
            <v>sales</v>
          </cell>
          <cell r="D229" t="str">
            <v>6 - Recruiting</v>
          </cell>
          <cell r="F229" t="str">
            <v xml:space="preserve">                        Recruiting - Sales &amp; Mktg Mgmt</v>
          </cell>
        </row>
        <row r="230">
          <cell r="A230" t="str">
            <v>01-438000-0220-0800</v>
          </cell>
          <cell r="B230" t="str">
            <v>220</v>
          </cell>
          <cell r="C230" t="str">
            <v>sales</v>
          </cell>
          <cell r="D230" t="str">
            <v>6 - Recruiting</v>
          </cell>
          <cell r="F230" t="str">
            <v xml:space="preserve">                        Recruiting - Marketing</v>
          </cell>
        </row>
        <row r="231">
          <cell r="A231" t="str">
            <v>01-438000-0225-0800</v>
          </cell>
          <cell r="B231" t="str">
            <v>225</v>
          </cell>
          <cell r="C231" t="str">
            <v>sales</v>
          </cell>
          <cell r="D231" t="str">
            <v>6 - Recruiting</v>
          </cell>
          <cell r="F231" t="str">
            <v xml:space="preserve">                        Recruiting - Sales Comeau</v>
          </cell>
        </row>
        <row r="232">
          <cell r="A232" t="str">
            <v>01-438000-0235-0800</v>
          </cell>
          <cell r="B232" t="str">
            <v>235</v>
          </cell>
          <cell r="C232" t="str">
            <v>sales</v>
          </cell>
          <cell r="D232" t="str">
            <v>6 - Recruiting</v>
          </cell>
          <cell r="F232" t="str">
            <v xml:space="preserve">                        Recruiting - Sales Operations</v>
          </cell>
        </row>
        <row r="233">
          <cell r="A233" t="str">
            <v>01-438000-0245-0800</v>
          </cell>
          <cell r="B233" t="str">
            <v>245</v>
          </cell>
          <cell r="C233" t="str">
            <v>sales</v>
          </cell>
          <cell r="D233" t="str">
            <v>6 - Recruiting</v>
          </cell>
          <cell r="F233" t="str">
            <v xml:space="preserve">                        Recruiting - Sales  Catanzarite</v>
          </cell>
        </row>
        <row r="234">
          <cell r="A234" t="str">
            <v>01-438000-0255-0800</v>
          </cell>
          <cell r="B234" t="str">
            <v>255</v>
          </cell>
          <cell r="C234" t="str">
            <v>sales</v>
          </cell>
          <cell r="D234" t="str">
            <v>6 - Recruiting</v>
          </cell>
          <cell r="F234" t="str">
            <v xml:space="preserve">                        Recruiting - Sales Region 2</v>
          </cell>
        </row>
        <row r="235">
          <cell r="A235" t="str">
            <v>01-438000-0275-0800</v>
          </cell>
          <cell r="B235" t="str">
            <v>275</v>
          </cell>
          <cell r="C235" t="str">
            <v>sales</v>
          </cell>
          <cell r="D235" t="str">
            <v>6 - Recruiting</v>
          </cell>
          <cell r="F235" t="str">
            <v xml:space="preserve">                        Recruiting - AFN</v>
          </cell>
        </row>
        <row r="236">
          <cell r="A236" t="str">
            <v>01-438000-0295-0800</v>
          </cell>
          <cell r="B236" t="str">
            <v>295</v>
          </cell>
          <cell r="C236" t="str">
            <v>sales</v>
          </cell>
          <cell r="D236" t="str">
            <v>6 - Recruiting</v>
          </cell>
          <cell r="F236" t="str">
            <v xml:space="preserve">                        Recruiting - Major Accounts</v>
          </cell>
        </row>
        <row r="237">
          <cell r="A237" t="str">
            <v>01-438000-0305-0800</v>
          </cell>
          <cell r="B237" t="str">
            <v>305</v>
          </cell>
          <cell r="C237" t="str">
            <v>cust supp</v>
          </cell>
          <cell r="D237" t="str">
            <v>6 - Recruiting</v>
          </cell>
          <cell r="F237" t="str">
            <v xml:space="preserve">                        Recruiting - Cust Supp Mgmt</v>
          </cell>
        </row>
        <row r="238">
          <cell r="A238" t="str">
            <v>01-438000-0310-0800</v>
          </cell>
          <cell r="B238" t="str">
            <v>310</v>
          </cell>
          <cell r="C238" t="str">
            <v>cust supp</v>
          </cell>
          <cell r="D238" t="str">
            <v>6 - Recruiting</v>
          </cell>
          <cell r="F238" t="str">
            <v xml:space="preserve">                        Recruiting - Cust Supp Admin</v>
          </cell>
        </row>
        <row r="239">
          <cell r="A239" t="str">
            <v>01-438000-0315-0800</v>
          </cell>
          <cell r="B239" t="str">
            <v>315</v>
          </cell>
          <cell r="C239" t="str">
            <v>prod dev</v>
          </cell>
          <cell r="D239" t="str">
            <v>6 - Recruiting</v>
          </cell>
          <cell r="F239" t="str">
            <v xml:space="preserve">                        Recruiting - Cust Supp Multimedia</v>
          </cell>
        </row>
        <row r="240">
          <cell r="A240" t="str">
            <v>01-438000-0320-0800</v>
          </cell>
          <cell r="B240" t="str">
            <v>320</v>
          </cell>
          <cell r="C240" t="str">
            <v>cust supp</v>
          </cell>
          <cell r="D240" t="str">
            <v>6 - Recruiting</v>
          </cell>
          <cell r="F240" t="str">
            <v xml:space="preserve">                        Recruiting - Cust Supp SAS</v>
          </cell>
        </row>
        <row r="241">
          <cell r="A241" t="str">
            <v>01-438000-0325-0800</v>
          </cell>
          <cell r="B241" t="str">
            <v>325</v>
          </cell>
          <cell r="C241" t="str">
            <v>cust supp</v>
          </cell>
          <cell r="D241" t="str">
            <v>6 - Recruiting</v>
          </cell>
          <cell r="F241" t="str">
            <v xml:space="preserve">                        Recruiting - Cust Supp Tech</v>
          </cell>
        </row>
        <row r="242">
          <cell r="A242" t="str">
            <v>01-438000-0330-0800</v>
          </cell>
          <cell r="B242" t="str">
            <v>330</v>
          </cell>
          <cell r="C242" t="str">
            <v>cust supp</v>
          </cell>
          <cell r="D242" t="str">
            <v>6 - Recruiting</v>
          </cell>
          <cell r="F242" t="str">
            <v xml:space="preserve">                        Recruiting - Cust Supp FRS</v>
          </cell>
        </row>
        <row r="243">
          <cell r="A243" t="str">
            <v>01-438000-0335-0800</v>
          </cell>
          <cell r="B243" t="str">
            <v>335</v>
          </cell>
          <cell r="C243" t="str">
            <v>cust supp</v>
          </cell>
          <cell r="D243" t="str">
            <v>6 - Recruiting</v>
          </cell>
          <cell r="F243" t="str">
            <v xml:space="preserve">                        Recruiting - Support FRS Consultants</v>
          </cell>
        </row>
        <row r="244">
          <cell r="A244" t="str">
            <v>01-438000-0340-0800</v>
          </cell>
          <cell r="B244" t="str">
            <v>340</v>
          </cell>
          <cell r="C244" t="str">
            <v>cust supp</v>
          </cell>
          <cell r="D244" t="str">
            <v>6 - Recruiting</v>
          </cell>
          <cell r="F244" t="str">
            <v xml:space="preserve">                        Recruiting - Cust Supp  FAS</v>
          </cell>
        </row>
        <row r="245">
          <cell r="A245" t="str">
            <v>01-438000-0345-0800</v>
          </cell>
          <cell r="B245" t="str">
            <v>345</v>
          </cell>
          <cell r="C245" t="str">
            <v>cust supp</v>
          </cell>
          <cell r="D245" t="str">
            <v>6 - Recruiting</v>
          </cell>
          <cell r="F245" t="str">
            <v xml:space="preserve">                        Recruiting -  Support AFN Consultants</v>
          </cell>
        </row>
        <row r="246">
          <cell r="A246" t="str">
            <v>01-438000-0355-0800</v>
          </cell>
          <cell r="B246" t="str">
            <v>355</v>
          </cell>
          <cell r="C246" t="str">
            <v>cust supp</v>
          </cell>
          <cell r="D246" t="str">
            <v>6 - Recruiting</v>
          </cell>
          <cell r="F246" t="str">
            <v xml:space="preserve">                        Recruiting - Service Operations</v>
          </cell>
        </row>
        <row r="247">
          <cell r="A247" t="str">
            <v>01-438000-0370-0800</v>
          </cell>
          <cell r="B247" t="str">
            <v>370</v>
          </cell>
          <cell r="C247" t="str">
            <v>cust supp</v>
          </cell>
          <cell r="D247" t="str">
            <v>6 - Recruiting</v>
          </cell>
          <cell r="F247" t="str">
            <v xml:space="preserve">                        Recruiting - Tech Consulting</v>
          </cell>
        </row>
        <row r="248">
          <cell r="A248" t="str">
            <v>01-438000-0405-0800</v>
          </cell>
          <cell r="B248" t="str">
            <v>405</v>
          </cell>
          <cell r="C248" t="str">
            <v>prod dev</v>
          </cell>
          <cell r="D248" t="str">
            <v>6 - Recruiting</v>
          </cell>
          <cell r="F248" t="str">
            <v xml:space="preserve">                        Recruiting - Internet Technology</v>
          </cell>
        </row>
        <row r="249">
          <cell r="A249" t="str">
            <v>01-438000-0410-0800</v>
          </cell>
          <cell r="B249" t="str">
            <v>410</v>
          </cell>
          <cell r="C249" t="str">
            <v>prod dev</v>
          </cell>
          <cell r="D249" t="str">
            <v>6 - Recruiting</v>
          </cell>
          <cell r="F249" t="str">
            <v xml:space="preserve">                        Recruiting - Product Design - FRS</v>
          </cell>
        </row>
        <row r="250">
          <cell r="A250" t="str">
            <v>01-438000-0415-0800</v>
          </cell>
          <cell r="B250" t="str">
            <v>415</v>
          </cell>
          <cell r="C250" t="str">
            <v>prod dev</v>
          </cell>
          <cell r="D250" t="str">
            <v>6 - Recruiting</v>
          </cell>
          <cell r="F250" t="str">
            <v xml:space="preserve">                        Recruiting - Product Design - SAS</v>
          </cell>
        </row>
        <row r="251">
          <cell r="A251" t="str">
            <v>01-438000-0420-0800</v>
          </cell>
          <cell r="B251" t="str">
            <v>420</v>
          </cell>
          <cell r="C251" t="str">
            <v>prod dev</v>
          </cell>
          <cell r="D251" t="str">
            <v>6 - Recruiting</v>
          </cell>
          <cell r="F251" t="str">
            <v xml:space="preserve">                        Recruiting - Product Design - FAS</v>
          </cell>
        </row>
        <row r="252">
          <cell r="A252" t="str">
            <v>01-438000-0430-0800</v>
          </cell>
          <cell r="B252" t="str">
            <v>430</v>
          </cell>
          <cell r="C252" t="str">
            <v>prod dev</v>
          </cell>
          <cell r="D252" t="str">
            <v>6 - Recruiting</v>
          </cell>
          <cell r="F252" t="str">
            <v xml:space="preserve">                        Recruiting - Prod Programming - FRS</v>
          </cell>
        </row>
        <row r="253">
          <cell r="A253" t="str">
            <v>01-438000-0435-0800</v>
          </cell>
          <cell r="B253" t="str">
            <v>435</v>
          </cell>
          <cell r="C253" t="str">
            <v>prod dev</v>
          </cell>
          <cell r="D253" t="str">
            <v>6 - Recruiting</v>
          </cell>
          <cell r="F253" t="str">
            <v xml:space="preserve">                        Recruiting - Prod Programming - SAS</v>
          </cell>
        </row>
        <row r="254">
          <cell r="A254" t="str">
            <v>01-438000-0440-0800</v>
          </cell>
          <cell r="B254" t="str">
            <v>440</v>
          </cell>
          <cell r="C254" t="str">
            <v>prod dev</v>
          </cell>
          <cell r="D254" t="str">
            <v>6 - Recruiting</v>
          </cell>
          <cell r="F254" t="str">
            <v xml:space="preserve">                        Recruiting - Prod. Programming - FAS</v>
          </cell>
        </row>
        <row r="255">
          <cell r="A255" t="str">
            <v>01-438000-0450-0800</v>
          </cell>
          <cell r="B255" t="str">
            <v>450</v>
          </cell>
          <cell r="C255" t="str">
            <v>prod dev</v>
          </cell>
          <cell r="D255" t="str">
            <v>6 - Recruiting</v>
          </cell>
          <cell r="F255" t="str">
            <v xml:space="preserve">                        Recruiting - QA - FRS</v>
          </cell>
        </row>
        <row r="256">
          <cell r="A256" t="str">
            <v>01-438000-0455-0800</v>
          </cell>
          <cell r="B256" t="str">
            <v>455</v>
          </cell>
          <cell r="C256" t="str">
            <v>prod dev</v>
          </cell>
          <cell r="D256" t="str">
            <v>6 - Recruiting</v>
          </cell>
          <cell r="F256" t="str">
            <v xml:space="preserve">                        Recruiting - QA - SAS</v>
          </cell>
        </row>
        <row r="257">
          <cell r="A257" t="str">
            <v>01-438000-0460-0800</v>
          </cell>
          <cell r="B257" t="str">
            <v>460</v>
          </cell>
          <cell r="C257" t="str">
            <v>prod dev</v>
          </cell>
          <cell r="D257" t="str">
            <v>6 - Recruiting</v>
          </cell>
          <cell r="F257" t="str">
            <v xml:space="preserve">                        Recruiting - QA - FAS</v>
          </cell>
        </row>
        <row r="258">
          <cell r="A258" t="str">
            <v>01-438000-0480-0800</v>
          </cell>
          <cell r="B258" t="str">
            <v>480</v>
          </cell>
          <cell r="C258" t="str">
            <v>prod dev</v>
          </cell>
          <cell r="D258" t="str">
            <v>6 - Recruiting</v>
          </cell>
          <cell r="F258" t="str">
            <v xml:space="preserve">                        Recruiting - Prod. Documentation - FAS</v>
          </cell>
        </row>
        <row r="259">
          <cell r="A259" t="str">
            <v>01-438000-0490-0800</v>
          </cell>
          <cell r="B259" t="str">
            <v>490</v>
          </cell>
          <cell r="C259" t="str">
            <v>prod dev</v>
          </cell>
          <cell r="D259" t="str">
            <v>6 - Recruiting</v>
          </cell>
          <cell r="F259" t="str">
            <v xml:space="preserve">                        Recruiting - Prod Dev Mgmt</v>
          </cell>
        </row>
        <row r="260">
          <cell r="A260" t="str">
            <v>01-438000-0495-0800</v>
          </cell>
          <cell r="B260" t="str">
            <v>495</v>
          </cell>
          <cell r="C260" t="str">
            <v>prod dev</v>
          </cell>
          <cell r="D260" t="str">
            <v>6 - Recruiting</v>
          </cell>
          <cell r="F260" t="str">
            <v xml:space="preserve">                        Recruiting - Prod. Division Mgmt. - FAS</v>
          </cell>
        </row>
        <row r="261">
          <cell r="A261" t="str">
            <v>01-438000-0496-0800</v>
          </cell>
          <cell r="B261" t="str">
            <v>496</v>
          </cell>
          <cell r="C261" t="str">
            <v>prod dev</v>
          </cell>
          <cell r="D261" t="str">
            <v>6 - Recruiting</v>
          </cell>
          <cell r="F261" t="str">
            <v xml:space="preserve">                        Recruiting - Product Division - CT/R</v>
          </cell>
        </row>
        <row r="262">
          <cell r="A262" t="str">
            <v>01-438000-0498-0800</v>
          </cell>
          <cell r="B262" t="str">
            <v>498</v>
          </cell>
          <cell r="C262" t="str">
            <v>prod dev</v>
          </cell>
          <cell r="D262" t="str">
            <v>6 - Recruiting</v>
          </cell>
          <cell r="F262" t="str">
            <v xml:space="preserve">                        Recruiting - Prod Div Mgmt - FRS</v>
          </cell>
        </row>
        <row r="263">
          <cell r="A263" t="str">
            <v>01-438000-0499-0800</v>
          </cell>
          <cell r="B263" t="str">
            <v>499</v>
          </cell>
          <cell r="C263" t="str">
            <v>prod dev</v>
          </cell>
          <cell r="D263" t="str">
            <v>6 - Recruiting</v>
          </cell>
          <cell r="F263" t="str">
            <v xml:space="preserve">                        Recruiting - Prod Div Mgmt - SAS</v>
          </cell>
        </row>
        <row r="264">
          <cell r="A264" t="str">
            <v>01-438000-0505-0800</v>
          </cell>
          <cell r="B264" t="str">
            <v>505</v>
          </cell>
          <cell r="C264" t="str">
            <v>strategy</v>
          </cell>
          <cell r="D264" t="str">
            <v>6 - Recruiting</v>
          </cell>
          <cell r="F264" t="str">
            <v xml:space="preserve">                        Recruiting - Strategy &amp; Product Mgmt</v>
          </cell>
        </row>
        <row r="265">
          <cell r="A265" t="str">
            <v>01-438000-0510-0800</v>
          </cell>
          <cell r="B265" t="str">
            <v>510</v>
          </cell>
          <cell r="C265" t="str">
            <v>strategy</v>
          </cell>
          <cell r="D265" t="str">
            <v>6 - Recruiting</v>
          </cell>
          <cell r="F265" t="str">
            <v xml:space="preserve">                        Recruiting - Market Research</v>
          </cell>
        </row>
        <row r="266">
          <cell r="A266" t="str">
            <v>01-438000-0530-0800</v>
          </cell>
          <cell r="B266" t="str">
            <v>530</v>
          </cell>
          <cell r="C266" t="str">
            <v>cust supp</v>
          </cell>
          <cell r="D266" t="str">
            <v>6 - Recruiting</v>
          </cell>
          <cell r="F266" t="str">
            <v xml:space="preserve">                        Recruiting - Client Relations</v>
          </cell>
        </row>
        <row r="267">
          <cell r="A267" t="str">
            <v>01-438000-0720-0800</v>
          </cell>
          <cell r="B267" t="str">
            <v>720</v>
          </cell>
          <cell r="C267" t="str">
            <v>cust supp</v>
          </cell>
          <cell r="D267" t="str">
            <v>6 - Recruiting</v>
          </cell>
          <cell r="F267" t="str">
            <v xml:space="preserve">                        Recruiting - Conversions</v>
          </cell>
        </row>
        <row r="268">
          <cell r="A268" t="str">
            <v>01-438000-0730-0800</v>
          </cell>
          <cell r="B268" t="str">
            <v>730</v>
          </cell>
          <cell r="C268" t="str">
            <v>tech svc</v>
          </cell>
          <cell r="D268" t="str">
            <v>6 - Recruiting</v>
          </cell>
          <cell r="F268" t="str">
            <v xml:space="preserve">                        Recruiting - Corporate Systems Support</v>
          </cell>
        </row>
        <row r="269">
          <cell r="A269" t="str">
            <v>01-438000-0750-0800</v>
          </cell>
          <cell r="B269" t="str">
            <v>750</v>
          </cell>
          <cell r="C269" t="str">
            <v>tech svc</v>
          </cell>
          <cell r="D269" t="str">
            <v>6 - Recruiting</v>
          </cell>
          <cell r="F269" t="str">
            <v xml:space="preserve">                        Recruiting - Info. Systems</v>
          </cell>
        </row>
        <row r="270">
          <cell r="A270" t="str">
            <v>01-438000-0755-0800</v>
          </cell>
          <cell r="B270" t="str">
            <v>755</v>
          </cell>
          <cell r="C270" t="str">
            <v>tech svc</v>
          </cell>
          <cell r="D270" t="str">
            <v>6 - Recruiting</v>
          </cell>
          <cell r="F270" t="str">
            <v xml:space="preserve">                        Recruiting - Info Tech</v>
          </cell>
        </row>
        <row r="271">
          <cell r="A271" t="str">
            <v>01-439105-0105-0100</v>
          </cell>
          <cell r="B271" t="str">
            <v>105</v>
          </cell>
          <cell r="C271" t="str">
            <v>fin</v>
          </cell>
          <cell r="D271" t="str">
            <v>7 - edu</v>
          </cell>
          <cell r="F271" t="str">
            <v xml:space="preserve">                        Educ/Train - Cust Service</v>
          </cell>
        </row>
        <row r="272">
          <cell r="A272" t="str">
            <v>01-439106-0105-0100</v>
          </cell>
          <cell r="B272" t="str">
            <v>105</v>
          </cell>
          <cell r="C272" t="str">
            <v>fin</v>
          </cell>
          <cell r="D272" t="str">
            <v>7 - edu</v>
          </cell>
          <cell r="F272" t="str">
            <v xml:space="preserve">                        Dues/Subscription - Cust Service</v>
          </cell>
        </row>
        <row r="273">
          <cell r="A273" t="str">
            <v>01-439110-0110-0100</v>
          </cell>
          <cell r="B273" t="str">
            <v>110</v>
          </cell>
          <cell r="C273" t="str">
            <v>fin</v>
          </cell>
          <cell r="D273" t="str">
            <v>7 - edu</v>
          </cell>
          <cell r="F273" t="str">
            <v xml:space="preserve">                        Educ/Train - Admin</v>
          </cell>
        </row>
        <row r="274">
          <cell r="A274" t="str">
            <v>01-439110-0140-0100</v>
          </cell>
          <cell r="B274" t="str">
            <v>140</v>
          </cell>
          <cell r="C274" t="str">
            <v>fin</v>
          </cell>
          <cell r="D274" t="str">
            <v>7 - edu</v>
          </cell>
          <cell r="F274" t="str">
            <v xml:space="preserve">                        Educ/Train - Facilities</v>
          </cell>
        </row>
        <row r="275">
          <cell r="A275" t="str">
            <v>01-439111-0110-0100</v>
          </cell>
          <cell r="B275" t="str">
            <v>110</v>
          </cell>
          <cell r="C275" t="str">
            <v>fin</v>
          </cell>
          <cell r="D275" t="str">
            <v>7 - edu</v>
          </cell>
          <cell r="F275" t="str">
            <v xml:space="preserve">                        Dues/Subscriptions - Admin</v>
          </cell>
        </row>
        <row r="276">
          <cell r="A276" t="str">
            <v>01-439111-0140-0100</v>
          </cell>
          <cell r="B276" t="str">
            <v>140</v>
          </cell>
          <cell r="C276" t="str">
            <v>fin</v>
          </cell>
          <cell r="D276" t="str">
            <v>7 - edu</v>
          </cell>
          <cell r="F276" t="str">
            <v xml:space="preserve">                        Dues/Subscriptions - Facilities</v>
          </cell>
        </row>
        <row r="277">
          <cell r="A277" t="str">
            <v>01-439120-0120-0100</v>
          </cell>
          <cell r="B277" t="str">
            <v>120</v>
          </cell>
          <cell r="C277" t="str">
            <v>fin</v>
          </cell>
          <cell r="D277" t="str">
            <v>7 - edu</v>
          </cell>
          <cell r="F277" t="str">
            <v xml:space="preserve">                        Educ/Train - Acct - Fin - Exec</v>
          </cell>
        </row>
        <row r="278">
          <cell r="A278" t="str">
            <v>01-439121-0120-0100</v>
          </cell>
          <cell r="B278" t="str">
            <v>120</v>
          </cell>
          <cell r="C278" t="str">
            <v>fin</v>
          </cell>
          <cell r="D278" t="str">
            <v>7 - edu</v>
          </cell>
          <cell r="F278" t="str">
            <v xml:space="preserve">                        Dues/Subscriptions - Acct/Fin/Exec</v>
          </cell>
        </row>
        <row r="279">
          <cell r="A279" t="str">
            <v>01-439130-0130-0110</v>
          </cell>
          <cell r="B279" t="str">
            <v>130</v>
          </cell>
          <cell r="C279" t="str">
            <v>fin</v>
          </cell>
          <cell r="D279" t="str">
            <v>7 - edu</v>
          </cell>
          <cell r="F279" t="str">
            <v xml:space="preserve">                        Training / Library - allocable</v>
          </cell>
        </row>
        <row r="280">
          <cell r="A280" t="str">
            <v>01-439135-0135-0100</v>
          </cell>
          <cell r="B280" t="str">
            <v>135</v>
          </cell>
          <cell r="C280" t="str">
            <v>fin</v>
          </cell>
          <cell r="D280" t="str">
            <v>7 - edu</v>
          </cell>
          <cell r="F280" t="str">
            <v xml:space="preserve">                        Educ/Train - HR</v>
          </cell>
        </row>
        <row r="281">
          <cell r="A281" t="str">
            <v>01-439136-0135-0100</v>
          </cell>
          <cell r="B281" t="str">
            <v>135</v>
          </cell>
          <cell r="C281" t="str">
            <v>fin</v>
          </cell>
          <cell r="D281" t="str">
            <v>7 - edu</v>
          </cell>
          <cell r="F281" t="str">
            <v xml:space="preserve">                        Dues &amp; Subscriptions - HR</v>
          </cell>
        </row>
        <row r="282">
          <cell r="A282" t="str">
            <v>01-439211-0210-0200</v>
          </cell>
          <cell r="B282" t="str">
            <v>210</v>
          </cell>
          <cell r="C282" t="str">
            <v>sales</v>
          </cell>
          <cell r="D282" t="str">
            <v>7 - edu</v>
          </cell>
          <cell r="F282" t="str">
            <v xml:space="preserve">                        Educ/Train - Sls/Mktg Mgmt</v>
          </cell>
        </row>
        <row r="283">
          <cell r="A283" t="str">
            <v>01-439212-0235-0200</v>
          </cell>
          <cell r="B283" t="str">
            <v>235</v>
          </cell>
          <cell r="C283" t="str">
            <v>sales</v>
          </cell>
          <cell r="D283" t="str">
            <v>7 - edu</v>
          </cell>
          <cell r="F283" t="str">
            <v xml:space="preserve">                        Dues/Subscriptions - Sales Operations</v>
          </cell>
        </row>
        <row r="284">
          <cell r="A284" t="str">
            <v>01-439220-0220-0200</v>
          </cell>
          <cell r="B284" t="str">
            <v>220</v>
          </cell>
          <cell r="C284" t="str">
            <v>sales</v>
          </cell>
          <cell r="D284" t="str">
            <v>7 - edu</v>
          </cell>
          <cell r="F284" t="str">
            <v xml:space="preserve">                        Conferences &amp; Seminars - Mktg</v>
          </cell>
        </row>
        <row r="285">
          <cell r="A285" t="str">
            <v>01-439221-0220-0200</v>
          </cell>
          <cell r="B285" t="str">
            <v>220</v>
          </cell>
          <cell r="C285" t="str">
            <v>sales</v>
          </cell>
          <cell r="D285" t="str">
            <v>7 - edu</v>
          </cell>
          <cell r="F285" t="str">
            <v xml:space="preserve">                        Educ/Train - Marketing</v>
          </cell>
        </row>
        <row r="286">
          <cell r="A286" t="str">
            <v>01-439225-0225-0200</v>
          </cell>
          <cell r="B286" t="str">
            <v>225</v>
          </cell>
          <cell r="C286" t="str">
            <v>sales</v>
          </cell>
          <cell r="D286" t="str">
            <v>7 - edu</v>
          </cell>
          <cell r="F286" t="str">
            <v xml:space="preserve">                        Educ/Train - Inside Sales - Comeau</v>
          </cell>
        </row>
        <row r="287">
          <cell r="A287" t="str">
            <v>01-439235-0235-0200</v>
          </cell>
          <cell r="B287" t="str">
            <v>235</v>
          </cell>
          <cell r="C287" t="str">
            <v>sales</v>
          </cell>
          <cell r="D287" t="str">
            <v>7 - edu</v>
          </cell>
          <cell r="F287" t="str">
            <v xml:space="preserve">                        Educ/Train - Sales Operations</v>
          </cell>
        </row>
        <row r="288">
          <cell r="A288" t="str">
            <v>01-439245-0245-0200</v>
          </cell>
          <cell r="B288" t="str">
            <v>245</v>
          </cell>
          <cell r="C288" t="str">
            <v>sales</v>
          </cell>
          <cell r="D288" t="str">
            <v>7 - edu</v>
          </cell>
          <cell r="F288" t="str">
            <v xml:space="preserve">                        Educ/Train - Sales Reg 1- Catanzarite</v>
          </cell>
        </row>
        <row r="289">
          <cell r="A289" t="str">
            <v>01-439255-0255-0200</v>
          </cell>
          <cell r="B289" t="str">
            <v>255</v>
          </cell>
          <cell r="C289" t="str">
            <v>sales</v>
          </cell>
          <cell r="D289" t="str">
            <v>7 - edu</v>
          </cell>
          <cell r="F289" t="str">
            <v xml:space="preserve">                        Educ/Train - Sales Region 2</v>
          </cell>
        </row>
        <row r="290">
          <cell r="A290" t="str">
            <v>01-439275-0275-0200</v>
          </cell>
          <cell r="B290" t="str">
            <v>275</v>
          </cell>
          <cell r="C290" t="str">
            <v>sales</v>
          </cell>
          <cell r="D290" t="str">
            <v>7 - edu</v>
          </cell>
          <cell r="F290" t="str">
            <v xml:space="preserve">                        Educ/Train - AFN</v>
          </cell>
        </row>
        <row r="291">
          <cell r="A291" t="str">
            <v>01-439290-0290-0800</v>
          </cell>
          <cell r="B291" t="str">
            <v>290</v>
          </cell>
          <cell r="C291" t="str">
            <v>sales</v>
          </cell>
          <cell r="D291" t="str">
            <v>7 - edu</v>
          </cell>
          <cell r="F291" t="str">
            <v xml:space="preserve">                        Educ/Train - Business Partners</v>
          </cell>
        </row>
        <row r="292">
          <cell r="A292" t="str">
            <v>01-439305-0305-0300</v>
          </cell>
          <cell r="B292" t="str">
            <v>305</v>
          </cell>
          <cell r="C292" t="str">
            <v>cust supp</v>
          </cell>
          <cell r="D292" t="str">
            <v>7 - edu</v>
          </cell>
          <cell r="F292" t="str">
            <v xml:space="preserve">                        Educ/Train - Cust Supp Mgmt</v>
          </cell>
        </row>
        <row r="293">
          <cell r="A293" t="str">
            <v>01-439310-0310-0300</v>
          </cell>
          <cell r="B293" t="str">
            <v>310</v>
          </cell>
          <cell r="C293" t="str">
            <v>cust supp</v>
          </cell>
          <cell r="D293" t="str">
            <v>7 - edu</v>
          </cell>
          <cell r="F293" t="str">
            <v xml:space="preserve">                        Educ/Train - Support Admin</v>
          </cell>
        </row>
        <row r="294">
          <cell r="A294" t="str">
            <v>01-439311-0310-0300</v>
          </cell>
          <cell r="B294" t="str">
            <v>310</v>
          </cell>
          <cell r="C294" t="str">
            <v>cust supp</v>
          </cell>
          <cell r="D294" t="str">
            <v>7 - edu</v>
          </cell>
          <cell r="F294" t="str">
            <v xml:space="preserve">                        Dues/Subscriptions - Cust Supp Admin</v>
          </cell>
        </row>
        <row r="295">
          <cell r="A295" t="str">
            <v>01-439315-0315-0300</v>
          </cell>
          <cell r="B295" t="str">
            <v>315</v>
          </cell>
          <cell r="C295" t="str">
            <v>prod dev</v>
          </cell>
          <cell r="D295" t="str">
            <v>7 - edu</v>
          </cell>
          <cell r="F295" t="str">
            <v xml:space="preserve">                        Educ/Train - Multimedia Support</v>
          </cell>
        </row>
        <row r="296">
          <cell r="A296" t="str">
            <v>01-439316-0315-0300</v>
          </cell>
          <cell r="B296" t="str">
            <v>315</v>
          </cell>
          <cell r="C296" t="str">
            <v>prod dev</v>
          </cell>
          <cell r="D296" t="str">
            <v>7 - edu</v>
          </cell>
          <cell r="F296" t="str">
            <v xml:space="preserve">                        Dues/Subscriptions - Multimedia Support</v>
          </cell>
        </row>
        <row r="297">
          <cell r="A297" t="str">
            <v>01-439317-0315-0300</v>
          </cell>
          <cell r="B297" t="str">
            <v>315</v>
          </cell>
          <cell r="C297" t="str">
            <v>prod dev</v>
          </cell>
          <cell r="D297" t="str">
            <v>7 - edu</v>
          </cell>
          <cell r="F297" t="str">
            <v xml:space="preserve">                        Conferences/Seminars - Multimedia Support</v>
          </cell>
        </row>
        <row r="298">
          <cell r="A298" t="str">
            <v>01-439320-0320-0300</v>
          </cell>
          <cell r="B298" t="str">
            <v>320</v>
          </cell>
          <cell r="C298" t="str">
            <v>cust supp</v>
          </cell>
          <cell r="D298" t="str">
            <v>7 - edu</v>
          </cell>
          <cell r="F298" t="str">
            <v xml:space="preserve">                        Educ/Train - Cust Supp SAS</v>
          </cell>
        </row>
        <row r="299">
          <cell r="A299" t="str">
            <v>01-439325-0325-0300</v>
          </cell>
          <cell r="B299" t="str">
            <v>325</v>
          </cell>
          <cell r="C299" t="str">
            <v>cust supp</v>
          </cell>
          <cell r="D299" t="str">
            <v>7 - edu</v>
          </cell>
          <cell r="F299" t="str">
            <v xml:space="preserve">                        Educ/Train - CSupp/Tech Supp</v>
          </cell>
        </row>
        <row r="300">
          <cell r="A300" t="str">
            <v>01-439326-0325-0300</v>
          </cell>
          <cell r="B300" t="str">
            <v>325</v>
          </cell>
          <cell r="C300" t="str">
            <v>cust supp</v>
          </cell>
          <cell r="D300" t="str">
            <v>7 - edu</v>
          </cell>
          <cell r="F300" t="str">
            <v xml:space="preserve">                        Conferences/Seminars - Tech Support</v>
          </cell>
        </row>
        <row r="301">
          <cell r="A301" t="str">
            <v>01-439330-0330-0300</v>
          </cell>
          <cell r="B301" t="str">
            <v>330</v>
          </cell>
          <cell r="C301" t="str">
            <v>cust supp</v>
          </cell>
          <cell r="D301" t="str">
            <v>7 - edu</v>
          </cell>
          <cell r="F301" t="str">
            <v xml:space="preserve">                        Educ/Train - Support FRS</v>
          </cell>
        </row>
        <row r="302">
          <cell r="A302" t="str">
            <v>01-439331-0330-0300</v>
          </cell>
          <cell r="B302" t="str">
            <v>330</v>
          </cell>
          <cell r="C302" t="str">
            <v>cust supp</v>
          </cell>
          <cell r="D302" t="str">
            <v>7 - edu</v>
          </cell>
          <cell r="F302" t="str">
            <v xml:space="preserve">                        Conferences/Seminars - FRS</v>
          </cell>
        </row>
        <row r="303">
          <cell r="A303" t="str">
            <v>01-439335-0335-0300</v>
          </cell>
          <cell r="B303" t="str">
            <v>335</v>
          </cell>
          <cell r="C303" t="str">
            <v>cust supp</v>
          </cell>
          <cell r="D303" t="str">
            <v>7 - edu</v>
          </cell>
          <cell r="F303" t="str">
            <v xml:space="preserve">                        Educ/Train - Support FRS Consultants</v>
          </cell>
        </row>
        <row r="304">
          <cell r="A304" t="str">
            <v>01-439336-0335-0300</v>
          </cell>
          <cell r="B304" t="str">
            <v>335</v>
          </cell>
          <cell r="C304" t="str">
            <v>cust supp</v>
          </cell>
          <cell r="D304" t="str">
            <v>7 - edu</v>
          </cell>
          <cell r="F304" t="str">
            <v xml:space="preserve">                        Conf/Seminars - FRS Consultants</v>
          </cell>
        </row>
        <row r="305">
          <cell r="A305" t="str">
            <v>01-439340-0340-0300</v>
          </cell>
          <cell r="B305" t="str">
            <v>340</v>
          </cell>
          <cell r="C305" t="str">
            <v>cust supp</v>
          </cell>
          <cell r="D305" t="str">
            <v>7 - edu</v>
          </cell>
          <cell r="F305" t="str">
            <v xml:space="preserve">                        Educ/Train - Support  FAS</v>
          </cell>
        </row>
        <row r="306">
          <cell r="A306" t="str">
            <v>01-439345-0345-0300</v>
          </cell>
          <cell r="B306" t="str">
            <v>345</v>
          </cell>
          <cell r="C306" t="str">
            <v>cust supp</v>
          </cell>
          <cell r="D306" t="str">
            <v>7 - edu</v>
          </cell>
          <cell r="F306" t="str">
            <v xml:space="preserve">                        Educ/Train - Support AFN Consultants</v>
          </cell>
        </row>
        <row r="307">
          <cell r="A307" t="str">
            <v>01-439355-0355-0300</v>
          </cell>
          <cell r="B307" t="str">
            <v>355</v>
          </cell>
          <cell r="C307" t="str">
            <v>cust supp</v>
          </cell>
          <cell r="D307" t="str">
            <v>7 - edu</v>
          </cell>
          <cell r="F307" t="str">
            <v xml:space="preserve">                        Educ/Train - Service Operations</v>
          </cell>
        </row>
        <row r="308">
          <cell r="A308" t="str">
            <v>01-439356-0355-0300</v>
          </cell>
          <cell r="B308" t="str">
            <v>355</v>
          </cell>
          <cell r="C308" t="str">
            <v>cust supp</v>
          </cell>
          <cell r="D308" t="str">
            <v>7 - edu</v>
          </cell>
          <cell r="F308" t="str">
            <v xml:space="preserve">                        Conf/Seminars - Service Operations</v>
          </cell>
        </row>
        <row r="309">
          <cell r="A309" t="str">
            <v>01-439360-0360-0300</v>
          </cell>
          <cell r="B309" t="str">
            <v>360</v>
          </cell>
          <cell r="C309" t="str">
            <v>cust supp</v>
          </cell>
          <cell r="D309" t="str">
            <v>7 - edu</v>
          </cell>
          <cell r="F309" t="str">
            <v xml:space="preserve">                        Educ/Train - Support Education</v>
          </cell>
        </row>
        <row r="310">
          <cell r="A310" t="str">
            <v>01-439365-0365-0300</v>
          </cell>
          <cell r="B310" t="str">
            <v>365</v>
          </cell>
          <cell r="C310" t="str">
            <v>cust supp</v>
          </cell>
          <cell r="D310" t="str">
            <v>7 - edu</v>
          </cell>
          <cell r="F310" t="str">
            <v xml:space="preserve">                        Educ/Train - Support SAS Consultants</v>
          </cell>
        </row>
        <row r="311">
          <cell r="A311" t="str">
            <v>01-439405-0405-0400</v>
          </cell>
          <cell r="B311" t="str">
            <v>405</v>
          </cell>
          <cell r="C311" t="str">
            <v>prod dev</v>
          </cell>
          <cell r="D311" t="str">
            <v>7 - edu</v>
          </cell>
          <cell r="F311" t="str">
            <v xml:space="preserve">                        Educ/Train - Internet Technology</v>
          </cell>
        </row>
        <row r="312">
          <cell r="A312" t="str">
            <v>01-439406-0405-0400</v>
          </cell>
          <cell r="B312" t="str">
            <v>405</v>
          </cell>
          <cell r="C312" t="str">
            <v>prod dev</v>
          </cell>
          <cell r="D312" t="str">
            <v>7 - edu</v>
          </cell>
          <cell r="F312" t="str">
            <v xml:space="preserve">                        Conferences/Seminars - Internet Technology</v>
          </cell>
        </row>
        <row r="313">
          <cell r="A313" t="str">
            <v>01-439410-0410-0400</v>
          </cell>
          <cell r="B313" t="str">
            <v>410</v>
          </cell>
          <cell r="C313" t="str">
            <v>prod dev</v>
          </cell>
          <cell r="D313" t="str">
            <v>7 - edu</v>
          </cell>
          <cell r="F313" t="str">
            <v xml:space="preserve">                        Educ/Train - Product Design - FRS</v>
          </cell>
        </row>
        <row r="314">
          <cell r="A314" t="str">
            <v>01-439411-0410-0400</v>
          </cell>
          <cell r="B314" t="str">
            <v>410</v>
          </cell>
          <cell r="C314" t="str">
            <v>prod dev</v>
          </cell>
          <cell r="D314" t="str">
            <v>7 - edu</v>
          </cell>
          <cell r="F314" t="str">
            <v xml:space="preserve">                        Conf/Seminars - Product Design - FRS</v>
          </cell>
        </row>
        <row r="315">
          <cell r="A315" t="str">
            <v>01-439415-0415-0400</v>
          </cell>
          <cell r="B315" t="str">
            <v>415</v>
          </cell>
          <cell r="C315" t="str">
            <v>prod dev</v>
          </cell>
          <cell r="D315" t="str">
            <v>7 - edu</v>
          </cell>
          <cell r="F315" t="str">
            <v xml:space="preserve">                        Educ/Train - Product Design - SAS</v>
          </cell>
        </row>
        <row r="316">
          <cell r="A316" t="str">
            <v>01-439420-0420-0400</v>
          </cell>
          <cell r="B316" t="str">
            <v>420</v>
          </cell>
          <cell r="C316" t="str">
            <v>prod dev</v>
          </cell>
          <cell r="D316" t="str">
            <v>7 - edu</v>
          </cell>
          <cell r="F316" t="str">
            <v xml:space="preserve">                        Educ/Train - Product Design - FAS</v>
          </cell>
        </row>
        <row r="317">
          <cell r="A317" t="str">
            <v>01-439425-0420-0400</v>
          </cell>
          <cell r="B317" t="str">
            <v>420</v>
          </cell>
          <cell r="C317" t="str">
            <v>prod dev</v>
          </cell>
          <cell r="D317" t="str">
            <v>7 - edu</v>
          </cell>
          <cell r="F317" t="str">
            <v xml:space="preserve">                        Conferences/Seminars - Prod. Design - FAS</v>
          </cell>
        </row>
        <row r="318">
          <cell r="A318" t="str">
            <v>01-439430-0430-0400</v>
          </cell>
          <cell r="B318" t="str">
            <v>430</v>
          </cell>
          <cell r="C318" t="str">
            <v>prod dev</v>
          </cell>
          <cell r="D318" t="str">
            <v>7 - edu</v>
          </cell>
          <cell r="F318" t="str">
            <v xml:space="preserve">                        Educ/Train - Prod Programming - FRS</v>
          </cell>
        </row>
        <row r="319">
          <cell r="A319" t="str">
            <v>01-439431-0430-0400</v>
          </cell>
          <cell r="B319" t="str">
            <v>430</v>
          </cell>
          <cell r="C319" t="str">
            <v>prod dev</v>
          </cell>
          <cell r="D319" t="str">
            <v>7 - edu</v>
          </cell>
          <cell r="F319" t="str">
            <v xml:space="preserve">                        Conf/Seminars - Prod Program - FRS</v>
          </cell>
        </row>
        <row r="320">
          <cell r="A320" t="str">
            <v>01-439435-0435-0400</v>
          </cell>
          <cell r="B320" t="str">
            <v>435</v>
          </cell>
          <cell r="C320" t="str">
            <v>prod dev</v>
          </cell>
          <cell r="D320" t="str">
            <v>7 - edu</v>
          </cell>
          <cell r="F320" t="str">
            <v xml:space="preserve">                        Educ/Train - Prod Programming - SAS</v>
          </cell>
        </row>
        <row r="321">
          <cell r="A321" t="str">
            <v>01-439440-0440-0400</v>
          </cell>
          <cell r="B321" t="str">
            <v>440</v>
          </cell>
          <cell r="C321" t="str">
            <v>prod dev</v>
          </cell>
          <cell r="D321" t="str">
            <v>7 - edu</v>
          </cell>
          <cell r="F321" t="str">
            <v xml:space="preserve">                        Educ/Train - Prod. Programming - FAS</v>
          </cell>
        </row>
        <row r="322">
          <cell r="A322" t="str">
            <v>01-439441-0440-0400</v>
          </cell>
          <cell r="B322" t="str">
            <v>440</v>
          </cell>
          <cell r="C322" t="str">
            <v>prod dev</v>
          </cell>
          <cell r="D322" t="str">
            <v>7 - edu</v>
          </cell>
          <cell r="F322" t="str">
            <v xml:space="preserve">                        Conf/Seminars - Prod Program - FAS</v>
          </cell>
        </row>
        <row r="323">
          <cell r="A323" t="str">
            <v>01-439460-0460-0400</v>
          </cell>
          <cell r="B323" t="str">
            <v>460</v>
          </cell>
          <cell r="C323" t="str">
            <v>prod dev</v>
          </cell>
          <cell r="D323" t="str">
            <v>7 - edu</v>
          </cell>
          <cell r="F323" t="str">
            <v xml:space="preserve">                        Educ/Train - Quality Assurance - FAS</v>
          </cell>
        </row>
        <row r="324">
          <cell r="A324" t="str">
            <v>01-439461-0460-0400</v>
          </cell>
          <cell r="B324" t="str">
            <v>460</v>
          </cell>
          <cell r="C324" t="str">
            <v>prod dev</v>
          </cell>
          <cell r="D324" t="str">
            <v>7 - edu</v>
          </cell>
          <cell r="F324" t="str">
            <v xml:space="preserve">                        Conferences/Seminars - Quality Assurance - FAS</v>
          </cell>
        </row>
        <row r="325">
          <cell r="A325" t="str">
            <v>01-439462-0460-0400</v>
          </cell>
          <cell r="B325" t="str">
            <v>460</v>
          </cell>
          <cell r="C325" t="str">
            <v>prod dev</v>
          </cell>
          <cell r="D325" t="str">
            <v>7 - edu</v>
          </cell>
          <cell r="F325" t="str">
            <v xml:space="preserve">                        Dues/Subscriptions - Quality Assurance - FAS</v>
          </cell>
        </row>
        <row r="326">
          <cell r="A326" t="str">
            <v>01-439470-0470-0400</v>
          </cell>
          <cell r="B326" t="str">
            <v>470</v>
          </cell>
          <cell r="C326" t="str">
            <v>prod dev</v>
          </cell>
          <cell r="D326" t="str">
            <v>7 - edu</v>
          </cell>
          <cell r="F326" t="str">
            <v xml:space="preserve">                        Educ/Train - Product Doc - FRS</v>
          </cell>
        </row>
        <row r="327">
          <cell r="A327" t="str">
            <v>01-439471-0470-0400</v>
          </cell>
          <cell r="B327" t="str">
            <v>470</v>
          </cell>
          <cell r="C327" t="str">
            <v>prod dev</v>
          </cell>
          <cell r="D327" t="str">
            <v>7 - edu</v>
          </cell>
          <cell r="F327" t="str">
            <v xml:space="preserve">                        Dues/Subs - Product Doc - FRS</v>
          </cell>
        </row>
        <row r="328">
          <cell r="A328" t="str">
            <v>01-439472-0470-0400</v>
          </cell>
          <cell r="B328" t="str">
            <v>470</v>
          </cell>
          <cell r="C328" t="str">
            <v>prod dev</v>
          </cell>
          <cell r="D328" t="str">
            <v>7 - edu</v>
          </cell>
          <cell r="F328" t="str">
            <v xml:space="preserve">                        Conf/Seminars - Product Doc - FRS</v>
          </cell>
        </row>
        <row r="329">
          <cell r="A329" t="str">
            <v>01-439476-0475-0400</v>
          </cell>
          <cell r="B329" t="str">
            <v>475</v>
          </cell>
          <cell r="C329" t="str">
            <v>prod dev</v>
          </cell>
          <cell r="D329" t="str">
            <v>7 - edu</v>
          </cell>
          <cell r="F329" t="str">
            <v xml:space="preserve">                        Dues/Subs - Product Doc - SAS</v>
          </cell>
        </row>
        <row r="330">
          <cell r="A330" t="str">
            <v>01-439480-0480-0400</v>
          </cell>
          <cell r="B330" t="str">
            <v>480</v>
          </cell>
          <cell r="C330" t="str">
            <v>prod dev</v>
          </cell>
          <cell r="D330" t="str">
            <v>7 - edu</v>
          </cell>
          <cell r="F330" t="str">
            <v xml:space="preserve">                        Educ/Train - Prod. Documentation - FAS</v>
          </cell>
        </row>
        <row r="331">
          <cell r="A331" t="str">
            <v>01-439481-0480-0400</v>
          </cell>
          <cell r="B331" t="str">
            <v>480</v>
          </cell>
          <cell r="C331" t="str">
            <v>prod dev</v>
          </cell>
          <cell r="D331" t="str">
            <v>7 - edu</v>
          </cell>
          <cell r="F331" t="str">
            <v xml:space="preserve">                        Dues/Subscriptions - Prod. Doc FAS</v>
          </cell>
        </row>
        <row r="332">
          <cell r="A332" t="str">
            <v>01-439490-0490-0400</v>
          </cell>
          <cell r="B332" t="str">
            <v>490</v>
          </cell>
          <cell r="C332" t="str">
            <v>prod dev</v>
          </cell>
          <cell r="D332" t="str">
            <v>7 - edu</v>
          </cell>
          <cell r="F332" t="str">
            <v xml:space="preserve">                        Educ/Train - Prod. Dev. Mgmt</v>
          </cell>
        </row>
        <row r="333">
          <cell r="A333" t="str">
            <v>01-439491-0490-0400</v>
          </cell>
          <cell r="B333" t="str">
            <v>490</v>
          </cell>
          <cell r="C333" t="str">
            <v>prod dev</v>
          </cell>
          <cell r="D333" t="str">
            <v>7 - edu</v>
          </cell>
          <cell r="F333" t="str">
            <v xml:space="preserve">                        Dues/Subscriptions - Prod. Dev. Mgmt</v>
          </cell>
        </row>
        <row r="334">
          <cell r="A334" t="str">
            <v>01-439492-0490-0400</v>
          </cell>
          <cell r="B334" t="str">
            <v>490</v>
          </cell>
          <cell r="C334" t="str">
            <v>prod dev</v>
          </cell>
          <cell r="D334" t="str">
            <v>7 - edu</v>
          </cell>
          <cell r="F334" t="str">
            <v xml:space="preserve">                        Conferences/Seminars - Prod Dev Mgmt</v>
          </cell>
        </row>
        <row r="335">
          <cell r="A335" t="str">
            <v>01-439494-0495-0400</v>
          </cell>
          <cell r="B335" t="str">
            <v>495</v>
          </cell>
          <cell r="C335" t="str">
            <v>prod dev</v>
          </cell>
          <cell r="D335" t="str">
            <v>7 - edu</v>
          </cell>
          <cell r="F335" t="str">
            <v xml:space="preserve">                        Conferences/Seminars - Prod. Div Mgmt. - FAS</v>
          </cell>
        </row>
        <row r="336">
          <cell r="A336" t="str">
            <v>01-439495-0495-0400</v>
          </cell>
          <cell r="B336" t="str">
            <v>495</v>
          </cell>
          <cell r="C336" t="str">
            <v>prod dev</v>
          </cell>
          <cell r="D336" t="str">
            <v>7 - edu</v>
          </cell>
          <cell r="F336" t="str">
            <v xml:space="preserve">                        Educ/Train - Prod. Division Mgmt. - FAS</v>
          </cell>
        </row>
        <row r="337">
          <cell r="A337" t="str">
            <v>01-439496-0496-0400</v>
          </cell>
          <cell r="B337" t="str">
            <v>496</v>
          </cell>
          <cell r="C337" t="str">
            <v>prod dev</v>
          </cell>
          <cell r="D337" t="str">
            <v>7 - edu</v>
          </cell>
          <cell r="F337" t="str">
            <v xml:space="preserve">                        Educ/Train - Prod Division - CT/R</v>
          </cell>
        </row>
        <row r="338">
          <cell r="A338" t="str">
            <v>01-439497-0496-0400</v>
          </cell>
          <cell r="B338" t="str">
            <v>496</v>
          </cell>
          <cell r="C338" t="str">
            <v>prod dev</v>
          </cell>
          <cell r="D338" t="str">
            <v>7 - edu</v>
          </cell>
          <cell r="F338" t="str">
            <v xml:space="preserve">                        Conferences/Seminars - Prod Division - CT/R</v>
          </cell>
        </row>
        <row r="339">
          <cell r="A339" t="str">
            <v>01-439498-0498-0400</v>
          </cell>
          <cell r="B339" t="str">
            <v>498</v>
          </cell>
          <cell r="C339" t="str">
            <v>prod dev</v>
          </cell>
          <cell r="D339" t="str">
            <v>7 - edu</v>
          </cell>
          <cell r="F339" t="str">
            <v xml:space="preserve">                        Educ/Train - Prod Div Mgmt - FRS</v>
          </cell>
        </row>
        <row r="340">
          <cell r="A340" t="str">
            <v>01-439499-0498-0400</v>
          </cell>
          <cell r="B340" t="str">
            <v>498</v>
          </cell>
          <cell r="C340" t="str">
            <v>prod dev</v>
          </cell>
          <cell r="D340" t="str">
            <v>7 - edu</v>
          </cell>
          <cell r="F340" t="str">
            <v xml:space="preserve">                        Conf/Seminars - Prod Div Mgmt - FRS</v>
          </cell>
        </row>
        <row r="341">
          <cell r="A341" t="str">
            <v>01-439500-0495-0400</v>
          </cell>
          <cell r="B341" t="str">
            <v>495</v>
          </cell>
          <cell r="C341" t="str">
            <v>prod dev</v>
          </cell>
          <cell r="D341" t="str">
            <v>7 - edu</v>
          </cell>
          <cell r="F341" t="str">
            <v xml:space="preserve">                        Dues/Subscriptions - Prod. Division Mgmt. - FAS</v>
          </cell>
        </row>
        <row r="342">
          <cell r="A342" t="str">
            <v>01-439502-0498-0400</v>
          </cell>
          <cell r="B342" t="str">
            <v>498</v>
          </cell>
          <cell r="C342" t="str">
            <v>prod dev</v>
          </cell>
          <cell r="D342" t="str">
            <v>7 - edu</v>
          </cell>
          <cell r="F342" t="str">
            <v xml:space="preserve">                        Dues/Subs - Prod Div Mgmt - FRS</v>
          </cell>
        </row>
        <row r="343">
          <cell r="A343" t="str">
            <v>01-439503-0497-0400</v>
          </cell>
          <cell r="B343" t="str">
            <v>497</v>
          </cell>
          <cell r="C343" t="str">
            <v>prod dev</v>
          </cell>
          <cell r="D343" t="str">
            <v>7 - edu</v>
          </cell>
          <cell r="F343" t="str">
            <v xml:space="preserve">                        Educ/Train - Product Division - Prod Dir</v>
          </cell>
        </row>
        <row r="344">
          <cell r="A344" t="str">
            <v>01-439504-0497-0400</v>
          </cell>
          <cell r="B344" t="str">
            <v>497</v>
          </cell>
          <cell r="C344" t="str">
            <v>prod dev</v>
          </cell>
          <cell r="D344" t="str">
            <v>7 - edu</v>
          </cell>
          <cell r="F344" t="str">
            <v xml:space="preserve">                        Conferences/Seminars - Product Div - Prod Dir</v>
          </cell>
        </row>
        <row r="345">
          <cell r="A345" t="str">
            <v>01-439505-0497-0400</v>
          </cell>
          <cell r="B345" t="str">
            <v>497</v>
          </cell>
          <cell r="C345" t="str">
            <v>prod dev</v>
          </cell>
          <cell r="D345" t="str">
            <v>7 - edu</v>
          </cell>
          <cell r="F345" t="str">
            <v xml:space="preserve">                        Dues/Subscriptions - Product Div - Prod Dir</v>
          </cell>
        </row>
        <row r="346">
          <cell r="A346" t="str">
            <v>01-439506-0370-0300</v>
          </cell>
          <cell r="B346" t="str">
            <v>370</v>
          </cell>
          <cell r="C346" t="str">
            <v>cust supp</v>
          </cell>
          <cell r="D346" t="str">
            <v>7 - edu</v>
          </cell>
          <cell r="F346" t="str">
            <v xml:space="preserve">                        Educ/Train - Tech Consulting</v>
          </cell>
        </row>
        <row r="347">
          <cell r="A347" t="str">
            <v>01-439508-0370-0300</v>
          </cell>
          <cell r="B347" t="str">
            <v>370</v>
          </cell>
          <cell r="C347" t="str">
            <v>cust supp</v>
          </cell>
          <cell r="D347" t="str">
            <v>7 - edu</v>
          </cell>
          <cell r="F347" t="str">
            <v xml:space="preserve">                        Conferences/Seminars - Tech Consulting</v>
          </cell>
        </row>
        <row r="348">
          <cell r="A348" t="str">
            <v>01-439509-0510-0500</v>
          </cell>
          <cell r="B348" t="str">
            <v>510</v>
          </cell>
          <cell r="C348" t="str">
            <v>strategy</v>
          </cell>
          <cell r="D348" t="str">
            <v>7 - edu</v>
          </cell>
          <cell r="F348" t="str">
            <v xml:space="preserve">                        Conferences/Seminars - Market Research</v>
          </cell>
        </row>
        <row r="349">
          <cell r="A349" t="str">
            <v>01-439510-0510-0500</v>
          </cell>
          <cell r="B349" t="str">
            <v>510</v>
          </cell>
          <cell r="C349" t="str">
            <v>strategy</v>
          </cell>
          <cell r="D349" t="str">
            <v>7 - edu</v>
          </cell>
          <cell r="F349" t="str">
            <v xml:space="preserve">                        Educ/Train - Market Research</v>
          </cell>
        </row>
        <row r="350">
          <cell r="A350" t="str">
            <v>01-439511-0510-0500</v>
          </cell>
          <cell r="B350" t="str">
            <v>510</v>
          </cell>
          <cell r="C350" t="str">
            <v>strategy</v>
          </cell>
          <cell r="D350" t="str">
            <v>7 - edu</v>
          </cell>
          <cell r="F350" t="str">
            <v xml:space="preserve">                        Dues/Subscriptions - Market Research</v>
          </cell>
        </row>
        <row r="351">
          <cell r="A351" t="str">
            <v>01-439512-0530-0530</v>
          </cell>
          <cell r="B351" t="str">
            <v>530</v>
          </cell>
          <cell r="C351" t="str">
            <v>cust supp</v>
          </cell>
          <cell r="D351" t="str">
            <v>7 - edu</v>
          </cell>
          <cell r="F351" t="str">
            <v xml:space="preserve">                        Conf/Seminars - Client Relations</v>
          </cell>
        </row>
        <row r="352">
          <cell r="A352" t="str">
            <v>01-439513-0499-0400</v>
          </cell>
          <cell r="B352" t="str">
            <v>499</v>
          </cell>
          <cell r="C352" t="str">
            <v>prod dev</v>
          </cell>
          <cell r="D352" t="str">
            <v>7 - edu</v>
          </cell>
          <cell r="F352" t="str">
            <v xml:space="preserve">                        Educ/Train - Prod Div Mgmt - SAS</v>
          </cell>
        </row>
        <row r="353">
          <cell r="A353" t="str">
            <v>01-439514-0499-0400</v>
          </cell>
          <cell r="B353" t="str">
            <v>499</v>
          </cell>
          <cell r="C353" t="str">
            <v>prod dev</v>
          </cell>
          <cell r="D353" t="str">
            <v>7 - edu</v>
          </cell>
          <cell r="F353" t="str">
            <v xml:space="preserve">                        Conf/Seminars - Prod Div Mgmt - SAS</v>
          </cell>
        </row>
        <row r="354">
          <cell r="A354" t="str">
            <v>01-439515-0499-0400</v>
          </cell>
          <cell r="B354" t="str">
            <v>499</v>
          </cell>
          <cell r="C354" t="str">
            <v>prod dev</v>
          </cell>
          <cell r="D354" t="str">
            <v>7 - edu</v>
          </cell>
          <cell r="F354" t="str">
            <v xml:space="preserve">                        Dues/Subs - Prod Div Mgmt - SAS</v>
          </cell>
        </row>
        <row r="355">
          <cell r="A355" t="str">
            <v>01-439527-0505-0500</v>
          </cell>
          <cell r="B355" t="str">
            <v>505</v>
          </cell>
          <cell r="C355" t="str">
            <v>strategy</v>
          </cell>
          <cell r="D355" t="str">
            <v>7 - edu</v>
          </cell>
          <cell r="F355" t="str">
            <v xml:space="preserve">                        Conf/Seminars - Strategy &amp; Product Mgmt</v>
          </cell>
        </row>
        <row r="356">
          <cell r="A356" t="str">
            <v>01-439528-0505-0500</v>
          </cell>
          <cell r="B356" t="str">
            <v>505</v>
          </cell>
          <cell r="C356" t="str">
            <v>strategy</v>
          </cell>
          <cell r="D356" t="str">
            <v>7 - edu</v>
          </cell>
          <cell r="F356" t="str">
            <v xml:space="preserve">                        Educ/Train - Strategy &amp; Product Mgmt</v>
          </cell>
        </row>
        <row r="357">
          <cell r="A357" t="str">
            <v>01-439529-0505-0500</v>
          </cell>
          <cell r="B357" t="str">
            <v>505</v>
          </cell>
          <cell r="C357" t="str">
            <v>strategy</v>
          </cell>
          <cell r="D357" t="str">
            <v>7 - edu</v>
          </cell>
          <cell r="F357" t="str">
            <v xml:space="preserve">                        Dues/Subscriptions - Strategy &amp; Product Mgmt</v>
          </cell>
        </row>
        <row r="358">
          <cell r="A358" t="str">
            <v>01-439530-0530-0530</v>
          </cell>
          <cell r="B358" t="str">
            <v>530</v>
          </cell>
          <cell r="C358" t="str">
            <v>cust supp</v>
          </cell>
          <cell r="D358" t="str">
            <v>7 - edu</v>
          </cell>
          <cell r="F358" t="str">
            <v xml:space="preserve">                        Educ/Train - Client Relations</v>
          </cell>
        </row>
        <row r="359">
          <cell r="A359" t="str">
            <v>01-439531-0530-0530</v>
          </cell>
          <cell r="B359" t="str">
            <v>530</v>
          </cell>
          <cell r="C359" t="str">
            <v>cust supp</v>
          </cell>
          <cell r="D359" t="str">
            <v>7 - edu</v>
          </cell>
          <cell r="F359" t="str">
            <v xml:space="preserve">                        Dues/Subscriptions - Client Relations</v>
          </cell>
        </row>
        <row r="360">
          <cell r="A360" t="str">
            <v>01-439705-0705-0400</v>
          </cell>
          <cell r="B360" t="str">
            <v>705</v>
          </cell>
          <cell r="C360" t="str">
            <v>tech svc</v>
          </cell>
          <cell r="D360" t="str">
            <v>7 - edu</v>
          </cell>
          <cell r="F360" t="str">
            <v xml:space="preserve">                        Educ/Train - T.S. Mgmt</v>
          </cell>
        </row>
        <row r="361">
          <cell r="A361" t="str">
            <v>01-439706-0705-0400</v>
          </cell>
          <cell r="B361" t="str">
            <v>705</v>
          </cell>
          <cell r="C361" t="str">
            <v>tech svc</v>
          </cell>
          <cell r="D361" t="str">
            <v>7 - edu</v>
          </cell>
          <cell r="F361" t="str">
            <v xml:space="preserve">                        Dues/Subscriptions - T.S. General</v>
          </cell>
        </row>
        <row r="362">
          <cell r="A362" t="str">
            <v>01-439707-0705-0400</v>
          </cell>
          <cell r="B362" t="str">
            <v>705</v>
          </cell>
          <cell r="C362" t="str">
            <v>tech svc</v>
          </cell>
          <cell r="D362" t="str">
            <v>7 - edu</v>
          </cell>
          <cell r="F362" t="str">
            <v xml:space="preserve">                        Conferences/Seminars - T.S. Mgmt</v>
          </cell>
        </row>
        <row r="363">
          <cell r="A363" t="str">
            <v>01-439710-0130-0110</v>
          </cell>
          <cell r="B363" t="str">
            <v>130</v>
          </cell>
          <cell r="C363" t="str">
            <v>fin</v>
          </cell>
          <cell r="D363" t="str">
            <v>7 - edu</v>
          </cell>
          <cell r="F363" t="str">
            <v xml:space="preserve">                        Dues/Subscripts - General</v>
          </cell>
        </row>
        <row r="364">
          <cell r="A364" t="str">
            <v>01-439711-0130-0110</v>
          </cell>
          <cell r="B364" t="str">
            <v>130</v>
          </cell>
          <cell r="C364" t="str">
            <v>fin</v>
          </cell>
          <cell r="D364" t="str">
            <v>7 - edu</v>
          </cell>
          <cell r="F364" t="str">
            <v xml:space="preserve">                        Company Functions</v>
          </cell>
        </row>
        <row r="365">
          <cell r="A365" t="str">
            <v>01-439712-0130-0110</v>
          </cell>
          <cell r="B365" t="str">
            <v>130</v>
          </cell>
          <cell r="C365" t="str">
            <v>fin</v>
          </cell>
          <cell r="D365" t="str">
            <v>7 - edu</v>
          </cell>
          <cell r="F365" t="str">
            <v xml:space="preserve">                        Prizes and awards</v>
          </cell>
        </row>
        <row r="366">
          <cell r="A366" t="str">
            <v>01-439713-0130-0110</v>
          </cell>
          <cell r="B366" t="str">
            <v>130</v>
          </cell>
          <cell r="C366" t="str">
            <v>fin</v>
          </cell>
          <cell r="D366" t="str">
            <v>7 - edu</v>
          </cell>
          <cell r="F366" t="str">
            <v xml:space="preserve">                        Employee Equipment Subsidy</v>
          </cell>
        </row>
        <row r="367">
          <cell r="A367" t="str">
            <v>01-439715-0130-0110</v>
          </cell>
          <cell r="B367" t="str">
            <v>130</v>
          </cell>
          <cell r="C367" t="str">
            <v>fin</v>
          </cell>
          <cell r="D367" t="str">
            <v>7 - edu</v>
          </cell>
          <cell r="F367" t="str">
            <v xml:space="preserve">                        Employee Orientation Meals</v>
          </cell>
        </row>
        <row r="368">
          <cell r="A368" t="str">
            <v>01-439716-0130-0110</v>
          </cell>
          <cell r="B368" t="str">
            <v>130</v>
          </cell>
          <cell r="C368" t="str">
            <v>fin</v>
          </cell>
          <cell r="D368" t="str">
            <v>7 - edu</v>
          </cell>
          <cell r="F368" t="str">
            <v xml:space="preserve">                        Employee Tuition Reimbursement</v>
          </cell>
        </row>
        <row r="369">
          <cell r="A369" t="str">
            <v>01-439720-0720-0410</v>
          </cell>
          <cell r="B369" t="str">
            <v>720</v>
          </cell>
          <cell r="C369" t="str">
            <v>cust supp</v>
          </cell>
          <cell r="D369" t="str">
            <v>7 - edu</v>
          </cell>
          <cell r="F369" t="str">
            <v xml:space="preserve">                        Educ/Train - Conversions</v>
          </cell>
        </row>
        <row r="370">
          <cell r="A370" t="str">
            <v>01-439721-0720-0410</v>
          </cell>
          <cell r="B370" t="str">
            <v>720</v>
          </cell>
          <cell r="C370" t="str">
            <v>cust supp</v>
          </cell>
          <cell r="D370" t="str">
            <v>7 - edu</v>
          </cell>
          <cell r="F370" t="str">
            <v xml:space="preserve">                        Conference/Seminars - Conversions</v>
          </cell>
        </row>
        <row r="371">
          <cell r="A371" t="str">
            <v>01-439730-0730-0700</v>
          </cell>
          <cell r="B371" t="str">
            <v>730</v>
          </cell>
          <cell r="C371" t="str">
            <v>tech svc</v>
          </cell>
          <cell r="D371" t="str">
            <v>7 - edu</v>
          </cell>
          <cell r="F371" t="str">
            <v xml:space="preserve">                        Educ/Train - Corporate Systems Support</v>
          </cell>
        </row>
        <row r="372">
          <cell r="A372" t="str">
            <v>01-439750-0750-0400</v>
          </cell>
          <cell r="B372" t="str">
            <v>750</v>
          </cell>
          <cell r="C372" t="str">
            <v>tech svc</v>
          </cell>
          <cell r="D372" t="str">
            <v>7 - edu</v>
          </cell>
          <cell r="F372" t="str">
            <v xml:space="preserve">                        Educ/Train - Information Systems</v>
          </cell>
        </row>
        <row r="373">
          <cell r="A373" t="str">
            <v>01-439755-0755-0400</v>
          </cell>
          <cell r="B373" t="str">
            <v>755</v>
          </cell>
          <cell r="C373" t="str">
            <v>tech svc</v>
          </cell>
          <cell r="D373" t="str">
            <v>7 - edu</v>
          </cell>
          <cell r="F373" t="str">
            <v xml:space="preserve">                        Educ/Train - Info Tech</v>
          </cell>
        </row>
        <row r="374">
          <cell r="A374" t="str">
            <v>01-439756-0755-0700</v>
          </cell>
          <cell r="B374" t="str">
            <v>755</v>
          </cell>
          <cell r="C374" t="str">
            <v>tech svc</v>
          </cell>
          <cell r="D374" t="str">
            <v>7 - edu</v>
          </cell>
          <cell r="F374" t="str">
            <v xml:space="preserve">                        Conferences/Seminars - Info. Tech.</v>
          </cell>
        </row>
        <row r="375">
          <cell r="A375" t="str">
            <v>01-441210-0210-0200</v>
          </cell>
          <cell r="B375" t="str">
            <v>210</v>
          </cell>
          <cell r="C375" t="str">
            <v>sales</v>
          </cell>
          <cell r="D375" t="str">
            <v>8 - sales/mktg</v>
          </cell>
          <cell r="F375" t="str">
            <v xml:space="preserve">                        Internal Promotions</v>
          </cell>
        </row>
        <row r="376">
          <cell r="A376" t="str">
            <v>01-441211-0235-0200</v>
          </cell>
          <cell r="B376" t="str">
            <v>235</v>
          </cell>
          <cell r="C376" t="str">
            <v>sales</v>
          </cell>
          <cell r="D376" t="str">
            <v>8 - sales/mktg</v>
          </cell>
          <cell r="F376" t="str">
            <v xml:space="preserve">                        Sales Meeting Expense</v>
          </cell>
        </row>
        <row r="377">
          <cell r="A377" t="str">
            <v>01-442264-0260-0240</v>
          </cell>
          <cell r="B377" t="str">
            <v>260</v>
          </cell>
          <cell r="C377" t="str">
            <v>sales</v>
          </cell>
          <cell r="D377" t="str">
            <v>8 - sales/mktg</v>
          </cell>
          <cell r="F377" t="str">
            <v xml:space="preserve">                        Art Services/Prod - Misc. - BBE</v>
          </cell>
        </row>
        <row r="378">
          <cell r="A378" t="str">
            <v>01-442310-0310-0300</v>
          </cell>
          <cell r="B378" t="str">
            <v>310</v>
          </cell>
          <cell r="C378" t="str">
            <v>cust supp</v>
          </cell>
          <cell r="D378" t="str">
            <v>8 - sales/mktg</v>
          </cell>
          <cell r="F378" t="str">
            <v xml:space="preserve">                        User Groups</v>
          </cell>
        </row>
        <row r="379">
          <cell r="A379" t="str">
            <v>01-442311-0220-0200</v>
          </cell>
          <cell r="B379" t="str">
            <v>220</v>
          </cell>
          <cell r="C379" t="str">
            <v>sales</v>
          </cell>
          <cell r="D379" t="str">
            <v>8 - sales/mktg</v>
          </cell>
          <cell r="F379" t="str">
            <v xml:space="preserve">                        Bulletin Baud-Printing/Postage</v>
          </cell>
        </row>
        <row r="380">
          <cell r="A380" t="str">
            <v>01-442420-0420-0400</v>
          </cell>
          <cell r="B380" t="str">
            <v>420</v>
          </cell>
          <cell r="C380" t="str">
            <v>prod dev</v>
          </cell>
          <cell r="D380" t="str">
            <v>8 - sales/mktg</v>
          </cell>
          <cell r="F380" t="str">
            <v xml:space="preserve">                        Advisory Boards - Product Design - FAS</v>
          </cell>
        </row>
        <row r="381">
          <cell r="A381" t="str">
            <v>01-442510-0510-0500</v>
          </cell>
          <cell r="B381" t="str">
            <v>510</v>
          </cell>
          <cell r="C381" t="str">
            <v>strategy</v>
          </cell>
          <cell r="D381" t="str">
            <v>8 - sales/mktg</v>
          </cell>
          <cell r="F381" t="str">
            <v xml:space="preserve">                        Client Mailings - Market Research</v>
          </cell>
        </row>
        <row r="382">
          <cell r="A382" t="str">
            <v>01-442530-0530-0530</v>
          </cell>
          <cell r="B382" t="str">
            <v>530</v>
          </cell>
          <cell r="C382" t="str">
            <v>cust supp</v>
          </cell>
          <cell r="D382" t="str">
            <v>8 - sales/mktg</v>
          </cell>
          <cell r="F382" t="str">
            <v xml:space="preserve">                        Client Mailings - Client Relations</v>
          </cell>
        </row>
        <row r="383">
          <cell r="A383" t="str">
            <v>01-442535-0530-0500</v>
          </cell>
          <cell r="B383" t="str">
            <v>530</v>
          </cell>
          <cell r="C383" t="str">
            <v>cust supp</v>
          </cell>
          <cell r="D383" t="str">
            <v>8 - sales/mktg</v>
          </cell>
          <cell r="F383" t="str">
            <v xml:space="preserve">                        Advisory Groups - Client Relations</v>
          </cell>
        </row>
        <row r="384">
          <cell r="A384" t="str">
            <v>01-442600-0120-0840</v>
          </cell>
          <cell r="B384" t="str">
            <v>120</v>
          </cell>
          <cell r="C384" t="str">
            <v>fin</v>
          </cell>
          <cell r="D384" t="str">
            <v>8 - sales/mktg</v>
          </cell>
          <cell r="F384" t="str">
            <v xml:space="preserve">                        Corporate Sponsorship</v>
          </cell>
        </row>
        <row r="385">
          <cell r="A385" t="str">
            <v>01-442705-0705-0400</v>
          </cell>
          <cell r="B385" t="str">
            <v>705</v>
          </cell>
          <cell r="C385" t="str">
            <v>tech svc</v>
          </cell>
          <cell r="D385" t="str">
            <v>8 - sales/mktg</v>
          </cell>
          <cell r="F385" t="str">
            <v xml:space="preserve">                        Advisory Boards - TS Mgmt</v>
          </cell>
        </row>
        <row r="386">
          <cell r="A386" t="str">
            <v>01-442755-0755-0700</v>
          </cell>
          <cell r="B386" t="str">
            <v>755</v>
          </cell>
          <cell r="C386" t="str">
            <v>tech svc</v>
          </cell>
          <cell r="D386" t="str">
            <v>8 - sales/mktg</v>
          </cell>
          <cell r="F386" t="str">
            <v xml:space="preserve">                        Advisory Boards - Info. Technology</v>
          </cell>
        </row>
        <row r="387">
          <cell r="A387" t="str">
            <v>01-442806-0220-0200</v>
          </cell>
          <cell r="B387" t="str">
            <v>220</v>
          </cell>
          <cell r="C387" t="str">
            <v>sales</v>
          </cell>
          <cell r="D387" t="str">
            <v>8 - sales/mktg</v>
          </cell>
          <cell r="F387" t="str">
            <v xml:space="preserve">                        Memberships &amp; Sponsorships</v>
          </cell>
        </row>
        <row r="388">
          <cell r="A388" t="str">
            <v>01-442807-0275-0200</v>
          </cell>
          <cell r="B388" t="str">
            <v>275</v>
          </cell>
          <cell r="C388" t="str">
            <v>sales</v>
          </cell>
          <cell r="D388" t="str">
            <v>8 - sales/mktg</v>
          </cell>
          <cell r="F388" t="str">
            <v xml:space="preserve">                        Conference and  Seminars-Sales AFN</v>
          </cell>
        </row>
        <row r="389">
          <cell r="A389" t="str">
            <v>01-442808-0220-0230</v>
          </cell>
          <cell r="B389" t="str">
            <v>220</v>
          </cell>
          <cell r="C389" t="str">
            <v>sales</v>
          </cell>
          <cell r="D389" t="str">
            <v>8 - sales/mktg</v>
          </cell>
          <cell r="F389" t="str">
            <v xml:space="preserve">                        Seminars - FRS</v>
          </cell>
        </row>
        <row r="390">
          <cell r="A390" t="str">
            <v>01-442810-0220-0230</v>
          </cell>
          <cell r="B390" t="str">
            <v>220</v>
          </cell>
          <cell r="C390" t="str">
            <v>sales</v>
          </cell>
          <cell r="D390" t="str">
            <v>8 - sales/mktg</v>
          </cell>
          <cell r="F390" t="str">
            <v xml:space="preserve">                        Conferences - FRS</v>
          </cell>
        </row>
        <row r="391">
          <cell r="A391" t="str">
            <v>01-442811-0220-0230</v>
          </cell>
          <cell r="B391" t="str">
            <v>220</v>
          </cell>
          <cell r="C391" t="str">
            <v>sales</v>
          </cell>
          <cell r="D391" t="str">
            <v>8 - sales/mktg</v>
          </cell>
          <cell r="F391" t="str">
            <v xml:space="preserve">                        Conferences  - FA</v>
          </cell>
        </row>
        <row r="392">
          <cell r="A392" t="str">
            <v>01-442812-0220-0230</v>
          </cell>
          <cell r="B392" t="str">
            <v>220</v>
          </cell>
          <cell r="C392" t="str">
            <v>sales</v>
          </cell>
          <cell r="D392" t="str">
            <v>8 - sales/mktg</v>
          </cell>
          <cell r="F392" t="str">
            <v xml:space="preserve">                        Conferences - SAS</v>
          </cell>
        </row>
        <row r="393">
          <cell r="A393" t="str">
            <v>01-442813-0220-0230</v>
          </cell>
          <cell r="B393" t="str">
            <v>220</v>
          </cell>
          <cell r="C393" t="str">
            <v>sales</v>
          </cell>
          <cell r="D393" t="str">
            <v>8 - sales/mktg</v>
          </cell>
          <cell r="F393" t="str">
            <v xml:space="preserve">                        Seminars - FA</v>
          </cell>
        </row>
        <row r="394">
          <cell r="A394" t="str">
            <v>01-442814-0220-0230</v>
          </cell>
          <cell r="B394" t="str">
            <v>220</v>
          </cell>
          <cell r="C394" t="str">
            <v>sales</v>
          </cell>
          <cell r="D394" t="str">
            <v>8 - sales/mktg</v>
          </cell>
          <cell r="F394" t="str">
            <v xml:space="preserve">                        Seminars - SAS</v>
          </cell>
        </row>
        <row r="395">
          <cell r="A395" t="str">
            <v>01-442815-0220-0230</v>
          </cell>
          <cell r="B395" t="str">
            <v>220</v>
          </cell>
          <cell r="C395" t="str">
            <v>sales</v>
          </cell>
          <cell r="D395" t="str">
            <v>8 - sales/mktg</v>
          </cell>
          <cell r="F395" t="str">
            <v xml:space="preserve">                        Advertising - FRS</v>
          </cell>
        </row>
        <row r="396">
          <cell r="A396" t="str">
            <v>01-442816-0220-0230</v>
          </cell>
          <cell r="B396" t="str">
            <v>220</v>
          </cell>
          <cell r="C396" t="str">
            <v>sales</v>
          </cell>
          <cell r="D396" t="str">
            <v>8 - sales/mktg</v>
          </cell>
          <cell r="F396" t="str">
            <v xml:space="preserve">                        Advertising - FA</v>
          </cell>
        </row>
        <row r="397">
          <cell r="A397" t="str">
            <v>01-442817-0220-0230</v>
          </cell>
          <cell r="B397" t="str">
            <v>220</v>
          </cell>
          <cell r="C397" t="str">
            <v>sales</v>
          </cell>
          <cell r="D397" t="str">
            <v>8 - sales/mktg</v>
          </cell>
          <cell r="F397" t="str">
            <v xml:space="preserve">                        Advertising - SAS</v>
          </cell>
        </row>
        <row r="398">
          <cell r="A398" t="str">
            <v>01-442818-0220-0230</v>
          </cell>
          <cell r="B398" t="str">
            <v>220</v>
          </cell>
          <cell r="C398" t="str">
            <v>sales</v>
          </cell>
          <cell r="D398" t="str">
            <v>8 - sales/mktg</v>
          </cell>
          <cell r="F398" t="str">
            <v xml:space="preserve">                        Advertising - Prof. Services</v>
          </cell>
        </row>
        <row r="399">
          <cell r="A399" t="str">
            <v>01-442820-0220-0230</v>
          </cell>
          <cell r="B399" t="str">
            <v>220</v>
          </cell>
          <cell r="C399" t="str">
            <v>sales</v>
          </cell>
          <cell r="D399" t="str">
            <v>8 - sales/mktg</v>
          </cell>
          <cell r="F399" t="str">
            <v xml:space="preserve">                        Art Services and Production-FRS</v>
          </cell>
        </row>
        <row r="400">
          <cell r="A400" t="str">
            <v>01-442821-0220-0230</v>
          </cell>
          <cell r="B400" t="str">
            <v>220</v>
          </cell>
          <cell r="C400" t="str">
            <v>sales</v>
          </cell>
          <cell r="D400" t="str">
            <v>8 - sales/mktg</v>
          </cell>
          <cell r="F400" t="str">
            <v xml:space="preserve">                        Art Services &amp; Production-FAS</v>
          </cell>
        </row>
        <row r="401">
          <cell r="A401" t="str">
            <v>01-442822-0220-0230</v>
          </cell>
          <cell r="B401" t="str">
            <v>220</v>
          </cell>
          <cell r="C401" t="str">
            <v>sales</v>
          </cell>
          <cell r="D401" t="str">
            <v>8 - sales/mktg</v>
          </cell>
          <cell r="F401" t="str">
            <v xml:space="preserve">                        Art Services &amp; Prod.-SAS</v>
          </cell>
        </row>
        <row r="402">
          <cell r="A402" t="str">
            <v>01-442823-0220-0230</v>
          </cell>
          <cell r="B402" t="str">
            <v>220</v>
          </cell>
          <cell r="C402" t="str">
            <v>sales</v>
          </cell>
          <cell r="D402" t="str">
            <v>8 - sales/mktg</v>
          </cell>
          <cell r="F402" t="str">
            <v xml:space="preserve">                        Art Services - Prof. Services</v>
          </cell>
        </row>
        <row r="403">
          <cell r="A403" t="str">
            <v>01-442824-0220-0230</v>
          </cell>
          <cell r="B403" t="str">
            <v>220</v>
          </cell>
          <cell r="C403" t="str">
            <v>sales</v>
          </cell>
          <cell r="D403" t="str">
            <v>8 - sales/mktg</v>
          </cell>
          <cell r="F403" t="str">
            <v xml:space="preserve">                        Training Solutions</v>
          </cell>
        </row>
        <row r="404">
          <cell r="A404" t="str">
            <v>01-442825-0220-0230</v>
          </cell>
          <cell r="B404" t="str">
            <v>220</v>
          </cell>
          <cell r="C404" t="str">
            <v>sales</v>
          </cell>
          <cell r="D404" t="str">
            <v>8 - sales/mktg</v>
          </cell>
          <cell r="F404" t="str">
            <v xml:space="preserve">                        Promotions</v>
          </cell>
        </row>
        <row r="405">
          <cell r="A405" t="str">
            <v>01-442826-0520-0230</v>
          </cell>
          <cell r="B405" t="str">
            <v>520</v>
          </cell>
          <cell r="C405" t="str">
            <v>bbp</v>
          </cell>
          <cell r="D405" t="str">
            <v>8 - sales/mktg</v>
          </cell>
          <cell r="F405" t="str">
            <v xml:space="preserve">                        Art Services &amp; Prod. - BBP</v>
          </cell>
        </row>
        <row r="406">
          <cell r="A406" t="str">
            <v>01-442831-0220-0200</v>
          </cell>
          <cell r="B406" t="str">
            <v>220</v>
          </cell>
          <cell r="C406" t="str">
            <v>sales</v>
          </cell>
          <cell r="D406" t="str">
            <v>8 - sales/mktg</v>
          </cell>
          <cell r="F406" t="str">
            <v xml:space="preserve">                        Public Relations</v>
          </cell>
        </row>
        <row r="407">
          <cell r="A407" t="str">
            <v>01-442835-0220-0230</v>
          </cell>
          <cell r="B407" t="str">
            <v>220</v>
          </cell>
          <cell r="C407" t="str">
            <v>sales</v>
          </cell>
          <cell r="D407" t="str">
            <v>8 - sales/mktg</v>
          </cell>
          <cell r="F407" t="str">
            <v xml:space="preserve">                        Direct Mail - FRS</v>
          </cell>
        </row>
        <row r="408">
          <cell r="A408" t="str">
            <v>01-442836-0220-0230</v>
          </cell>
          <cell r="B408" t="str">
            <v>220</v>
          </cell>
          <cell r="C408" t="str">
            <v>sales</v>
          </cell>
          <cell r="D408" t="str">
            <v>8 - sales/mktg</v>
          </cell>
          <cell r="F408" t="str">
            <v xml:space="preserve">                        Direct Mail - FA</v>
          </cell>
        </row>
        <row r="409">
          <cell r="A409" t="str">
            <v>01-442837-0220-0230</v>
          </cell>
          <cell r="B409" t="str">
            <v>220</v>
          </cell>
          <cell r="C409" t="str">
            <v>sales</v>
          </cell>
          <cell r="D409" t="str">
            <v>8 - sales/mktg</v>
          </cell>
          <cell r="F409" t="str">
            <v xml:space="preserve">                        Direct Mail - SAS</v>
          </cell>
        </row>
        <row r="410">
          <cell r="A410" t="str">
            <v>01-442838-0220-0230</v>
          </cell>
          <cell r="B410" t="str">
            <v>220</v>
          </cell>
          <cell r="C410" t="str">
            <v>sales</v>
          </cell>
          <cell r="D410" t="str">
            <v>8 - sales/mktg</v>
          </cell>
          <cell r="F410" t="str">
            <v xml:space="preserve">                        Direct Mail - Prof. Services</v>
          </cell>
        </row>
        <row r="411">
          <cell r="A411" t="str">
            <v>01-442840-0220-0230</v>
          </cell>
          <cell r="B411" t="str">
            <v>220</v>
          </cell>
          <cell r="C411" t="str">
            <v>sales</v>
          </cell>
          <cell r="D411" t="str">
            <v>8 - sales/mktg</v>
          </cell>
          <cell r="F411" t="str">
            <v xml:space="preserve">                        Brochures/Overviews etc.-FRS</v>
          </cell>
        </row>
        <row r="412">
          <cell r="A412" t="str">
            <v>01-442841-0220-0230</v>
          </cell>
          <cell r="B412" t="str">
            <v>220</v>
          </cell>
          <cell r="C412" t="str">
            <v>sales</v>
          </cell>
          <cell r="D412" t="str">
            <v>8 - sales/mktg</v>
          </cell>
          <cell r="F412" t="str">
            <v xml:space="preserve">                        Brochures/Overviews etc.-FAS</v>
          </cell>
        </row>
        <row r="413">
          <cell r="A413" t="str">
            <v>01-442842-0220-0230</v>
          </cell>
          <cell r="B413" t="str">
            <v>220</v>
          </cell>
          <cell r="C413" t="str">
            <v>sales</v>
          </cell>
          <cell r="D413" t="str">
            <v>8 - sales/mktg</v>
          </cell>
          <cell r="F413" t="str">
            <v xml:space="preserve">                        Brochures/Overviews etc.-SAS</v>
          </cell>
        </row>
        <row r="414">
          <cell r="A414" t="str">
            <v>01-442843-0220-0230</v>
          </cell>
          <cell r="B414" t="str">
            <v>220</v>
          </cell>
          <cell r="C414" t="str">
            <v>sales</v>
          </cell>
          <cell r="D414" t="str">
            <v>8 - sales/mktg</v>
          </cell>
          <cell r="F414" t="str">
            <v xml:space="preserve">                        Brochures - Prof. Services</v>
          </cell>
        </row>
        <row r="415">
          <cell r="A415" t="str">
            <v>01-442844-0220-0230</v>
          </cell>
          <cell r="B415" t="str">
            <v>220</v>
          </cell>
          <cell r="C415" t="str">
            <v>sales</v>
          </cell>
          <cell r="D415" t="str">
            <v>8 - sales/mktg</v>
          </cell>
          <cell r="F415" t="str">
            <v xml:space="preserve">                        Brochures - Other Departments</v>
          </cell>
        </row>
        <row r="416">
          <cell r="A416" t="str">
            <v>01-442845-0220-0230</v>
          </cell>
          <cell r="B416" t="str">
            <v>220</v>
          </cell>
          <cell r="C416" t="str">
            <v>sales</v>
          </cell>
          <cell r="D416" t="str">
            <v>8 - sales/mktg</v>
          </cell>
          <cell r="F416" t="str">
            <v xml:space="preserve">                        Publications/Reference books</v>
          </cell>
        </row>
        <row r="417">
          <cell r="A417" t="str">
            <v>01-443100-0120-0100</v>
          </cell>
          <cell r="B417" t="str">
            <v>120</v>
          </cell>
          <cell r="C417" t="str">
            <v>fin</v>
          </cell>
          <cell r="D417" t="str">
            <v>9 - t&amp;e</v>
          </cell>
          <cell r="F417" t="str">
            <v xml:space="preserve">                        Travel - Board of Directors</v>
          </cell>
        </row>
        <row r="418">
          <cell r="A418" t="str">
            <v>01-443100-0125-0100</v>
          </cell>
          <cell r="B418" t="str">
            <v>125</v>
          </cell>
          <cell r="C418" t="str">
            <v>fin</v>
          </cell>
          <cell r="D418" t="str">
            <v>9 - t&amp;e</v>
          </cell>
          <cell r="F418" t="str">
            <v xml:space="preserve">                        Travel - Board of Directors</v>
          </cell>
        </row>
        <row r="419">
          <cell r="A419" t="str">
            <v>01-443105-0105-0100</v>
          </cell>
          <cell r="B419" t="str">
            <v>105</v>
          </cell>
          <cell r="C419" t="str">
            <v>fin</v>
          </cell>
          <cell r="D419" t="str">
            <v>9 - t&amp;e</v>
          </cell>
          <cell r="F419" t="str">
            <v xml:space="preserve">                        Travel - Customer Service</v>
          </cell>
        </row>
        <row r="420">
          <cell r="A420" t="str">
            <v>01-443106-0105-0100</v>
          </cell>
          <cell r="B420" t="str">
            <v>105</v>
          </cell>
          <cell r="C420" t="str">
            <v>fin</v>
          </cell>
          <cell r="D420" t="str">
            <v>9 - t&amp;e</v>
          </cell>
          <cell r="F420" t="str">
            <v xml:space="preserve">                        Accoms &amp; Meals - Customer Service</v>
          </cell>
        </row>
        <row r="421">
          <cell r="A421" t="str">
            <v>01-443107-0105-0100</v>
          </cell>
          <cell r="B421" t="str">
            <v>105</v>
          </cell>
          <cell r="C421" t="str">
            <v>fin</v>
          </cell>
          <cell r="D421" t="str">
            <v>9 - t&amp;e</v>
          </cell>
          <cell r="F421" t="str">
            <v xml:space="preserve">                        Entertainment - Customer Service</v>
          </cell>
        </row>
        <row r="422">
          <cell r="A422" t="str">
            <v>01-443108-0105-0100</v>
          </cell>
          <cell r="B422" t="str">
            <v>105</v>
          </cell>
          <cell r="C422" t="str">
            <v>fin</v>
          </cell>
          <cell r="D422" t="str">
            <v>9 - t&amp;e</v>
          </cell>
          <cell r="F422" t="str">
            <v xml:space="preserve">                        Telephone - Customer Service</v>
          </cell>
        </row>
        <row r="423">
          <cell r="A423" t="str">
            <v>01-443109-0105-0100</v>
          </cell>
          <cell r="B423" t="str">
            <v>105</v>
          </cell>
          <cell r="C423" t="str">
            <v>fin</v>
          </cell>
          <cell r="D423" t="str">
            <v>9 - t&amp;e</v>
          </cell>
          <cell r="F423" t="str">
            <v xml:space="preserve">                        Misc - Customer Service</v>
          </cell>
        </row>
        <row r="424">
          <cell r="A424" t="str">
            <v>01-443110-0110-0100</v>
          </cell>
          <cell r="B424" t="str">
            <v>110</v>
          </cell>
          <cell r="C424" t="str">
            <v>fin</v>
          </cell>
          <cell r="D424" t="str">
            <v>9 - t&amp;e</v>
          </cell>
          <cell r="F424" t="str">
            <v xml:space="preserve">                        Travel - Admin</v>
          </cell>
        </row>
        <row r="425">
          <cell r="A425" t="str">
            <v>01-443111-0110-0100</v>
          </cell>
          <cell r="B425" t="str">
            <v>110</v>
          </cell>
          <cell r="C425" t="str">
            <v>fin</v>
          </cell>
          <cell r="D425" t="str">
            <v>9 - t&amp;e</v>
          </cell>
          <cell r="F425" t="str">
            <v xml:space="preserve">                        Accoms and Mls - Admin</v>
          </cell>
        </row>
        <row r="426">
          <cell r="A426" t="str">
            <v>01-443112-0110-0100</v>
          </cell>
          <cell r="B426" t="str">
            <v>110</v>
          </cell>
          <cell r="C426" t="str">
            <v>fin</v>
          </cell>
          <cell r="D426" t="str">
            <v>9 - t&amp;e</v>
          </cell>
          <cell r="F426" t="str">
            <v xml:space="preserve">                        Entertainment - Admin</v>
          </cell>
        </row>
        <row r="427">
          <cell r="A427" t="str">
            <v>01-443113-0110-0100</v>
          </cell>
          <cell r="B427" t="str">
            <v>110</v>
          </cell>
          <cell r="C427" t="str">
            <v>fin</v>
          </cell>
          <cell r="D427" t="str">
            <v>9 - t&amp;e</v>
          </cell>
          <cell r="F427" t="str">
            <v xml:space="preserve">                        Telephone - Admin</v>
          </cell>
        </row>
        <row r="428">
          <cell r="A428" t="str">
            <v>01-443120-0120-0100</v>
          </cell>
          <cell r="B428" t="str">
            <v>120</v>
          </cell>
          <cell r="C428" t="str">
            <v>fin</v>
          </cell>
          <cell r="D428" t="str">
            <v>9 - t&amp;e</v>
          </cell>
          <cell r="F428" t="str">
            <v xml:space="preserve">                        Travel - Acctg &amp; Exec</v>
          </cell>
        </row>
        <row r="429">
          <cell r="A429" t="str">
            <v>01-443121-0120-0100</v>
          </cell>
          <cell r="B429" t="str">
            <v>120</v>
          </cell>
          <cell r="C429" t="str">
            <v>fin</v>
          </cell>
          <cell r="D429" t="str">
            <v>9 - t&amp;e</v>
          </cell>
          <cell r="F429" t="str">
            <v xml:space="preserve">                        Accoms &amp; Meals - Acctg &amp; Exec</v>
          </cell>
        </row>
        <row r="430">
          <cell r="A430" t="str">
            <v>01-443122-0120-0100</v>
          </cell>
          <cell r="B430" t="str">
            <v>120</v>
          </cell>
          <cell r="C430" t="str">
            <v>fin</v>
          </cell>
          <cell r="D430" t="str">
            <v>9 - t&amp;e</v>
          </cell>
          <cell r="F430" t="str">
            <v xml:space="preserve">                        Entertainment - Acctg &amp; Exec</v>
          </cell>
        </row>
        <row r="431">
          <cell r="A431" t="str">
            <v>01-443123-0120-0100</v>
          </cell>
          <cell r="B431" t="str">
            <v>120</v>
          </cell>
          <cell r="C431" t="str">
            <v>fin</v>
          </cell>
          <cell r="D431" t="str">
            <v>9 - t&amp;e</v>
          </cell>
          <cell r="F431" t="str">
            <v xml:space="preserve">                        Telephone - Acctg &amp; Exec</v>
          </cell>
        </row>
        <row r="432">
          <cell r="A432" t="str">
            <v>01-443124-0120-0100</v>
          </cell>
          <cell r="B432" t="str">
            <v>120</v>
          </cell>
          <cell r="C432" t="str">
            <v>fin</v>
          </cell>
          <cell r="D432" t="str">
            <v>9 - t&amp;e</v>
          </cell>
          <cell r="F432" t="str">
            <v xml:space="preserve">                        Misc - Acctg &amp; Exec</v>
          </cell>
        </row>
        <row r="433">
          <cell r="A433" t="str">
            <v>01-443125-0125-0100</v>
          </cell>
          <cell r="B433" t="str">
            <v>125</v>
          </cell>
          <cell r="C433" t="str">
            <v>fin</v>
          </cell>
          <cell r="D433" t="str">
            <v>9 - t&amp;e</v>
          </cell>
          <cell r="F433" t="str">
            <v xml:space="preserve">                        Travel - Executive Admin</v>
          </cell>
        </row>
        <row r="434">
          <cell r="A434" t="str">
            <v>01-443126-0125-0100</v>
          </cell>
          <cell r="B434" t="str">
            <v>125</v>
          </cell>
          <cell r="C434" t="str">
            <v>fin</v>
          </cell>
          <cell r="D434" t="str">
            <v>9 - t&amp;e</v>
          </cell>
          <cell r="F434" t="str">
            <v xml:space="preserve">                        Accoms &amp; Meals - Executive Admin</v>
          </cell>
        </row>
        <row r="435">
          <cell r="A435" t="str">
            <v>01-443127-0125-0100</v>
          </cell>
          <cell r="B435" t="str">
            <v>125</v>
          </cell>
          <cell r="C435" t="str">
            <v>fin</v>
          </cell>
          <cell r="D435" t="str">
            <v>9 - t&amp;e</v>
          </cell>
          <cell r="F435" t="str">
            <v xml:space="preserve">                        Entertainment - Executive Admin</v>
          </cell>
        </row>
        <row r="436">
          <cell r="A436" t="str">
            <v>01-443128-0125-0100</v>
          </cell>
          <cell r="B436" t="str">
            <v>125</v>
          </cell>
          <cell r="C436" t="str">
            <v>fin</v>
          </cell>
          <cell r="D436" t="str">
            <v>9 - t&amp;e</v>
          </cell>
          <cell r="F436" t="str">
            <v xml:space="preserve">                        Telephone - Executive Admin</v>
          </cell>
        </row>
        <row r="437">
          <cell r="A437" t="str">
            <v>01-443135-0135-0100</v>
          </cell>
          <cell r="B437" t="str">
            <v>135</v>
          </cell>
          <cell r="C437" t="str">
            <v>fin</v>
          </cell>
          <cell r="D437" t="str">
            <v>9 - t&amp;e</v>
          </cell>
          <cell r="F437" t="str">
            <v xml:space="preserve">                        Travel - HR</v>
          </cell>
        </row>
        <row r="438">
          <cell r="A438" t="str">
            <v>01-443136-0135-0100</v>
          </cell>
          <cell r="B438" t="str">
            <v>135</v>
          </cell>
          <cell r="C438" t="str">
            <v>fin</v>
          </cell>
          <cell r="D438" t="str">
            <v>9 - t&amp;e</v>
          </cell>
          <cell r="F438" t="str">
            <v xml:space="preserve">                        Accoms &amp; Meals - HR</v>
          </cell>
        </row>
        <row r="439">
          <cell r="A439" t="str">
            <v>01-443137-0135-0100</v>
          </cell>
          <cell r="B439" t="str">
            <v>135</v>
          </cell>
          <cell r="C439" t="str">
            <v>fin</v>
          </cell>
          <cell r="D439" t="str">
            <v>9 - t&amp;e</v>
          </cell>
          <cell r="F439" t="str">
            <v xml:space="preserve">                        Entertainment - HR</v>
          </cell>
        </row>
        <row r="440">
          <cell r="A440" t="str">
            <v>01-443138-0135-0100</v>
          </cell>
          <cell r="B440" t="str">
            <v>135</v>
          </cell>
          <cell r="C440" t="str">
            <v>fin</v>
          </cell>
          <cell r="D440" t="str">
            <v>9 - t&amp;e</v>
          </cell>
          <cell r="F440" t="str">
            <v xml:space="preserve">                        Telephone - HR</v>
          </cell>
        </row>
        <row r="441">
          <cell r="A441" t="str">
            <v>01-443140-0140-0100</v>
          </cell>
          <cell r="B441" t="str">
            <v>140</v>
          </cell>
          <cell r="C441" t="str">
            <v>fin</v>
          </cell>
          <cell r="D441" t="str">
            <v>9 - t&amp;e</v>
          </cell>
          <cell r="F441" t="str">
            <v xml:space="preserve">                        Travel - Facilities</v>
          </cell>
        </row>
        <row r="442">
          <cell r="A442" t="str">
            <v>01-443141-0140-0100</v>
          </cell>
          <cell r="B442" t="str">
            <v>140</v>
          </cell>
          <cell r="C442" t="str">
            <v>fin</v>
          </cell>
          <cell r="D442" t="str">
            <v>9 - t&amp;e</v>
          </cell>
          <cell r="F442" t="str">
            <v xml:space="preserve">                        Accoms &amp; Meals - Facilities</v>
          </cell>
        </row>
        <row r="443">
          <cell r="A443" t="str">
            <v>01-443142-0140-0100</v>
          </cell>
          <cell r="B443" t="str">
            <v>140</v>
          </cell>
          <cell r="C443" t="str">
            <v>fin</v>
          </cell>
          <cell r="D443" t="str">
            <v>9 - t&amp;e</v>
          </cell>
          <cell r="F443" t="str">
            <v xml:space="preserve">                        Entertainment - Facilities</v>
          </cell>
        </row>
        <row r="444">
          <cell r="A444" t="str">
            <v>01-443190-0210-0200</v>
          </cell>
          <cell r="B444" t="str">
            <v>210</v>
          </cell>
          <cell r="C444" t="str">
            <v>sales</v>
          </cell>
          <cell r="D444" t="str">
            <v>9 - t&amp;e</v>
          </cell>
          <cell r="F444" t="str">
            <v xml:space="preserve">                        Travel - Wezwick</v>
          </cell>
        </row>
        <row r="445">
          <cell r="A445" t="str">
            <v>01-443191-0210-0200</v>
          </cell>
          <cell r="B445" t="str">
            <v>210</v>
          </cell>
          <cell r="C445" t="str">
            <v>sales</v>
          </cell>
          <cell r="D445" t="str">
            <v>9 - t&amp;e</v>
          </cell>
          <cell r="F445" t="str">
            <v xml:space="preserve">                        Accoms &amp; Meals - Wezwick</v>
          </cell>
        </row>
        <row r="446">
          <cell r="A446" t="str">
            <v>01-443192-0210-0200</v>
          </cell>
          <cell r="B446" t="str">
            <v>210</v>
          </cell>
          <cell r="C446" t="str">
            <v>sales</v>
          </cell>
          <cell r="D446" t="str">
            <v>9 - t&amp;e</v>
          </cell>
          <cell r="F446" t="str">
            <v xml:space="preserve">                        Entertainment - Wezwick</v>
          </cell>
        </row>
        <row r="447">
          <cell r="A447" t="str">
            <v>01-443193-0210-0200</v>
          </cell>
          <cell r="B447" t="str">
            <v>210</v>
          </cell>
          <cell r="C447" t="str">
            <v>sales</v>
          </cell>
          <cell r="D447" t="str">
            <v>9 - t&amp;e</v>
          </cell>
          <cell r="F447" t="str">
            <v xml:space="preserve">                        Telephone - Wezwick</v>
          </cell>
        </row>
        <row r="448">
          <cell r="A448" t="str">
            <v>01-443194-0210-0200</v>
          </cell>
          <cell r="B448" t="str">
            <v>210</v>
          </cell>
          <cell r="C448" t="str">
            <v>sales</v>
          </cell>
          <cell r="D448" t="str">
            <v>9 - t&amp;e</v>
          </cell>
          <cell r="F448" t="str">
            <v xml:space="preserve">                        Miscellaneous - Wezwick</v>
          </cell>
        </row>
        <row r="449">
          <cell r="A449" t="str">
            <v>01-443210-0210-0200</v>
          </cell>
          <cell r="B449" t="str">
            <v>210</v>
          </cell>
          <cell r="C449" t="str">
            <v>sales</v>
          </cell>
          <cell r="D449" t="str">
            <v>9 - t&amp;e</v>
          </cell>
          <cell r="F449" t="str">
            <v xml:space="preserve">                        Travel - Sales/Mktg Mgt</v>
          </cell>
        </row>
        <row r="450">
          <cell r="A450" t="str">
            <v>01-443211-0210-0200</v>
          </cell>
          <cell r="B450" t="str">
            <v>210</v>
          </cell>
          <cell r="C450" t="str">
            <v>sales</v>
          </cell>
          <cell r="D450" t="str">
            <v>9 - t&amp;e</v>
          </cell>
          <cell r="F450" t="str">
            <v xml:space="preserve">                        Accoms &amp; Meals - Sls/Mktg Mgt</v>
          </cell>
        </row>
        <row r="451">
          <cell r="A451" t="str">
            <v>01-443212-0210-0200</v>
          </cell>
          <cell r="B451" t="str">
            <v>210</v>
          </cell>
          <cell r="C451" t="str">
            <v>sales</v>
          </cell>
          <cell r="D451" t="str">
            <v>9 - t&amp;e</v>
          </cell>
          <cell r="F451" t="str">
            <v xml:space="preserve">                        Entertainment - Sls/Mktg Mgt</v>
          </cell>
        </row>
        <row r="452">
          <cell r="A452" t="str">
            <v>01-443213-0210-0200</v>
          </cell>
          <cell r="B452" t="str">
            <v>210</v>
          </cell>
          <cell r="C452" t="str">
            <v>sales</v>
          </cell>
          <cell r="D452" t="str">
            <v>9 - t&amp;e</v>
          </cell>
          <cell r="F452" t="str">
            <v xml:space="preserve">                        Telephone - Sales/Mktg Mgt</v>
          </cell>
        </row>
        <row r="453">
          <cell r="A453" t="str">
            <v>01-443214-0210-0200</v>
          </cell>
          <cell r="B453" t="str">
            <v>210</v>
          </cell>
          <cell r="C453" t="str">
            <v>sales</v>
          </cell>
          <cell r="D453" t="str">
            <v>9 - t&amp;e</v>
          </cell>
          <cell r="F453" t="str">
            <v xml:space="preserve">                        Miscellaneous - Sales/Mkg Mgt</v>
          </cell>
        </row>
        <row r="454">
          <cell r="A454" t="str">
            <v>01-443215-0210-0200</v>
          </cell>
          <cell r="B454" t="str">
            <v>210</v>
          </cell>
          <cell r="C454" t="str">
            <v>sales</v>
          </cell>
          <cell r="D454" t="str">
            <v>9 - t&amp;e</v>
          </cell>
          <cell r="F454" t="str">
            <v xml:space="preserve">                        Travel - Wezwick</v>
          </cell>
        </row>
        <row r="455">
          <cell r="A455" t="str">
            <v>01-443216-0210-0200</v>
          </cell>
          <cell r="B455" t="str">
            <v>210</v>
          </cell>
          <cell r="C455" t="str">
            <v>sales</v>
          </cell>
          <cell r="D455" t="str">
            <v>9 - t&amp;e</v>
          </cell>
          <cell r="F455" t="str">
            <v xml:space="preserve">                        Accoms &amp; Meals - Wezwick</v>
          </cell>
        </row>
        <row r="456">
          <cell r="A456" t="str">
            <v>01-443217-0210-0200</v>
          </cell>
          <cell r="B456" t="str">
            <v>210</v>
          </cell>
          <cell r="C456" t="str">
            <v>sales</v>
          </cell>
          <cell r="D456" t="str">
            <v>9 - t&amp;e</v>
          </cell>
          <cell r="F456" t="str">
            <v xml:space="preserve">                        Entertainment - Wezwick</v>
          </cell>
        </row>
        <row r="457">
          <cell r="A457" t="str">
            <v>01-443218-0210-0200</v>
          </cell>
          <cell r="B457" t="str">
            <v>210</v>
          </cell>
          <cell r="C457" t="str">
            <v>sales</v>
          </cell>
          <cell r="D457" t="str">
            <v>9 - t&amp;e</v>
          </cell>
          <cell r="F457" t="str">
            <v xml:space="preserve">                        Telephone - Wezwick</v>
          </cell>
        </row>
        <row r="458">
          <cell r="A458" t="str">
            <v>01-443219-0210-0200</v>
          </cell>
          <cell r="B458" t="str">
            <v>210</v>
          </cell>
          <cell r="C458" t="str">
            <v>sales</v>
          </cell>
          <cell r="D458" t="str">
            <v>9 - t&amp;e</v>
          </cell>
          <cell r="F458" t="str">
            <v xml:space="preserve">                        Miscellaneous - Wezwick</v>
          </cell>
        </row>
        <row r="459">
          <cell r="A459" t="str">
            <v>01-443220-0220-0230</v>
          </cell>
          <cell r="B459" t="str">
            <v>220</v>
          </cell>
          <cell r="C459" t="str">
            <v>sales</v>
          </cell>
          <cell r="D459" t="str">
            <v>9 - t&amp;e</v>
          </cell>
          <cell r="F459" t="str">
            <v xml:space="preserve">                        Travel - Marketing</v>
          </cell>
        </row>
        <row r="460">
          <cell r="A460" t="str">
            <v>01-443221-0220-0230</v>
          </cell>
          <cell r="B460" t="str">
            <v>220</v>
          </cell>
          <cell r="C460" t="str">
            <v>sales</v>
          </cell>
          <cell r="D460" t="str">
            <v>9 - t&amp;e</v>
          </cell>
          <cell r="F460" t="str">
            <v xml:space="preserve">                        Accoms &amp; Meals - Marketing</v>
          </cell>
        </row>
        <row r="461">
          <cell r="A461" t="str">
            <v>01-443222-0220-0230</v>
          </cell>
          <cell r="B461" t="str">
            <v>220</v>
          </cell>
          <cell r="C461" t="str">
            <v>sales</v>
          </cell>
          <cell r="D461" t="str">
            <v>9 - t&amp;e</v>
          </cell>
          <cell r="F461" t="str">
            <v xml:space="preserve">                        Entertainment - Marketing</v>
          </cell>
        </row>
        <row r="462">
          <cell r="A462" t="str">
            <v>01-443223-0220-0230</v>
          </cell>
          <cell r="B462" t="str">
            <v>220</v>
          </cell>
          <cell r="C462" t="str">
            <v>sales</v>
          </cell>
          <cell r="D462" t="str">
            <v>9 - t&amp;e</v>
          </cell>
          <cell r="F462" t="str">
            <v xml:space="preserve">                        Telephone - Marketing</v>
          </cell>
        </row>
        <row r="463">
          <cell r="A463" t="str">
            <v>01-443224-0220-0230</v>
          </cell>
          <cell r="B463" t="str">
            <v>220</v>
          </cell>
          <cell r="C463" t="str">
            <v>sales</v>
          </cell>
          <cell r="D463" t="str">
            <v>9 - t&amp;e</v>
          </cell>
          <cell r="F463" t="str">
            <v xml:space="preserve">                        Miscellaneous - Marketing</v>
          </cell>
        </row>
        <row r="464">
          <cell r="A464" t="str">
            <v>01-443225-0225-0200</v>
          </cell>
          <cell r="B464" t="str">
            <v>225</v>
          </cell>
          <cell r="C464" t="str">
            <v>sales</v>
          </cell>
          <cell r="D464" t="str">
            <v>9 - t&amp;e</v>
          </cell>
          <cell r="F464" t="str">
            <v xml:space="preserve">                        Travel - Inside Sales - Comeau</v>
          </cell>
        </row>
        <row r="465">
          <cell r="A465" t="str">
            <v>01-443226-0225-0200</v>
          </cell>
          <cell r="B465" t="str">
            <v>225</v>
          </cell>
          <cell r="C465" t="str">
            <v>sales</v>
          </cell>
          <cell r="D465" t="str">
            <v>9 - t&amp;e</v>
          </cell>
          <cell r="F465" t="str">
            <v xml:space="preserve">                        Accoms &amp; Meals - Inside Sales - Comeau</v>
          </cell>
        </row>
        <row r="466">
          <cell r="A466" t="str">
            <v>01-443227-0225-0200</v>
          </cell>
          <cell r="B466" t="str">
            <v>225</v>
          </cell>
          <cell r="C466" t="str">
            <v>sales</v>
          </cell>
          <cell r="D466" t="str">
            <v>9 - t&amp;e</v>
          </cell>
          <cell r="F466" t="str">
            <v xml:space="preserve">                        Entertainment - Inside Sales - Comeau</v>
          </cell>
        </row>
        <row r="467">
          <cell r="A467" t="str">
            <v>01-443228-0225-0200</v>
          </cell>
          <cell r="B467" t="str">
            <v>225</v>
          </cell>
          <cell r="C467" t="str">
            <v>sales</v>
          </cell>
          <cell r="D467" t="str">
            <v>9 - t&amp;e</v>
          </cell>
          <cell r="F467" t="str">
            <v xml:space="preserve">                        Telephone - Inside Sales - Comeau</v>
          </cell>
        </row>
        <row r="468">
          <cell r="A468" t="str">
            <v>01-443229-0225-0200</v>
          </cell>
          <cell r="B468" t="str">
            <v>225</v>
          </cell>
          <cell r="C468" t="str">
            <v>sales</v>
          </cell>
          <cell r="D468" t="str">
            <v>9 - t&amp;e</v>
          </cell>
          <cell r="F468" t="str">
            <v xml:space="preserve">                        Miscellaneous - Inside Sales - Comeau</v>
          </cell>
        </row>
        <row r="469">
          <cell r="A469" t="str">
            <v>01-443235-0235-0200</v>
          </cell>
          <cell r="B469" t="str">
            <v>235</v>
          </cell>
          <cell r="C469" t="str">
            <v>sales</v>
          </cell>
          <cell r="D469" t="str">
            <v>9 - t&amp;e</v>
          </cell>
          <cell r="F469" t="str">
            <v xml:space="preserve">                        Travel - Sales Operations</v>
          </cell>
        </row>
        <row r="470">
          <cell r="A470" t="str">
            <v>01-443236-0235-0200</v>
          </cell>
          <cell r="B470" t="str">
            <v>235</v>
          </cell>
          <cell r="C470" t="str">
            <v>sales</v>
          </cell>
          <cell r="D470" t="str">
            <v>9 - t&amp;e</v>
          </cell>
          <cell r="F470" t="str">
            <v xml:space="preserve">                        Accoms &amp; Mls - Sales Operations</v>
          </cell>
        </row>
        <row r="471">
          <cell r="A471" t="str">
            <v>01-443237-0235-0200</v>
          </cell>
          <cell r="B471" t="str">
            <v>235</v>
          </cell>
          <cell r="C471" t="str">
            <v>sales</v>
          </cell>
          <cell r="D471" t="str">
            <v>9 - t&amp;e</v>
          </cell>
          <cell r="F471" t="str">
            <v xml:space="preserve">                        Entertainment - Sales Operations</v>
          </cell>
        </row>
        <row r="472">
          <cell r="A472" t="str">
            <v>01-443238-0235-0200</v>
          </cell>
          <cell r="B472" t="str">
            <v>235</v>
          </cell>
          <cell r="C472" t="str">
            <v>sales</v>
          </cell>
          <cell r="D472" t="str">
            <v>9 - t&amp;e</v>
          </cell>
          <cell r="F472" t="str">
            <v xml:space="preserve">                        Telephone - Sales Operations</v>
          </cell>
        </row>
        <row r="473">
          <cell r="A473" t="str">
            <v>01-443239-0235-0200</v>
          </cell>
          <cell r="B473" t="str">
            <v>235</v>
          </cell>
          <cell r="C473" t="str">
            <v>sales</v>
          </cell>
          <cell r="D473" t="str">
            <v>9 - t&amp;e</v>
          </cell>
          <cell r="F473" t="str">
            <v xml:space="preserve">                        Miscellaneous - Sales Operations</v>
          </cell>
        </row>
        <row r="474">
          <cell r="A474" t="str">
            <v>01-443245-0245-0200</v>
          </cell>
          <cell r="B474" t="str">
            <v>245</v>
          </cell>
          <cell r="C474" t="str">
            <v>sales</v>
          </cell>
          <cell r="D474" t="str">
            <v>9 - t&amp;e</v>
          </cell>
          <cell r="F474" t="str">
            <v xml:space="preserve">                        Travel - Sales Reg 1- Catanzarite</v>
          </cell>
        </row>
        <row r="475">
          <cell r="A475" t="str">
            <v>01-443246-0245-0200</v>
          </cell>
          <cell r="B475" t="str">
            <v>245</v>
          </cell>
          <cell r="C475" t="str">
            <v>sales</v>
          </cell>
          <cell r="D475" t="str">
            <v>9 - t&amp;e</v>
          </cell>
          <cell r="F475" t="str">
            <v xml:space="preserve">                        Accoms  &amp; Mls -Sales Reg 1- Catanzarite</v>
          </cell>
        </row>
        <row r="476">
          <cell r="A476" t="str">
            <v>01-443247-0245-0200</v>
          </cell>
          <cell r="B476" t="str">
            <v>245</v>
          </cell>
          <cell r="C476" t="str">
            <v>sales</v>
          </cell>
          <cell r="D476" t="str">
            <v>9 - t&amp;e</v>
          </cell>
          <cell r="F476" t="str">
            <v xml:space="preserve">                        Entertainment-Sales Reg 1- Catanzarite</v>
          </cell>
        </row>
        <row r="477">
          <cell r="A477" t="str">
            <v>01-443248-0245-0200</v>
          </cell>
          <cell r="B477" t="str">
            <v>245</v>
          </cell>
          <cell r="C477" t="str">
            <v>sales</v>
          </cell>
          <cell r="D477" t="str">
            <v>9 - t&amp;e</v>
          </cell>
          <cell r="F477" t="str">
            <v xml:space="preserve">                        Telephone-Sales Reg 1- Catanzarite</v>
          </cell>
        </row>
        <row r="478">
          <cell r="A478" t="str">
            <v>01-443249-0245-0200</v>
          </cell>
          <cell r="B478" t="str">
            <v>245</v>
          </cell>
          <cell r="C478" t="str">
            <v>sales</v>
          </cell>
          <cell r="D478" t="str">
            <v>9 - t&amp;e</v>
          </cell>
          <cell r="F478" t="str">
            <v xml:space="preserve">                        Misc-Sales Reg 1- Catanzarite</v>
          </cell>
        </row>
        <row r="479">
          <cell r="A479" t="str">
            <v>01-443255-0255-0200</v>
          </cell>
          <cell r="B479" t="str">
            <v>255</v>
          </cell>
          <cell r="C479" t="str">
            <v>sales</v>
          </cell>
          <cell r="D479" t="str">
            <v>9 - t&amp;e</v>
          </cell>
          <cell r="F479" t="str">
            <v xml:space="preserve">                        Travel - Sales Region 2</v>
          </cell>
        </row>
        <row r="480">
          <cell r="A480" t="str">
            <v>01-443256-0255-0200</v>
          </cell>
          <cell r="B480" t="str">
            <v>255</v>
          </cell>
          <cell r="C480" t="str">
            <v>sales</v>
          </cell>
          <cell r="D480" t="str">
            <v>9 - t&amp;e</v>
          </cell>
          <cell r="F480" t="str">
            <v xml:space="preserve">                        Accoms &amp; Meals - Sales Region 2</v>
          </cell>
        </row>
        <row r="481">
          <cell r="A481" t="str">
            <v>01-443257-0255-0200</v>
          </cell>
          <cell r="B481" t="str">
            <v>255</v>
          </cell>
          <cell r="C481" t="str">
            <v>sales</v>
          </cell>
          <cell r="D481" t="str">
            <v>9 - t&amp;e</v>
          </cell>
          <cell r="F481" t="str">
            <v xml:space="preserve">                        Entertainment - Sales Region 2</v>
          </cell>
        </row>
        <row r="482">
          <cell r="A482" t="str">
            <v>01-443258-0255-0200</v>
          </cell>
          <cell r="B482" t="str">
            <v>255</v>
          </cell>
          <cell r="C482" t="str">
            <v>sales</v>
          </cell>
          <cell r="D482" t="str">
            <v>9 - t&amp;e</v>
          </cell>
          <cell r="F482" t="str">
            <v xml:space="preserve">                        Telephone - Sales Region 2</v>
          </cell>
        </row>
        <row r="483">
          <cell r="A483" t="str">
            <v>01-443259-0255-0200</v>
          </cell>
          <cell r="B483" t="str">
            <v>255</v>
          </cell>
          <cell r="C483" t="str">
            <v>sales</v>
          </cell>
          <cell r="D483" t="str">
            <v>9 - t&amp;e</v>
          </cell>
          <cell r="F483" t="str">
            <v xml:space="preserve">                        Miscellaneous - Sales Region 2</v>
          </cell>
        </row>
        <row r="484">
          <cell r="A484" t="str">
            <v>01-443275-0275-0200</v>
          </cell>
          <cell r="B484" t="str">
            <v>275</v>
          </cell>
          <cell r="C484" t="str">
            <v>sales</v>
          </cell>
          <cell r="D484" t="str">
            <v>9 - t&amp;e</v>
          </cell>
          <cell r="F484" t="str">
            <v xml:space="preserve">                        Travel - Sales AFN</v>
          </cell>
        </row>
        <row r="485">
          <cell r="A485" t="str">
            <v>01-443276-0275-0200</v>
          </cell>
          <cell r="B485" t="str">
            <v>275</v>
          </cell>
          <cell r="C485" t="str">
            <v>sales</v>
          </cell>
          <cell r="D485" t="str">
            <v>9 - t&amp;e</v>
          </cell>
          <cell r="F485" t="str">
            <v xml:space="preserve">                        Accoms &amp; Meals - Sales AFN</v>
          </cell>
        </row>
        <row r="486">
          <cell r="A486" t="str">
            <v>01-443277-0275-0200</v>
          </cell>
          <cell r="B486" t="str">
            <v>275</v>
          </cell>
          <cell r="C486" t="str">
            <v>sales</v>
          </cell>
          <cell r="D486" t="str">
            <v>9 - t&amp;e</v>
          </cell>
          <cell r="F486" t="str">
            <v xml:space="preserve">                        Entertainment - Sales AFN</v>
          </cell>
        </row>
        <row r="487">
          <cell r="A487" t="str">
            <v>01-443278-0275-0200</v>
          </cell>
          <cell r="B487" t="str">
            <v>275</v>
          </cell>
          <cell r="C487" t="str">
            <v>sales</v>
          </cell>
          <cell r="D487" t="str">
            <v>9 - t&amp;e</v>
          </cell>
          <cell r="F487" t="str">
            <v xml:space="preserve">                        Telephone - Sales AFN</v>
          </cell>
        </row>
        <row r="488">
          <cell r="A488" t="str">
            <v>01-443279-0275-0200</v>
          </cell>
          <cell r="B488" t="str">
            <v>275</v>
          </cell>
          <cell r="C488" t="str">
            <v>sales</v>
          </cell>
          <cell r="D488" t="str">
            <v>9 - t&amp;e</v>
          </cell>
          <cell r="F488" t="str">
            <v xml:space="preserve">                        Miscellaneous - Sales AFN</v>
          </cell>
        </row>
        <row r="489">
          <cell r="A489" t="str">
            <v>01-443290-0290-0200</v>
          </cell>
          <cell r="B489" t="str">
            <v>290</v>
          </cell>
          <cell r="C489" t="str">
            <v>sales</v>
          </cell>
          <cell r="D489" t="str">
            <v>9 - t&amp;e</v>
          </cell>
          <cell r="F489" t="str">
            <v xml:space="preserve">                        Travel - Business Partners</v>
          </cell>
        </row>
        <row r="490">
          <cell r="A490" t="str">
            <v>01-443291-0290-0200</v>
          </cell>
          <cell r="B490" t="str">
            <v>290</v>
          </cell>
          <cell r="C490" t="str">
            <v>sales</v>
          </cell>
          <cell r="D490" t="str">
            <v>9 - t&amp;e</v>
          </cell>
          <cell r="F490" t="str">
            <v xml:space="preserve">                        Accoms &amp; Meals - Business Partners</v>
          </cell>
        </row>
        <row r="491">
          <cell r="A491" t="str">
            <v>01-443292-0290-0200</v>
          </cell>
          <cell r="B491" t="str">
            <v>290</v>
          </cell>
          <cell r="C491" t="str">
            <v>sales</v>
          </cell>
          <cell r="D491" t="str">
            <v>9 - t&amp;e</v>
          </cell>
          <cell r="F491" t="str">
            <v xml:space="preserve">                        Entertainment - Business Partners</v>
          </cell>
        </row>
        <row r="492">
          <cell r="A492" t="str">
            <v>01-443293-0290-0200</v>
          </cell>
          <cell r="B492" t="str">
            <v>290</v>
          </cell>
          <cell r="C492" t="str">
            <v>sales</v>
          </cell>
          <cell r="D492" t="str">
            <v>9 - t&amp;e</v>
          </cell>
          <cell r="F492" t="str">
            <v xml:space="preserve">                        Telephone - Business Partners</v>
          </cell>
        </row>
        <row r="493">
          <cell r="A493" t="str">
            <v>01-443294-0290-0200</v>
          </cell>
          <cell r="B493" t="str">
            <v>290</v>
          </cell>
          <cell r="C493" t="str">
            <v>sales</v>
          </cell>
          <cell r="D493" t="str">
            <v>9 - t&amp;e</v>
          </cell>
          <cell r="F493" t="str">
            <v xml:space="preserve">                        Miscellaneous - Business Partners</v>
          </cell>
        </row>
        <row r="494">
          <cell r="A494" t="str">
            <v>01-443295-0295-0200</v>
          </cell>
          <cell r="B494" t="str">
            <v>295</v>
          </cell>
          <cell r="C494" t="str">
            <v>sales</v>
          </cell>
          <cell r="D494" t="str">
            <v>9 - t&amp;e</v>
          </cell>
          <cell r="F494" t="str">
            <v xml:space="preserve">                        Travel - Major Accounts</v>
          </cell>
        </row>
        <row r="495">
          <cell r="A495" t="str">
            <v>01-443296-0295-0200</v>
          </cell>
          <cell r="B495" t="str">
            <v>295</v>
          </cell>
          <cell r="C495" t="str">
            <v>sales</v>
          </cell>
          <cell r="D495" t="str">
            <v>9 - t&amp;e</v>
          </cell>
          <cell r="F495" t="str">
            <v xml:space="preserve">                        Accoms &amp; Meals - Major Accounts</v>
          </cell>
        </row>
        <row r="496">
          <cell r="A496" t="str">
            <v>01-443297-0295-0200</v>
          </cell>
          <cell r="B496" t="str">
            <v>295</v>
          </cell>
          <cell r="C496" t="str">
            <v>sales</v>
          </cell>
          <cell r="D496" t="str">
            <v>9 - t&amp;e</v>
          </cell>
          <cell r="F496" t="str">
            <v xml:space="preserve">                        Entertainment - Major Accounts</v>
          </cell>
        </row>
        <row r="497">
          <cell r="A497" t="str">
            <v>01-443298-0295-0200</v>
          </cell>
          <cell r="B497" t="str">
            <v>295</v>
          </cell>
          <cell r="C497" t="str">
            <v>sales</v>
          </cell>
          <cell r="D497" t="str">
            <v>9 - t&amp;e</v>
          </cell>
          <cell r="F497" t="str">
            <v xml:space="preserve">                        Telephone - Major Accounts</v>
          </cell>
        </row>
        <row r="498">
          <cell r="A498" t="str">
            <v>01-443305-0305-0300</v>
          </cell>
          <cell r="B498" t="str">
            <v>305</v>
          </cell>
          <cell r="C498" t="str">
            <v>cust supp</v>
          </cell>
          <cell r="D498" t="str">
            <v>9 - t&amp;e</v>
          </cell>
          <cell r="F498" t="str">
            <v xml:space="preserve">                        Travel - Supp Mgmt</v>
          </cell>
        </row>
        <row r="499">
          <cell r="A499" t="str">
            <v>01-443306-0305-0300</v>
          </cell>
          <cell r="B499" t="str">
            <v>305</v>
          </cell>
          <cell r="C499" t="str">
            <v>cust supp</v>
          </cell>
          <cell r="D499" t="str">
            <v>9 - t&amp;e</v>
          </cell>
          <cell r="F499" t="str">
            <v xml:space="preserve">                        Accom &amp; Meals - Supp Mgmt</v>
          </cell>
        </row>
        <row r="500">
          <cell r="A500" t="str">
            <v>01-443307-0305-0300</v>
          </cell>
          <cell r="B500" t="str">
            <v>305</v>
          </cell>
          <cell r="C500" t="str">
            <v>cust supp</v>
          </cell>
          <cell r="D500" t="str">
            <v>9 - t&amp;e</v>
          </cell>
          <cell r="F500" t="str">
            <v xml:space="preserve">                        Entertainment - Cust Supp Mgmt</v>
          </cell>
        </row>
        <row r="501">
          <cell r="A501" t="str">
            <v>01-443308-0305-0300</v>
          </cell>
          <cell r="B501" t="str">
            <v>305</v>
          </cell>
          <cell r="C501" t="str">
            <v>cust supp</v>
          </cell>
          <cell r="D501" t="str">
            <v>9 - t&amp;e</v>
          </cell>
          <cell r="F501" t="str">
            <v xml:space="preserve">                        Telephone - Supp Mgmt</v>
          </cell>
        </row>
        <row r="502">
          <cell r="A502" t="str">
            <v>01-443309-0305-0300</v>
          </cell>
          <cell r="B502" t="str">
            <v>305</v>
          </cell>
          <cell r="C502" t="str">
            <v>cust supp</v>
          </cell>
          <cell r="D502" t="str">
            <v>9 - t&amp;e</v>
          </cell>
          <cell r="F502" t="str">
            <v xml:space="preserve">                        Misc - Supp Mgmt</v>
          </cell>
        </row>
        <row r="503">
          <cell r="A503" t="str">
            <v>01-443310-0310-0300</v>
          </cell>
          <cell r="B503" t="str">
            <v>310</v>
          </cell>
          <cell r="C503" t="str">
            <v>cust supp</v>
          </cell>
          <cell r="D503" t="str">
            <v>9 - t&amp;e</v>
          </cell>
          <cell r="F503" t="str">
            <v xml:space="preserve">                        Travel - Support Admin</v>
          </cell>
        </row>
        <row r="504">
          <cell r="A504" t="str">
            <v>01-443311-0310-0300</v>
          </cell>
          <cell r="B504" t="str">
            <v>310</v>
          </cell>
          <cell r="C504" t="str">
            <v>cust supp</v>
          </cell>
          <cell r="D504" t="str">
            <v>9 - t&amp;e</v>
          </cell>
          <cell r="F504" t="str">
            <v xml:space="preserve">                        Accoms/Meals-Support Admin</v>
          </cell>
        </row>
        <row r="505">
          <cell r="A505" t="str">
            <v>01-443312-0310-0300</v>
          </cell>
          <cell r="B505" t="str">
            <v>310</v>
          </cell>
          <cell r="C505" t="str">
            <v>cust supp</v>
          </cell>
          <cell r="D505" t="str">
            <v>9 - t&amp;e</v>
          </cell>
          <cell r="F505" t="str">
            <v xml:space="preserve">                        Entertainment - Supp Admin</v>
          </cell>
        </row>
        <row r="506">
          <cell r="A506" t="str">
            <v>01-443313-0310-0300</v>
          </cell>
          <cell r="B506" t="str">
            <v>310</v>
          </cell>
          <cell r="C506" t="str">
            <v>cust supp</v>
          </cell>
          <cell r="D506" t="str">
            <v>9 - t&amp;e</v>
          </cell>
          <cell r="F506" t="str">
            <v xml:space="preserve">                        Telephone - Supp Admin</v>
          </cell>
        </row>
        <row r="507">
          <cell r="A507" t="str">
            <v>01-443315-0315-0300</v>
          </cell>
          <cell r="B507" t="str">
            <v>315</v>
          </cell>
          <cell r="C507" t="str">
            <v>prod dev</v>
          </cell>
          <cell r="D507" t="str">
            <v>9 - t&amp;e</v>
          </cell>
          <cell r="F507" t="str">
            <v xml:space="preserve">                        Travel - Multimedia Support</v>
          </cell>
        </row>
        <row r="508">
          <cell r="A508" t="str">
            <v>01-443316-0315-0300</v>
          </cell>
          <cell r="B508" t="str">
            <v>315</v>
          </cell>
          <cell r="C508" t="str">
            <v>prod dev</v>
          </cell>
          <cell r="D508" t="str">
            <v>9 - t&amp;e</v>
          </cell>
          <cell r="F508" t="str">
            <v xml:space="preserve">                        Accom &amp; Meals - Multimedia Supp</v>
          </cell>
        </row>
        <row r="509">
          <cell r="A509" t="str">
            <v>01-443317-0315-0300</v>
          </cell>
          <cell r="B509" t="str">
            <v>315</v>
          </cell>
          <cell r="C509" t="str">
            <v>prod dev</v>
          </cell>
          <cell r="D509" t="str">
            <v>9 - t&amp;e</v>
          </cell>
          <cell r="F509" t="str">
            <v xml:space="preserve">                        Entertainment - Multimedia Supp</v>
          </cell>
        </row>
        <row r="510">
          <cell r="A510" t="str">
            <v>01-443318-0315-0300</v>
          </cell>
          <cell r="B510" t="str">
            <v>315</v>
          </cell>
          <cell r="C510" t="str">
            <v>prod dev</v>
          </cell>
          <cell r="D510" t="str">
            <v>9 - t&amp;e</v>
          </cell>
          <cell r="F510" t="str">
            <v xml:space="preserve">                        Telephone - Multimedia Supp</v>
          </cell>
        </row>
        <row r="511">
          <cell r="A511" t="str">
            <v>01-443319-0315-0300</v>
          </cell>
          <cell r="B511" t="str">
            <v>315</v>
          </cell>
          <cell r="C511" t="str">
            <v>prod dev</v>
          </cell>
          <cell r="D511" t="str">
            <v>9 - t&amp;e</v>
          </cell>
          <cell r="F511" t="str">
            <v xml:space="preserve">                        Misc - Multimedia Supp</v>
          </cell>
        </row>
        <row r="512">
          <cell r="A512" t="str">
            <v>01-443320-0320-0300</v>
          </cell>
          <cell r="B512" t="str">
            <v>320</v>
          </cell>
          <cell r="C512" t="str">
            <v>cust supp</v>
          </cell>
          <cell r="D512" t="str">
            <v>9 - t&amp;e</v>
          </cell>
          <cell r="F512" t="str">
            <v xml:space="preserve">                        Travel - Cust Supp  SAS</v>
          </cell>
        </row>
        <row r="513">
          <cell r="A513" t="str">
            <v>01-443321-0320-0300</v>
          </cell>
          <cell r="B513" t="str">
            <v>320</v>
          </cell>
          <cell r="C513" t="str">
            <v>cust supp</v>
          </cell>
          <cell r="D513" t="str">
            <v>9 - t&amp;e</v>
          </cell>
          <cell r="F513" t="str">
            <v xml:space="preserve">                        Accoms &amp; Meals - Cust Supp SAS</v>
          </cell>
        </row>
        <row r="514">
          <cell r="A514" t="str">
            <v>01-443322-0320-0300</v>
          </cell>
          <cell r="B514" t="str">
            <v>320</v>
          </cell>
          <cell r="C514" t="str">
            <v>cust supp</v>
          </cell>
          <cell r="D514" t="str">
            <v>9 - t&amp;e</v>
          </cell>
          <cell r="F514" t="str">
            <v xml:space="preserve">                        Entertainment - Cust Supp SAS</v>
          </cell>
        </row>
        <row r="515">
          <cell r="A515" t="str">
            <v>01-443323-0320-0300</v>
          </cell>
          <cell r="B515" t="str">
            <v>320</v>
          </cell>
          <cell r="C515" t="str">
            <v>cust supp</v>
          </cell>
          <cell r="D515" t="str">
            <v>9 - t&amp;e</v>
          </cell>
          <cell r="F515" t="str">
            <v xml:space="preserve">                        Telephone - Cust Supp SAS</v>
          </cell>
        </row>
        <row r="516">
          <cell r="A516" t="str">
            <v>01-443325-0325-0300</v>
          </cell>
          <cell r="B516" t="str">
            <v>325</v>
          </cell>
          <cell r="C516" t="str">
            <v>cust supp</v>
          </cell>
          <cell r="D516" t="str">
            <v>9 - t&amp;e</v>
          </cell>
          <cell r="F516" t="str">
            <v xml:space="preserve">                        Travel - CS/Tech Support</v>
          </cell>
        </row>
        <row r="517">
          <cell r="A517" t="str">
            <v>01-443326-0325-0300</v>
          </cell>
          <cell r="B517" t="str">
            <v>325</v>
          </cell>
          <cell r="C517" t="str">
            <v>cust supp</v>
          </cell>
          <cell r="D517" t="str">
            <v>9 - t&amp;e</v>
          </cell>
          <cell r="F517" t="str">
            <v xml:space="preserve">                        Accom &amp; Meals - CS/Tech Support</v>
          </cell>
        </row>
        <row r="518">
          <cell r="A518" t="str">
            <v>01-443327-0325-0300</v>
          </cell>
          <cell r="B518" t="str">
            <v>325</v>
          </cell>
          <cell r="C518" t="str">
            <v>cust supp</v>
          </cell>
          <cell r="D518" t="str">
            <v>9 - t&amp;e</v>
          </cell>
          <cell r="F518" t="str">
            <v xml:space="preserve">                        Entertainment - CS/Tech Support</v>
          </cell>
        </row>
        <row r="519">
          <cell r="A519" t="str">
            <v>01-443328-0325-0300</v>
          </cell>
          <cell r="B519" t="str">
            <v>325</v>
          </cell>
          <cell r="C519" t="str">
            <v>cust supp</v>
          </cell>
          <cell r="D519" t="str">
            <v>9 - t&amp;e</v>
          </cell>
          <cell r="F519" t="str">
            <v xml:space="preserve">                        Telephone - CS/ Tech Supp</v>
          </cell>
        </row>
        <row r="520">
          <cell r="A520" t="str">
            <v>01-443330-0330-0300</v>
          </cell>
          <cell r="B520" t="str">
            <v>330</v>
          </cell>
          <cell r="C520" t="str">
            <v>cust supp</v>
          </cell>
          <cell r="D520" t="str">
            <v>9 - t&amp;e</v>
          </cell>
          <cell r="F520" t="str">
            <v xml:space="preserve">                        Travel - Supp FRS</v>
          </cell>
        </row>
        <row r="521">
          <cell r="A521" t="str">
            <v>01-443331-0330-0300</v>
          </cell>
          <cell r="B521" t="str">
            <v>330</v>
          </cell>
          <cell r="C521" t="str">
            <v>cust supp</v>
          </cell>
          <cell r="D521" t="str">
            <v>9 - t&amp;e</v>
          </cell>
          <cell r="F521" t="str">
            <v xml:space="preserve">                        Accom &amp; Meals - Supp FRS</v>
          </cell>
        </row>
        <row r="522">
          <cell r="A522" t="str">
            <v>01-443332-0330-0300</v>
          </cell>
          <cell r="B522" t="str">
            <v>330</v>
          </cell>
          <cell r="C522" t="str">
            <v>cust supp</v>
          </cell>
          <cell r="D522" t="str">
            <v>9 - t&amp;e</v>
          </cell>
          <cell r="F522" t="str">
            <v xml:space="preserve">                        Entertainment - Supp FRS</v>
          </cell>
        </row>
        <row r="523">
          <cell r="A523" t="str">
            <v>01-443333-0330-0300</v>
          </cell>
          <cell r="B523" t="str">
            <v>330</v>
          </cell>
          <cell r="C523" t="str">
            <v>cust supp</v>
          </cell>
          <cell r="D523" t="str">
            <v>9 - t&amp;e</v>
          </cell>
          <cell r="F523" t="str">
            <v xml:space="preserve">                        Telephone - Supp FRS</v>
          </cell>
        </row>
        <row r="524">
          <cell r="A524" t="str">
            <v>01-443335-0335-0300</v>
          </cell>
          <cell r="B524" t="str">
            <v>335</v>
          </cell>
          <cell r="C524" t="str">
            <v>cust supp</v>
          </cell>
          <cell r="D524" t="str">
            <v>9 - t&amp;e</v>
          </cell>
          <cell r="F524" t="str">
            <v xml:space="preserve">                        Travel - Support FRS Consultants</v>
          </cell>
        </row>
        <row r="525">
          <cell r="A525" t="str">
            <v>01-443336-0335-0300</v>
          </cell>
          <cell r="B525" t="str">
            <v>335</v>
          </cell>
          <cell r="C525" t="str">
            <v>cust supp</v>
          </cell>
          <cell r="D525" t="str">
            <v>9 - t&amp;e</v>
          </cell>
          <cell r="F525" t="str">
            <v xml:space="preserve">                        Accom &amp; Meals - Support FRS Consultants</v>
          </cell>
        </row>
        <row r="526">
          <cell r="A526" t="str">
            <v>01-443337-0335-0300</v>
          </cell>
          <cell r="B526" t="str">
            <v>335</v>
          </cell>
          <cell r="C526" t="str">
            <v>cust supp</v>
          </cell>
          <cell r="D526" t="str">
            <v>9 - t&amp;e</v>
          </cell>
          <cell r="F526" t="str">
            <v xml:space="preserve">                        Entertainment - Support FRS Consultants</v>
          </cell>
        </row>
        <row r="527">
          <cell r="A527" t="str">
            <v>01-443338-0335-0300</v>
          </cell>
          <cell r="B527" t="str">
            <v>335</v>
          </cell>
          <cell r="C527" t="str">
            <v>cust supp</v>
          </cell>
          <cell r="D527" t="str">
            <v>9 - t&amp;e</v>
          </cell>
          <cell r="F527" t="str">
            <v xml:space="preserve">                        Telephone - Support FRS Consultants</v>
          </cell>
        </row>
        <row r="528">
          <cell r="A528" t="str">
            <v>01-443339-0335-0300</v>
          </cell>
          <cell r="B528" t="str">
            <v>335</v>
          </cell>
          <cell r="C528" t="str">
            <v>cust supp</v>
          </cell>
          <cell r="D528" t="str">
            <v>9 - t&amp;e</v>
          </cell>
          <cell r="F528" t="str">
            <v xml:space="preserve">                        Misc - Support FRS Consultants</v>
          </cell>
        </row>
        <row r="529">
          <cell r="A529" t="str">
            <v>01-443340-0340-0300</v>
          </cell>
          <cell r="B529" t="str">
            <v>340</v>
          </cell>
          <cell r="C529" t="str">
            <v>cust supp</v>
          </cell>
          <cell r="D529" t="str">
            <v>9 - t&amp;e</v>
          </cell>
          <cell r="F529" t="str">
            <v xml:space="preserve">                        Travel - Cust Supp FAS</v>
          </cell>
        </row>
        <row r="530">
          <cell r="A530" t="str">
            <v>01-443341-0340-0300</v>
          </cell>
          <cell r="B530" t="str">
            <v>340</v>
          </cell>
          <cell r="C530" t="str">
            <v>cust supp</v>
          </cell>
          <cell r="D530" t="str">
            <v>9 - t&amp;e</v>
          </cell>
          <cell r="F530" t="str">
            <v xml:space="preserve">                        Accom &amp; Meals - Cust Supp  FAS</v>
          </cell>
        </row>
        <row r="531">
          <cell r="A531" t="str">
            <v>01-443342-0340-0300</v>
          </cell>
          <cell r="B531" t="str">
            <v>340</v>
          </cell>
          <cell r="C531" t="str">
            <v>cust supp</v>
          </cell>
          <cell r="D531" t="str">
            <v>9 - t&amp;e</v>
          </cell>
          <cell r="F531" t="str">
            <v xml:space="preserve">                        Entertainment - Cust Supp FAS</v>
          </cell>
        </row>
        <row r="532">
          <cell r="A532" t="str">
            <v>01-443343-0340-0300</v>
          </cell>
          <cell r="B532" t="str">
            <v>340</v>
          </cell>
          <cell r="C532" t="str">
            <v>cust supp</v>
          </cell>
          <cell r="D532" t="str">
            <v>9 - t&amp;e</v>
          </cell>
          <cell r="F532" t="str">
            <v xml:space="preserve">                        Telephone - Cust Supp FAS</v>
          </cell>
        </row>
        <row r="533">
          <cell r="A533" t="str">
            <v>01-443345-0345-0300</v>
          </cell>
          <cell r="B533" t="str">
            <v>345</v>
          </cell>
          <cell r="C533" t="str">
            <v>cust supp</v>
          </cell>
          <cell r="D533" t="str">
            <v>9 - t&amp;e</v>
          </cell>
          <cell r="F533" t="str">
            <v xml:space="preserve">                        Travel - Support AFN Consultants</v>
          </cell>
        </row>
        <row r="534">
          <cell r="A534" t="str">
            <v>01-443346-0345-0300</v>
          </cell>
          <cell r="B534" t="str">
            <v>345</v>
          </cell>
          <cell r="C534" t="str">
            <v>cust supp</v>
          </cell>
          <cell r="D534" t="str">
            <v>9 - t&amp;e</v>
          </cell>
          <cell r="F534" t="str">
            <v xml:space="preserve">                        Accom &amp; Meals - CS BO Prod Spec</v>
          </cell>
        </row>
        <row r="535">
          <cell r="A535" t="str">
            <v>01-443347-0345-0300</v>
          </cell>
          <cell r="B535" t="str">
            <v>345</v>
          </cell>
          <cell r="C535" t="str">
            <v>cust supp</v>
          </cell>
          <cell r="D535" t="str">
            <v>9 - t&amp;e</v>
          </cell>
          <cell r="F535" t="str">
            <v xml:space="preserve">                        Entertainment - Support AFN Consultants</v>
          </cell>
        </row>
        <row r="536">
          <cell r="A536" t="str">
            <v>01-443348-0345-0300</v>
          </cell>
          <cell r="B536" t="str">
            <v>345</v>
          </cell>
          <cell r="C536" t="str">
            <v>cust supp</v>
          </cell>
          <cell r="D536" t="str">
            <v>9 - t&amp;e</v>
          </cell>
          <cell r="F536" t="str">
            <v xml:space="preserve">                        Telephone - Support AFN Consultants</v>
          </cell>
        </row>
        <row r="537">
          <cell r="A537" t="str">
            <v>01-443355-0355-0300</v>
          </cell>
          <cell r="B537" t="str">
            <v>355</v>
          </cell>
          <cell r="C537" t="str">
            <v>cust supp</v>
          </cell>
          <cell r="D537" t="str">
            <v>9 - t&amp;e</v>
          </cell>
          <cell r="F537" t="str">
            <v xml:space="preserve">                        Travel - Service Operations</v>
          </cell>
        </row>
        <row r="538">
          <cell r="A538" t="str">
            <v>01-443356-0355-0300</v>
          </cell>
          <cell r="B538" t="str">
            <v>355</v>
          </cell>
          <cell r="C538" t="str">
            <v>cust supp</v>
          </cell>
          <cell r="D538" t="str">
            <v>9 - t&amp;e</v>
          </cell>
          <cell r="F538" t="str">
            <v xml:space="preserve">                        Accoms &amp; Meals - Service Operations</v>
          </cell>
        </row>
        <row r="539">
          <cell r="A539" t="str">
            <v>01-443357-0355-0300</v>
          </cell>
          <cell r="B539" t="str">
            <v>355</v>
          </cell>
          <cell r="C539" t="str">
            <v>cust supp</v>
          </cell>
          <cell r="D539" t="str">
            <v>9 - t&amp;e</v>
          </cell>
          <cell r="F539" t="str">
            <v xml:space="preserve">                        Entertainment - Service Operations</v>
          </cell>
        </row>
        <row r="540">
          <cell r="A540" t="str">
            <v>01-443358-0355-0300</v>
          </cell>
          <cell r="B540" t="str">
            <v>355</v>
          </cell>
          <cell r="C540" t="str">
            <v>cust supp</v>
          </cell>
          <cell r="D540" t="str">
            <v>9 - t&amp;e</v>
          </cell>
          <cell r="F540" t="str">
            <v xml:space="preserve">                        Telephone - Service Operations</v>
          </cell>
        </row>
        <row r="541">
          <cell r="A541" t="str">
            <v>01-443360-0360-0300</v>
          </cell>
          <cell r="B541" t="str">
            <v>360</v>
          </cell>
          <cell r="C541" t="str">
            <v>cust supp</v>
          </cell>
          <cell r="D541" t="str">
            <v>9 - t&amp;e</v>
          </cell>
          <cell r="F541" t="str">
            <v xml:space="preserve">                        Travel - Support Education</v>
          </cell>
        </row>
        <row r="542">
          <cell r="A542" t="str">
            <v>01-443361-0360-0300</v>
          </cell>
          <cell r="B542" t="str">
            <v>360</v>
          </cell>
          <cell r="C542" t="str">
            <v>cust supp</v>
          </cell>
          <cell r="D542" t="str">
            <v>9 - t&amp;e</v>
          </cell>
          <cell r="F542" t="str">
            <v xml:space="preserve">                        Accoms &amp; Meals - Support Education</v>
          </cell>
        </row>
        <row r="543">
          <cell r="A543" t="str">
            <v>01-443362-0360-0300</v>
          </cell>
          <cell r="B543" t="str">
            <v>360</v>
          </cell>
          <cell r="C543" t="str">
            <v>cust supp</v>
          </cell>
          <cell r="D543" t="str">
            <v>9 - t&amp;e</v>
          </cell>
          <cell r="F543" t="str">
            <v xml:space="preserve">                        Entertainment - Support Education</v>
          </cell>
        </row>
        <row r="544">
          <cell r="A544" t="str">
            <v>01-443363-0360-0300</v>
          </cell>
          <cell r="B544" t="str">
            <v>360</v>
          </cell>
          <cell r="C544" t="str">
            <v>cust supp</v>
          </cell>
          <cell r="D544" t="str">
            <v>9 - t&amp;e</v>
          </cell>
          <cell r="F544" t="str">
            <v xml:space="preserve">                        Telephone - Support Education</v>
          </cell>
        </row>
        <row r="545">
          <cell r="A545" t="str">
            <v>01-443365-0365-0300</v>
          </cell>
          <cell r="B545" t="str">
            <v>365</v>
          </cell>
          <cell r="C545" t="str">
            <v>cust supp</v>
          </cell>
          <cell r="D545" t="str">
            <v>9 - t&amp;e</v>
          </cell>
          <cell r="F545" t="str">
            <v xml:space="preserve">                        Travel - Support SAS Consultants</v>
          </cell>
        </row>
        <row r="546">
          <cell r="A546" t="str">
            <v>01-443366-0365-0300</v>
          </cell>
          <cell r="B546" t="str">
            <v>365</v>
          </cell>
          <cell r="C546" t="str">
            <v>cust supp</v>
          </cell>
          <cell r="D546" t="str">
            <v>9 - t&amp;e</v>
          </cell>
          <cell r="F546" t="str">
            <v xml:space="preserve">                        Accoms &amp; Meals - Support SAS Consultants</v>
          </cell>
        </row>
        <row r="547">
          <cell r="A547" t="str">
            <v>01-443367-0365-0300</v>
          </cell>
          <cell r="B547" t="str">
            <v>365</v>
          </cell>
          <cell r="C547" t="str">
            <v>cust supp</v>
          </cell>
          <cell r="D547" t="str">
            <v>9 - t&amp;e</v>
          </cell>
          <cell r="F547" t="str">
            <v xml:space="preserve">                        Entertainment - Support SAS Consultants</v>
          </cell>
        </row>
        <row r="548">
          <cell r="A548" t="str">
            <v>01-443368-0365-0300</v>
          </cell>
          <cell r="B548" t="str">
            <v>365</v>
          </cell>
          <cell r="C548" t="str">
            <v>cust supp</v>
          </cell>
          <cell r="D548" t="str">
            <v>9 - t&amp;e</v>
          </cell>
          <cell r="F548" t="str">
            <v xml:space="preserve">                        Telephone - Support SAS Consultants</v>
          </cell>
        </row>
        <row r="549">
          <cell r="A549" t="str">
            <v>01-443388-0385-0300</v>
          </cell>
          <cell r="B549" t="str">
            <v>385</v>
          </cell>
          <cell r="C549" t="str">
            <v>cust supp</v>
          </cell>
          <cell r="D549" t="str">
            <v>9 - t&amp;e</v>
          </cell>
          <cell r="F549" t="str">
            <v xml:space="preserve">                        **Telephone - Cust Support FM</v>
          </cell>
        </row>
        <row r="550">
          <cell r="A550" t="str">
            <v>01-443390-0405-0400</v>
          </cell>
          <cell r="B550" t="str">
            <v>405</v>
          </cell>
          <cell r="C550" t="str">
            <v>prod dev</v>
          </cell>
          <cell r="D550" t="str">
            <v>9 - t&amp;e</v>
          </cell>
          <cell r="F550" t="str">
            <v xml:space="preserve">                        Travel - Internet Technology</v>
          </cell>
        </row>
        <row r="551">
          <cell r="A551" t="str">
            <v>01-443391-0405-0400</v>
          </cell>
          <cell r="B551" t="str">
            <v>405</v>
          </cell>
          <cell r="C551" t="str">
            <v>prod dev</v>
          </cell>
          <cell r="D551" t="str">
            <v>9 - t&amp;e</v>
          </cell>
          <cell r="F551" t="str">
            <v xml:space="preserve">                        Accom &amp; Meals - Internet Technology</v>
          </cell>
        </row>
        <row r="552">
          <cell r="A552" t="str">
            <v>01-443392-0405-0400</v>
          </cell>
          <cell r="B552" t="str">
            <v>405</v>
          </cell>
          <cell r="C552" t="str">
            <v>prod dev</v>
          </cell>
          <cell r="D552" t="str">
            <v>9 - t&amp;e</v>
          </cell>
          <cell r="F552" t="str">
            <v xml:space="preserve">                        Entertainment - Internet Technology</v>
          </cell>
        </row>
        <row r="553">
          <cell r="A553" t="str">
            <v>01-443395-0410-0400</v>
          </cell>
          <cell r="B553" t="str">
            <v>410</v>
          </cell>
          <cell r="C553" t="str">
            <v>prod dev</v>
          </cell>
          <cell r="D553" t="str">
            <v>9 - t&amp;e</v>
          </cell>
          <cell r="F553" t="str">
            <v xml:space="preserve">                        Travel - Product Design - FRS</v>
          </cell>
        </row>
        <row r="554">
          <cell r="A554" t="str">
            <v>01-443397-0410-0400</v>
          </cell>
          <cell r="B554" t="str">
            <v>410</v>
          </cell>
          <cell r="C554" t="str">
            <v>prod dev</v>
          </cell>
          <cell r="D554" t="str">
            <v>9 - t&amp;e</v>
          </cell>
          <cell r="F554" t="str">
            <v xml:space="preserve">                        Entertainment - Prod Design - FRS</v>
          </cell>
        </row>
        <row r="555">
          <cell r="A555" t="str">
            <v>01-443399-0410-0400</v>
          </cell>
          <cell r="B555" t="str">
            <v>410</v>
          </cell>
          <cell r="C555" t="str">
            <v>prod dev</v>
          </cell>
          <cell r="D555" t="str">
            <v>9 - t&amp;e</v>
          </cell>
          <cell r="F555" t="str">
            <v xml:space="preserve">                        Misc - Product Design - FRS</v>
          </cell>
        </row>
        <row r="556">
          <cell r="A556" t="str">
            <v>01-443400-0415-0400</v>
          </cell>
          <cell r="B556" t="str">
            <v>415</v>
          </cell>
          <cell r="C556" t="str">
            <v>prod dev</v>
          </cell>
          <cell r="D556" t="str">
            <v>9 - t&amp;e</v>
          </cell>
          <cell r="F556" t="str">
            <v xml:space="preserve">                        Travel - Product Design - SAS</v>
          </cell>
        </row>
        <row r="557">
          <cell r="A557" t="str">
            <v>01-443401-0415-0400</v>
          </cell>
          <cell r="B557" t="str">
            <v>415</v>
          </cell>
          <cell r="C557" t="str">
            <v>prod dev</v>
          </cell>
          <cell r="D557" t="str">
            <v>9 - t&amp;e</v>
          </cell>
          <cell r="F557" t="str">
            <v xml:space="preserve">                        Accoms &amp; Meals - Prod Design - SAS</v>
          </cell>
        </row>
        <row r="558">
          <cell r="A558" t="str">
            <v>01-443402-0415-0400</v>
          </cell>
          <cell r="B558" t="str">
            <v>415</v>
          </cell>
          <cell r="C558" t="str">
            <v>prod dev</v>
          </cell>
          <cell r="D558" t="str">
            <v>9 - t&amp;e</v>
          </cell>
          <cell r="F558" t="str">
            <v xml:space="preserve">                        Entertainment - Prod Design - SAS</v>
          </cell>
        </row>
        <row r="559">
          <cell r="A559" t="str">
            <v>01-443404-0415-0400</v>
          </cell>
          <cell r="B559" t="str">
            <v>415</v>
          </cell>
          <cell r="C559" t="str">
            <v>prod dev</v>
          </cell>
          <cell r="D559" t="str">
            <v>9 - t&amp;e</v>
          </cell>
          <cell r="F559" t="str">
            <v xml:space="preserve">                        Misc - Product Design - SAS</v>
          </cell>
        </row>
        <row r="560">
          <cell r="A560" t="str">
            <v>01-443410-0705-0400</v>
          </cell>
          <cell r="B560" t="str">
            <v>705</v>
          </cell>
          <cell r="C560" t="str">
            <v>tech svc</v>
          </cell>
          <cell r="D560" t="str">
            <v>9 - t&amp;e</v>
          </cell>
          <cell r="F560" t="str">
            <v xml:space="preserve">                        Travel - T.S. Mgmt</v>
          </cell>
        </row>
        <row r="561">
          <cell r="A561" t="str">
            <v>01-443411-0705-0400</v>
          </cell>
          <cell r="B561" t="str">
            <v>705</v>
          </cell>
          <cell r="C561" t="str">
            <v>tech svc</v>
          </cell>
          <cell r="D561" t="str">
            <v>9 - t&amp;e</v>
          </cell>
          <cell r="F561" t="str">
            <v xml:space="preserve">                        Accoms &amp; Meals - T.S. Mgmt</v>
          </cell>
        </row>
        <row r="562">
          <cell r="A562" t="str">
            <v>01-443412-0705-0400</v>
          </cell>
          <cell r="B562" t="str">
            <v>705</v>
          </cell>
          <cell r="C562" t="str">
            <v>tech svc</v>
          </cell>
          <cell r="D562" t="str">
            <v>9 - t&amp;e</v>
          </cell>
          <cell r="F562" t="str">
            <v xml:space="preserve">                        Entertainment - T.S. Mgmt</v>
          </cell>
        </row>
        <row r="563">
          <cell r="A563" t="str">
            <v>01-443413-0705-0400</v>
          </cell>
          <cell r="B563" t="str">
            <v>705</v>
          </cell>
          <cell r="C563" t="str">
            <v>tech svc</v>
          </cell>
          <cell r="D563" t="str">
            <v>9 - t&amp;e</v>
          </cell>
          <cell r="F563" t="str">
            <v xml:space="preserve">                        Telephone - T.S. Mgmt</v>
          </cell>
        </row>
        <row r="564">
          <cell r="A564" t="str">
            <v>01-443420-0420-0400</v>
          </cell>
          <cell r="B564" t="str">
            <v>420</v>
          </cell>
          <cell r="C564" t="str">
            <v>prod dev</v>
          </cell>
          <cell r="D564" t="str">
            <v>9 - t&amp;e</v>
          </cell>
          <cell r="F564" t="str">
            <v xml:space="preserve">                        Travel - Product Design - FAS</v>
          </cell>
        </row>
        <row r="565">
          <cell r="A565" t="str">
            <v>01-443421-0420-0400</v>
          </cell>
          <cell r="B565" t="str">
            <v>420</v>
          </cell>
          <cell r="C565" t="str">
            <v>prod dev</v>
          </cell>
          <cell r="D565" t="str">
            <v>9 - t&amp;e</v>
          </cell>
          <cell r="F565" t="str">
            <v xml:space="preserve">                        Accoms &amp; Meals - Product Design - FAS</v>
          </cell>
        </row>
        <row r="566">
          <cell r="A566" t="str">
            <v>01-443422-0420-0400</v>
          </cell>
          <cell r="B566" t="str">
            <v>420</v>
          </cell>
          <cell r="C566" t="str">
            <v>prod dev</v>
          </cell>
          <cell r="D566" t="str">
            <v>9 - t&amp;e</v>
          </cell>
          <cell r="F566" t="str">
            <v xml:space="preserve">                        Entertainment - Product Design - FAS</v>
          </cell>
        </row>
        <row r="567">
          <cell r="A567" t="str">
            <v>01-443423-0420-0400</v>
          </cell>
          <cell r="B567" t="str">
            <v>420</v>
          </cell>
          <cell r="C567" t="str">
            <v>prod dev</v>
          </cell>
          <cell r="D567" t="str">
            <v>9 - t&amp;e</v>
          </cell>
          <cell r="F567" t="str">
            <v xml:space="preserve">                        Telephone - Product Design - FAS</v>
          </cell>
        </row>
        <row r="568">
          <cell r="A568" t="str">
            <v>01-443424-0420-0400</v>
          </cell>
          <cell r="B568" t="str">
            <v>420</v>
          </cell>
          <cell r="C568" t="str">
            <v>prod dev</v>
          </cell>
          <cell r="D568" t="str">
            <v>9 - t&amp;e</v>
          </cell>
          <cell r="F568" t="str">
            <v xml:space="preserve">                        Misc - Product Design - FAS</v>
          </cell>
        </row>
        <row r="569">
          <cell r="A569" t="str">
            <v>01-443425-0435-0400</v>
          </cell>
          <cell r="B569" t="str">
            <v>435</v>
          </cell>
          <cell r="C569" t="str">
            <v>prod dev</v>
          </cell>
          <cell r="D569" t="str">
            <v>9 - t&amp;e</v>
          </cell>
          <cell r="F569" t="str">
            <v xml:space="preserve">                        Travel - Prod Programming - SAS</v>
          </cell>
        </row>
        <row r="570">
          <cell r="A570" t="str">
            <v>01-443426-0435-0400</v>
          </cell>
          <cell r="B570" t="str">
            <v>435</v>
          </cell>
          <cell r="C570" t="str">
            <v>prod dev</v>
          </cell>
          <cell r="D570" t="str">
            <v>9 - t&amp;e</v>
          </cell>
          <cell r="F570" t="str">
            <v xml:space="preserve">                        Accoms &amp; Meals - Prod Program - SAS</v>
          </cell>
        </row>
        <row r="571">
          <cell r="A571" t="str">
            <v>01-443427-0435-0400</v>
          </cell>
          <cell r="B571" t="str">
            <v>435</v>
          </cell>
          <cell r="C571" t="str">
            <v>prod dev</v>
          </cell>
          <cell r="D571" t="str">
            <v>9 - t&amp;e</v>
          </cell>
          <cell r="F571" t="str">
            <v xml:space="preserve">                        Entertainment - Prod Program - SAS</v>
          </cell>
        </row>
        <row r="572">
          <cell r="A572" t="str">
            <v>01-443430-0430-0400</v>
          </cell>
          <cell r="B572" t="str">
            <v>430</v>
          </cell>
          <cell r="C572" t="str">
            <v>prod dev</v>
          </cell>
          <cell r="D572" t="str">
            <v>9 - t&amp;e</v>
          </cell>
          <cell r="F572" t="str">
            <v xml:space="preserve">                        Travel - Prod Programming - FRS</v>
          </cell>
        </row>
        <row r="573">
          <cell r="A573" t="str">
            <v>01-443431-0430-0400</v>
          </cell>
          <cell r="B573" t="str">
            <v>430</v>
          </cell>
          <cell r="C573" t="str">
            <v>prod dev</v>
          </cell>
          <cell r="D573" t="str">
            <v>9 - t&amp;e</v>
          </cell>
          <cell r="F573" t="str">
            <v xml:space="preserve">                        Accoms &amp; Meals - Prod Program - FRS</v>
          </cell>
        </row>
        <row r="574">
          <cell r="A574" t="str">
            <v>01-443432-0430-0400</v>
          </cell>
          <cell r="B574" t="str">
            <v>430</v>
          </cell>
          <cell r="C574" t="str">
            <v>prod dev</v>
          </cell>
          <cell r="D574" t="str">
            <v>9 - t&amp;e</v>
          </cell>
          <cell r="F574" t="str">
            <v xml:space="preserve">                        Entertainment - Prod Program - FRS</v>
          </cell>
        </row>
        <row r="575">
          <cell r="A575" t="str">
            <v>01-443435-0370-0300</v>
          </cell>
          <cell r="B575" t="str">
            <v>370</v>
          </cell>
          <cell r="C575" t="str">
            <v>cust supp</v>
          </cell>
          <cell r="D575" t="str">
            <v>9 - t&amp;e</v>
          </cell>
          <cell r="F575" t="str">
            <v xml:space="preserve">                        Travel - Tech Consulting</v>
          </cell>
        </row>
        <row r="576">
          <cell r="A576" t="str">
            <v>01-443436-0370-0300</v>
          </cell>
          <cell r="B576" t="str">
            <v>370</v>
          </cell>
          <cell r="C576" t="str">
            <v>cust supp</v>
          </cell>
          <cell r="D576" t="str">
            <v>9 - t&amp;e</v>
          </cell>
          <cell r="F576" t="str">
            <v xml:space="preserve">                        Accom &amp; Meals - Tech Consulting</v>
          </cell>
        </row>
        <row r="577">
          <cell r="A577" t="str">
            <v>01-443437-0370-0300</v>
          </cell>
          <cell r="B577" t="str">
            <v>370</v>
          </cell>
          <cell r="C577" t="str">
            <v>cust supp</v>
          </cell>
          <cell r="D577" t="str">
            <v>9 - t&amp;e</v>
          </cell>
          <cell r="F577" t="str">
            <v xml:space="preserve">                        Entertainment - Tech Consulting</v>
          </cell>
        </row>
        <row r="578">
          <cell r="A578" t="str">
            <v>01-443438-0370-0300</v>
          </cell>
          <cell r="B578" t="str">
            <v>370</v>
          </cell>
          <cell r="C578" t="str">
            <v>cust supp</v>
          </cell>
          <cell r="D578" t="str">
            <v>9 - t&amp;e</v>
          </cell>
          <cell r="F578" t="str">
            <v xml:space="preserve">                        Telephone - Tech Consulting</v>
          </cell>
        </row>
        <row r="579">
          <cell r="A579" t="str">
            <v>01-443440-0440-0400</v>
          </cell>
          <cell r="B579" t="str">
            <v>440</v>
          </cell>
          <cell r="C579" t="str">
            <v>prod dev</v>
          </cell>
          <cell r="D579" t="str">
            <v>9 - t&amp;e</v>
          </cell>
          <cell r="F579" t="str">
            <v xml:space="preserve">                        Travel - Prod. Programng - FAS</v>
          </cell>
        </row>
        <row r="580">
          <cell r="A580" t="str">
            <v>01-443441-0440-0400</v>
          </cell>
          <cell r="B580" t="str">
            <v>440</v>
          </cell>
          <cell r="C580" t="str">
            <v>prod dev</v>
          </cell>
          <cell r="D580" t="str">
            <v>9 - t&amp;e</v>
          </cell>
          <cell r="F580" t="str">
            <v xml:space="preserve">                        Accoms &amp; Meals - Prod. Programming - FAS</v>
          </cell>
        </row>
        <row r="581">
          <cell r="A581" t="str">
            <v>01-443442-0440-0400</v>
          </cell>
          <cell r="B581" t="str">
            <v>440</v>
          </cell>
          <cell r="C581" t="str">
            <v>prod dev</v>
          </cell>
          <cell r="D581" t="str">
            <v>9 - t&amp;e</v>
          </cell>
          <cell r="F581" t="str">
            <v xml:space="preserve">                        Entertainment - Prod. Programming - FAS</v>
          </cell>
        </row>
        <row r="582">
          <cell r="A582" t="str">
            <v>01-443445-0450-0400</v>
          </cell>
          <cell r="B582" t="str">
            <v>450</v>
          </cell>
          <cell r="C582" t="str">
            <v>prod dev</v>
          </cell>
          <cell r="D582" t="str">
            <v>9 - t&amp;e</v>
          </cell>
          <cell r="F582" t="str">
            <v xml:space="preserve">                        Travel - QA - FRS</v>
          </cell>
        </row>
        <row r="583">
          <cell r="A583" t="str">
            <v>01-443446-0450-0400</v>
          </cell>
          <cell r="B583" t="str">
            <v>450</v>
          </cell>
          <cell r="C583" t="str">
            <v>prod dev</v>
          </cell>
          <cell r="D583" t="str">
            <v>9 - t&amp;e</v>
          </cell>
          <cell r="F583" t="str">
            <v xml:space="preserve">                        Accoms &amp; Meals- QA - FRS</v>
          </cell>
        </row>
        <row r="584">
          <cell r="A584" t="str">
            <v>01-443447-0450-0400</v>
          </cell>
          <cell r="B584" t="str">
            <v>450</v>
          </cell>
          <cell r="C584" t="str">
            <v>prod dev</v>
          </cell>
          <cell r="D584" t="str">
            <v>9 - t&amp;e</v>
          </cell>
          <cell r="F584" t="str">
            <v xml:space="preserve">                        Entertainment - QA - FRS</v>
          </cell>
        </row>
        <row r="585">
          <cell r="A585" t="str">
            <v>01-443448-0450-0400</v>
          </cell>
          <cell r="B585" t="str">
            <v>450</v>
          </cell>
          <cell r="C585" t="str">
            <v>prod dev</v>
          </cell>
          <cell r="D585" t="str">
            <v>9 - t&amp;e</v>
          </cell>
          <cell r="F585" t="str">
            <v xml:space="preserve">                        Telephone - QA - FRS</v>
          </cell>
        </row>
        <row r="586">
          <cell r="A586" t="str">
            <v>01-443450-0750-0400</v>
          </cell>
          <cell r="B586" t="str">
            <v>750</v>
          </cell>
          <cell r="C586" t="str">
            <v>tech svc</v>
          </cell>
          <cell r="D586" t="str">
            <v>9 - t&amp;e</v>
          </cell>
          <cell r="F586" t="str">
            <v xml:space="preserve">                        Travel - Information Systems</v>
          </cell>
        </row>
        <row r="587">
          <cell r="A587" t="str">
            <v>01-443451-0750-0400</v>
          </cell>
          <cell r="B587" t="str">
            <v>750</v>
          </cell>
          <cell r="C587" t="str">
            <v>tech svc</v>
          </cell>
          <cell r="D587" t="str">
            <v>9 - t&amp;e</v>
          </cell>
          <cell r="F587" t="str">
            <v xml:space="preserve">                        Accom/Meals - Information Systems</v>
          </cell>
        </row>
        <row r="588">
          <cell r="A588" t="str">
            <v>01-443452-0750-0400</v>
          </cell>
          <cell r="B588" t="str">
            <v>750</v>
          </cell>
          <cell r="C588" t="str">
            <v>tech svc</v>
          </cell>
          <cell r="D588" t="str">
            <v>9 - t&amp;e</v>
          </cell>
          <cell r="F588" t="str">
            <v xml:space="preserve">                        Entertain. - Information Systems</v>
          </cell>
        </row>
        <row r="589">
          <cell r="A589" t="str">
            <v>01-443453-0750-0400</v>
          </cell>
          <cell r="B589" t="str">
            <v>750</v>
          </cell>
          <cell r="C589" t="str">
            <v>tech svc</v>
          </cell>
          <cell r="D589" t="str">
            <v>9 - t&amp;e</v>
          </cell>
          <cell r="F589" t="str">
            <v xml:space="preserve">                        Telephone - Info Systems</v>
          </cell>
        </row>
        <row r="590">
          <cell r="A590" t="str">
            <v>01-443454-0750-0400</v>
          </cell>
          <cell r="B590" t="str">
            <v>750</v>
          </cell>
          <cell r="C590" t="str">
            <v>tech svc</v>
          </cell>
          <cell r="D590" t="str">
            <v>9 - t&amp;e</v>
          </cell>
          <cell r="F590" t="str">
            <v xml:space="preserve">                        Misc - Info Systems</v>
          </cell>
        </row>
        <row r="591">
          <cell r="A591" t="str">
            <v>01-443455-0755-0400</v>
          </cell>
          <cell r="B591" t="str">
            <v>755</v>
          </cell>
          <cell r="C591" t="str">
            <v>tech svc</v>
          </cell>
          <cell r="D591" t="str">
            <v>9 - t&amp;e</v>
          </cell>
          <cell r="F591" t="str">
            <v xml:space="preserve">                        Travel - Info Tech</v>
          </cell>
        </row>
        <row r="592">
          <cell r="A592" t="str">
            <v>01-443456-0755-0400</v>
          </cell>
          <cell r="B592" t="str">
            <v>755</v>
          </cell>
          <cell r="C592" t="str">
            <v>tech svc</v>
          </cell>
          <cell r="D592" t="str">
            <v>9 - t&amp;e</v>
          </cell>
          <cell r="F592" t="str">
            <v xml:space="preserve">                        Accoms &amp; Meals - Info Tech</v>
          </cell>
        </row>
        <row r="593">
          <cell r="A593" t="str">
            <v>01-443457-0755-0400</v>
          </cell>
          <cell r="B593" t="str">
            <v>755</v>
          </cell>
          <cell r="C593" t="str">
            <v>tech svc</v>
          </cell>
          <cell r="D593" t="str">
            <v>9 - t&amp;e</v>
          </cell>
          <cell r="F593" t="str">
            <v xml:space="preserve">                        Entertainment - Info tech</v>
          </cell>
        </row>
        <row r="594">
          <cell r="A594" t="str">
            <v>01-443458-0755-0400</v>
          </cell>
          <cell r="B594" t="str">
            <v>755</v>
          </cell>
          <cell r="C594" t="str">
            <v>tech svc</v>
          </cell>
          <cell r="D594" t="str">
            <v>9 - t&amp;e</v>
          </cell>
          <cell r="F594" t="str">
            <v xml:space="preserve">                        Telephone - Info Tech</v>
          </cell>
        </row>
        <row r="595">
          <cell r="A595" t="str">
            <v>01-443459-0755-0400</v>
          </cell>
          <cell r="B595" t="str">
            <v>755</v>
          </cell>
          <cell r="C595" t="str">
            <v>tech svc</v>
          </cell>
          <cell r="D595" t="str">
            <v>9 - t&amp;e</v>
          </cell>
          <cell r="F595" t="str">
            <v xml:space="preserve">                        Misc - Info Tech</v>
          </cell>
        </row>
        <row r="596">
          <cell r="A596" t="str">
            <v>01-443460-0460-0400</v>
          </cell>
          <cell r="B596" t="str">
            <v>460</v>
          </cell>
          <cell r="C596" t="str">
            <v>prod dev</v>
          </cell>
          <cell r="D596" t="str">
            <v>9 - t&amp;e</v>
          </cell>
          <cell r="F596" t="str">
            <v xml:space="preserve">                        Travel - Quality Assurance - FAS</v>
          </cell>
        </row>
        <row r="597">
          <cell r="A597" t="str">
            <v>01-443461-0460-0400</v>
          </cell>
          <cell r="B597" t="str">
            <v>460</v>
          </cell>
          <cell r="C597" t="str">
            <v>prod dev</v>
          </cell>
          <cell r="D597" t="str">
            <v>9 - t&amp;e</v>
          </cell>
          <cell r="F597" t="str">
            <v xml:space="preserve">                        Accoms &amp; Meals - Quality Assurance - FAS</v>
          </cell>
        </row>
        <row r="598">
          <cell r="A598" t="str">
            <v>01-443462-0460-0400</v>
          </cell>
          <cell r="B598" t="str">
            <v>460</v>
          </cell>
          <cell r="C598" t="str">
            <v>prod dev</v>
          </cell>
          <cell r="D598" t="str">
            <v>9 - t&amp;e</v>
          </cell>
          <cell r="F598" t="str">
            <v xml:space="preserve">                        Entertainment - Quality Assurance - FAS</v>
          </cell>
        </row>
        <row r="599">
          <cell r="A599" t="str">
            <v>01-443463-0460-0400</v>
          </cell>
          <cell r="B599" t="str">
            <v>460</v>
          </cell>
          <cell r="C599" t="str">
            <v>prod dev</v>
          </cell>
          <cell r="D599" t="str">
            <v>9 - t&amp;e</v>
          </cell>
          <cell r="F599" t="str">
            <v xml:space="preserve">                        Telephone - Quality Assurance - FAS</v>
          </cell>
        </row>
        <row r="600">
          <cell r="A600" t="str">
            <v>01-443465-0730-0700</v>
          </cell>
          <cell r="B600" t="str">
            <v>730</v>
          </cell>
          <cell r="C600" t="str">
            <v>tech svc</v>
          </cell>
          <cell r="D600" t="str">
            <v>9 - t&amp;e</v>
          </cell>
          <cell r="F600" t="str">
            <v xml:space="preserve">                        Travel - Corporate Systems Support</v>
          </cell>
        </row>
        <row r="601">
          <cell r="A601" t="str">
            <v>01-443466-0730-0700</v>
          </cell>
          <cell r="B601" t="str">
            <v>730</v>
          </cell>
          <cell r="C601" t="str">
            <v>tech svc</v>
          </cell>
          <cell r="D601" t="str">
            <v>9 - t&amp;e</v>
          </cell>
          <cell r="F601" t="str">
            <v xml:space="preserve">                        Accom/Meals - Corporate Systems Support</v>
          </cell>
        </row>
        <row r="602">
          <cell r="A602" t="str">
            <v>01-443467-0730-0700</v>
          </cell>
          <cell r="B602" t="str">
            <v>730</v>
          </cell>
          <cell r="C602" t="str">
            <v>tech svc</v>
          </cell>
          <cell r="D602" t="str">
            <v>9 - t&amp;e</v>
          </cell>
          <cell r="F602" t="str">
            <v xml:space="preserve">                        Entertain. - Corporate Systems Support</v>
          </cell>
        </row>
        <row r="603">
          <cell r="A603" t="str">
            <v>01-443468-0730-0700</v>
          </cell>
          <cell r="B603" t="str">
            <v>730</v>
          </cell>
          <cell r="C603" t="str">
            <v>tech svc</v>
          </cell>
          <cell r="D603" t="str">
            <v>9 - t&amp;e</v>
          </cell>
          <cell r="F603" t="str">
            <v xml:space="preserve">                        Telephone - Corporate Systems Support</v>
          </cell>
        </row>
        <row r="604">
          <cell r="A604" t="str">
            <v>01-443470-0470-0400</v>
          </cell>
          <cell r="B604" t="str">
            <v>470</v>
          </cell>
          <cell r="C604" t="str">
            <v>prod dev</v>
          </cell>
          <cell r="D604" t="str">
            <v>9 - t&amp;e</v>
          </cell>
          <cell r="F604" t="str">
            <v xml:space="preserve">                        Travel - Product Doc - FRS</v>
          </cell>
        </row>
        <row r="605">
          <cell r="A605" t="str">
            <v>01-443471-0470-0400</v>
          </cell>
          <cell r="B605" t="str">
            <v>470</v>
          </cell>
          <cell r="C605" t="str">
            <v>prod dev</v>
          </cell>
          <cell r="D605" t="str">
            <v>9 - t&amp;e</v>
          </cell>
          <cell r="F605" t="str">
            <v xml:space="preserve">                        Accoms &amp; Meals - Product Doc - FRS</v>
          </cell>
        </row>
        <row r="606">
          <cell r="A606" t="str">
            <v>01-443472-0470-0400</v>
          </cell>
          <cell r="B606" t="str">
            <v>470</v>
          </cell>
          <cell r="C606" t="str">
            <v>prod dev</v>
          </cell>
          <cell r="D606" t="str">
            <v>9 - t&amp;e</v>
          </cell>
          <cell r="F606" t="str">
            <v xml:space="preserve">                        Entertainment - Product Doc - FRS</v>
          </cell>
        </row>
        <row r="607">
          <cell r="A607" t="str">
            <v>01-443474-0470-0400</v>
          </cell>
          <cell r="B607" t="str">
            <v>470</v>
          </cell>
          <cell r="C607" t="str">
            <v>prod dev</v>
          </cell>
          <cell r="D607" t="str">
            <v>9 - t&amp;e</v>
          </cell>
          <cell r="F607" t="str">
            <v xml:space="preserve">                        Misc - Product Doc - FRS</v>
          </cell>
        </row>
        <row r="608">
          <cell r="A608" t="str">
            <v>01-443475-0475-0400</v>
          </cell>
          <cell r="B608" t="str">
            <v>475</v>
          </cell>
          <cell r="C608" t="str">
            <v>prod dev</v>
          </cell>
          <cell r="D608" t="str">
            <v>9 - t&amp;e</v>
          </cell>
          <cell r="F608" t="str">
            <v xml:space="preserve">                        Travel - Product Doc - SAS</v>
          </cell>
        </row>
        <row r="609">
          <cell r="A609" t="str">
            <v>01-443480-0480-0400</v>
          </cell>
          <cell r="B609" t="str">
            <v>480</v>
          </cell>
          <cell r="C609" t="str">
            <v>prod dev</v>
          </cell>
          <cell r="D609" t="str">
            <v>9 - t&amp;e</v>
          </cell>
          <cell r="F609" t="str">
            <v xml:space="preserve">                        Travel -  Prod. Documentation - FAS</v>
          </cell>
        </row>
        <row r="610">
          <cell r="A610" t="str">
            <v>01-443481-0480-0400</v>
          </cell>
          <cell r="B610" t="str">
            <v>480</v>
          </cell>
          <cell r="C610" t="str">
            <v>prod dev</v>
          </cell>
          <cell r="D610" t="str">
            <v>9 - t&amp;e</v>
          </cell>
          <cell r="F610" t="str">
            <v xml:space="preserve">                        Accom &amp; Meals - Prod. Documentation - FAS</v>
          </cell>
        </row>
        <row r="611">
          <cell r="A611" t="str">
            <v>01-443482-0480-0400</v>
          </cell>
          <cell r="B611" t="str">
            <v>480</v>
          </cell>
          <cell r="C611" t="str">
            <v>prod dev</v>
          </cell>
          <cell r="D611" t="str">
            <v>9 - t&amp;e</v>
          </cell>
          <cell r="F611" t="str">
            <v xml:space="preserve">                        Entertainment - Prod. Documentation - FAS</v>
          </cell>
        </row>
        <row r="612">
          <cell r="A612" t="str">
            <v>01-443483-0480-0400</v>
          </cell>
          <cell r="B612" t="str">
            <v>480</v>
          </cell>
          <cell r="C612" t="str">
            <v>prod dev</v>
          </cell>
          <cell r="D612" t="str">
            <v>9 - t&amp;e</v>
          </cell>
          <cell r="F612" t="str">
            <v xml:space="preserve">                        Telephone - Prod. Documentation - FAS</v>
          </cell>
        </row>
        <row r="613">
          <cell r="A613" t="str">
            <v>01-443484-0480-0400</v>
          </cell>
          <cell r="B613" t="str">
            <v>480</v>
          </cell>
          <cell r="C613" t="str">
            <v>prod dev</v>
          </cell>
          <cell r="D613" t="str">
            <v>9 - t&amp;e</v>
          </cell>
          <cell r="F613" t="str">
            <v xml:space="preserve">                        Misc - Prod. Documentation - FAS</v>
          </cell>
        </row>
        <row r="614">
          <cell r="A614" t="str">
            <v>01-443485-0499-0400</v>
          </cell>
          <cell r="B614" t="str">
            <v>499</v>
          </cell>
          <cell r="C614" t="str">
            <v>prod dev</v>
          </cell>
          <cell r="D614" t="str">
            <v>9 - t&amp;e</v>
          </cell>
          <cell r="F614" t="str">
            <v xml:space="preserve">                        Travel - Prod Div Mgmt - SAS</v>
          </cell>
        </row>
        <row r="615">
          <cell r="A615" t="str">
            <v>01-443486-0499-0400</v>
          </cell>
          <cell r="B615" t="str">
            <v>499</v>
          </cell>
          <cell r="C615" t="str">
            <v>prod dev</v>
          </cell>
          <cell r="D615" t="str">
            <v>9 - t&amp;e</v>
          </cell>
          <cell r="F615" t="str">
            <v xml:space="preserve">                        Accoms &amp; Meals - Prod Div Mgmt - SAS</v>
          </cell>
        </row>
        <row r="616">
          <cell r="A616" t="str">
            <v>01-443487-0499-0400</v>
          </cell>
          <cell r="B616" t="str">
            <v>499</v>
          </cell>
          <cell r="C616" t="str">
            <v>prod dev</v>
          </cell>
          <cell r="D616" t="str">
            <v>9 - t&amp;e</v>
          </cell>
          <cell r="F616" t="str">
            <v xml:space="preserve">                        Entertainment - Prod Div Mgmt - SAS</v>
          </cell>
        </row>
        <row r="617">
          <cell r="A617" t="str">
            <v>01-443488-0499-0400</v>
          </cell>
          <cell r="B617" t="str">
            <v>499</v>
          </cell>
          <cell r="C617" t="str">
            <v>prod dev</v>
          </cell>
          <cell r="D617" t="str">
            <v>9 - t&amp;e</v>
          </cell>
          <cell r="F617" t="str">
            <v xml:space="preserve">                        Telephone - Prod Div Mgmt - SAS</v>
          </cell>
        </row>
        <row r="618">
          <cell r="A618" t="str">
            <v>01-443490-0490-0400</v>
          </cell>
          <cell r="B618" t="str">
            <v>490</v>
          </cell>
          <cell r="C618" t="str">
            <v>prod dev</v>
          </cell>
          <cell r="D618" t="str">
            <v>9 - t&amp;e</v>
          </cell>
          <cell r="F618" t="str">
            <v xml:space="preserve">                        Travel - Product Dev. Mgmt</v>
          </cell>
        </row>
        <row r="619">
          <cell r="A619" t="str">
            <v>01-443491-0490-0400</v>
          </cell>
          <cell r="B619" t="str">
            <v>490</v>
          </cell>
          <cell r="C619" t="str">
            <v>prod dev</v>
          </cell>
          <cell r="D619" t="str">
            <v>9 - t&amp;e</v>
          </cell>
          <cell r="F619" t="str">
            <v xml:space="preserve">                        Accom &amp; Meals - Product Dev. Mgmt</v>
          </cell>
        </row>
        <row r="620">
          <cell r="A620" t="str">
            <v>01-443492-0490-0400</v>
          </cell>
          <cell r="B620" t="str">
            <v>490</v>
          </cell>
          <cell r="C620" t="str">
            <v>prod dev</v>
          </cell>
          <cell r="D620" t="str">
            <v>9 - t&amp;e</v>
          </cell>
          <cell r="F620" t="str">
            <v xml:space="preserve">                        Entertainment - Product Dev. Mgmt</v>
          </cell>
        </row>
        <row r="621">
          <cell r="A621" t="str">
            <v>01-443493-0490-0400</v>
          </cell>
          <cell r="B621" t="str">
            <v>490</v>
          </cell>
          <cell r="C621" t="str">
            <v>prod dev</v>
          </cell>
          <cell r="D621" t="str">
            <v>9 - t&amp;e</v>
          </cell>
          <cell r="F621" t="str">
            <v xml:space="preserve">                        Telephone - Prod Dev. Mgmt</v>
          </cell>
        </row>
        <row r="622">
          <cell r="A622" t="str">
            <v>01-443494-0490-0400</v>
          </cell>
          <cell r="B622" t="str">
            <v>490</v>
          </cell>
          <cell r="C622" t="str">
            <v>prod dev</v>
          </cell>
          <cell r="D622" t="str">
            <v>9 - t&amp;e</v>
          </cell>
          <cell r="F622" t="str">
            <v xml:space="preserve">                        Misc - Prod Dev. Mgmt</v>
          </cell>
        </row>
        <row r="623">
          <cell r="A623" t="str">
            <v>01-443495-0495-0400</v>
          </cell>
          <cell r="B623" t="str">
            <v>495</v>
          </cell>
          <cell r="C623" t="str">
            <v>prod dev</v>
          </cell>
          <cell r="D623" t="str">
            <v>9 - t&amp;e</v>
          </cell>
          <cell r="F623" t="str">
            <v xml:space="preserve">                        Travel - Prod. Division Mgmt. - FAS</v>
          </cell>
        </row>
        <row r="624">
          <cell r="A624" t="str">
            <v>01-443496-0495-0400</v>
          </cell>
          <cell r="B624" t="str">
            <v>495</v>
          </cell>
          <cell r="C624" t="str">
            <v>prod dev</v>
          </cell>
          <cell r="D624" t="str">
            <v>9 - t&amp;e</v>
          </cell>
          <cell r="F624" t="str">
            <v xml:space="preserve">                        Accom &amp; Meals - Prod. Division Mgmt. - FAS</v>
          </cell>
        </row>
        <row r="625">
          <cell r="A625" t="str">
            <v>01-443497-0495-0400</v>
          </cell>
          <cell r="B625" t="str">
            <v>495</v>
          </cell>
          <cell r="C625" t="str">
            <v>prod dev</v>
          </cell>
          <cell r="D625" t="str">
            <v>9 - t&amp;e</v>
          </cell>
          <cell r="F625" t="str">
            <v xml:space="preserve">                        Entertainment - Prod. Division Mgmt. - FAS</v>
          </cell>
        </row>
        <row r="626">
          <cell r="A626" t="str">
            <v>01-443498-0495-0400</v>
          </cell>
          <cell r="B626" t="str">
            <v>495</v>
          </cell>
          <cell r="C626" t="str">
            <v>prod dev</v>
          </cell>
          <cell r="D626" t="str">
            <v>9 - t&amp;e</v>
          </cell>
          <cell r="F626" t="str">
            <v xml:space="preserve">                        Telephone - Prod. Division Mgmt. - FAS</v>
          </cell>
        </row>
        <row r="627">
          <cell r="A627" t="str">
            <v>01-443500-0498-0400</v>
          </cell>
          <cell r="B627" t="str">
            <v>498</v>
          </cell>
          <cell r="C627" t="str">
            <v>prod dev</v>
          </cell>
          <cell r="D627" t="str">
            <v>9 - t&amp;e</v>
          </cell>
          <cell r="F627" t="str">
            <v xml:space="preserve">                        Travel - Prod Div Mgmt - FRS</v>
          </cell>
        </row>
        <row r="628">
          <cell r="A628" t="str">
            <v>01-443501-0498-0400</v>
          </cell>
          <cell r="B628" t="str">
            <v>498</v>
          </cell>
          <cell r="C628" t="str">
            <v>prod dev</v>
          </cell>
          <cell r="D628" t="str">
            <v>9 - t&amp;e</v>
          </cell>
          <cell r="F628" t="str">
            <v xml:space="preserve">                        Accoms &amp; Meals - Prod Div Mgmt - FRS</v>
          </cell>
        </row>
        <row r="629">
          <cell r="A629" t="str">
            <v>01-443502-0498-0400</v>
          </cell>
          <cell r="B629" t="str">
            <v>498</v>
          </cell>
          <cell r="C629" t="str">
            <v>prod dev</v>
          </cell>
          <cell r="D629" t="str">
            <v>9 - t&amp;e</v>
          </cell>
          <cell r="F629" t="str">
            <v xml:space="preserve">                        Entertainment - Prod Div Mgmt - FRS</v>
          </cell>
        </row>
        <row r="630">
          <cell r="A630" t="str">
            <v>01-443505-0496-0400</v>
          </cell>
          <cell r="B630" t="str">
            <v>496</v>
          </cell>
          <cell r="C630" t="str">
            <v>prod dev</v>
          </cell>
          <cell r="D630" t="str">
            <v>9 - t&amp;e</v>
          </cell>
          <cell r="F630" t="str">
            <v xml:space="preserve">                        Travel - Prod Division - CT/R</v>
          </cell>
        </row>
        <row r="631">
          <cell r="A631" t="str">
            <v>01-443505-0497-0400</v>
          </cell>
          <cell r="B631" t="str">
            <v>497</v>
          </cell>
          <cell r="C631" t="str">
            <v>prod dev</v>
          </cell>
          <cell r="D631" t="str">
            <v>9 - t&amp;e</v>
          </cell>
          <cell r="F631" t="str">
            <v xml:space="preserve">                        Travel - Product Division - Prod Dir</v>
          </cell>
        </row>
        <row r="632">
          <cell r="A632" t="str">
            <v>01-443506-0496-0400</v>
          </cell>
          <cell r="B632" t="str">
            <v>496</v>
          </cell>
          <cell r="C632" t="str">
            <v>prod dev</v>
          </cell>
          <cell r="D632" t="str">
            <v>9 - t&amp;e</v>
          </cell>
          <cell r="F632" t="str">
            <v xml:space="preserve">                        Accom &amp; Meals - Prod Division - CT/R</v>
          </cell>
        </row>
        <row r="633">
          <cell r="A633" t="str">
            <v>01-443506-0497-0400</v>
          </cell>
          <cell r="B633" t="str">
            <v>497</v>
          </cell>
          <cell r="C633" t="str">
            <v>prod dev</v>
          </cell>
          <cell r="D633" t="str">
            <v>9 - t&amp;e</v>
          </cell>
          <cell r="F633" t="str">
            <v xml:space="preserve">                        Accoms &amp; Meals - Prod. Division - Prod Dir</v>
          </cell>
        </row>
        <row r="634">
          <cell r="A634" t="str">
            <v>01-443507-0496-0400</v>
          </cell>
          <cell r="B634" t="str">
            <v>496</v>
          </cell>
          <cell r="C634" t="str">
            <v>prod dev</v>
          </cell>
          <cell r="D634" t="str">
            <v>9 - t&amp;e</v>
          </cell>
          <cell r="F634" t="str">
            <v xml:space="preserve">                        Entertainment - Prod Division - CT/R</v>
          </cell>
        </row>
        <row r="635">
          <cell r="A635" t="str">
            <v>01-443507-0497-0400</v>
          </cell>
          <cell r="B635" t="str">
            <v>497</v>
          </cell>
          <cell r="C635" t="str">
            <v>prod dev</v>
          </cell>
          <cell r="D635" t="str">
            <v>9 - t&amp;e</v>
          </cell>
          <cell r="F635" t="str">
            <v xml:space="preserve">                        Entertainment - Prod. Division - Prod Dir</v>
          </cell>
        </row>
        <row r="636">
          <cell r="A636" t="str">
            <v>01-443508-0497-0400</v>
          </cell>
          <cell r="B636" t="str">
            <v>497</v>
          </cell>
          <cell r="C636" t="str">
            <v>prod dev</v>
          </cell>
          <cell r="D636" t="str">
            <v>9 - t&amp;e</v>
          </cell>
          <cell r="F636" t="str">
            <v xml:space="preserve">                        Telephone - Prod. Division - Prod Dir</v>
          </cell>
        </row>
        <row r="637">
          <cell r="A637" t="str">
            <v>01-443509-0496-0400</v>
          </cell>
          <cell r="B637" t="str">
            <v>496</v>
          </cell>
          <cell r="C637" t="str">
            <v>prod dev</v>
          </cell>
          <cell r="D637" t="str">
            <v>9 - t&amp;e</v>
          </cell>
          <cell r="F637" t="str">
            <v xml:space="preserve">                        Misc - Prod Division - CT/R</v>
          </cell>
        </row>
        <row r="638">
          <cell r="A638" t="str">
            <v>01-443510-0510-0500</v>
          </cell>
          <cell r="B638" t="str">
            <v>510</v>
          </cell>
          <cell r="C638" t="str">
            <v>strategy</v>
          </cell>
          <cell r="D638" t="str">
            <v>9 - t&amp;e</v>
          </cell>
          <cell r="F638" t="str">
            <v xml:space="preserve">                        Travel - Market Research</v>
          </cell>
        </row>
        <row r="639">
          <cell r="A639" t="str">
            <v>01-443511-0510-0500</v>
          </cell>
          <cell r="B639" t="str">
            <v>510</v>
          </cell>
          <cell r="C639" t="str">
            <v>strategy</v>
          </cell>
          <cell r="D639" t="str">
            <v>9 - t&amp;e</v>
          </cell>
          <cell r="F639" t="str">
            <v xml:space="preserve">                        Accoms &amp; Meals - Market Research</v>
          </cell>
        </row>
        <row r="640">
          <cell r="A640" t="str">
            <v>01-443512-0510-0500</v>
          </cell>
          <cell r="B640" t="str">
            <v>510</v>
          </cell>
          <cell r="C640" t="str">
            <v>strategy</v>
          </cell>
          <cell r="D640" t="str">
            <v>9 - t&amp;e</v>
          </cell>
          <cell r="F640" t="str">
            <v xml:space="preserve">                        Entertainment - Market Research</v>
          </cell>
        </row>
        <row r="641">
          <cell r="A641" t="str">
            <v>01-443513-0510-0500</v>
          </cell>
          <cell r="B641" t="str">
            <v>510</v>
          </cell>
          <cell r="C641" t="str">
            <v>strategy</v>
          </cell>
          <cell r="D641" t="str">
            <v>9 - t&amp;e</v>
          </cell>
          <cell r="F641" t="str">
            <v xml:space="preserve">                        Telephone - Market Research</v>
          </cell>
        </row>
        <row r="642">
          <cell r="A642" t="str">
            <v>01-443515-0530-0530</v>
          </cell>
          <cell r="B642" t="str">
            <v>530</v>
          </cell>
          <cell r="C642" t="str">
            <v>cust supp</v>
          </cell>
          <cell r="D642" t="str">
            <v>9 - t&amp;e</v>
          </cell>
          <cell r="F642" t="str">
            <v xml:space="preserve">                        Travel - Client Relations</v>
          </cell>
        </row>
        <row r="643">
          <cell r="A643" t="str">
            <v>01-443516-0530-0530</v>
          </cell>
          <cell r="B643" t="str">
            <v>530</v>
          </cell>
          <cell r="C643" t="str">
            <v>cust supp</v>
          </cell>
          <cell r="D643" t="str">
            <v>9 - t&amp;e</v>
          </cell>
          <cell r="F643" t="str">
            <v xml:space="preserve">                        Accoms &amp; Meals - Client Relations</v>
          </cell>
        </row>
        <row r="644">
          <cell r="A644" t="str">
            <v>01-443517-0530-0530</v>
          </cell>
          <cell r="B644" t="str">
            <v>530</v>
          </cell>
          <cell r="C644" t="str">
            <v>cust supp</v>
          </cell>
          <cell r="D644" t="str">
            <v>9 - t&amp;e</v>
          </cell>
          <cell r="F644" t="str">
            <v xml:space="preserve">                        Entertainment - Client Relations</v>
          </cell>
        </row>
        <row r="645">
          <cell r="A645" t="str">
            <v>01-443518-0530-0530</v>
          </cell>
          <cell r="B645" t="str">
            <v>530</v>
          </cell>
          <cell r="C645" t="str">
            <v>cust supp</v>
          </cell>
          <cell r="D645" t="str">
            <v>9 - t&amp;e</v>
          </cell>
          <cell r="F645" t="str">
            <v xml:space="preserve">                        Telephone - Client Relations</v>
          </cell>
        </row>
        <row r="646">
          <cell r="A646" t="str">
            <v>01-443530-0505-0500</v>
          </cell>
          <cell r="B646" t="str">
            <v>505</v>
          </cell>
          <cell r="C646" t="str">
            <v>strategy</v>
          </cell>
          <cell r="D646" t="str">
            <v>9 - t&amp;e</v>
          </cell>
          <cell r="F646" t="str">
            <v xml:space="preserve">                        Travel - Strategy &amp; Product Mgmt</v>
          </cell>
        </row>
        <row r="647">
          <cell r="A647" t="str">
            <v>01-443531-0505-0500</v>
          </cell>
          <cell r="B647" t="str">
            <v>505</v>
          </cell>
          <cell r="C647" t="str">
            <v>strategy</v>
          </cell>
          <cell r="D647" t="str">
            <v>9 - t&amp;e</v>
          </cell>
          <cell r="F647" t="str">
            <v xml:space="preserve">                        Accoms &amp; Meals - Strategy &amp; Product Mgmt</v>
          </cell>
        </row>
        <row r="648">
          <cell r="A648" t="str">
            <v>01-443532-0505-0500</v>
          </cell>
          <cell r="B648" t="str">
            <v>505</v>
          </cell>
          <cell r="C648" t="str">
            <v>strategy</v>
          </cell>
          <cell r="D648" t="str">
            <v>9 - t&amp;e</v>
          </cell>
          <cell r="F648" t="str">
            <v xml:space="preserve">                        Entertainment - Strategy &amp; Product Mgmt</v>
          </cell>
        </row>
        <row r="649">
          <cell r="A649" t="str">
            <v>01-443533-0505-0500</v>
          </cell>
          <cell r="B649" t="str">
            <v>505</v>
          </cell>
          <cell r="C649" t="str">
            <v>strategy</v>
          </cell>
          <cell r="D649" t="str">
            <v>9 - t&amp;e</v>
          </cell>
          <cell r="F649" t="str">
            <v xml:space="preserve">                        Telephone - Strategy &amp; Product Mgmt</v>
          </cell>
        </row>
        <row r="650">
          <cell r="A650" t="str">
            <v>01-443537-0455-0400</v>
          </cell>
          <cell r="B650" t="str">
            <v>455</v>
          </cell>
          <cell r="C650" t="str">
            <v>prod dev</v>
          </cell>
          <cell r="D650" t="str">
            <v>9 - t&amp;e</v>
          </cell>
          <cell r="F650" t="str">
            <v xml:space="preserve">                        Entertainment - QA - SAS</v>
          </cell>
        </row>
        <row r="651">
          <cell r="A651" t="str">
            <v>01-443540-0720-0410</v>
          </cell>
          <cell r="B651" t="str">
            <v>720</v>
          </cell>
          <cell r="C651" t="str">
            <v>cust supp</v>
          </cell>
          <cell r="D651" t="str">
            <v>9 - t&amp;e</v>
          </cell>
          <cell r="F651" t="str">
            <v xml:space="preserve">                        Travel - Conversions</v>
          </cell>
        </row>
        <row r="652">
          <cell r="A652" t="str">
            <v>01-443541-0720-0410</v>
          </cell>
          <cell r="B652" t="str">
            <v>720</v>
          </cell>
          <cell r="C652" t="str">
            <v>cust supp</v>
          </cell>
          <cell r="D652" t="str">
            <v>9 - t&amp;e</v>
          </cell>
          <cell r="F652" t="str">
            <v xml:space="preserve">                        Accoms &amp; Meals - Conversions</v>
          </cell>
        </row>
        <row r="653">
          <cell r="A653" t="str">
            <v>01-443542-0720-0410</v>
          </cell>
          <cell r="B653" t="str">
            <v>720</v>
          </cell>
          <cell r="C653" t="str">
            <v>cust supp</v>
          </cell>
          <cell r="D653" t="str">
            <v>9 - t&amp;e</v>
          </cell>
          <cell r="F653" t="str">
            <v xml:space="preserve">                        Entertainment - Conversions</v>
          </cell>
        </row>
        <row r="654">
          <cell r="A654" t="str">
            <v>01-443543-0720-0410</v>
          </cell>
          <cell r="B654" t="str">
            <v>720</v>
          </cell>
          <cell r="C654" t="str">
            <v>cust supp</v>
          </cell>
          <cell r="D654" t="str">
            <v>9 - t&amp;e</v>
          </cell>
          <cell r="F654" t="str">
            <v xml:space="preserve">                        Telephone - Conversions</v>
          </cell>
        </row>
        <row r="655">
          <cell r="A655" t="str">
            <v>01-443555-0275-0200</v>
          </cell>
          <cell r="B655" t="str">
            <v>275</v>
          </cell>
          <cell r="C655" t="str">
            <v>sales</v>
          </cell>
          <cell r="D655" t="str">
            <v>9 - t&amp;e</v>
          </cell>
          <cell r="F655" t="str">
            <v xml:space="preserve">                              Travel - Hindman</v>
          </cell>
        </row>
        <row r="656">
          <cell r="A656" t="str">
            <v>01-443556-0275-0200</v>
          </cell>
          <cell r="B656" t="str">
            <v>275</v>
          </cell>
          <cell r="C656" t="str">
            <v>sales</v>
          </cell>
          <cell r="D656" t="str">
            <v>9 - t&amp;e</v>
          </cell>
          <cell r="F656" t="str">
            <v xml:space="preserve">                              Accoms &amp; Meals - Hindman</v>
          </cell>
        </row>
        <row r="657">
          <cell r="A657" t="str">
            <v>01-443557-0275-0200</v>
          </cell>
          <cell r="B657" t="str">
            <v>275</v>
          </cell>
          <cell r="C657" t="str">
            <v>sales</v>
          </cell>
          <cell r="D657" t="str">
            <v>9 - t&amp;e</v>
          </cell>
          <cell r="F657" t="str">
            <v xml:space="preserve">                              Entertainment - Hindman</v>
          </cell>
        </row>
        <row r="658">
          <cell r="A658" t="str">
            <v>01-443558-0275-0200</v>
          </cell>
          <cell r="B658" t="str">
            <v>275</v>
          </cell>
          <cell r="C658" t="str">
            <v>sales</v>
          </cell>
          <cell r="D658" t="str">
            <v>9 - t&amp;e</v>
          </cell>
          <cell r="F658" t="str">
            <v xml:space="preserve">                              Telephone - Hindman</v>
          </cell>
        </row>
        <row r="659">
          <cell r="A659" t="str">
            <v>01-443559-0275-0200</v>
          </cell>
          <cell r="B659" t="str">
            <v>275</v>
          </cell>
          <cell r="C659" t="str">
            <v>sales</v>
          </cell>
          <cell r="D659" t="str">
            <v>9 - t&amp;e</v>
          </cell>
          <cell r="F659" t="str">
            <v xml:space="preserve">                              Miscellaneous - Hindman</v>
          </cell>
        </row>
        <row r="660">
          <cell r="A660" t="str">
            <v>01-443565-0255-0200</v>
          </cell>
          <cell r="B660" t="str">
            <v>255</v>
          </cell>
          <cell r="C660" t="str">
            <v>sales</v>
          </cell>
          <cell r="D660" t="str">
            <v>9 - t&amp;e</v>
          </cell>
          <cell r="F660" t="str">
            <v xml:space="preserve">                              Travel - Hammond</v>
          </cell>
        </row>
        <row r="661">
          <cell r="A661" t="str">
            <v>01-443566-0255-0200</v>
          </cell>
          <cell r="B661" t="str">
            <v>255</v>
          </cell>
          <cell r="C661" t="str">
            <v>sales</v>
          </cell>
          <cell r="D661" t="str">
            <v>9 - t&amp;e</v>
          </cell>
          <cell r="F661" t="str">
            <v xml:space="preserve">                              Accoms &amp; Meals - Hammond</v>
          </cell>
        </row>
        <row r="662">
          <cell r="A662" t="str">
            <v>01-443567-0255-0200</v>
          </cell>
          <cell r="B662" t="str">
            <v>255</v>
          </cell>
          <cell r="C662" t="str">
            <v>sales</v>
          </cell>
          <cell r="D662" t="str">
            <v>9 - t&amp;e</v>
          </cell>
          <cell r="F662" t="str">
            <v xml:space="preserve">                              Entertainment - Hammond</v>
          </cell>
        </row>
        <row r="663">
          <cell r="A663" t="str">
            <v>01-443568-0255-0200</v>
          </cell>
          <cell r="B663" t="str">
            <v>255</v>
          </cell>
          <cell r="C663" t="str">
            <v>sales</v>
          </cell>
          <cell r="D663" t="str">
            <v>9 - t&amp;e</v>
          </cell>
          <cell r="F663" t="str">
            <v xml:space="preserve">                              Telephone - Hammond</v>
          </cell>
        </row>
        <row r="664">
          <cell r="A664" t="str">
            <v>01-443570-0255-0200</v>
          </cell>
          <cell r="B664" t="str">
            <v>255</v>
          </cell>
          <cell r="C664" t="str">
            <v>sales</v>
          </cell>
          <cell r="D664" t="str">
            <v>9 - t&amp;e</v>
          </cell>
          <cell r="F664" t="str">
            <v xml:space="preserve">                              Travel - Fishback</v>
          </cell>
        </row>
        <row r="665">
          <cell r="A665" t="str">
            <v>01-443571-0255-0200</v>
          </cell>
          <cell r="B665" t="str">
            <v>255</v>
          </cell>
          <cell r="C665" t="str">
            <v>sales</v>
          </cell>
          <cell r="D665" t="str">
            <v>9 - t&amp;e</v>
          </cell>
          <cell r="F665" t="str">
            <v xml:space="preserve">                              Accoms &amp; Meals - Fishback</v>
          </cell>
        </row>
        <row r="666">
          <cell r="A666" t="str">
            <v>01-443572-0255-0200</v>
          </cell>
          <cell r="B666" t="str">
            <v>255</v>
          </cell>
          <cell r="C666" t="str">
            <v>sales</v>
          </cell>
          <cell r="D666" t="str">
            <v>9 - t&amp;e</v>
          </cell>
          <cell r="F666" t="str">
            <v xml:space="preserve">                              Entertainment - Fishback</v>
          </cell>
        </row>
        <row r="667">
          <cell r="A667" t="str">
            <v>01-443573-0255-0200</v>
          </cell>
          <cell r="B667" t="str">
            <v>255</v>
          </cell>
          <cell r="C667" t="str">
            <v>sales</v>
          </cell>
          <cell r="D667" t="str">
            <v>9 - t&amp;e</v>
          </cell>
          <cell r="F667" t="str">
            <v xml:space="preserve">                              Telephone - Fishback</v>
          </cell>
        </row>
        <row r="668">
          <cell r="A668" t="str">
            <v>01-443574-0255-0200</v>
          </cell>
          <cell r="B668" t="str">
            <v>255</v>
          </cell>
          <cell r="C668" t="str">
            <v>sales</v>
          </cell>
          <cell r="D668" t="str">
            <v>9 - t&amp;e</v>
          </cell>
          <cell r="F668" t="str">
            <v xml:space="preserve">                              Miscellaneous - Fishback</v>
          </cell>
        </row>
        <row r="669">
          <cell r="A669" t="str">
            <v>01-443600-0275-0200</v>
          </cell>
          <cell r="B669" t="str">
            <v>275</v>
          </cell>
          <cell r="C669" t="str">
            <v>sales</v>
          </cell>
          <cell r="D669" t="str">
            <v>9 - t&amp;e</v>
          </cell>
          <cell r="F669" t="str">
            <v xml:space="preserve">                              Travel - Lauf</v>
          </cell>
        </row>
        <row r="670">
          <cell r="A670" t="str">
            <v>01-443601-0275-0200</v>
          </cell>
          <cell r="B670" t="str">
            <v>275</v>
          </cell>
          <cell r="C670" t="str">
            <v>sales</v>
          </cell>
          <cell r="D670" t="str">
            <v>9 - t&amp;e</v>
          </cell>
          <cell r="F670" t="str">
            <v xml:space="preserve">                              Accoms &amp; Meals - Lauf</v>
          </cell>
        </row>
        <row r="671">
          <cell r="A671" t="str">
            <v>01-443602-0275-0200</v>
          </cell>
          <cell r="B671" t="str">
            <v>275</v>
          </cell>
          <cell r="C671" t="str">
            <v>sales</v>
          </cell>
          <cell r="D671" t="str">
            <v>9 - t&amp;e</v>
          </cell>
          <cell r="F671" t="str">
            <v xml:space="preserve">                              Entertainment - Lauf</v>
          </cell>
        </row>
        <row r="672">
          <cell r="A672" t="str">
            <v>01-443603-0275-0200</v>
          </cell>
          <cell r="B672" t="str">
            <v>275</v>
          </cell>
          <cell r="C672" t="str">
            <v>sales</v>
          </cell>
          <cell r="D672" t="str">
            <v>9 - t&amp;e</v>
          </cell>
          <cell r="F672" t="str">
            <v xml:space="preserve">                              Telephone - Lauf</v>
          </cell>
        </row>
        <row r="673">
          <cell r="A673" t="str">
            <v>01-443604-0275-0200</v>
          </cell>
          <cell r="B673" t="str">
            <v>275</v>
          </cell>
          <cell r="C673" t="str">
            <v>sales</v>
          </cell>
          <cell r="D673" t="str">
            <v>9 - t&amp;e</v>
          </cell>
          <cell r="F673" t="str">
            <v xml:space="preserve">                              Misc - Lauf</v>
          </cell>
        </row>
        <row r="674">
          <cell r="A674" t="str">
            <v>01-443605-0275-0200</v>
          </cell>
          <cell r="B674" t="str">
            <v>275</v>
          </cell>
          <cell r="C674" t="str">
            <v>sales</v>
          </cell>
          <cell r="D674" t="str">
            <v>9 - t&amp;e</v>
          </cell>
          <cell r="F674" t="str">
            <v xml:space="preserve">                              Travel - Qureshi</v>
          </cell>
        </row>
        <row r="675">
          <cell r="A675" t="str">
            <v>01-443606-0275-0200</v>
          </cell>
          <cell r="B675" t="str">
            <v>275</v>
          </cell>
          <cell r="C675" t="str">
            <v>sales</v>
          </cell>
          <cell r="D675" t="str">
            <v>9 - t&amp;e</v>
          </cell>
          <cell r="F675" t="str">
            <v xml:space="preserve">                              Accoms &amp; Meals - Qureshi</v>
          </cell>
        </row>
        <row r="676">
          <cell r="A676" t="str">
            <v>01-443607-0275-0200</v>
          </cell>
          <cell r="B676" t="str">
            <v>275</v>
          </cell>
          <cell r="C676" t="str">
            <v>sales</v>
          </cell>
          <cell r="D676" t="str">
            <v>9 - t&amp;e</v>
          </cell>
          <cell r="F676" t="str">
            <v xml:space="preserve">                              Entertainment - Qureshi</v>
          </cell>
        </row>
        <row r="677">
          <cell r="A677" t="str">
            <v>01-443608-0275-0200</v>
          </cell>
          <cell r="B677" t="str">
            <v>275</v>
          </cell>
          <cell r="C677" t="str">
            <v>sales</v>
          </cell>
          <cell r="D677" t="str">
            <v>9 - t&amp;e</v>
          </cell>
          <cell r="F677" t="str">
            <v xml:space="preserve">                              Telephone - Qureshi</v>
          </cell>
        </row>
        <row r="678">
          <cell r="A678" t="str">
            <v>01-443609-0275-0200</v>
          </cell>
          <cell r="B678" t="str">
            <v>275</v>
          </cell>
          <cell r="C678" t="str">
            <v>sales</v>
          </cell>
          <cell r="D678" t="str">
            <v>9 - t&amp;e</v>
          </cell>
          <cell r="F678" t="str">
            <v xml:space="preserve">                              Misc - Qureshi</v>
          </cell>
        </row>
        <row r="679">
          <cell r="A679" t="str">
            <v>01-443610-0255-0200</v>
          </cell>
          <cell r="B679" t="str">
            <v>255</v>
          </cell>
          <cell r="C679" t="str">
            <v>sales</v>
          </cell>
          <cell r="D679" t="str">
            <v>9 - t&amp;e</v>
          </cell>
          <cell r="F679" t="str">
            <v xml:space="preserve">                              Travel - Craven</v>
          </cell>
        </row>
        <row r="680">
          <cell r="A680" t="str">
            <v>01-443611-0255-0200</v>
          </cell>
          <cell r="B680" t="str">
            <v>255</v>
          </cell>
          <cell r="C680" t="str">
            <v>sales</v>
          </cell>
          <cell r="D680" t="str">
            <v>9 - t&amp;e</v>
          </cell>
          <cell r="F680" t="str">
            <v xml:space="preserve">                              Accoms &amp; Meals - Craven</v>
          </cell>
        </row>
        <row r="681">
          <cell r="A681" t="str">
            <v>01-443612-0255-0200</v>
          </cell>
          <cell r="B681" t="str">
            <v>255</v>
          </cell>
          <cell r="C681" t="str">
            <v>sales</v>
          </cell>
          <cell r="D681" t="str">
            <v>9 - t&amp;e</v>
          </cell>
          <cell r="F681" t="str">
            <v xml:space="preserve">                              Entertainment - Craven</v>
          </cell>
        </row>
        <row r="682">
          <cell r="A682" t="str">
            <v>01-443613-0255-0200</v>
          </cell>
          <cell r="B682" t="str">
            <v>255</v>
          </cell>
          <cell r="C682" t="str">
            <v>sales</v>
          </cell>
          <cell r="D682" t="str">
            <v>9 - t&amp;e</v>
          </cell>
          <cell r="F682" t="str">
            <v xml:space="preserve">                              Telephone - Craven</v>
          </cell>
        </row>
        <row r="683">
          <cell r="A683" t="str">
            <v>01-443614-0255-0200</v>
          </cell>
          <cell r="B683" t="str">
            <v>255</v>
          </cell>
          <cell r="C683" t="str">
            <v>sales</v>
          </cell>
          <cell r="D683" t="str">
            <v>9 - t&amp;e</v>
          </cell>
          <cell r="F683" t="str">
            <v xml:space="preserve">                              Miscellaneous - Craven</v>
          </cell>
        </row>
        <row r="684">
          <cell r="A684" t="str">
            <v>01-443620-0275-0200</v>
          </cell>
          <cell r="B684" t="str">
            <v>275</v>
          </cell>
          <cell r="C684" t="str">
            <v>sales</v>
          </cell>
          <cell r="D684" t="str">
            <v>9 - t&amp;e</v>
          </cell>
          <cell r="F684" t="str">
            <v xml:space="preserve">                              Travel - Platte</v>
          </cell>
        </row>
        <row r="685">
          <cell r="A685" t="str">
            <v>01-443621-0275-0200</v>
          </cell>
          <cell r="B685" t="str">
            <v>275</v>
          </cell>
          <cell r="C685" t="str">
            <v>sales</v>
          </cell>
          <cell r="D685" t="str">
            <v>9 - t&amp;e</v>
          </cell>
          <cell r="F685" t="str">
            <v xml:space="preserve">                              Accoms &amp; Meals - Platte</v>
          </cell>
        </row>
        <row r="686">
          <cell r="A686" t="str">
            <v>01-443622-0275-0200</v>
          </cell>
          <cell r="B686" t="str">
            <v>275</v>
          </cell>
          <cell r="C686" t="str">
            <v>sales</v>
          </cell>
          <cell r="D686" t="str">
            <v>9 - t&amp;e</v>
          </cell>
          <cell r="F686" t="str">
            <v xml:space="preserve">                              Entertainment - Platte</v>
          </cell>
        </row>
        <row r="687">
          <cell r="A687" t="str">
            <v>01-443623-0275-0200</v>
          </cell>
          <cell r="B687" t="str">
            <v>275</v>
          </cell>
          <cell r="C687" t="str">
            <v>sales</v>
          </cell>
          <cell r="D687" t="str">
            <v>9 - t&amp;e</v>
          </cell>
          <cell r="F687" t="str">
            <v xml:space="preserve">                              Telephone - Platte</v>
          </cell>
        </row>
        <row r="688">
          <cell r="A688" t="str">
            <v>01-443624-0275-0200</v>
          </cell>
          <cell r="B688" t="str">
            <v>275</v>
          </cell>
          <cell r="C688" t="str">
            <v>sales</v>
          </cell>
          <cell r="D688" t="str">
            <v>9 - t&amp;e</v>
          </cell>
          <cell r="F688" t="str">
            <v xml:space="preserve">                              Miscellaneous - Platte</v>
          </cell>
        </row>
        <row r="689">
          <cell r="A689" t="str">
            <v>01-443625-0245-0200</v>
          </cell>
          <cell r="B689" t="str">
            <v>245</v>
          </cell>
          <cell r="C689" t="str">
            <v>sales</v>
          </cell>
          <cell r="D689" t="str">
            <v>9 - t&amp;e</v>
          </cell>
          <cell r="F689" t="str">
            <v xml:space="preserve">                              **Travel - Eisentraut</v>
          </cell>
        </row>
        <row r="690">
          <cell r="A690" t="str">
            <v>01-443626-0245-0200</v>
          </cell>
          <cell r="B690" t="str">
            <v>245</v>
          </cell>
          <cell r="C690" t="str">
            <v>sales</v>
          </cell>
          <cell r="D690" t="str">
            <v>9 - t&amp;e</v>
          </cell>
          <cell r="F690" t="str">
            <v xml:space="preserve">                              **Accoms &amp; Meals - Eisentraut</v>
          </cell>
        </row>
        <row r="691">
          <cell r="A691" t="str">
            <v>01-443628-0245-0200</v>
          </cell>
          <cell r="B691" t="str">
            <v>245</v>
          </cell>
          <cell r="C691" t="str">
            <v>sales</v>
          </cell>
          <cell r="D691" t="str">
            <v>9 - t&amp;e</v>
          </cell>
          <cell r="F691" t="str">
            <v xml:space="preserve">                              **Telephone - Eisentraut</v>
          </cell>
        </row>
        <row r="692">
          <cell r="A692" t="str">
            <v>01-443629-0245-0200</v>
          </cell>
          <cell r="B692" t="str">
            <v>245</v>
          </cell>
          <cell r="C692" t="str">
            <v>sales</v>
          </cell>
          <cell r="D692" t="str">
            <v>9 - t&amp;e</v>
          </cell>
          <cell r="F692" t="str">
            <v xml:space="preserve">                              **Misc - Eisentraut</v>
          </cell>
        </row>
        <row r="693">
          <cell r="A693" t="str">
            <v>01-443630-0245-0200</v>
          </cell>
          <cell r="B693" t="str">
            <v>245</v>
          </cell>
          <cell r="C693" t="str">
            <v>sales</v>
          </cell>
          <cell r="D693" t="str">
            <v>9 - t&amp;e</v>
          </cell>
          <cell r="F693" t="str">
            <v xml:space="preserve">                              Travel - Evans</v>
          </cell>
        </row>
        <row r="694">
          <cell r="A694" t="str">
            <v>01-443631-0245-0200</v>
          </cell>
          <cell r="B694" t="str">
            <v>245</v>
          </cell>
          <cell r="C694" t="str">
            <v>sales</v>
          </cell>
          <cell r="D694" t="str">
            <v>9 - t&amp;e</v>
          </cell>
          <cell r="F694" t="str">
            <v xml:space="preserve">                              Accoms &amp; Meals - Evans</v>
          </cell>
        </row>
        <row r="695">
          <cell r="A695" t="str">
            <v>01-443632-0245-0200</v>
          </cell>
          <cell r="B695" t="str">
            <v>245</v>
          </cell>
          <cell r="C695" t="str">
            <v>sales</v>
          </cell>
          <cell r="D695" t="str">
            <v>9 - t&amp;e</v>
          </cell>
          <cell r="F695" t="str">
            <v xml:space="preserve">                              Entertainment - Evans</v>
          </cell>
        </row>
        <row r="696">
          <cell r="A696" t="str">
            <v>01-443633-0245-0200</v>
          </cell>
          <cell r="B696" t="str">
            <v>245</v>
          </cell>
          <cell r="C696" t="str">
            <v>sales</v>
          </cell>
          <cell r="D696" t="str">
            <v>9 - t&amp;e</v>
          </cell>
          <cell r="F696" t="str">
            <v xml:space="preserve">                              Telephone - Evans</v>
          </cell>
        </row>
        <row r="697">
          <cell r="A697" t="str">
            <v>01-443634-0245-0200</v>
          </cell>
          <cell r="B697" t="str">
            <v>245</v>
          </cell>
          <cell r="C697" t="str">
            <v>sales</v>
          </cell>
          <cell r="D697" t="str">
            <v>9 - t&amp;e</v>
          </cell>
          <cell r="F697" t="str">
            <v xml:space="preserve">                              Miscellaneous - Evans</v>
          </cell>
        </row>
        <row r="698">
          <cell r="A698" t="str">
            <v>01-443660-0245-0200</v>
          </cell>
          <cell r="B698" t="str">
            <v>245</v>
          </cell>
          <cell r="C698" t="str">
            <v>sales</v>
          </cell>
          <cell r="D698" t="str">
            <v>9 - t&amp;e</v>
          </cell>
          <cell r="F698" t="str">
            <v xml:space="preserve">                              Travel - Innis</v>
          </cell>
        </row>
        <row r="699">
          <cell r="A699" t="str">
            <v>01-443661-0245-0200</v>
          </cell>
          <cell r="B699" t="str">
            <v>245</v>
          </cell>
          <cell r="C699" t="str">
            <v>sales</v>
          </cell>
          <cell r="D699" t="str">
            <v>9 - t&amp;e</v>
          </cell>
          <cell r="F699" t="str">
            <v xml:space="preserve">                              Accoms &amp; Meals - Innis</v>
          </cell>
        </row>
        <row r="700">
          <cell r="A700" t="str">
            <v>01-443662-0245-0200</v>
          </cell>
          <cell r="B700" t="str">
            <v>245</v>
          </cell>
          <cell r="C700" t="str">
            <v>sales</v>
          </cell>
          <cell r="D700" t="str">
            <v>9 - t&amp;e</v>
          </cell>
          <cell r="F700" t="str">
            <v xml:space="preserve">                              Entertainment - Innis</v>
          </cell>
        </row>
        <row r="701">
          <cell r="A701" t="str">
            <v>01-443663-0245-0200</v>
          </cell>
          <cell r="B701" t="str">
            <v>245</v>
          </cell>
          <cell r="C701" t="str">
            <v>sales</v>
          </cell>
          <cell r="D701" t="str">
            <v>9 - t&amp;e</v>
          </cell>
          <cell r="F701" t="str">
            <v xml:space="preserve">                              Telephone - Innis</v>
          </cell>
        </row>
        <row r="702">
          <cell r="A702" t="str">
            <v>01-443664-0245-0200</v>
          </cell>
          <cell r="B702" t="str">
            <v>245</v>
          </cell>
          <cell r="C702" t="str">
            <v>sales</v>
          </cell>
          <cell r="D702" t="str">
            <v>9 - t&amp;e</v>
          </cell>
          <cell r="F702" t="str">
            <v xml:space="preserve">                              Miscellaneous - Innis</v>
          </cell>
        </row>
        <row r="703">
          <cell r="A703" t="str">
            <v>01-443685-0275-0200</v>
          </cell>
          <cell r="B703" t="str">
            <v>275</v>
          </cell>
          <cell r="C703" t="str">
            <v>sales</v>
          </cell>
          <cell r="D703" t="str">
            <v>9 - t&amp;e</v>
          </cell>
          <cell r="F703" t="str">
            <v xml:space="preserve">                              Travel - Schilling</v>
          </cell>
        </row>
        <row r="704">
          <cell r="A704" t="str">
            <v>01-443686-0275-0200</v>
          </cell>
          <cell r="B704" t="str">
            <v>275</v>
          </cell>
          <cell r="C704" t="str">
            <v>sales</v>
          </cell>
          <cell r="D704" t="str">
            <v>9 - t&amp;e</v>
          </cell>
          <cell r="F704" t="str">
            <v xml:space="preserve">                              Accom &amp; Meals - Schilling</v>
          </cell>
        </row>
        <row r="705">
          <cell r="A705" t="str">
            <v>01-443688-0275-0200</v>
          </cell>
          <cell r="B705" t="str">
            <v>275</v>
          </cell>
          <cell r="C705" t="str">
            <v>sales</v>
          </cell>
          <cell r="D705" t="str">
            <v>9 - t&amp;e</v>
          </cell>
          <cell r="F705" t="str">
            <v xml:space="preserve">                              Telephone - Schilling</v>
          </cell>
        </row>
        <row r="706">
          <cell r="A706" t="str">
            <v>01-443696-0275-0200</v>
          </cell>
          <cell r="B706" t="str">
            <v>275</v>
          </cell>
          <cell r="C706" t="str">
            <v>sales</v>
          </cell>
          <cell r="D706" t="str">
            <v>9 - t&amp;e</v>
          </cell>
          <cell r="F706" t="str">
            <v xml:space="preserve">                              Travel - Tran</v>
          </cell>
        </row>
        <row r="707">
          <cell r="A707" t="str">
            <v>01-443697-0275-0200</v>
          </cell>
          <cell r="B707" t="str">
            <v>275</v>
          </cell>
          <cell r="C707" t="str">
            <v>sales</v>
          </cell>
          <cell r="D707" t="str">
            <v>9 - t&amp;e</v>
          </cell>
          <cell r="F707" t="str">
            <v xml:space="preserve">                              Accoms &amp; Meals - Tran</v>
          </cell>
        </row>
        <row r="708">
          <cell r="A708" t="str">
            <v>01-443699-0275-0200</v>
          </cell>
          <cell r="B708" t="str">
            <v>275</v>
          </cell>
          <cell r="C708" t="str">
            <v>sales</v>
          </cell>
          <cell r="D708" t="str">
            <v>9 - t&amp;e</v>
          </cell>
          <cell r="F708" t="str">
            <v xml:space="preserve">                              Telephone - Tran</v>
          </cell>
        </row>
        <row r="709">
          <cell r="A709" t="str">
            <v>01-443700-0275-0200</v>
          </cell>
          <cell r="B709" t="str">
            <v>275</v>
          </cell>
          <cell r="C709" t="str">
            <v>sales</v>
          </cell>
          <cell r="D709" t="str">
            <v>9 - t&amp;e</v>
          </cell>
          <cell r="F709" t="str">
            <v xml:space="preserve">                              Miscellaneous - Tran</v>
          </cell>
        </row>
        <row r="710">
          <cell r="A710" t="str">
            <v>01-443701-0520-0200</v>
          </cell>
          <cell r="B710" t="str">
            <v>520</v>
          </cell>
          <cell r="C710" t="str">
            <v>bbp</v>
          </cell>
          <cell r="D710" t="str">
            <v>9 - t&amp;e</v>
          </cell>
          <cell r="F710" t="str">
            <v xml:space="preserve">                              **Harold Bower</v>
          </cell>
        </row>
        <row r="711">
          <cell r="A711" t="str">
            <v>01-443709-0255-0200</v>
          </cell>
          <cell r="B711" t="str">
            <v>255</v>
          </cell>
          <cell r="C711" t="str">
            <v>sales</v>
          </cell>
          <cell r="D711" t="str">
            <v>9 - t&amp;e</v>
          </cell>
          <cell r="F711" t="str">
            <v xml:space="preserve">                              **Travel - Sales Reg 2 New Hire</v>
          </cell>
        </row>
        <row r="712">
          <cell r="A712" t="str">
            <v>01-443710-0255-0200</v>
          </cell>
          <cell r="B712" t="str">
            <v>255</v>
          </cell>
          <cell r="C712" t="str">
            <v>sales</v>
          </cell>
          <cell r="D712" t="str">
            <v>9 - t&amp;e</v>
          </cell>
          <cell r="F712" t="str">
            <v xml:space="preserve">                              **Accom &amp; Meals - Sales Reg 2 New Hire</v>
          </cell>
        </row>
        <row r="713">
          <cell r="A713" t="str">
            <v>01-443711-0255-0200</v>
          </cell>
          <cell r="B713" t="str">
            <v>255</v>
          </cell>
          <cell r="C713" t="str">
            <v>sales</v>
          </cell>
          <cell r="D713" t="str">
            <v>9 - t&amp;e</v>
          </cell>
          <cell r="F713" t="str">
            <v xml:space="preserve">                              **Entertainment - Sales Reg 2 New Hire</v>
          </cell>
        </row>
        <row r="714">
          <cell r="A714" t="str">
            <v>01-443712-0255-0200</v>
          </cell>
          <cell r="B714" t="str">
            <v>255</v>
          </cell>
          <cell r="C714" t="str">
            <v>sales</v>
          </cell>
          <cell r="D714" t="str">
            <v>9 - t&amp;e</v>
          </cell>
          <cell r="F714" t="str">
            <v xml:space="preserve">                              **Telephone - Sales Reg 2 New Hire</v>
          </cell>
        </row>
        <row r="715">
          <cell r="A715" t="str">
            <v>01-443721-0255-0200</v>
          </cell>
          <cell r="B715" t="str">
            <v>255</v>
          </cell>
          <cell r="C715" t="str">
            <v>sales</v>
          </cell>
          <cell r="D715" t="str">
            <v>9 - t&amp;e</v>
          </cell>
          <cell r="F715" t="str">
            <v xml:space="preserve">                              Travel - Mood</v>
          </cell>
        </row>
        <row r="716">
          <cell r="A716" t="str">
            <v>01-443722-0255-0200</v>
          </cell>
          <cell r="B716" t="str">
            <v>255</v>
          </cell>
          <cell r="C716" t="str">
            <v>sales</v>
          </cell>
          <cell r="D716" t="str">
            <v>9 - t&amp;e</v>
          </cell>
          <cell r="F716" t="str">
            <v xml:space="preserve">                              Accoms &amp; Meals - Mood</v>
          </cell>
        </row>
        <row r="717">
          <cell r="A717" t="str">
            <v>01-443723-0255-0200</v>
          </cell>
          <cell r="B717" t="str">
            <v>255</v>
          </cell>
          <cell r="C717" t="str">
            <v>sales</v>
          </cell>
          <cell r="D717" t="str">
            <v>9 - t&amp;e</v>
          </cell>
          <cell r="F717" t="str">
            <v xml:space="preserve">                              Entertainment - Mood</v>
          </cell>
        </row>
        <row r="718">
          <cell r="A718" t="str">
            <v>01-443724-0255-0200</v>
          </cell>
          <cell r="B718" t="str">
            <v>255</v>
          </cell>
          <cell r="C718" t="str">
            <v>sales</v>
          </cell>
          <cell r="D718" t="str">
            <v>9 - t&amp;e</v>
          </cell>
          <cell r="F718" t="str">
            <v xml:space="preserve">                              Telephone - Mood</v>
          </cell>
        </row>
        <row r="719">
          <cell r="A719" t="str">
            <v>01-443725-0255-0200</v>
          </cell>
          <cell r="B719" t="str">
            <v>255</v>
          </cell>
          <cell r="C719" t="str">
            <v>sales</v>
          </cell>
          <cell r="D719" t="str">
            <v>9 - t&amp;e</v>
          </cell>
          <cell r="F719" t="str">
            <v xml:space="preserve">                              Miscellaneous - Mood</v>
          </cell>
        </row>
        <row r="720">
          <cell r="A720" t="str">
            <v>01-443738-0255-0200</v>
          </cell>
          <cell r="B720" t="str">
            <v>255</v>
          </cell>
          <cell r="C720" t="str">
            <v>sales</v>
          </cell>
          <cell r="D720" t="str">
            <v>9 - t&amp;e</v>
          </cell>
          <cell r="F720" t="str">
            <v xml:space="preserve">                              Travel - Emge</v>
          </cell>
        </row>
        <row r="721">
          <cell r="A721" t="str">
            <v>01-443739-0255-0200</v>
          </cell>
          <cell r="B721" t="str">
            <v>255</v>
          </cell>
          <cell r="C721" t="str">
            <v>sales</v>
          </cell>
          <cell r="D721" t="str">
            <v>9 - t&amp;e</v>
          </cell>
          <cell r="F721" t="str">
            <v xml:space="preserve">                              Accoms &amp; Meals - Emge</v>
          </cell>
        </row>
        <row r="722">
          <cell r="A722" t="str">
            <v>01-443740-0255-0200</v>
          </cell>
          <cell r="B722" t="str">
            <v>255</v>
          </cell>
          <cell r="C722" t="str">
            <v>sales</v>
          </cell>
          <cell r="D722" t="str">
            <v>9 - t&amp;e</v>
          </cell>
          <cell r="F722" t="str">
            <v xml:space="preserve">                              Entertainment - Emge</v>
          </cell>
        </row>
        <row r="723">
          <cell r="A723" t="str">
            <v>01-443741-0255-0200</v>
          </cell>
          <cell r="B723" t="str">
            <v>255</v>
          </cell>
          <cell r="C723" t="str">
            <v>sales</v>
          </cell>
          <cell r="D723" t="str">
            <v>9 - t&amp;e</v>
          </cell>
          <cell r="F723" t="str">
            <v xml:space="preserve">                              Telephone - Emge</v>
          </cell>
        </row>
        <row r="724">
          <cell r="A724" t="str">
            <v>01-443742-0255-0200</v>
          </cell>
          <cell r="B724" t="str">
            <v>255</v>
          </cell>
          <cell r="C724" t="str">
            <v>sales</v>
          </cell>
          <cell r="D724" t="str">
            <v>9 - t&amp;e</v>
          </cell>
          <cell r="F724" t="str">
            <v xml:space="preserve">                              Travel - Lawson</v>
          </cell>
        </row>
        <row r="725">
          <cell r="A725" t="str">
            <v>01-443743-0255-0200</v>
          </cell>
          <cell r="B725" t="str">
            <v>255</v>
          </cell>
          <cell r="C725" t="str">
            <v>sales</v>
          </cell>
          <cell r="D725" t="str">
            <v>9 - t&amp;e</v>
          </cell>
          <cell r="F725" t="str">
            <v xml:space="preserve">                              Accoms &amp; Meals - Lawson</v>
          </cell>
        </row>
        <row r="726">
          <cell r="A726" t="str">
            <v>01-443745-0255-0200</v>
          </cell>
          <cell r="B726" t="str">
            <v>255</v>
          </cell>
          <cell r="C726" t="str">
            <v>sales</v>
          </cell>
          <cell r="D726" t="str">
            <v>9 - t&amp;e</v>
          </cell>
          <cell r="F726" t="str">
            <v xml:space="preserve">                              Telephone - Lawson</v>
          </cell>
        </row>
        <row r="727">
          <cell r="A727" t="str">
            <v>01-443747-0255-0200</v>
          </cell>
          <cell r="B727" t="str">
            <v>255</v>
          </cell>
          <cell r="C727" t="str">
            <v>sales</v>
          </cell>
          <cell r="D727" t="str">
            <v>9 - t&amp;e</v>
          </cell>
          <cell r="F727" t="str">
            <v xml:space="preserve">                              **Travel - Heiba</v>
          </cell>
        </row>
        <row r="728">
          <cell r="A728" t="str">
            <v>01-443750-0255-0200</v>
          </cell>
          <cell r="B728" t="str">
            <v>255</v>
          </cell>
          <cell r="C728" t="str">
            <v>sales</v>
          </cell>
          <cell r="D728" t="str">
            <v>9 - t&amp;e</v>
          </cell>
          <cell r="F728" t="str">
            <v xml:space="preserve">                              **Telephone - Heiba</v>
          </cell>
        </row>
        <row r="729">
          <cell r="A729" t="str">
            <v>01-443754-0275-0200</v>
          </cell>
          <cell r="B729" t="str">
            <v>275</v>
          </cell>
          <cell r="C729" t="str">
            <v>sales</v>
          </cell>
          <cell r="D729" t="str">
            <v>9 - t&amp;e</v>
          </cell>
          <cell r="F729" t="str">
            <v xml:space="preserve">                              Travel - Wooten</v>
          </cell>
        </row>
        <row r="730">
          <cell r="A730" t="str">
            <v>01-443755-0275-0200</v>
          </cell>
          <cell r="B730" t="str">
            <v>275</v>
          </cell>
          <cell r="C730" t="str">
            <v>sales</v>
          </cell>
          <cell r="D730" t="str">
            <v>9 - t&amp;e</v>
          </cell>
          <cell r="F730" t="str">
            <v xml:space="preserve">                              Accoms &amp; Meals - Wooten</v>
          </cell>
        </row>
        <row r="731">
          <cell r="A731" t="str">
            <v>01-443756-0275-0200</v>
          </cell>
          <cell r="B731" t="str">
            <v>275</v>
          </cell>
          <cell r="C731" t="str">
            <v>sales</v>
          </cell>
          <cell r="D731" t="str">
            <v>9 - t&amp;e</v>
          </cell>
          <cell r="F731" t="str">
            <v xml:space="preserve">                              Entertainment - Wooten</v>
          </cell>
        </row>
        <row r="732">
          <cell r="A732" t="str">
            <v>01-443757-0275-0200</v>
          </cell>
          <cell r="B732" t="str">
            <v>275</v>
          </cell>
          <cell r="C732" t="str">
            <v>sales</v>
          </cell>
          <cell r="D732" t="str">
            <v>9 - t&amp;e</v>
          </cell>
          <cell r="F732" t="str">
            <v xml:space="preserve">                              Telephone - Wooten</v>
          </cell>
        </row>
        <row r="733">
          <cell r="A733" t="str">
            <v>01-443758-0275-0200</v>
          </cell>
          <cell r="B733" t="str">
            <v>275</v>
          </cell>
          <cell r="C733" t="str">
            <v>sales</v>
          </cell>
          <cell r="D733" t="str">
            <v>9 - t&amp;e</v>
          </cell>
          <cell r="F733" t="str">
            <v xml:space="preserve">                              Miscellaneous - Wooten</v>
          </cell>
        </row>
        <row r="734">
          <cell r="A734" t="str">
            <v>01-443761-0245-0200</v>
          </cell>
          <cell r="B734" t="str">
            <v>245</v>
          </cell>
          <cell r="C734" t="str">
            <v>sales</v>
          </cell>
          <cell r="D734" t="str">
            <v>9 - t&amp;e</v>
          </cell>
          <cell r="F734" t="str">
            <v xml:space="preserve">                              Travel - David</v>
          </cell>
        </row>
        <row r="735">
          <cell r="A735" t="str">
            <v>01-443762-0245-0200</v>
          </cell>
          <cell r="B735" t="str">
            <v>245</v>
          </cell>
          <cell r="C735" t="str">
            <v>sales</v>
          </cell>
          <cell r="D735" t="str">
            <v>9 - t&amp;e</v>
          </cell>
          <cell r="F735" t="str">
            <v xml:space="preserve">                              Accomms &amp; Meals - David</v>
          </cell>
        </row>
        <row r="736">
          <cell r="A736" t="str">
            <v>01-443763-0245-0200</v>
          </cell>
          <cell r="B736" t="str">
            <v>245</v>
          </cell>
          <cell r="C736" t="str">
            <v>sales</v>
          </cell>
          <cell r="D736" t="str">
            <v>9 - t&amp;e</v>
          </cell>
          <cell r="F736" t="str">
            <v xml:space="preserve">                              Entertainment - David</v>
          </cell>
        </row>
        <row r="737">
          <cell r="A737" t="str">
            <v>01-443764-0245-0200</v>
          </cell>
          <cell r="B737" t="str">
            <v>245</v>
          </cell>
          <cell r="C737" t="str">
            <v>sales</v>
          </cell>
          <cell r="D737" t="str">
            <v>9 - t&amp;e</v>
          </cell>
          <cell r="F737" t="str">
            <v xml:space="preserve">                              Telephone - David</v>
          </cell>
        </row>
        <row r="738">
          <cell r="A738" t="str">
            <v>01-443765-0245-0200</v>
          </cell>
          <cell r="B738" t="str">
            <v>245</v>
          </cell>
          <cell r="C738" t="str">
            <v>sales</v>
          </cell>
          <cell r="D738" t="str">
            <v>9 - t&amp;e</v>
          </cell>
          <cell r="F738" t="str">
            <v xml:space="preserve">                              Miscellaneous - David</v>
          </cell>
        </row>
        <row r="739">
          <cell r="A739" t="str">
            <v>01-443766-0245-0200</v>
          </cell>
          <cell r="B739" t="str">
            <v>245</v>
          </cell>
          <cell r="C739" t="str">
            <v>sales</v>
          </cell>
          <cell r="D739" t="str">
            <v>9 - t&amp;e</v>
          </cell>
          <cell r="F739" t="str">
            <v xml:space="preserve">                              Travel - John Kelly</v>
          </cell>
        </row>
        <row r="740">
          <cell r="A740" t="str">
            <v>01-443767-0245-0200</v>
          </cell>
          <cell r="B740" t="str">
            <v>245</v>
          </cell>
          <cell r="C740" t="str">
            <v>sales</v>
          </cell>
          <cell r="D740" t="str">
            <v>9 - t&amp;e</v>
          </cell>
          <cell r="F740" t="str">
            <v xml:space="preserve">                              Accoms &amp; Meals - John Kelly</v>
          </cell>
        </row>
        <row r="741">
          <cell r="A741" t="str">
            <v>01-443768-0245-0200</v>
          </cell>
          <cell r="B741" t="str">
            <v>245</v>
          </cell>
          <cell r="C741" t="str">
            <v>sales</v>
          </cell>
          <cell r="D741" t="str">
            <v>9 - t&amp;e</v>
          </cell>
          <cell r="F741" t="str">
            <v xml:space="preserve">                              Entertainment - John Kelly</v>
          </cell>
        </row>
        <row r="742">
          <cell r="A742" t="str">
            <v>01-443769-0245-0200</v>
          </cell>
          <cell r="B742" t="str">
            <v>245</v>
          </cell>
          <cell r="C742" t="str">
            <v>sales</v>
          </cell>
          <cell r="D742" t="str">
            <v>9 - t&amp;e</v>
          </cell>
          <cell r="F742" t="str">
            <v xml:space="preserve">                              Telephone - John Kelly</v>
          </cell>
        </row>
        <row r="743">
          <cell r="A743" t="str">
            <v>01-443770-0245-0200</v>
          </cell>
          <cell r="B743" t="str">
            <v>245</v>
          </cell>
          <cell r="C743" t="str">
            <v>sales</v>
          </cell>
          <cell r="D743" t="str">
            <v>9 - t&amp;e</v>
          </cell>
          <cell r="F743" t="str">
            <v xml:space="preserve">                              Miscellaneous - John Kelly</v>
          </cell>
        </row>
        <row r="744">
          <cell r="A744" t="str">
            <v>01-443771-0245-0200</v>
          </cell>
          <cell r="B744" t="str">
            <v>245</v>
          </cell>
          <cell r="C744" t="str">
            <v>sales</v>
          </cell>
          <cell r="D744" t="str">
            <v>9 - t&amp;e</v>
          </cell>
          <cell r="F744" t="str">
            <v xml:space="preserve">                              Travel - Shatz</v>
          </cell>
        </row>
        <row r="745">
          <cell r="A745" t="str">
            <v>01-443772-0245-0200</v>
          </cell>
          <cell r="B745" t="str">
            <v>245</v>
          </cell>
          <cell r="C745" t="str">
            <v>sales</v>
          </cell>
          <cell r="D745" t="str">
            <v>9 - t&amp;e</v>
          </cell>
          <cell r="F745" t="str">
            <v xml:space="preserve">                              Accom &amp; Meals - Shatz</v>
          </cell>
        </row>
        <row r="746">
          <cell r="A746" t="str">
            <v>01-443773-0245-0200</v>
          </cell>
          <cell r="B746" t="str">
            <v>245</v>
          </cell>
          <cell r="C746" t="str">
            <v>sales</v>
          </cell>
          <cell r="D746" t="str">
            <v>9 - t&amp;e</v>
          </cell>
          <cell r="F746" t="str">
            <v xml:space="preserve">                              Entertainment - Shatz</v>
          </cell>
        </row>
        <row r="747">
          <cell r="A747" t="str">
            <v>01-443774-0245-0200</v>
          </cell>
          <cell r="B747" t="str">
            <v>245</v>
          </cell>
          <cell r="C747" t="str">
            <v>sales</v>
          </cell>
          <cell r="D747" t="str">
            <v>9 - t&amp;e</v>
          </cell>
          <cell r="F747" t="str">
            <v xml:space="preserve">                              Telephone/Misc. - Shatz</v>
          </cell>
        </row>
        <row r="748">
          <cell r="A748" t="str">
            <v>01-443775-0255-0200</v>
          </cell>
          <cell r="B748" t="str">
            <v>255</v>
          </cell>
          <cell r="C748" t="str">
            <v>sales</v>
          </cell>
          <cell r="D748" t="str">
            <v>9 - t&amp;e</v>
          </cell>
          <cell r="F748" t="str">
            <v xml:space="preserve">                              Travel - Malindzak</v>
          </cell>
        </row>
        <row r="749">
          <cell r="A749" t="str">
            <v>01-443776-0255-0200</v>
          </cell>
          <cell r="B749" t="str">
            <v>255</v>
          </cell>
          <cell r="C749" t="str">
            <v>sales</v>
          </cell>
          <cell r="D749" t="str">
            <v>9 - t&amp;e</v>
          </cell>
          <cell r="F749" t="str">
            <v xml:space="preserve">                              Accoms &amp; Meals - Malindzak</v>
          </cell>
        </row>
        <row r="750">
          <cell r="A750" t="str">
            <v>01-443777-0255-0200</v>
          </cell>
          <cell r="B750" t="str">
            <v>255</v>
          </cell>
          <cell r="C750" t="str">
            <v>sales</v>
          </cell>
          <cell r="D750" t="str">
            <v>9 - t&amp;e</v>
          </cell>
          <cell r="F750" t="str">
            <v xml:space="preserve">                              Entertainment - Malindzak</v>
          </cell>
        </row>
        <row r="751">
          <cell r="A751" t="str">
            <v>01-443778-0255-0200</v>
          </cell>
          <cell r="B751" t="str">
            <v>255</v>
          </cell>
          <cell r="C751" t="str">
            <v>sales</v>
          </cell>
          <cell r="D751" t="str">
            <v>9 - t&amp;e</v>
          </cell>
          <cell r="F751" t="str">
            <v xml:space="preserve">                              Telephone - Malindzak</v>
          </cell>
        </row>
        <row r="752">
          <cell r="A752" t="str">
            <v>01-443779-0255-0200</v>
          </cell>
          <cell r="B752" t="str">
            <v>255</v>
          </cell>
          <cell r="C752" t="str">
            <v>sales</v>
          </cell>
          <cell r="D752" t="str">
            <v>9 - t&amp;e</v>
          </cell>
          <cell r="F752" t="str">
            <v xml:space="preserve">                              Miscellaneous - Malindzak</v>
          </cell>
        </row>
        <row r="753">
          <cell r="A753" t="str">
            <v>01-443780-0255-0200</v>
          </cell>
          <cell r="B753" t="str">
            <v>255</v>
          </cell>
          <cell r="C753" t="str">
            <v>sales</v>
          </cell>
          <cell r="D753" t="str">
            <v>9 - t&amp;e</v>
          </cell>
          <cell r="F753" t="str">
            <v xml:space="preserve">                              Travel - West</v>
          </cell>
        </row>
        <row r="754">
          <cell r="A754" t="str">
            <v>01-443781-0255-0200</v>
          </cell>
          <cell r="B754" t="str">
            <v>255</v>
          </cell>
          <cell r="C754" t="str">
            <v>sales</v>
          </cell>
          <cell r="D754" t="str">
            <v>9 - t&amp;e</v>
          </cell>
          <cell r="F754" t="str">
            <v xml:space="preserve">                              Accoms &amp; Meals - West</v>
          </cell>
        </row>
        <row r="755">
          <cell r="A755" t="str">
            <v>01-443782-0255-0200</v>
          </cell>
          <cell r="B755" t="str">
            <v>255</v>
          </cell>
          <cell r="C755" t="str">
            <v>sales</v>
          </cell>
          <cell r="D755" t="str">
            <v>9 - t&amp;e</v>
          </cell>
          <cell r="F755" t="str">
            <v xml:space="preserve">                              Entertainment - West</v>
          </cell>
        </row>
        <row r="756">
          <cell r="A756" t="str">
            <v>01-443783-0255-0200</v>
          </cell>
          <cell r="B756" t="str">
            <v>255</v>
          </cell>
          <cell r="C756" t="str">
            <v>sales</v>
          </cell>
          <cell r="D756" t="str">
            <v>9 - t&amp;e</v>
          </cell>
          <cell r="F756" t="str">
            <v xml:space="preserve">                              Telephone - West</v>
          </cell>
        </row>
        <row r="757">
          <cell r="A757" t="str">
            <v>01-443784-0255-0200</v>
          </cell>
          <cell r="B757" t="str">
            <v>255</v>
          </cell>
          <cell r="C757" t="str">
            <v>sales</v>
          </cell>
          <cell r="D757" t="str">
            <v>9 - t&amp;e</v>
          </cell>
          <cell r="F757" t="str">
            <v xml:space="preserve">                              Misc - West</v>
          </cell>
        </row>
        <row r="758">
          <cell r="A758" t="str">
            <v>01-443796-0245-0200</v>
          </cell>
          <cell r="B758" t="str">
            <v>245</v>
          </cell>
          <cell r="C758" t="str">
            <v>sales</v>
          </cell>
          <cell r="D758" t="str">
            <v>9 - t&amp;e</v>
          </cell>
          <cell r="F758" t="str">
            <v xml:space="preserve">                              Travel - Rivers</v>
          </cell>
        </row>
        <row r="759">
          <cell r="A759" t="str">
            <v>01-443797-0245-0200</v>
          </cell>
          <cell r="B759" t="str">
            <v>245</v>
          </cell>
          <cell r="C759" t="str">
            <v>sales</v>
          </cell>
          <cell r="D759" t="str">
            <v>9 - t&amp;e</v>
          </cell>
          <cell r="F759" t="str">
            <v xml:space="preserve">                              Accoms &amp; Meals - Rivers</v>
          </cell>
        </row>
        <row r="760">
          <cell r="A760" t="str">
            <v>01-443798-0245-0200</v>
          </cell>
          <cell r="B760" t="str">
            <v>245</v>
          </cell>
          <cell r="C760" t="str">
            <v>sales</v>
          </cell>
          <cell r="D760" t="str">
            <v>9 - t&amp;e</v>
          </cell>
          <cell r="F760" t="str">
            <v xml:space="preserve">                              Entertainment - Rivers</v>
          </cell>
        </row>
        <row r="761">
          <cell r="A761" t="str">
            <v>01-443799-0245-0200</v>
          </cell>
          <cell r="B761" t="str">
            <v>245</v>
          </cell>
          <cell r="C761" t="str">
            <v>sales</v>
          </cell>
          <cell r="D761" t="str">
            <v>9 - t&amp;e</v>
          </cell>
          <cell r="F761" t="str">
            <v xml:space="preserve">                              Telephone - Rivers</v>
          </cell>
        </row>
        <row r="762">
          <cell r="A762" t="str">
            <v>01-443800-0245-0200</v>
          </cell>
          <cell r="B762" t="str">
            <v>245</v>
          </cell>
          <cell r="C762" t="str">
            <v>sales</v>
          </cell>
          <cell r="D762" t="str">
            <v>9 - t&amp;e</v>
          </cell>
          <cell r="F762" t="str">
            <v xml:space="preserve">                              Miscellaneous - Rivers</v>
          </cell>
        </row>
        <row r="763">
          <cell r="A763" t="str">
            <v>01-443806-0225-0200</v>
          </cell>
          <cell r="B763" t="str">
            <v>225</v>
          </cell>
          <cell r="C763" t="str">
            <v>sales</v>
          </cell>
          <cell r="D763" t="str">
            <v>9 - t&amp;e</v>
          </cell>
          <cell r="F763" t="str">
            <v xml:space="preserve">                              Telephone - Bower</v>
          </cell>
        </row>
        <row r="764">
          <cell r="A764" t="str">
            <v>01-443810-0245-0200</v>
          </cell>
          <cell r="B764" t="str">
            <v>245</v>
          </cell>
          <cell r="C764" t="str">
            <v>sales</v>
          </cell>
          <cell r="D764" t="str">
            <v>9 - t&amp;e</v>
          </cell>
          <cell r="F764" t="str">
            <v xml:space="preserve">                              Travel - Jajuga</v>
          </cell>
        </row>
        <row r="765">
          <cell r="A765" t="str">
            <v>01-443811-0245-0200</v>
          </cell>
          <cell r="B765" t="str">
            <v>245</v>
          </cell>
          <cell r="C765" t="str">
            <v>sales</v>
          </cell>
          <cell r="D765" t="str">
            <v>9 - t&amp;e</v>
          </cell>
          <cell r="F765" t="str">
            <v xml:space="preserve">                              Accoms &amp; Meals - Jajuga</v>
          </cell>
        </row>
        <row r="766">
          <cell r="A766" t="str">
            <v>01-443812-0245-0200</v>
          </cell>
          <cell r="B766" t="str">
            <v>245</v>
          </cell>
          <cell r="C766" t="str">
            <v>sales</v>
          </cell>
          <cell r="D766" t="str">
            <v>9 - t&amp;e</v>
          </cell>
          <cell r="F766" t="str">
            <v xml:space="preserve">                              Entertainment - Jajuga</v>
          </cell>
        </row>
        <row r="767">
          <cell r="A767" t="str">
            <v>01-443813-0245-0200</v>
          </cell>
          <cell r="B767" t="str">
            <v>245</v>
          </cell>
          <cell r="C767" t="str">
            <v>sales</v>
          </cell>
          <cell r="D767" t="str">
            <v>9 - t&amp;e</v>
          </cell>
          <cell r="F767" t="str">
            <v xml:space="preserve">                              Telephone - Jajuga</v>
          </cell>
        </row>
        <row r="768">
          <cell r="A768" t="str">
            <v>01-443824-0225-0200</v>
          </cell>
          <cell r="B768" t="str">
            <v>225</v>
          </cell>
          <cell r="C768" t="str">
            <v>sales</v>
          </cell>
          <cell r="D768" t="str">
            <v>9 - t&amp;e</v>
          </cell>
          <cell r="F768" t="str">
            <v xml:space="preserve">                              Travel - Carey Jenkins</v>
          </cell>
        </row>
        <row r="769">
          <cell r="A769" t="str">
            <v>01-443825-0225-0200</v>
          </cell>
          <cell r="B769" t="str">
            <v>225</v>
          </cell>
          <cell r="C769" t="str">
            <v>sales</v>
          </cell>
          <cell r="D769" t="str">
            <v>9 - t&amp;e</v>
          </cell>
          <cell r="F769" t="str">
            <v xml:space="preserve">                              Accoms &amp; Meals - Carey Jenkins</v>
          </cell>
        </row>
        <row r="770">
          <cell r="A770" t="str">
            <v>01-443826-0225-0200</v>
          </cell>
          <cell r="B770" t="str">
            <v>225</v>
          </cell>
          <cell r="C770" t="str">
            <v>sales</v>
          </cell>
          <cell r="D770" t="str">
            <v>9 - t&amp;e</v>
          </cell>
          <cell r="F770" t="str">
            <v xml:space="preserve">                              Entertainment - Carey Jenkins</v>
          </cell>
        </row>
        <row r="771">
          <cell r="A771" t="str">
            <v>01-443827-0225-0200</v>
          </cell>
          <cell r="B771" t="str">
            <v>225</v>
          </cell>
          <cell r="C771" t="str">
            <v>sales</v>
          </cell>
          <cell r="D771" t="str">
            <v>9 - t&amp;e</v>
          </cell>
          <cell r="F771" t="str">
            <v xml:space="preserve">                              Telephone - Carey Jenkins</v>
          </cell>
        </row>
        <row r="772">
          <cell r="A772" t="str">
            <v>01-443831-0255-0200</v>
          </cell>
          <cell r="B772" t="str">
            <v>255</v>
          </cell>
          <cell r="C772" t="str">
            <v>sales</v>
          </cell>
          <cell r="D772" t="str">
            <v>9 - t&amp;e</v>
          </cell>
          <cell r="F772" t="str">
            <v xml:space="preserve">                              Travel - Polk</v>
          </cell>
        </row>
        <row r="773">
          <cell r="A773" t="str">
            <v>01-443832-0255-0200</v>
          </cell>
          <cell r="B773" t="str">
            <v>255</v>
          </cell>
          <cell r="C773" t="str">
            <v>sales</v>
          </cell>
          <cell r="D773" t="str">
            <v>9 - t&amp;e</v>
          </cell>
          <cell r="F773" t="str">
            <v xml:space="preserve">                              Accoms &amp; Meals - Polk</v>
          </cell>
        </row>
        <row r="774">
          <cell r="A774" t="str">
            <v>01-443833-0255-0200</v>
          </cell>
          <cell r="B774" t="str">
            <v>255</v>
          </cell>
          <cell r="C774" t="str">
            <v>sales</v>
          </cell>
          <cell r="D774" t="str">
            <v>9 - t&amp;e</v>
          </cell>
          <cell r="F774" t="str">
            <v xml:space="preserve">                              Entertainment - Polk</v>
          </cell>
        </row>
        <row r="775">
          <cell r="A775" t="str">
            <v>01-443834-0255-0200</v>
          </cell>
          <cell r="B775" t="str">
            <v>255</v>
          </cell>
          <cell r="C775" t="str">
            <v>sales</v>
          </cell>
          <cell r="D775" t="str">
            <v>9 - t&amp;e</v>
          </cell>
          <cell r="F775" t="str">
            <v xml:space="preserve">                              Telephone - Polk</v>
          </cell>
        </row>
        <row r="776">
          <cell r="A776" t="str">
            <v>01-443835-0255-0200</v>
          </cell>
          <cell r="B776" t="str">
            <v>255</v>
          </cell>
          <cell r="C776" t="str">
            <v>sales</v>
          </cell>
          <cell r="D776" t="str">
            <v>9 - t&amp;e</v>
          </cell>
          <cell r="F776" t="str">
            <v xml:space="preserve">                              Miscellaneous - Polk</v>
          </cell>
        </row>
        <row r="777">
          <cell r="A777" t="str">
            <v>01-443838-0245-0200</v>
          </cell>
          <cell r="B777" t="str">
            <v>245</v>
          </cell>
          <cell r="C777" t="str">
            <v>sales</v>
          </cell>
          <cell r="D777" t="str">
            <v>9 - t&amp;e</v>
          </cell>
          <cell r="F777" t="str">
            <v xml:space="preserve">                              Travel - Duckworth</v>
          </cell>
        </row>
        <row r="778">
          <cell r="A778" t="str">
            <v>01-443839-0245-0200</v>
          </cell>
          <cell r="B778" t="str">
            <v>245</v>
          </cell>
          <cell r="C778" t="str">
            <v>sales</v>
          </cell>
          <cell r="D778" t="str">
            <v>9 - t&amp;e</v>
          </cell>
          <cell r="F778" t="str">
            <v xml:space="preserve">                              Accoms &amp; Meals - Duckworth</v>
          </cell>
        </row>
        <row r="779">
          <cell r="A779" t="str">
            <v>01-443840-0245-0200</v>
          </cell>
          <cell r="B779" t="str">
            <v>245</v>
          </cell>
          <cell r="C779" t="str">
            <v>sales</v>
          </cell>
          <cell r="D779" t="str">
            <v>9 - t&amp;e</v>
          </cell>
          <cell r="F779" t="str">
            <v xml:space="preserve">                              Entertainment - Duckworth</v>
          </cell>
        </row>
        <row r="780">
          <cell r="A780" t="str">
            <v>01-443841-0245-0200</v>
          </cell>
          <cell r="B780" t="str">
            <v>245</v>
          </cell>
          <cell r="C780" t="str">
            <v>sales</v>
          </cell>
          <cell r="D780" t="str">
            <v>9 - t&amp;e</v>
          </cell>
          <cell r="F780" t="str">
            <v xml:space="preserve">                              Telephone - Duckworth</v>
          </cell>
        </row>
        <row r="781">
          <cell r="A781" t="str">
            <v>01-443842-0245-0200</v>
          </cell>
          <cell r="B781" t="str">
            <v>245</v>
          </cell>
          <cell r="C781" t="str">
            <v>sales</v>
          </cell>
          <cell r="D781" t="str">
            <v>9 - t&amp;e</v>
          </cell>
          <cell r="F781" t="str">
            <v xml:space="preserve">                              Miscellaneous - Duckworth</v>
          </cell>
        </row>
        <row r="782">
          <cell r="A782" t="str">
            <v>01-443845-0275-0200</v>
          </cell>
          <cell r="B782" t="str">
            <v>275</v>
          </cell>
          <cell r="C782" t="str">
            <v>sales</v>
          </cell>
          <cell r="D782" t="str">
            <v>9 - t&amp;e</v>
          </cell>
          <cell r="F782" t="str">
            <v xml:space="preserve">                              Travel - Condon</v>
          </cell>
        </row>
        <row r="783">
          <cell r="A783" t="str">
            <v>01-443846-0275-0200</v>
          </cell>
          <cell r="B783" t="str">
            <v>275</v>
          </cell>
          <cell r="C783" t="str">
            <v>sales</v>
          </cell>
          <cell r="D783" t="str">
            <v>9 - t&amp;e</v>
          </cell>
          <cell r="F783" t="str">
            <v xml:space="preserve">                              Accoms &amp; Meals - Condon</v>
          </cell>
        </row>
        <row r="784">
          <cell r="A784" t="str">
            <v>01-443847-0275-0200</v>
          </cell>
          <cell r="B784" t="str">
            <v>275</v>
          </cell>
          <cell r="C784" t="str">
            <v>sales</v>
          </cell>
          <cell r="D784" t="str">
            <v>9 - t&amp;e</v>
          </cell>
          <cell r="F784" t="str">
            <v xml:space="preserve">                              Entertainment - Condon</v>
          </cell>
        </row>
        <row r="785">
          <cell r="A785" t="str">
            <v>01-443848-0275-0200</v>
          </cell>
          <cell r="B785" t="str">
            <v>275</v>
          </cell>
          <cell r="C785" t="str">
            <v>sales</v>
          </cell>
          <cell r="D785" t="str">
            <v>9 - t&amp;e</v>
          </cell>
          <cell r="F785" t="str">
            <v xml:space="preserve">                              Telephone - Condon</v>
          </cell>
        </row>
        <row r="786">
          <cell r="A786" t="str">
            <v>01-443849-0275-0200</v>
          </cell>
          <cell r="B786" t="str">
            <v>275</v>
          </cell>
          <cell r="C786" t="str">
            <v>sales</v>
          </cell>
          <cell r="D786" t="str">
            <v>9 - t&amp;e</v>
          </cell>
          <cell r="F786" t="str">
            <v xml:space="preserve">                              Miscellaneous - Condon</v>
          </cell>
        </row>
        <row r="787">
          <cell r="A787" t="str">
            <v>01-443860-0255-0200</v>
          </cell>
          <cell r="B787" t="str">
            <v>255</v>
          </cell>
          <cell r="C787" t="str">
            <v>sales</v>
          </cell>
          <cell r="D787" t="str">
            <v>9 - t&amp;e</v>
          </cell>
          <cell r="F787" t="str">
            <v xml:space="preserve">                              Travel - Trey McLaughlin</v>
          </cell>
        </row>
        <row r="788">
          <cell r="A788" t="str">
            <v>01-443861-0255-0200</v>
          </cell>
          <cell r="B788" t="str">
            <v>255</v>
          </cell>
          <cell r="C788" t="str">
            <v>sales</v>
          </cell>
          <cell r="D788" t="str">
            <v>9 - t&amp;e</v>
          </cell>
          <cell r="F788" t="str">
            <v xml:space="preserve">                              Accom &amp; Meals - Trey McLaughlin</v>
          </cell>
        </row>
        <row r="789">
          <cell r="A789" t="str">
            <v>01-443862-0255-0200</v>
          </cell>
          <cell r="B789" t="str">
            <v>255</v>
          </cell>
          <cell r="C789" t="str">
            <v>sales</v>
          </cell>
          <cell r="D789" t="str">
            <v>9 - t&amp;e</v>
          </cell>
          <cell r="F789" t="str">
            <v xml:space="preserve">                              Entertainment - Trey McLaughlin</v>
          </cell>
        </row>
        <row r="790">
          <cell r="A790" t="str">
            <v>01-443863-0255-0200</v>
          </cell>
          <cell r="B790" t="str">
            <v>255</v>
          </cell>
          <cell r="C790" t="str">
            <v>sales</v>
          </cell>
          <cell r="D790" t="str">
            <v>9 - t&amp;e</v>
          </cell>
          <cell r="F790" t="str">
            <v xml:space="preserve">                              Telephone - Trey McLaughlin</v>
          </cell>
        </row>
        <row r="791">
          <cell r="A791" t="str">
            <v>01-443864-0255-0200</v>
          </cell>
          <cell r="B791" t="str">
            <v>255</v>
          </cell>
          <cell r="C791" t="str">
            <v>sales</v>
          </cell>
          <cell r="D791" t="str">
            <v>9 - t&amp;e</v>
          </cell>
          <cell r="F791" t="str">
            <v xml:space="preserve">                              Misc - Trey McLaughlin</v>
          </cell>
        </row>
        <row r="792">
          <cell r="A792" t="str">
            <v>01-443866-0280-0200</v>
          </cell>
          <cell r="B792" t="str">
            <v>280</v>
          </cell>
          <cell r="C792" t="str">
            <v>sales</v>
          </cell>
          <cell r="D792" t="str">
            <v>9 - t&amp;e</v>
          </cell>
          <cell r="F792" t="str">
            <v xml:space="preserve">                              INACTIVE</v>
          </cell>
        </row>
        <row r="793">
          <cell r="A793" t="str">
            <v>01-443874-0275-0200</v>
          </cell>
          <cell r="B793" t="str">
            <v>275</v>
          </cell>
          <cell r="C793" t="str">
            <v>sales</v>
          </cell>
          <cell r="D793" t="str">
            <v>9 - t&amp;e</v>
          </cell>
          <cell r="F793" t="str">
            <v xml:space="preserve">                              Travel-Werley</v>
          </cell>
        </row>
        <row r="794">
          <cell r="A794" t="str">
            <v>01-443875-0275-0200</v>
          </cell>
          <cell r="B794" t="str">
            <v>275</v>
          </cell>
          <cell r="C794" t="str">
            <v>sales</v>
          </cell>
          <cell r="D794" t="str">
            <v>9 - t&amp;e</v>
          </cell>
          <cell r="F794" t="str">
            <v xml:space="preserve">                              Accoms &amp; Meals-Werley</v>
          </cell>
        </row>
        <row r="795">
          <cell r="A795" t="str">
            <v>01-443876-0275-0200</v>
          </cell>
          <cell r="B795" t="str">
            <v>275</v>
          </cell>
          <cell r="C795" t="str">
            <v>sales</v>
          </cell>
          <cell r="D795" t="str">
            <v>9 - t&amp;e</v>
          </cell>
          <cell r="F795" t="str">
            <v xml:space="preserve">                              Entertainment-Werley</v>
          </cell>
        </row>
        <row r="796">
          <cell r="A796" t="str">
            <v>01-443877-0275-0200</v>
          </cell>
          <cell r="B796" t="str">
            <v>275</v>
          </cell>
          <cell r="C796" t="str">
            <v>sales</v>
          </cell>
          <cell r="D796" t="str">
            <v>9 - t&amp;e</v>
          </cell>
          <cell r="F796" t="str">
            <v xml:space="preserve">                              Telephone - Werley</v>
          </cell>
        </row>
        <row r="797">
          <cell r="A797" t="str">
            <v>01-443881-0255-0200</v>
          </cell>
          <cell r="B797" t="str">
            <v>255</v>
          </cell>
          <cell r="C797" t="str">
            <v>sales</v>
          </cell>
          <cell r="D797" t="str">
            <v>9 - t&amp;e</v>
          </cell>
          <cell r="F797" t="str">
            <v xml:space="preserve">                              Travel - Mombrea</v>
          </cell>
        </row>
        <row r="798">
          <cell r="A798" t="str">
            <v>01-443882-0255-0200</v>
          </cell>
          <cell r="B798" t="str">
            <v>255</v>
          </cell>
          <cell r="C798" t="str">
            <v>sales</v>
          </cell>
          <cell r="D798" t="str">
            <v>9 - t&amp;e</v>
          </cell>
          <cell r="F798" t="str">
            <v xml:space="preserve">                              Accoms &amp; Meals - Mombrea</v>
          </cell>
        </row>
        <row r="799">
          <cell r="A799" t="str">
            <v>01-443883-0255-0200</v>
          </cell>
          <cell r="B799" t="str">
            <v>255</v>
          </cell>
          <cell r="C799" t="str">
            <v>sales</v>
          </cell>
          <cell r="D799" t="str">
            <v>9 - t&amp;e</v>
          </cell>
          <cell r="F799" t="str">
            <v xml:space="preserve">                              Entertainment - Mombrea</v>
          </cell>
        </row>
        <row r="800">
          <cell r="A800" t="str">
            <v>01-443884-0255-0200</v>
          </cell>
          <cell r="B800" t="str">
            <v>255</v>
          </cell>
          <cell r="C800" t="str">
            <v>sales</v>
          </cell>
          <cell r="D800" t="str">
            <v>9 - t&amp;e</v>
          </cell>
          <cell r="F800" t="str">
            <v xml:space="preserve">                              Telephone - Mombrea</v>
          </cell>
        </row>
        <row r="801">
          <cell r="A801" t="str">
            <v>01-443885-0255-0200</v>
          </cell>
          <cell r="B801" t="str">
            <v>255</v>
          </cell>
          <cell r="C801" t="str">
            <v>sales</v>
          </cell>
          <cell r="D801" t="str">
            <v>9 - t&amp;e</v>
          </cell>
          <cell r="F801" t="str">
            <v xml:space="preserve">                              Miscellaneous - Mombrea</v>
          </cell>
        </row>
        <row r="802">
          <cell r="A802" t="str">
            <v>01-443888-0245-0200</v>
          </cell>
          <cell r="B802" t="str">
            <v>245</v>
          </cell>
          <cell r="C802" t="str">
            <v>sales</v>
          </cell>
          <cell r="D802" t="str">
            <v>9 - t&amp;e</v>
          </cell>
          <cell r="F802" t="str">
            <v xml:space="preserve">                              Travel - Jeff Moore</v>
          </cell>
        </row>
        <row r="803">
          <cell r="A803" t="str">
            <v>01-443889-0245-0200</v>
          </cell>
          <cell r="B803" t="str">
            <v>245</v>
          </cell>
          <cell r="C803" t="str">
            <v>sales</v>
          </cell>
          <cell r="D803" t="str">
            <v>9 - t&amp;e</v>
          </cell>
          <cell r="F803" t="str">
            <v xml:space="preserve">                              Accoms &amp; Meals - Jeff Moore</v>
          </cell>
        </row>
        <row r="804">
          <cell r="A804" t="str">
            <v>01-443890-0245-0200</v>
          </cell>
          <cell r="B804" t="str">
            <v>245</v>
          </cell>
          <cell r="C804" t="str">
            <v>sales</v>
          </cell>
          <cell r="D804" t="str">
            <v>9 - t&amp;e</v>
          </cell>
          <cell r="F804" t="str">
            <v xml:space="preserve">                              Entertainment - Jeff Moore</v>
          </cell>
        </row>
        <row r="805">
          <cell r="A805" t="str">
            <v>01-443891-0245-0200</v>
          </cell>
          <cell r="B805" t="str">
            <v>245</v>
          </cell>
          <cell r="C805" t="str">
            <v>sales</v>
          </cell>
          <cell r="D805" t="str">
            <v>9 - t&amp;e</v>
          </cell>
          <cell r="F805" t="str">
            <v xml:space="preserve">                              Telephone - Jeff Moore</v>
          </cell>
        </row>
        <row r="806">
          <cell r="A806" t="str">
            <v>01-443892-0245-0200</v>
          </cell>
          <cell r="B806" t="str">
            <v>245</v>
          </cell>
          <cell r="C806" t="str">
            <v>sales</v>
          </cell>
          <cell r="D806" t="str">
            <v>9 - t&amp;e</v>
          </cell>
          <cell r="F806" t="str">
            <v xml:space="preserve">                              Miscellaneous - Jeff Moore</v>
          </cell>
        </row>
        <row r="807">
          <cell r="A807" t="str">
            <v>01-443894-0245-0200</v>
          </cell>
          <cell r="B807" t="str">
            <v>245</v>
          </cell>
          <cell r="C807" t="str">
            <v>sales</v>
          </cell>
          <cell r="D807" t="str">
            <v>9 - t&amp;e</v>
          </cell>
          <cell r="F807" t="str">
            <v xml:space="preserve">                              Travel - Terrero</v>
          </cell>
        </row>
        <row r="808">
          <cell r="A808" t="str">
            <v>01-443895-0245-0200</v>
          </cell>
          <cell r="B808" t="str">
            <v>245</v>
          </cell>
          <cell r="C808" t="str">
            <v>sales</v>
          </cell>
          <cell r="D808" t="str">
            <v>9 - t&amp;e</v>
          </cell>
          <cell r="F808" t="str">
            <v xml:space="preserve">                              Accoms &amp; Meals - Terrero</v>
          </cell>
        </row>
        <row r="809">
          <cell r="A809" t="str">
            <v>01-443896-0245-0200</v>
          </cell>
          <cell r="B809" t="str">
            <v>245</v>
          </cell>
          <cell r="C809" t="str">
            <v>sales</v>
          </cell>
          <cell r="D809" t="str">
            <v>9 - t&amp;e</v>
          </cell>
          <cell r="F809" t="str">
            <v xml:space="preserve">                              Entertainment - Terrero</v>
          </cell>
        </row>
        <row r="810">
          <cell r="A810" t="str">
            <v>01-443897-0245-0200</v>
          </cell>
          <cell r="B810" t="str">
            <v>245</v>
          </cell>
          <cell r="C810" t="str">
            <v>sales</v>
          </cell>
          <cell r="D810" t="str">
            <v>9 - t&amp;e</v>
          </cell>
          <cell r="F810" t="str">
            <v xml:space="preserve">                              Telephone - Terrero</v>
          </cell>
        </row>
        <row r="811">
          <cell r="A811" t="str">
            <v>01-443898-0245-0200</v>
          </cell>
          <cell r="B811" t="str">
            <v>245</v>
          </cell>
          <cell r="C811" t="str">
            <v>sales</v>
          </cell>
          <cell r="D811" t="str">
            <v>9 - t&amp;e</v>
          </cell>
          <cell r="F811" t="str">
            <v xml:space="preserve">                              Miscellaneous - Terrero</v>
          </cell>
        </row>
        <row r="812">
          <cell r="A812" t="str">
            <v>01-444105-0105-0100</v>
          </cell>
          <cell r="B812" t="str">
            <v>105</v>
          </cell>
          <cell r="C812" t="str">
            <v>fin</v>
          </cell>
          <cell r="D812" t="str">
            <v>91 - outside svc</v>
          </cell>
          <cell r="F812" t="str">
            <v xml:space="preserve">                        Outside Consult - Cust Service</v>
          </cell>
        </row>
        <row r="813">
          <cell r="A813" t="str">
            <v>01-444110-0110-0100</v>
          </cell>
          <cell r="B813" t="str">
            <v>110</v>
          </cell>
          <cell r="C813" t="str">
            <v>fin</v>
          </cell>
          <cell r="D813" t="str">
            <v>91 - outside svc</v>
          </cell>
          <cell r="F813" t="str">
            <v xml:space="preserve">                        Outside Consult - Admin</v>
          </cell>
        </row>
        <row r="814">
          <cell r="A814" t="str">
            <v>01-444120-0120-0100</v>
          </cell>
          <cell r="B814" t="str">
            <v>120</v>
          </cell>
          <cell r="C814" t="str">
            <v>fin</v>
          </cell>
          <cell r="D814" t="str">
            <v>91 - outside svc</v>
          </cell>
          <cell r="F814" t="str">
            <v xml:space="preserve">                        Outside Consult - Acctg &amp; Exec</v>
          </cell>
        </row>
        <row r="815">
          <cell r="A815" t="str">
            <v>01-444135-0135-0100</v>
          </cell>
          <cell r="B815" t="str">
            <v>135</v>
          </cell>
          <cell r="C815" t="str">
            <v>fin</v>
          </cell>
          <cell r="D815" t="str">
            <v>91 - outside svc</v>
          </cell>
          <cell r="F815" t="str">
            <v xml:space="preserve">                        Outside Consult -  HR</v>
          </cell>
        </row>
        <row r="816">
          <cell r="A816" t="str">
            <v>01-444210-0210-0200</v>
          </cell>
          <cell r="B816" t="str">
            <v>210</v>
          </cell>
          <cell r="C816" t="str">
            <v>sales</v>
          </cell>
          <cell r="D816" t="str">
            <v>91 - outside svc</v>
          </cell>
          <cell r="F816" t="str">
            <v xml:space="preserve">                        Outside Consult - Sls/Mktg Mgt</v>
          </cell>
        </row>
        <row r="817">
          <cell r="A817" t="str">
            <v>01-444220-0220-0200</v>
          </cell>
          <cell r="B817" t="str">
            <v>220</v>
          </cell>
          <cell r="C817" t="str">
            <v>sales</v>
          </cell>
          <cell r="D817" t="str">
            <v>91 - outside svc</v>
          </cell>
          <cell r="F817" t="str">
            <v xml:space="preserve">                        Outside Consult - Marketing</v>
          </cell>
        </row>
        <row r="818">
          <cell r="A818" t="str">
            <v>01-444235-0235-0200</v>
          </cell>
          <cell r="B818" t="str">
            <v>235</v>
          </cell>
          <cell r="C818" t="str">
            <v>sales</v>
          </cell>
          <cell r="D818" t="str">
            <v>91 - outside svc</v>
          </cell>
          <cell r="F818" t="str">
            <v xml:space="preserve">                        Outside Consult - Sales Operations</v>
          </cell>
        </row>
        <row r="819">
          <cell r="A819" t="str">
            <v>01-444310-0310-0300</v>
          </cell>
          <cell r="B819" t="str">
            <v>310</v>
          </cell>
          <cell r="C819" t="str">
            <v>cust supp</v>
          </cell>
          <cell r="D819" t="str">
            <v>91 - outside svc</v>
          </cell>
          <cell r="F819" t="str">
            <v xml:space="preserve">                        Outside Consult - Cust Supp Admin</v>
          </cell>
        </row>
        <row r="820">
          <cell r="A820" t="str">
            <v>01-444315-0315-0300</v>
          </cell>
          <cell r="B820" t="str">
            <v>315</v>
          </cell>
          <cell r="C820" t="str">
            <v>prod dev</v>
          </cell>
          <cell r="D820" t="str">
            <v>91 - outside svc</v>
          </cell>
          <cell r="F820" t="str">
            <v xml:space="preserve">                        Outside Consult - Multimedia Supp</v>
          </cell>
        </row>
        <row r="821">
          <cell r="A821" t="str">
            <v>01-444325-0325-0300</v>
          </cell>
          <cell r="B821" t="str">
            <v>325</v>
          </cell>
          <cell r="C821" t="str">
            <v>cust supp</v>
          </cell>
          <cell r="D821" t="str">
            <v>91 - outside svc</v>
          </cell>
          <cell r="F821" t="str">
            <v xml:space="preserve">                        Outside Consult - Cust Supp Tech</v>
          </cell>
        </row>
        <row r="822">
          <cell r="A822" t="str">
            <v>01-444330-0330-0300</v>
          </cell>
          <cell r="B822" t="str">
            <v>330</v>
          </cell>
          <cell r="C822" t="str">
            <v>cust supp</v>
          </cell>
          <cell r="D822" t="str">
            <v>91 - outside svc</v>
          </cell>
          <cell r="F822" t="str">
            <v xml:space="preserve">                        Outside Consult - Supp FRS</v>
          </cell>
        </row>
        <row r="823">
          <cell r="A823" t="str">
            <v>01-444335-0335-0300</v>
          </cell>
          <cell r="B823" t="str">
            <v>335</v>
          </cell>
          <cell r="C823" t="str">
            <v>cust supp</v>
          </cell>
          <cell r="D823" t="str">
            <v>91 - outside svc</v>
          </cell>
          <cell r="F823" t="str">
            <v xml:space="preserve">                        Outside Consult - Support FRS Consultants</v>
          </cell>
        </row>
        <row r="824">
          <cell r="A824" t="str">
            <v>01-444345-0345-0300</v>
          </cell>
          <cell r="B824" t="str">
            <v>345</v>
          </cell>
          <cell r="C824" t="str">
            <v>cust supp</v>
          </cell>
          <cell r="D824" t="str">
            <v>91 - outside svc</v>
          </cell>
          <cell r="F824" t="str">
            <v xml:space="preserve">                        Outside Consult - Support AFN Consultants</v>
          </cell>
        </row>
        <row r="825">
          <cell r="A825" t="str">
            <v>01-444355-0355-0300</v>
          </cell>
          <cell r="B825" t="str">
            <v>355</v>
          </cell>
          <cell r="C825" t="str">
            <v>cust supp</v>
          </cell>
          <cell r="D825" t="str">
            <v>91 - outside svc</v>
          </cell>
          <cell r="F825" t="str">
            <v xml:space="preserve">                        Outside Consult - Service Operations</v>
          </cell>
        </row>
        <row r="826">
          <cell r="A826" t="str">
            <v>01-444490-0490-0400</v>
          </cell>
          <cell r="B826" t="str">
            <v>490</v>
          </cell>
          <cell r="C826" t="str">
            <v>prod dev</v>
          </cell>
          <cell r="D826" t="str">
            <v>91 - outside svc</v>
          </cell>
          <cell r="F826" t="str">
            <v xml:space="preserve">                        Outside Consult - Prod Dev. Mgmt</v>
          </cell>
        </row>
        <row r="827">
          <cell r="A827" t="str">
            <v>01-444495-0495-0400</v>
          </cell>
          <cell r="B827" t="str">
            <v>495</v>
          </cell>
          <cell r="C827" t="str">
            <v>prod dev</v>
          </cell>
          <cell r="D827" t="str">
            <v>91 - outside svc</v>
          </cell>
          <cell r="F827" t="str">
            <v xml:space="preserve">                        Outside Consult - Prod. Division Mgmt. - FAS</v>
          </cell>
        </row>
        <row r="828">
          <cell r="A828" t="str">
            <v>01-444496-0496-0400</v>
          </cell>
          <cell r="B828" t="str">
            <v>496</v>
          </cell>
          <cell r="C828" t="str">
            <v>prod dev</v>
          </cell>
          <cell r="D828" t="str">
            <v>91 - outside svc</v>
          </cell>
          <cell r="F828" t="str">
            <v xml:space="preserve">                        Outside Consult - Prod. Division - CT/R</v>
          </cell>
        </row>
        <row r="829">
          <cell r="A829" t="str">
            <v>01-444510-0510-0500</v>
          </cell>
          <cell r="B829" t="str">
            <v>510</v>
          </cell>
          <cell r="C829" t="str">
            <v>strategy</v>
          </cell>
          <cell r="D829" t="str">
            <v>91 - outside svc</v>
          </cell>
          <cell r="F829" t="str">
            <v xml:space="preserve">                        Outside Consult - Market Research</v>
          </cell>
        </row>
        <row r="830">
          <cell r="A830" t="str">
            <v>01-444720-0720-0410</v>
          </cell>
          <cell r="B830" t="str">
            <v>720</v>
          </cell>
          <cell r="C830" t="str">
            <v>cust supp</v>
          </cell>
          <cell r="D830" t="str">
            <v>91 - outside svc</v>
          </cell>
          <cell r="F830" t="str">
            <v xml:space="preserve">                        Outside Consult - Conversions</v>
          </cell>
        </row>
        <row r="831">
          <cell r="A831" t="str">
            <v>01-444721-0720-0410</v>
          </cell>
          <cell r="B831" t="str">
            <v>720</v>
          </cell>
          <cell r="C831" t="str">
            <v>cust supp</v>
          </cell>
          <cell r="D831" t="str">
            <v>91 - outside svc</v>
          </cell>
          <cell r="F831" t="str">
            <v xml:space="preserve">                        Subcontractors - Conversions</v>
          </cell>
        </row>
        <row r="832">
          <cell r="A832" t="str">
            <v>01-444750-0750-0400</v>
          </cell>
          <cell r="B832" t="str">
            <v>750</v>
          </cell>
          <cell r="C832" t="str">
            <v>tech svc</v>
          </cell>
          <cell r="D832" t="str">
            <v>91 - outside svc</v>
          </cell>
          <cell r="F832" t="str">
            <v xml:space="preserve">                        Outside Consult - Info Systems</v>
          </cell>
        </row>
        <row r="833">
          <cell r="A833" t="str">
            <v>01-444755-0755-0400</v>
          </cell>
          <cell r="B833" t="str">
            <v>755</v>
          </cell>
          <cell r="C833" t="str">
            <v>tech svc</v>
          </cell>
          <cell r="D833" t="str">
            <v>91 - outside svc</v>
          </cell>
          <cell r="F833" t="str">
            <v xml:space="preserve">                        Outside Consult - Info Tech</v>
          </cell>
        </row>
        <row r="834">
          <cell r="A834" t="str">
            <v>01-445110-0110-0100</v>
          </cell>
          <cell r="B834" t="str">
            <v>110</v>
          </cell>
          <cell r="C834" t="str">
            <v>fin</v>
          </cell>
          <cell r="D834" t="str">
            <v>92-prod dist</v>
          </cell>
          <cell r="F834" t="str">
            <v xml:space="preserve">                        Shipping Costs - Form Sales</v>
          </cell>
        </row>
        <row r="835">
          <cell r="A835" t="str">
            <v>01-445210-0235-0200</v>
          </cell>
          <cell r="B835" t="str">
            <v>235</v>
          </cell>
          <cell r="C835" t="str">
            <v>sales</v>
          </cell>
          <cell r="D835" t="str">
            <v>92-prod dist</v>
          </cell>
          <cell r="F835" t="str">
            <v xml:space="preserve">                        Shipping Costs - Software and Initial Manuals</v>
          </cell>
        </row>
        <row r="836">
          <cell r="A836" t="str">
            <v>01-445300-0310-0300</v>
          </cell>
          <cell r="B836" t="str">
            <v>310</v>
          </cell>
          <cell r="C836" t="str">
            <v>cust supp</v>
          </cell>
          <cell r="D836" t="str">
            <v>92-prod dist</v>
          </cell>
          <cell r="F836" t="str">
            <v xml:space="preserve">                        Technical Bulletins</v>
          </cell>
        </row>
        <row r="837">
          <cell r="A837" t="str">
            <v>01-445310-0310-0100</v>
          </cell>
          <cell r="B837" t="str">
            <v>310</v>
          </cell>
          <cell r="C837" t="str">
            <v>cust supp</v>
          </cell>
          <cell r="D837" t="str">
            <v>92-prod dist</v>
          </cell>
          <cell r="F837" t="str">
            <v xml:space="preserve">                        User Manuals &amp; Production Supplies</v>
          </cell>
        </row>
        <row r="838">
          <cell r="A838" t="str">
            <v>01-445311-0310-0300</v>
          </cell>
          <cell r="B838" t="str">
            <v>310</v>
          </cell>
          <cell r="C838" t="str">
            <v>cust supp</v>
          </cell>
          <cell r="D838" t="str">
            <v>92-prod dist</v>
          </cell>
          <cell r="F838" t="str">
            <v xml:space="preserve">                        Shipping Costs - Manuals, Workbooks, etc.</v>
          </cell>
        </row>
        <row r="839">
          <cell r="A839" t="str">
            <v>01-445316-0497-0400</v>
          </cell>
          <cell r="B839" t="str">
            <v>497</v>
          </cell>
          <cell r="C839" t="str">
            <v>prod dev</v>
          </cell>
          <cell r="D839" t="str">
            <v>92-prod dist</v>
          </cell>
          <cell r="F839" t="str">
            <v xml:space="preserve">                        Beta Releases -  RE</v>
          </cell>
        </row>
        <row r="840">
          <cell r="A840" t="str">
            <v>01-445317-0497-0400</v>
          </cell>
          <cell r="B840" t="str">
            <v>497</v>
          </cell>
          <cell r="C840" t="str">
            <v>prod dev</v>
          </cell>
          <cell r="D840" t="str">
            <v>92-prod dist</v>
          </cell>
          <cell r="F840" t="str">
            <v xml:space="preserve">                        Beta Releases - AFN</v>
          </cell>
        </row>
        <row r="841">
          <cell r="A841" t="str">
            <v>01-445318-0497-0400</v>
          </cell>
          <cell r="B841" t="str">
            <v>497</v>
          </cell>
          <cell r="C841" t="str">
            <v>prod dev</v>
          </cell>
          <cell r="D841" t="str">
            <v>92-prod dist</v>
          </cell>
          <cell r="F841" t="str">
            <v xml:space="preserve">                        Beta Releases - AO/RO</v>
          </cell>
        </row>
        <row r="842">
          <cell r="A842" t="str">
            <v>01-445400-0110-0100</v>
          </cell>
          <cell r="B842" t="str">
            <v>110</v>
          </cell>
          <cell r="C842" t="str">
            <v>fin</v>
          </cell>
          <cell r="D842" t="str">
            <v>92-prod dist</v>
          </cell>
          <cell r="F842" t="str">
            <v xml:space="preserve">                        Global Releases</v>
          </cell>
        </row>
        <row r="843">
          <cell r="A843" t="str">
            <v>01-446510-0505-0500</v>
          </cell>
          <cell r="B843" t="str">
            <v>505</v>
          </cell>
          <cell r="C843" t="str">
            <v>strategy</v>
          </cell>
          <cell r="D843" t="str">
            <v>93-acq</v>
          </cell>
          <cell r="F843" t="str">
            <v xml:space="preserve">                        Acquisition Expenses</v>
          </cell>
        </row>
        <row r="844">
          <cell r="A844" t="str">
            <v>01-446511-0510-0500</v>
          </cell>
          <cell r="B844" t="str">
            <v>510</v>
          </cell>
          <cell r="C844" t="str">
            <v>strategy</v>
          </cell>
          <cell r="D844" t="str">
            <v>93-acq</v>
          </cell>
          <cell r="F844" t="str">
            <v xml:space="preserve">                        Acquisitions-Employee Expense</v>
          </cell>
        </row>
        <row r="845">
          <cell r="A845" t="str">
            <v>01-447510-0510-0500</v>
          </cell>
          <cell r="B845" t="str">
            <v>510</v>
          </cell>
          <cell r="C845" t="str">
            <v>strategy</v>
          </cell>
          <cell r="D845" t="str">
            <v>93-acq</v>
          </cell>
          <cell r="F845" t="str">
            <v xml:space="preserve">                        Competitor Research</v>
          </cell>
        </row>
        <row r="846">
          <cell r="A846" t="str">
            <v>01-447511-0510-0500</v>
          </cell>
          <cell r="B846" t="str">
            <v>510</v>
          </cell>
          <cell r="C846" t="str">
            <v>strategy</v>
          </cell>
          <cell r="D846" t="str">
            <v>93-acq</v>
          </cell>
          <cell r="F846" t="str">
            <v xml:space="preserve">                        New Market/Product Research</v>
          </cell>
        </row>
        <row r="847">
          <cell r="A847" t="str">
            <v>01-451100-0140-0110</v>
          </cell>
          <cell r="B847" t="str">
            <v>140</v>
          </cell>
          <cell r="C847" t="str">
            <v>fin</v>
          </cell>
          <cell r="D847" t="str">
            <v>94-fac</v>
          </cell>
          <cell r="F847" t="str">
            <v xml:space="preserve">                              Rent - Corporate</v>
          </cell>
        </row>
        <row r="848">
          <cell r="A848" t="str">
            <v>01-451145-0145-0110</v>
          </cell>
          <cell r="B848" t="str">
            <v>145</v>
          </cell>
          <cell r="C848" t="str">
            <v>fin</v>
          </cell>
          <cell r="D848" t="str">
            <v>94-fac</v>
          </cell>
          <cell r="F848" t="str">
            <v xml:space="preserve">                              Rent - Facility MSC</v>
          </cell>
        </row>
        <row r="849">
          <cell r="A849" t="str">
            <v>01-452100-0140-0110</v>
          </cell>
          <cell r="B849" t="str">
            <v>140</v>
          </cell>
          <cell r="C849" t="str">
            <v>fin</v>
          </cell>
          <cell r="D849" t="str">
            <v>94-fac</v>
          </cell>
          <cell r="F849" t="str">
            <v xml:space="preserve">                              Utilities</v>
          </cell>
        </row>
        <row r="850">
          <cell r="A850" t="str">
            <v>01-452105-0140-0110</v>
          </cell>
          <cell r="B850" t="str">
            <v>140</v>
          </cell>
          <cell r="C850" t="str">
            <v>fin</v>
          </cell>
          <cell r="D850" t="str">
            <v>94-fac</v>
          </cell>
          <cell r="F850" t="str">
            <v xml:space="preserve">                              Personal Property Taxes</v>
          </cell>
        </row>
        <row r="851">
          <cell r="A851" t="str">
            <v>01-452110-0140-0110</v>
          </cell>
          <cell r="B851" t="str">
            <v>140</v>
          </cell>
          <cell r="C851" t="str">
            <v>fin</v>
          </cell>
          <cell r="D851" t="str">
            <v>94-fac</v>
          </cell>
          <cell r="F851" t="str">
            <v xml:space="preserve">                              Internet Access Expense</v>
          </cell>
        </row>
        <row r="852">
          <cell r="A852" t="str">
            <v>01-452117-0755-0400</v>
          </cell>
          <cell r="B852" t="str">
            <v>755</v>
          </cell>
          <cell r="C852" t="str">
            <v>tech svc</v>
          </cell>
          <cell r="D852" t="str">
            <v>94-fac</v>
          </cell>
          <cell r="F852" t="str">
            <v xml:space="preserve">                              Computer Repairs</v>
          </cell>
        </row>
        <row r="853">
          <cell r="A853" t="str">
            <v>01-452118-0755-0400</v>
          </cell>
          <cell r="B853" t="str">
            <v>755</v>
          </cell>
          <cell r="C853" t="str">
            <v>tech svc</v>
          </cell>
          <cell r="D853" t="str">
            <v>94-fac</v>
          </cell>
          <cell r="F853" t="str">
            <v xml:space="preserve">                              Computer Repair Supplies</v>
          </cell>
        </row>
        <row r="854">
          <cell r="A854" t="str">
            <v>01-452120-0140-0110</v>
          </cell>
          <cell r="B854" t="str">
            <v>140</v>
          </cell>
          <cell r="C854" t="str">
            <v>fin</v>
          </cell>
          <cell r="D854" t="str">
            <v>94-fac</v>
          </cell>
          <cell r="F854" t="str">
            <v xml:space="preserve">                              Plant Maintenance</v>
          </cell>
        </row>
        <row r="855">
          <cell r="A855" t="str">
            <v>01-452124-0140-0110</v>
          </cell>
          <cell r="B855" t="str">
            <v>140</v>
          </cell>
          <cell r="C855" t="str">
            <v>fin</v>
          </cell>
          <cell r="D855" t="str">
            <v>94-fac</v>
          </cell>
          <cell r="F855" t="str">
            <v xml:space="preserve">                              In-House Software Maintenance</v>
          </cell>
        </row>
        <row r="856">
          <cell r="A856" t="str">
            <v>01-452125-0140-0110</v>
          </cell>
          <cell r="B856" t="str">
            <v>140</v>
          </cell>
          <cell r="C856" t="str">
            <v>fin</v>
          </cell>
          <cell r="D856" t="str">
            <v>94-fac</v>
          </cell>
          <cell r="F856" t="str">
            <v xml:space="preserve">                              In-House Computer &amp; SW Suppls.</v>
          </cell>
        </row>
        <row r="857">
          <cell r="A857" t="str">
            <v>01-452128-0140-0110</v>
          </cell>
          <cell r="B857" t="str">
            <v>140</v>
          </cell>
          <cell r="C857" t="str">
            <v>fin</v>
          </cell>
          <cell r="D857" t="str">
            <v>94-fac</v>
          </cell>
          <cell r="F857" t="str">
            <v xml:space="preserve">                              Office Expenses/Supplies</v>
          </cell>
        </row>
        <row r="858">
          <cell r="A858" t="str">
            <v>01-452150-0140-0110</v>
          </cell>
          <cell r="B858" t="str">
            <v>140</v>
          </cell>
          <cell r="C858" t="str">
            <v>fin</v>
          </cell>
          <cell r="D858" t="str">
            <v>94-fac</v>
          </cell>
          <cell r="F858" t="str">
            <v xml:space="preserve">                              Postage Meter</v>
          </cell>
        </row>
        <row r="859">
          <cell r="A859" t="str">
            <v>01-452155-0140-0110</v>
          </cell>
          <cell r="B859" t="str">
            <v>140</v>
          </cell>
          <cell r="C859" t="str">
            <v>fin</v>
          </cell>
          <cell r="D859" t="str">
            <v>94-fac</v>
          </cell>
          <cell r="F859" t="str">
            <v xml:space="preserve">                              Kitchen supplies</v>
          </cell>
        </row>
        <row r="860">
          <cell r="A860" t="str">
            <v>01-452157-0140-0110</v>
          </cell>
          <cell r="B860" t="str">
            <v>140</v>
          </cell>
          <cell r="C860" t="str">
            <v>fin</v>
          </cell>
          <cell r="D860" t="str">
            <v>94-fac</v>
          </cell>
          <cell r="F860" t="str">
            <v xml:space="preserve">                              Cafeteria Expenses</v>
          </cell>
        </row>
        <row r="861">
          <cell r="A861" t="str">
            <v>01-452160-0140-0110</v>
          </cell>
          <cell r="B861" t="str">
            <v>140</v>
          </cell>
          <cell r="C861" t="str">
            <v>fin</v>
          </cell>
          <cell r="D861" t="str">
            <v>94-fac</v>
          </cell>
          <cell r="F861" t="str">
            <v xml:space="preserve">                              Licenses and Permits</v>
          </cell>
        </row>
        <row r="862">
          <cell r="A862" t="str">
            <v>01-452173-0140-0110</v>
          </cell>
          <cell r="B862" t="str">
            <v>140</v>
          </cell>
          <cell r="C862" t="str">
            <v>fin</v>
          </cell>
          <cell r="D862" t="str">
            <v>94-fac</v>
          </cell>
          <cell r="F862" t="str">
            <v xml:space="preserve">                              Photocopier - lease/supplies</v>
          </cell>
        </row>
        <row r="863">
          <cell r="A863" t="str">
            <v>01-452175-0140-0110</v>
          </cell>
          <cell r="B863" t="str">
            <v>140</v>
          </cell>
          <cell r="C863" t="str">
            <v>fin</v>
          </cell>
          <cell r="D863" t="str">
            <v>94-fac</v>
          </cell>
          <cell r="F863" t="str">
            <v xml:space="preserve">                              Fax machine - lease/supplies</v>
          </cell>
        </row>
        <row r="864">
          <cell r="A864" t="str">
            <v>01-452180-0140-0110</v>
          </cell>
          <cell r="B864" t="str">
            <v>140</v>
          </cell>
          <cell r="C864" t="str">
            <v>fin</v>
          </cell>
          <cell r="D864" t="str">
            <v>94-fac</v>
          </cell>
          <cell r="F864" t="str">
            <v xml:space="preserve">                              Furniture Lease</v>
          </cell>
        </row>
        <row r="865">
          <cell r="A865" t="str">
            <v>01-452185-0140-0110</v>
          </cell>
          <cell r="B865" t="str">
            <v>140</v>
          </cell>
          <cell r="C865" t="str">
            <v>fin</v>
          </cell>
          <cell r="D865" t="str">
            <v>94-fac</v>
          </cell>
          <cell r="F865" t="str">
            <v xml:space="preserve">                              Telephone Switch Lease</v>
          </cell>
        </row>
        <row r="866">
          <cell r="A866" t="str">
            <v>01-452195-0140-0110</v>
          </cell>
          <cell r="B866" t="str">
            <v>140</v>
          </cell>
          <cell r="C866" t="str">
            <v>fin</v>
          </cell>
          <cell r="D866" t="str">
            <v>94-fac</v>
          </cell>
          <cell r="F866" t="str">
            <v xml:space="preserve">                              Equipment/Software Leases</v>
          </cell>
        </row>
        <row r="867">
          <cell r="A867" t="str">
            <v>01-453105-0140-0110</v>
          </cell>
          <cell r="B867" t="str">
            <v>140</v>
          </cell>
          <cell r="C867" t="str">
            <v>fin</v>
          </cell>
          <cell r="F867" t="str">
            <v xml:space="preserve">                              Depreciation Leased Equipment</v>
          </cell>
        </row>
        <row r="868">
          <cell r="A868" t="str">
            <v>01-453108-0140-0110</v>
          </cell>
          <cell r="B868" t="str">
            <v>140</v>
          </cell>
          <cell r="C868" t="str">
            <v>fin</v>
          </cell>
          <cell r="F868" t="str">
            <v xml:space="preserve">                              Depreciation Leased Furniture</v>
          </cell>
        </row>
        <row r="869">
          <cell r="A869" t="str">
            <v>01-453110-0140-0110</v>
          </cell>
          <cell r="B869" t="str">
            <v>140</v>
          </cell>
          <cell r="C869" t="str">
            <v>fin</v>
          </cell>
          <cell r="F869" t="str">
            <v xml:space="preserve">                              Depreciation Leasehold Improv</v>
          </cell>
        </row>
        <row r="870">
          <cell r="A870" t="str">
            <v>01-453115-0140-0110</v>
          </cell>
          <cell r="B870" t="str">
            <v>140</v>
          </cell>
          <cell r="C870" t="str">
            <v>fin</v>
          </cell>
          <cell r="F870" t="str">
            <v xml:space="preserve">                              Depreciation - Equipment</v>
          </cell>
        </row>
        <row r="871">
          <cell r="A871" t="str">
            <v>01-453120-0140-0110</v>
          </cell>
          <cell r="B871" t="str">
            <v>140</v>
          </cell>
          <cell r="C871" t="str">
            <v>fin</v>
          </cell>
          <cell r="F871" t="str">
            <v xml:space="preserve">                              Depreciation - Furniture</v>
          </cell>
        </row>
        <row r="872">
          <cell r="A872" t="str">
            <v>01-453140-0145-0110</v>
          </cell>
          <cell r="B872" t="str">
            <v>145</v>
          </cell>
          <cell r="C872" t="str">
            <v>fin</v>
          </cell>
          <cell r="F872" t="str">
            <v xml:space="preserve">                              Depreciation - Acquired Assets</v>
          </cell>
        </row>
        <row r="873">
          <cell r="A873" t="str">
            <v>01-454105-0140-0110</v>
          </cell>
          <cell r="B873" t="str">
            <v>140</v>
          </cell>
          <cell r="C873" t="str">
            <v>fin</v>
          </cell>
          <cell r="D873" t="str">
            <v>94-fac</v>
          </cell>
          <cell r="F873" t="str">
            <v xml:space="preserve">                              Telephone</v>
          </cell>
        </row>
        <row r="874">
          <cell r="A874" t="str">
            <v>01-454115-0140-0110</v>
          </cell>
          <cell r="B874" t="str">
            <v>140</v>
          </cell>
          <cell r="C874" t="str">
            <v>fin</v>
          </cell>
          <cell r="D874" t="str">
            <v>94-fac</v>
          </cell>
          <cell r="F874" t="str">
            <v xml:space="preserve">                              Telephone Switch Maint.</v>
          </cell>
        </row>
        <row r="875">
          <cell r="A875" t="str">
            <v>01-455105-0105-0100</v>
          </cell>
          <cell r="B875" t="str">
            <v>105</v>
          </cell>
          <cell r="C875" t="str">
            <v>fin</v>
          </cell>
          <cell r="D875" t="str">
            <v>94-fac</v>
          </cell>
          <cell r="E875" t="str">
            <v>facility</v>
          </cell>
          <cell r="F875" t="str">
            <v xml:space="preserve">                              Facility Alloc - Customer Service</v>
          </cell>
        </row>
        <row r="876">
          <cell r="A876" t="str">
            <v>01-455110-0110-0100</v>
          </cell>
          <cell r="B876" t="str">
            <v>110</v>
          </cell>
          <cell r="C876" t="str">
            <v>fin</v>
          </cell>
          <cell r="D876" t="str">
            <v>94-fac</v>
          </cell>
          <cell r="E876" t="str">
            <v>facility</v>
          </cell>
          <cell r="F876" t="str">
            <v xml:space="preserve">                              Facility Alloc - Admin</v>
          </cell>
        </row>
        <row r="877">
          <cell r="A877" t="str">
            <v>01-455120-0120-0100</v>
          </cell>
          <cell r="B877" t="str">
            <v>120</v>
          </cell>
          <cell r="C877" t="str">
            <v>fin</v>
          </cell>
          <cell r="D877" t="str">
            <v>94-fac</v>
          </cell>
          <cell r="E877" t="str">
            <v>facility</v>
          </cell>
          <cell r="F877" t="str">
            <v xml:space="preserve">                              Facility Alloc - Acct &amp; Finance</v>
          </cell>
        </row>
        <row r="878">
          <cell r="A878" t="str">
            <v>01-455135-0135-0100</v>
          </cell>
          <cell r="B878" t="str">
            <v>135</v>
          </cell>
          <cell r="C878" t="str">
            <v>fin</v>
          </cell>
          <cell r="D878" t="str">
            <v>94-fac</v>
          </cell>
          <cell r="E878" t="str">
            <v>facility</v>
          </cell>
          <cell r="F878" t="str">
            <v xml:space="preserve">                              Facility Alloc - HR</v>
          </cell>
        </row>
        <row r="879">
          <cell r="A879" t="str">
            <v>01-455210-0210-0200</v>
          </cell>
          <cell r="B879" t="str">
            <v>210</v>
          </cell>
          <cell r="C879" t="str">
            <v>sales</v>
          </cell>
          <cell r="D879" t="str">
            <v>94-fac</v>
          </cell>
          <cell r="E879" t="str">
            <v>facility</v>
          </cell>
          <cell r="F879" t="str">
            <v xml:space="preserve">                              Facility Alloc - Sls/Mktg Mgt</v>
          </cell>
        </row>
        <row r="880">
          <cell r="A880" t="str">
            <v>01-455220-0220-0230</v>
          </cell>
          <cell r="B880" t="str">
            <v>220</v>
          </cell>
          <cell r="C880" t="str">
            <v>sales</v>
          </cell>
          <cell r="D880" t="str">
            <v>94-fac</v>
          </cell>
          <cell r="E880" t="str">
            <v>facility</v>
          </cell>
          <cell r="F880" t="str">
            <v xml:space="preserve">                              Facility Alloc - Marketing</v>
          </cell>
        </row>
        <row r="881">
          <cell r="A881" t="str">
            <v>01-455225-0225-0200</v>
          </cell>
          <cell r="B881" t="str">
            <v>225</v>
          </cell>
          <cell r="C881" t="str">
            <v>sales</v>
          </cell>
          <cell r="D881" t="str">
            <v>94-fac</v>
          </cell>
          <cell r="E881" t="str">
            <v>facility</v>
          </cell>
          <cell r="F881" t="str">
            <v xml:space="preserve">                              Facility Alloc - Inside Sales - Comeau</v>
          </cell>
        </row>
        <row r="882">
          <cell r="A882" t="str">
            <v>01-455235-0235-0200</v>
          </cell>
          <cell r="B882" t="str">
            <v>235</v>
          </cell>
          <cell r="C882" t="str">
            <v>sales</v>
          </cell>
          <cell r="D882" t="str">
            <v>94-fac</v>
          </cell>
          <cell r="E882" t="str">
            <v>facility</v>
          </cell>
          <cell r="F882" t="str">
            <v xml:space="preserve">                              Facility Alloc - Sales Operations</v>
          </cell>
        </row>
        <row r="883">
          <cell r="A883" t="str">
            <v>01-455245-0245-0200</v>
          </cell>
          <cell r="B883" t="str">
            <v>245</v>
          </cell>
          <cell r="C883" t="str">
            <v>sales</v>
          </cell>
          <cell r="D883" t="str">
            <v>94-fac</v>
          </cell>
          <cell r="E883" t="str">
            <v>facility</v>
          </cell>
          <cell r="F883" t="str">
            <v xml:space="preserve">                              Facility Alloc - Sales Reg 1- Catanzarite</v>
          </cell>
        </row>
        <row r="884">
          <cell r="A884" t="str">
            <v>01-455255-0255-0200</v>
          </cell>
          <cell r="B884" t="str">
            <v>255</v>
          </cell>
          <cell r="C884" t="str">
            <v>sales</v>
          </cell>
          <cell r="D884" t="str">
            <v>94-fac</v>
          </cell>
          <cell r="E884" t="str">
            <v>facility</v>
          </cell>
          <cell r="F884" t="str">
            <v xml:space="preserve">                              Facility Alloc - Sales Region 2</v>
          </cell>
        </row>
        <row r="885">
          <cell r="A885" t="str">
            <v>01-455275-0275-0200</v>
          </cell>
          <cell r="B885" t="str">
            <v>275</v>
          </cell>
          <cell r="C885" t="str">
            <v>sales</v>
          </cell>
          <cell r="D885" t="str">
            <v>94-fac</v>
          </cell>
          <cell r="E885" t="str">
            <v>facility</v>
          </cell>
          <cell r="F885" t="str">
            <v xml:space="preserve">                              Facility Alloc - Sales AFN</v>
          </cell>
        </row>
        <row r="886">
          <cell r="A886" t="str">
            <v>01-455305-0305-0300</v>
          </cell>
          <cell r="B886" t="str">
            <v>305</v>
          </cell>
          <cell r="C886" t="str">
            <v>cust supp</v>
          </cell>
          <cell r="D886" t="str">
            <v>94-fac</v>
          </cell>
          <cell r="E886" t="str">
            <v>facility</v>
          </cell>
          <cell r="F886" t="str">
            <v xml:space="preserve">                              Facility Alloc- Cust Supp Mgmt</v>
          </cell>
        </row>
        <row r="887">
          <cell r="A887" t="str">
            <v>01-455310-0310-0300</v>
          </cell>
          <cell r="B887" t="str">
            <v>310</v>
          </cell>
          <cell r="C887" t="str">
            <v>cust supp</v>
          </cell>
          <cell r="D887" t="str">
            <v>94-fac</v>
          </cell>
          <cell r="E887" t="str">
            <v>facility</v>
          </cell>
          <cell r="F887" t="str">
            <v xml:space="preserve">                              Facility Alloc - Cust Supp Admin</v>
          </cell>
        </row>
        <row r="888">
          <cell r="A888" t="str">
            <v>01-455315-0315-0300</v>
          </cell>
          <cell r="B888" t="str">
            <v>315</v>
          </cell>
          <cell r="C888" t="str">
            <v>prod dev</v>
          </cell>
          <cell r="D888" t="str">
            <v>94-fac</v>
          </cell>
          <cell r="E888" t="str">
            <v>facility</v>
          </cell>
          <cell r="F888" t="str">
            <v xml:space="preserve">                              Facility Alloc - Multimedia</v>
          </cell>
        </row>
        <row r="889">
          <cell r="A889" t="str">
            <v>01-455320-0320-0300</v>
          </cell>
          <cell r="B889" t="str">
            <v>320</v>
          </cell>
          <cell r="C889" t="str">
            <v>cust supp</v>
          </cell>
          <cell r="D889" t="str">
            <v>94-fac</v>
          </cell>
          <cell r="E889" t="str">
            <v>facility</v>
          </cell>
          <cell r="F889" t="str">
            <v xml:space="preserve">                              Facility Alloc - Cust Supp SAS</v>
          </cell>
        </row>
        <row r="890">
          <cell r="A890" t="str">
            <v>01-455325-0325-0300</v>
          </cell>
          <cell r="B890" t="str">
            <v>325</v>
          </cell>
          <cell r="C890" t="str">
            <v>cust supp</v>
          </cell>
          <cell r="D890" t="str">
            <v>94-fac</v>
          </cell>
          <cell r="E890" t="str">
            <v>facility</v>
          </cell>
          <cell r="F890" t="str">
            <v xml:space="preserve">                              Facility Alloc - Tech Support</v>
          </cell>
        </row>
        <row r="891">
          <cell r="A891" t="str">
            <v>01-455330-0330-0300</v>
          </cell>
          <cell r="B891" t="str">
            <v>330</v>
          </cell>
          <cell r="C891" t="str">
            <v>cust supp</v>
          </cell>
          <cell r="D891" t="str">
            <v>94-fac</v>
          </cell>
          <cell r="E891" t="str">
            <v>facility</v>
          </cell>
          <cell r="F891" t="str">
            <v xml:space="preserve">                              Facility Alloc - Cust Supp FRS</v>
          </cell>
        </row>
        <row r="892">
          <cell r="A892" t="str">
            <v>01-455335-0335-0300</v>
          </cell>
          <cell r="B892" t="str">
            <v>335</v>
          </cell>
          <cell r="C892" t="str">
            <v>cust supp</v>
          </cell>
          <cell r="D892" t="str">
            <v>94-fac</v>
          </cell>
          <cell r="E892" t="str">
            <v>facility</v>
          </cell>
          <cell r="F892" t="str">
            <v xml:space="preserve">                              Facility Alloc - Support FRS Consultants</v>
          </cell>
        </row>
        <row r="893">
          <cell r="A893" t="str">
            <v>01-455340-0340-0300</v>
          </cell>
          <cell r="B893" t="str">
            <v>340</v>
          </cell>
          <cell r="C893" t="str">
            <v>cust supp</v>
          </cell>
          <cell r="D893" t="str">
            <v>94-fac</v>
          </cell>
          <cell r="E893" t="str">
            <v>facility</v>
          </cell>
          <cell r="F893" t="str">
            <v xml:space="preserve">                              Facility Alloc - Cust Sp FAS</v>
          </cell>
        </row>
        <row r="894">
          <cell r="A894" t="str">
            <v>01-455345-0345-0300</v>
          </cell>
          <cell r="B894" t="str">
            <v>345</v>
          </cell>
          <cell r="C894" t="str">
            <v>cust supp</v>
          </cell>
          <cell r="D894" t="str">
            <v>94-fac</v>
          </cell>
          <cell r="E894" t="str">
            <v>facility</v>
          </cell>
          <cell r="F894" t="str">
            <v xml:space="preserve">                              Facility Alloc - Support AFN Consultants</v>
          </cell>
        </row>
        <row r="895">
          <cell r="A895" t="str">
            <v>01-455350-0350-0310</v>
          </cell>
          <cell r="B895" t="str">
            <v>350</v>
          </cell>
          <cell r="C895" t="str">
            <v>cust supp</v>
          </cell>
          <cell r="D895" t="str">
            <v>94-fac</v>
          </cell>
          <cell r="E895" t="str">
            <v>facility</v>
          </cell>
          <cell r="F895" t="str">
            <v xml:space="preserve">                              Facility Alloc - BBU</v>
          </cell>
        </row>
        <row r="896">
          <cell r="A896" t="str">
            <v>01-455355-0355-0300</v>
          </cell>
          <cell r="B896" t="str">
            <v>355</v>
          </cell>
          <cell r="C896" t="str">
            <v>cust supp</v>
          </cell>
          <cell r="D896" t="str">
            <v>94-fac</v>
          </cell>
          <cell r="E896" t="str">
            <v>facility</v>
          </cell>
          <cell r="F896" t="str">
            <v xml:space="preserve">                              Facility Alloc - Service Operations</v>
          </cell>
        </row>
        <row r="897">
          <cell r="A897" t="str">
            <v>01-455360-0360-0300</v>
          </cell>
          <cell r="B897" t="str">
            <v>360</v>
          </cell>
          <cell r="C897" t="str">
            <v>cust supp</v>
          </cell>
          <cell r="D897" t="str">
            <v>94-fac</v>
          </cell>
          <cell r="E897" t="str">
            <v>facility</v>
          </cell>
          <cell r="F897" t="str">
            <v xml:space="preserve">                              Facility Alloc - Support Education</v>
          </cell>
        </row>
        <row r="898">
          <cell r="A898" t="str">
            <v>01-455370-0370-0300</v>
          </cell>
          <cell r="B898" t="str">
            <v>370</v>
          </cell>
          <cell r="C898" t="str">
            <v>cust supp</v>
          </cell>
          <cell r="D898" t="str">
            <v>94-fac</v>
          </cell>
          <cell r="E898" t="str">
            <v>facility</v>
          </cell>
          <cell r="F898" t="str">
            <v xml:space="preserve">                              Facility Alloc - Tech Consulting</v>
          </cell>
        </row>
        <row r="899">
          <cell r="A899" t="str">
            <v>01-455385-0385-0300</v>
          </cell>
          <cell r="B899" t="str">
            <v>385</v>
          </cell>
          <cell r="C899" t="str">
            <v>cust supp</v>
          </cell>
          <cell r="D899" t="str">
            <v>94-fac</v>
          </cell>
          <cell r="E899" t="str">
            <v>facility</v>
          </cell>
          <cell r="F899" t="str">
            <v xml:space="preserve">                              **Facility Alloc - Cust Support FM</v>
          </cell>
        </row>
        <row r="900">
          <cell r="A900" t="str">
            <v>01-455405-0405-0400</v>
          </cell>
          <cell r="B900" t="str">
            <v>405</v>
          </cell>
          <cell r="C900" t="str">
            <v>prod dev</v>
          </cell>
          <cell r="D900" t="str">
            <v>94-fac</v>
          </cell>
          <cell r="E900" t="str">
            <v>facility</v>
          </cell>
          <cell r="F900" t="str">
            <v xml:space="preserve">                              Facility Alloc - Internet Technology</v>
          </cell>
        </row>
        <row r="901">
          <cell r="A901" t="str">
            <v>01-455410-0410-0400</v>
          </cell>
          <cell r="B901" t="str">
            <v>410</v>
          </cell>
          <cell r="C901" t="str">
            <v>prod dev</v>
          </cell>
          <cell r="D901" t="str">
            <v>94-fac</v>
          </cell>
          <cell r="E901" t="str">
            <v>facility</v>
          </cell>
          <cell r="F901" t="str">
            <v xml:space="preserve">                              Facility Alloc - Product Design - FRS</v>
          </cell>
        </row>
        <row r="902">
          <cell r="A902" t="str">
            <v>01-455415-0415-0400</v>
          </cell>
          <cell r="B902" t="str">
            <v>415</v>
          </cell>
          <cell r="C902" t="str">
            <v>prod dev</v>
          </cell>
          <cell r="D902" t="str">
            <v>94-fac</v>
          </cell>
          <cell r="E902" t="str">
            <v>facility</v>
          </cell>
          <cell r="F902" t="str">
            <v xml:space="preserve">                              Facility Alloc - Product Design - SAS</v>
          </cell>
        </row>
        <row r="903">
          <cell r="A903" t="str">
            <v>01-455420-0420-0400</v>
          </cell>
          <cell r="B903" t="str">
            <v>420</v>
          </cell>
          <cell r="C903" t="str">
            <v>prod dev</v>
          </cell>
          <cell r="D903" t="str">
            <v>94-fac</v>
          </cell>
          <cell r="E903" t="str">
            <v>facility</v>
          </cell>
          <cell r="F903" t="str">
            <v xml:space="preserve">                              Facility Alloc - Product Design - FAS</v>
          </cell>
        </row>
        <row r="904">
          <cell r="A904" t="str">
            <v>01-455430-0430-0400</v>
          </cell>
          <cell r="B904" t="str">
            <v>430</v>
          </cell>
          <cell r="C904" t="str">
            <v>prod dev</v>
          </cell>
          <cell r="D904" t="str">
            <v>94-fac</v>
          </cell>
          <cell r="E904" t="str">
            <v>facility</v>
          </cell>
          <cell r="F904" t="str">
            <v xml:space="preserve">                              Facility Alloc - Prod Program - FRS</v>
          </cell>
        </row>
        <row r="905">
          <cell r="A905" t="str">
            <v>01-455435-0435-0400</v>
          </cell>
          <cell r="B905" t="str">
            <v>435</v>
          </cell>
          <cell r="C905" t="str">
            <v>prod dev</v>
          </cell>
          <cell r="D905" t="str">
            <v>94-fac</v>
          </cell>
          <cell r="E905" t="str">
            <v>facility</v>
          </cell>
          <cell r="F905" t="str">
            <v xml:space="preserve">                              Facility Alloc - Prod Program - SAS</v>
          </cell>
        </row>
        <row r="906">
          <cell r="A906" t="str">
            <v>01-455440-0440-0400</v>
          </cell>
          <cell r="B906" t="str">
            <v>440</v>
          </cell>
          <cell r="C906" t="str">
            <v>prod dev</v>
          </cell>
          <cell r="D906" t="str">
            <v>94-fac</v>
          </cell>
          <cell r="E906" t="str">
            <v>facility</v>
          </cell>
          <cell r="F906" t="str">
            <v xml:space="preserve">                              Facility Alloc - Prod. Programming - FAS</v>
          </cell>
        </row>
        <row r="907">
          <cell r="A907" t="str">
            <v>01-455450-0450-0400</v>
          </cell>
          <cell r="B907" t="str">
            <v>450</v>
          </cell>
          <cell r="C907" t="str">
            <v>prod dev</v>
          </cell>
          <cell r="D907" t="str">
            <v>94-fac</v>
          </cell>
          <cell r="E907" t="str">
            <v>facility</v>
          </cell>
          <cell r="F907" t="str">
            <v xml:space="preserve">                              Facility Alloc - QA - FRS</v>
          </cell>
        </row>
        <row r="908">
          <cell r="A908" t="str">
            <v>01-455455-0455-0400</v>
          </cell>
          <cell r="B908" t="str">
            <v>455</v>
          </cell>
          <cell r="C908" t="str">
            <v>prod dev</v>
          </cell>
          <cell r="D908" t="str">
            <v>94-fac</v>
          </cell>
          <cell r="E908" t="str">
            <v>facility</v>
          </cell>
          <cell r="F908" t="str">
            <v xml:space="preserve">                              Facility Alloc - QA - SAS</v>
          </cell>
        </row>
        <row r="909">
          <cell r="A909" t="str">
            <v>01-455460-0460-0400</v>
          </cell>
          <cell r="B909" t="str">
            <v>460</v>
          </cell>
          <cell r="C909" t="str">
            <v>prod dev</v>
          </cell>
          <cell r="D909" t="str">
            <v>94-fac</v>
          </cell>
          <cell r="E909" t="str">
            <v>facility</v>
          </cell>
          <cell r="F909" t="str">
            <v xml:space="preserve">                              Facility Alloc - Quality Assurance - FAS</v>
          </cell>
        </row>
        <row r="910">
          <cell r="A910" t="str">
            <v>01-455470-0470-0400</v>
          </cell>
          <cell r="B910" t="str">
            <v>470</v>
          </cell>
          <cell r="C910" t="str">
            <v>prod dev</v>
          </cell>
          <cell r="D910" t="str">
            <v>94-fac</v>
          </cell>
          <cell r="E910" t="str">
            <v>facility</v>
          </cell>
          <cell r="F910" t="str">
            <v xml:space="preserve">                              Facility Alloc - Product Doc - FRS</v>
          </cell>
        </row>
        <row r="911">
          <cell r="A911" t="str">
            <v>01-455475-0475-0400</v>
          </cell>
          <cell r="B911" t="str">
            <v>475</v>
          </cell>
          <cell r="C911" t="str">
            <v>prod dev</v>
          </cell>
          <cell r="D911" t="str">
            <v>94-fac</v>
          </cell>
          <cell r="E911" t="str">
            <v>facility</v>
          </cell>
          <cell r="F911" t="str">
            <v xml:space="preserve">                              Facility Alloc - Product Doc - SAS</v>
          </cell>
        </row>
        <row r="912">
          <cell r="A912" t="str">
            <v>01-455480-0480-0400</v>
          </cell>
          <cell r="B912" t="str">
            <v>480</v>
          </cell>
          <cell r="C912" t="str">
            <v>prod dev</v>
          </cell>
          <cell r="D912" t="str">
            <v>94-fac</v>
          </cell>
          <cell r="E912" t="str">
            <v>facility</v>
          </cell>
          <cell r="F912" t="str">
            <v xml:space="preserve">                              Facility Alloc - Prod. Documentation - FAS</v>
          </cell>
        </row>
        <row r="913">
          <cell r="A913" t="str">
            <v>01-455490-0490-0400</v>
          </cell>
          <cell r="B913" t="str">
            <v>490</v>
          </cell>
          <cell r="C913" t="str">
            <v>prod dev</v>
          </cell>
          <cell r="D913" t="str">
            <v>94-fac</v>
          </cell>
          <cell r="E913" t="str">
            <v>facility</v>
          </cell>
          <cell r="F913" t="str">
            <v xml:space="preserve">                              Facility Alloc - Prod. Dev. Mgmt.</v>
          </cell>
        </row>
        <row r="914">
          <cell r="A914" t="str">
            <v>01-455495-0495-0400</v>
          </cell>
          <cell r="B914" t="str">
            <v>495</v>
          </cell>
          <cell r="C914" t="str">
            <v>prod dev</v>
          </cell>
          <cell r="D914" t="str">
            <v>94-fac</v>
          </cell>
          <cell r="E914" t="str">
            <v>facility</v>
          </cell>
          <cell r="F914" t="str">
            <v xml:space="preserve">                              Facility Alloc - Prod. Division Mgmt. - FAS</v>
          </cell>
        </row>
        <row r="915">
          <cell r="A915" t="str">
            <v>01-455496-0496-0400</v>
          </cell>
          <cell r="B915" t="str">
            <v>496</v>
          </cell>
          <cell r="C915" t="str">
            <v>prod dev</v>
          </cell>
          <cell r="D915" t="str">
            <v>94-fac</v>
          </cell>
          <cell r="E915" t="str">
            <v>facility</v>
          </cell>
          <cell r="F915" t="str">
            <v xml:space="preserve">                              Facility Alloc - Prod. Division - CT/R</v>
          </cell>
        </row>
        <row r="916">
          <cell r="A916" t="str">
            <v>01-455497-0497-0400</v>
          </cell>
          <cell r="B916" t="str">
            <v>497</v>
          </cell>
          <cell r="C916" t="str">
            <v>prod dev</v>
          </cell>
          <cell r="D916" t="str">
            <v>94-fac</v>
          </cell>
          <cell r="E916" t="str">
            <v>facility</v>
          </cell>
          <cell r="F916" t="str">
            <v xml:space="preserve">                              Facility Alloc - Prod. Division - Prod Dir</v>
          </cell>
        </row>
        <row r="917">
          <cell r="A917" t="str">
            <v>01-455498-0498-0400</v>
          </cell>
          <cell r="B917" t="str">
            <v>498</v>
          </cell>
          <cell r="C917" t="str">
            <v>prod dev</v>
          </cell>
          <cell r="D917" t="str">
            <v>94-fac</v>
          </cell>
          <cell r="E917" t="str">
            <v>facility</v>
          </cell>
          <cell r="F917" t="str">
            <v xml:space="preserve">                              Facility Alloc - Prod Div Mgmt - FRS</v>
          </cell>
        </row>
        <row r="918">
          <cell r="A918" t="str">
            <v>01-455499-0499-0400</v>
          </cell>
          <cell r="B918" t="str">
            <v>499</v>
          </cell>
          <cell r="C918" t="str">
            <v>prod dev</v>
          </cell>
          <cell r="D918" t="str">
            <v>94-fac</v>
          </cell>
          <cell r="E918" t="str">
            <v>facility</v>
          </cell>
          <cell r="F918" t="str">
            <v xml:space="preserve">                              Facility Alloc - Prod Div Mgmt - SAS</v>
          </cell>
        </row>
        <row r="919">
          <cell r="A919" t="str">
            <v>01-455505-0505-0500</v>
          </cell>
          <cell r="B919" t="str">
            <v>505</v>
          </cell>
          <cell r="C919" t="str">
            <v>strategy</v>
          </cell>
          <cell r="D919" t="str">
            <v>94-fac</v>
          </cell>
          <cell r="E919" t="str">
            <v>facility</v>
          </cell>
          <cell r="F919" t="str">
            <v xml:space="preserve">                              Facility Alloc - Strategy &amp; Product Mgmt</v>
          </cell>
        </row>
        <row r="920">
          <cell r="A920" t="str">
            <v>01-455510-0510-0500</v>
          </cell>
          <cell r="B920" t="str">
            <v>510</v>
          </cell>
          <cell r="C920" t="str">
            <v>strategy</v>
          </cell>
          <cell r="D920" t="str">
            <v>94-fac</v>
          </cell>
          <cell r="E920" t="str">
            <v>facility</v>
          </cell>
          <cell r="F920" t="str">
            <v xml:space="preserve">                              Facility Alloc - Market Research</v>
          </cell>
        </row>
        <row r="921">
          <cell r="A921" t="str">
            <v>01-455530-0530-0530</v>
          </cell>
          <cell r="B921" t="str">
            <v>530</v>
          </cell>
          <cell r="C921" t="str">
            <v>cust supp</v>
          </cell>
          <cell r="D921" t="str">
            <v>94-fac</v>
          </cell>
          <cell r="E921" t="str">
            <v>facility</v>
          </cell>
          <cell r="F921" t="str">
            <v xml:space="preserve">                              Facility Alloc - Client Relations</v>
          </cell>
        </row>
        <row r="922">
          <cell r="A922" t="str">
            <v>01-455705-0705-0400</v>
          </cell>
          <cell r="B922" t="str">
            <v>705</v>
          </cell>
          <cell r="C922" t="str">
            <v>tech svc</v>
          </cell>
          <cell r="D922" t="str">
            <v>94-fac</v>
          </cell>
          <cell r="E922" t="str">
            <v>facility</v>
          </cell>
          <cell r="F922" t="str">
            <v xml:space="preserve">                              Facility Alloc - TS Mgmt</v>
          </cell>
        </row>
        <row r="923">
          <cell r="A923" t="str">
            <v>01-455720-0720-0410</v>
          </cell>
          <cell r="B923" t="str">
            <v>720</v>
          </cell>
          <cell r="C923" t="str">
            <v>cust supp</v>
          </cell>
          <cell r="D923" t="str">
            <v>94-fac</v>
          </cell>
          <cell r="E923" t="str">
            <v>facility</v>
          </cell>
          <cell r="F923" t="str">
            <v xml:space="preserve">                              Facility Alloc - Conversions</v>
          </cell>
        </row>
        <row r="924">
          <cell r="A924" t="str">
            <v>01-455730-0730-0700</v>
          </cell>
          <cell r="B924" t="str">
            <v>730</v>
          </cell>
          <cell r="C924" t="str">
            <v>tech svc</v>
          </cell>
          <cell r="D924" t="str">
            <v>94-fac</v>
          </cell>
          <cell r="E924" t="str">
            <v>facility</v>
          </cell>
          <cell r="F924" t="str">
            <v xml:space="preserve">                              Facility Alloc - Corporate Systems Support</v>
          </cell>
        </row>
        <row r="925">
          <cell r="A925" t="str">
            <v>01-455750-0750-0400</v>
          </cell>
          <cell r="B925" t="str">
            <v>750</v>
          </cell>
          <cell r="C925" t="str">
            <v>tech svc</v>
          </cell>
          <cell r="D925" t="str">
            <v>94-fac</v>
          </cell>
          <cell r="E925" t="str">
            <v>facility</v>
          </cell>
          <cell r="F925" t="str">
            <v xml:space="preserve">                              Facility Alloc - Info Systems</v>
          </cell>
        </row>
        <row r="926">
          <cell r="A926" t="str">
            <v>01-455755-0755-0400</v>
          </cell>
          <cell r="B926" t="str">
            <v>755</v>
          </cell>
          <cell r="C926" t="str">
            <v>tech svc</v>
          </cell>
          <cell r="D926" t="str">
            <v>94-fac</v>
          </cell>
          <cell r="E926" t="str">
            <v>facility</v>
          </cell>
          <cell r="F926" t="str">
            <v xml:space="preserve">                              Facility Alloc - Info Tech</v>
          </cell>
        </row>
        <row r="927">
          <cell r="A927" t="str">
            <v>01-455900-0140-0110</v>
          </cell>
          <cell r="B927" t="str">
            <v>140</v>
          </cell>
          <cell r="C927" t="str">
            <v>fin</v>
          </cell>
          <cell r="D927" t="str">
            <v>94-fac</v>
          </cell>
          <cell r="E927" t="str">
            <v>facility</v>
          </cell>
          <cell r="F927" t="str">
            <v xml:space="preserve">                              Fac Alloc out to Departments</v>
          </cell>
        </row>
        <row r="928">
          <cell r="A928" t="str">
            <v>01-456105-0105-0100</v>
          </cell>
          <cell r="B928" t="str">
            <v>105</v>
          </cell>
          <cell r="C928" t="str">
            <v>fin</v>
          </cell>
          <cell r="D928" t="str">
            <v>94-fac</v>
          </cell>
          <cell r="F928" t="str">
            <v xml:space="preserve">                              Delivery Exp - Cust Service</v>
          </cell>
        </row>
        <row r="929">
          <cell r="A929" t="str">
            <v>01-456110-0110-0100</v>
          </cell>
          <cell r="B929" t="str">
            <v>110</v>
          </cell>
          <cell r="C929" t="str">
            <v>fin</v>
          </cell>
          <cell r="D929" t="str">
            <v>94-fac</v>
          </cell>
          <cell r="F929" t="str">
            <v xml:space="preserve">                              Delivery Exp - Admin</v>
          </cell>
        </row>
        <row r="930">
          <cell r="A930" t="str">
            <v>01-456120-0120-0100</v>
          </cell>
          <cell r="B930" t="str">
            <v>120</v>
          </cell>
          <cell r="C930" t="str">
            <v>fin</v>
          </cell>
          <cell r="D930" t="str">
            <v>94-fac</v>
          </cell>
          <cell r="F930" t="str">
            <v xml:space="preserve">                              Delivery Exp - Acct./Exec.</v>
          </cell>
        </row>
        <row r="931">
          <cell r="A931" t="str">
            <v>01-456125-0125-0100</v>
          </cell>
          <cell r="B931" t="str">
            <v>125</v>
          </cell>
          <cell r="C931" t="str">
            <v>fin</v>
          </cell>
          <cell r="D931" t="str">
            <v>94-fac</v>
          </cell>
          <cell r="F931" t="str">
            <v xml:space="preserve">                              Delivery Exp - Executive Admin</v>
          </cell>
        </row>
        <row r="932">
          <cell r="A932" t="str">
            <v>01-456135-0135-0100</v>
          </cell>
          <cell r="B932" t="str">
            <v>135</v>
          </cell>
          <cell r="C932" t="str">
            <v>fin</v>
          </cell>
          <cell r="D932" t="str">
            <v>94-fac</v>
          </cell>
          <cell r="F932" t="str">
            <v xml:space="preserve">                              Delivery Exp - HR</v>
          </cell>
        </row>
        <row r="933">
          <cell r="A933" t="str">
            <v>01-456210-0210-0200</v>
          </cell>
          <cell r="B933" t="str">
            <v>210</v>
          </cell>
          <cell r="C933" t="str">
            <v>sales</v>
          </cell>
          <cell r="D933" t="str">
            <v>94-fac</v>
          </cell>
          <cell r="F933" t="str">
            <v xml:space="preserve">                              Delivery Exp - Sls/Mkt Mgt</v>
          </cell>
        </row>
        <row r="934">
          <cell r="A934" t="str">
            <v>01-456220-0220-0200</v>
          </cell>
          <cell r="B934" t="str">
            <v>220</v>
          </cell>
          <cell r="C934" t="str">
            <v>sales</v>
          </cell>
          <cell r="D934" t="str">
            <v>94-fac</v>
          </cell>
          <cell r="F934" t="str">
            <v xml:space="preserve">                              Delivery Exp - Marketing</v>
          </cell>
        </row>
        <row r="935">
          <cell r="A935" t="str">
            <v>01-456225-0225-0200</v>
          </cell>
          <cell r="B935" t="str">
            <v>225</v>
          </cell>
          <cell r="C935" t="str">
            <v>sales</v>
          </cell>
          <cell r="D935" t="str">
            <v>94-fac</v>
          </cell>
          <cell r="F935" t="str">
            <v xml:space="preserve">                              Delivery Exp - Inside Sales - Comeau</v>
          </cell>
        </row>
        <row r="936">
          <cell r="A936" t="str">
            <v>01-456235-0235-0200</v>
          </cell>
          <cell r="B936" t="str">
            <v>235</v>
          </cell>
          <cell r="C936" t="str">
            <v>sales</v>
          </cell>
          <cell r="D936" t="str">
            <v>94-fac</v>
          </cell>
          <cell r="F936" t="str">
            <v xml:space="preserve">                              Delivery Exp - Sales Operations</v>
          </cell>
        </row>
        <row r="937">
          <cell r="A937" t="str">
            <v>01-456245-0245-0200</v>
          </cell>
          <cell r="B937" t="str">
            <v>245</v>
          </cell>
          <cell r="C937" t="str">
            <v>sales</v>
          </cell>
          <cell r="D937" t="str">
            <v>94-fac</v>
          </cell>
          <cell r="F937" t="str">
            <v xml:space="preserve">                              Delivery Exp - Sales Reg 1- Catanzarite</v>
          </cell>
        </row>
        <row r="938">
          <cell r="A938" t="str">
            <v>01-456255-0255-0200</v>
          </cell>
          <cell r="B938" t="str">
            <v>255</v>
          </cell>
          <cell r="C938" t="str">
            <v>sales</v>
          </cell>
          <cell r="D938" t="str">
            <v>94-fac</v>
          </cell>
          <cell r="F938" t="str">
            <v xml:space="preserve">                              Delivery Exp - Sales Region 2</v>
          </cell>
        </row>
        <row r="939">
          <cell r="A939" t="str">
            <v>01-456275-0275-0200</v>
          </cell>
          <cell r="B939" t="str">
            <v>275</v>
          </cell>
          <cell r="C939" t="str">
            <v>sales</v>
          </cell>
          <cell r="D939" t="str">
            <v>94-fac</v>
          </cell>
          <cell r="F939" t="str">
            <v xml:space="preserve">                              Delivery Exp - Sales AFN</v>
          </cell>
        </row>
        <row r="940">
          <cell r="A940" t="str">
            <v>01-456290-0290-0200</v>
          </cell>
          <cell r="B940" t="str">
            <v>290</v>
          </cell>
          <cell r="C940" t="str">
            <v>sales</v>
          </cell>
          <cell r="D940" t="str">
            <v>94-fac</v>
          </cell>
          <cell r="F940" t="str">
            <v xml:space="preserve">                              Delivery Exp - Business Partners</v>
          </cell>
        </row>
        <row r="941">
          <cell r="A941" t="str">
            <v>01-456305-0305-0300</v>
          </cell>
          <cell r="B941" t="str">
            <v>305</v>
          </cell>
          <cell r="C941" t="str">
            <v>cust supp</v>
          </cell>
          <cell r="D941" t="str">
            <v>94-fac</v>
          </cell>
          <cell r="F941" t="str">
            <v xml:space="preserve">                              Delivery Exp - Cust Supp Mgmt</v>
          </cell>
        </row>
        <row r="942">
          <cell r="A942" t="str">
            <v>01-456310-0310-0300</v>
          </cell>
          <cell r="B942" t="str">
            <v>310</v>
          </cell>
          <cell r="C942" t="str">
            <v>cust supp</v>
          </cell>
          <cell r="D942" t="str">
            <v>94-fac</v>
          </cell>
          <cell r="F942" t="str">
            <v xml:space="preserve">                              Delivery Exp - Supp Admin</v>
          </cell>
        </row>
        <row r="943">
          <cell r="A943" t="str">
            <v>01-456315-0315-0300</v>
          </cell>
          <cell r="B943" t="str">
            <v>315</v>
          </cell>
          <cell r="C943" t="str">
            <v>prod dev</v>
          </cell>
          <cell r="D943" t="str">
            <v>94-fac</v>
          </cell>
          <cell r="F943" t="str">
            <v xml:space="preserve">                              Delivery Exp - MultiMedia</v>
          </cell>
        </row>
        <row r="944">
          <cell r="A944" t="str">
            <v>01-456320-0320-0300</v>
          </cell>
          <cell r="B944" t="str">
            <v>320</v>
          </cell>
          <cell r="C944" t="str">
            <v>cust supp</v>
          </cell>
          <cell r="D944" t="str">
            <v>94-fac</v>
          </cell>
          <cell r="F944" t="str">
            <v xml:space="preserve">                              Delivery Exp - Cust Supp SAS</v>
          </cell>
        </row>
        <row r="945">
          <cell r="A945" t="str">
            <v>01-456325-0325-0300</v>
          </cell>
          <cell r="B945" t="str">
            <v>325</v>
          </cell>
          <cell r="C945" t="str">
            <v>cust supp</v>
          </cell>
          <cell r="D945" t="str">
            <v>94-fac</v>
          </cell>
          <cell r="F945" t="str">
            <v xml:space="preserve">                              Delivery Exp - CS/Tech Support</v>
          </cell>
        </row>
        <row r="946">
          <cell r="A946" t="str">
            <v>01-456330-0330-0300</v>
          </cell>
          <cell r="B946" t="str">
            <v>330</v>
          </cell>
          <cell r="C946" t="str">
            <v>cust supp</v>
          </cell>
          <cell r="D946" t="str">
            <v>94-fac</v>
          </cell>
          <cell r="F946" t="str">
            <v xml:space="preserve">                              Delivery Exp - Cust Supp FRS</v>
          </cell>
        </row>
        <row r="947">
          <cell r="A947" t="str">
            <v>01-456335-0335-0300</v>
          </cell>
          <cell r="B947" t="str">
            <v>335</v>
          </cell>
          <cell r="C947" t="str">
            <v>cust supp</v>
          </cell>
          <cell r="D947" t="str">
            <v>94-fac</v>
          </cell>
          <cell r="F947" t="str">
            <v xml:space="preserve">                              Delivery Exp - Support FRS Consultants</v>
          </cell>
        </row>
        <row r="948">
          <cell r="A948" t="str">
            <v>01-456340-0340-0300</v>
          </cell>
          <cell r="B948" t="str">
            <v>340</v>
          </cell>
          <cell r="C948" t="str">
            <v>cust supp</v>
          </cell>
          <cell r="D948" t="str">
            <v>94-fac</v>
          </cell>
          <cell r="F948" t="str">
            <v xml:space="preserve">                              Delivery Exp - CS FAS</v>
          </cell>
        </row>
        <row r="949">
          <cell r="A949" t="str">
            <v>01-456345-0345-0300</v>
          </cell>
          <cell r="B949" t="str">
            <v>345</v>
          </cell>
          <cell r="C949" t="str">
            <v>cust supp</v>
          </cell>
          <cell r="D949" t="str">
            <v>94-fac</v>
          </cell>
          <cell r="F949" t="str">
            <v xml:space="preserve">                              Delivery Exp - Support AFN Consultants</v>
          </cell>
        </row>
        <row r="950">
          <cell r="A950" t="str">
            <v>01-456355-0355-0300</v>
          </cell>
          <cell r="B950" t="str">
            <v>355</v>
          </cell>
          <cell r="C950" t="str">
            <v>cust supp</v>
          </cell>
          <cell r="D950" t="str">
            <v>94-fac</v>
          </cell>
          <cell r="F950" t="str">
            <v xml:space="preserve">                              Delivery Exp - Service Operations</v>
          </cell>
        </row>
        <row r="951">
          <cell r="A951" t="str">
            <v>01-456360-0360-0300</v>
          </cell>
          <cell r="B951" t="str">
            <v>360</v>
          </cell>
          <cell r="C951" t="str">
            <v>cust supp</v>
          </cell>
          <cell r="D951" t="str">
            <v>94-fac</v>
          </cell>
          <cell r="F951" t="str">
            <v xml:space="preserve">                              Delivery Exp - Support Education</v>
          </cell>
        </row>
        <row r="952">
          <cell r="A952" t="str">
            <v>01-456385-0385-0300</v>
          </cell>
          <cell r="B952" t="str">
            <v>385</v>
          </cell>
          <cell r="C952" t="str">
            <v>cust supp</v>
          </cell>
          <cell r="D952" t="str">
            <v>94-fac</v>
          </cell>
          <cell r="F952" t="str">
            <v xml:space="preserve">                              **Delivery Exp - Cust Supp Indy</v>
          </cell>
        </row>
        <row r="953">
          <cell r="A953" t="str">
            <v>01-456430-0430-0400</v>
          </cell>
          <cell r="B953" t="str">
            <v>430</v>
          </cell>
          <cell r="C953" t="str">
            <v>prod dev</v>
          </cell>
          <cell r="D953" t="str">
            <v>94-fac</v>
          </cell>
          <cell r="F953" t="str">
            <v xml:space="preserve">                              Delivery Exp - Prod Program - FRS</v>
          </cell>
        </row>
        <row r="954">
          <cell r="A954" t="str">
            <v>01-456440-0440-0400</v>
          </cell>
          <cell r="B954" t="str">
            <v>440</v>
          </cell>
          <cell r="C954" t="str">
            <v>prod dev</v>
          </cell>
          <cell r="D954" t="str">
            <v>94-fac</v>
          </cell>
          <cell r="F954" t="str">
            <v xml:space="preserve">                              Delivery Exp - Prod. Programming - FAS</v>
          </cell>
        </row>
        <row r="955">
          <cell r="A955" t="str">
            <v>01-456460-0460-0400</v>
          </cell>
          <cell r="B955" t="str">
            <v>460</v>
          </cell>
          <cell r="C955" t="str">
            <v>prod dev</v>
          </cell>
          <cell r="D955" t="str">
            <v>94-fac</v>
          </cell>
          <cell r="F955" t="str">
            <v xml:space="preserve">                              Delivery Exp - Quality Assurance - FAS</v>
          </cell>
        </row>
        <row r="956">
          <cell r="A956" t="str">
            <v>01-456470-0470-0400</v>
          </cell>
          <cell r="B956" t="str">
            <v>470</v>
          </cell>
          <cell r="C956" t="str">
            <v>prod dev</v>
          </cell>
          <cell r="D956" t="str">
            <v>94-fac</v>
          </cell>
          <cell r="F956" t="str">
            <v xml:space="preserve">                              Delivery Exp - Product Doc - FRS</v>
          </cell>
        </row>
        <row r="957">
          <cell r="A957" t="str">
            <v>01-456480-0480-0400</v>
          </cell>
          <cell r="B957" t="str">
            <v>480</v>
          </cell>
          <cell r="C957" t="str">
            <v>prod dev</v>
          </cell>
          <cell r="D957" t="str">
            <v>94-fac</v>
          </cell>
          <cell r="F957" t="str">
            <v xml:space="preserve">                              Delivery Exp - Prod. Documentation - FAS</v>
          </cell>
        </row>
        <row r="958">
          <cell r="A958" t="str">
            <v>01-456490-0490-0400</v>
          </cell>
          <cell r="B958" t="str">
            <v>490</v>
          </cell>
          <cell r="C958" t="str">
            <v>prod dev</v>
          </cell>
          <cell r="D958" t="str">
            <v>94-fac</v>
          </cell>
          <cell r="F958" t="str">
            <v xml:space="preserve">                              Delivery Exp - Prod Dev. Mgmt</v>
          </cell>
        </row>
        <row r="959">
          <cell r="A959" t="str">
            <v>01-456494-0370-0300</v>
          </cell>
          <cell r="B959" t="str">
            <v>370</v>
          </cell>
          <cell r="C959" t="str">
            <v>cust supp</v>
          </cell>
          <cell r="D959" t="str">
            <v>94-fac</v>
          </cell>
          <cell r="F959" t="str">
            <v xml:space="preserve">                              Delivery Expense - Tech Consulting</v>
          </cell>
        </row>
        <row r="960">
          <cell r="A960" t="str">
            <v>01-456495-0495-0400</v>
          </cell>
          <cell r="B960" t="str">
            <v>495</v>
          </cell>
          <cell r="C960" t="str">
            <v>prod dev</v>
          </cell>
          <cell r="D960" t="str">
            <v>94-fac</v>
          </cell>
          <cell r="F960" t="str">
            <v xml:space="preserve">                              Delivery Exp - Prod. Division Mgmt. - FAS</v>
          </cell>
        </row>
        <row r="961">
          <cell r="A961" t="str">
            <v>01-456496-0496-0400</v>
          </cell>
          <cell r="B961" t="str">
            <v>496</v>
          </cell>
          <cell r="C961" t="str">
            <v>prod dev</v>
          </cell>
          <cell r="D961" t="str">
            <v>94-fac</v>
          </cell>
          <cell r="F961" t="str">
            <v xml:space="preserve">                              Delivery Exp - Prod Division - CT/R</v>
          </cell>
        </row>
        <row r="962">
          <cell r="A962" t="str">
            <v>01-456498-0498-0400</v>
          </cell>
          <cell r="B962" t="str">
            <v>498</v>
          </cell>
          <cell r="C962" t="str">
            <v>prod dev</v>
          </cell>
          <cell r="D962" t="str">
            <v>94-fac</v>
          </cell>
          <cell r="F962" t="str">
            <v xml:space="preserve">                              Delivery Exp - Prod Div Mgmt - FRS</v>
          </cell>
        </row>
        <row r="963">
          <cell r="A963" t="str">
            <v>01-456499-0499-0400</v>
          </cell>
          <cell r="B963" t="str">
            <v>499</v>
          </cell>
          <cell r="C963" t="str">
            <v>prod dev</v>
          </cell>
          <cell r="D963" t="str">
            <v>94-fac</v>
          </cell>
          <cell r="F963" t="str">
            <v xml:space="preserve">                              Delivery Exp - Prod Div Mgmt - SAS</v>
          </cell>
        </row>
        <row r="964">
          <cell r="A964" t="str">
            <v>01-456505-0505-0500</v>
          </cell>
          <cell r="B964" t="str">
            <v>505</v>
          </cell>
          <cell r="C964" t="str">
            <v>strategy</v>
          </cell>
          <cell r="D964" t="str">
            <v>94-fac</v>
          </cell>
          <cell r="F964" t="str">
            <v xml:space="preserve">                              Delivery Exp - Strategy &amp; Product Mgmt</v>
          </cell>
        </row>
        <row r="965">
          <cell r="A965" t="str">
            <v>01-456510-0510-0500</v>
          </cell>
          <cell r="B965" t="str">
            <v>510</v>
          </cell>
          <cell r="C965" t="str">
            <v>strategy</v>
          </cell>
          <cell r="D965" t="str">
            <v>94-fac</v>
          </cell>
          <cell r="F965" t="str">
            <v xml:space="preserve">                              Delivery Exp - Market Research</v>
          </cell>
        </row>
        <row r="966">
          <cell r="A966" t="str">
            <v>01-456530-0530-0530</v>
          </cell>
          <cell r="B966" t="str">
            <v>530</v>
          </cell>
          <cell r="C966" t="str">
            <v>cust supp</v>
          </cell>
          <cell r="D966" t="str">
            <v>94-fac</v>
          </cell>
          <cell r="F966" t="str">
            <v xml:space="preserve">                              Delivery Exp - Client Relations</v>
          </cell>
        </row>
        <row r="967">
          <cell r="A967" t="str">
            <v>01-456705-0705-0400</v>
          </cell>
          <cell r="B967" t="str">
            <v>705</v>
          </cell>
          <cell r="C967" t="str">
            <v>tech svc</v>
          </cell>
          <cell r="D967" t="str">
            <v>94-fac</v>
          </cell>
          <cell r="F967" t="str">
            <v xml:space="preserve">                              Delivery Exp - T.S. Mgmt</v>
          </cell>
        </row>
        <row r="968">
          <cell r="A968" t="str">
            <v>01-456720-0720-0410</v>
          </cell>
          <cell r="B968" t="str">
            <v>720</v>
          </cell>
          <cell r="C968" t="str">
            <v>cust supp</v>
          </cell>
          <cell r="D968" t="str">
            <v>94-fac</v>
          </cell>
          <cell r="F968" t="str">
            <v xml:space="preserve">                              Delivery Exp - Conversions</v>
          </cell>
        </row>
        <row r="969">
          <cell r="A969" t="str">
            <v>01-456730-0730-0700</v>
          </cell>
          <cell r="B969" t="str">
            <v>730</v>
          </cell>
          <cell r="C969" t="str">
            <v>tech svc</v>
          </cell>
          <cell r="D969" t="str">
            <v>94-fac</v>
          </cell>
          <cell r="F969" t="str">
            <v xml:space="preserve">                              Delivery Exp - Corporate Systems Support</v>
          </cell>
        </row>
        <row r="970">
          <cell r="A970" t="str">
            <v>01-456750-0750-0400</v>
          </cell>
          <cell r="B970" t="str">
            <v>750</v>
          </cell>
          <cell r="C970" t="str">
            <v>tech svc</v>
          </cell>
          <cell r="D970" t="str">
            <v>94-fac</v>
          </cell>
          <cell r="F970" t="str">
            <v xml:space="preserve">                              Delivery Exp - Info Systems</v>
          </cell>
        </row>
        <row r="971">
          <cell r="A971" t="str">
            <v>01-456755-0755-0400</v>
          </cell>
          <cell r="B971" t="str">
            <v>755</v>
          </cell>
          <cell r="C971" t="str">
            <v>tech svc</v>
          </cell>
          <cell r="D971" t="str">
            <v>94-fac</v>
          </cell>
          <cell r="F971" t="str">
            <v xml:space="preserve">                              Delivery Exp - Info Tech</v>
          </cell>
        </row>
        <row r="972">
          <cell r="A972" t="str">
            <v>01-456910-0110-0100</v>
          </cell>
          <cell r="B972" t="str">
            <v>110</v>
          </cell>
          <cell r="C972" t="str">
            <v>fin</v>
          </cell>
          <cell r="D972" t="str">
            <v>94-fac</v>
          </cell>
          <cell r="F972" t="str">
            <v xml:space="preserve">                              Freight Charges - Out</v>
          </cell>
        </row>
        <row r="973">
          <cell r="A973" t="str">
            <v>01-458105-0105-0100</v>
          </cell>
          <cell r="B973" t="str">
            <v>105</v>
          </cell>
          <cell r="C973" t="str">
            <v>fin</v>
          </cell>
          <cell r="D973" t="str">
            <v>94-fac</v>
          </cell>
          <cell r="F973" t="str">
            <v xml:space="preserve">                              Comp/Office Supp - Cust Service</v>
          </cell>
        </row>
        <row r="974">
          <cell r="A974" t="str">
            <v>01-458110-0110-0100</v>
          </cell>
          <cell r="B974" t="str">
            <v>110</v>
          </cell>
          <cell r="C974" t="str">
            <v>fin</v>
          </cell>
          <cell r="D974" t="str">
            <v>94-fac</v>
          </cell>
          <cell r="F974" t="str">
            <v xml:space="preserve">                              Comp/Office Supp - Administration</v>
          </cell>
        </row>
        <row r="975">
          <cell r="A975" t="str">
            <v>01-458120-0120-0100</v>
          </cell>
          <cell r="B975" t="str">
            <v>120</v>
          </cell>
          <cell r="C975" t="str">
            <v>fin</v>
          </cell>
          <cell r="D975" t="str">
            <v>94-fac</v>
          </cell>
          <cell r="F975" t="str">
            <v xml:space="preserve">                              Comp/Office Supp - Acctg/Exec</v>
          </cell>
        </row>
        <row r="976">
          <cell r="A976" t="str">
            <v>01-458125-0125-0100</v>
          </cell>
          <cell r="B976" t="str">
            <v>125</v>
          </cell>
          <cell r="C976" t="str">
            <v>fin</v>
          </cell>
          <cell r="D976" t="str">
            <v>94-fac</v>
          </cell>
          <cell r="F976" t="str">
            <v xml:space="preserve">                              Comp/Office Supp - Executive Admin</v>
          </cell>
        </row>
        <row r="977">
          <cell r="A977" t="str">
            <v>01-458135-0135-0100</v>
          </cell>
          <cell r="B977" t="str">
            <v>135</v>
          </cell>
          <cell r="C977" t="str">
            <v>fin</v>
          </cell>
          <cell r="D977" t="str">
            <v>94-fac</v>
          </cell>
          <cell r="F977" t="str">
            <v xml:space="preserve">                              Comp/Office Supp - HR</v>
          </cell>
        </row>
        <row r="978">
          <cell r="A978" t="str">
            <v>01-458210-0210-0200</v>
          </cell>
          <cell r="B978" t="str">
            <v>210</v>
          </cell>
          <cell r="C978" t="str">
            <v>sales</v>
          </cell>
          <cell r="D978" t="str">
            <v>94-fac</v>
          </cell>
          <cell r="F978" t="str">
            <v xml:space="preserve">                              Comp/Office Supp - Sls/Mktg Mt</v>
          </cell>
        </row>
        <row r="979">
          <cell r="A979" t="str">
            <v>01-458220-0220-0200</v>
          </cell>
          <cell r="B979" t="str">
            <v>220</v>
          </cell>
          <cell r="C979" t="str">
            <v>sales</v>
          </cell>
          <cell r="D979" t="str">
            <v>94-fac</v>
          </cell>
          <cell r="F979" t="str">
            <v xml:space="preserve">                              Comp/Office Supp - Marketing</v>
          </cell>
        </row>
        <row r="980">
          <cell r="A980" t="str">
            <v>01-458225-0225-0200</v>
          </cell>
          <cell r="B980" t="str">
            <v>225</v>
          </cell>
          <cell r="C980" t="str">
            <v>sales</v>
          </cell>
          <cell r="D980" t="str">
            <v>94-fac</v>
          </cell>
          <cell r="F980" t="str">
            <v xml:space="preserve">                              Comp/Office Supp - Inside Sales - Comeau</v>
          </cell>
        </row>
        <row r="981">
          <cell r="A981" t="str">
            <v>01-458235-0235-0200</v>
          </cell>
          <cell r="B981" t="str">
            <v>235</v>
          </cell>
          <cell r="C981" t="str">
            <v>sales</v>
          </cell>
          <cell r="D981" t="str">
            <v>94-fac</v>
          </cell>
          <cell r="F981" t="str">
            <v xml:space="preserve">                              Comp/Office Supp - Sales Operations</v>
          </cell>
        </row>
        <row r="982">
          <cell r="A982" t="str">
            <v>01-458245-0245-0200</v>
          </cell>
          <cell r="B982" t="str">
            <v>245</v>
          </cell>
          <cell r="C982" t="str">
            <v>sales</v>
          </cell>
          <cell r="D982" t="str">
            <v>94-fac</v>
          </cell>
          <cell r="F982" t="str">
            <v xml:space="preserve">                              Comp/Office Supp - Sales Reg 1- Catanzarite</v>
          </cell>
        </row>
        <row r="983">
          <cell r="A983" t="str">
            <v>01-458255-0255-0200</v>
          </cell>
          <cell r="B983" t="str">
            <v>255</v>
          </cell>
          <cell r="C983" t="str">
            <v>sales</v>
          </cell>
          <cell r="D983" t="str">
            <v>94-fac</v>
          </cell>
          <cell r="F983" t="str">
            <v xml:space="preserve">                              Comp/Office Supp - Sales Region 2</v>
          </cell>
        </row>
        <row r="984">
          <cell r="A984" t="str">
            <v>01-458275-0275-0200</v>
          </cell>
          <cell r="B984" t="str">
            <v>275</v>
          </cell>
          <cell r="C984" t="str">
            <v>sales</v>
          </cell>
          <cell r="D984" t="str">
            <v>94-fac</v>
          </cell>
          <cell r="F984" t="str">
            <v xml:space="preserve">                              Comp/Office Supplies - Sales AFN</v>
          </cell>
        </row>
        <row r="985">
          <cell r="A985" t="str">
            <v>01-458305-0305-0300</v>
          </cell>
          <cell r="B985" t="str">
            <v>305</v>
          </cell>
          <cell r="C985" t="str">
            <v>cust supp</v>
          </cell>
          <cell r="D985" t="str">
            <v>94-fac</v>
          </cell>
          <cell r="F985" t="str">
            <v xml:space="preserve">                              Comp/Office Supp - CS Mgmt</v>
          </cell>
        </row>
        <row r="986">
          <cell r="A986" t="str">
            <v>01-458310-0310-0300</v>
          </cell>
          <cell r="B986" t="str">
            <v>310</v>
          </cell>
          <cell r="C986" t="str">
            <v>cust supp</v>
          </cell>
          <cell r="D986" t="str">
            <v>94-fac</v>
          </cell>
          <cell r="F986" t="str">
            <v xml:space="preserve">                              Comp/Office Supp - Supp Admin</v>
          </cell>
        </row>
        <row r="987">
          <cell r="A987" t="str">
            <v>01-458315-0315-0300</v>
          </cell>
          <cell r="B987" t="str">
            <v>315</v>
          </cell>
          <cell r="C987" t="str">
            <v>prod dev</v>
          </cell>
          <cell r="D987" t="str">
            <v>94-fac</v>
          </cell>
          <cell r="F987" t="str">
            <v xml:space="preserve">                              Comp/Office Supp - Multimedia Supp</v>
          </cell>
        </row>
        <row r="988">
          <cell r="A988" t="str">
            <v>01-458320-0320-0300</v>
          </cell>
          <cell r="B988" t="str">
            <v>320</v>
          </cell>
          <cell r="C988" t="str">
            <v>cust supp</v>
          </cell>
          <cell r="D988" t="str">
            <v>94-fac</v>
          </cell>
          <cell r="F988" t="str">
            <v xml:space="preserve">                              Comp/Office Supp Cust Supp SAS</v>
          </cell>
        </row>
        <row r="989">
          <cell r="A989" t="str">
            <v>01-458325-0325-0300</v>
          </cell>
          <cell r="B989" t="str">
            <v>325</v>
          </cell>
          <cell r="C989" t="str">
            <v>cust supp</v>
          </cell>
          <cell r="D989" t="str">
            <v>94-fac</v>
          </cell>
          <cell r="F989" t="str">
            <v xml:space="preserve">                              Comp/Office Supp - Supp/Tech Support</v>
          </cell>
        </row>
        <row r="990">
          <cell r="A990" t="str">
            <v>01-458330-0330-0300</v>
          </cell>
          <cell r="B990" t="str">
            <v>330</v>
          </cell>
          <cell r="C990" t="str">
            <v>cust supp</v>
          </cell>
          <cell r="D990" t="str">
            <v>94-fac</v>
          </cell>
          <cell r="F990" t="str">
            <v xml:space="preserve">                              Comp/Office Supp - Cust Supp FRS</v>
          </cell>
        </row>
        <row r="991">
          <cell r="A991" t="str">
            <v>01-458335-0335-0300</v>
          </cell>
          <cell r="B991" t="str">
            <v>335</v>
          </cell>
          <cell r="C991" t="str">
            <v>cust supp</v>
          </cell>
          <cell r="D991" t="str">
            <v>94-fac</v>
          </cell>
          <cell r="F991" t="str">
            <v xml:space="preserve">                              Comp/Office Supp - Support FRS Consultants</v>
          </cell>
        </row>
        <row r="992">
          <cell r="A992" t="str">
            <v>01-458340-0340-0300</v>
          </cell>
          <cell r="B992" t="str">
            <v>340</v>
          </cell>
          <cell r="C992" t="str">
            <v>cust supp</v>
          </cell>
          <cell r="D992" t="str">
            <v>94-fac</v>
          </cell>
          <cell r="F992" t="str">
            <v xml:space="preserve">                              Comp/Office Supp - Cust Sup FAS</v>
          </cell>
        </row>
        <row r="993">
          <cell r="A993" t="str">
            <v>01-458345-0345-0300</v>
          </cell>
          <cell r="B993" t="str">
            <v>345</v>
          </cell>
          <cell r="C993" t="str">
            <v>cust supp</v>
          </cell>
          <cell r="D993" t="str">
            <v>94-fac</v>
          </cell>
          <cell r="F993" t="str">
            <v xml:space="preserve">                              Comp/Office Supp - Support AFN Consultants</v>
          </cell>
        </row>
        <row r="994">
          <cell r="A994" t="str">
            <v>01-458355-0355-0300</v>
          </cell>
          <cell r="B994" t="str">
            <v>355</v>
          </cell>
          <cell r="C994" t="str">
            <v>cust supp</v>
          </cell>
          <cell r="D994" t="str">
            <v>94-fac</v>
          </cell>
          <cell r="F994" t="str">
            <v xml:space="preserve">                              Comp/Office Supp - Service Operations</v>
          </cell>
        </row>
        <row r="995">
          <cell r="A995" t="str">
            <v>01-458360-0360-0300</v>
          </cell>
          <cell r="B995" t="str">
            <v>360</v>
          </cell>
          <cell r="C995" t="str">
            <v>cust supp</v>
          </cell>
          <cell r="D995" t="str">
            <v>94-fac</v>
          </cell>
          <cell r="F995" t="str">
            <v xml:space="preserve">                              Comp/Office Supp - Support Education</v>
          </cell>
        </row>
        <row r="996">
          <cell r="A996" t="str">
            <v>01-458365-0365-0300</v>
          </cell>
          <cell r="B996" t="str">
            <v>365</v>
          </cell>
          <cell r="C996" t="str">
            <v>cust supp</v>
          </cell>
          <cell r="D996" t="str">
            <v>94-fac</v>
          </cell>
          <cell r="F996" t="str">
            <v xml:space="preserve">                              Comp/Office Supp - Support SAS Consultants</v>
          </cell>
        </row>
        <row r="997">
          <cell r="A997" t="str">
            <v>01-458370-0370-0300</v>
          </cell>
          <cell r="B997" t="str">
            <v>370</v>
          </cell>
          <cell r="C997" t="str">
            <v>cust supp</v>
          </cell>
          <cell r="D997" t="str">
            <v>94-fac</v>
          </cell>
          <cell r="F997" t="str">
            <v xml:space="preserve">                              Comp/Office Supp - Tech Consulting</v>
          </cell>
        </row>
        <row r="998">
          <cell r="A998" t="str">
            <v>01-458385-0385-0300</v>
          </cell>
          <cell r="B998" t="str">
            <v>385</v>
          </cell>
          <cell r="C998" t="str">
            <v>cust supp</v>
          </cell>
          <cell r="D998" t="str">
            <v>94-fac</v>
          </cell>
          <cell r="F998" t="str">
            <v xml:space="preserve">                              **Comp/Office Supp - Cust Supp Indy</v>
          </cell>
        </row>
        <row r="999">
          <cell r="A999" t="str">
            <v>01-458405-0405-0400</v>
          </cell>
          <cell r="B999" t="str">
            <v>405</v>
          </cell>
          <cell r="C999" t="str">
            <v>prod dev</v>
          </cell>
          <cell r="D999" t="str">
            <v>94-fac</v>
          </cell>
          <cell r="F999" t="str">
            <v xml:space="preserve">                              Comp/Office Supp - Internet Technology</v>
          </cell>
        </row>
        <row r="1000">
          <cell r="A1000" t="str">
            <v>01-458410-0410-0400</v>
          </cell>
          <cell r="B1000" t="str">
            <v>410</v>
          </cell>
          <cell r="C1000" t="str">
            <v>prod dev</v>
          </cell>
          <cell r="D1000" t="str">
            <v>94-fac</v>
          </cell>
          <cell r="F1000" t="str">
            <v xml:space="preserve">                              Comp/Office Supp - Prod Design - FRS</v>
          </cell>
        </row>
        <row r="1001">
          <cell r="A1001" t="str">
            <v>01-458415-0415-0400</v>
          </cell>
          <cell r="B1001" t="str">
            <v>415</v>
          </cell>
          <cell r="C1001" t="str">
            <v>prod dev</v>
          </cell>
          <cell r="D1001" t="str">
            <v>94-fac</v>
          </cell>
          <cell r="F1001" t="str">
            <v xml:space="preserve">                              Comp/Office Supp - Prod Design - SAS</v>
          </cell>
        </row>
        <row r="1002">
          <cell r="A1002" t="str">
            <v>01-458420-0420-0400</v>
          </cell>
          <cell r="B1002" t="str">
            <v>420</v>
          </cell>
          <cell r="C1002" t="str">
            <v>prod dev</v>
          </cell>
          <cell r="D1002" t="str">
            <v>94-fac</v>
          </cell>
          <cell r="F1002" t="str">
            <v xml:space="preserve">                              Comp/Office Supp - Product Design - FAS</v>
          </cell>
        </row>
        <row r="1003">
          <cell r="A1003" t="str">
            <v>01-458430-0430-0400</v>
          </cell>
          <cell r="B1003" t="str">
            <v>430</v>
          </cell>
          <cell r="C1003" t="str">
            <v>prod dev</v>
          </cell>
          <cell r="D1003" t="str">
            <v>94-fac</v>
          </cell>
          <cell r="F1003" t="str">
            <v xml:space="preserve">                              Comp/Office Supp - Prod Program - FRS</v>
          </cell>
        </row>
        <row r="1004">
          <cell r="A1004" t="str">
            <v>01-458435-0435-0400</v>
          </cell>
          <cell r="B1004" t="str">
            <v>435</v>
          </cell>
          <cell r="C1004" t="str">
            <v>prod dev</v>
          </cell>
          <cell r="D1004" t="str">
            <v>94-fac</v>
          </cell>
          <cell r="F1004" t="str">
            <v xml:space="preserve">                              Comp/Office Supp - Prod Program - SAS</v>
          </cell>
        </row>
        <row r="1005">
          <cell r="A1005" t="str">
            <v>01-458440-0440-0400</v>
          </cell>
          <cell r="B1005" t="str">
            <v>440</v>
          </cell>
          <cell r="C1005" t="str">
            <v>prod dev</v>
          </cell>
          <cell r="D1005" t="str">
            <v>94-fac</v>
          </cell>
          <cell r="F1005" t="str">
            <v xml:space="preserve">                              Comp/Office Supp - Prod. Programming - FAS</v>
          </cell>
        </row>
        <row r="1006">
          <cell r="A1006" t="str">
            <v>01-458450-0450-0400</v>
          </cell>
          <cell r="B1006" t="str">
            <v>450</v>
          </cell>
          <cell r="C1006" t="str">
            <v>prod dev</v>
          </cell>
          <cell r="D1006" t="str">
            <v>94-fac</v>
          </cell>
          <cell r="F1006" t="str">
            <v xml:space="preserve">                              Comp/Office Supp - QA - FRS</v>
          </cell>
        </row>
        <row r="1007">
          <cell r="A1007" t="str">
            <v>01-458455-0455-0400</v>
          </cell>
          <cell r="B1007" t="str">
            <v>455</v>
          </cell>
          <cell r="C1007" t="str">
            <v>prod dev</v>
          </cell>
          <cell r="D1007" t="str">
            <v>94-fac</v>
          </cell>
          <cell r="F1007" t="str">
            <v xml:space="preserve">                              Comp/Office Supp - QA - SAS</v>
          </cell>
        </row>
        <row r="1008">
          <cell r="A1008" t="str">
            <v>01-458460-0460-0400</v>
          </cell>
          <cell r="B1008" t="str">
            <v>460</v>
          </cell>
          <cell r="C1008" t="str">
            <v>prod dev</v>
          </cell>
          <cell r="D1008" t="str">
            <v>94-fac</v>
          </cell>
          <cell r="F1008" t="str">
            <v xml:space="preserve">                              Comp/Office Supp - Quality Assurance - FAS</v>
          </cell>
        </row>
        <row r="1009">
          <cell r="A1009" t="str">
            <v>01-458470-0470-0400</v>
          </cell>
          <cell r="B1009" t="str">
            <v>470</v>
          </cell>
          <cell r="C1009" t="str">
            <v>prod dev</v>
          </cell>
          <cell r="D1009" t="str">
            <v>94-fac</v>
          </cell>
          <cell r="F1009" t="str">
            <v xml:space="preserve">                              Comp/Office Supp - Product Doc- FRS</v>
          </cell>
        </row>
        <row r="1010">
          <cell r="A1010" t="str">
            <v>01-458480-0480-0400</v>
          </cell>
          <cell r="B1010" t="str">
            <v>480</v>
          </cell>
          <cell r="C1010" t="str">
            <v>prod dev</v>
          </cell>
          <cell r="D1010" t="str">
            <v>94-fac</v>
          </cell>
          <cell r="F1010" t="str">
            <v xml:space="preserve">                              Comp/Office Supp - Prod. Documentation - FAS</v>
          </cell>
        </row>
        <row r="1011">
          <cell r="A1011" t="str">
            <v>01-458490-0490-0400</v>
          </cell>
          <cell r="B1011" t="str">
            <v>490</v>
          </cell>
          <cell r="C1011" t="str">
            <v>prod dev</v>
          </cell>
          <cell r="D1011" t="str">
            <v>94-fac</v>
          </cell>
          <cell r="F1011" t="str">
            <v xml:space="preserve">                              Comp/Office Supp - Prod Dev Mgmt</v>
          </cell>
        </row>
        <row r="1012">
          <cell r="A1012" t="str">
            <v>01-458495-0495-0400</v>
          </cell>
          <cell r="B1012" t="str">
            <v>495</v>
          </cell>
          <cell r="C1012" t="str">
            <v>prod dev</v>
          </cell>
          <cell r="D1012" t="str">
            <v>94-fac</v>
          </cell>
          <cell r="F1012" t="str">
            <v xml:space="preserve">                              Comp/Office Supp - Prod. Division Mgmt. - FAS</v>
          </cell>
        </row>
        <row r="1013">
          <cell r="A1013" t="str">
            <v>01-458497-0497-0400</v>
          </cell>
          <cell r="B1013" t="str">
            <v>497</v>
          </cell>
          <cell r="C1013" t="str">
            <v>prod dev</v>
          </cell>
          <cell r="D1013" t="str">
            <v>94-fac</v>
          </cell>
          <cell r="F1013" t="str">
            <v xml:space="preserve">                              Comp/Office Supp - Prod Division - Prod Dir</v>
          </cell>
        </row>
        <row r="1014">
          <cell r="A1014" t="str">
            <v>01-458498-0498-0400</v>
          </cell>
          <cell r="B1014" t="str">
            <v>498</v>
          </cell>
          <cell r="C1014" t="str">
            <v>prod dev</v>
          </cell>
          <cell r="D1014" t="str">
            <v>94-fac</v>
          </cell>
          <cell r="F1014" t="str">
            <v xml:space="preserve">                              Comp/Office Supp - Prod Div Mgmt - FRS</v>
          </cell>
        </row>
        <row r="1015">
          <cell r="A1015" t="str">
            <v>01-458499-0499-0400</v>
          </cell>
          <cell r="B1015" t="str">
            <v>499</v>
          </cell>
          <cell r="C1015" t="str">
            <v>prod dev</v>
          </cell>
          <cell r="D1015" t="str">
            <v>94-fac</v>
          </cell>
          <cell r="F1015" t="str">
            <v xml:space="preserve">                              Comp/Office Supp - Prod Div Mgmt - SAS</v>
          </cell>
        </row>
        <row r="1016">
          <cell r="A1016" t="str">
            <v>01-458505-0505-0500</v>
          </cell>
          <cell r="B1016" t="str">
            <v>505</v>
          </cell>
          <cell r="C1016" t="str">
            <v>strategy</v>
          </cell>
          <cell r="D1016" t="str">
            <v>94-fac</v>
          </cell>
          <cell r="F1016" t="str">
            <v xml:space="preserve">                              Comp/Office Supp - Strategy &amp; Product Mgmt</v>
          </cell>
        </row>
        <row r="1017">
          <cell r="A1017" t="str">
            <v>01-458510-0510-0500</v>
          </cell>
          <cell r="B1017" t="str">
            <v>510</v>
          </cell>
          <cell r="C1017" t="str">
            <v>strategy</v>
          </cell>
          <cell r="D1017" t="str">
            <v>94-fac</v>
          </cell>
          <cell r="F1017" t="str">
            <v xml:space="preserve">                              Comp/Office Supp - Market Research</v>
          </cell>
        </row>
        <row r="1018">
          <cell r="A1018" t="str">
            <v>01-458530-0530-0530</v>
          </cell>
          <cell r="B1018" t="str">
            <v>530</v>
          </cell>
          <cell r="C1018" t="str">
            <v>cust supp</v>
          </cell>
          <cell r="D1018" t="str">
            <v>94-fac</v>
          </cell>
          <cell r="F1018" t="str">
            <v xml:space="preserve">                              Comp/Office Supp - Client Relations</v>
          </cell>
        </row>
        <row r="1019">
          <cell r="A1019" t="str">
            <v>01-458705-0705-0400</v>
          </cell>
          <cell r="B1019" t="str">
            <v>705</v>
          </cell>
          <cell r="C1019" t="str">
            <v>tech svc</v>
          </cell>
          <cell r="D1019" t="str">
            <v>94-fac</v>
          </cell>
          <cell r="F1019" t="str">
            <v xml:space="preserve">                              Comp/Office Supp - TS Mgmt</v>
          </cell>
        </row>
        <row r="1020">
          <cell r="A1020" t="str">
            <v>01-458720-0720-0410</v>
          </cell>
          <cell r="B1020" t="str">
            <v>720</v>
          </cell>
          <cell r="C1020" t="str">
            <v>cust supp</v>
          </cell>
          <cell r="D1020" t="str">
            <v>94-fac</v>
          </cell>
          <cell r="F1020" t="str">
            <v xml:space="preserve">                              Comp/Office Supp - Conversions</v>
          </cell>
        </row>
        <row r="1021">
          <cell r="A1021" t="str">
            <v>01-458731-0730-0700</v>
          </cell>
          <cell r="B1021" t="str">
            <v>730</v>
          </cell>
          <cell r="C1021" t="str">
            <v>tech svc</v>
          </cell>
          <cell r="D1021" t="str">
            <v>94-fac</v>
          </cell>
          <cell r="F1021" t="str">
            <v xml:space="preserve">                              Comp/Office Supp - Corporate Systems Support</v>
          </cell>
        </row>
        <row r="1022">
          <cell r="A1022" t="str">
            <v>01-458750-0750-0400</v>
          </cell>
          <cell r="B1022" t="str">
            <v>750</v>
          </cell>
          <cell r="C1022" t="str">
            <v>tech svc</v>
          </cell>
          <cell r="D1022" t="str">
            <v>94-fac</v>
          </cell>
          <cell r="F1022" t="str">
            <v xml:space="preserve">                              Comp/Office Supp - Info Serv.</v>
          </cell>
        </row>
        <row r="1023">
          <cell r="A1023" t="str">
            <v>01-458755-0755-0400</v>
          </cell>
          <cell r="B1023" t="str">
            <v>755</v>
          </cell>
          <cell r="C1023" t="str">
            <v>tech svc</v>
          </cell>
          <cell r="D1023" t="str">
            <v>94-fac</v>
          </cell>
          <cell r="F1023" t="str">
            <v xml:space="preserve">                              Comp/Office Supp - Info Tech</v>
          </cell>
        </row>
        <row r="1024">
          <cell r="A1024" t="str">
            <v>01-459120-0120-0100</v>
          </cell>
          <cell r="B1024" t="str">
            <v>120</v>
          </cell>
          <cell r="C1024" t="str">
            <v>fin</v>
          </cell>
          <cell r="D1024" t="str">
            <v>94-fac</v>
          </cell>
          <cell r="F1024" t="str">
            <v xml:space="preserve">                              Programming Tools - Acct &amp; Exec</v>
          </cell>
        </row>
        <row r="1025">
          <cell r="A1025" t="str">
            <v>01-459135-0135-0100</v>
          </cell>
          <cell r="B1025" t="str">
            <v>135</v>
          </cell>
          <cell r="C1025" t="str">
            <v>fin</v>
          </cell>
          <cell r="D1025" t="str">
            <v>94-fac</v>
          </cell>
          <cell r="F1025" t="str">
            <v xml:space="preserve">                              Programming Tools - Human Resources</v>
          </cell>
        </row>
        <row r="1026">
          <cell r="A1026" t="str">
            <v>01-459215-0220-0200</v>
          </cell>
          <cell r="B1026" t="str">
            <v>220</v>
          </cell>
          <cell r="C1026" t="str">
            <v>sales</v>
          </cell>
          <cell r="D1026" t="str">
            <v>94-fac</v>
          </cell>
          <cell r="F1026" t="str">
            <v xml:space="preserve">                              Programming Tools - Marketing</v>
          </cell>
        </row>
        <row r="1027">
          <cell r="A1027" t="str">
            <v>01-459220-0705-0400</v>
          </cell>
          <cell r="B1027" t="str">
            <v>705</v>
          </cell>
          <cell r="C1027" t="str">
            <v>tech svc</v>
          </cell>
          <cell r="D1027" t="str">
            <v>94-fac</v>
          </cell>
          <cell r="F1027" t="str">
            <v xml:space="preserve">                              Programming Tools - TS Mgmt</v>
          </cell>
        </row>
        <row r="1028">
          <cell r="A1028" t="str">
            <v>01-459235-0235-0200</v>
          </cell>
          <cell r="B1028" t="str">
            <v>235</v>
          </cell>
          <cell r="C1028" t="str">
            <v>sales</v>
          </cell>
          <cell r="D1028" t="str">
            <v>94-fac</v>
          </cell>
          <cell r="F1028" t="str">
            <v xml:space="preserve">                              Programming Tools - Sales Operations</v>
          </cell>
        </row>
        <row r="1029">
          <cell r="A1029" t="str">
            <v>01-459310-0310-0300</v>
          </cell>
          <cell r="B1029" t="str">
            <v>310</v>
          </cell>
          <cell r="C1029" t="str">
            <v>cust supp</v>
          </cell>
          <cell r="D1029" t="str">
            <v>94-fac</v>
          </cell>
          <cell r="F1029" t="str">
            <v xml:space="preserve">                              Programming Tools - CS Admin</v>
          </cell>
        </row>
        <row r="1030">
          <cell r="A1030" t="str">
            <v>01-459315-0315-0300</v>
          </cell>
          <cell r="B1030" t="str">
            <v>315</v>
          </cell>
          <cell r="C1030" t="str">
            <v>prod dev</v>
          </cell>
          <cell r="D1030" t="str">
            <v>94-fac</v>
          </cell>
          <cell r="F1030" t="str">
            <v xml:space="preserve">                              Programming Tools - MultiMedia</v>
          </cell>
        </row>
        <row r="1031">
          <cell r="A1031" t="str">
            <v>01-459320-0320-0300</v>
          </cell>
          <cell r="B1031" t="str">
            <v>320</v>
          </cell>
          <cell r="C1031" t="str">
            <v>cust supp</v>
          </cell>
          <cell r="D1031" t="str">
            <v>94-fac</v>
          </cell>
          <cell r="F1031" t="str">
            <v xml:space="preserve">                              Programming Tools - Customer Support SAS</v>
          </cell>
        </row>
        <row r="1032">
          <cell r="A1032" t="str">
            <v>01-459325-0325-0300</v>
          </cell>
          <cell r="B1032" t="str">
            <v>325</v>
          </cell>
          <cell r="C1032" t="str">
            <v>cust supp</v>
          </cell>
          <cell r="D1032" t="str">
            <v>94-fac</v>
          </cell>
          <cell r="F1032" t="str">
            <v xml:space="preserve">                              Programming Tools - Customer Support Tech</v>
          </cell>
        </row>
        <row r="1033">
          <cell r="A1033" t="str">
            <v>01-459330-0330-0300</v>
          </cell>
          <cell r="B1033" t="str">
            <v>330</v>
          </cell>
          <cell r="C1033" t="str">
            <v>cust supp</v>
          </cell>
          <cell r="D1033" t="str">
            <v>94-fac</v>
          </cell>
          <cell r="F1033" t="str">
            <v xml:space="preserve">                              Programming Tools - Customer Support FRS</v>
          </cell>
        </row>
        <row r="1034">
          <cell r="A1034" t="str">
            <v>01-459340-0340-0300</v>
          </cell>
          <cell r="B1034" t="str">
            <v>340</v>
          </cell>
          <cell r="C1034" t="str">
            <v>cust supp</v>
          </cell>
          <cell r="D1034" t="str">
            <v>94-fac</v>
          </cell>
          <cell r="F1034" t="str">
            <v xml:space="preserve">                              Programming Tools - Customer Support AFN</v>
          </cell>
        </row>
        <row r="1035">
          <cell r="A1035" t="str">
            <v>01-459365-0365-0300</v>
          </cell>
          <cell r="B1035" t="str">
            <v>365</v>
          </cell>
          <cell r="C1035" t="str">
            <v>cust supp</v>
          </cell>
          <cell r="D1035" t="str">
            <v>94-fac</v>
          </cell>
          <cell r="F1035" t="str">
            <v xml:space="preserve">                              Programming Tools - Support SAS Consultants</v>
          </cell>
        </row>
        <row r="1036">
          <cell r="A1036" t="str">
            <v>01-459405-0405-0400</v>
          </cell>
          <cell r="B1036" t="str">
            <v>405</v>
          </cell>
          <cell r="C1036" t="str">
            <v>prod dev</v>
          </cell>
          <cell r="D1036" t="str">
            <v>94-fac</v>
          </cell>
          <cell r="F1036" t="str">
            <v xml:space="preserve">                              Programming Tools - Internet Technology</v>
          </cell>
        </row>
        <row r="1037">
          <cell r="A1037" t="str">
            <v>01-459410-0410-0400</v>
          </cell>
          <cell r="B1037" t="str">
            <v>410</v>
          </cell>
          <cell r="C1037" t="str">
            <v>prod dev</v>
          </cell>
          <cell r="D1037" t="str">
            <v>94-fac</v>
          </cell>
          <cell r="F1037" t="str">
            <v xml:space="preserve">                              Programming Tools - Prod Design - FRS</v>
          </cell>
        </row>
        <row r="1038">
          <cell r="A1038" t="str">
            <v>01-459420-0420-0400</v>
          </cell>
          <cell r="B1038" t="str">
            <v>420</v>
          </cell>
          <cell r="C1038" t="str">
            <v>prod dev</v>
          </cell>
          <cell r="D1038" t="str">
            <v>94-fac</v>
          </cell>
          <cell r="F1038" t="str">
            <v xml:space="preserve">                              Programming Tools - Product Design - FAS</v>
          </cell>
        </row>
        <row r="1039">
          <cell r="A1039" t="str">
            <v>01-459430-0430-0400</v>
          </cell>
          <cell r="B1039" t="str">
            <v>430</v>
          </cell>
          <cell r="C1039" t="str">
            <v>prod dev</v>
          </cell>
          <cell r="D1039" t="str">
            <v>94-fac</v>
          </cell>
          <cell r="F1039" t="str">
            <v xml:space="preserve">                              Programming Tools - Prod Program - FRS</v>
          </cell>
        </row>
        <row r="1040">
          <cell r="A1040" t="str">
            <v>01-459430-0430-0400</v>
          </cell>
          <cell r="B1040" t="str">
            <v>430</v>
          </cell>
          <cell r="C1040" t="str">
            <v>prod dev</v>
          </cell>
          <cell r="D1040" t="str">
            <v>94-fac</v>
          </cell>
          <cell r="F1040" t="str">
            <v xml:space="preserve">                              Programming Tools - Prod Program - FRS</v>
          </cell>
        </row>
        <row r="1041">
          <cell r="A1041" t="str">
            <v>01-459440-0440-0400</v>
          </cell>
          <cell r="B1041" t="str">
            <v>440</v>
          </cell>
          <cell r="C1041" t="str">
            <v>prod dev</v>
          </cell>
          <cell r="D1041" t="str">
            <v>94-fac</v>
          </cell>
          <cell r="F1041" t="str">
            <v xml:space="preserve">                              Programming Tools - Prod. Programming - FAS</v>
          </cell>
        </row>
        <row r="1042">
          <cell r="A1042" t="str">
            <v>01-459450-0450-0400</v>
          </cell>
          <cell r="B1042" t="str">
            <v>450</v>
          </cell>
          <cell r="C1042" t="str">
            <v>prod dev</v>
          </cell>
          <cell r="D1042" t="str">
            <v>94-fac</v>
          </cell>
          <cell r="F1042" t="str">
            <v xml:space="preserve">                              Programming Tools - QA - FRS</v>
          </cell>
        </row>
        <row r="1043">
          <cell r="A1043" t="str">
            <v>01-459460-0460-0400</v>
          </cell>
          <cell r="B1043" t="str">
            <v>460</v>
          </cell>
          <cell r="C1043" t="str">
            <v>prod dev</v>
          </cell>
          <cell r="D1043" t="str">
            <v>94-fac</v>
          </cell>
          <cell r="F1043" t="str">
            <v xml:space="preserve">                              Programming Tools - Quality Assurance - FAS</v>
          </cell>
        </row>
        <row r="1044">
          <cell r="A1044" t="str">
            <v>01-459470-0470-0400</v>
          </cell>
          <cell r="B1044" t="str">
            <v>470</v>
          </cell>
          <cell r="C1044" t="str">
            <v>prod dev</v>
          </cell>
          <cell r="D1044" t="str">
            <v>94-fac</v>
          </cell>
          <cell r="F1044" t="str">
            <v xml:space="preserve">                              Programming Tools - Product Doc - FRS</v>
          </cell>
        </row>
        <row r="1045">
          <cell r="A1045" t="str">
            <v>01-459475-0475-0400</v>
          </cell>
          <cell r="B1045" t="str">
            <v>475</v>
          </cell>
          <cell r="C1045" t="str">
            <v>prod dev</v>
          </cell>
          <cell r="D1045" t="str">
            <v>94-fac</v>
          </cell>
          <cell r="F1045" t="str">
            <v xml:space="preserve">                              Programming Tools - Product Doc - SAS</v>
          </cell>
        </row>
        <row r="1046">
          <cell r="A1046" t="str">
            <v>01-459480-0480-0400</v>
          </cell>
          <cell r="B1046" t="str">
            <v>480</v>
          </cell>
          <cell r="C1046" t="str">
            <v>prod dev</v>
          </cell>
          <cell r="D1046" t="str">
            <v>94-fac</v>
          </cell>
          <cell r="F1046" t="str">
            <v xml:space="preserve">                              Programming Tools - Prod. Documentation - FAS</v>
          </cell>
        </row>
        <row r="1047">
          <cell r="A1047" t="str">
            <v>01-459490-0490-0400</v>
          </cell>
          <cell r="B1047" t="str">
            <v>490</v>
          </cell>
          <cell r="C1047" t="str">
            <v>prod dev</v>
          </cell>
          <cell r="D1047" t="str">
            <v>94-fac</v>
          </cell>
          <cell r="F1047" t="str">
            <v xml:space="preserve">                              Programming Tools - Pr. Dev. Mgmt.</v>
          </cell>
        </row>
        <row r="1048">
          <cell r="A1048" t="str">
            <v>01-459494-0370-0300</v>
          </cell>
          <cell r="B1048" t="str">
            <v>370</v>
          </cell>
          <cell r="C1048" t="str">
            <v>cust supp</v>
          </cell>
          <cell r="D1048" t="str">
            <v>94-fac</v>
          </cell>
          <cell r="F1048" t="str">
            <v xml:space="preserve">                              Programming Tools - Tech Consulting</v>
          </cell>
        </row>
        <row r="1049">
          <cell r="A1049" t="str">
            <v>01-459495-0495-0400</v>
          </cell>
          <cell r="B1049" t="str">
            <v>495</v>
          </cell>
          <cell r="C1049" t="str">
            <v>prod dev</v>
          </cell>
          <cell r="D1049" t="str">
            <v>94-fac</v>
          </cell>
          <cell r="F1049" t="str">
            <v xml:space="preserve">                              Programming Tools - Prod. Division Mgmt. - FAS</v>
          </cell>
        </row>
        <row r="1050">
          <cell r="A1050" t="str">
            <v>01-459496-0496-0400</v>
          </cell>
          <cell r="B1050" t="str">
            <v>496</v>
          </cell>
          <cell r="C1050" t="str">
            <v>prod dev</v>
          </cell>
          <cell r="D1050" t="str">
            <v>94-fac</v>
          </cell>
          <cell r="F1050" t="str">
            <v xml:space="preserve">                              Programming Tools - Prod Division - CT/R</v>
          </cell>
        </row>
        <row r="1051">
          <cell r="A1051" t="str">
            <v>01-459497-0497-0400</v>
          </cell>
          <cell r="B1051" t="str">
            <v>497</v>
          </cell>
          <cell r="C1051" t="str">
            <v>prod dev</v>
          </cell>
          <cell r="D1051" t="str">
            <v>94-fac</v>
          </cell>
          <cell r="F1051" t="str">
            <v xml:space="preserve">                              Programming Tools - Prod Division - Prod Dir</v>
          </cell>
        </row>
        <row r="1052">
          <cell r="A1052" t="str">
            <v>01-459498-0498-0400</v>
          </cell>
          <cell r="B1052" t="str">
            <v>498</v>
          </cell>
          <cell r="C1052" t="str">
            <v>prod dev</v>
          </cell>
          <cell r="D1052" t="str">
            <v>94-fac</v>
          </cell>
          <cell r="F1052" t="str">
            <v xml:space="preserve">                              Programming Tools - Prod Div Mgmt - FRS</v>
          </cell>
        </row>
        <row r="1053">
          <cell r="A1053" t="str">
            <v>01-459499-0499-0400</v>
          </cell>
          <cell r="B1053" t="str">
            <v>499</v>
          </cell>
          <cell r="C1053" t="str">
            <v>prod dev</v>
          </cell>
          <cell r="D1053" t="str">
            <v>94-fac</v>
          </cell>
          <cell r="F1053" t="str">
            <v xml:space="preserve">                              Programming Tools - Prod Div Mgmt - SAS</v>
          </cell>
        </row>
        <row r="1054">
          <cell r="A1054" t="str">
            <v>01-459720-0720-0410</v>
          </cell>
          <cell r="B1054" t="str">
            <v>720</v>
          </cell>
          <cell r="C1054" t="str">
            <v>cust supp</v>
          </cell>
          <cell r="D1054" t="str">
            <v>94-fac</v>
          </cell>
          <cell r="F1054" t="str">
            <v xml:space="preserve">                              Programming Tools - Conversion</v>
          </cell>
        </row>
        <row r="1055">
          <cell r="A1055" t="str">
            <v>01-459750-0750-0400</v>
          </cell>
          <cell r="B1055" t="str">
            <v>750</v>
          </cell>
          <cell r="C1055" t="str">
            <v>tech svc</v>
          </cell>
          <cell r="D1055" t="str">
            <v>94-fac</v>
          </cell>
          <cell r="F1055" t="str">
            <v xml:space="preserve">                              Programming Tools - Info Srv.</v>
          </cell>
        </row>
        <row r="1056">
          <cell r="A1056" t="str">
            <v>01-459755-0755-0400</v>
          </cell>
          <cell r="B1056" t="str">
            <v>755</v>
          </cell>
          <cell r="C1056" t="str">
            <v>tech svc</v>
          </cell>
          <cell r="D1056" t="str">
            <v>94-fac</v>
          </cell>
          <cell r="F1056" t="str">
            <v xml:space="preserve">                              Programming Tools - Info Tech</v>
          </cell>
        </row>
        <row r="1057">
          <cell r="A1057" t="str">
            <v>01-461120-0120-0100</v>
          </cell>
          <cell r="B1057" t="str">
            <v>120</v>
          </cell>
          <cell r="C1057" t="str">
            <v>fin</v>
          </cell>
          <cell r="D1057" t="str">
            <v>95 - corp</v>
          </cell>
          <cell r="F1057" t="str">
            <v xml:space="preserve">                        Professional Fees</v>
          </cell>
        </row>
        <row r="1058">
          <cell r="A1058" t="str">
            <v>01-461135-0135-0100</v>
          </cell>
          <cell r="B1058" t="str">
            <v>135</v>
          </cell>
          <cell r="C1058" t="str">
            <v>fin</v>
          </cell>
          <cell r="D1058" t="str">
            <v>95 - corp</v>
          </cell>
          <cell r="F1058" t="str">
            <v xml:space="preserve">                        Professional Fees - Human Rscs</v>
          </cell>
        </row>
        <row r="1059">
          <cell r="A1059" t="str">
            <v>01-461160-0160-0100</v>
          </cell>
          <cell r="B1059" t="str">
            <v>160</v>
          </cell>
          <cell r="C1059" t="str">
            <v>fin</v>
          </cell>
          <cell r="D1059" t="str">
            <v>95 - corp</v>
          </cell>
          <cell r="F1059" t="str">
            <v xml:space="preserve">                        Professional Fees - Recap</v>
          </cell>
        </row>
        <row r="1060">
          <cell r="A1060" t="str">
            <v>01-462120-0120-0200</v>
          </cell>
          <cell r="B1060" t="str">
            <v>120</v>
          </cell>
          <cell r="C1060" t="str">
            <v>fin</v>
          </cell>
          <cell r="D1060" t="str">
            <v>95 - corp</v>
          </cell>
          <cell r="F1060" t="str">
            <v xml:space="preserve">                        Bad Debts</v>
          </cell>
        </row>
        <row r="1061">
          <cell r="A1061" t="str">
            <v>01-463110-0110-0100</v>
          </cell>
          <cell r="B1061" t="str">
            <v>110</v>
          </cell>
          <cell r="C1061" t="str">
            <v>fin</v>
          </cell>
          <cell r="D1061" t="str">
            <v>95 - corp</v>
          </cell>
          <cell r="F1061" t="str">
            <v xml:space="preserve">                        Insurance - General</v>
          </cell>
        </row>
        <row r="1062">
          <cell r="A1062" t="str">
            <v>01-464111-0110-0100</v>
          </cell>
          <cell r="B1062" t="str">
            <v>110</v>
          </cell>
          <cell r="C1062" t="str">
            <v>fin</v>
          </cell>
          <cell r="D1062" t="str">
            <v>95 - corp</v>
          </cell>
          <cell r="F1062" t="str">
            <v xml:space="preserve">                        Miscellaneous</v>
          </cell>
        </row>
        <row r="1063">
          <cell r="A1063" t="str">
            <v>01-465110-0120-0100</v>
          </cell>
          <cell r="B1063" t="str">
            <v>120</v>
          </cell>
          <cell r="C1063" t="str">
            <v>fin</v>
          </cell>
          <cell r="D1063" t="str">
            <v>95 - corp</v>
          </cell>
          <cell r="F1063" t="str">
            <v xml:space="preserve">                        Contributions</v>
          </cell>
        </row>
        <row r="1064">
          <cell r="A1064" t="str">
            <v>01-466120-0120-0100</v>
          </cell>
          <cell r="B1064" t="str">
            <v>120</v>
          </cell>
          <cell r="C1064" t="str">
            <v>fin</v>
          </cell>
          <cell r="D1064" t="str">
            <v>95 - corp</v>
          </cell>
          <cell r="F1064" t="str">
            <v xml:space="preserve">                        Bank Charges</v>
          </cell>
        </row>
        <row r="1065">
          <cell r="A1065" t="str">
            <v>01-468120-0120-0100</v>
          </cell>
          <cell r="B1065" t="str">
            <v>120</v>
          </cell>
          <cell r="C1065" t="str">
            <v>fin</v>
          </cell>
          <cell r="F1065" t="str">
            <v xml:space="preserve">                              Sales &amp; Use Tax</v>
          </cell>
        </row>
        <row r="1066">
          <cell r="A1066" t="str">
            <v>01-468121-0120-0100</v>
          </cell>
          <cell r="B1066" t="str">
            <v>120</v>
          </cell>
          <cell r="C1066" t="str">
            <v>fin</v>
          </cell>
          <cell r="F1066" t="str">
            <v xml:space="preserve">                              Income Tax Accrual Expense</v>
          </cell>
        </row>
        <row r="1067">
          <cell r="A1067" t="str">
            <v>01-469121-0120-0100</v>
          </cell>
          <cell r="B1067" t="str">
            <v>120</v>
          </cell>
          <cell r="C1067" t="str">
            <v>fin</v>
          </cell>
          <cell r="F1067" t="str">
            <v xml:space="preserve">                        Amortization Rest Cov - 12/02</v>
          </cell>
        </row>
        <row r="1068">
          <cell r="B1068" t="str">
            <v/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rol"/>
      <sheetName val="__FDSCACHE__"/>
      <sheetName val="Inputs"/>
      <sheetName val="cases"/>
      <sheetName val="statements"/>
      <sheetName val="DCF Inputs"/>
      <sheetName val="DCF Matrix"/>
      <sheetName val="Val_sum"/>
      <sheetName val="Val_sum (2)"/>
      <sheetName val="Trad_m"/>
      <sheetName val="LBO_statements "/>
      <sheetName val="LBO_bal_rec"/>
      <sheetName val="LBO_summary"/>
    </sheetNames>
    <sheetDataSet>
      <sheetData sheetId="0" refreshError="1">
        <row r="8">
          <cell r="C8" t="str">
            <v>($MM except per share data)</v>
          </cell>
        </row>
        <row r="11">
          <cell r="B11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MODEL"/>
      <sheetName val="Inserts"/>
      <sheetName val="Ins Summ"/>
      <sheetName val="Covenant Analysis"/>
      <sheetName val="Loews"/>
      <sheetName val="Capitalization"/>
      <sheetName val="New Inserts"/>
      <sheetName val="Div Needs"/>
      <sheetName val="HoldCo"/>
      <sheetName val="IDS"/>
      <sheetName val="Current Cap Tables"/>
      <sheetName val="Converts"/>
      <sheetName val="Bank Book Inserts - Projected"/>
      <sheetName val="Rating Agency Inserts"/>
      <sheetName val="BS"/>
      <sheetName val="Bank Book Inserts - Historical"/>
      <sheetName val="Cap Tables"/>
      <sheetName val="Cap Tables (2)"/>
      <sheetName val="PF RCC Summary"/>
      <sheetName val="Credit Inserts"/>
      <sheetName val="Fee Schedule"/>
    </sheetNames>
    <sheetDataSet>
      <sheetData sheetId="0"/>
      <sheetData sheetId="1">
        <row r="22">
          <cell r="L2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RADING"/>
      <sheetName val="__FDSCACHE__"/>
      <sheetName val="OPERATING"/>
      <sheetName val="FACTSET"/>
      <sheetName val="TOP"/>
      <sheetName val="Dialog1"/>
      <sheetName val="Module1"/>
    </sheetNames>
    <sheetDataSet>
      <sheetData sheetId="0" refreshError="1">
        <row r="13">
          <cell r="A13" t="str">
            <v>AAII</v>
          </cell>
          <cell r="B13" t="str">
            <v xml:space="preserve">Applied Analytical Industries </v>
          </cell>
        </row>
        <row r="14">
          <cell r="A14" t="str">
            <v>BLPG</v>
          </cell>
          <cell r="B14" t="str">
            <v xml:space="preserve">Boron LePore &amp; Associates </v>
          </cell>
        </row>
        <row r="15">
          <cell r="A15" t="str">
            <v>BREL</v>
          </cell>
          <cell r="B15" t="str">
            <v xml:space="preserve">BioReliance Corporation </v>
          </cell>
        </row>
        <row r="16">
          <cell r="A16" t="str">
            <v>DATA</v>
          </cell>
          <cell r="B16" t="str">
            <v>Collaborative Clinical Research (a)</v>
          </cell>
        </row>
        <row r="17">
          <cell r="A17" t="str">
            <v>CCRO</v>
          </cell>
          <cell r="B17" t="str">
            <v xml:space="preserve">ClinTrials Research </v>
          </cell>
        </row>
        <row r="18">
          <cell r="A18" t="str">
            <v>CVD</v>
          </cell>
          <cell r="B18" t="str">
            <v>Covance</v>
          </cell>
        </row>
        <row r="19">
          <cell r="A19" t="str">
            <v>DJII</v>
          </cell>
          <cell r="B19" t="str">
            <v>DJIA</v>
          </cell>
        </row>
        <row r="20">
          <cell r="A20" t="str">
            <v>ICLRY</v>
          </cell>
          <cell r="B20" t="str">
            <v>ICON plc</v>
          </cell>
        </row>
        <row r="21">
          <cell r="A21" t="str">
            <v>KNDL</v>
          </cell>
          <cell r="B21" t="str">
            <v xml:space="preserve">Kendle International </v>
          </cell>
        </row>
        <row r="22">
          <cell r="A22" t="str">
            <v>PPDI</v>
          </cell>
          <cell r="B22" t="str">
            <v xml:space="preserve">Pharmaceutical Product Development </v>
          </cell>
        </row>
        <row r="23">
          <cell r="A23" t="str">
            <v>PRWW</v>
          </cell>
          <cell r="B23" t="str">
            <v>Premier Research Worldwide</v>
          </cell>
        </row>
        <row r="24">
          <cell r="A24" t="str">
            <v>PRXL</v>
          </cell>
          <cell r="B24" t="str">
            <v>Parexel International</v>
          </cell>
        </row>
        <row r="25">
          <cell r="A25" t="str">
            <v>PDII</v>
          </cell>
          <cell r="B25" t="str">
            <v>Professional Detailing</v>
          </cell>
        </row>
        <row r="26">
          <cell r="A26" t="str">
            <v>QTRN</v>
          </cell>
          <cell r="B26" t="str">
            <v xml:space="preserve">Quintiles Transnational </v>
          </cell>
        </row>
        <row r="27">
          <cell r="A27" t="str">
            <v>SNC</v>
          </cell>
          <cell r="B27" t="str">
            <v>Snyder Communications</v>
          </cell>
        </row>
        <row r="28">
          <cell r="A28" t="str">
            <v>VTIV</v>
          </cell>
          <cell r="B28" t="str">
            <v>Ventiv Health</v>
          </cell>
        </row>
        <row r="29">
          <cell r="A29" t="str">
            <v>SP50</v>
          </cell>
          <cell r="B29" t="str">
            <v>S &amp; P 500</v>
          </cell>
        </row>
        <row r="30">
          <cell r="A30" t="str">
            <v>SPII</v>
          </cell>
          <cell r="B30" t="str">
            <v>S &amp; P 400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Transinputs"/>
      <sheetName val="Val"/>
      <sheetName val="Sum"/>
      <sheetName val="Interloper"/>
      <sheetName val="Acquiror"/>
      <sheetName val="Target"/>
      <sheetName val="Calcs"/>
      <sheetName val="Summary"/>
      <sheetName val="EPS"/>
      <sheetName val="Shares"/>
      <sheetName val="CBM Matrix"/>
      <sheetName val="DEX Matrix"/>
      <sheetName val="tainted"/>
      <sheetName val="Merger Code"/>
      <sheetName val="MainPrint Code"/>
      <sheetName val="AdditionalPrint Code"/>
      <sheetName val="Module1"/>
      <sheetName val="Module2"/>
      <sheetName val="Module3"/>
      <sheetName val="Module4"/>
      <sheetName val="Module5"/>
      <sheetName val="Module6"/>
      <sheetName val="Module7"/>
      <sheetName val="Module8"/>
    </sheetNames>
    <sheetDataSet>
      <sheetData sheetId="0"/>
      <sheetData sheetId="1"/>
      <sheetData sheetId="2" refreshError="1">
        <row r="7">
          <cell r="U7">
            <v>23.6</v>
          </cell>
        </row>
        <row r="13">
          <cell r="U13">
            <v>0.6</v>
          </cell>
        </row>
      </sheetData>
      <sheetData sheetId="3"/>
      <sheetData sheetId="4"/>
      <sheetData sheetId="5"/>
      <sheetData sheetId="6"/>
      <sheetData sheetId="7"/>
      <sheetData sheetId="8" refreshError="1">
        <row r="34">
          <cell r="R34" t="str">
            <v>Cash</v>
          </cell>
          <cell r="W34">
            <v>336.572</v>
          </cell>
        </row>
        <row r="35">
          <cell r="R35" t="str">
            <v>PP&amp;E</v>
          </cell>
          <cell r="W35">
            <v>647.37599999999998</v>
          </cell>
        </row>
        <row r="36">
          <cell r="O36">
            <v>22.5</v>
          </cell>
          <cell r="R36" t="str">
            <v>New Goodwill</v>
          </cell>
          <cell r="W36">
            <v>364.01028910000002</v>
          </cell>
        </row>
        <row r="37">
          <cell r="O37">
            <v>1.6851700000000001</v>
          </cell>
          <cell r="R37" t="str">
            <v>Total Assets</v>
          </cell>
          <cell r="W37">
            <v>2031.7612891000003</v>
          </cell>
        </row>
        <row r="38">
          <cell r="O38">
            <v>24.185169999999999</v>
          </cell>
        </row>
        <row r="39">
          <cell r="R39" t="str">
            <v>Pro Forma Total Debt</v>
          </cell>
          <cell r="W39">
            <v>874.02417112400008</v>
          </cell>
        </row>
        <row r="40">
          <cell r="R40" t="str">
            <v>Prof Forma Net Debt</v>
          </cell>
          <cell r="W40">
            <v>537.45217112400007</v>
          </cell>
        </row>
        <row r="42">
          <cell r="O42">
            <v>24.185169999999999</v>
          </cell>
        </row>
        <row r="43">
          <cell r="O43">
            <v>0</v>
          </cell>
        </row>
        <row r="44">
          <cell r="O44">
            <v>0</v>
          </cell>
          <cell r="R44" t="str">
            <v>Dividends Per Share</v>
          </cell>
        </row>
        <row r="45">
          <cell r="O45">
            <v>0</v>
          </cell>
          <cell r="P45" t="str">
            <v>x</v>
          </cell>
        </row>
        <row r="46">
          <cell r="O46">
            <v>0</v>
          </cell>
          <cell r="R46" t="str">
            <v>Oliver DPS (current)</v>
          </cell>
          <cell r="W46">
            <v>0</v>
          </cell>
        </row>
        <row r="47">
          <cell r="O47" t="str">
            <v>NM</v>
          </cell>
          <cell r="R47" t="str">
            <v>Caprio DPS</v>
          </cell>
          <cell r="W47">
            <v>0</v>
          </cell>
        </row>
        <row r="48">
          <cell r="O48">
            <v>0</v>
          </cell>
          <cell r="R48" t="str">
            <v>Exchange Ratio</v>
          </cell>
          <cell r="W48">
            <v>0</v>
          </cell>
          <cell r="X48" t="str">
            <v>x</v>
          </cell>
        </row>
        <row r="49">
          <cell r="O49">
            <v>0</v>
          </cell>
          <cell r="R49" t="str">
            <v>Pro Forma Div. For Oliver Share</v>
          </cell>
          <cell r="W49" t="str">
            <v>NM</v>
          </cell>
        </row>
        <row r="50">
          <cell r="O50">
            <v>15.871299</v>
          </cell>
          <cell r="R50" t="str">
            <v xml:space="preserve">   % Change to Oliver Dividend</v>
          </cell>
          <cell r="W50" t="str">
            <v>NM</v>
          </cell>
          <cell r="X50" t="str">
            <v>%</v>
          </cell>
        </row>
        <row r="51">
          <cell r="O51">
            <v>15.871299</v>
          </cell>
          <cell r="R51" t="str">
            <v>Incr/(Decr) in Total Dividend ($MM)</v>
          </cell>
          <cell r="W51">
            <v>0</v>
          </cell>
        </row>
        <row r="52">
          <cell r="O52">
            <v>0</v>
          </cell>
        </row>
      </sheetData>
      <sheetData sheetId="9" refreshError="1">
        <row r="34">
          <cell r="M34">
            <v>0.31756695233271359</v>
          </cell>
          <cell r="O34">
            <v>0.52891098619408305</v>
          </cell>
        </row>
        <row r="37">
          <cell r="M37">
            <v>22.753557870733346</v>
          </cell>
          <cell r="O37">
            <v>15.248907870733287</v>
          </cell>
        </row>
        <row r="38">
          <cell r="M38">
            <v>10.740422879214629</v>
          </cell>
          <cell r="N38" t="str">
            <v>x</v>
          </cell>
          <cell r="O38">
            <v>8.2640673933437618</v>
          </cell>
          <cell r="P38" t="str">
            <v>x</v>
          </cell>
        </row>
        <row r="41">
          <cell r="O41" t="str">
            <v>Oliver</v>
          </cell>
        </row>
        <row r="43">
          <cell r="M43">
            <v>0.2904614556706579</v>
          </cell>
          <cell r="O43">
            <v>108.54300000000001</v>
          </cell>
          <cell r="Q43">
            <v>0.37074242072329316</v>
          </cell>
        </row>
        <row r="44">
          <cell r="M44">
            <v>0</v>
          </cell>
          <cell r="O44">
            <v>0</v>
          </cell>
          <cell r="Q44">
            <v>0</v>
          </cell>
        </row>
        <row r="45">
          <cell r="M45">
            <v>0.70953854432934216</v>
          </cell>
          <cell r="O45">
            <v>184.22900000000001</v>
          </cell>
          <cell r="Q45">
            <v>0.62925757927670678</v>
          </cell>
        </row>
        <row r="46">
          <cell r="M46">
            <v>1</v>
          </cell>
          <cell r="O46">
            <v>292.77200000000005</v>
          </cell>
          <cell r="Q46">
            <v>1</v>
          </cell>
        </row>
        <row r="48">
          <cell r="O48">
            <v>8.3719999999999999</v>
          </cell>
        </row>
        <row r="51">
          <cell r="O51">
            <v>1.4769965573078965</v>
          </cell>
          <cell r="P51" t="str">
            <v>x</v>
          </cell>
        </row>
        <row r="52">
          <cell r="O52">
            <v>-21456.642335766428</v>
          </cell>
          <cell r="P52" t="str">
            <v>x</v>
          </cell>
        </row>
        <row r="53">
          <cell r="O53">
            <v>0.10575335210394957</v>
          </cell>
        </row>
        <row r="54">
          <cell r="O54">
            <v>0.18359811227893102</v>
          </cell>
        </row>
        <row r="56">
          <cell r="M56">
            <v>15.871299</v>
          </cell>
          <cell r="O56" t="str">
            <v>Primary</v>
          </cell>
          <cell r="Q56">
            <v>22.5</v>
          </cell>
        </row>
        <row r="57">
          <cell r="G57" t="str">
            <v>% Oliver owned</v>
          </cell>
          <cell r="I57">
            <v>0</v>
          </cell>
          <cell r="K57" t="str">
            <v>% Issued</v>
          </cell>
          <cell r="M57">
            <v>0</v>
          </cell>
          <cell r="O57" t="str">
            <v>Fully-Diluted</v>
          </cell>
          <cell r="Q57">
            <v>24.185169999999999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Contribution"/>
      <sheetName val="AccDil Sens"/>
      <sheetName val="Rolex IRR"/>
      <sheetName val="Sensitivity"/>
      <sheetName val="Rolex"/>
      <sheetName val="Timex"/>
      <sheetName val="Cases"/>
      <sheetName val="Deal Summary"/>
      <sheetName val="Earnings"/>
      <sheetName val="Bal Sheets"/>
      <sheetName val="Schedules"/>
      <sheetName val="LBO IRR"/>
      <sheetName val="PFMA Cap"/>
      <sheetName val="PFMA Credit"/>
      <sheetName val="PFMA Fin Sum"/>
      <sheetName val="sum_macro"/>
      <sheetName val="print_macro"/>
      <sheetName val="DCFLBO Code"/>
      <sheetName val="MainPrint Code"/>
      <sheetName val="AdditionalPrint Code"/>
    </sheetNames>
    <sheetDataSet>
      <sheetData sheetId="0" refreshError="1">
        <row r="18">
          <cell r="U1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napshot - Margin"/>
      <sheetName val="Forecast @ Bud"/>
      <sheetName val="Frct by Month"/>
      <sheetName val="Lighting Service"/>
      <sheetName val="Rev-COGS"/>
      <sheetName val="Misc Revenue"/>
      <sheetName val="2017 Budget"/>
      <sheetName val="Rates"/>
      <sheetName val="Budgeted OL"/>
      <sheetName val="FRCT INPUT-FE"/>
      <sheetName val="Cust-Vol"/>
      <sheetName val="True Forecast"/>
      <sheetName val="True Frct by Month"/>
      <sheetName val="FE JH"/>
      <sheetName val="Forecast Changes"/>
      <sheetName val="FPL Interconnect Initial Foreca"/>
      <sheetName val="FPL Interconnect Proj 2017"/>
      <sheetName val="FPL Interconnect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0">
          <cell r="BA10">
            <v>289725.71999999997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7">
          <cell r="E7" t="str">
            <v>JANUARY</v>
          </cell>
          <cell r="F7" t="str">
            <v>FEBRUARY</v>
          </cell>
          <cell r="G7" t="str">
            <v>MARCH</v>
          </cell>
          <cell r="H7" t="str">
            <v>APRIL</v>
          </cell>
          <cell r="I7" t="str">
            <v>MAY</v>
          </cell>
          <cell r="J7" t="str">
            <v>JUNE</v>
          </cell>
          <cell r="K7" t="str">
            <v>JULY</v>
          </cell>
          <cell r="L7" t="str">
            <v>AUGUST</v>
          </cell>
          <cell r="M7" t="str">
            <v>SEPTEMBER</v>
          </cell>
          <cell r="N7" t="str">
            <v>OCTOBER</v>
          </cell>
          <cell r="O7" t="str">
            <v>NOVEMBER</v>
          </cell>
          <cell r="P7" t="str">
            <v>DECEMBER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E17">
            <v>919269.98</v>
          </cell>
          <cell r="F17">
            <v>919269.98</v>
          </cell>
          <cell r="G17">
            <v>919269.98</v>
          </cell>
          <cell r="H17">
            <v>919269.98</v>
          </cell>
          <cell r="I17">
            <v>919269.98</v>
          </cell>
          <cell r="J17">
            <v>919269.98</v>
          </cell>
          <cell r="K17">
            <v>919269.98</v>
          </cell>
          <cell r="L17">
            <v>919269.98</v>
          </cell>
          <cell r="M17">
            <v>919269.98</v>
          </cell>
          <cell r="N17">
            <v>919269.98</v>
          </cell>
          <cell r="O17">
            <v>919269.98</v>
          </cell>
          <cell r="P17">
            <v>919269.98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E23">
            <v>919269.98</v>
          </cell>
          <cell r="F23">
            <v>919269.98</v>
          </cell>
          <cell r="G23">
            <v>919269.98</v>
          </cell>
          <cell r="H23">
            <v>919269.98</v>
          </cell>
          <cell r="I23">
            <v>919269.98</v>
          </cell>
          <cell r="J23">
            <v>919269.98</v>
          </cell>
          <cell r="K23">
            <v>919269.98</v>
          </cell>
          <cell r="L23">
            <v>919269.98</v>
          </cell>
          <cell r="M23">
            <v>919269.98</v>
          </cell>
          <cell r="N23">
            <v>919269.98</v>
          </cell>
          <cell r="O23">
            <v>919269.98</v>
          </cell>
          <cell r="P23">
            <v>919269.98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919269.98</v>
          </cell>
          <cell r="F26">
            <v>919269.98</v>
          </cell>
          <cell r="G26">
            <v>919269.98</v>
          </cell>
          <cell r="H26">
            <v>919269.98</v>
          </cell>
          <cell r="I26">
            <v>919269.98</v>
          </cell>
          <cell r="J26">
            <v>919269.98</v>
          </cell>
          <cell r="K26">
            <v>919269.98</v>
          </cell>
          <cell r="L26">
            <v>919269.98</v>
          </cell>
          <cell r="M26">
            <v>919269.98</v>
          </cell>
          <cell r="N26">
            <v>919269.98</v>
          </cell>
          <cell r="O26">
            <v>919269.98</v>
          </cell>
          <cell r="P26">
            <v>919269.98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E28">
            <v>919270</v>
          </cell>
          <cell r="F28">
            <v>919270</v>
          </cell>
          <cell r="G28">
            <v>919270</v>
          </cell>
          <cell r="H28">
            <v>919270</v>
          </cell>
          <cell r="I28">
            <v>919270</v>
          </cell>
          <cell r="J28">
            <v>919270</v>
          </cell>
          <cell r="K28">
            <v>919270</v>
          </cell>
          <cell r="L28">
            <v>919270</v>
          </cell>
          <cell r="M28">
            <v>919270</v>
          </cell>
          <cell r="N28">
            <v>919270</v>
          </cell>
          <cell r="O28">
            <v>919270</v>
          </cell>
          <cell r="P28">
            <v>919270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1.7999999999999999E-2</v>
          </cell>
          <cell r="F31">
            <v>1.7999999999999999E-2</v>
          </cell>
          <cell r="G31">
            <v>1.7999999999999999E-2</v>
          </cell>
          <cell r="H31">
            <v>1.7999999999999999E-2</v>
          </cell>
          <cell r="I31">
            <v>1.7999999999999999E-2</v>
          </cell>
          <cell r="J31">
            <v>1.7999999999999999E-2</v>
          </cell>
          <cell r="K31">
            <v>1.7999999999999999E-2</v>
          </cell>
          <cell r="L31">
            <v>1.7999999999999999E-2</v>
          </cell>
          <cell r="M31">
            <v>1.7999999999999999E-2</v>
          </cell>
          <cell r="N31">
            <v>1.7999999999999999E-2</v>
          </cell>
          <cell r="O31">
            <v>1.7999999999999999E-2</v>
          </cell>
          <cell r="P31">
            <v>1.7999999999999999E-2</v>
          </cell>
        </row>
        <row r="32">
          <cell r="E32">
            <v>2.5999999999999999E-2</v>
          </cell>
          <cell r="F32">
            <v>2.5999999999999999E-2</v>
          </cell>
          <cell r="G32">
            <v>2.5999999999999999E-2</v>
          </cell>
          <cell r="H32">
            <v>2.5999999999999999E-2</v>
          </cell>
          <cell r="I32">
            <v>2.5999999999999999E-2</v>
          </cell>
          <cell r="J32">
            <v>2.5999999999999999E-2</v>
          </cell>
          <cell r="K32">
            <v>2.5999999999999999E-2</v>
          </cell>
          <cell r="L32">
            <v>2.5999999999999999E-2</v>
          </cell>
          <cell r="M32">
            <v>2.5999999999999999E-2</v>
          </cell>
          <cell r="N32">
            <v>2.5999999999999999E-2</v>
          </cell>
          <cell r="O32">
            <v>2.5999999999999999E-2</v>
          </cell>
          <cell r="P32">
            <v>2.5999999999999999E-2</v>
          </cell>
        </row>
        <row r="33">
          <cell r="E33">
            <v>2.5000000000000001E-2</v>
          </cell>
          <cell r="F33">
            <v>2.5000000000000001E-2</v>
          </cell>
          <cell r="G33">
            <v>2.5000000000000001E-2</v>
          </cell>
          <cell r="H33">
            <v>2.5000000000000001E-2</v>
          </cell>
          <cell r="I33">
            <v>2.5000000000000001E-2</v>
          </cell>
          <cell r="J33">
            <v>2.5000000000000001E-2</v>
          </cell>
          <cell r="K33">
            <v>2.5000000000000001E-2</v>
          </cell>
          <cell r="L33">
            <v>2.5000000000000001E-2</v>
          </cell>
          <cell r="M33">
            <v>2.5000000000000001E-2</v>
          </cell>
          <cell r="N33">
            <v>2.5000000000000001E-2</v>
          </cell>
          <cell r="O33">
            <v>2.5000000000000001E-2</v>
          </cell>
          <cell r="P33">
            <v>2.5000000000000001E-2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E37">
            <v>6.4699999999999994E-2</v>
          </cell>
          <cell r="F37">
            <v>6.4699999999999994E-2</v>
          </cell>
          <cell r="G37">
            <v>6.4699999999999994E-2</v>
          </cell>
          <cell r="H37">
            <v>6.4699999999999994E-2</v>
          </cell>
          <cell r="I37">
            <v>6.4699999999999994E-2</v>
          </cell>
          <cell r="J37">
            <v>6.4699999999999994E-2</v>
          </cell>
          <cell r="K37">
            <v>6.4699999999999994E-2</v>
          </cell>
          <cell r="L37">
            <v>6.4699999999999994E-2</v>
          </cell>
          <cell r="M37">
            <v>6.4699999999999994E-2</v>
          </cell>
          <cell r="N37">
            <v>6.4699999999999994E-2</v>
          </cell>
          <cell r="O37">
            <v>6.4699999999999994E-2</v>
          </cell>
          <cell r="P37">
            <v>6.4699999999999994E-2</v>
          </cell>
        </row>
        <row r="38">
          <cell r="E38">
            <v>1.2500000000000001E-2</v>
          </cell>
          <cell r="F38">
            <v>1.2500000000000001E-2</v>
          </cell>
          <cell r="G38">
            <v>1.2500000000000001E-2</v>
          </cell>
          <cell r="H38">
            <v>1.2500000000000001E-2</v>
          </cell>
          <cell r="I38">
            <v>1.2500000000000001E-2</v>
          </cell>
          <cell r="J38">
            <v>1.2500000000000001E-2</v>
          </cell>
          <cell r="K38">
            <v>1.2500000000000001E-2</v>
          </cell>
          <cell r="L38">
            <v>1.2500000000000001E-2</v>
          </cell>
          <cell r="M38">
            <v>1.2500000000000001E-2</v>
          </cell>
          <cell r="N38">
            <v>1.2500000000000001E-2</v>
          </cell>
          <cell r="O38">
            <v>1.2500000000000001E-2</v>
          </cell>
          <cell r="P38">
            <v>1.2500000000000001E-2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E40">
            <v>4956</v>
          </cell>
          <cell r="F40">
            <v>4956</v>
          </cell>
          <cell r="G40">
            <v>4956</v>
          </cell>
          <cell r="H40">
            <v>4956</v>
          </cell>
          <cell r="I40">
            <v>4956</v>
          </cell>
          <cell r="J40">
            <v>4956</v>
          </cell>
          <cell r="K40">
            <v>4956</v>
          </cell>
          <cell r="L40">
            <v>4956</v>
          </cell>
          <cell r="M40">
            <v>4956</v>
          </cell>
          <cell r="N40">
            <v>4956</v>
          </cell>
          <cell r="O40">
            <v>4956</v>
          </cell>
          <cell r="P40">
            <v>4956</v>
          </cell>
        </row>
        <row r="41">
          <cell r="E41">
            <v>958</v>
          </cell>
          <cell r="F41">
            <v>958</v>
          </cell>
          <cell r="G41">
            <v>958</v>
          </cell>
          <cell r="H41">
            <v>958</v>
          </cell>
          <cell r="I41">
            <v>958</v>
          </cell>
          <cell r="J41">
            <v>958</v>
          </cell>
          <cell r="K41">
            <v>958</v>
          </cell>
          <cell r="L41">
            <v>958</v>
          </cell>
          <cell r="M41">
            <v>958</v>
          </cell>
          <cell r="N41">
            <v>958</v>
          </cell>
          <cell r="O41">
            <v>958</v>
          </cell>
          <cell r="P41">
            <v>958</v>
          </cell>
        </row>
        <row r="42">
          <cell r="E42">
            <v>5914</v>
          </cell>
          <cell r="F42">
            <v>5914</v>
          </cell>
          <cell r="G42">
            <v>5914</v>
          </cell>
          <cell r="H42">
            <v>5914</v>
          </cell>
          <cell r="I42">
            <v>5914</v>
          </cell>
          <cell r="J42">
            <v>5914</v>
          </cell>
          <cell r="K42">
            <v>5914</v>
          </cell>
          <cell r="L42">
            <v>5914</v>
          </cell>
          <cell r="M42">
            <v>5914</v>
          </cell>
          <cell r="N42">
            <v>5914</v>
          </cell>
          <cell r="O42">
            <v>5914</v>
          </cell>
          <cell r="P42">
            <v>5914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E49">
            <v>5914</v>
          </cell>
          <cell r="F49">
            <v>5914</v>
          </cell>
          <cell r="G49">
            <v>5914</v>
          </cell>
          <cell r="H49">
            <v>5914</v>
          </cell>
          <cell r="I49">
            <v>5914</v>
          </cell>
          <cell r="J49">
            <v>5914</v>
          </cell>
          <cell r="K49">
            <v>5914</v>
          </cell>
          <cell r="L49">
            <v>5914</v>
          </cell>
          <cell r="M49">
            <v>5914</v>
          </cell>
          <cell r="N49">
            <v>5914</v>
          </cell>
          <cell r="O49">
            <v>5914</v>
          </cell>
          <cell r="P49">
            <v>5914</v>
          </cell>
        </row>
        <row r="50">
          <cell r="E50">
            <v>4.2580800000000005</v>
          </cell>
          <cell r="F50">
            <v>4.2580800000000005</v>
          </cell>
          <cell r="G50">
            <v>4.2580800000000005</v>
          </cell>
          <cell r="H50">
            <v>4.2580800000000005</v>
          </cell>
          <cell r="I50">
            <v>4.2580800000000005</v>
          </cell>
          <cell r="J50">
            <v>4.2580800000000005</v>
          </cell>
          <cell r="K50">
            <v>4.2580800000000005</v>
          </cell>
          <cell r="L50">
            <v>4.2580800000000005</v>
          </cell>
          <cell r="M50">
            <v>4.2580800000000005</v>
          </cell>
          <cell r="N50">
            <v>4.2580800000000005</v>
          </cell>
          <cell r="O50">
            <v>4.2580800000000005</v>
          </cell>
          <cell r="P50">
            <v>4.2580800000000005</v>
          </cell>
        </row>
        <row r="51">
          <cell r="E51">
            <v>5918.2580799999996</v>
          </cell>
          <cell r="F51">
            <v>5918.2580799999996</v>
          </cell>
          <cell r="G51">
            <v>5918.2580799999996</v>
          </cell>
          <cell r="H51">
            <v>5918.2580799999996</v>
          </cell>
          <cell r="I51">
            <v>5918.2580799999996</v>
          </cell>
          <cell r="J51">
            <v>5918.2580799999996</v>
          </cell>
          <cell r="K51">
            <v>5918.2580799999996</v>
          </cell>
          <cell r="L51">
            <v>5918.2580799999996</v>
          </cell>
          <cell r="M51">
            <v>5918.2580799999996</v>
          </cell>
          <cell r="N51">
            <v>5918.2580799999996</v>
          </cell>
          <cell r="O51">
            <v>5918.2580799999996</v>
          </cell>
          <cell r="P51">
            <v>5918.2580799999996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E53">
            <v>5918.2580799999996</v>
          </cell>
          <cell r="F53">
            <v>11836.516159999999</v>
          </cell>
          <cell r="G53">
            <v>17754.774239999999</v>
          </cell>
          <cell r="H53">
            <v>23673.032319999998</v>
          </cell>
          <cell r="I53">
            <v>29591.290399999998</v>
          </cell>
          <cell r="J53">
            <v>35509.548479999998</v>
          </cell>
          <cell r="K53">
            <v>41427.806559999997</v>
          </cell>
          <cell r="L53">
            <v>47346.064639999997</v>
          </cell>
          <cell r="M53">
            <v>53264.322719999996</v>
          </cell>
          <cell r="N53">
            <v>59182.580799999996</v>
          </cell>
          <cell r="O53">
            <v>65100.838879999996</v>
          </cell>
          <cell r="P53">
            <v>71019.096959999995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napshot - Margin"/>
      <sheetName val="Forecast @ Bud"/>
      <sheetName val="Frct by Month"/>
      <sheetName val="Lighting Service"/>
      <sheetName val="Rev-COGS"/>
      <sheetName val="Misc Revenue"/>
      <sheetName val="2017 Budget"/>
      <sheetName val="Rates"/>
      <sheetName val="Budgeted OL"/>
      <sheetName val="FRCT INPUT-FE"/>
      <sheetName val="Cust-Vol"/>
      <sheetName val="True Forecast"/>
      <sheetName val="True Frct by Month"/>
      <sheetName val="FE JH"/>
      <sheetName val="Forecast Changes"/>
      <sheetName val="FPL Interconnect Initial Foreca"/>
      <sheetName val="FPL Interconnect Proj 2017"/>
      <sheetName val="FPL Interconnect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0">
          <cell r="BA10">
            <v>289725.71999999997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7">
          <cell r="E7" t="str">
            <v>JANUARY</v>
          </cell>
          <cell r="F7" t="str">
            <v>FEBRUARY</v>
          </cell>
          <cell r="G7" t="str">
            <v>MARCH</v>
          </cell>
          <cell r="H7" t="str">
            <v>APRIL</v>
          </cell>
          <cell r="I7" t="str">
            <v>MAY</v>
          </cell>
          <cell r="J7" t="str">
            <v>JUNE</v>
          </cell>
          <cell r="K7" t="str">
            <v>JULY</v>
          </cell>
          <cell r="L7" t="str">
            <v>AUGUST</v>
          </cell>
          <cell r="M7" t="str">
            <v>SEPTEMBER</v>
          </cell>
          <cell r="N7" t="str">
            <v>OCTOBER</v>
          </cell>
          <cell r="O7" t="str">
            <v>NOVEMBER</v>
          </cell>
          <cell r="P7" t="str">
            <v>DECEMBER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E17">
            <v>919269.98</v>
          </cell>
          <cell r="F17">
            <v>919269.98</v>
          </cell>
          <cell r="G17">
            <v>919269.98</v>
          </cell>
          <cell r="H17">
            <v>919269.98</v>
          </cell>
          <cell r="I17">
            <v>919269.98</v>
          </cell>
          <cell r="J17">
            <v>919269.98</v>
          </cell>
          <cell r="K17">
            <v>919269.98</v>
          </cell>
          <cell r="L17">
            <v>919269.98</v>
          </cell>
          <cell r="M17">
            <v>919269.98</v>
          </cell>
          <cell r="N17">
            <v>919269.98</v>
          </cell>
          <cell r="O17">
            <v>919269.98</v>
          </cell>
          <cell r="P17">
            <v>919269.98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E23">
            <v>919269.98</v>
          </cell>
          <cell r="F23">
            <v>919269.98</v>
          </cell>
          <cell r="G23">
            <v>919269.98</v>
          </cell>
          <cell r="H23">
            <v>919269.98</v>
          </cell>
          <cell r="I23">
            <v>919269.98</v>
          </cell>
          <cell r="J23">
            <v>919269.98</v>
          </cell>
          <cell r="K23">
            <v>919269.98</v>
          </cell>
          <cell r="L23">
            <v>919269.98</v>
          </cell>
          <cell r="M23">
            <v>919269.98</v>
          </cell>
          <cell r="N23">
            <v>919269.98</v>
          </cell>
          <cell r="O23">
            <v>919269.98</v>
          </cell>
          <cell r="P23">
            <v>919269.98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919269.98</v>
          </cell>
          <cell r="F26">
            <v>919269.98</v>
          </cell>
          <cell r="G26">
            <v>919269.98</v>
          </cell>
          <cell r="H26">
            <v>919269.98</v>
          </cell>
          <cell r="I26">
            <v>919269.98</v>
          </cell>
          <cell r="J26">
            <v>919269.98</v>
          </cell>
          <cell r="K26">
            <v>919269.98</v>
          </cell>
          <cell r="L26">
            <v>919269.98</v>
          </cell>
          <cell r="M26">
            <v>919269.98</v>
          </cell>
          <cell r="N26">
            <v>919269.98</v>
          </cell>
          <cell r="O26">
            <v>919269.98</v>
          </cell>
          <cell r="P26">
            <v>919269.98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E28">
            <v>919270</v>
          </cell>
          <cell r="F28">
            <v>919270</v>
          </cell>
          <cell r="G28">
            <v>919270</v>
          </cell>
          <cell r="H28">
            <v>919270</v>
          </cell>
          <cell r="I28">
            <v>919270</v>
          </cell>
          <cell r="J28">
            <v>919270</v>
          </cell>
          <cell r="K28">
            <v>919270</v>
          </cell>
          <cell r="L28">
            <v>919270</v>
          </cell>
          <cell r="M28">
            <v>919270</v>
          </cell>
          <cell r="N28">
            <v>919270</v>
          </cell>
          <cell r="O28">
            <v>919270</v>
          </cell>
          <cell r="P28">
            <v>919270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1.7999999999999999E-2</v>
          </cell>
          <cell r="F31">
            <v>1.7999999999999999E-2</v>
          </cell>
          <cell r="G31">
            <v>1.7999999999999999E-2</v>
          </cell>
          <cell r="H31">
            <v>1.7999999999999999E-2</v>
          </cell>
          <cell r="I31">
            <v>1.7999999999999999E-2</v>
          </cell>
          <cell r="J31">
            <v>1.7999999999999999E-2</v>
          </cell>
          <cell r="K31">
            <v>1.7999999999999999E-2</v>
          </cell>
          <cell r="L31">
            <v>1.7999999999999999E-2</v>
          </cell>
          <cell r="M31">
            <v>1.7999999999999999E-2</v>
          </cell>
          <cell r="N31">
            <v>1.7999999999999999E-2</v>
          </cell>
          <cell r="O31">
            <v>1.7999999999999999E-2</v>
          </cell>
          <cell r="P31">
            <v>1.7999999999999999E-2</v>
          </cell>
        </row>
        <row r="32">
          <cell r="E32">
            <v>2.5999999999999999E-2</v>
          </cell>
          <cell r="F32">
            <v>2.5999999999999999E-2</v>
          </cell>
          <cell r="G32">
            <v>2.5999999999999999E-2</v>
          </cell>
          <cell r="H32">
            <v>2.5999999999999999E-2</v>
          </cell>
          <cell r="I32">
            <v>2.5999999999999999E-2</v>
          </cell>
          <cell r="J32">
            <v>2.5999999999999999E-2</v>
          </cell>
          <cell r="K32">
            <v>2.5999999999999999E-2</v>
          </cell>
          <cell r="L32">
            <v>2.5999999999999999E-2</v>
          </cell>
          <cell r="M32">
            <v>2.5999999999999999E-2</v>
          </cell>
          <cell r="N32">
            <v>2.5999999999999999E-2</v>
          </cell>
          <cell r="O32">
            <v>2.5999999999999999E-2</v>
          </cell>
          <cell r="P32">
            <v>2.5999999999999999E-2</v>
          </cell>
        </row>
        <row r="33">
          <cell r="E33">
            <v>2.5000000000000001E-2</v>
          </cell>
          <cell r="F33">
            <v>2.5000000000000001E-2</v>
          </cell>
          <cell r="G33">
            <v>2.5000000000000001E-2</v>
          </cell>
          <cell r="H33">
            <v>2.5000000000000001E-2</v>
          </cell>
          <cell r="I33">
            <v>2.5000000000000001E-2</v>
          </cell>
          <cell r="J33">
            <v>2.5000000000000001E-2</v>
          </cell>
          <cell r="K33">
            <v>2.5000000000000001E-2</v>
          </cell>
          <cell r="L33">
            <v>2.5000000000000001E-2</v>
          </cell>
          <cell r="M33">
            <v>2.5000000000000001E-2</v>
          </cell>
          <cell r="N33">
            <v>2.5000000000000001E-2</v>
          </cell>
          <cell r="O33">
            <v>2.5000000000000001E-2</v>
          </cell>
          <cell r="P33">
            <v>2.5000000000000001E-2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E37">
            <v>6.4699999999999994E-2</v>
          </cell>
          <cell r="F37">
            <v>6.4699999999999994E-2</v>
          </cell>
          <cell r="G37">
            <v>6.4699999999999994E-2</v>
          </cell>
          <cell r="H37">
            <v>6.4699999999999994E-2</v>
          </cell>
          <cell r="I37">
            <v>6.4699999999999994E-2</v>
          </cell>
          <cell r="J37">
            <v>6.4699999999999994E-2</v>
          </cell>
          <cell r="K37">
            <v>6.4699999999999994E-2</v>
          </cell>
          <cell r="L37">
            <v>6.4699999999999994E-2</v>
          </cell>
          <cell r="M37">
            <v>6.4699999999999994E-2</v>
          </cell>
          <cell r="N37">
            <v>6.4699999999999994E-2</v>
          </cell>
          <cell r="O37">
            <v>6.4699999999999994E-2</v>
          </cell>
          <cell r="P37">
            <v>6.4699999999999994E-2</v>
          </cell>
        </row>
        <row r="38">
          <cell r="E38">
            <v>1.2500000000000001E-2</v>
          </cell>
          <cell r="F38">
            <v>1.2500000000000001E-2</v>
          </cell>
          <cell r="G38">
            <v>1.2500000000000001E-2</v>
          </cell>
          <cell r="H38">
            <v>1.2500000000000001E-2</v>
          </cell>
          <cell r="I38">
            <v>1.2500000000000001E-2</v>
          </cell>
          <cell r="J38">
            <v>1.2500000000000001E-2</v>
          </cell>
          <cell r="K38">
            <v>1.2500000000000001E-2</v>
          </cell>
          <cell r="L38">
            <v>1.2500000000000001E-2</v>
          </cell>
          <cell r="M38">
            <v>1.2500000000000001E-2</v>
          </cell>
          <cell r="N38">
            <v>1.2500000000000001E-2</v>
          </cell>
          <cell r="O38">
            <v>1.2500000000000001E-2</v>
          </cell>
          <cell r="P38">
            <v>1.2500000000000001E-2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E40">
            <v>4956</v>
          </cell>
          <cell r="F40">
            <v>4956</v>
          </cell>
          <cell r="G40">
            <v>4956</v>
          </cell>
          <cell r="H40">
            <v>4956</v>
          </cell>
          <cell r="I40">
            <v>4956</v>
          </cell>
          <cell r="J40">
            <v>4956</v>
          </cell>
          <cell r="K40">
            <v>4956</v>
          </cell>
          <cell r="L40">
            <v>4956</v>
          </cell>
          <cell r="M40">
            <v>4956</v>
          </cell>
          <cell r="N40">
            <v>4956</v>
          </cell>
          <cell r="O40">
            <v>4956</v>
          </cell>
          <cell r="P40">
            <v>4956</v>
          </cell>
        </row>
        <row r="41">
          <cell r="E41">
            <v>958</v>
          </cell>
          <cell r="F41">
            <v>958</v>
          </cell>
          <cell r="G41">
            <v>958</v>
          </cell>
          <cell r="H41">
            <v>958</v>
          </cell>
          <cell r="I41">
            <v>958</v>
          </cell>
          <cell r="J41">
            <v>958</v>
          </cell>
          <cell r="K41">
            <v>958</v>
          </cell>
          <cell r="L41">
            <v>958</v>
          </cell>
          <cell r="M41">
            <v>958</v>
          </cell>
          <cell r="N41">
            <v>958</v>
          </cell>
          <cell r="O41">
            <v>958</v>
          </cell>
          <cell r="P41">
            <v>958</v>
          </cell>
        </row>
        <row r="42">
          <cell r="E42">
            <v>5914</v>
          </cell>
          <cell r="F42">
            <v>5914</v>
          </cell>
          <cell r="G42">
            <v>5914</v>
          </cell>
          <cell r="H42">
            <v>5914</v>
          </cell>
          <cell r="I42">
            <v>5914</v>
          </cell>
          <cell r="J42">
            <v>5914</v>
          </cell>
          <cell r="K42">
            <v>5914</v>
          </cell>
          <cell r="L42">
            <v>5914</v>
          </cell>
          <cell r="M42">
            <v>5914</v>
          </cell>
          <cell r="N42">
            <v>5914</v>
          </cell>
          <cell r="O42">
            <v>5914</v>
          </cell>
          <cell r="P42">
            <v>5914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E49">
            <v>5914</v>
          </cell>
          <cell r="F49">
            <v>5914</v>
          </cell>
          <cell r="G49">
            <v>5914</v>
          </cell>
          <cell r="H49">
            <v>5914</v>
          </cell>
          <cell r="I49">
            <v>5914</v>
          </cell>
          <cell r="J49">
            <v>5914</v>
          </cell>
          <cell r="K49">
            <v>5914</v>
          </cell>
          <cell r="L49">
            <v>5914</v>
          </cell>
          <cell r="M49">
            <v>5914</v>
          </cell>
          <cell r="N49">
            <v>5914</v>
          </cell>
          <cell r="O49">
            <v>5914</v>
          </cell>
          <cell r="P49">
            <v>5914</v>
          </cell>
        </row>
        <row r="50">
          <cell r="E50">
            <v>4.2580800000000005</v>
          </cell>
          <cell r="F50">
            <v>4.2580800000000005</v>
          </cell>
          <cell r="G50">
            <v>4.2580800000000005</v>
          </cell>
          <cell r="H50">
            <v>4.2580800000000005</v>
          </cell>
          <cell r="I50">
            <v>4.2580800000000005</v>
          </cell>
          <cell r="J50">
            <v>4.2580800000000005</v>
          </cell>
          <cell r="K50">
            <v>4.2580800000000005</v>
          </cell>
          <cell r="L50">
            <v>4.2580800000000005</v>
          </cell>
          <cell r="M50">
            <v>4.2580800000000005</v>
          </cell>
          <cell r="N50">
            <v>4.2580800000000005</v>
          </cell>
          <cell r="O50">
            <v>4.2580800000000005</v>
          </cell>
          <cell r="P50">
            <v>4.2580800000000005</v>
          </cell>
        </row>
        <row r="51">
          <cell r="E51">
            <v>5918.2580799999996</v>
          </cell>
          <cell r="F51">
            <v>5918.2580799999996</v>
          </cell>
          <cell r="G51">
            <v>5918.2580799999996</v>
          </cell>
          <cell r="H51">
            <v>5918.2580799999996</v>
          </cell>
          <cell r="I51">
            <v>5918.2580799999996</v>
          </cell>
          <cell r="J51">
            <v>5918.2580799999996</v>
          </cell>
          <cell r="K51">
            <v>5918.2580799999996</v>
          </cell>
          <cell r="L51">
            <v>5918.2580799999996</v>
          </cell>
          <cell r="M51">
            <v>5918.2580799999996</v>
          </cell>
          <cell r="N51">
            <v>5918.2580799999996</v>
          </cell>
          <cell r="O51">
            <v>5918.2580799999996</v>
          </cell>
          <cell r="P51">
            <v>5918.2580799999996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E53">
            <v>5918.2580799999996</v>
          </cell>
          <cell r="F53">
            <v>11836.516159999999</v>
          </cell>
          <cell r="G53">
            <v>17754.774239999999</v>
          </cell>
          <cell r="H53">
            <v>23673.032319999998</v>
          </cell>
          <cell r="I53">
            <v>29591.290399999998</v>
          </cell>
          <cell r="J53">
            <v>35509.548479999998</v>
          </cell>
          <cell r="K53">
            <v>41427.806559999997</v>
          </cell>
          <cell r="L53">
            <v>47346.064639999997</v>
          </cell>
          <cell r="M53">
            <v>53264.322719999996</v>
          </cell>
          <cell r="N53">
            <v>59182.580799999996</v>
          </cell>
          <cell r="O53">
            <v>65100.838879999996</v>
          </cell>
          <cell r="P53">
            <v>71019.096959999995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lar for Dollar"/>
      <sheetName val="GeoRollUp"/>
      <sheetName val="Module3"/>
      <sheetName val="Geographic"/>
      <sheetName val="Model Assumptions"/>
      <sheetName val="Summary PF #4"/>
      <sheetName val="Summary of Pro Forma (3)"/>
      <sheetName val="Summary of Pro Forma (2)"/>
      <sheetName val="WellSens"/>
      <sheetName val="WellPoint"/>
      <sheetName val="SumFin"/>
      <sheetName val="Dental Valsum"/>
      <sheetName val="Dental DCF Inputs"/>
      <sheetName val="Dental DCF"/>
      <sheetName val="Dental Cases"/>
      <sheetName val="Dental (Klammer)"/>
      <sheetName val="Dental"/>
      <sheetName val="Hard Rock"/>
      <sheetName val="Poundstone"/>
      <sheetName val="Cases"/>
      <sheetName val="Covenant"/>
      <sheetName val="RushValSum"/>
      <sheetName val="RushMatrix"/>
      <sheetName val="Rush"/>
      <sheetName val="California"/>
      <sheetName val="CA Cases"/>
      <sheetName val="CredSens"/>
      <sheetName val="Dental PMAT"/>
      <sheetName val="PMAT (2)"/>
      <sheetName val="PFMA Income"/>
      <sheetName val="PFMA Balance"/>
      <sheetName val="PFMA Schedules"/>
      <sheetName val="SynSchedule"/>
      <sheetName val="DCF Inputs"/>
      <sheetName val="DCF Matrix"/>
      <sheetName val="Valuation Summary"/>
      <sheetName val="MemVal"/>
      <sheetName val="Sensitivities"/>
      <sheetName val="Synergy Analysis"/>
      <sheetName val="DCF Assumptions"/>
      <sheetName val="Sheet1"/>
      <sheetName val="DCFSENS"/>
      <sheetName val="SIDE"/>
      <sheetName val="PMAT"/>
      <sheetName val="Macred"/>
      <sheetName val="CredBuil(Update97Pound)"/>
      <sheetName val="CredDental"/>
      <sheetName val="Credit Buildup"/>
      <sheetName val="Financial Overview"/>
      <sheetName val="Sheet2"/>
      <sheetName val="Convert Analysis"/>
      <sheetName val="ConsMix With Convert"/>
      <sheetName val="Incr. Int"/>
      <sheetName val="Seller"/>
      <sheetName val="ConsMix"/>
      <sheetName val="DCFYN26"/>
    </sheetNames>
    <definedNames>
      <definedName name="Print_HardRo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HIST20"/>
    </sheetNames>
    <definedNames>
      <definedName name="Print_Valmax"/>
    </defined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eneral Inputs"/>
      <sheetName val="Input-Allocators"/>
      <sheetName val="Input-Accounts"/>
      <sheetName val="Functionalization"/>
      <sheetName val="Classification"/>
      <sheetName val="Template"/>
      <sheetName val="Accts_Cust"/>
      <sheetName val="OnSite_Cust"/>
      <sheetName val="Dist_Cust"/>
      <sheetName val="Storage_Comm"/>
      <sheetName val="Dist_Dem"/>
      <sheetName val="Trans_Dem"/>
      <sheetName val="LNG_Dem"/>
      <sheetName val="Storage_Dem"/>
      <sheetName val="DemandTotal"/>
      <sheetName val="EnergyTotal"/>
      <sheetName val="CustomerTotal"/>
      <sheetName val="GrandTotal"/>
      <sheetName val="Summary"/>
      <sheetName val="UnitCost"/>
      <sheetName val="Rev Apportionment"/>
      <sheetName val="Last Case v. This Case"/>
      <sheetName val="Revenue Aport. Values"/>
      <sheetName val="Summary Values"/>
      <sheetName val="Rev Apportionment_alternate"/>
      <sheetName val="Comparison"/>
      <sheetName val="Tables for Testimony"/>
      <sheetName val="ErrorCheck"/>
      <sheetName val="Required Sheets"/>
    </sheetNames>
    <sheetDataSet>
      <sheetData sheetId="0"/>
      <sheetData sheetId="1">
        <row r="19">
          <cell r="D19">
            <v>6.8699999999999997E-2</v>
          </cell>
        </row>
        <row r="32">
          <cell r="D32">
            <v>1</v>
          </cell>
        </row>
      </sheetData>
      <sheetData sheetId="2">
        <row r="9">
          <cell r="B9" t="str">
            <v>STORAGE</v>
          </cell>
        </row>
        <row r="10">
          <cell r="B10" t="str">
            <v>LNG</v>
          </cell>
        </row>
        <row r="11">
          <cell r="B11" t="str">
            <v>TRANSMISSION</v>
          </cell>
        </row>
        <row r="12">
          <cell r="B12" t="str">
            <v>DISTRIBUTION</v>
          </cell>
        </row>
        <row r="13">
          <cell r="B13" t="str">
            <v>ON-SITE</v>
          </cell>
        </row>
        <row r="14">
          <cell r="B14" t="str">
            <v>CUST. ACCOUNTS</v>
          </cell>
        </row>
        <row r="15">
          <cell r="B15"/>
        </row>
        <row r="16">
          <cell r="B16"/>
        </row>
        <row r="19">
          <cell r="B19" t="str">
            <v>DEMAND</v>
          </cell>
        </row>
        <row r="20">
          <cell r="B20" t="str">
            <v>COMMODITY</v>
          </cell>
        </row>
        <row r="21">
          <cell r="B21" t="str">
            <v>CUSTOMER</v>
          </cell>
        </row>
        <row r="22">
          <cell r="B22" t="str">
            <v>MIN_SYS</v>
          </cell>
        </row>
        <row r="23">
          <cell r="B23"/>
        </row>
        <row r="24">
          <cell r="B24"/>
        </row>
        <row r="27">
          <cell r="B27"/>
        </row>
        <row r="28">
          <cell r="B28" t="str">
            <v>DESIGN_DAY</v>
          </cell>
        </row>
        <row r="29">
          <cell r="B29" t="str">
            <v>DIST_DESIGN_DAY</v>
          </cell>
        </row>
        <row r="30">
          <cell r="B30" t="str">
            <v>PEAK_AVG</v>
          </cell>
        </row>
        <row r="31">
          <cell r="B31" t="str">
            <v>SEASxTRANSPORT</v>
          </cell>
        </row>
        <row r="32">
          <cell r="B32" t="str">
            <v>3-DAYxTRANSPORT</v>
          </cell>
        </row>
        <row r="33">
          <cell r="B33" t="str">
            <v>CUSTOMERS</v>
          </cell>
        </row>
        <row r="34">
          <cell r="B34" t="str">
            <v>DIST_CUST</v>
          </cell>
        </row>
        <row r="35">
          <cell r="B35" t="str">
            <v>METERS</v>
          </cell>
        </row>
        <row r="36">
          <cell r="B36" t="str">
            <v>SERVICES</v>
          </cell>
        </row>
        <row r="37">
          <cell r="B37" t="str">
            <v>ACCT_385</v>
          </cell>
        </row>
        <row r="38">
          <cell r="B38" t="str">
            <v>UNCOLLECT</v>
          </cell>
        </row>
        <row r="39">
          <cell r="B39" t="str">
            <v>METER_READ</v>
          </cell>
        </row>
        <row r="40">
          <cell r="B40" t="str">
            <v>CUST_RECORDS</v>
          </cell>
        </row>
        <row r="41">
          <cell r="B41" t="str">
            <v>ACCT_901</v>
          </cell>
        </row>
        <row r="42">
          <cell r="B42" t="str">
            <v>ACCT_910</v>
          </cell>
        </row>
        <row r="43">
          <cell r="B43" t="str">
            <v>ACCT_879</v>
          </cell>
        </row>
        <row r="44">
          <cell r="B44" t="str">
            <v>TOTAL_VOLUME</v>
          </cell>
        </row>
        <row r="45">
          <cell r="B45" t="str">
            <v>WINTER_SEASxT</v>
          </cell>
        </row>
        <row r="46">
          <cell r="B46" t="str">
            <v>BASE_REVENUE</v>
          </cell>
        </row>
        <row r="47">
          <cell r="B47" t="str">
            <v>TDSIC_REVENUE</v>
          </cell>
        </row>
        <row r="48">
          <cell r="B48" t="str">
            <v>FMCA_REVENUE</v>
          </cell>
        </row>
        <row r="49">
          <cell r="B49" t="str">
            <v>RIDERS</v>
          </cell>
        </row>
        <row r="50">
          <cell r="B50" t="str">
            <v>GAS_REVENUE</v>
          </cell>
        </row>
        <row r="51">
          <cell r="B51" t="str">
            <v>TOTAL_REVENUE</v>
          </cell>
        </row>
        <row r="52">
          <cell r="B52" t="str">
            <v>NONGAS_REVENUE</v>
          </cell>
        </row>
        <row r="53">
          <cell r="B53" t="str">
            <v>LATE_FEES</v>
          </cell>
        </row>
        <row r="54">
          <cell r="B54" t="str">
            <v>MISC_REVENUE</v>
          </cell>
        </row>
        <row r="55">
          <cell r="B55" t="str">
            <v>DEFERRED</v>
          </cell>
        </row>
        <row r="56">
          <cell r="B56" t="str">
            <v>SHUTOFF_RECONNECT</v>
          </cell>
        </row>
        <row r="57">
          <cell r="B57"/>
        </row>
        <row r="58">
          <cell r="B58"/>
        </row>
        <row r="59">
          <cell r="B59"/>
        </row>
        <row r="60">
          <cell r="B60"/>
        </row>
        <row r="61">
          <cell r="B61"/>
        </row>
        <row r="62">
          <cell r="B62"/>
        </row>
        <row r="63">
          <cell r="B63"/>
        </row>
        <row r="64">
          <cell r="B64"/>
        </row>
        <row r="65">
          <cell r="B65"/>
        </row>
        <row r="66">
          <cell r="B66"/>
        </row>
        <row r="67">
          <cell r="B67"/>
        </row>
        <row r="68">
          <cell r="B68"/>
        </row>
        <row r="69">
          <cell r="B69"/>
        </row>
        <row r="70">
          <cell r="B70"/>
        </row>
        <row r="71">
          <cell r="B71"/>
        </row>
        <row r="72">
          <cell r="B72"/>
        </row>
        <row r="73">
          <cell r="B73"/>
        </row>
        <row r="74">
          <cell r="B74"/>
        </row>
        <row r="75">
          <cell r="B75"/>
        </row>
        <row r="76">
          <cell r="B76"/>
        </row>
        <row r="77">
          <cell r="B77"/>
        </row>
        <row r="78">
          <cell r="B78"/>
        </row>
        <row r="79">
          <cell r="B79"/>
        </row>
        <row r="80">
          <cell r="B80"/>
        </row>
        <row r="81">
          <cell r="B81"/>
        </row>
        <row r="82">
          <cell r="B82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4">
          <cell r="G24" t="str">
            <v>Storage_Dem</v>
          </cell>
          <cell r="H24" t="str">
            <v>Storage_Comm</v>
          </cell>
          <cell r="I24" t="str">
            <v>Dist_Cust</v>
          </cell>
        </row>
        <row r="25">
          <cell r="G25" t="str">
            <v>LNG_Dem</v>
          </cell>
          <cell r="H25" t="str">
            <v/>
          </cell>
          <cell r="I25" t="str">
            <v>OnSite_Cust</v>
          </cell>
        </row>
        <row r="26">
          <cell r="G26" t="str">
            <v>Trans_Dem</v>
          </cell>
          <cell r="H26" t="str">
            <v/>
          </cell>
          <cell r="I26" t="str">
            <v>Accts_Cust</v>
          </cell>
        </row>
        <row r="27">
          <cell r="G27" t="str">
            <v>Dist_Dem</v>
          </cell>
          <cell r="H27" t="str">
            <v/>
          </cell>
          <cell r="I27" t="str">
            <v/>
          </cell>
        </row>
        <row r="28">
          <cell r="G28" t="str">
            <v/>
          </cell>
          <cell r="H28" t="str">
            <v/>
          </cell>
          <cell r="I28" t="str">
            <v/>
          </cell>
        </row>
        <row r="29">
          <cell r="G29" t="str">
            <v/>
          </cell>
          <cell r="H29" t="str">
            <v/>
          </cell>
          <cell r="I29" t="str">
            <v/>
          </cell>
        </row>
        <row r="30">
          <cell r="G30" t="str">
            <v/>
          </cell>
          <cell r="H30" t="str">
            <v/>
          </cell>
          <cell r="I30" t="str">
            <v/>
          </cell>
        </row>
        <row r="31">
          <cell r="G31" t="str">
            <v/>
          </cell>
          <cell r="H31" t="str">
            <v/>
          </cell>
          <cell r="I31" t="str">
            <v/>
          </cell>
        </row>
        <row r="32">
          <cell r="G32" t="str">
            <v/>
          </cell>
          <cell r="H32" t="str">
            <v/>
          </cell>
          <cell r="I32" t="str">
            <v/>
          </cell>
        </row>
        <row r="33">
          <cell r="G33" t="str">
            <v/>
          </cell>
          <cell r="H33" t="str">
            <v/>
          </cell>
          <cell r="I33" t="str">
            <v/>
          </cell>
        </row>
        <row r="34">
          <cell r="G34" t="str">
            <v/>
          </cell>
          <cell r="H34" t="str">
            <v/>
          </cell>
          <cell r="I34" t="str">
            <v/>
          </cell>
        </row>
        <row r="35">
          <cell r="G35" t="str">
            <v/>
          </cell>
          <cell r="H35" t="str">
            <v/>
          </cell>
          <cell r="I35" t="str">
            <v/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 Inputs"/>
      <sheetName val="Share Calculations"/>
      <sheetName val="Target 1"/>
      <sheetName val="Transaction Calculations"/>
      <sheetName val="Module1"/>
      <sheetName val="__FDSCACHE__"/>
      <sheetName val="Company Inputs"/>
      <sheetName val="Two-Way Presentation Output"/>
      <sheetName val="Acquiror"/>
      <sheetName val="Sheet3"/>
      <sheetName val="Two-Way EPS Calc"/>
      <sheetName val="Ability to Pay (II)"/>
      <sheetName val="Data Tables"/>
      <sheetName val="Target 2"/>
      <sheetName val="Valuation Matrix (2)"/>
      <sheetName val="Download Macro"/>
      <sheetName val="Data Table Macros"/>
    </sheetNames>
    <sheetDataSet>
      <sheetData sheetId="0" refreshError="1">
        <row r="15">
          <cell r="E15" t="str">
            <v>PROJECT TIMEPIECE</v>
          </cell>
        </row>
        <row r="19">
          <cell r="E19" t="str">
            <v>Total Renal</v>
          </cell>
        </row>
      </sheetData>
      <sheetData sheetId="1" refreshError="1">
        <row r="29">
          <cell r="K29">
            <v>81.172370000000001</v>
          </cell>
        </row>
      </sheetData>
      <sheetData sheetId="2" refreshError="1">
        <row r="8">
          <cell r="W8">
            <v>39.905000000000001</v>
          </cell>
        </row>
        <row r="11">
          <cell r="E11">
            <v>0.97</v>
          </cell>
        </row>
        <row r="20">
          <cell r="G20">
            <v>0</v>
          </cell>
        </row>
        <row r="22">
          <cell r="W22">
            <v>1344.1889999999999</v>
          </cell>
        </row>
        <row r="23">
          <cell r="G23">
            <v>0</v>
          </cell>
        </row>
        <row r="25">
          <cell r="G25">
            <v>330.1</v>
          </cell>
        </row>
        <row r="26">
          <cell r="W26">
            <v>511.83800000000002</v>
          </cell>
        </row>
      </sheetData>
      <sheetData sheetId="3" refreshError="1">
        <row r="22">
          <cell r="I22">
            <v>9.25</v>
          </cell>
        </row>
        <row r="29">
          <cell r="I29">
            <v>83.867002981818189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attrition"/>
      <sheetName val="Sheet1"/>
      <sheetName val="IncStmt"/>
      <sheetName val="CashFlow"/>
      <sheetName val="BalSht"/>
      <sheetName val="Allowance"/>
      <sheetName val="CashEBITDA"/>
      <sheetName val="FxdChg"/>
      <sheetName val="Ratio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attrition"/>
      <sheetName val="Sheet1"/>
      <sheetName val="IncStmt"/>
      <sheetName val="CashFlow"/>
      <sheetName val="BalSht"/>
      <sheetName val="Allowance"/>
      <sheetName val="CashEBITDA"/>
      <sheetName val="FxdChg"/>
      <sheetName val="Ratio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Summary"/>
      <sheetName val="Fin_Assumptions"/>
      <sheetName val="Model"/>
      <sheetName val="Sensitivities"/>
      <sheetName val="RangeName"/>
    </sheetNames>
    <sheetDataSet>
      <sheetData sheetId="0" refreshError="1">
        <row r="8">
          <cell r="E8">
            <v>0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BMJ"/>
      <sheetName val="Adecco"/>
      <sheetName val="LHH"/>
      <sheetName val="DBM"/>
      <sheetName val="Comparison"/>
      <sheetName val="QHist"/>
      <sheetName val="Historical"/>
      <sheetName val="Misc"/>
      <sheetName val="PrintManagerCode"/>
      <sheetName val="Control"/>
      <sheetName val="Assum"/>
      <sheetName val="Module1"/>
      <sheetName val="Module2"/>
      <sheetName val="Sheet1"/>
      <sheetName val="Hypothetical"/>
      <sheetName val="Transaction"/>
    </sheetNames>
    <sheetDataSet>
      <sheetData sheetId="0" refreshError="1">
        <row r="8">
          <cell r="D8">
            <v>12.65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Sheet1"/>
      <sheetName val="NewValSum"/>
      <sheetName val="ValSum"/>
      <sheetName val="AdditionalPrintCode"/>
      <sheetName val="MainPrintCode"/>
      <sheetName val="Teaser"/>
      <sheetName val="DOXmatrix"/>
      <sheetName val="SumComp"/>
      <sheetName val="IncStat"/>
      <sheetName val="ValMatrix"/>
      <sheetName val="DCE"/>
      <sheetName val="DCEInputs"/>
      <sheetName val="MMInputs"/>
      <sheetName val="MMTransinputs"/>
      <sheetName val="Data"/>
      <sheetName val="QAccDil"/>
      <sheetName val="AccDil"/>
      <sheetName val="PFanalysis"/>
      <sheetName val="Acquiror"/>
      <sheetName val="Target"/>
      <sheetName val="Shares"/>
      <sheetName val="Calcs"/>
      <sheetName val="QuarterlyEPS"/>
      <sheetName val="EPS"/>
      <sheetName val="Merger Code"/>
      <sheetName val="MainPrint Code"/>
      <sheetName val="AdditionalPrint 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3">
          <cell r="M13">
            <v>16.775267999999997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-updated"/>
      <sheetName val="MAR-updated"/>
      <sheetName val="FLA-updated"/>
      <sheetName val="PPS-updated"/>
      <sheetName val="ESN-updated"/>
      <sheetName val="SHPFL-updated"/>
      <sheetName val="SHARP-updated"/>
      <sheetName val="Tolan-updated"/>
      <sheetName val="Douglas-updated"/>
      <sheetName val="Carroll-updated"/>
      <sheetName val="Start-Ups-updated"/>
      <sheetName val="EXC-updated"/>
      <sheetName val="SKIPJACK-updated"/>
      <sheetName val="Seaford Pwr Plant"/>
    </sheetNames>
    <sheetDataSet>
      <sheetData sheetId="0">
        <row r="11">
          <cell r="A11" t="str">
            <v>01S</v>
          </cell>
          <cell r="B11" t="str">
            <v>304</v>
          </cell>
          <cell r="G11" t="str">
            <v>Land and Land Rights</v>
          </cell>
        </row>
        <row r="13">
          <cell r="H13" t="str">
            <v>Subtotal Group 01S</v>
          </cell>
          <cell r="O13">
            <v>0</v>
          </cell>
        </row>
        <row r="15">
          <cell r="A15" t="str">
            <v>02S</v>
          </cell>
          <cell r="B15" t="str">
            <v>305</v>
          </cell>
          <cell r="G15" t="str">
            <v>Structures and Improvements</v>
          </cell>
        </row>
        <row r="16">
          <cell r="H16" t="str">
            <v>Subtotal Group 02S</v>
          </cell>
          <cell r="O16">
            <v>0</v>
          </cell>
        </row>
        <row r="18">
          <cell r="A18" t="str">
            <v>03</v>
          </cell>
          <cell r="B18" t="str">
            <v>311</v>
          </cell>
          <cell r="G18" t="str">
            <v>Propane Plant</v>
          </cell>
        </row>
        <row r="19">
          <cell r="A19" t="str">
            <v>03</v>
          </cell>
          <cell r="B19" t="str">
            <v>311</v>
          </cell>
          <cell r="C19">
            <v>36832</v>
          </cell>
          <cell r="D19">
            <v>37225</v>
          </cell>
          <cell r="E19" t="str">
            <v>DE-N DOVER</v>
          </cell>
          <cell r="F19" t="str">
            <v>PROPANE PLANT</v>
          </cell>
          <cell r="H19" t="str">
            <v>N. Dover Peak Shaving Plant (ADD $45,000)</v>
          </cell>
          <cell r="M19">
            <v>75365.47</v>
          </cell>
          <cell r="N19">
            <v>81000</v>
          </cell>
          <cell r="O19">
            <v>5634.5299999999988</v>
          </cell>
          <cell r="P19">
            <v>2448.5700000000002</v>
          </cell>
          <cell r="Q19">
            <v>824.1</v>
          </cell>
          <cell r="R19">
            <v>72092.800000000003</v>
          </cell>
        </row>
        <row r="20">
          <cell r="A20" t="str">
            <v>03</v>
          </cell>
          <cell r="B20" t="str">
            <v>311</v>
          </cell>
          <cell r="H20" t="str">
            <v>BLANKET</v>
          </cell>
          <cell r="M20">
            <v>0</v>
          </cell>
          <cell r="N20">
            <v>10400</v>
          </cell>
          <cell r="O20">
            <v>10400</v>
          </cell>
        </row>
        <row r="21">
          <cell r="H21" t="str">
            <v>Subtotal Group 03</v>
          </cell>
          <cell r="M21">
            <v>75365.47</v>
          </cell>
          <cell r="N21">
            <v>91400</v>
          </cell>
          <cell r="O21">
            <v>16034.529999999999</v>
          </cell>
        </row>
        <row r="23">
          <cell r="A23" t="str">
            <v>05</v>
          </cell>
          <cell r="B23" t="str">
            <v>376</v>
          </cell>
          <cell r="G23" t="str">
            <v>Mains - New Customers</v>
          </cell>
        </row>
        <row r="24">
          <cell r="A24" t="str">
            <v>05</v>
          </cell>
          <cell r="B24" t="str">
            <v>376</v>
          </cell>
          <cell r="H24" t="str">
            <v>Milford Project</v>
          </cell>
          <cell r="M24">
            <v>0</v>
          </cell>
          <cell r="N24">
            <v>1175</v>
          </cell>
          <cell r="O24">
            <v>1175</v>
          </cell>
        </row>
        <row r="25">
          <cell r="A25" t="str">
            <v>05</v>
          </cell>
          <cell r="B25" t="str">
            <v>376</v>
          </cell>
          <cell r="H25" t="str">
            <v>BLANKET</v>
          </cell>
          <cell r="M25">
            <v>0</v>
          </cell>
          <cell r="N25">
            <v>16748</v>
          </cell>
          <cell r="O25">
            <v>16748</v>
          </cell>
        </row>
        <row r="26">
          <cell r="A26" t="str">
            <v>05</v>
          </cell>
          <cell r="B26" t="str">
            <v>376</v>
          </cell>
          <cell r="C26">
            <v>36861</v>
          </cell>
          <cell r="D26">
            <v>37042</v>
          </cell>
          <cell r="E26" t="str">
            <v>DE-17&amp;23 LIBERTY DR</v>
          </cell>
          <cell r="F26" t="str">
            <v>MAIN-NEW CUST</v>
          </cell>
          <cell r="H26" t="str">
            <v>2000 DE-17 &amp; 23 LIBERTY DR-MAIN-NEW CUST</v>
          </cell>
          <cell r="J26">
            <v>390</v>
          </cell>
          <cell r="L26">
            <v>60</v>
          </cell>
          <cell r="M26">
            <v>202.82</v>
          </cell>
          <cell r="N26">
            <v>203</v>
          </cell>
          <cell r="O26">
            <v>0.18000000000000682</v>
          </cell>
          <cell r="P26">
            <v>202.82</v>
          </cell>
        </row>
        <row r="27">
          <cell r="A27" t="str">
            <v>05</v>
          </cell>
          <cell r="B27" t="str">
            <v>376</v>
          </cell>
          <cell r="C27">
            <v>36647</v>
          </cell>
          <cell r="D27">
            <v>36738</v>
          </cell>
          <cell r="E27" t="str">
            <v>DE-BON AYRE MHP</v>
          </cell>
          <cell r="F27" t="str">
            <v>MAIN NEW</v>
          </cell>
          <cell r="H27" t="str">
            <v>2000 Bon Ayre MHP Main</v>
          </cell>
          <cell r="K27">
            <v>235</v>
          </cell>
          <cell r="L27">
            <v>54</v>
          </cell>
          <cell r="M27">
            <v>334.29</v>
          </cell>
          <cell r="N27">
            <v>334</v>
          </cell>
          <cell r="O27">
            <v>-0.29000000000002046</v>
          </cell>
          <cell r="P27">
            <v>334.29</v>
          </cell>
        </row>
        <row r="28">
          <cell r="A28" t="str">
            <v>05</v>
          </cell>
          <cell r="B28" t="str">
            <v>376</v>
          </cell>
          <cell r="C28">
            <v>37158</v>
          </cell>
          <cell r="E28" t="str">
            <v>DE-BUNKER HILL</v>
          </cell>
          <cell r="F28" t="str">
            <v xml:space="preserve">MAIN NEW </v>
          </cell>
          <cell r="H28" t="str">
            <v>Install 3850'-6", 1050'-2" pl main-Bunker Hill Business Center</v>
          </cell>
          <cell r="I28">
            <v>4900</v>
          </cell>
          <cell r="J28">
            <v>1050</v>
          </cell>
          <cell r="K28">
            <v>3850</v>
          </cell>
          <cell r="L28">
            <v>45</v>
          </cell>
          <cell r="M28">
            <v>39451.67</v>
          </cell>
          <cell r="N28">
            <v>60993</v>
          </cell>
          <cell r="O28">
            <v>21541.33</v>
          </cell>
          <cell r="P28">
            <v>12476.67</v>
          </cell>
          <cell r="R28">
            <v>26975</v>
          </cell>
        </row>
        <row r="29">
          <cell r="A29" t="str">
            <v>05</v>
          </cell>
          <cell r="B29" t="str">
            <v>376</v>
          </cell>
          <cell r="C29">
            <v>37158</v>
          </cell>
          <cell r="E29" t="str">
            <v>DE-BUNKER HIL APPR</v>
          </cell>
          <cell r="F29" t="str">
            <v xml:space="preserve">MAIN NEW </v>
          </cell>
          <cell r="H29" t="str">
            <v>Install 1350'-6", from Doc Levinson Dr to Sandhill Dr entrance to Bunker Hill Ctr</v>
          </cell>
          <cell r="I29">
            <v>1350</v>
          </cell>
          <cell r="K29">
            <v>1350</v>
          </cell>
          <cell r="L29">
            <v>45</v>
          </cell>
          <cell r="M29">
            <v>4094.73</v>
          </cell>
          <cell r="N29">
            <v>19045</v>
          </cell>
          <cell r="O29">
            <v>14950.27</v>
          </cell>
          <cell r="P29">
            <v>4094.73</v>
          </cell>
        </row>
        <row r="30">
          <cell r="A30" t="str">
            <v>05</v>
          </cell>
          <cell r="B30" t="str">
            <v>376</v>
          </cell>
          <cell r="C30">
            <v>36949</v>
          </cell>
          <cell r="D30">
            <v>37195</v>
          </cell>
          <cell r="E30" t="str">
            <v>DE-CANTWELL RIDGE PH II</v>
          </cell>
          <cell r="F30" t="str">
            <v>MAIN NEW DEV</v>
          </cell>
          <cell r="H30" t="str">
            <v>Install 850'-4", 2250'-2" pl main-AppoquiniminkCt,SeamansCt,Drawyers Dr</v>
          </cell>
          <cell r="I30">
            <v>3100</v>
          </cell>
          <cell r="J30">
            <v>3850</v>
          </cell>
          <cell r="K30">
            <v>850</v>
          </cell>
          <cell r="L30">
            <v>46</v>
          </cell>
          <cell r="M30">
            <v>12114.68</v>
          </cell>
          <cell r="N30">
            <v>19612</v>
          </cell>
          <cell r="O30">
            <v>7497.32</v>
          </cell>
          <cell r="P30">
            <v>2033.48</v>
          </cell>
          <cell r="R30">
            <v>10081.200000000001</v>
          </cell>
        </row>
        <row r="31">
          <cell r="A31" t="str">
            <v>05</v>
          </cell>
          <cell r="B31" t="str">
            <v>376</v>
          </cell>
          <cell r="C31">
            <v>36777</v>
          </cell>
          <cell r="D31">
            <v>36951</v>
          </cell>
          <cell r="E31" t="str">
            <v>DE-CARDINAL HILL DEV</v>
          </cell>
          <cell r="F31" t="str">
            <v>MAINS NEW DEV</v>
          </cell>
          <cell r="H31" t="str">
            <v>2000 DE-CARDINAL HILL DEV - MAINS NEW DEV</v>
          </cell>
          <cell r="I31">
            <v>2825</v>
          </cell>
          <cell r="J31">
            <v>5320</v>
          </cell>
          <cell r="L31">
            <v>68</v>
          </cell>
          <cell r="M31">
            <v>13429.95</v>
          </cell>
          <cell r="N31">
            <v>16807</v>
          </cell>
          <cell r="O31">
            <v>3377.0499999999993</v>
          </cell>
          <cell r="P31">
            <v>2367.4499999999998</v>
          </cell>
          <cell r="R31">
            <v>11062.5</v>
          </cell>
        </row>
        <row r="32">
          <cell r="A32" t="str">
            <v>05</v>
          </cell>
          <cell r="B32" t="str">
            <v>376</v>
          </cell>
          <cell r="C32">
            <v>36920</v>
          </cell>
          <cell r="D32">
            <v>37041</v>
          </cell>
          <cell r="E32" t="str">
            <v>DE-CARLISLE DEV</v>
          </cell>
          <cell r="F32" t="str">
            <v>MAIN NEW</v>
          </cell>
          <cell r="H32" t="str">
            <v>Install 1200 ft, 2 pl main, Birchwood Court and Turning Leaf Court-Carlisle Dev</v>
          </cell>
          <cell r="I32">
            <v>1200</v>
          </cell>
          <cell r="J32">
            <v>1215</v>
          </cell>
          <cell r="L32">
            <v>59</v>
          </cell>
          <cell r="M32">
            <v>5629.27</v>
          </cell>
          <cell r="N32">
            <v>6846</v>
          </cell>
          <cell r="O32">
            <v>1216.7299999999996</v>
          </cell>
          <cell r="P32">
            <v>609.27</v>
          </cell>
          <cell r="R32">
            <v>5020</v>
          </cell>
        </row>
        <row r="33">
          <cell r="A33" t="str">
            <v>05</v>
          </cell>
          <cell r="B33" t="str">
            <v>376</v>
          </cell>
          <cell r="C33">
            <v>36839</v>
          </cell>
          <cell r="D33">
            <v>36891</v>
          </cell>
          <cell r="E33" t="str">
            <v>DE-CHIMNEY HILL DEV</v>
          </cell>
          <cell r="F33" t="str">
            <v>MAIN NEW CUST</v>
          </cell>
          <cell r="H33" t="str">
            <v>Inventory charges additional</v>
          </cell>
          <cell r="M33">
            <v>61.04</v>
          </cell>
          <cell r="N33">
            <v>61</v>
          </cell>
          <cell r="O33">
            <v>-3.9999999999999147E-2</v>
          </cell>
          <cell r="P33">
            <v>61.04</v>
          </cell>
        </row>
        <row r="34">
          <cell r="A34" t="str">
            <v>05</v>
          </cell>
          <cell r="B34" t="str">
            <v>376</v>
          </cell>
          <cell r="C34">
            <v>37209</v>
          </cell>
          <cell r="E34" t="str">
            <v>DE-CHIMNEY HILL DEV</v>
          </cell>
          <cell r="F34" t="str">
            <v xml:space="preserve">MAIN NEW </v>
          </cell>
          <cell r="H34" t="str">
            <v>Install 600' 4" pl &amp; 1320' 2" in this development</v>
          </cell>
          <cell r="I34">
            <v>1920</v>
          </cell>
          <cell r="J34">
            <v>500</v>
          </cell>
          <cell r="K34">
            <v>680</v>
          </cell>
          <cell r="L34">
            <v>69</v>
          </cell>
          <cell r="M34">
            <v>1402.23</v>
          </cell>
          <cell r="N34">
            <v>13662</v>
          </cell>
          <cell r="O34">
            <v>12259.77</v>
          </cell>
          <cell r="P34">
            <v>1402.23</v>
          </cell>
        </row>
        <row r="35">
          <cell r="A35" t="str">
            <v>05</v>
          </cell>
          <cell r="B35" t="str">
            <v>376</v>
          </cell>
          <cell r="C35">
            <v>37074</v>
          </cell>
          <cell r="D35">
            <v>37225</v>
          </cell>
          <cell r="E35" t="str">
            <v>DE-CRICKLEWOOD DEV</v>
          </cell>
          <cell r="F35" t="str">
            <v xml:space="preserve">MAIN NEW </v>
          </cell>
          <cell r="H35" t="str">
            <v>Extend 2"pl main E. Minglewood Dr, W. Minglewood Dr</v>
          </cell>
          <cell r="I35">
            <v>1788</v>
          </cell>
          <cell r="J35">
            <v>1500</v>
          </cell>
          <cell r="L35">
            <v>45</v>
          </cell>
          <cell r="M35">
            <v>7852.49</v>
          </cell>
          <cell r="N35">
            <v>10723</v>
          </cell>
          <cell r="O35">
            <v>2870.51</v>
          </cell>
          <cell r="P35">
            <v>600.99</v>
          </cell>
          <cell r="R35">
            <v>7251.5</v>
          </cell>
        </row>
        <row r="36">
          <cell r="A36" t="str">
            <v>05</v>
          </cell>
          <cell r="B36" t="str">
            <v>376</v>
          </cell>
          <cell r="C36">
            <v>37105</v>
          </cell>
          <cell r="D36">
            <v>37195</v>
          </cell>
          <cell r="E36" t="str">
            <v>DE-FOUR SEASONS</v>
          </cell>
          <cell r="F36" t="str">
            <v>MAIN DEV</v>
          </cell>
          <cell r="H36" t="str">
            <v xml:space="preserve">Install 4978 feet of 2"PL main.  43 Lots </v>
          </cell>
          <cell r="I36">
            <v>4978</v>
          </cell>
          <cell r="J36">
            <v>4975</v>
          </cell>
          <cell r="L36">
            <v>60</v>
          </cell>
          <cell r="M36">
            <v>19448.75</v>
          </cell>
          <cell r="N36">
            <v>14242</v>
          </cell>
          <cell r="O36">
            <v>-5206.75</v>
          </cell>
          <cell r="P36">
            <v>1728.58</v>
          </cell>
          <cell r="R36">
            <v>17720.169999999998</v>
          </cell>
        </row>
        <row r="37">
          <cell r="A37" t="str">
            <v>05</v>
          </cell>
          <cell r="B37" t="str">
            <v>376</v>
          </cell>
          <cell r="C37">
            <v>37074</v>
          </cell>
          <cell r="E37" t="str">
            <v>DE-GRAND OAKS</v>
          </cell>
          <cell r="F37" t="str">
            <v>MAIN NEW</v>
          </cell>
          <cell r="H37" t="str">
            <v>Install 2"pl main-Grand Oaks Dr,Arthur Ln,Jullian Ct. 1st phase</v>
          </cell>
          <cell r="I37">
            <v>2115</v>
          </cell>
          <cell r="J37">
            <v>2120</v>
          </cell>
          <cell r="L37">
            <v>64</v>
          </cell>
          <cell r="M37">
            <v>8773.11</v>
          </cell>
          <cell r="N37">
            <v>12909</v>
          </cell>
          <cell r="O37">
            <v>4135.8899999999994</v>
          </cell>
          <cell r="P37">
            <v>1050.6100000000001</v>
          </cell>
          <cell r="R37">
            <v>7722.5</v>
          </cell>
        </row>
        <row r="38">
          <cell r="A38" t="str">
            <v>05</v>
          </cell>
          <cell r="B38" t="str">
            <v>376</v>
          </cell>
          <cell r="C38">
            <v>36839</v>
          </cell>
          <cell r="D38">
            <v>37195</v>
          </cell>
          <cell r="E38" t="str">
            <v>DE-GREENLAWN</v>
          </cell>
          <cell r="F38" t="str">
            <v>MAIN NEW CUST</v>
          </cell>
          <cell r="H38" t="str">
            <v>ADD-Carryover-4" and 2" pl main-Millbranch at Greenlawn</v>
          </cell>
          <cell r="I38">
            <v>2550</v>
          </cell>
          <cell r="K38">
            <v>1400</v>
          </cell>
          <cell r="L38">
            <v>45</v>
          </cell>
          <cell r="M38">
            <v>12765.85</v>
          </cell>
          <cell r="N38">
            <v>10423</v>
          </cell>
          <cell r="O38">
            <v>-2342.8500000000004</v>
          </cell>
          <cell r="P38">
            <v>2028.85</v>
          </cell>
          <cell r="R38">
            <v>10737</v>
          </cell>
        </row>
        <row r="39">
          <cell r="A39" t="str">
            <v>05</v>
          </cell>
          <cell r="B39" t="str">
            <v>376</v>
          </cell>
          <cell r="C39">
            <v>37158</v>
          </cell>
          <cell r="E39" t="str">
            <v>DE-GREENLAWN</v>
          </cell>
          <cell r="F39" t="str">
            <v>MAIN NEW 2</v>
          </cell>
          <cell r="H39" t="str">
            <v>Install 2200' of 2" Main in Greenlawn Dev *This is separate from the carryover</v>
          </cell>
          <cell r="I39">
            <v>2200</v>
          </cell>
          <cell r="J39">
            <v>2000</v>
          </cell>
          <cell r="L39">
            <v>45</v>
          </cell>
          <cell r="M39">
            <v>970.88</v>
          </cell>
          <cell r="N39">
            <v>12554</v>
          </cell>
          <cell r="O39">
            <v>11583.12</v>
          </cell>
          <cell r="P39">
            <v>970.88</v>
          </cell>
        </row>
        <row r="40">
          <cell r="A40" t="str">
            <v>05</v>
          </cell>
          <cell r="B40" t="str">
            <v>376</v>
          </cell>
          <cell r="C40">
            <v>37060</v>
          </cell>
          <cell r="D40">
            <v>37195</v>
          </cell>
          <cell r="E40" t="str">
            <v>DE-LAKE FOREST ELEM</v>
          </cell>
          <cell r="F40" t="str">
            <v>MAIN NEW</v>
          </cell>
          <cell r="H40" t="str">
            <v>2" Pl main-Lake Forest School Ctrl Elem; $8920.10 Reimbursed</v>
          </cell>
          <cell r="I40">
            <v>940</v>
          </cell>
          <cell r="J40">
            <v>3000</v>
          </cell>
          <cell r="L40">
            <v>69</v>
          </cell>
          <cell r="M40">
            <v>702.10000000000105</v>
          </cell>
          <cell r="N40">
            <v>9635</v>
          </cell>
          <cell r="O40">
            <v>8932.9</v>
          </cell>
          <cell r="P40">
            <v>2429.63</v>
          </cell>
          <cell r="R40">
            <v>5940</v>
          </cell>
          <cell r="S40">
            <v>-8148</v>
          </cell>
          <cell r="T40">
            <v>480.47</v>
          </cell>
        </row>
        <row r="41">
          <cell r="A41" t="str">
            <v>05</v>
          </cell>
          <cell r="B41" t="str">
            <v>376</v>
          </cell>
          <cell r="C41">
            <v>36542</v>
          </cell>
          <cell r="D41">
            <v>37195</v>
          </cell>
          <cell r="E41" t="str">
            <v>DE-LAKESIDE DEV</v>
          </cell>
          <cell r="F41" t="str">
            <v>MAIN DEV</v>
          </cell>
          <cell r="H41" t="str">
            <v>Extend 2 in Pl main in Lakeside Dev off Broad St, Install 550', 2" main Littondale</v>
          </cell>
          <cell r="I41">
            <v>550</v>
          </cell>
          <cell r="J41">
            <v>2845</v>
          </cell>
          <cell r="L41">
            <v>45</v>
          </cell>
          <cell r="M41">
            <v>10889.93</v>
          </cell>
          <cell r="N41">
            <v>11647</v>
          </cell>
          <cell r="O41">
            <v>757.06999999999971</v>
          </cell>
          <cell r="P41">
            <v>723.32999999999993</v>
          </cell>
          <cell r="R41">
            <v>10166.6</v>
          </cell>
        </row>
        <row r="42">
          <cell r="A42" t="str">
            <v>05</v>
          </cell>
          <cell r="B42" t="str">
            <v>376</v>
          </cell>
          <cell r="C42">
            <v>37035</v>
          </cell>
          <cell r="D42">
            <v>37195</v>
          </cell>
          <cell r="E42" t="str">
            <v>DE-LAKESIDE DEV</v>
          </cell>
          <cell r="F42" t="str">
            <v>MAIN DEV 2</v>
          </cell>
          <cell r="H42" t="str">
            <v>Install 3405',2"pl main-1717'Ingleside Dr&amp;1688'Silver Lake Dr (57Lots)</v>
          </cell>
          <cell r="I42">
            <v>3405</v>
          </cell>
          <cell r="L42">
            <v>45</v>
          </cell>
          <cell r="M42">
            <v>12183</v>
          </cell>
          <cell r="N42">
            <v>18277</v>
          </cell>
          <cell r="O42">
            <v>6094</v>
          </cell>
          <cell r="R42">
            <v>12183</v>
          </cell>
        </row>
        <row r="43">
          <cell r="A43" t="str">
            <v>05</v>
          </cell>
          <cell r="B43" t="str">
            <v>376</v>
          </cell>
          <cell r="C43">
            <v>37189</v>
          </cell>
          <cell r="E43" t="str">
            <v>DE-LAKESIDE DEV</v>
          </cell>
          <cell r="F43" t="str">
            <v>MAIN DEV 3</v>
          </cell>
          <cell r="H43" t="str">
            <v>ADD-Install 450' of 2" pl in the woods of Lakeside on Beckington Ct</v>
          </cell>
          <cell r="I43">
            <v>450</v>
          </cell>
          <cell r="J43">
            <v>1850</v>
          </cell>
          <cell r="L43">
            <v>45</v>
          </cell>
          <cell r="M43">
            <v>730.98</v>
          </cell>
          <cell r="N43">
            <v>2799</v>
          </cell>
          <cell r="O43">
            <v>2068.02</v>
          </cell>
          <cell r="P43">
            <v>730.98</v>
          </cell>
        </row>
        <row r="44">
          <cell r="A44" t="str">
            <v>05</v>
          </cell>
          <cell r="B44" t="str">
            <v>376</v>
          </cell>
          <cell r="C44">
            <v>36927</v>
          </cell>
          <cell r="D44">
            <v>36973</v>
          </cell>
          <cell r="E44" t="str">
            <v>DE-LINKSIDE COMM</v>
          </cell>
          <cell r="F44" t="str">
            <v>MAIN NEW</v>
          </cell>
          <cell r="H44" t="str">
            <v>Install 1000 ft, 4 inch pl main, Linkside Commercial Complex-S. St Street Ext</v>
          </cell>
          <cell r="I44">
            <v>1000</v>
          </cell>
          <cell r="K44">
            <v>1150</v>
          </cell>
          <cell r="L44">
            <v>64</v>
          </cell>
          <cell r="M44">
            <v>7363.46</v>
          </cell>
          <cell r="N44">
            <v>10030</v>
          </cell>
          <cell r="O44">
            <v>2666.54</v>
          </cell>
          <cell r="P44">
            <v>1613.46</v>
          </cell>
          <cell r="R44">
            <v>5750</v>
          </cell>
        </row>
        <row r="45">
          <cell r="A45" t="str">
            <v>05</v>
          </cell>
          <cell r="B45" t="str">
            <v>376</v>
          </cell>
          <cell r="C45">
            <v>36826</v>
          </cell>
          <cell r="D45">
            <v>37164</v>
          </cell>
          <cell r="E45" t="str">
            <v>DE-LONGMDW DEV</v>
          </cell>
          <cell r="F45" t="str">
            <v>MAIN NEW</v>
          </cell>
          <cell r="H45" t="str">
            <v>ADD-Carryover-2" pl main in Longmeadows Development</v>
          </cell>
          <cell r="I45">
            <v>5250</v>
          </cell>
          <cell r="J45">
            <v>5250</v>
          </cell>
          <cell r="L45">
            <v>44</v>
          </cell>
          <cell r="M45">
            <v>11892.72</v>
          </cell>
          <cell r="N45">
            <v>14328</v>
          </cell>
          <cell r="O45">
            <v>2435.2800000000007</v>
          </cell>
          <cell r="P45">
            <v>1842.72</v>
          </cell>
          <cell r="R45">
            <v>10050</v>
          </cell>
        </row>
        <row r="46">
          <cell r="A46" t="str">
            <v>05</v>
          </cell>
          <cell r="B46" t="str">
            <v>376</v>
          </cell>
          <cell r="C46">
            <v>37172</v>
          </cell>
          <cell r="E46" t="str">
            <v>DE-MAPLE GLEN</v>
          </cell>
          <cell r="F46" t="str">
            <v>MAIN NEW</v>
          </cell>
          <cell r="H46" t="str">
            <v>ADD-Install 940' of 4" pl main from Carlisle Dr to entrance of Maple Glen Dev</v>
          </cell>
          <cell r="I46">
            <v>940</v>
          </cell>
          <cell r="K46">
            <v>24</v>
          </cell>
          <cell r="L46">
            <v>59</v>
          </cell>
          <cell r="M46">
            <v>858.54</v>
          </cell>
          <cell r="N46">
            <v>29714</v>
          </cell>
          <cell r="O46">
            <v>28855.46</v>
          </cell>
          <cell r="P46">
            <v>858.54</v>
          </cell>
        </row>
        <row r="47">
          <cell r="A47" t="str">
            <v>05</v>
          </cell>
          <cell r="B47" t="str">
            <v>376</v>
          </cell>
          <cell r="C47">
            <v>37214</v>
          </cell>
          <cell r="E47" t="str">
            <v>DE-MIDDLETOWN COMMONS</v>
          </cell>
          <cell r="F47" t="str">
            <v>MAIN NEW</v>
          </cell>
          <cell r="H47" t="str">
            <v>ADD-Install 1210' 4" pl from Industrial Rd to Entrance; Install 2100' of 2" in Commons</v>
          </cell>
          <cell r="I47">
            <v>3310</v>
          </cell>
          <cell r="K47">
            <v>1160</v>
          </cell>
          <cell r="L47">
            <v>46</v>
          </cell>
          <cell r="M47">
            <v>1651.78</v>
          </cell>
          <cell r="N47">
            <v>24540</v>
          </cell>
          <cell r="O47">
            <v>22888.22</v>
          </cell>
          <cell r="P47">
            <v>1601.22</v>
          </cell>
          <cell r="R47">
            <v>50.56</v>
          </cell>
        </row>
        <row r="48">
          <cell r="A48" t="str">
            <v>05</v>
          </cell>
          <cell r="B48" t="str">
            <v>376</v>
          </cell>
          <cell r="C48">
            <v>36920</v>
          </cell>
          <cell r="D48">
            <v>37195</v>
          </cell>
          <cell r="E48" t="str">
            <v>DE-MIDDLETOWN VILLG</v>
          </cell>
          <cell r="F48" t="str">
            <v>MAIN NEW</v>
          </cell>
          <cell r="H48" t="str">
            <v>Install 4065 ft, 2 inch pl main, W. Harvest Lane and North Ramunno Dr.</v>
          </cell>
          <cell r="I48">
            <v>6665</v>
          </cell>
          <cell r="J48">
            <v>18845</v>
          </cell>
          <cell r="K48">
            <v>12530</v>
          </cell>
          <cell r="L48">
            <v>45</v>
          </cell>
          <cell r="M48">
            <v>20853.59</v>
          </cell>
          <cell r="N48">
            <v>37663</v>
          </cell>
          <cell r="O48">
            <v>16809.41</v>
          </cell>
          <cell r="P48">
            <v>3891.59</v>
          </cell>
          <cell r="R48">
            <v>16962</v>
          </cell>
        </row>
        <row r="49">
          <cell r="A49" t="str">
            <v>05</v>
          </cell>
          <cell r="B49" t="str">
            <v>376</v>
          </cell>
          <cell r="C49">
            <v>37215</v>
          </cell>
          <cell r="E49" t="str">
            <v>DE-MIDDLETOWN VILLG</v>
          </cell>
          <cell r="F49" t="str">
            <v>MAIN NEW PH2</v>
          </cell>
          <cell r="H49" t="str">
            <v>ADD-Install 1000' of 2" pl on Rosie Dr &amp; 260' of 2" on Edgerow Dr</v>
          </cell>
          <cell r="I49">
            <v>1260</v>
          </cell>
          <cell r="L49">
            <v>46</v>
          </cell>
          <cell r="M49">
            <v>0</v>
          </cell>
          <cell r="N49">
            <v>8050</v>
          </cell>
          <cell r="O49">
            <v>8050</v>
          </cell>
        </row>
        <row r="50">
          <cell r="A50" t="str">
            <v>05</v>
          </cell>
          <cell r="B50" t="str">
            <v>376</v>
          </cell>
          <cell r="C50">
            <v>37235</v>
          </cell>
          <cell r="E50" t="str">
            <v>DE-MIDDLETOWN VILLG</v>
          </cell>
          <cell r="F50" t="str">
            <v>MAIN NEW PH3</v>
          </cell>
          <cell r="H50" t="str">
            <v xml:space="preserve">Install 200' of 2" pl on Marian Dr </v>
          </cell>
          <cell r="I50">
            <v>200</v>
          </cell>
          <cell r="L50">
            <v>46</v>
          </cell>
          <cell r="M50">
            <v>0</v>
          </cell>
          <cell r="N50">
            <v>1615</v>
          </cell>
          <cell r="O50">
            <v>1615</v>
          </cell>
        </row>
        <row r="51">
          <cell r="A51" t="str">
            <v>05</v>
          </cell>
          <cell r="B51" t="str">
            <v>376</v>
          </cell>
          <cell r="C51">
            <v>36935</v>
          </cell>
          <cell r="D51">
            <v>37134</v>
          </cell>
          <cell r="E51" t="str">
            <v>DE-MILFORD</v>
          </cell>
          <cell r="F51" t="str">
            <v>AREA 1</v>
          </cell>
          <cell r="H51" t="str">
            <v>Install 6850ft-4" pl main-Milford Business Park-Airport Road</v>
          </cell>
          <cell r="I51">
            <v>6850</v>
          </cell>
          <cell r="J51">
            <v>2250</v>
          </cell>
          <cell r="K51">
            <v>5800</v>
          </cell>
          <cell r="L51">
            <v>75</v>
          </cell>
          <cell r="M51">
            <v>44122.71</v>
          </cell>
          <cell r="N51">
            <v>65612</v>
          </cell>
          <cell r="O51">
            <v>21489.29</v>
          </cell>
          <cell r="P51">
            <v>2953.46</v>
          </cell>
          <cell r="R51">
            <v>41169.25</v>
          </cell>
        </row>
        <row r="52">
          <cell r="A52" t="str">
            <v>05</v>
          </cell>
          <cell r="B52" t="str">
            <v>376</v>
          </cell>
          <cell r="C52">
            <v>36962</v>
          </cell>
          <cell r="D52">
            <v>37164</v>
          </cell>
          <cell r="E52" t="str">
            <v>DE-MILFORD</v>
          </cell>
          <cell r="F52" t="str">
            <v>AREA 2A</v>
          </cell>
          <cell r="H52" t="str">
            <v>Install 275ft-6inch and 800ft-4inch pl main-Milford Project Area 2-A</v>
          </cell>
          <cell r="I52">
            <v>1075</v>
          </cell>
          <cell r="L52">
            <v>75</v>
          </cell>
          <cell r="M52">
            <v>14440.83</v>
          </cell>
          <cell r="N52">
            <v>22884</v>
          </cell>
          <cell r="O52">
            <v>8443.17</v>
          </cell>
          <cell r="P52">
            <v>1537.04</v>
          </cell>
          <cell r="Q52">
            <v>556.37</v>
          </cell>
          <cell r="R52">
            <v>12293.28</v>
          </cell>
          <cell r="T52">
            <v>54.14</v>
          </cell>
        </row>
        <row r="53">
          <cell r="A53" t="str">
            <v>05</v>
          </cell>
          <cell r="B53" t="str">
            <v>376</v>
          </cell>
          <cell r="C53">
            <v>37158</v>
          </cell>
          <cell r="E53" t="str">
            <v>DE-MILFORD</v>
          </cell>
          <cell r="F53" t="str">
            <v>AREA 2A</v>
          </cell>
          <cell r="H53" t="str">
            <v>Install 700' of 2" from Wal-Mart to Milford Landing</v>
          </cell>
          <cell r="I53">
            <v>700</v>
          </cell>
          <cell r="L53">
            <v>75</v>
          </cell>
          <cell r="M53">
            <v>0</v>
          </cell>
          <cell r="N53">
            <v>6452</v>
          </cell>
          <cell r="O53">
            <v>6452</v>
          </cell>
        </row>
        <row r="54">
          <cell r="A54" t="str">
            <v>05</v>
          </cell>
          <cell r="B54" t="str">
            <v>376</v>
          </cell>
          <cell r="C54">
            <v>36962</v>
          </cell>
          <cell r="D54">
            <v>37164</v>
          </cell>
          <cell r="E54" t="str">
            <v>DE-MILFORD</v>
          </cell>
          <cell r="F54" t="str">
            <v>AREA 2B</v>
          </cell>
          <cell r="H54" t="str">
            <v>Install 935ft-4inch and 750ft-2inch pl main-Milfor Project-Area 2-B</v>
          </cell>
          <cell r="I54">
            <v>1685</v>
          </cell>
          <cell r="L54">
            <v>75</v>
          </cell>
          <cell r="M54">
            <v>39492.909999999996</v>
          </cell>
          <cell r="N54">
            <v>43055</v>
          </cell>
          <cell r="O54">
            <v>3562.0900000000038</v>
          </cell>
          <cell r="P54">
            <v>1279.2</v>
          </cell>
          <cell r="Q54">
            <v>2042.5</v>
          </cell>
          <cell r="R54">
            <v>36171.21</v>
          </cell>
        </row>
        <row r="55">
          <cell r="A55" t="str">
            <v>05</v>
          </cell>
          <cell r="B55" t="str">
            <v>376</v>
          </cell>
          <cell r="C55">
            <v>37028</v>
          </cell>
          <cell r="D55">
            <v>37225</v>
          </cell>
          <cell r="E55" t="str">
            <v>DE-MILFORD</v>
          </cell>
          <cell r="F55" t="str">
            <v>AREA 2C</v>
          </cell>
          <cell r="H55" t="str">
            <v>Install 475', 4" Pl main on Rt 113 frm WalMart entance North to Food Lion</v>
          </cell>
          <cell r="I55">
            <v>475</v>
          </cell>
          <cell r="L55">
            <v>75</v>
          </cell>
          <cell r="M55">
            <v>0</v>
          </cell>
          <cell r="N55">
            <v>145</v>
          </cell>
          <cell r="O55">
            <v>145</v>
          </cell>
          <cell r="P55">
            <v>-63.9</v>
          </cell>
          <cell r="R55">
            <v>63.899999999999977</v>
          </cell>
        </row>
        <row r="56">
          <cell r="A56" t="str">
            <v>05</v>
          </cell>
          <cell r="B56" t="str">
            <v>376</v>
          </cell>
          <cell r="C56" t="str">
            <v>05/17/200</v>
          </cell>
          <cell r="E56" t="str">
            <v>DE-MILFORD</v>
          </cell>
          <cell r="F56" t="str">
            <v>AREA 3A</v>
          </cell>
          <cell r="H56" t="str">
            <v>Install 3085', 6" Pl main-Airport Rd(Rosa Rd) to North of Stevenson House</v>
          </cell>
          <cell r="I56">
            <v>3085</v>
          </cell>
          <cell r="L56">
            <v>75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05</v>
          </cell>
          <cell r="B57" t="str">
            <v>376</v>
          </cell>
          <cell r="C57">
            <v>37028</v>
          </cell>
          <cell r="E57" t="str">
            <v>DE-MILFORD</v>
          </cell>
          <cell r="F57" t="str">
            <v>AREA 3C</v>
          </cell>
          <cell r="H57" t="str">
            <v>Install 385',6" Pl &amp; 2245', 4" Pl main-N. Stevenson House to Milford Plaza Shp Ctr</v>
          </cell>
          <cell r="I57">
            <v>2630</v>
          </cell>
          <cell r="J57">
            <v>250</v>
          </cell>
          <cell r="L57">
            <v>75</v>
          </cell>
          <cell r="M57">
            <v>0</v>
          </cell>
          <cell r="N57">
            <v>0</v>
          </cell>
          <cell r="O57">
            <v>0</v>
          </cell>
          <cell r="P57">
            <v>-687.73</v>
          </cell>
          <cell r="Q57">
            <v>687.73</v>
          </cell>
        </row>
        <row r="58">
          <cell r="A58" t="str">
            <v>05</v>
          </cell>
          <cell r="B58" t="str">
            <v>376</v>
          </cell>
          <cell r="C58">
            <v>37166</v>
          </cell>
          <cell r="D58">
            <v>37225</v>
          </cell>
          <cell r="E58" t="str">
            <v>DE-MILFORD</v>
          </cell>
          <cell r="F58" t="str">
            <v>AREA 5</v>
          </cell>
          <cell r="H58" t="str">
            <v>Install 220' of 6" @ Sea Watch to Rehoboth Blvd</v>
          </cell>
          <cell r="I58">
            <v>220</v>
          </cell>
          <cell r="L58">
            <v>75</v>
          </cell>
          <cell r="M58">
            <v>9047.48</v>
          </cell>
          <cell r="N58">
            <v>7458</v>
          </cell>
          <cell r="O58">
            <v>-1589.4799999999996</v>
          </cell>
          <cell r="P58">
            <v>1147.48</v>
          </cell>
          <cell r="R58">
            <v>7900</v>
          </cell>
        </row>
        <row r="59">
          <cell r="A59" t="str">
            <v>05</v>
          </cell>
          <cell r="B59" t="str">
            <v>376</v>
          </cell>
          <cell r="C59">
            <v>37240</v>
          </cell>
          <cell r="E59" t="str">
            <v>DE-MILFORD PARK CENTER</v>
          </cell>
          <cell r="F59" t="str">
            <v>MAIN NEW</v>
          </cell>
          <cell r="H59" t="str">
            <v>Install 1600' of 2" pl to Milford Park Center - this is off Buccaneer Dr</v>
          </cell>
          <cell r="I59">
            <v>1600</v>
          </cell>
          <cell r="L59">
            <v>75</v>
          </cell>
          <cell r="M59">
            <v>0</v>
          </cell>
          <cell r="N59">
            <v>11415</v>
          </cell>
          <cell r="O59">
            <v>11415</v>
          </cell>
        </row>
        <row r="60">
          <cell r="A60" t="str">
            <v>05</v>
          </cell>
          <cell r="B60" t="str">
            <v>376</v>
          </cell>
          <cell r="C60">
            <v>37168</v>
          </cell>
          <cell r="E60" t="str">
            <v>DE-ORCHARD CREEK</v>
          </cell>
          <cell r="F60" t="str">
            <v>MAIN NEW</v>
          </cell>
          <cell r="H60" t="str">
            <v>Install 2580' of 4" and 290' of 2" in Orchard Creek Dev</v>
          </cell>
          <cell r="I60">
            <v>2870</v>
          </cell>
          <cell r="J60">
            <v>500</v>
          </cell>
          <cell r="K60">
            <v>2930</v>
          </cell>
          <cell r="L60">
            <v>64</v>
          </cell>
          <cell r="M60">
            <v>19948.18</v>
          </cell>
          <cell r="N60">
            <v>23848</v>
          </cell>
          <cell r="O60">
            <v>3899.8199999999997</v>
          </cell>
          <cell r="P60">
            <v>2863.67</v>
          </cell>
          <cell r="R60">
            <v>17084.510000000002</v>
          </cell>
        </row>
        <row r="61">
          <cell r="A61" t="str">
            <v>05</v>
          </cell>
          <cell r="B61" t="str">
            <v>376</v>
          </cell>
          <cell r="C61">
            <v>37043</v>
          </cell>
          <cell r="D61">
            <v>37195</v>
          </cell>
          <cell r="E61" t="str">
            <v>DE-ORCHARDS</v>
          </cell>
          <cell r="F61" t="str">
            <v>MAIN NEW</v>
          </cell>
          <cell r="H61" t="str">
            <v>Install 790', 4", and 2665', 2" pl main in Orchards Dev</v>
          </cell>
          <cell r="I61">
            <v>3455</v>
          </cell>
          <cell r="J61">
            <v>3250</v>
          </cell>
          <cell r="K61">
            <v>1320</v>
          </cell>
          <cell r="L61">
            <v>64</v>
          </cell>
          <cell r="M61">
            <v>16276.21</v>
          </cell>
          <cell r="N61">
            <v>22243</v>
          </cell>
          <cell r="O61">
            <v>5966.7900000000009</v>
          </cell>
          <cell r="P61">
            <v>2817.46</v>
          </cell>
          <cell r="R61">
            <v>13458.75</v>
          </cell>
        </row>
        <row r="62">
          <cell r="A62" t="str">
            <v>05</v>
          </cell>
          <cell r="B62" t="str">
            <v>376</v>
          </cell>
          <cell r="C62">
            <v>37189</v>
          </cell>
          <cell r="D62">
            <v>37225</v>
          </cell>
          <cell r="E62" t="str">
            <v>DE-ORCHARDS</v>
          </cell>
          <cell r="F62" t="str">
            <v>MAIN NEW 2</v>
          </cell>
          <cell r="H62" t="str">
            <v>ADD-Install 345' of 4" pl on Pear Blossom Ln in Orchards Dev</v>
          </cell>
          <cell r="I62">
            <v>345</v>
          </cell>
          <cell r="J62">
            <v>1000</v>
          </cell>
          <cell r="L62">
            <v>64</v>
          </cell>
          <cell r="M62">
            <v>2509.86</v>
          </cell>
          <cell r="N62">
            <v>3409</v>
          </cell>
          <cell r="O62">
            <v>899.13999999999987</v>
          </cell>
          <cell r="P62">
            <v>371.11</v>
          </cell>
          <cell r="R62">
            <v>2138.75</v>
          </cell>
        </row>
        <row r="63">
          <cell r="A63" t="str">
            <v>05</v>
          </cell>
          <cell r="B63">
            <v>376</v>
          </cell>
          <cell r="C63">
            <v>36818</v>
          </cell>
          <cell r="D63">
            <v>36891</v>
          </cell>
          <cell r="E63" t="str">
            <v>DE-PAYNTERS VILLAGE</v>
          </cell>
          <cell r="F63" t="str">
            <v>MAIN NEW CUST DEV</v>
          </cell>
          <cell r="H63" t="str">
            <v>Install 125', 2" and 350', 1 1/4" PL Main in Paynters Village Dev</v>
          </cell>
          <cell r="J63">
            <v>1500</v>
          </cell>
          <cell r="K63">
            <v>200</v>
          </cell>
          <cell r="M63">
            <v>825.75</v>
          </cell>
          <cell r="N63">
            <v>826</v>
          </cell>
          <cell r="O63">
            <v>0.25</v>
          </cell>
          <cell r="P63">
            <v>825.75</v>
          </cell>
        </row>
        <row r="64">
          <cell r="A64" t="str">
            <v>05</v>
          </cell>
          <cell r="B64" t="str">
            <v>376</v>
          </cell>
          <cell r="C64">
            <v>37048</v>
          </cell>
          <cell r="D64">
            <v>37195</v>
          </cell>
          <cell r="E64" t="str">
            <v>DE-PINE TREE CRNR</v>
          </cell>
          <cell r="F64" t="str">
            <v>MAIN NEW</v>
          </cell>
          <cell r="H64" t="str">
            <v>Install 2" high press steel main for CGATE at Rt1 &amp; Pinetree Corners</v>
          </cell>
          <cell r="L64">
            <v>46</v>
          </cell>
          <cell r="M64">
            <v>10400</v>
          </cell>
          <cell r="N64">
            <v>22169</v>
          </cell>
          <cell r="O64">
            <v>11769</v>
          </cell>
          <cell r="R64">
            <v>10400</v>
          </cell>
        </row>
        <row r="65">
          <cell r="A65" t="str">
            <v>05</v>
          </cell>
          <cell r="B65" t="str">
            <v>376</v>
          </cell>
          <cell r="C65">
            <v>37035</v>
          </cell>
          <cell r="D65">
            <v>37225</v>
          </cell>
          <cell r="E65" t="str">
            <v>DE-PLANTERS RUN</v>
          </cell>
          <cell r="F65" t="str">
            <v>MAIN NEW</v>
          </cell>
          <cell r="H65" t="str">
            <v>Install 2" pl main in the Planters Run Dev off Rt10(Lebannon Rd)</v>
          </cell>
          <cell r="I65">
            <v>3955</v>
          </cell>
          <cell r="J65">
            <v>3250</v>
          </cell>
          <cell r="L65">
            <v>64</v>
          </cell>
          <cell r="M65">
            <v>7262.38</v>
          </cell>
          <cell r="N65">
            <v>21209</v>
          </cell>
          <cell r="O65">
            <v>13946.619999999999</v>
          </cell>
          <cell r="P65">
            <v>1302.18</v>
          </cell>
          <cell r="R65">
            <v>5960.2</v>
          </cell>
        </row>
        <row r="66">
          <cell r="A66" t="str">
            <v>05</v>
          </cell>
          <cell r="B66" t="str">
            <v>376</v>
          </cell>
          <cell r="C66">
            <v>37074</v>
          </cell>
          <cell r="D66">
            <v>37195</v>
          </cell>
          <cell r="E66" t="str">
            <v>DE-PLANTERS WOODS DEV</v>
          </cell>
          <cell r="F66" t="str">
            <v>MAIN NEW</v>
          </cell>
          <cell r="H66" t="str">
            <v>Extend 2" pl main on Cantwell Dr,Canary Ct,and Tall Tree Ct. (31 lots)</v>
          </cell>
          <cell r="J66">
            <v>2400</v>
          </cell>
          <cell r="L66">
            <v>59</v>
          </cell>
          <cell r="M66">
            <v>10634.63</v>
          </cell>
          <cell r="N66">
            <v>14599</v>
          </cell>
          <cell r="O66">
            <v>3964.3700000000008</v>
          </cell>
          <cell r="P66">
            <v>980.88</v>
          </cell>
          <cell r="R66">
            <v>9653.75</v>
          </cell>
        </row>
        <row r="67">
          <cell r="A67" t="str">
            <v>05</v>
          </cell>
          <cell r="B67" t="str">
            <v>376</v>
          </cell>
          <cell r="C67">
            <v>36858</v>
          </cell>
          <cell r="D67">
            <v>36891</v>
          </cell>
          <cell r="E67" t="str">
            <v>DE-SAFEWAY MAIN</v>
          </cell>
          <cell r="F67" t="str">
            <v>MAIN NEW APPR</v>
          </cell>
          <cell r="H67" t="str">
            <v>2000 Safeway main, Install 2 Inch pl, Dover Crossing</v>
          </cell>
          <cell r="J67">
            <v>30</v>
          </cell>
          <cell r="L67">
            <v>60</v>
          </cell>
          <cell r="M67">
            <v>311.89999999999998</v>
          </cell>
          <cell r="N67">
            <v>312</v>
          </cell>
          <cell r="O67">
            <v>0.10000000000002274</v>
          </cell>
          <cell r="P67">
            <v>311.89999999999998</v>
          </cell>
        </row>
        <row r="68">
          <cell r="A68" t="str">
            <v>05</v>
          </cell>
          <cell r="B68" t="str">
            <v>376</v>
          </cell>
          <cell r="C68">
            <v>37011</v>
          </cell>
          <cell r="D68">
            <v>37164</v>
          </cell>
          <cell r="E68" t="str">
            <v>DE-SPRING CREEK DEV</v>
          </cell>
          <cell r="F68" t="str">
            <v>MAIN NEW</v>
          </cell>
          <cell r="H68" t="str">
            <v xml:space="preserve">Install 465',4"pl main in Spring Creek Dev off State Rd,Install 2" Setter Ct, 350' Spaniel Ct </v>
          </cell>
          <cell r="I68">
            <v>1230</v>
          </cell>
          <cell r="J68">
            <v>1765</v>
          </cell>
          <cell r="K68">
            <v>925</v>
          </cell>
          <cell r="L68">
            <v>46</v>
          </cell>
          <cell r="M68">
            <v>9659.43</v>
          </cell>
          <cell r="N68">
            <v>11607</v>
          </cell>
          <cell r="O68">
            <v>1947.5699999999997</v>
          </cell>
          <cell r="P68">
            <v>2579.7299999999996</v>
          </cell>
          <cell r="R68">
            <v>7079.7</v>
          </cell>
        </row>
        <row r="69">
          <cell r="A69" t="str">
            <v>05</v>
          </cell>
          <cell r="B69" t="str">
            <v>376</v>
          </cell>
          <cell r="C69">
            <v>37174</v>
          </cell>
          <cell r="D69">
            <v>37225</v>
          </cell>
          <cell r="E69" t="str">
            <v>DE-SPRING CREEK DEV 2</v>
          </cell>
          <cell r="F69" t="str">
            <v>MAIN NEW</v>
          </cell>
          <cell r="H69" t="str">
            <v>ADD- Install 550' of 4" on Spring Creek Dr 830' of 2" on Labrador Ln &amp; 500' of 2" on Shepherd Ct</v>
          </cell>
          <cell r="I69">
            <v>1880</v>
          </cell>
          <cell r="K69">
            <v>675</v>
          </cell>
          <cell r="L69">
            <v>46</v>
          </cell>
          <cell r="M69">
            <v>9235.83</v>
          </cell>
          <cell r="N69">
            <v>13260</v>
          </cell>
          <cell r="O69">
            <v>4024.17</v>
          </cell>
          <cell r="P69">
            <v>937.08</v>
          </cell>
          <cell r="R69">
            <v>8298.75</v>
          </cell>
        </row>
        <row r="70">
          <cell r="A70" t="str">
            <v>05</v>
          </cell>
          <cell r="B70" t="str">
            <v>376</v>
          </cell>
          <cell r="C70">
            <v>36826</v>
          </cell>
          <cell r="D70">
            <v>37225</v>
          </cell>
          <cell r="E70" t="str">
            <v>DE-SPRINGMILL</v>
          </cell>
          <cell r="F70" t="str">
            <v>MAIN NEW</v>
          </cell>
          <cell r="H70" t="str">
            <v>ADD-Carryover-4" and 2" pl main Springmill Development</v>
          </cell>
          <cell r="I70">
            <v>3711</v>
          </cell>
          <cell r="J70">
            <v>2750</v>
          </cell>
          <cell r="L70">
            <v>45</v>
          </cell>
          <cell r="M70">
            <v>21258.07</v>
          </cell>
          <cell r="N70">
            <v>23183</v>
          </cell>
          <cell r="O70">
            <v>1924.9300000000003</v>
          </cell>
          <cell r="P70">
            <v>1375.4699999999998</v>
          </cell>
          <cell r="R70">
            <v>19930.599999999999</v>
          </cell>
          <cell r="S70">
            <v>-48</v>
          </cell>
        </row>
        <row r="71">
          <cell r="A71" t="str">
            <v>05</v>
          </cell>
          <cell r="B71" t="str">
            <v>376</v>
          </cell>
          <cell r="C71">
            <v>36678</v>
          </cell>
          <cell r="D71">
            <v>36707</v>
          </cell>
          <cell r="E71" t="str">
            <v>DE-ST JONES</v>
          </cell>
          <cell r="F71" t="str">
            <v>MAINS NEW</v>
          </cell>
          <cell r="H71" t="str">
            <v>2000 DE-STJONES</v>
          </cell>
          <cell r="K71">
            <v>2230</v>
          </cell>
          <cell r="M71">
            <v>3172.23</v>
          </cell>
          <cell r="N71">
            <v>3200</v>
          </cell>
          <cell r="O71">
            <v>27.769999999999982</v>
          </cell>
          <cell r="P71">
            <v>3172.23</v>
          </cell>
        </row>
        <row r="72">
          <cell r="A72" t="str">
            <v>05</v>
          </cell>
          <cell r="B72" t="str">
            <v>376</v>
          </cell>
          <cell r="C72">
            <v>37156</v>
          </cell>
          <cell r="D72">
            <v>37195</v>
          </cell>
          <cell r="E72" t="str">
            <v>DE-ST JONES</v>
          </cell>
          <cell r="F72" t="str">
            <v>MAINS NEW</v>
          </cell>
          <cell r="H72" t="str">
            <v>2001 DE-STJONES 1550' of 2"</v>
          </cell>
          <cell r="I72">
            <v>1550</v>
          </cell>
          <cell r="J72">
            <v>1550</v>
          </cell>
          <cell r="M72">
            <v>7013.67</v>
          </cell>
          <cell r="N72">
            <v>11498.23</v>
          </cell>
          <cell r="O72">
            <v>4484.5599999999995</v>
          </cell>
          <cell r="P72">
            <v>548.73</v>
          </cell>
          <cell r="R72">
            <v>6464.94</v>
          </cell>
        </row>
        <row r="73">
          <cell r="A73" t="str">
            <v>05</v>
          </cell>
          <cell r="B73" t="str">
            <v>376</v>
          </cell>
          <cell r="C73">
            <v>36908</v>
          </cell>
          <cell r="D73">
            <v>37195</v>
          </cell>
          <cell r="E73" t="str">
            <v>DE-STONEFIELD</v>
          </cell>
          <cell r="F73" t="str">
            <v>MAIN NEW</v>
          </cell>
          <cell r="H73" t="str">
            <v>Install 500 ft, 2 inch pl, Conquina Ct, 940ft 2 in pl-Basalt St, 80ft, 4 in-Olivine Cl</v>
          </cell>
          <cell r="I73">
            <v>1520</v>
          </cell>
          <cell r="J73">
            <v>1250</v>
          </cell>
          <cell r="L73">
            <v>46</v>
          </cell>
          <cell r="M73">
            <v>5635.97</v>
          </cell>
          <cell r="N73">
            <v>9424</v>
          </cell>
          <cell r="O73">
            <v>3788.0299999999997</v>
          </cell>
          <cell r="P73">
            <v>544.47</v>
          </cell>
          <cell r="R73">
            <v>5091.5</v>
          </cell>
        </row>
        <row r="74">
          <cell r="A74" t="str">
            <v>05</v>
          </cell>
          <cell r="B74" t="str">
            <v>376</v>
          </cell>
          <cell r="C74">
            <v>36910</v>
          </cell>
          <cell r="D74">
            <v>37164</v>
          </cell>
          <cell r="E74" t="str">
            <v>DE-SUNNYSIDE VILLG</v>
          </cell>
          <cell r="F74" t="str">
            <v>MAIN NEW</v>
          </cell>
          <cell r="H74" t="str">
            <v>Install 320 ft, 2inch pl main, Sunnyside Village Dev-Smyrna</v>
          </cell>
          <cell r="I74">
            <v>320</v>
          </cell>
          <cell r="J74">
            <v>2405</v>
          </cell>
          <cell r="K74">
            <v>1485</v>
          </cell>
          <cell r="L74">
            <v>54</v>
          </cell>
          <cell r="M74">
            <v>5365.09</v>
          </cell>
          <cell r="N74">
            <v>5213</v>
          </cell>
          <cell r="O74">
            <v>-152.09000000000015</v>
          </cell>
          <cell r="P74">
            <v>3254.8399999999997</v>
          </cell>
          <cell r="R74">
            <v>2110.25</v>
          </cell>
        </row>
        <row r="75">
          <cell r="A75" t="str">
            <v>05</v>
          </cell>
          <cell r="B75" t="str">
            <v>376</v>
          </cell>
          <cell r="C75">
            <v>37172</v>
          </cell>
          <cell r="D75">
            <v>37195</v>
          </cell>
          <cell r="E75" t="str">
            <v>DE-SUNNYSIDE VILLG 2</v>
          </cell>
          <cell r="F75" t="str">
            <v>MAIN NEW</v>
          </cell>
          <cell r="H75" t="str">
            <v>ADD-Install 720' of 2" pl main on Dairy Dr in Sunnyside Village Dev</v>
          </cell>
          <cell r="I75">
            <v>720</v>
          </cell>
          <cell r="J75">
            <v>720</v>
          </cell>
          <cell r="L75">
            <v>54</v>
          </cell>
          <cell r="M75">
            <v>3489.16</v>
          </cell>
          <cell r="N75">
            <v>5725</v>
          </cell>
          <cell r="O75">
            <v>2235.84</v>
          </cell>
          <cell r="P75">
            <v>289.16000000000003</v>
          </cell>
          <cell r="R75">
            <v>3200</v>
          </cell>
        </row>
        <row r="76">
          <cell r="A76" t="str">
            <v>05</v>
          </cell>
          <cell r="B76" t="str">
            <v>376</v>
          </cell>
          <cell r="C76">
            <v>36669</v>
          </cell>
          <cell r="D76">
            <v>37195</v>
          </cell>
          <cell r="E76" t="str">
            <v>DE-THE LEGENDS</v>
          </cell>
          <cell r="F76" t="str">
            <v>MAIN NEW</v>
          </cell>
          <cell r="H76" t="str">
            <v>ADD-Carryover-4" and 2" pl main The Legends Development</v>
          </cell>
          <cell r="I76">
            <v>5350</v>
          </cell>
          <cell r="J76">
            <v>3750</v>
          </cell>
          <cell r="L76">
            <v>45</v>
          </cell>
          <cell r="M76">
            <v>6945.99</v>
          </cell>
          <cell r="N76">
            <v>12816</v>
          </cell>
          <cell r="O76">
            <v>5870.01</v>
          </cell>
          <cell r="P76">
            <v>1264.3899999999999</v>
          </cell>
          <cell r="R76">
            <v>5681.6</v>
          </cell>
        </row>
        <row r="77">
          <cell r="A77" t="str">
            <v>05</v>
          </cell>
          <cell r="B77" t="str">
            <v>376</v>
          </cell>
          <cell r="C77">
            <v>37188</v>
          </cell>
          <cell r="E77" t="str">
            <v>DE-THE LEGENDS WEST</v>
          </cell>
          <cell r="F77" t="str">
            <v>MAIN NEW</v>
          </cell>
          <cell r="H77" t="str">
            <v>ADD-1550' of 4"pl -Palmer; 500' of 4" -Betsy Rawls; 500' of 4" on Porky Oliver; 800' of 2" on Jackie Circle; 600' of 2" on O'Meara Ct</v>
          </cell>
          <cell r="I77">
            <v>4500</v>
          </cell>
          <cell r="J77">
            <v>2450</v>
          </cell>
          <cell r="K77">
            <v>2600</v>
          </cell>
          <cell r="L77">
            <v>45</v>
          </cell>
          <cell r="M77">
            <v>4597.01</v>
          </cell>
          <cell r="N77">
            <v>29900</v>
          </cell>
          <cell r="O77">
            <v>25302.989999999998</v>
          </cell>
          <cell r="P77">
            <v>4597.01</v>
          </cell>
        </row>
        <row r="78">
          <cell r="A78" t="str">
            <v>05</v>
          </cell>
          <cell r="B78" t="str">
            <v>376</v>
          </cell>
          <cell r="C78">
            <v>37204</v>
          </cell>
          <cell r="E78" t="str">
            <v>DE-THOMAS COVE DEV</v>
          </cell>
          <cell r="F78" t="str">
            <v>MAIN NEW</v>
          </cell>
          <cell r="H78" t="str">
            <v>ADD-Install 3375' of 2" pl; 1775' on Middessa Dr; 650' -Jersey Ct; 550' -Guernsey Dr; 400' -Holstein Ct</v>
          </cell>
          <cell r="I78">
            <v>3375</v>
          </cell>
          <cell r="J78">
            <v>3112</v>
          </cell>
          <cell r="L78">
            <v>46</v>
          </cell>
          <cell r="M78">
            <v>8526.77</v>
          </cell>
          <cell r="N78">
            <v>19595</v>
          </cell>
          <cell r="O78">
            <v>11068.23</v>
          </cell>
          <cell r="P78">
            <v>1026.77</v>
          </cell>
          <cell r="R78">
            <v>7500</v>
          </cell>
        </row>
        <row r="79">
          <cell r="A79" t="str">
            <v>05</v>
          </cell>
          <cell r="B79" t="str">
            <v>376</v>
          </cell>
          <cell r="C79">
            <v>37180</v>
          </cell>
          <cell r="D79">
            <v>37195</v>
          </cell>
          <cell r="E79" t="str">
            <v>DE-THOMAS LANDING RD</v>
          </cell>
          <cell r="F79" t="str">
            <v>MAIN NEW</v>
          </cell>
          <cell r="H79" t="str">
            <v>ADD-Install 388' of 2" pl from Thomas Landing Rd to East</v>
          </cell>
          <cell r="I79">
            <v>388</v>
          </cell>
          <cell r="J79">
            <v>388</v>
          </cell>
          <cell r="L79">
            <v>46</v>
          </cell>
          <cell r="M79">
            <v>2589.1999999999998</v>
          </cell>
          <cell r="N79">
            <v>3702</v>
          </cell>
          <cell r="O79">
            <v>1112.8000000000002</v>
          </cell>
          <cell r="P79">
            <v>137.19999999999999</v>
          </cell>
          <cell r="R79">
            <v>2452</v>
          </cell>
        </row>
        <row r="80">
          <cell r="A80" t="str">
            <v>05</v>
          </cell>
          <cell r="B80" t="str">
            <v>376</v>
          </cell>
          <cell r="C80">
            <v>36678</v>
          </cell>
          <cell r="D80">
            <v>36739</v>
          </cell>
          <cell r="E80" t="str">
            <v>DE-VIOLATON CTR</v>
          </cell>
          <cell r="F80" t="str">
            <v>MAIN-NEW APPRO</v>
          </cell>
          <cell r="H80" t="str">
            <v>2000 DE-Violation Center-Main New Approach</v>
          </cell>
          <cell r="J80">
            <v>800</v>
          </cell>
          <cell r="K80">
            <v>1990</v>
          </cell>
          <cell r="L80">
            <v>48</v>
          </cell>
          <cell r="M80">
            <v>2830.83</v>
          </cell>
          <cell r="N80">
            <v>2900</v>
          </cell>
          <cell r="O80">
            <v>69.170000000000073</v>
          </cell>
          <cell r="P80">
            <v>2830.83</v>
          </cell>
        </row>
        <row r="81">
          <cell r="A81" t="str">
            <v>05</v>
          </cell>
          <cell r="B81">
            <v>376</v>
          </cell>
          <cell r="C81">
            <v>37140</v>
          </cell>
          <cell r="D81">
            <v>37195</v>
          </cell>
          <cell r="E81" t="str">
            <v>DE-WHEATLEY POND</v>
          </cell>
          <cell r="F81" t="str">
            <v>MAIN NEW</v>
          </cell>
          <cell r="H81" t="str">
            <v>Install 1500' 2" plastic main in Wheatley Pond Development</v>
          </cell>
          <cell r="I81">
            <v>1500</v>
          </cell>
          <cell r="J81">
            <v>1750</v>
          </cell>
          <cell r="L81">
            <v>51</v>
          </cell>
          <cell r="M81">
            <v>7377.37</v>
          </cell>
          <cell r="N81">
            <v>9974</v>
          </cell>
          <cell r="O81">
            <v>2596.63</v>
          </cell>
          <cell r="P81">
            <v>752.37</v>
          </cell>
          <cell r="R81">
            <v>6625</v>
          </cell>
        </row>
        <row r="82">
          <cell r="A82" t="str">
            <v>05</v>
          </cell>
          <cell r="B82" t="str">
            <v>376</v>
          </cell>
          <cell r="C82">
            <v>36949</v>
          </cell>
          <cell r="D82">
            <v>36994</v>
          </cell>
          <cell r="E82" t="str">
            <v>DE-WILD MEADOWS</v>
          </cell>
          <cell r="F82" t="str">
            <v>MAIN NEW APPR</v>
          </cell>
          <cell r="H82" t="str">
            <v>Install 285'-6" pl approach main to srve Wild Meadows Dev</v>
          </cell>
          <cell r="I82">
            <v>285</v>
          </cell>
          <cell r="K82">
            <v>300</v>
          </cell>
          <cell r="L82">
            <v>61</v>
          </cell>
          <cell r="M82">
            <v>8483.93</v>
          </cell>
          <cell r="N82">
            <v>11705</v>
          </cell>
          <cell r="O82">
            <v>3221.0699999999997</v>
          </cell>
          <cell r="P82">
            <v>1035.93</v>
          </cell>
          <cell r="R82">
            <v>7448</v>
          </cell>
        </row>
        <row r="83">
          <cell r="A83" t="str">
            <v>05</v>
          </cell>
          <cell r="B83" t="str">
            <v>376</v>
          </cell>
          <cell r="C83">
            <v>36949</v>
          </cell>
          <cell r="D83">
            <v>36994</v>
          </cell>
          <cell r="E83" t="str">
            <v>DE-WILD MEADOWS</v>
          </cell>
          <cell r="F83" t="str">
            <v>MAIN NEW DEV</v>
          </cell>
          <cell r="H83" t="str">
            <v>Install 1300'-2"pl main-Kurt Dr, Persimmon Circle West and Holland Ct</v>
          </cell>
          <cell r="I83">
            <v>1300</v>
          </cell>
          <cell r="J83">
            <v>3523</v>
          </cell>
          <cell r="L83">
            <v>61</v>
          </cell>
          <cell r="M83">
            <v>16247.66</v>
          </cell>
          <cell r="N83">
            <v>20402</v>
          </cell>
          <cell r="O83">
            <v>4154.34</v>
          </cell>
          <cell r="P83">
            <v>1508.66</v>
          </cell>
          <cell r="R83">
            <v>14739</v>
          </cell>
        </row>
        <row r="84">
          <cell r="A84" t="str">
            <v>05</v>
          </cell>
          <cell r="B84" t="str">
            <v>376</v>
          </cell>
          <cell r="C84">
            <v>36967</v>
          </cell>
          <cell r="D84">
            <v>37195</v>
          </cell>
          <cell r="E84" t="str">
            <v>DE-WOODFIELD DEV</v>
          </cell>
          <cell r="F84" t="str">
            <v>MAIN NEW DEV</v>
          </cell>
          <cell r="H84" t="str">
            <v>Install 350ft-2 in pl main -Forest Glen Rd, 300ft-4in pl mn-Sunny meadow Dr</v>
          </cell>
          <cell r="J84">
            <v>300</v>
          </cell>
          <cell r="K84">
            <v>300</v>
          </cell>
          <cell r="L84">
            <v>64</v>
          </cell>
          <cell r="M84">
            <v>3220.2200000000003</v>
          </cell>
          <cell r="N84">
            <v>4911</v>
          </cell>
          <cell r="O84">
            <v>1690.7799999999997</v>
          </cell>
          <cell r="P84">
            <v>610.22</v>
          </cell>
          <cell r="R84">
            <v>2610</v>
          </cell>
        </row>
        <row r="85">
          <cell r="A85" t="str">
            <v>05</v>
          </cell>
          <cell r="B85" t="str">
            <v>376</v>
          </cell>
          <cell r="C85">
            <v>37083</v>
          </cell>
          <cell r="D85">
            <v>37195</v>
          </cell>
          <cell r="E85" t="str">
            <v>DE-WOODFIELD DEV</v>
          </cell>
          <cell r="F85" t="str">
            <v>MAIN NEW DEV PH3</v>
          </cell>
          <cell r="H85" t="str">
            <v>Install 985ft-4" and 2691ft-2"--Woodfield Development (Extension)</v>
          </cell>
          <cell r="I85">
            <v>3676</v>
          </cell>
          <cell r="J85">
            <v>2691</v>
          </cell>
          <cell r="K85">
            <v>985</v>
          </cell>
          <cell r="L85">
            <v>64</v>
          </cell>
          <cell r="M85">
            <v>18278.400000000001</v>
          </cell>
          <cell r="N85">
            <v>24622</v>
          </cell>
          <cell r="O85">
            <v>6343.5999999999985</v>
          </cell>
          <cell r="P85">
            <v>2467.25</v>
          </cell>
          <cell r="R85">
            <v>15811.15</v>
          </cell>
        </row>
        <row r="86">
          <cell r="A86" t="str">
            <v>05</v>
          </cell>
          <cell r="B86">
            <v>376</v>
          </cell>
          <cell r="D86">
            <v>36922</v>
          </cell>
          <cell r="E86" t="str">
            <v>DE-WYNN WOOD DEV</v>
          </cell>
          <cell r="F86" t="str">
            <v>MAIN NEW</v>
          </cell>
          <cell r="H86" t="str">
            <v>2000 Project</v>
          </cell>
          <cell r="I86">
            <v>1500</v>
          </cell>
          <cell r="L86">
            <v>51</v>
          </cell>
          <cell r="M86">
            <v>2172.37</v>
          </cell>
          <cell r="N86">
            <v>2172</v>
          </cell>
          <cell r="O86">
            <v>-0.36999999999989086</v>
          </cell>
          <cell r="P86">
            <v>27.37</v>
          </cell>
          <cell r="R86">
            <v>2145</v>
          </cell>
        </row>
        <row r="87">
          <cell r="H87" t="str">
            <v>Subtotal Group 05</v>
          </cell>
          <cell r="M87">
            <v>515029.89999999997</v>
          </cell>
          <cell r="N87">
            <v>876080.23</v>
          </cell>
          <cell r="O87">
            <v>361050.33</v>
          </cell>
        </row>
        <row r="89">
          <cell r="A89" t="str">
            <v>05S</v>
          </cell>
          <cell r="B89" t="str">
            <v>376</v>
          </cell>
          <cell r="G89" t="str">
            <v>Mains - New Customers</v>
          </cell>
        </row>
        <row r="90">
          <cell r="A90" t="str">
            <v>05S</v>
          </cell>
          <cell r="B90" t="str">
            <v>376</v>
          </cell>
          <cell r="H90" t="str">
            <v>BLANKET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05S</v>
          </cell>
          <cell r="B91">
            <v>376</v>
          </cell>
          <cell r="C91">
            <v>36956</v>
          </cell>
          <cell r="D91">
            <v>37225</v>
          </cell>
          <cell r="E91" t="str">
            <v>DE-HOLLY OAK MHP II</v>
          </cell>
          <cell r="F91" t="str">
            <v>MAIN NEW DEV</v>
          </cell>
          <cell r="H91" t="str">
            <v>Install 2400 ft- 2" main, Holly Oak MHP II, 40 New lots</v>
          </cell>
          <cell r="I91">
            <v>2400</v>
          </cell>
          <cell r="J91">
            <v>2125</v>
          </cell>
          <cell r="L91">
            <v>90</v>
          </cell>
          <cell r="M91">
            <v>9900.75</v>
          </cell>
          <cell r="N91">
            <v>12488</v>
          </cell>
          <cell r="O91">
            <v>2587.25</v>
          </cell>
          <cell r="P91">
            <v>1025.75</v>
          </cell>
          <cell r="R91">
            <v>8875</v>
          </cell>
        </row>
        <row r="92">
          <cell r="A92" t="str">
            <v>05S</v>
          </cell>
          <cell r="B92">
            <v>376</v>
          </cell>
          <cell r="C92">
            <v>36956</v>
          </cell>
          <cell r="D92">
            <v>37134</v>
          </cell>
          <cell r="E92" t="str">
            <v>DE-LITTLE MEADOW</v>
          </cell>
          <cell r="F92" t="str">
            <v>MAIN NEW APPR</v>
          </cell>
          <cell r="H92" t="str">
            <v>Extend main to Little Meadows Development(Approach Mn)-4 inch pl</v>
          </cell>
          <cell r="I92">
            <v>685</v>
          </cell>
          <cell r="J92">
            <v>930</v>
          </cell>
          <cell r="K92">
            <v>1757</v>
          </cell>
          <cell r="L92">
            <v>84</v>
          </cell>
          <cell r="M92">
            <v>9930.0400000000009</v>
          </cell>
          <cell r="N92">
            <v>10506</v>
          </cell>
          <cell r="O92">
            <v>575.95999999999913</v>
          </cell>
          <cell r="P92">
            <v>3505.04</v>
          </cell>
          <cell r="R92">
            <v>6425</v>
          </cell>
        </row>
        <row r="93">
          <cell r="A93" t="str">
            <v>05S</v>
          </cell>
          <cell r="B93">
            <v>376</v>
          </cell>
          <cell r="C93">
            <v>36956</v>
          </cell>
          <cell r="D93">
            <v>37134</v>
          </cell>
          <cell r="E93" t="str">
            <v>DE-LITTLE MEADOW</v>
          </cell>
          <cell r="F93" t="str">
            <v>MAIN NEW DEV</v>
          </cell>
          <cell r="H93" t="str">
            <v>Extend main to Little Meadows Development(DEV-Main)-2 inch pl</v>
          </cell>
          <cell r="I93">
            <v>3800</v>
          </cell>
          <cell r="J93">
            <v>3750</v>
          </cell>
          <cell r="L93">
            <v>84</v>
          </cell>
          <cell r="M93">
            <v>11539.130000000001</v>
          </cell>
          <cell r="N93">
            <v>17006</v>
          </cell>
          <cell r="O93">
            <v>5466.869999999999</v>
          </cell>
          <cell r="P93">
            <v>2635.38</v>
          </cell>
          <cell r="R93">
            <v>8903.75</v>
          </cell>
        </row>
        <row r="94">
          <cell r="A94" t="str">
            <v>05S</v>
          </cell>
          <cell r="B94">
            <v>376</v>
          </cell>
          <cell r="C94">
            <v>37035</v>
          </cell>
          <cell r="D94">
            <v>37134</v>
          </cell>
          <cell r="E94" t="str">
            <v>DE-YORKTOWN WOODS</v>
          </cell>
          <cell r="F94" t="str">
            <v>MAIN NEW APPR</v>
          </cell>
          <cell r="H94" t="str">
            <v>ADD-Extend new main 1000',2"pl to Yorktowne Woods Dev, Nylon Ave Seaford</v>
          </cell>
          <cell r="I94">
            <v>1000</v>
          </cell>
          <cell r="J94">
            <v>1130</v>
          </cell>
          <cell r="L94">
            <v>81</v>
          </cell>
          <cell r="M94">
            <v>5259.97</v>
          </cell>
          <cell r="N94">
            <v>5415</v>
          </cell>
          <cell r="O94">
            <v>155.02999999999975</v>
          </cell>
          <cell r="P94">
            <v>522.47</v>
          </cell>
          <cell r="R94">
            <v>4737.5</v>
          </cell>
        </row>
        <row r="95">
          <cell r="H95" t="str">
            <v>Subtotal Group 05S</v>
          </cell>
          <cell r="M95">
            <v>36629.89</v>
          </cell>
          <cell r="N95">
            <v>45415</v>
          </cell>
          <cell r="O95">
            <v>8785.1099999999969</v>
          </cell>
        </row>
        <row r="97">
          <cell r="A97" t="str">
            <v>06</v>
          </cell>
          <cell r="B97" t="str">
            <v>376</v>
          </cell>
          <cell r="G97" t="str">
            <v>Mains - Replacement</v>
          </cell>
        </row>
        <row r="98">
          <cell r="A98" t="str">
            <v>06</v>
          </cell>
          <cell r="B98" t="str">
            <v>376</v>
          </cell>
          <cell r="H98" t="str">
            <v>Replace 2" Bare Steel Main with 2" Plastic Main (2500')</v>
          </cell>
          <cell r="M98">
            <v>116.69</v>
          </cell>
          <cell r="N98">
            <v>22100</v>
          </cell>
          <cell r="O98">
            <v>21983.31</v>
          </cell>
          <cell r="P98">
            <v>116.69</v>
          </cell>
        </row>
        <row r="99">
          <cell r="A99" t="str">
            <v>06</v>
          </cell>
          <cell r="B99">
            <v>376</v>
          </cell>
          <cell r="C99">
            <v>37032</v>
          </cell>
          <cell r="D99">
            <v>37195</v>
          </cell>
          <cell r="E99" t="str">
            <v>DE-BROAD ST</v>
          </cell>
          <cell r="F99" t="str">
            <v>MAIN REPLACE</v>
          </cell>
          <cell r="H99" t="str">
            <v>ADD-Replace 2" BS, main on Broad St in Wyoming from Mech St West to End</v>
          </cell>
          <cell r="I99">
            <v>326</v>
          </cell>
          <cell r="J99">
            <v>330</v>
          </cell>
          <cell r="L99">
            <v>66</v>
          </cell>
          <cell r="M99">
            <v>2482</v>
          </cell>
          <cell r="N99">
            <v>3481</v>
          </cell>
          <cell r="O99">
            <v>999</v>
          </cell>
          <cell r="R99">
            <v>2482</v>
          </cell>
        </row>
        <row r="100">
          <cell r="A100" t="str">
            <v>06</v>
          </cell>
          <cell r="B100" t="str">
            <v>376</v>
          </cell>
          <cell r="C100">
            <v>36896</v>
          </cell>
          <cell r="D100">
            <v>36950</v>
          </cell>
          <cell r="E100" t="str">
            <v>DE-DOV SHOP CTR</v>
          </cell>
          <cell r="F100" t="str">
            <v>MAIN REPLACE</v>
          </cell>
          <cell r="H100" t="str">
            <v>Replace @300ft 2inch pl main, Center of Dover Shopping Center</v>
          </cell>
          <cell r="I100">
            <v>300</v>
          </cell>
          <cell r="J100">
            <v>300</v>
          </cell>
          <cell r="L100">
            <v>60</v>
          </cell>
          <cell r="M100">
            <v>3631.27</v>
          </cell>
          <cell r="N100">
            <v>4577</v>
          </cell>
          <cell r="O100">
            <v>945.73</v>
          </cell>
          <cell r="P100">
            <v>131.27000000000001</v>
          </cell>
          <cell r="R100">
            <v>3500</v>
          </cell>
        </row>
        <row r="101">
          <cell r="A101" t="str">
            <v>06</v>
          </cell>
          <cell r="B101">
            <v>376</v>
          </cell>
          <cell r="C101">
            <v>37141</v>
          </cell>
          <cell r="D101">
            <v>37195</v>
          </cell>
          <cell r="E101" t="str">
            <v>DE-EAST ST</v>
          </cell>
          <cell r="F101" t="str">
            <v>MAIN REPLACE</v>
          </cell>
          <cell r="H101" t="str">
            <v>ADD-Replace 700' 2" Bare Steel Main with 2" Plastic Main</v>
          </cell>
          <cell r="I101">
            <v>700</v>
          </cell>
          <cell r="J101">
            <v>700</v>
          </cell>
          <cell r="L101">
            <v>65</v>
          </cell>
          <cell r="M101">
            <v>13155.38</v>
          </cell>
          <cell r="N101">
            <v>19450</v>
          </cell>
          <cell r="O101">
            <v>6294.6200000000008</v>
          </cell>
          <cell r="P101">
            <v>247.53</v>
          </cell>
          <cell r="Q101">
            <v>17.850000000000001</v>
          </cell>
          <cell r="R101">
            <v>12890</v>
          </cell>
        </row>
        <row r="102">
          <cell r="A102" t="str">
            <v>06</v>
          </cell>
          <cell r="B102">
            <v>376</v>
          </cell>
          <cell r="C102">
            <v>37215</v>
          </cell>
          <cell r="E102" t="str">
            <v>DE-EDGEHILL &amp; HALSEY</v>
          </cell>
          <cell r="F102" t="str">
            <v>MAIN REPLACE</v>
          </cell>
          <cell r="H102" t="str">
            <v>ADD-Replace 735' of 2" bare steel on Edgehill &amp; 540' on S Halsey with 2" pl</v>
          </cell>
          <cell r="I102">
            <v>1275</v>
          </cell>
          <cell r="L102">
            <v>60</v>
          </cell>
          <cell r="M102">
            <v>0</v>
          </cell>
          <cell r="N102">
            <v>23096</v>
          </cell>
          <cell r="O102">
            <v>23096</v>
          </cell>
        </row>
        <row r="103">
          <cell r="A103" t="str">
            <v>06</v>
          </cell>
          <cell r="B103">
            <v>376</v>
          </cell>
          <cell r="C103">
            <v>37147</v>
          </cell>
          <cell r="D103">
            <v>37225</v>
          </cell>
          <cell r="E103" t="str">
            <v>DE-HIGHLAND AVE</v>
          </cell>
          <cell r="F103" t="str">
            <v>MAIN REPLACE</v>
          </cell>
          <cell r="H103" t="str">
            <v>Replace 710' of 2" Bare Steel with 2" plastic on Highland Ave in Clayton</v>
          </cell>
          <cell r="I103">
            <v>710</v>
          </cell>
          <cell r="L103">
            <v>51</v>
          </cell>
          <cell r="M103">
            <v>10111.040000000001</v>
          </cell>
          <cell r="N103">
            <v>14872.59</v>
          </cell>
          <cell r="O103">
            <v>4761.5499999999993</v>
          </cell>
          <cell r="P103">
            <v>361.04</v>
          </cell>
          <cell r="R103">
            <v>9750</v>
          </cell>
        </row>
        <row r="104">
          <cell r="A104" t="str">
            <v>06</v>
          </cell>
          <cell r="B104">
            <v>376</v>
          </cell>
          <cell r="C104">
            <v>37033</v>
          </cell>
          <cell r="D104">
            <v>37195</v>
          </cell>
          <cell r="E104" t="str">
            <v>DE-MECHANIC ST</v>
          </cell>
          <cell r="F104" t="str">
            <v>MAIN REPLACE</v>
          </cell>
          <cell r="H104" t="str">
            <v>Replace 2" BS, main on Mechanic St in Wyoming from 3rd St to Grant St</v>
          </cell>
          <cell r="I104">
            <v>680</v>
          </cell>
          <cell r="J104">
            <v>500</v>
          </cell>
          <cell r="L104">
            <v>66</v>
          </cell>
          <cell r="M104">
            <v>10991.279999999999</v>
          </cell>
          <cell r="N104">
            <v>16543</v>
          </cell>
          <cell r="O104">
            <v>5551.7200000000012</v>
          </cell>
          <cell r="P104">
            <v>181.89</v>
          </cell>
          <cell r="R104">
            <v>10809.39</v>
          </cell>
        </row>
        <row r="105">
          <cell r="A105" t="str">
            <v>06</v>
          </cell>
          <cell r="B105">
            <v>376</v>
          </cell>
          <cell r="C105">
            <v>37165</v>
          </cell>
          <cell r="E105" t="str">
            <v>DE-MESSINA HILL RD</v>
          </cell>
          <cell r="F105" t="str">
            <v>MAIN REPLACE</v>
          </cell>
          <cell r="H105" t="str">
            <v>ADD-Replace 3100' of 4" Bare Steel with 6" Plastic on Messina Hill Rd in Cheswold</v>
          </cell>
          <cell r="I105">
            <v>3100</v>
          </cell>
          <cell r="K105">
            <v>2200</v>
          </cell>
          <cell r="L105">
            <v>57</v>
          </cell>
          <cell r="M105">
            <v>0</v>
          </cell>
          <cell r="N105">
            <v>63712</v>
          </cell>
          <cell r="O105">
            <v>63712</v>
          </cell>
        </row>
        <row r="106">
          <cell r="A106" t="str">
            <v>06</v>
          </cell>
          <cell r="B106">
            <v>376</v>
          </cell>
          <cell r="C106">
            <v>37033</v>
          </cell>
          <cell r="D106">
            <v>37195</v>
          </cell>
          <cell r="E106" t="str">
            <v>DE-SO STATE ST DOV</v>
          </cell>
          <cell r="F106" t="str">
            <v>MAIN RELOCATE</v>
          </cell>
          <cell r="H106" t="str">
            <v>Relocate of existing 4" due to conflicts w/storm drain wk performed by DELDOT</v>
          </cell>
          <cell r="J106">
            <v>100</v>
          </cell>
          <cell r="L106">
            <v>60</v>
          </cell>
          <cell r="M106">
            <v>30894.61</v>
          </cell>
          <cell r="N106">
            <v>24000</v>
          </cell>
          <cell r="O106">
            <v>-6894.6100000000006</v>
          </cell>
          <cell r="P106">
            <v>618.73</v>
          </cell>
          <cell r="R106">
            <v>27784</v>
          </cell>
          <cell r="T106">
            <v>2491.88</v>
          </cell>
        </row>
        <row r="107">
          <cell r="A107" t="str">
            <v>06</v>
          </cell>
          <cell r="B107">
            <v>376</v>
          </cell>
          <cell r="C107">
            <v>36949</v>
          </cell>
          <cell r="D107">
            <v>37164</v>
          </cell>
          <cell r="E107" t="str">
            <v>DE-THE MEADOWS</v>
          </cell>
          <cell r="F107" t="str">
            <v>MAIN RELOC</v>
          </cell>
          <cell r="H107" t="str">
            <v>Replace &amp; Relocate-2" pl main in the Meadows Housing Dev</v>
          </cell>
          <cell r="I107">
            <v>580</v>
          </cell>
          <cell r="J107">
            <v>580</v>
          </cell>
          <cell r="L107">
            <v>60</v>
          </cell>
          <cell r="M107">
            <v>3732.93</v>
          </cell>
          <cell r="N107">
            <v>4880</v>
          </cell>
          <cell r="O107">
            <v>1147.0700000000002</v>
          </cell>
          <cell r="P107">
            <v>232.93</v>
          </cell>
          <cell r="R107">
            <v>3500</v>
          </cell>
        </row>
        <row r="108">
          <cell r="A108" t="str">
            <v>06</v>
          </cell>
          <cell r="B108">
            <v>376</v>
          </cell>
          <cell r="C108">
            <v>37147</v>
          </cell>
          <cell r="D108">
            <v>37225</v>
          </cell>
          <cell r="E108" t="str">
            <v>DE-WEST MAIN</v>
          </cell>
          <cell r="F108" t="str">
            <v>MAIN REPLACE</v>
          </cell>
          <cell r="H108" t="str">
            <v>Replace 630' of 2" Bare Steel with 2" plastic on West Main in Clayton</v>
          </cell>
          <cell r="I108">
            <v>630</v>
          </cell>
          <cell r="J108">
            <v>650</v>
          </cell>
          <cell r="L108">
            <v>51</v>
          </cell>
          <cell r="M108">
            <v>9339.85</v>
          </cell>
          <cell r="N108">
            <v>23040.11</v>
          </cell>
          <cell r="O108">
            <v>13700.26</v>
          </cell>
          <cell r="P108">
            <v>229.85</v>
          </cell>
          <cell r="R108">
            <v>9110</v>
          </cell>
        </row>
        <row r="109">
          <cell r="A109" t="str">
            <v>06</v>
          </cell>
          <cell r="B109" t="str">
            <v>376</v>
          </cell>
          <cell r="H109" t="str">
            <v>BLANKET</v>
          </cell>
          <cell r="M109">
            <v>0</v>
          </cell>
          <cell r="N109">
            <v>0</v>
          </cell>
          <cell r="O109">
            <v>0</v>
          </cell>
        </row>
        <row r="110">
          <cell r="H110" t="str">
            <v>Subtotal Group 06</v>
          </cell>
          <cell r="M110">
            <v>84455.05</v>
          </cell>
          <cell r="N110">
            <v>219751.7</v>
          </cell>
          <cell r="O110">
            <v>135296.65000000002</v>
          </cell>
        </row>
        <row r="112">
          <cell r="A112" t="str">
            <v>06S</v>
          </cell>
          <cell r="B112" t="str">
            <v>376</v>
          </cell>
          <cell r="G112" t="str">
            <v>Mains - Replacement</v>
          </cell>
        </row>
        <row r="113">
          <cell r="A113" t="str">
            <v>06S</v>
          </cell>
          <cell r="B113" t="str">
            <v>376</v>
          </cell>
          <cell r="H113" t="str">
            <v>Replace 1000', 4" Bare Steel Main-Seaford/Lrl Hwy (13A) with 4" PL</v>
          </cell>
          <cell r="M113">
            <v>0</v>
          </cell>
          <cell r="N113">
            <v>22800</v>
          </cell>
          <cell r="O113">
            <v>22800</v>
          </cell>
        </row>
        <row r="114">
          <cell r="A114" t="str">
            <v>06S</v>
          </cell>
          <cell r="B114" t="str">
            <v>376</v>
          </cell>
          <cell r="H114" t="str">
            <v>Replace 1000', 4" Bare Steel Main-Rt 13A Laurel-Seaford with 4" PL</v>
          </cell>
          <cell r="M114">
            <v>0</v>
          </cell>
          <cell r="N114">
            <v>22800</v>
          </cell>
          <cell r="O114">
            <v>22800</v>
          </cell>
        </row>
        <row r="115">
          <cell r="A115" t="str">
            <v>06S</v>
          </cell>
          <cell r="B115" t="str">
            <v>376</v>
          </cell>
          <cell r="H115" t="str">
            <v>Replace 500', 2" Bare Steel Main-E. Sixth St-Laurel with 2" PL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06S</v>
          </cell>
          <cell r="B116" t="str">
            <v>376</v>
          </cell>
          <cell r="H116" t="str">
            <v>BLANKET</v>
          </cell>
          <cell r="M116">
            <v>0</v>
          </cell>
          <cell r="N116">
            <v>15000</v>
          </cell>
          <cell r="O116">
            <v>15000</v>
          </cell>
        </row>
        <row r="117">
          <cell r="H117" t="str">
            <v>Subtotal Group 06S</v>
          </cell>
          <cell r="M117">
            <v>0</v>
          </cell>
          <cell r="N117">
            <v>60600</v>
          </cell>
          <cell r="O117">
            <v>60600</v>
          </cell>
        </row>
        <row r="120">
          <cell r="A120" t="str">
            <v>07</v>
          </cell>
          <cell r="B120" t="str">
            <v>376</v>
          </cell>
          <cell r="G120" t="str">
            <v>Mains - Reinforcement</v>
          </cell>
        </row>
        <row r="121">
          <cell r="H121" t="str">
            <v>Subtotal Group 07</v>
          </cell>
          <cell r="N121">
            <v>0</v>
          </cell>
        </row>
        <row r="123">
          <cell r="A123" t="str">
            <v>07</v>
          </cell>
          <cell r="B123" t="str">
            <v>376</v>
          </cell>
          <cell r="G123" t="str">
            <v>Mains - Reinforcement</v>
          </cell>
        </row>
        <row r="124">
          <cell r="A124" t="str">
            <v>07</v>
          </cell>
          <cell r="B124" t="str">
            <v>376</v>
          </cell>
          <cell r="C124">
            <v>36892</v>
          </cell>
          <cell r="D124">
            <v>36922</v>
          </cell>
          <cell r="E124" t="str">
            <v>DE-S STATE DOV</v>
          </cell>
          <cell r="F124" t="str">
            <v>MAIN REINFORCE</v>
          </cell>
          <cell r="H124" t="str">
            <v>ADD-Carryover-Main Reinforcement 4" pl main-(S. State)</v>
          </cell>
          <cell r="I124">
            <v>2800</v>
          </cell>
          <cell r="K124">
            <v>2700</v>
          </cell>
          <cell r="L124">
            <v>65</v>
          </cell>
          <cell r="M124">
            <v>58435.25</v>
          </cell>
          <cell r="N124">
            <v>69847</v>
          </cell>
          <cell r="O124">
            <v>11411.75</v>
          </cell>
          <cell r="P124">
            <v>1383.06</v>
          </cell>
          <cell r="Q124">
            <v>386</v>
          </cell>
          <cell r="R124">
            <v>56084</v>
          </cell>
          <cell r="T124">
            <v>582.19000000000005</v>
          </cell>
        </row>
        <row r="125">
          <cell r="H125" t="str">
            <v>Subtotal Group 07</v>
          </cell>
          <cell r="M125">
            <v>58435.25</v>
          </cell>
          <cell r="N125">
            <v>69847</v>
          </cell>
          <cell r="O125">
            <v>11411.75</v>
          </cell>
        </row>
        <row r="127">
          <cell r="A127" t="str">
            <v>07S</v>
          </cell>
          <cell r="B127" t="str">
            <v>376</v>
          </cell>
          <cell r="G127" t="str">
            <v>Mains - Reinforcement</v>
          </cell>
        </row>
        <row r="128">
          <cell r="A128" t="str">
            <v>07S</v>
          </cell>
          <cell r="B128" t="str">
            <v>376</v>
          </cell>
          <cell r="H128" t="str">
            <v>BLANKET</v>
          </cell>
          <cell r="M128">
            <v>0</v>
          </cell>
          <cell r="N128">
            <v>0</v>
          </cell>
          <cell r="O128">
            <v>0</v>
          </cell>
        </row>
        <row r="129">
          <cell r="H129" t="str">
            <v>Subtotal Group 07S</v>
          </cell>
          <cell r="M129">
            <v>0</v>
          </cell>
          <cell r="N129">
            <v>0</v>
          </cell>
          <cell r="O129">
            <v>0</v>
          </cell>
        </row>
        <row r="131">
          <cell r="A131" t="str">
            <v>08</v>
          </cell>
          <cell r="B131" t="str">
            <v>378</v>
          </cell>
          <cell r="G131" t="str">
            <v>M &amp; R Stations - General</v>
          </cell>
        </row>
        <row r="132">
          <cell r="A132" t="str">
            <v>08</v>
          </cell>
          <cell r="B132" t="str">
            <v>378</v>
          </cell>
          <cell r="C132">
            <v>37202</v>
          </cell>
          <cell r="E132" t="str">
            <v>DE-LAKE FOREST HS</v>
          </cell>
          <cell r="F132" t="str">
            <v>MR GEN</v>
          </cell>
          <cell r="H132" t="str">
            <v>Install a Ditrict Regulator set @ Lake Forrest HS</v>
          </cell>
          <cell r="L132">
            <v>69</v>
          </cell>
          <cell r="M132">
            <v>3784</v>
          </cell>
          <cell r="N132">
            <v>8470</v>
          </cell>
          <cell r="O132">
            <v>4686</v>
          </cell>
          <cell r="R132">
            <v>3784</v>
          </cell>
        </row>
        <row r="133">
          <cell r="A133" t="str">
            <v>08</v>
          </cell>
          <cell r="B133" t="str">
            <v>378</v>
          </cell>
          <cell r="H133" t="str">
            <v>BLANKET</v>
          </cell>
          <cell r="M133">
            <v>0</v>
          </cell>
          <cell r="N133">
            <v>1310</v>
          </cell>
          <cell r="O133">
            <v>1310</v>
          </cell>
        </row>
        <row r="134">
          <cell r="H134" t="str">
            <v>Subtotal Group 08</v>
          </cell>
          <cell r="M134">
            <v>3784</v>
          </cell>
          <cell r="N134">
            <v>9780</v>
          </cell>
          <cell r="O134">
            <v>5996</v>
          </cell>
        </row>
        <row r="136">
          <cell r="A136" t="str">
            <v>08S</v>
          </cell>
          <cell r="B136" t="str">
            <v>378</v>
          </cell>
          <cell r="D136">
            <v>36891</v>
          </cell>
          <cell r="E136" t="str">
            <v>DE-M&amp;R GEN</v>
          </cell>
          <cell r="F136" t="str">
            <v>DELMAR HIGH</v>
          </cell>
          <cell r="H136" t="str">
            <v>Delmar High M&amp;R</v>
          </cell>
          <cell r="M136">
            <v>199.44</v>
          </cell>
          <cell r="N136">
            <v>0</v>
          </cell>
          <cell r="O136">
            <v>-199.44</v>
          </cell>
          <cell r="P136">
            <v>199.44</v>
          </cell>
        </row>
        <row r="137">
          <cell r="H137" t="str">
            <v>Subtotal Group 08S</v>
          </cell>
          <cell r="M137">
            <v>199.44</v>
          </cell>
          <cell r="N137">
            <v>0</v>
          </cell>
          <cell r="O137">
            <v>-199.44</v>
          </cell>
        </row>
        <row r="139">
          <cell r="A139" t="str">
            <v>08S</v>
          </cell>
          <cell r="B139" t="str">
            <v>378</v>
          </cell>
          <cell r="G139" t="str">
            <v>M &amp; R Stations - General</v>
          </cell>
        </row>
        <row r="142">
          <cell r="A142" t="str">
            <v>09</v>
          </cell>
          <cell r="B142" t="str">
            <v>379</v>
          </cell>
          <cell r="G142" t="str">
            <v>M &amp; R Stations - City Gate</v>
          </cell>
        </row>
        <row r="143">
          <cell r="A143" t="str">
            <v>09</v>
          </cell>
          <cell r="B143" t="str">
            <v>379</v>
          </cell>
          <cell r="H143" t="str">
            <v>BLANKET</v>
          </cell>
          <cell r="M143">
            <v>0</v>
          </cell>
          <cell r="N143">
            <v>0</v>
          </cell>
          <cell r="O143">
            <v>0</v>
          </cell>
        </row>
        <row r="144">
          <cell r="H144" t="str">
            <v>Subtotal group 09</v>
          </cell>
          <cell r="M144">
            <v>0</v>
          </cell>
          <cell r="N144">
            <v>0</v>
          </cell>
          <cell r="O144">
            <v>0</v>
          </cell>
        </row>
        <row r="146">
          <cell r="A146" t="str">
            <v>09S</v>
          </cell>
          <cell r="B146" t="str">
            <v>379</v>
          </cell>
          <cell r="G146" t="str">
            <v>M &amp; R Stations - City Gate</v>
          </cell>
        </row>
        <row r="147">
          <cell r="A147" t="str">
            <v>09S</v>
          </cell>
          <cell r="B147" t="str">
            <v>379</v>
          </cell>
          <cell r="H147" t="str">
            <v>BLANKET</v>
          </cell>
          <cell r="M147">
            <v>0</v>
          </cell>
          <cell r="N147">
            <v>0</v>
          </cell>
          <cell r="O147">
            <v>0</v>
          </cell>
        </row>
        <row r="148">
          <cell r="H148" t="str">
            <v>Subtotal Group 09S</v>
          </cell>
          <cell r="M148">
            <v>0</v>
          </cell>
          <cell r="N148">
            <v>0</v>
          </cell>
          <cell r="O148">
            <v>0</v>
          </cell>
        </row>
        <row r="150">
          <cell r="A150" t="str">
            <v>10</v>
          </cell>
          <cell r="B150" t="str">
            <v>380</v>
          </cell>
          <cell r="G150" t="str">
            <v>Services - 1/2"</v>
          </cell>
        </row>
        <row r="151">
          <cell r="A151" t="str">
            <v>10</v>
          </cell>
          <cell r="B151" t="str">
            <v>380</v>
          </cell>
          <cell r="C151">
            <v>36892</v>
          </cell>
          <cell r="E151" t="str">
            <v>DE-SVC</v>
          </cell>
          <cell r="F151" t="str">
            <v>1/2 INCH-DOV</v>
          </cell>
          <cell r="H151" t="str">
            <v>BLANKET</v>
          </cell>
          <cell r="M151">
            <v>2002.3</v>
          </cell>
          <cell r="N151">
            <v>7920</v>
          </cell>
          <cell r="O151">
            <v>5917.7</v>
          </cell>
          <cell r="P151">
            <v>-8.69</v>
          </cell>
          <cell r="T151">
            <v>2010.99</v>
          </cell>
        </row>
        <row r="152">
          <cell r="H152" t="str">
            <v>Subtotal Group 10</v>
          </cell>
          <cell r="M152">
            <v>2002.3</v>
          </cell>
          <cell r="N152">
            <v>7920</v>
          </cell>
          <cell r="O152">
            <v>5917.7</v>
          </cell>
        </row>
        <row r="154">
          <cell r="A154" t="str">
            <v>10S</v>
          </cell>
          <cell r="B154" t="str">
            <v>380</v>
          </cell>
          <cell r="G154" t="str">
            <v>Services - 1/2"</v>
          </cell>
        </row>
        <row r="157">
          <cell r="A157" t="str">
            <v>10S</v>
          </cell>
          <cell r="B157" t="str">
            <v>380</v>
          </cell>
          <cell r="G157" t="str">
            <v>Services - 1/2"</v>
          </cell>
        </row>
        <row r="158">
          <cell r="A158" t="str">
            <v>10S</v>
          </cell>
          <cell r="B158" t="str">
            <v>380</v>
          </cell>
          <cell r="C158">
            <v>36892</v>
          </cell>
          <cell r="E158" t="str">
            <v>DE-SVC</v>
          </cell>
          <cell r="F158" t="str">
            <v>1/2 INCH-SUS</v>
          </cell>
          <cell r="H158" t="str">
            <v>BLANKET</v>
          </cell>
          <cell r="J158">
            <v>75</v>
          </cell>
          <cell r="M158">
            <v>6231.9299999999994</v>
          </cell>
          <cell r="N158">
            <v>4500</v>
          </cell>
          <cell r="O158">
            <v>-1731.9299999999994</v>
          </cell>
          <cell r="P158">
            <v>400.12</v>
          </cell>
          <cell r="T158">
            <v>5831.8099999999995</v>
          </cell>
        </row>
        <row r="159">
          <cell r="H159" t="str">
            <v>Subtotal Group 10S</v>
          </cell>
          <cell r="M159">
            <v>6231.9299999999994</v>
          </cell>
          <cell r="N159">
            <v>4500</v>
          </cell>
          <cell r="O159">
            <v>-1731.9299999999994</v>
          </cell>
        </row>
        <row r="161">
          <cell r="A161" t="str">
            <v>11</v>
          </cell>
          <cell r="B161" t="str">
            <v>380</v>
          </cell>
          <cell r="E161" t="str">
            <v>DE-SVC</v>
          </cell>
          <cell r="F161" t="str">
            <v>3/4 INCH-DOV</v>
          </cell>
          <cell r="G161" t="str">
            <v>Services - 3/4"</v>
          </cell>
        </row>
        <row r="162">
          <cell r="A162" t="str">
            <v>11</v>
          </cell>
          <cell r="B162" t="str">
            <v>380</v>
          </cell>
          <cell r="C162">
            <v>36892</v>
          </cell>
          <cell r="E162" t="str">
            <v>DE-SVC INTERNAL</v>
          </cell>
          <cell r="F162" t="str">
            <v>3/4 INCH-DOV</v>
          </cell>
          <cell r="H162" t="str">
            <v>BLANKET-Installations performed Internally</v>
          </cell>
          <cell r="J162">
            <v>83821</v>
          </cell>
          <cell r="M162">
            <v>366473.94</v>
          </cell>
          <cell r="N162">
            <v>336341</v>
          </cell>
          <cell r="O162">
            <v>-30132.940000000002</v>
          </cell>
          <cell r="P162">
            <v>33676.869999999995</v>
          </cell>
          <cell r="Q162">
            <v>1125</v>
          </cell>
          <cell r="R162">
            <v>1201.01</v>
          </cell>
          <cell r="T162">
            <v>330471.06</v>
          </cell>
        </row>
        <row r="163">
          <cell r="A163" t="str">
            <v>11</v>
          </cell>
          <cell r="B163" t="str">
            <v>380</v>
          </cell>
          <cell r="C163">
            <v>36892</v>
          </cell>
          <cell r="E163" t="str">
            <v>DE-SVC CONTR</v>
          </cell>
          <cell r="F163" t="str">
            <v>3/4 INCH-DOV</v>
          </cell>
          <cell r="H163" t="str">
            <v>BLANKET-Installatons performed by Contractor</v>
          </cell>
          <cell r="J163">
            <v>51852</v>
          </cell>
          <cell r="K163">
            <v>550</v>
          </cell>
          <cell r="M163">
            <v>278639.17000000004</v>
          </cell>
          <cell r="N163">
            <v>280179</v>
          </cell>
          <cell r="O163">
            <v>1539.8299999999581</v>
          </cell>
          <cell r="P163">
            <v>33990.26</v>
          </cell>
          <cell r="Q163">
            <v>20773.510000000002</v>
          </cell>
          <cell r="R163">
            <v>208273</v>
          </cell>
          <cell r="S163">
            <v>15602.4</v>
          </cell>
        </row>
        <row r="164">
          <cell r="H164" t="str">
            <v>Subtotal Group 11</v>
          </cell>
          <cell r="M164">
            <v>645113.1100000001</v>
          </cell>
          <cell r="N164">
            <v>616520</v>
          </cell>
          <cell r="O164">
            <v>-28593.110000000044</v>
          </cell>
        </row>
        <row r="166">
          <cell r="A166" t="str">
            <v>11S</v>
          </cell>
          <cell r="B166" t="str">
            <v>380</v>
          </cell>
          <cell r="E166" t="str">
            <v>DE-SVC</v>
          </cell>
          <cell r="F166" t="str">
            <v>3/4 INCH-SUS</v>
          </cell>
          <cell r="G166" t="str">
            <v>Services - 3/4"</v>
          </cell>
        </row>
        <row r="167">
          <cell r="A167" t="str">
            <v>11S</v>
          </cell>
          <cell r="B167" t="str">
            <v>380</v>
          </cell>
          <cell r="C167">
            <v>36892</v>
          </cell>
          <cell r="E167" t="str">
            <v>DE-SVC INTERNAL</v>
          </cell>
          <cell r="F167" t="str">
            <v>3/4 INCH-SUS</v>
          </cell>
          <cell r="H167" t="str">
            <v>BLANKET-Installations performed Internally</v>
          </cell>
          <cell r="J167">
            <v>9632</v>
          </cell>
          <cell r="K167">
            <v>1680</v>
          </cell>
          <cell r="M167">
            <v>32874.649999999994</v>
          </cell>
          <cell r="N167">
            <v>69340</v>
          </cell>
          <cell r="O167">
            <v>36465.350000000006</v>
          </cell>
          <cell r="P167">
            <v>8525.36</v>
          </cell>
          <cell r="T167">
            <v>24349.289999999997</v>
          </cell>
        </row>
        <row r="168">
          <cell r="A168" t="str">
            <v>11S</v>
          </cell>
          <cell r="B168" t="str">
            <v>380</v>
          </cell>
          <cell r="C168">
            <v>36892</v>
          </cell>
          <cell r="E168" t="str">
            <v>DE-SVC CONTR</v>
          </cell>
          <cell r="F168" t="str">
            <v>3/4 INCH-SUS</v>
          </cell>
          <cell r="H168" t="str">
            <v>BLANKET-Installations performed by Contractor</v>
          </cell>
          <cell r="M168">
            <v>7304.11</v>
          </cell>
          <cell r="N168">
            <v>26660</v>
          </cell>
          <cell r="O168">
            <v>19355.89</v>
          </cell>
          <cell r="R168">
            <v>7304.11</v>
          </cell>
        </row>
        <row r="169">
          <cell r="H169" t="str">
            <v>Subtotal Group 11S</v>
          </cell>
          <cell r="M169">
            <v>40178.759999999995</v>
          </cell>
          <cell r="N169">
            <v>96000</v>
          </cell>
          <cell r="O169">
            <v>55821.240000000005</v>
          </cell>
        </row>
        <row r="171">
          <cell r="A171" t="str">
            <v>12</v>
          </cell>
          <cell r="B171" t="str">
            <v>380</v>
          </cell>
          <cell r="G171" t="str">
            <v>Services - 1"</v>
          </cell>
        </row>
        <row r="173">
          <cell r="A173" t="str">
            <v>13</v>
          </cell>
          <cell r="B173" t="str">
            <v>380</v>
          </cell>
          <cell r="G173" t="str">
            <v>Services - 1 1/4"</v>
          </cell>
        </row>
        <row r="174">
          <cell r="A174" t="str">
            <v>13</v>
          </cell>
          <cell r="B174" t="str">
            <v>380</v>
          </cell>
          <cell r="C174">
            <v>36892</v>
          </cell>
          <cell r="E174" t="str">
            <v>DE-SVC</v>
          </cell>
          <cell r="F174" t="str">
            <v>1 1/4 INCH-DOV</v>
          </cell>
          <cell r="H174" t="str">
            <v>BLANKET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13</v>
          </cell>
          <cell r="B175" t="str">
            <v>380</v>
          </cell>
          <cell r="C175">
            <v>36892</v>
          </cell>
          <cell r="E175" t="str">
            <v>DE-SVC INTERNAL</v>
          </cell>
          <cell r="F175" t="str">
            <v>1 1/4 INCH-DOV</v>
          </cell>
          <cell r="H175" t="str">
            <v>Services - Internal</v>
          </cell>
          <cell r="J175">
            <v>11211</v>
          </cell>
          <cell r="M175">
            <v>28436.959999999999</v>
          </cell>
          <cell r="N175">
            <v>34175</v>
          </cell>
          <cell r="O175">
            <v>5738.0400000000009</v>
          </cell>
          <cell r="P175">
            <v>4848.66</v>
          </cell>
          <cell r="R175">
            <v>187.85</v>
          </cell>
          <cell r="T175">
            <v>23400.45</v>
          </cell>
        </row>
        <row r="176">
          <cell r="A176" t="str">
            <v>13</v>
          </cell>
          <cell r="B176" t="str">
            <v>380</v>
          </cell>
          <cell r="C176">
            <v>36892</v>
          </cell>
          <cell r="E176" t="str">
            <v>DE-SVC CONTR</v>
          </cell>
          <cell r="F176" t="str">
            <v>1 1/4 INCH-DOV</v>
          </cell>
          <cell r="H176" t="str">
            <v>Services - Contractor</v>
          </cell>
          <cell r="J176">
            <v>1400</v>
          </cell>
          <cell r="M176">
            <v>11853.170000000002</v>
          </cell>
          <cell r="N176">
            <v>9744</v>
          </cell>
          <cell r="O176">
            <v>-2109.1700000000019</v>
          </cell>
          <cell r="P176">
            <v>702.84</v>
          </cell>
          <cell r="R176">
            <v>11150.330000000002</v>
          </cell>
        </row>
        <row r="177">
          <cell r="H177" t="str">
            <v>Subtotal Group 13</v>
          </cell>
          <cell r="M177">
            <v>40290.130000000005</v>
          </cell>
          <cell r="N177">
            <v>43919</v>
          </cell>
          <cell r="O177">
            <v>3628.869999999999</v>
          </cell>
        </row>
        <row r="179">
          <cell r="A179" t="str">
            <v>13S</v>
          </cell>
          <cell r="B179" t="str">
            <v>380</v>
          </cell>
          <cell r="G179" t="str">
            <v>Services - 1 1/4"</v>
          </cell>
        </row>
        <row r="182">
          <cell r="A182" t="str">
            <v>13S</v>
          </cell>
          <cell r="B182" t="str">
            <v>380</v>
          </cell>
          <cell r="G182" t="str">
            <v>Services - 1 1/4"</v>
          </cell>
        </row>
        <row r="183">
          <cell r="A183" t="str">
            <v>13S</v>
          </cell>
          <cell r="B183" t="str">
            <v>380</v>
          </cell>
          <cell r="C183">
            <v>36892</v>
          </cell>
          <cell r="E183" t="str">
            <v>DE-SVC</v>
          </cell>
          <cell r="F183" t="str">
            <v>1 1/4 INCH-SUS</v>
          </cell>
          <cell r="H183" t="str">
            <v>BLANKET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13S</v>
          </cell>
          <cell r="B184" t="str">
            <v>380</v>
          </cell>
          <cell r="C184">
            <v>36892</v>
          </cell>
          <cell r="E184" t="str">
            <v>DE-SVC INTERNAL</v>
          </cell>
          <cell r="F184" t="str">
            <v>1 1/4 INCH-SUS</v>
          </cell>
          <cell r="H184" t="str">
            <v>Services Internal</v>
          </cell>
          <cell r="J184">
            <v>545</v>
          </cell>
          <cell r="M184">
            <v>5462.98</v>
          </cell>
          <cell r="N184">
            <v>5000</v>
          </cell>
          <cell r="O184">
            <v>-462.97999999999956</v>
          </cell>
          <cell r="P184">
            <v>595</v>
          </cell>
          <cell r="T184">
            <v>4867.9799999999996</v>
          </cell>
        </row>
        <row r="185">
          <cell r="A185" t="str">
            <v>13S</v>
          </cell>
          <cell r="B185" t="str">
            <v>380</v>
          </cell>
          <cell r="C185">
            <v>36892</v>
          </cell>
          <cell r="E185" t="str">
            <v>DE-SVC CONTR</v>
          </cell>
          <cell r="F185" t="str">
            <v>1 1/4 INCH-SUS</v>
          </cell>
          <cell r="H185" t="str">
            <v>Services Contractor</v>
          </cell>
          <cell r="M185">
            <v>0</v>
          </cell>
          <cell r="N185">
            <v>0</v>
          </cell>
          <cell r="O185">
            <v>0</v>
          </cell>
        </row>
        <row r="186">
          <cell r="H186" t="str">
            <v>Subtotal Group 13S</v>
          </cell>
          <cell r="M186">
            <v>5462.98</v>
          </cell>
          <cell r="N186">
            <v>5000</v>
          </cell>
          <cell r="O186">
            <v>-462.97999999999956</v>
          </cell>
        </row>
        <row r="188">
          <cell r="A188" t="str">
            <v>14</v>
          </cell>
          <cell r="B188" t="str">
            <v>380</v>
          </cell>
          <cell r="G188" t="str">
            <v>Services 2"</v>
          </cell>
        </row>
        <row r="189">
          <cell r="A189" t="str">
            <v>14</v>
          </cell>
          <cell r="B189" t="str">
            <v>380</v>
          </cell>
          <cell r="H189" t="str">
            <v>Milford Project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14</v>
          </cell>
          <cell r="B190" t="str">
            <v>380</v>
          </cell>
          <cell r="H190" t="str">
            <v>BLANKET- working to determine actual project</v>
          </cell>
          <cell r="M190">
            <v>233.62</v>
          </cell>
          <cell r="N190">
            <v>0</v>
          </cell>
          <cell r="O190">
            <v>-233.62</v>
          </cell>
          <cell r="P190">
            <v>76.62</v>
          </cell>
          <cell r="R190">
            <v>157</v>
          </cell>
        </row>
        <row r="191">
          <cell r="A191">
            <v>14</v>
          </cell>
          <cell r="B191">
            <v>380</v>
          </cell>
          <cell r="C191">
            <v>37240</v>
          </cell>
          <cell r="E191" t="str">
            <v>DE-DEL STATE UNIV</v>
          </cell>
          <cell r="F191" t="str">
            <v>NEW 2 INCH SERV</v>
          </cell>
          <cell r="H191" t="str">
            <v>Install 210' of 2" pl to new Del State Admin/Student bldg @ Del State Univ on Rte 13 Dover</v>
          </cell>
          <cell r="I191">
            <v>60</v>
          </cell>
          <cell r="M191">
            <v>0</v>
          </cell>
          <cell r="N191">
            <v>3014</v>
          </cell>
          <cell r="O191">
            <v>3014</v>
          </cell>
        </row>
        <row r="192">
          <cell r="A192">
            <v>14</v>
          </cell>
          <cell r="B192">
            <v>380</v>
          </cell>
          <cell r="C192">
            <v>37213</v>
          </cell>
          <cell r="E192" t="str">
            <v>DE-LOWES</v>
          </cell>
          <cell r="F192" t="str">
            <v>NEW 2 INCH SERV</v>
          </cell>
          <cell r="H192" t="str">
            <v>ADD-Install 60' of 2" svc to Lowe's of Middletown</v>
          </cell>
          <cell r="I192">
            <v>60</v>
          </cell>
          <cell r="M192">
            <v>0</v>
          </cell>
          <cell r="N192">
            <v>636</v>
          </cell>
          <cell r="O192">
            <v>636</v>
          </cell>
        </row>
        <row r="193">
          <cell r="A193">
            <v>14</v>
          </cell>
          <cell r="B193">
            <v>380</v>
          </cell>
          <cell r="C193">
            <v>37237</v>
          </cell>
          <cell r="E193" t="str">
            <v>DE-MIDDLETOWN SCHOOL</v>
          </cell>
          <cell r="F193" t="str">
            <v>NEW 2 INCH SERV</v>
          </cell>
          <cell r="H193" t="str">
            <v>ADD-Install 725' of 2" svc to Middletown H.S. - for new addition school on Rte 299</v>
          </cell>
          <cell r="I193">
            <v>725</v>
          </cell>
          <cell r="J193">
            <v>750</v>
          </cell>
          <cell r="M193">
            <v>0</v>
          </cell>
          <cell r="N193">
            <v>7029</v>
          </cell>
          <cell r="O193">
            <v>7029</v>
          </cell>
        </row>
        <row r="194">
          <cell r="A194">
            <v>14</v>
          </cell>
          <cell r="B194">
            <v>380</v>
          </cell>
          <cell r="C194">
            <v>36777</v>
          </cell>
          <cell r="D194">
            <v>37134</v>
          </cell>
          <cell r="E194" t="str">
            <v>DE-MILFORD H.S.</v>
          </cell>
          <cell r="F194" t="str">
            <v>NEW 2 INCH SERVICE</v>
          </cell>
          <cell r="H194" t="str">
            <v>Install 2 inch pl svc to serve Milford HS</v>
          </cell>
          <cell r="J194">
            <v>1400</v>
          </cell>
          <cell r="M194">
            <v>8194.83</v>
          </cell>
          <cell r="N194">
            <v>0</v>
          </cell>
          <cell r="O194">
            <v>-8194.83</v>
          </cell>
          <cell r="P194">
            <v>1712.83</v>
          </cell>
          <cell r="R194">
            <v>6482</v>
          </cell>
        </row>
        <row r="195">
          <cell r="A195" t="str">
            <v>14</v>
          </cell>
          <cell r="B195" t="str">
            <v>380</v>
          </cell>
          <cell r="C195">
            <v>36776</v>
          </cell>
          <cell r="D195">
            <v>36891</v>
          </cell>
          <cell r="E195" t="str">
            <v>DE-MILFORD WAL-MART</v>
          </cell>
          <cell r="F195" t="str">
            <v>NEW 2 INCH SERV</v>
          </cell>
          <cell r="H195" t="str">
            <v>2000 MILFORD WAL-MART</v>
          </cell>
          <cell r="K195">
            <v>40</v>
          </cell>
          <cell r="M195">
            <v>251.02</v>
          </cell>
          <cell r="N195">
            <v>251</v>
          </cell>
          <cell r="O195">
            <v>-2.0000000000010232E-2</v>
          </cell>
          <cell r="P195">
            <v>251.02</v>
          </cell>
        </row>
        <row r="196">
          <cell r="A196" t="str">
            <v>14</v>
          </cell>
          <cell r="B196" t="str">
            <v>380</v>
          </cell>
          <cell r="C196">
            <v>37040</v>
          </cell>
          <cell r="D196">
            <v>37195</v>
          </cell>
          <cell r="E196" t="str">
            <v>DE-MOOSE LODGE</v>
          </cell>
          <cell r="F196" t="str">
            <v>NEW 2 INCH SERV</v>
          </cell>
          <cell r="H196" t="str">
            <v>Install 2 inch pl svc to the Camden-Wyoming Moose Lodge</v>
          </cell>
          <cell r="I196">
            <v>1000</v>
          </cell>
          <cell r="J196">
            <v>1000</v>
          </cell>
          <cell r="L196">
            <v>64</v>
          </cell>
          <cell r="M196">
            <v>5032.62</v>
          </cell>
          <cell r="N196">
            <v>7225</v>
          </cell>
          <cell r="O196">
            <v>2192.38</v>
          </cell>
          <cell r="P196">
            <v>353.61</v>
          </cell>
          <cell r="R196">
            <v>4679.01</v>
          </cell>
        </row>
        <row r="197">
          <cell r="A197" t="str">
            <v>14</v>
          </cell>
          <cell r="B197" t="str">
            <v>380</v>
          </cell>
          <cell r="C197">
            <v>37230</v>
          </cell>
          <cell r="E197" t="str">
            <v>DE-NEW SMYRNA M.S.</v>
          </cell>
          <cell r="F197" t="str">
            <v>NEW 2 INCH SERV</v>
          </cell>
          <cell r="H197" t="str">
            <v xml:space="preserve">ADD-Install1000' of 2" svc to New Smyrna Middle School on Duck Creek Pkwy </v>
          </cell>
          <cell r="I197">
            <v>1000</v>
          </cell>
          <cell r="L197">
            <v>54</v>
          </cell>
          <cell r="M197">
            <v>0</v>
          </cell>
          <cell r="N197">
            <v>7842</v>
          </cell>
          <cell r="O197">
            <v>7842</v>
          </cell>
        </row>
        <row r="198">
          <cell r="A198" t="str">
            <v>14</v>
          </cell>
          <cell r="B198" t="str">
            <v>380</v>
          </cell>
          <cell r="C198">
            <v>37161</v>
          </cell>
          <cell r="D198">
            <v>37225</v>
          </cell>
          <cell r="E198" t="str">
            <v>DE-ST ANN EPISCOPAL</v>
          </cell>
          <cell r="F198" t="str">
            <v>NEW 2 INCH SERV</v>
          </cell>
          <cell r="H198" t="str">
            <v>Install 2" from Silverlake to St. Ann's Episcopal School</v>
          </cell>
          <cell r="I198">
            <v>1720</v>
          </cell>
          <cell r="J198">
            <v>1720</v>
          </cell>
          <cell r="L198">
            <v>45</v>
          </cell>
          <cell r="M198">
            <v>7936.8099999999995</v>
          </cell>
          <cell r="N198">
            <v>10789</v>
          </cell>
          <cell r="O198">
            <v>2852.1900000000005</v>
          </cell>
          <cell r="P198">
            <v>726.81</v>
          </cell>
          <cell r="R198">
            <v>7210</v>
          </cell>
        </row>
        <row r="199">
          <cell r="A199" t="str">
            <v>14</v>
          </cell>
          <cell r="B199" t="str">
            <v>380</v>
          </cell>
          <cell r="C199">
            <v>36621</v>
          </cell>
          <cell r="D199">
            <v>36739</v>
          </cell>
          <cell r="E199" t="str">
            <v>DE-VIOLATION CTR</v>
          </cell>
          <cell r="F199" t="str">
            <v>NEW 2 INCH SERV</v>
          </cell>
          <cell r="H199" t="str">
            <v>2000 Violation Center</v>
          </cell>
          <cell r="J199">
            <v>800</v>
          </cell>
          <cell r="M199">
            <v>336.45</v>
          </cell>
          <cell r="N199">
            <v>336</v>
          </cell>
          <cell r="O199">
            <v>-0.44999999999998863</v>
          </cell>
          <cell r="P199">
            <v>336.45</v>
          </cell>
        </row>
        <row r="200">
          <cell r="H200" t="str">
            <v>Subtotal Group 14</v>
          </cell>
          <cell r="M200">
            <v>21985.350000000002</v>
          </cell>
          <cell r="N200">
            <v>37122</v>
          </cell>
          <cell r="O200">
            <v>15136.650000000001</v>
          </cell>
        </row>
        <row r="202">
          <cell r="A202" t="str">
            <v>14S</v>
          </cell>
          <cell r="B202" t="str">
            <v>380</v>
          </cell>
          <cell r="G202" t="str">
            <v>Services 2"</v>
          </cell>
        </row>
        <row r="204">
          <cell r="H204" t="str">
            <v>Subtotal Group 14S</v>
          </cell>
        </row>
        <row r="205">
          <cell r="A205" t="str">
            <v>15</v>
          </cell>
          <cell r="B205" t="str">
            <v>380</v>
          </cell>
          <cell r="G205" t="str">
            <v>Services Over 2"</v>
          </cell>
        </row>
        <row r="206">
          <cell r="A206" t="str">
            <v>15</v>
          </cell>
          <cell r="B206" t="str">
            <v>380</v>
          </cell>
          <cell r="H206" t="str">
            <v>Milford</v>
          </cell>
          <cell r="M206">
            <v>0</v>
          </cell>
          <cell r="N206">
            <v>708</v>
          </cell>
          <cell r="O206">
            <v>708</v>
          </cell>
        </row>
        <row r="207">
          <cell r="A207" t="str">
            <v>15</v>
          </cell>
          <cell r="B207" t="str">
            <v>380</v>
          </cell>
          <cell r="C207">
            <v>37161</v>
          </cell>
          <cell r="D207">
            <v>37225</v>
          </cell>
          <cell r="E207" t="str">
            <v>DE-SEA WATCH</v>
          </cell>
          <cell r="F207" t="str">
            <v>NEW 4 INCH SERV</v>
          </cell>
          <cell r="H207" t="str">
            <v xml:space="preserve">625' 4" Service to Sea Watch </v>
          </cell>
          <cell r="K207">
            <v>880</v>
          </cell>
          <cell r="M207">
            <v>8203.84</v>
          </cell>
          <cell r="N207">
            <v>11474</v>
          </cell>
          <cell r="O207">
            <v>3270.16</v>
          </cell>
          <cell r="P207">
            <v>1428.8400000000001</v>
          </cell>
          <cell r="R207">
            <v>6775</v>
          </cell>
        </row>
        <row r="208">
          <cell r="H208" t="str">
            <v>Subtotal Group 15</v>
          </cell>
          <cell r="M208">
            <v>8203.84</v>
          </cell>
          <cell r="N208">
            <v>12182</v>
          </cell>
          <cell r="O208">
            <v>3978.16</v>
          </cell>
        </row>
        <row r="210">
          <cell r="A210" t="str">
            <v>16</v>
          </cell>
          <cell r="B210" t="str">
            <v>381</v>
          </cell>
          <cell r="G210" t="str">
            <v>Meters 275 and Under</v>
          </cell>
        </row>
        <row r="211">
          <cell r="A211" t="str">
            <v>16</v>
          </cell>
          <cell r="B211" t="str">
            <v>381</v>
          </cell>
          <cell r="C211">
            <v>36892</v>
          </cell>
          <cell r="E211" t="str">
            <v>DE-MTR</v>
          </cell>
          <cell r="F211" t="str">
            <v>UNDER 275</v>
          </cell>
          <cell r="H211" t="str">
            <v>BLANKET - ADD- Purchase 400 Rockwell 275s</v>
          </cell>
          <cell r="M211">
            <v>86590.98000000001</v>
          </cell>
          <cell r="N211">
            <v>93000</v>
          </cell>
          <cell r="O211">
            <v>6409.0199999999895</v>
          </cell>
          <cell r="P211">
            <v>86590.98000000001</v>
          </cell>
        </row>
        <row r="212">
          <cell r="H212" t="str">
            <v>Subtotal Group 16</v>
          </cell>
          <cell r="M212">
            <v>86590.98000000001</v>
          </cell>
          <cell r="N212">
            <v>93000</v>
          </cell>
          <cell r="O212">
            <v>6409.0199999999895</v>
          </cell>
        </row>
        <row r="214">
          <cell r="A214" t="str">
            <v>16S</v>
          </cell>
          <cell r="B214" t="str">
            <v>381</v>
          </cell>
          <cell r="G214" t="str">
            <v>Meters 275 and Under</v>
          </cell>
        </row>
        <row r="215">
          <cell r="A215" t="str">
            <v>16S</v>
          </cell>
          <cell r="B215" t="str">
            <v>381</v>
          </cell>
          <cell r="C215">
            <v>37064</v>
          </cell>
          <cell r="D215">
            <v>37225</v>
          </cell>
          <cell r="E215" t="str">
            <v>DE-MTR</v>
          </cell>
          <cell r="F215" t="str">
            <v>UNDER 275 SUS</v>
          </cell>
          <cell r="H215" t="str">
            <v>Purchase (125) 275 Meters</v>
          </cell>
          <cell r="M215">
            <v>5254.37</v>
          </cell>
          <cell r="N215">
            <v>6250</v>
          </cell>
          <cell r="O215">
            <v>995.63000000000011</v>
          </cell>
          <cell r="P215">
            <v>5254.37</v>
          </cell>
        </row>
        <row r="216">
          <cell r="A216" t="str">
            <v>16S</v>
          </cell>
          <cell r="B216" t="str">
            <v>381</v>
          </cell>
          <cell r="E216" t="str">
            <v>DE-MTR</v>
          </cell>
          <cell r="H216" t="str">
            <v>BLANKET</v>
          </cell>
          <cell r="M216">
            <v>5245.89</v>
          </cell>
          <cell r="N216">
            <v>15000</v>
          </cell>
          <cell r="O216">
            <v>9754.11</v>
          </cell>
          <cell r="P216">
            <v>5245.89</v>
          </cell>
        </row>
        <row r="217">
          <cell r="H217" t="str">
            <v>Subtotal Group 16S</v>
          </cell>
          <cell r="M217">
            <v>10500.26</v>
          </cell>
          <cell r="N217">
            <v>21250</v>
          </cell>
          <cell r="O217">
            <v>10749.740000000002</v>
          </cell>
        </row>
        <row r="220">
          <cell r="A220" t="str">
            <v>17</v>
          </cell>
          <cell r="B220" t="str">
            <v>381</v>
          </cell>
          <cell r="G220" t="str">
            <v>Meters - Over 275</v>
          </cell>
        </row>
        <row r="221">
          <cell r="A221" t="str">
            <v>17</v>
          </cell>
          <cell r="B221" t="str">
            <v>381</v>
          </cell>
          <cell r="H221" t="str">
            <v>Milford Project</v>
          </cell>
          <cell r="M221">
            <v>0</v>
          </cell>
          <cell r="N221">
            <v>17950</v>
          </cell>
          <cell r="O221">
            <v>17950</v>
          </cell>
        </row>
        <row r="222">
          <cell r="A222">
            <v>17</v>
          </cell>
          <cell r="B222">
            <v>381</v>
          </cell>
          <cell r="C222">
            <v>37130</v>
          </cell>
          <cell r="D222">
            <v>37195</v>
          </cell>
          <cell r="E222" t="str">
            <v>DE-MTR</v>
          </cell>
          <cell r="F222" t="str">
            <v>ROTARY MTRS -DOV</v>
          </cell>
          <cell r="H222" t="str">
            <v>ADD - Purchase 13 Rotary Meters</v>
          </cell>
          <cell r="M222">
            <v>11900.619999999999</v>
          </cell>
          <cell r="N222">
            <v>18000</v>
          </cell>
          <cell r="O222">
            <v>6099.380000000001</v>
          </cell>
          <cell r="P222">
            <v>11900.619999999999</v>
          </cell>
        </row>
        <row r="223">
          <cell r="A223" t="str">
            <v>17</v>
          </cell>
          <cell r="B223" t="str">
            <v>381</v>
          </cell>
          <cell r="H223" t="str">
            <v>BLANKET</v>
          </cell>
          <cell r="M223">
            <v>55853.75</v>
          </cell>
          <cell r="N223">
            <v>33200</v>
          </cell>
          <cell r="O223">
            <v>-22653.75</v>
          </cell>
          <cell r="P223">
            <v>55853.75</v>
          </cell>
        </row>
        <row r="224">
          <cell r="H224" t="str">
            <v>Subtotal Group 17</v>
          </cell>
          <cell r="M224">
            <v>67754.37</v>
          </cell>
          <cell r="N224">
            <v>69150</v>
          </cell>
          <cell r="O224">
            <v>1395.630000000001</v>
          </cell>
        </row>
        <row r="226">
          <cell r="A226" t="str">
            <v>17S</v>
          </cell>
          <cell r="B226" t="str">
            <v>381</v>
          </cell>
          <cell r="G226" t="str">
            <v>Meters - Over 275</v>
          </cell>
        </row>
        <row r="227">
          <cell r="A227" t="str">
            <v>17S</v>
          </cell>
          <cell r="B227" t="str">
            <v>381</v>
          </cell>
          <cell r="C227">
            <v>37202</v>
          </cell>
          <cell r="E227" t="str">
            <v>DE-MTR</v>
          </cell>
          <cell r="F227" t="str">
            <v>425 MTRS-SUS</v>
          </cell>
          <cell r="H227" t="str">
            <v>Purchase 425 Meters (10)</v>
          </cell>
          <cell r="M227">
            <v>0</v>
          </cell>
          <cell r="N227">
            <v>2000</v>
          </cell>
          <cell r="O227">
            <v>2000</v>
          </cell>
        </row>
        <row r="228">
          <cell r="A228" t="str">
            <v>17S</v>
          </cell>
          <cell r="B228" t="str">
            <v>381</v>
          </cell>
          <cell r="C228">
            <v>37202</v>
          </cell>
          <cell r="E228" t="str">
            <v>DE-MTR</v>
          </cell>
          <cell r="F228" t="str">
            <v>750 MTRS-SUS</v>
          </cell>
          <cell r="H228" t="str">
            <v>Purchase 750 Meters (5)</v>
          </cell>
          <cell r="M228">
            <v>0</v>
          </cell>
          <cell r="N228">
            <v>2875</v>
          </cell>
          <cell r="O228">
            <v>2875</v>
          </cell>
        </row>
        <row r="229">
          <cell r="A229" t="str">
            <v>17S</v>
          </cell>
          <cell r="B229" t="str">
            <v>381</v>
          </cell>
          <cell r="C229">
            <v>36976</v>
          </cell>
          <cell r="D229">
            <v>37195</v>
          </cell>
          <cell r="E229" t="str">
            <v>DE-MTR</v>
          </cell>
          <cell r="F229" t="str">
            <v>ROTARY MTRS-SUS</v>
          </cell>
          <cell r="H229" t="str">
            <v>Purchase - (5) 15c Dresser Roots, (1) 5m Dresser Roots</v>
          </cell>
          <cell r="L229">
            <v>22</v>
          </cell>
          <cell r="M229">
            <v>5024</v>
          </cell>
          <cell r="N229">
            <v>5024</v>
          </cell>
          <cell r="O229">
            <v>0</v>
          </cell>
          <cell r="P229">
            <v>5024</v>
          </cell>
        </row>
        <row r="230">
          <cell r="A230" t="str">
            <v>17S</v>
          </cell>
          <cell r="B230" t="str">
            <v>381</v>
          </cell>
          <cell r="C230">
            <v>37202</v>
          </cell>
          <cell r="E230" t="str">
            <v>DE-MTR</v>
          </cell>
          <cell r="F230" t="str">
            <v>ROTARY MTRS-SUS</v>
          </cell>
          <cell r="H230" t="str">
            <v>Purchase - (1)15C,(1)3M,(1)5M,(1)7M</v>
          </cell>
          <cell r="M230">
            <v>0</v>
          </cell>
          <cell r="N230">
            <v>4476</v>
          </cell>
          <cell r="O230">
            <v>4476</v>
          </cell>
        </row>
        <row r="231">
          <cell r="A231" t="str">
            <v>17S</v>
          </cell>
          <cell r="B231" t="str">
            <v>381</v>
          </cell>
          <cell r="H231" t="str">
            <v>BLANKET (Rotary)</v>
          </cell>
          <cell r="M231">
            <v>0</v>
          </cell>
          <cell r="N231">
            <v>0</v>
          </cell>
          <cell r="O231">
            <v>0</v>
          </cell>
        </row>
        <row r="232">
          <cell r="H232" t="str">
            <v>Subtotal Group 17S</v>
          </cell>
          <cell r="M232">
            <v>5024</v>
          </cell>
          <cell r="N232">
            <v>14375</v>
          </cell>
          <cell r="O232">
            <v>9351</v>
          </cell>
        </row>
        <row r="234">
          <cell r="A234" t="str">
            <v>18</v>
          </cell>
          <cell r="B234" t="str">
            <v>381</v>
          </cell>
          <cell r="G234" t="str">
            <v>Other Meter Devices</v>
          </cell>
        </row>
        <row r="235">
          <cell r="A235" t="str">
            <v>18</v>
          </cell>
          <cell r="B235" t="str">
            <v>381</v>
          </cell>
          <cell r="H235" t="str">
            <v>Milford Project</v>
          </cell>
          <cell r="M235">
            <v>0</v>
          </cell>
          <cell r="N235">
            <v>26000</v>
          </cell>
          <cell r="O235">
            <v>26000</v>
          </cell>
        </row>
        <row r="236">
          <cell r="A236" t="str">
            <v>18</v>
          </cell>
          <cell r="B236" t="str">
            <v>381</v>
          </cell>
          <cell r="H236" t="str">
            <v>Purchase Itron Interrogation software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18</v>
          </cell>
          <cell r="B237" t="str">
            <v>381</v>
          </cell>
          <cell r="H237" t="str">
            <v>Install low pressure alarm system(cell phones and paging system)</v>
          </cell>
          <cell r="M237">
            <v>0</v>
          </cell>
          <cell r="N237">
            <v>18100</v>
          </cell>
          <cell r="O237">
            <v>18100</v>
          </cell>
        </row>
        <row r="238">
          <cell r="A238" t="str">
            <v>18</v>
          </cell>
          <cell r="B238" t="str">
            <v>381</v>
          </cell>
          <cell r="C238">
            <v>37033</v>
          </cell>
          <cell r="D238">
            <v>37225</v>
          </cell>
          <cell r="E238" t="str">
            <v>DE-OTH MTR DEV</v>
          </cell>
          <cell r="F238" t="str">
            <v>ERTS</v>
          </cell>
          <cell r="H238" t="str">
            <v>Purchase 120 ERT'S</v>
          </cell>
          <cell r="M238">
            <v>4063.56</v>
          </cell>
          <cell r="N238">
            <v>6960</v>
          </cell>
          <cell r="O238">
            <v>2896.44</v>
          </cell>
          <cell r="P238">
            <v>483.07</v>
          </cell>
          <cell r="Q238">
            <v>84.11</v>
          </cell>
          <cell r="R238">
            <v>3496.38</v>
          </cell>
        </row>
        <row r="239">
          <cell r="A239" t="str">
            <v>18</v>
          </cell>
          <cell r="B239" t="str">
            <v>381</v>
          </cell>
          <cell r="C239">
            <v>36994</v>
          </cell>
          <cell r="D239">
            <v>37164</v>
          </cell>
          <cell r="E239" t="str">
            <v>DE-OTH MTR DEV</v>
          </cell>
          <cell r="F239" t="str">
            <v>MINI AT</v>
          </cell>
          <cell r="H239" t="str">
            <v>Purchase (5) Mercury Mini AT'S-(Needed for new mtr ins and replacements</v>
          </cell>
          <cell r="M239">
            <v>7723.65</v>
          </cell>
          <cell r="N239">
            <v>8720</v>
          </cell>
          <cell r="O239">
            <v>996.35000000000036</v>
          </cell>
          <cell r="P239">
            <v>7723.65</v>
          </cell>
        </row>
        <row r="240">
          <cell r="A240" t="str">
            <v>18</v>
          </cell>
          <cell r="B240" t="str">
            <v>381</v>
          </cell>
          <cell r="C240">
            <v>36994</v>
          </cell>
          <cell r="D240">
            <v>37164</v>
          </cell>
          <cell r="E240" t="str">
            <v>DE-OTH MTR DEV</v>
          </cell>
          <cell r="F240" t="str">
            <v>MINI MAX</v>
          </cell>
          <cell r="H240" t="str">
            <v>Purchase (5) Mercury Mini Max-(Needed for new mtr ins and replacements</v>
          </cell>
          <cell r="M240">
            <v>4528.0200000000004</v>
          </cell>
          <cell r="N240">
            <v>5370</v>
          </cell>
          <cell r="O240">
            <v>841.97999999999956</v>
          </cell>
          <cell r="P240">
            <v>4528.0200000000004</v>
          </cell>
        </row>
        <row r="241">
          <cell r="A241" t="str">
            <v>18</v>
          </cell>
          <cell r="B241" t="str">
            <v>381</v>
          </cell>
          <cell r="H241" t="str">
            <v>BLANKET</v>
          </cell>
          <cell r="M241">
            <v>0</v>
          </cell>
          <cell r="N241">
            <v>400</v>
          </cell>
          <cell r="O241">
            <v>400</v>
          </cell>
        </row>
        <row r="242">
          <cell r="H242" t="str">
            <v>Subtotal Group 18</v>
          </cell>
          <cell r="M242">
            <v>16315.23</v>
          </cell>
          <cell r="N242">
            <v>65550</v>
          </cell>
          <cell r="O242">
            <v>49234.770000000004</v>
          </cell>
        </row>
        <row r="244">
          <cell r="A244" t="str">
            <v>18S</v>
          </cell>
          <cell r="B244" t="str">
            <v>381</v>
          </cell>
          <cell r="G244" t="str">
            <v>Other Meter Devices</v>
          </cell>
        </row>
        <row r="245">
          <cell r="A245" t="str">
            <v>18S</v>
          </cell>
          <cell r="B245" t="str">
            <v>381</v>
          </cell>
          <cell r="C245">
            <v>37202</v>
          </cell>
          <cell r="E245" t="str">
            <v>DE-OTH MTR DEV</v>
          </cell>
          <cell r="F245" t="str">
            <v>MERC ER-SUS</v>
          </cell>
          <cell r="H245" t="str">
            <v>Purchase Mercury ER's (3)</v>
          </cell>
          <cell r="M245">
            <v>0</v>
          </cell>
          <cell r="N245">
            <v>5601</v>
          </cell>
          <cell r="O245">
            <v>5601</v>
          </cell>
        </row>
        <row r="246">
          <cell r="A246" t="str">
            <v>18S</v>
          </cell>
          <cell r="B246" t="str">
            <v>381</v>
          </cell>
          <cell r="C246">
            <v>37202</v>
          </cell>
          <cell r="E246" t="str">
            <v>DE-OTH MTR DEV</v>
          </cell>
          <cell r="F246" t="str">
            <v>MINI AT-SUS</v>
          </cell>
          <cell r="H246" t="str">
            <v>Purchase Mercury Mini-AT's (2)</v>
          </cell>
          <cell r="M246">
            <v>0</v>
          </cell>
          <cell r="N246">
            <v>3120</v>
          </cell>
          <cell r="O246">
            <v>3120</v>
          </cell>
        </row>
        <row r="247">
          <cell r="A247" t="str">
            <v>18S</v>
          </cell>
          <cell r="B247" t="str">
            <v>381</v>
          </cell>
          <cell r="C247">
            <v>37202</v>
          </cell>
          <cell r="E247" t="str">
            <v>DE-OTH MTR DEV</v>
          </cell>
          <cell r="F247" t="str">
            <v>MINI MAX-SUS</v>
          </cell>
          <cell r="H247" t="str">
            <v>Purchase Mercury Mini-Max (3)</v>
          </cell>
          <cell r="M247">
            <v>0</v>
          </cell>
          <cell r="N247">
            <v>3000</v>
          </cell>
          <cell r="O247">
            <v>3000</v>
          </cell>
        </row>
        <row r="248">
          <cell r="A248" t="str">
            <v>18S</v>
          </cell>
          <cell r="B248" t="str">
            <v>381</v>
          </cell>
          <cell r="H248" t="str">
            <v>Install Modem Telephone service (3)</v>
          </cell>
          <cell r="M248">
            <v>0</v>
          </cell>
          <cell r="N248">
            <v>0</v>
          </cell>
          <cell r="O248">
            <v>0</v>
          </cell>
        </row>
        <row r="249">
          <cell r="H249" t="str">
            <v>Subtotal Group 18S</v>
          </cell>
          <cell r="M249">
            <v>0</v>
          </cell>
          <cell r="N249">
            <v>11721</v>
          </cell>
          <cell r="O249">
            <v>11721</v>
          </cell>
        </row>
        <row r="251">
          <cell r="A251" t="str">
            <v>19</v>
          </cell>
          <cell r="B251" t="str">
            <v>382</v>
          </cell>
          <cell r="G251" t="str">
            <v>Meter Installations</v>
          </cell>
        </row>
        <row r="252">
          <cell r="A252" t="str">
            <v>19</v>
          </cell>
          <cell r="B252" t="str">
            <v>382</v>
          </cell>
          <cell r="C252">
            <v>36892</v>
          </cell>
          <cell r="E252" t="str">
            <v>DE-MTR INS</v>
          </cell>
          <cell r="F252" t="str">
            <v>MTR INS-DOV</v>
          </cell>
          <cell r="H252" t="str">
            <v>BLANKET-Meter Installs</v>
          </cell>
          <cell r="M252">
            <v>125668.52</v>
          </cell>
          <cell r="N252">
            <v>147880</v>
          </cell>
          <cell r="O252">
            <v>22211.479999999996</v>
          </cell>
          <cell r="P252">
            <v>14027.130000000001</v>
          </cell>
          <cell r="Q252">
            <v>38469.210000000006</v>
          </cell>
          <cell r="R252">
            <v>-2984.03</v>
          </cell>
          <cell r="T252">
            <v>76156.209999999992</v>
          </cell>
        </row>
        <row r="253">
          <cell r="H253" t="str">
            <v>Subtotal Group 19</v>
          </cell>
          <cell r="M253">
            <v>125668.52</v>
          </cell>
          <cell r="N253">
            <v>147880</v>
          </cell>
          <cell r="O253">
            <v>22211.479999999996</v>
          </cell>
        </row>
        <row r="255">
          <cell r="A255" t="str">
            <v>19S</v>
          </cell>
          <cell r="B255" t="str">
            <v>382</v>
          </cell>
          <cell r="G255" t="str">
            <v>Meter Installations</v>
          </cell>
        </row>
        <row r="256">
          <cell r="A256" t="str">
            <v>19S</v>
          </cell>
          <cell r="B256" t="str">
            <v>382</v>
          </cell>
          <cell r="C256">
            <v>36892</v>
          </cell>
          <cell r="E256" t="str">
            <v>DE-MTR INS</v>
          </cell>
          <cell r="F256" t="str">
            <v>MTR INS SUS</v>
          </cell>
          <cell r="H256" t="str">
            <v>BLANKET-Meter Installs</v>
          </cell>
          <cell r="M256">
            <v>49051.25</v>
          </cell>
          <cell r="N256">
            <v>42000</v>
          </cell>
          <cell r="O256">
            <v>-7051.25</v>
          </cell>
          <cell r="P256">
            <v>3127.87</v>
          </cell>
          <cell r="Q256">
            <v>3166.5</v>
          </cell>
          <cell r="R256">
            <v>1478.75</v>
          </cell>
          <cell r="T256">
            <v>41278.129999999997</v>
          </cell>
        </row>
        <row r="257">
          <cell r="H257" t="str">
            <v>Subtotal Group 19S</v>
          </cell>
          <cell r="M257">
            <v>49051.25</v>
          </cell>
          <cell r="N257">
            <v>42000</v>
          </cell>
          <cell r="O257">
            <v>-7051.25</v>
          </cell>
        </row>
        <row r="259">
          <cell r="A259" t="str">
            <v>20</v>
          </cell>
          <cell r="B259" t="str">
            <v>383</v>
          </cell>
          <cell r="G259" t="str">
            <v>Regulators - 1" &amp; Smaller</v>
          </cell>
        </row>
        <row r="260">
          <cell r="A260" t="str">
            <v>20</v>
          </cell>
          <cell r="B260" t="str">
            <v>383</v>
          </cell>
          <cell r="E260" t="str">
            <v>DE-REG</v>
          </cell>
          <cell r="F260" t="str">
            <v>UNDER 1 INCH</v>
          </cell>
          <cell r="H260" t="str">
            <v>Natural Gas Regulators (1200)</v>
          </cell>
          <cell r="M260">
            <v>14786.85</v>
          </cell>
          <cell r="N260">
            <v>18000</v>
          </cell>
          <cell r="O260">
            <v>3213.1499999999996</v>
          </cell>
          <cell r="P260">
            <v>14786.85</v>
          </cell>
        </row>
        <row r="261">
          <cell r="H261" t="str">
            <v>Subtotal Group 20</v>
          </cell>
          <cell r="M261">
            <v>14786.85</v>
          </cell>
          <cell r="N261">
            <v>18000</v>
          </cell>
          <cell r="O261">
            <v>3213.1499999999996</v>
          </cell>
        </row>
        <row r="263">
          <cell r="A263" t="str">
            <v>20S</v>
          </cell>
          <cell r="B263" t="str">
            <v>383</v>
          </cell>
          <cell r="G263" t="str">
            <v>Regulators - 1" &amp; Smaller</v>
          </cell>
        </row>
        <row r="264">
          <cell r="A264" t="str">
            <v>20S</v>
          </cell>
          <cell r="B264" t="str">
            <v>383</v>
          </cell>
          <cell r="E264" t="str">
            <v>DE-REG</v>
          </cell>
          <cell r="F264" t="str">
            <v>FISHER S402-SUS</v>
          </cell>
          <cell r="H264" t="str">
            <v>Purchase 402 Regulators (150)</v>
          </cell>
          <cell r="M264">
            <v>0</v>
          </cell>
          <cell r="N264">
            <v>5250</v>
          </cell>
          <cell r="O264">
            <v>5250</v>
          </cell>
        </row>
        <row r="265">
          <cell r="A265" t="str">
            <v>20S</v>
          </cell>
          <cell r="B265" t="str">
            <v>383</v>
          </cell>
          <cell r="H265" t="str">
            <v>BLANKET</v>
          </cell>
          <cell r="M265">
            <v>0</v>
          </cell>
          <cell r="N265">
            <v>400</v>
          </cell>
          <cell r="O265">
            <v>400</v>
          </cell>
        </row>
        <row r="266">
          <cell r="H266" t="str">
            <v>Subtotal Group 20S</v>
          </cell>
          <cell r="M266">
            <v>0</v>
          </cell>
          <cell r="N266">
            <v>5650</v>
          </cell>
          <cell r="O266">
            <v>5650</v>
          </cell>
        </row>
        <row r="268">
          <cell r="A268" t="str">
            <v>21</v>
          </cell>
          <cell r="B268" t="str">
            <v>383</v>
          </cell>
          <cell r="G268" t="str">
            <v>Regulators - Over 1"</v>
          </cell>
        </row>
        <row r="269">
          <cell r="A269" t="str">
            <v>21</v>
          </cell>
          <cell r="B269" t="str">
            <v>383</v>
          </cell>
          <cell r="H269" t="str">
            <v xml:space="preserve">Milford Project </v>
          </cell>
          <cell r="M269">
            <v>0</v>
          </cell>
          <cell r="N269">
            <v>2750</v>
          </cell>
          <cell r="O269">
            <v>2750</v>
          </cell>
        </row>
        <row r="270">
          <cell r="A270" t="str">
            <v>21</v>
          </cell>
          <cell r="B270" t="str">
            <v>383</v>
          </cell>
          <cell r="H270" t="str">
            <v>BLANKET</v>
          </cell>
          <cell r="M270">
            <v>3614.25</v>
          </cell>
          <cell r="N270">
            <v>27500</v>
          </cell>
          <cell r="O270">
            <v>23885.75</v>
          </cell>
          <cell r="P270">
            <v>3614.25</v>
          </cell>
        </row>
        <row r="271">
          <cell r="A271" t="str">
            <v>21</v>
          </cell>
          <cell r="B271" t="str">
            <v>383</v>
          </cell>
          <cell r="C271">
            <v>37226</v>
          </cell>
          <cell r="E271" t="str">
            <v>DE-REG</v>
          </cell>
          <cell r="F271" t="str">
            <v>MOONEYS</v>
          </cell>
          <cell r="H271" t="str">
            <v>Purchase (2) Mooney Regulators - Over 1" - Milford Project</v>
          </cell>
          <cell r="M271">
            <v>0</v>
          </cell>
          <cell r="N271">
            <v>3450</v>
          </cell>
          <cell r="O271">
            <v>3450</v>
          </cell>
        </row>
        <row r="272">
          <cell r="H272" t="str">
            <v>Subtotal Group 21</v>
          </cell>
          <cell r="M272">
            <v>3614.25</v>
          </cell>
          <cell r="N272">
            <v>33700</v>
          </cell>
          <cell r="O272">
            <v>30085.75</v>
          </cell>
        </row>
        <row r="274">
          <cell r="A274" t="str">
            <v>21S</v>
          </cell>
          <cell r="B274" t="str">
            <v>383</v>
          </cell>
          <cell r="G274" t="str">
            <v>Regulators - Over 1"</v>
          </cell>
        </row>
        <row r="275">
          <cell r="A275" t="str">
            <v>21S</v>
          </cell>
          <cell r="B275" t="str">
            <v>383</v>
          </cell>
          <cell r="C275">
            <v>36892</v>
          </cell>
          <cell r="E275" t="str">
            <v>DE-REG</v>
          </cell>
          <cell r="F275" t="str">
            <v>AMER 1813C SUS</v>
          </cell>
          <cell r="H275" t="str">
            <v>Purchase 1813C Regulators (25)</v>
          </cell>
          <cell r="M275">
            <v>38.47</v>
          </cell>
          <cell r="N275">
            <v>1000</v>
          </cell>
          <cell r="O275">
            <v>961.53</v>
          </cell>
          <cell r="P275">
            <v>38.47</v>
          </cell>
        </row>
        <row r="276">
          <cell r="A276" t="str">
            <v>21S</v>
          </cell>
          <cell r="B276" t="str">
            <v>383</v>
          </cell>
          <cell r="H276" t="str">
            <v>BLANKET</v>
          </cell>
          <cell r="M276">
            <v>0</v>
          </cell>
          <cell r="N276">
            <v>3800</v>
          </cell>
          <cell r="O276">
            <v>3800</v>
          </cell>
        </row>
        <row r="277">
          <cell r="H277" t="str">
            <v>Subtotal Group 21S</v>
          </cell>
          <cell r="M277">
            <v>38.47</v>
          </cell>
          <cell r="N277">
            <v>4800</v>
          </cell>
          <cell r="O277">
            <v>4761.53</v>
          </cell>
        </row>
        <row r="279">
          <cell r="A279" t="str">
            <v>22</v>
          </cell>
          <cell r="B279" t="str">
            <v>385</v>
          </cell>
          <cell r="G279" t="str">
            <v>M &amp; R Stations - Industrial</v>
          </cell>
        </row>
        <row r="280">
          <cell r="A280" t="str">
            <v>22</v>
          </cell>
          <cell r="B280" t="str">
            <v>385</v>
          </cell>
          <cell r="H280" t="str">
            <v>BLANKET</v>
          </cell>
          <cell r="M280">
            <v>0</v>
          </cell>
          <cell r="N280">
            <v>1031</v>
          </cell>
          <cell r="O280">
            <v>1031</v>
          </cell>
        </row>
        <row r="281">
          <cell r="A281" t="str">
            <v>22</v>
          </cell>
          <cell r="B281" t="str">
            <v>385</v>
          </cell>
          <cell r="H281" t="str">
            <v>Carryover-Schiff Grain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22</v>
          </cell>
          <cell r="B282" t="str">
            <v>385</v>
          </cell>
          <cell r="H282" t="str">
            <v>Milford Project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22</v>
          </cell>
          <cell r="B283">
            <v>385</v>
          </cell>
          <cell r="C283">
            <v>37202</v>
          </cell>
          <cell r="D283">
            <v>37225</v>
          </cell>
          <cell r="E283" t="str">
            <v>DE-ACME</v>
          </cell>
          <cell r="F283" t="str">
            <v>MR IND</v>
          </cell>
          <cell r="H283" t="str">
            <v>Install Meter Set @ ACME Market in Smyrna</v>
          </cell>
          <cell r="L283">
            <v>54</v>
          </cell>
          <cell r="M283">
            <v>1497.26</v>
          </cell>
          <cell r="N283">
            <v>1925</v>
          </cell>
          <cell r="O283">
            <v>427.74</v>
          </cell>
          <cell r="P283">
            <v>122.26</v>
          </cell>
          <cell r="R283">
            <v>1375</v>
          </cell>
        </row>
        <row r="284">
          <cell r="A284">
            <v>22</v>
          </cell>
          <cell r="B284">
            <v>385</v>
          </cell>
          <cell r="C284">
            <v>37202</v>
          </cell>
          <cell r="D284">
            <v>37225</v>
          </cell>
          <cell r="E284" t="str">
            <v>DE-DELDOT DASH</v>
          </cell>
          <cell r="F284" t="str">
            <v>MR IND</v>
          </cell>
          <cell r="H284" t="str">
            <v xml:space="preserve">Install Meter Set @ DELDOT DASH facilities </v>
          </cell>
          <cell r="L284">
            <v>60</v>
          </cell>
          <cell r="M284">
            <v>975</v>
          </cell>
          <cell r="N284">
            <v>1200</v>
          </cell>
          <cell r="O284">
            <v>225</v>
          </cell>
          <cell r="R284">
            <v>975</v>
          </cell>
        </row>
        <row r="285">
          <cell r="A285">
            <v>22</v>
          </cell>
          <cell r="B285">
            <v>385</v>
          </cell>
          <cell r="C285">
            <v>37202</v>
          </cell>
          <cell r="D285">
            <v>37225</v>
          </cell>
          <cell r="E285" t="str">
            <v>DE-DELDOT LAB</v>
          </cell>
          <cell r="F285" t="str">
            <v>MR IND</v>
          </cell>
          <cell r="H285" t="str">
            <v>Install Meter Set @ DELDOT Materials Lab</v>
          </cell>
          <cell r="L285">
            <v>60</v>
          </cell>
          <cell r="M285">
            <v>1282.75</v>
          </cell>
          <cell r="N285">
            <v>1835</v>
          </cell>
          <cell r="O285">
            <v>552.25</v>
          </cell>
          <cell r="R285">
            <v>1282.75</v>
          </cell>
        </row>
        <row r="286">
          <cell r="A286">
            <v>22</v>
          </cell>
          <cell r="B286">
            <v>385</v>
          </cell>
          <cell r="C286">
            <v>36678</v>
          </cell>
          <cell r="D286">
            <v>36769</v>
          </cell>
          <cell r="E286" t="str">
            <v>DE-HOLY CROSS SCHOOL</v>
          </cell>
          <cell r="F286" t="str">
            <v>MR IND</v>
          </cell>
          <cell r="H286" t="str">
            <v>2000 Holy Cross School</v>
          </cell>
          <cell r="L286">
            <v>60</v>
          </cell>
          <cell r="M286">
            <v>135.59</v>
          </cell>
          <cell r="N286">
            <v>136</v>
          </cell>
          <cell r="O286">
            <v>0.40999999999999659</v>
          </cell>
          <cell r="P286">
            <v>135.59</v>
          </cell>
        </row>
        <row r="287">
          <cell r="A287">
            <v>22</v>
          </cell>
          <cell r="B287">
            <v>385</v>
          </cell>
          <cell r="C287">
            <v>37202</v>
          </cell>
          <cell r="D287">
            <v>37198</v>
          </cell>
          <cell r="E287" t="str">
            <v>DE-KFC</v>
          </cell>
          <cell r="F287" t="str">
            <v>MR IND</v>
          </cell>
          <cell r="H287" t="str">
            <v>Install Meter Set @ KFC and A&amp;W, Dover</v>
          </cell>
          <cell r="L287">
            <v>60</v>
          </cell>
          <cell r="M287">
            <v>1100.1100000000001</v>
          </cell>
          <cell r="N287">
            <v>1165</v>
          </cell>
          <cell r="O287">
            <v>64.889999999999873</v>
          </cell>
          <cell r="P287">
            <v>158.11000000000001</v>
          </cell>
          <cell r="R287">
            <v>942</v>
          </cell>
        </row>
        <row r="288">
          <cell r="A288" t="str">
            <v>22</v>
          </cell>
          <cell r="B288" t="str">
            <v>385</v>
          </cell>
          <cell r="C288">
            <v>37202</v>
          </cell>
          <cell r="E288" t="str">
            <v>DE-LAKE FOREST ELEM</v>
          </cell>
          <cell r="F288" t="str">
            <v>MR IND</v>
          </cell>
          <cell r="H288" t="str">
            <v>Install Meter Set @ Lake Forest Central Elem School</v>
          </cell>
          <cell r="L288">
            <v>69</v>
          </cell>
          <cell r="M288">
            <v>0</v>
          </cell>
          <cell r="N288">
            <v>1565</v>
          </cell>
          <cell r="O288">
            <v>1565</v>
          </cell>
        </row>
        <row r="289">
          <cell r="A289" t="str">
            <v>22</v>
          </cell>
          <cell r="B289" t="str">
            <v>385</v>
          </cell>
          <cell r="C289">
            <v>37237</v>
          </cell>
          <cell r="E289" t="str">
            <v>DE-LOWES</v>
          </cell>
          <cell r="F289" t="str">
            <v>MR IND</v>
          </cell>
          <cell r="H289" t="str">
            <v>ADD-Install Meter Set @ Lowes in the Middletown Commons</v>
          </cell>
          <cell r="L289">
            <v>45</v>
          </cell>
          <cell r="M289">
            <v>0</v>
          </cell>
          <cell r="N289">
            <v>1750</v>
          </cell>
          <cell r="O289">
            <v>1750</v>
          </cell>
        </row>
        <row r="290">
          <cell r="A290" t="str">
            <v>22</v>
          </cell>
          <cell r="B290" t="str">
            <v>385</v>
          </cell>
          <cell r="C290">
            <v>37236</v>
          </cell>
          <cell r="E290" t="str">
            <v>DE-MIDDLETOWN H.S.</v>
          </cell>
          <cell r="F290" t="str">
            <v>MR IND</v>
          </cell>
          <cell r="H290" t="str">
            <v>Install Meter Set @ Middletown H.S.</v>
          </cell>
          <cell r="L290">
            <v>45</v>
          </cell>
          <cell r="M290">
            <v>0</v>
          </cell>
          <cell r="N290">
            <v>1800</v>
          </cell>
          <cell r="O290">
            <v>1800</v>
          </cell>
        </row>
        <row r="291">
          <cell r="A291" t="str">
            <v>22</v>
          </cell>
          <cell r="B291" t="str">
            <v>385</v>
          </cell>
          <cell r="C291">
            <v>37202</v>
          </cell>
          <cell r="D291">
            <v>37225</v>
          </cell>
          <cell r="E291" t="str">
            <v>DE-MIDDLETOWN SCHOOL</v>
          </cell>
          <cell r="F291" t="str">
            <v>MR IND</v>
          </cell>
          <cell r="H291" t="str">
            <v>Install Meter Set @ Middletown Middle School Gym</v>
          </cell>
          <cell r="L291">
            <v>45</v>
          </cell>
          <cell r="M291">
            <v>1236.8899999999999</v>
          </cell>
          <cell r="N291">
            <v>1248</v>
          </cell>
          <cell r="O291">
            <v>11.110000000000127</v>
          </cell>
          <cell r="P291">
            <v>229.39</v>
          </cell>
          <cell r="R291">
            <v>1007.5</v>
          </cell>
        </row>
        <row r="292">
          <cell r="A292" t="str">
            <v>22</v>
          </cell>
          <cell r="B292" t="str">
            <v>385</v>
          </cell>
          <cell r="C292">
            <v>37202</v>
          </cell>
          <cell r="E292" t="str">
            <v>DE-MILFORD H.S.</v>
          </cell>
          <cell r="F292" t="str">
            <v>MR IND</v>
          </cell>
          <cell r="H292" t="str">
            <v>Install Meter Set @ Milford HS</v>
          </cell>
          <cell r="L292">
            <v>75</v>
          </cell>
          <cell r="M292">
            <v>1038.25</v>
          </cell>
          <cell r="N292">
            <v>2785</v>
          </cell>
          <cell r="O292">
            <v>1746.75</v>
          </cell>
          <cell r="R292">
            <v>1038.25</v>
          </cell>
        </row>
        <row r="293">
          <cell r="A293" t="str">
            <v>22</v>
          </cell>
          <cell r="B293" t="str">
            <v>385</v>
          </cell>
          <cell r="C293">
            <v>37202</v>
          </cell>
          <cell r="D293">
            <v>37225</v>
          </cell>
          <cell r="E293" t="str">
            <v>DE-MOOSE LODGE</v>
          </cell>
          <cell r="F293" t="str">
            <v>MR IND</v>
          </cell>
          <cell r="H293" t="str">
            <v>Install Meter Set @ Moose Lodge in Dover</v>
          </cell>
          <cell r="L293">
            <v>64</v>
          </cell>
          <cell r="M293">
            <v>235.5</v>
          </cell>
          <cell r="N293">
            <v>725</v>
          </cell>
          <cell r="O293">
            <v>489.5</v>
          </cell>
          <cell r="R293">
            <v>235.5</v>
          </cell>
        </row>
        <row r="294">
          <cell r="A294" t="str">
            <v>22</v>
          </cell>
          <cell r="B294" t="str">
            <v>385</v>
          </cell>
          <cell r="C294">
            <v>37202</v>
          </cell>
          <cell r="D294">
            <v>37225</v>
          </cell>
          <cell r="E294" t="str">
            <v>DE-SAFEWAY MAIN</v>
          </cell>
          <cell r="F294" t="str">
            <v>MR IND</v>
          </cell>
          <cell r="H294" t="str">
            <v>Install Meter Set @ Safeway in Dover</v>
          </cell>
          <cell r="L294">
            <v>60</v>
          </cell>
          <cell r="M294">
            <v>1102</v>
          </cell>
          <cell r="N294">
            <v>1327</v>
          </cell>
          <cell r="O294">
            <v>225</v>
          </cell>
          <cell r="R294">
            <v>1102</v>
          </cell>
        </row>
        <row r="295">
          <cell r="A295">
            <v>22</v>
          </cell>
          <cell r="B295">
            <v>385</v>
          </cell>
          <cell r="C295">
            <v>37214</v>
          </cell>
          <cell r="E295" t="str">
            <v>DE-SEA WATCH</v>
          </cell>
          <cell r="F295" t="str">
            <v>MR IND</v>
          </cell>
          <cell r="H295" t="str">
            <v>Install Meter Set @ Sea Watch</v>
          </cell>
          <cell r="M295">
            <v>0</v>
          </cell>
          <cell r="N295">
            <v>6040</v>
          </cell>
          <cell r="O295">
            <v>6040</v>
          </cell>
        </row>
        <row r="296">
          <cell r="A296">
            <v>22</v>
          </cell>
          <cell r="B296">
            <v>385</v>
          </cell>
          <cell r="C296">
            <v>36678</v>
          </cell>
          <cell r="D296">
            <v>36891</v>
          </cell>
          <cell r="E296" t="str">
            <v>DE-VIOLATION CTR</v>
          </cell>
          <cell r="F296" t="str">
            <v>MR IND</v>
          </cell>
          <cell r="H296" t="str">
            <v>2000 Violation Center-Smyrna</v>
          </cell>
          <cell r="M296">
            <v>328.62</v>
          </cell>
          <cell r="N296">
            <v>329</v>
          </cell>
          <cell r="O296">
            <v>0.37999999999999545</v>
          </cell>
          <cell r="P296">
            <v>328.62</v>
          </cell>
        </row>
        <row r="297">
          <cell r="H297" t="str">
            <v>Subtotal Group 22</v>
          </cell>
          <cell r="M297">
            <v>8931.9700000000012</v>
          </cell>
          <cell r="N297">
            <v>24861</v>
          </cell>
          <cell r="O297">
            <v>15929.029999999999</v>
          </cell>
        </row>
        <row r="299">
          <cell r="A299" t="str">
            <v>22S</v>
          </cell>
          <cell r="B299">
            <v>385</v>
          </cell>
          <cell r="G299" t="str">
            <v>M &amp; R Stations - Industrial</v>
          </cell>
        </row>
        <row r="300">
          <cell r="A300" t="str">
            <v>22S</v>
          </cell>
          <cell r="B300">
            <v>385</v>
          </cell>
          <cell r="H300" t="str">
            <v>BLANKET</v>
          </cell>
          <cell r="M300">
            <v>0</v>
          </cell>
          <cell r="N300">
            <v>8650</v>
          </cell>
          <cell r="O300">
            <v>8650</v>
          </cell>
        </row>
        <row r="301">
          <cell r="H301" t="str">
            <v>Subtotal Group 22S</v>
          </cell>
          <cell r="M301">
            <v>0</v>
          </cell>
          <cell r="N301">
            <v>8650</v>
          </cell>
          <cell r="O301">
            <v>8650</v>
          </cell>
        </row>
        <row r="303">
          <cell r="A303" t="str">
            <v>23</v>
          </cell>
          <cell r="B303" t="str">
            <v>387</v>
          </cell>
          <cell r="G303" t="str">
            <v>Other Equipment</v>
          </cell>
        </row>
        <row r="304">
          <cell r="A304" t="str">
            <v>23</v>
          </cell>
          <cell r="B304" t="str">
            <v>387</v>
          </cell>
          <cell r="C304">
            <v>36990</v>
          </cell>
          <cell r="D304">
            <v>37026</v>
          </cell>
          <cell r="E304" t="str">
            <v>DE-OTH EQUIP</v>
          </cell>
          <cell r="F304" t="str">
            <v>CGI</v>
          </cell>
          <cell r="H304" t="str">
            <v>Purchase 2 CGI'S for Construction</v>
          </cell>
          <cell r="M304">
            <v>3073.86</v>
          </cell>
          <cell r="N304">
            <v>3000</v>
          </cell>
          <cell r="O304">
            <v>-73.860000000000127</v>
          </cell>
          <cell r="P304">
            <v>3073.86</v>
          </cell>
        </row>
        <row r="305">
          <cell r="A305" t="str">
            <v>23</v>
          </cell>
          <cell r="B305" t="str">
            <v>387</v>
          </cell>
          <cell r="C305">
            <v>36949</v>
          </cell>
          <cell r="D305">
            <v>37000</v>
          </cell>
          <cell r="E305" t="str">
            <v>DE-OTH EQUIP</v>
          </cell>
          <cell r="F305" t="str">
            <v>PIPE LOCATOR TRK 5</v>
          </cell>
          <cell r="H305" t="str">
            <v>Purchase Pipe locator for New Construction Truck #5 (Model 500 Pipe Horn)</v>
          </cell>
          <cell r="L305">
            <v>61</v>
          </cell>
          <cell r="M305">
            <v>1009.5</v>
          </cell>
          <cell r="N305">
            <v>1000</v>
          </cell>
          <cell r="O305">
            <v>-9.5</v>
          </cell>
          <cell r="P305">
            <v>1009.5</v>
          </cell>
        </row>
        <row r="306">
          <cell r="A306" t="str">
            <v>23</v>
          </cell>
          <cell r="B306" t="str">
            <v>387</v>
          </cell>
          <cell r="C306">
            <v>37033</v>
          </cell>
          <cell r="E306" t="str">
            <v>DE-OTH EQUIP</v>
          </cell>
          <cell r="F306" t="str">
            <v>HOT TAP MACH</v>
          </cell>
          <cell r="H306" t="str">
            <v>1 McElroy Hot Tapping Machine for putting branch saddles on Pl pipe, Trk #5</v>
          </cell>
          <cell r="L306">
            <v>60</v>
          </cell>
          <cell r="M306">
            <v>0</v>
          </cell>
          <cell r="N306">
            <v>2000</v>
          </cell>
          <cell r="O306">
            <v>2000</v>
          </cell>
        </row>
        <row r="307">
          <cell r="A307" t="str">
            <v>23</v>
          </cell>
          <cell r="B307" t="str">
            <v>387</v>
          </cell>
          <cell r="H307" t="str">
            <v>BLANKET</v>
          </cell>
          <cell r="M307">
            <v>0</v>
          </cell>
          <cell r="N307">
            <v>0</v>
          </cell>
          <cell r="O307">
            <v>0</v>
          </cell>
        </row>
        <row r="308">
          <cell r="H308" t="str">
            <v>Subtotal Group 23</v>
          </cell>
          <cell r="M308">
            <v>4083.36</v>
          </cell>
          <cell r="N308">
            <v>6000</v>
          </cell>
          <cell r="O308">
            <v>1916.6399999999999</v>
          </cell>
        </row>
        <row r="311">
          <cell r="A311" t="str">
            <v>23S</v>
          </cell>
          <cell r="B311" t="str">
            <v>387</v>
          </cell>
          <cell r="G311" t="str">
            <v>Other Equipment</v>
          </cell>
        </row>
        <row r="314">
          <cell r="A314" t="str">
            <v>30</v>
          </cell>
          <cell r="B314" t="str">
            <v>390</v>
          </cell>
          <cell r="G314" t="str">
            <v>Structures and Improvements</v>
          </cell>
        </row>
        <row r="315">
          <cell r="A315" t="str">
            <v>30</v>
          </cell>
          <cell r="B315" t="str">
            <v>390</v>
          </cell>
          <cell r="H315" t="str">
            <v>Maintenance / Building repair -QS</v>
          </cell>
          <cell r="M315">
            <v>0</v>
          </cell>
          <cell r="N315">
            <v>10000</v>
          </cell>
          <cell r="O315">
            <v>10000</v>
          </cell>
        </row>
        <row r="316">
          <cell r="H316" t="str">
            <v>Subtotal Group 30</v>
          </cell>
          <cell r="M316">
            <v>0</v>
          </cell>
          <cell r="N316">
            <v>10000</v>
          </cell>
          <cell r="O316">
            <v>10000</v>
          </cell>
        </row>
        <row r="318">
          <cell r="A318" t="str">
            <v>24</v>
          </cell>
          <cell r="B318" t="str">
            <v>391</v>
          </cell>
          <cell r="G318" t="str">
            <v>Office Equipment</v>
          </cell>
        </row>
        <row r="319">
          <cell r="A319" t="str">
            <v>24</v>
          </cell>
          <cell r="B319" t="str">
            <v>391</v>
          </cell>
          <cell r="H319" t="str">
            <v>Update system flow model  Middletown/Odessa and Harrington</v>
          </cell>
          <cell r="M319">
            <v>0</v>
          </cell>
          <cell r="N319">
            <v>20000</v>
          </cell>
          <cell r="O319">
            <v>20000</v>
          </cell>
        </row>
        <row r="321">
          <cell r="H321" t="str">
            <v>Subtotal Group 24</v>
          </cell>
          <cell r="M321">
            <v>0</v>
          </cell>
          <cell r="N321">
            <v>20000</v>
          </cell>
          <cell r="O321">
            <v>20000</v>
          </cell>
        </row>
        <row r="323">
          <cell r="A323" t="str">
            <v>24S</v>
          </cell>
          <cell r="B323" t="str">
            <v>391</v>
          </cell>
          <cell r="G323" t="str">
            <v>Office Equipment</v>
          </cell>
        </row>
        <row r="325">
          <cell r="A325" t="str">
            <v>25</v>
          </cell>
          <cell r="B325" t="str">
            <v>392</v>
          </cell>
          <cell r="G325" t="str">
            <v>Transportation Equipment</v>
          </cell>
        </row>
        <row r="326">
          <cell r="A326" t="str">
            <v>25</v>
          </cell>
          <cell r="B326" t="str">
            <v>392</v>
          </cell>
          <cell r="H326" t="str">
            <v>Boom Truck Chassis -Cab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25</v>
          </cell>
          <cell r="B327" t="str">
            <v>392</v>
          </cell>
          <cell r="C327">
            <v>37207</v>
          </cell>
          <cell r="D327">
            <v>37225</v>
          </cell>
          <cell r="E327" t="str">
            <v>DE-TRANS</v>
          </cell>
          <cell r="F327" t="str">
            <v>TR-0105</v>
          </cell>
          <cell r="H327" t="str">
            <v>Emergency Trailer</v>
          </cell>
          <cell r="L327">
            <v>60</v>
          </cell>
          <cell r="M327">
            <v>4509.57</v>
          </cell>
          <cell r="N327">
            <v>3500</v>
          </cell>
          <cell r="O327">
            <v>-1009.5699999999997</v>
          </cell>
          <cell r="P327">
            <v>4509.57</v>
          </cell>
        </row>
        <row r="328">
          <cell r="A328" t="str">
            <v>25</v>
          </cell>
          <cell r="B328" t="str">
            <v>392</v>
          </cell>
          <cell r="C328">
            <v>36892</v>
          </cell>
          <cell r="D328">
            <v>37225</v>
          </cell>
          <cell r="E328" t="str">
            <v>DE-TRANS</v>
          </cell>
          <cell r="F328" t="str">
            <v>OT-0103</v>
          </cell>
          <cell r="H328" t="str">
            <v>Replace Unit 43</v>
          </cell>
          <cell r="L328">
            <v>60</v>
          </cell>
          <cell r="M328">
            <v>22667.55</v>
          </cell>
          <cell r="N328">
            <v>23500</v>
          </cell>
          <cell r="O328">
            <v>832.45000000000073</v>
          </cell>
          <cell r="P328">
            <v>22667.55</v>
          </cell>
        </row>
        <row r="329">
          <cell r="A329" t="str">
            <v>25</v>
          </cell>
          <cell r="B329" t="str">
            <v>392</v>
          </cell>
          <cell r="C329">
            <v>36935</v>
          </cell>
          <cell r="D329">
            <v>37195</v>
          </cell>
          <cell r="E329" t="str">
            <v>DE-TRANS</v>
          </cell>
          <cell r="F329" t="str">
            <v>OT-0104</v>
          </cell>
          <cell r="H329" t="str">
            <v>Replace Unit 58</v>
          </cell>
          <cell r="L329">
            <v>60</v>
          </cell>
          <cell r="M329">
            <v>17599</v>
          </cell>
          <cell r="N329">
            <v>17000</v>
          </cell>
          <cell r="O329">
            <v>-599</v>
          </cell>
          <cell r="Q329">
            <v>17599</v>
          </cell>
        </row>
        <row r="330">
          <cell r="H330" t="str">
            <v>Subtotal Group 25</v>
          </cell>
          <cell r="M330">
            <v>44776.119999999995</v>
          </cell>
          <cell r="N330">
            <v>44000</v>
          </cell>
          <cell r="O330">
            <v>-776.11999999999898</v>
          </cell>
        </row>
        <row r="332">
          <cell r="A332" t="str">
            <v>26</v>
          </cell>
          <cell r="B332" t="str">
            <v>394</v>
          </cell>
          <cell r="G332" t="str">
            <v>Tools, Shop and Garage Equip</v>
          </cell>
        </row>
        <row r="333">
          <cell r="A333" t="str">
            <v>26</v>
          </cell>
          <cell r="B333" t="str">
            <v>394</v>
          </cell>
          <cell r="C333">
            <v>36949</v>
          </cell>
          <cell r="D333">
            <v>37035</v>
          </cell>
          <cell r="E333" t="str">
            <v xml:space="preserve">DE-TOOLS </v>
          </cell>
          <cell r="F333" t="str">
            <v>FORK EXPANDER</v>
          </cell>
          <cell r="H333" t="str">
            <v>Purchase of Fork Expanders for Forklift truck</v>
          </cell>
          <cell r="L333">
            <v>60</v>
          </cell>
          <cell r="M333">
            <v>1400</v>
          </cell>
          <cell r="N333">
            <v>1400</v>
          </cell>
          <cell r="O333">
            <v>0</v>
          </cell>
          <cell r="P333">
            <v>1400</v>
          </cell>
        </row>
        <row r="334">
          <cell r="A334" t="str">
            <v>26</v>
          </cell>
          <cell r="B334" t="str">
            <v>394</v>
          </cell>
          <cell r="C334">
            <v>37033</v>
          </cell>
          <cell r="D334">
            <v>37225</v>
          </cell>
          <cell r="E334" t="str">
            <v xml:space="preserve">DE-TOOLS </v>
          </cell>
          <cell r="F334" t="str">
            <v>TOOLS TRUCK 5</v>
          </cell>
          <cell r="H334" t="str">
            <v>Purchase tools for new construction truck (Truck #5)</v>
          </cell>
          <cell r="L334">
            <v>60</v>
          </cell>
          <cell r="M334">
            <v>4934.6499999999996</v>
          </cell>
          <cell r="N334">
            <v>5182</v>
          </cell>
          <cell r="O334">
            <v>247.35000000000036</v>
          </cell>
          <cell r="P334">
            <v>4934.6499999999996</v>
          </cell>
        </row>
        <row r="335">
          <cell r="A335" t="str">
            <v>26</v>
          </cell>
          <cell r="B335" t="str">
            <v>394</v>
          </cell>
          <cell r="C335">
            <v>37033</v>
          </cell>
          <cell r="E335" t="str">
            <v xml:space="preserve">DE-TOOLS </v>
          </cell>
          <cell r="F335" t="str">
            <v>ROTARY HAMMER</v>
          </cell>
          <cell r="H335" t="str">
            <v>Purchase 1 hammer drill and drill bit, Truck #5</v>
          </cell>
          <cell r="L335">
            <v>60</v>
          </cell>
          <cell r="M335">
            <v>0</v>
          </cell>
          <cell r="N335">
            <v>670</v>
          </cell>
          <cell r="O335">
            <v>670</v>
          </cell>
        </row>
        <row r="336">
          <cell r="A336" t="str">
            <v>26</v>
          </cell>
          <cell r="B336" t="str">
            <v>394</v>
          </cell>
          <cell r="H336" t="str">
            <v>BLANKET</v>
          </cell>
          <cell r="M336">
            <v>0</v>
          </cell>
          <cell r="N336">
            <v>448</v>
          </cell>
          <cell r="O336">
            <v>448</v>
          </cell>
        </row>
        <row r="337">
          <cell r="H337" t="str">
            <v>Subtotal Group 26</v>
          </cell>
          <cell r="M337">
            <v>6334.65</v>
          </cell>
          <cell r="N337">
            <v>7700</v>
          </cell>
          <cell r="O337">
            <v>1365.3500000000004</v>
          </cell>
        </row>
        <row r="339">
          <cell r="A339" t="str">
            <v>26S</v>
          </cell>
          <cell r="B339" t="str">
            <v>394</v>
          </cell>
          <cell r="G339" t="str">
            <v>Tools, Shop and Garage Equip</v>
          </cell>
        </row>
        <row r="340">
          <cell r="A340" t="str">
            <v>26S</v>
          </cell>
          <cell r="B340" t="str">
            <v>394</v>
          </cell>
          <cell r="C340">
            <v>37144</v>
          </cell>
          <cell r="D340">
            <v>37164</v>
          </cell>
          <cell r="E340" t="str">
            <v>DE-TOOLS</v>
          </cell>
          <cell r="F340" t="str">
            <v>ELECTROFUSION-SUS</v>
          </cell>
          <cell r="H340" t="str">
            <v>Purchase Electrofusion Equip</v>
          </cell>
          <cell r="M340">
            <v>3462.5</v>
          </cell>
          <cell r="N340">
            <v>4000</v>
          </cell>
          <cell r="O340">
            <v>537.5</v>
          </cell>
          <cell r="P340">
            <v>3462.5</v>
          </cell>
        </row>
        <row r="341">
          <cell r="A341" t="str">
            <v>26S</v>
          </cell>
          <cell r="B341" t="str">
            <v>394</v>
          </cell>
          <cell r="C341">
            <v>37202</v>
          </cell>
          <cell r="E341" t="str">
            <v>DE-TOOLS</v>
          </cell>
          <cell r="F341" t="str">
            <v>TRAFFIC SIGNS-SUS</v>
          </cell>
          <cell r="H341" t="str">
            <v>Purchase Road Signs</v>
          </cell>
          <cell r="M341">
            <v>0</v>
          </cell>
          <cell r="N341">
            <v>2000</v>
          </cell>
          <cell r="O341">
            <v>2000</v>
          </cell>
        </row>
        <row r="342">
          <cell r="A342" t="str">
            <v>26S</v>
          </cell>
          <cell r="B342" t="str">
            <v>394</v>
          </cell>
          <cell r="H342" t="str">
            <v>Purchase Air Tool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26S</v>
          </cell>
          <cell r="B343" t="str">
            <v>394</v>
          </cell>
          <cell r="H343" t="str">
            <v>BLANKET</v>
          </cell>
          <cell r="M343">
            <v>0</v>
          </cell>
          <cell r="N343">
            <v>0</v>
          </cell>
          <cell r="O343">
            <v>0</v>
          </cell>
        </row>
        <row r="344">
          <cell r="H344" t="str">
            <v>Subtotal Group 26S</v>
          </cell>
          <cell r="M344">
            <v>3462.5</v>
          </cell>
          <cell r="N344">
            <v>6000</v>
          </cell>
          <cell r="O344">
            <v>2537.5</v>
          </cell>
        </row>
        <row r="346">
          <cell r="A346" t="str">
            <v>27</v>
          </cell>
          <cell r="B346" t="str">
            <v>396</v>
          </cell>
          <cell r="G346" t="str">
            <v>Power Operated Equipment</v>
          </cell>
        </row>
        <row r="347">
          <cell r="A347" t="str">
            <v>27</v>
          </cell>
          <cell r="B347" t="str">
            <v>396</v>
          </cell>
          <cell r="C347">
            <v>36935</v>
          </cell>
          <cell r="D347">
            <v>37035</v>
          </cell>
          <cell r="E347" t="str">
            <v>DE-POWER OP EQUIP</v>
          </cell>
          <cell r="F347" t="str">
            <v>FORKLIFT</v>
          </cell>
          <cell r="H347" t="str">
            <v>Purchase Forklift</v>
          </cell>
          <cell r="L347">
            <v>60</v>
          </cell>
          <cell r="M347">
            <v>10000</v>
          </cell>
          <cell r="N347">
            <v>9500</v>
          </cell>
          <cell r="O347">
            <v>-500</v>
          </cell>
          <cell r="P347">
            <v>10000</v>
          </cell>
        </row>
        <row r="348">
          <cell r="A348" t="str">
            <v>27</v>
          </cell>
          <cell r="B348" t="str">
            <v>396</v>
          </cell>
          <cell r="C348">
            <v>37119</v>
          </cell>
          <cell r="D348">
            <v>37164</v>
          </cell>
          <cell r="E348" t="str">
            <v>DE-POWER OP EQUIP</v>
          </cell>
          <cell r="F348" t="str">
            <v>GAS TAMP</v>
          </cell>
          <cell r="H348" t="str">
            <v>Purchase Gasolinge Tamp</v>
          </cell>
          <cell r="L348">
            <v>60</v>
          </cell>
          <cell r="M348">
            <v>2350</v>
          </cell>
          <cell r="N348">
            <v>2600</v>
          </cell>
          <cell r="O348">
            <v>250</v>
          </cell>
          <cell r="R348">
            <v>2350</v>
          </cell>
        </row>
        <row r="349">
          <cell r="A349" t="str">
            <v>27</v>
          </cell>
          <cell r="B349" t="str">
            <v>396</v>
          </cell>
          <cell r="C349">
            <v>36949</v>
          </cell>
          <cell r="D349">
            <v>36966</v>
          </cell>
          <cell r="E349" t="str">
            <v xml:space="preserve">DE-POWER OP EQUIP </v>
          </cell>
          <cell r="F349" t="str">
            <v>GENERATOR</v>
          </cell>
          <cell r="H349" t="str">
            <v>Purchase Generator</v>
          </cell>
          <cell r="L349">
            <v>60</v>
          </cell>
          <cell r="M349">
            <v>1999</v>
          </cell>
          <cell r="N349">
            <v>2500</v>
          </cell>
          <cell r="O349">
            <v>501</v>
          </cell>
          <cell r="P349">
            <v>1999</v>
          </cell>
        </row>
        <row r="350">
          <cell r="A350" t="str">
            <v>27</v>
          </cell>
          <cell r="B350" t="str">
            <v>396</v>
          </cell>
          <cell r="C350">
            <v>37165</v>
          </cell>
          <cell r="D350">
            <v>37225</v>
          </cell>
          <cell r="E350" t="str">
            <v xml:space="preserve">DE-POWER OP EQUIP </v>
          </cell>
          <cell r="F350" t="str">
            <v>GENERATOR 01</v>
          </cell>
          <cell r="H350" t="str">
            <v>ADD - Purchase Generator</v>
          </cell>
          <cell r="L350">
            <v>60</v>
          </cell>
          <cell r="M350">
            <v>1995</v>
          </cell>
          <cell r="N350">
            <v>2000</v>
          </cell>
          <cell r="O350">
            <v>5</v>
          </cell>
          <cell r="R350">
            <v>1995</v>
          </cell>
        </row>
        <row r="351">
          <cell r="H351" t="str">
            <v>Subtotal Group 27</v>
          </cell>
          <cell r="M351">
            <v>16344</v>
          </cell>
          <cell r="N351">
            <v>16600</v>
          </cell>
          <cell r="O351">
            <v>256</v>
          </cell>
        </row>
        <row r="352">
          <cell r="B352" t="str">
            <v xml:space="preserve"> </v>
          </cell>
        </row>
        <row r="353">
          <cell r="A353" t="str">
            <v>28</v>
          </cell>
          <cell r="B353" t="str">
            <v>397</v>
          </cell>
          <cell r="G353" t="str">
            <v>Communication Equipment</v>
          </cell>
        </row>
        <row r="356">
          <cell r="A356" t="str">
            <v>28S</v>
          </cell>
          <cell r="B356" t="str">
            <v>397</v>
          </cell>
          <cell r="G356" t="str">
            <v>Communication Equipment</v>
          </cell>
        </row>
        <row r="360">
          <cell r="A360" t="str">
            <v>29</v>
          </cell>
          <cell r="B360" t="str">
            <v>398</v>
          </cell>
          <cell r="G360" t="str">
            <v>Miscellaneous Equipment</v>
          </cell>
        </row>
        <row r="361">
          <cell r="H361" t="str">
            <v>Subtotal Group 29</v>
          </cell>
          <cell r="N361">
            <v>0</v>
          </cell>
        </row>
        <row r="363">
          <cell r="B363">
            <v>108</v>
          </cell>
          <cell r="G363" t="str">
            <v>Cost of Removal</v>
          </cell>
          <cell r="M363">
            <v>11514.64</v>
          </cell>
          <cell r="O363">
            <v>-11514.64</v>
          </cell>
          <cell r="P363">
            <v>540.24</v>
          </cell>
          <cell r="R363">
            <v>3785.23</v>
          </cell>
          <cell r="S363">
            <v>10344.17</v>
          </cell>
          <cell r="T363">
            <v>-3155</v>
          </cell>
        </row>
        <row r="364">
          <cell r="H364" t="str">
            <v>Blanket</v>
          </cell>
          <cell r="M364">
            <v>0</v>
          </cell>
          <cell r="N364">
            <v>20000</v>
          </cell>
          <cell r="O364">
            <v>20000</v>
          </cell>
        </row>
        <row r="365">
          <cell r="H365" t="str">
            <v>Subtotal</v>
          </cell>
          <cell r="M365">
            <v>11514.64</v>
          </cell>
          <cell r="N365">
            <v>20000</v>
          </cell>
          <cell r="O365">
            <v>8485.36</v>
          </cell>
        </row>
        <row r="367">
          <cell r="H367" t="str">
            <v>OVERHEAD</v>
          </cell>
          <cell r="M367">
            <v>170707.45</v>
          </cell>
          <cell r="N367">
            <v>-24256</v>
          </cell>
          <cell r="O367">
            <v>-194963.45</v>
          </cell>
        </row>
        <row r="368">
          <cell r="H368" t="str">
            <v>PRELIMINARY WORK</v>
          </cell>
          <cell r="M368">
            <v>8683.6</v>
          </cell>
          <cell r="O368">
            <v>-8683.6</v>
          </cell>
          <cell r="R368">
            <v>4448.2800000000007</v>
          </cell>
          <cell r="S368">
            <v>4235.32</v>
          </cell>
        </row>
        <row r="369">
          <cell r="H369" t="str">
            <v>TOTAL</v>
          </cell>
          <cell r="M369">
            <v>2197549.87</v>
          </cell>
          <cell r="N369">
            <v>2862667.9299999997</v>
          </cell>
          <cell r="O369">
            <v>665118.05999999947</v>
          </cell>
        </row>
        <row r="371">
          <cell r="M371">
            <v>0</v>
          </cell>
          <cell r="O371">
            <v>665118.05999999959</v>
          </cell>
        </row>
        <row r="372">
          <cell r="L372" t="str">
            <v>Begin</v>
          </cell>
          <cell r="M372">
            <v>1744465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-updated"/>
      <sheetName val="MAR-updated"/>
      <sheetName val="FLA-updated"/>
      <sheetName val="PPS-updated"/>
      <sheetName val="ESN-updated"/>
      <sheetName val="SHPFL-updated"/>
      <sheetName val="SHARP-updated"/>
      <sheetName val="Tolan-updated"/>
      <sheetName val="Douglas-updated"/>
      <sheetName val="Carroll-updated"/>
      <sheetName val="Start-Ups-updated"/>
      <sheetName val="EXC-updated"/>
      <sheetName val="SKIPJACK-updated"/>
      <sheetName val="Seaford Pwr Plant"/>
    </sheetNames>
    <sheetDataSet>
      <sheetData sheetId="0">
        <row r="11">
          <cell r="A11" t="str">
            <v>01S</v>
          </cell>
          <cell r="B11" t="str">
            <v>304</v>
          </cell>
          <cell r="G11" t="str">
            <v>Land and Land Rights</v>
          </cell>
        </row>
        <row r="13">
          <cell r="H13" t="str">
            <v>Subtotal Group 01S</v>
          </cell>
          <cell r="O13">
            <v>0</v>
          </cell>
        </row>
        <row r="15">
          <cell r="A15" t="str">
            <v>02S</v>
          </cell>
          <cell r="B15" t="str">
            <v>305</v>
          </cell>
          <cell r="G15" t="str">
            <v>Structures and Improvements</v>
          </cell>
        </row>
        <row r="16">
          <cell r="H16" t="str">
            <v>Subtotal Group 02S</v>
          </cell>
          <cell r="O16">
            <v>0</v>
          </cell>
        </row>
        <row r="18">
          <cell r="A18" t="str">
            <v>03</v>
          </cell>
          <cell r="B18" t="str">
            <v>311</v>
          </cell>
          <cell r="G18" t="str">
            <v>Propane Plant</v>
          </cell>
        </row>
        <row r="19">
          <cell r="A19" t="str">
            <v>03</v>
          </cell>
          <cell r="B19" t="str">
            <v>311</v>
          </cell>
          <cell r="C19">
            <v>36832</v>
          </cell>
          <cell r="D19">
            <v>37225</v>
          </cell>
          <cell r="E19" t="str">
            <v>DE-N DOVER</v>
          </cell>
          <cell r="F19" t="str">
            <v>PROPANE PLANT</v>
          </cell>
          <cell r="H19" t="str">
            <v>N. Dover Peak Shaving Plant (ADD $45,000)</v>
          </cell>
          <cell r="M19">
            <v>75365.47</v>
          </cell>
          <cell r="N19">
            <v>81000</v>
          </cell>
          <cell r="O19">
            <v>5634.5299999999988</v>
          </cell>
          <cell r="P19">
            <v>2448.5700000000002</v>
          </cell>
          <cell r="Q19">
            <v>824.1</v>
          </cell>
          <cell r="R19">
            <v>72092.800000000003</v>
          </cell>
        </row>
        <row r="20">
          <cell r="A20" t="str">
            <v>03</v>
          </cell>
          <cell r="B20" t="str">
            <v>311</v>
          </cell>
          <cell r="H20" t="str">
            <v>BLANKET</v>
          </cell>
          <cell r="M20">
            <v>0</v>
          </cell>
          <cell r="N20">
            <v>10400</v>
          </cell>
          <cell r="O20">
            <v>10400</v>
          </cell>
        </row>
        <row r="21">
          <cell r="H21" t="str">
            <v>Subtotal Group 03</v>
          </cell>
          <cell r="M21">
            <v>75365.47</v>
          </cell>
          <cell r="N21">
            <v>91400</v>
          </cell>
          <cell r="O21">
            <v>16034.529999999999</v>
          </cell>
        </row>
        <row r="23">
          <cell r="A23" t="str">
            <v>05</v>
          </cell>
          <cell r="B23" t="str">
            <v>376</v>
          </cell>
          <cell r="G23" t="str">
            <v>Mains - New Customers</v>
          </cell>
        </row>
        <row r="24">
          <cell r="A24" t="str">
            <v>05</v>
          </cell>
          <cell r="B24" t="str">
            <v>376</v>
          </cell>
          <cell r="H24" t="str">
            <v>Milford Project</v>
          </cell>
          <cell r="M24">
            <v>0</v>
          </cell>
          <cell r="N24">
            <v>1175</v>
          </cell>
          <cell r="O24">
            <v>1175</v>
          </cell>
        </row>
        <row r="25">
          <cell r="A25" t="str">
            <v>05</v>
          </cell>
          <cell r="B25" t="str">
            <v>376</v>
          </cell>
          <cell r="H25" t="str">
            <v>BLANKET</v>
          </cell>
          <cell r="M25">
            <v>0</v>
          </cell>
          <cell r="N25">
            <v>16748</v>
          </cell>
          <cell r="O25">
            <v>16748</v>
          </cell>
        </row>
        <row r="26">
          <cell r="A26" t="str">
            <v>05</v>
          </cell>
          <cell r="B26" t="str">
            <v>376</v>
          </cell>
          <cell r="C26">
            <v>36861</v>
          </cell>
          <cell r="D26">
            <v>37042</v>
          </cell>
          <cell r="E26" t="str">
            <v>DE-17&amp;23 LIBERTY DR</v>
          </cell>
          <cell r="F26" t="str">
            <v>MAIN-NEW CUST</v>
          </cell>
          <cell r="H26" t="str">
            <v>2000 DE-17 &amp; 23 LIBERTY DR-MAIN-NEW CUST</v>
          </cell>
          <cell r="J26">
            <v>390</v>
          </cell>
          <cell r="L26">
            <v>60</v>
          </cell>
          <cell r="M26">
            <v>202.82</v>
          </cell>
          <cell r="N26">
            <v>203</v>
          </cell>
          <cell r="O26">
            <v>0.18000000000000682</v>
          </cell>
          <cell r="P26">
            <v>202.82</v>
          </cell>
        </row>
        <row r="27">
          <cell r="A27" t="str">
            <v>05</v>
          </cell>
          <cell r="B27" t="str">
            <v>376</v>
          </cell>
          <cell r="C27">
            <v>36647</v>
          </cell>
          <cell r="D27">
            <v>36738</v>
          </cell>
          <cell r="E27" t="str">
            <v>DE-BON AYRE MHP</v>
          </cell>
          <cell r="F27" t="str">
            <v>MAIN NEW</v>
          </cell>
          <cell r="H27" t="str">
            <v>2000 Bon Ayre MHP Main</v>
          </cell>
          <cell r="K27">
            <v>235</v>
          </cell>
          <cell r="L27">
            <v>54</v>
          </cell>
          <cell r="M27">
            <v>334.29</v>
          </cell>
          <cell r="N27">
            <v>334</v>
          </cell>
          <cell r="O27">
            <v>-0.29000000000002046</v>
          </cell>
          <cell r="P27">
            <v>334.29</v>
          </cell>
        </row>
        <row r="28">
          <cell r="A28" t="str">
            <v>05</v>
          </cell>
          <cell r="B28" t="str">
            <v>376</v>
          </cell>
          <cell r="C28">
            <v>37158</v>
          </cell>
          <cell r="E28" t="str">
            <v>DE-BUNKER HILL</v>
          </cell>
          <cell r="F28" t="str">
            <v xml:space="preserve">MAIN NEW </v>
          </cell>
          <cell r="H28" t="str">
            <v>Install 3850'-6", 1050'-2" pl main-Bunker Hill Business Center</v>
          </cell>
          <cell r="I28">
            <v>4900</v>
          </cell>
          <cell r="J28">
            <v>1050</v>
          </cell>
          <cell r="K28">
            <v>3850</v>
          </cell>
          <cell r="L28">
            <v>45</v>
          </cell>
          <cell r="M28">
            <v>39451.67</v>
          </cell>
          <cell r="N28">
            <v>60993</v>
          </cell>
          <cell r="O28">
            <v>21541.33</v>
          </cell>
          <cell r="P28">
            <v>12476.67</v>
          </cell>
          <cell r="R28">
            <v>26975</v>
          </cell>
        </row>
        <row r="29">
          <cell r="A29" t="str">
            <v>05</v>
          </cell>
          <cell r="B29" t="str">
            <v>376</v>
          </cell>
          <cell r="C29">
            <v>37158</v>
          </cell>
          <cell r="E29" t="str">
            <v>DE-BUNKER HIL APPR</v>
          </cell>
          <cell r="F29" t="str">
            <v xml:space="preserve">MAIN NEW </v>
          </cell>
          <cell r="H29" t="str">
            <v>Install 1350'-6", from Doc Levinson Dr to Sandhill Dr entrance to Bunker Hill Ctr</v>
          </cell>
          <cell r="I29">
            <v>1350</v>
          </cell>
          <cell r="K29">
            <v>1350</v>
          </cell>
          <cell r="L29">
            <v>45</v>
          </cell>
          <cell r="M29">
            <v>4094.73</v>
          </cell>
          <cell r="N29">
            <v>19045</v>
          </cell>
          <cell r="O29">
            <v>14950.27</v>
          </cell>
          <cell r="P29">
            <v>4094.73</v>
          </cell>
        </row>
        <row r="30">
          <cell r="A30" t="str">
            <v>05</v>
          </cell>
          <cell r="B30" t="str">
            <v>376</v>
          </cell>
          <cell r="C30">
            <v>36949</v>
          </cell>
          <cell r="D30">
            <v>37195</v>
          </cell>
          <cell r="E30" t="str">
            <v>DE-CANTWELL RIDGE PH II</v>
          </cell>
          <cell r="F30" t="str">
            <v>MAIN NEW DEV</v>
          </cell>
          <cell r="H30" t="str">
            <v>Install 850'-4", 2250'-2" pl main-AppoquiniminkCt,SeamansCt,Drawyers Dr</v>
          </cell>
          <cell r="I30">
            <v>3100</v>
          </cell>
          <cell r="J30">
            <v>3850</v>
          </cell>
          <cell r="K30">
            <v>850</v>
          </cell>
          <cell r="L30">
            <v>46</v>
          </cell>
          <cell r="M30">
            <v>12114.68</v>
          </cell>
          <cell r="N30">
            <v>19612</v>
          </cell>
          <cell r="O30">
            <v>7497.32</v>
          </cell>
          <cell r="P30">
            <v>2033.48</v>
          </cell>
          <cell r="R30">
            <v>10081.200000000001</v>
          </cell>
        </row>
        <row r="31">
          <cell r="A31" t="str">
            <v>05</v>
          </cell>
          <cell r="B31" t="str">
            <v>376</v>
          </cell>
          <cell r="C31">
            <v>36777</v>
          </cell>
          <cell r="D31">
            <v>36951</v>
          </cell>
          <cell r="E31" t="str">
            <v>DE-CARDINAL HILL DEV</v>
          </cell>
          <cell r="F31" t="str">
            <v>MAINS NEW DEV</v>
          </cell>
          <cell r="H31" t="str">
            <v>2000 DE-CARDINAL HILL DEV - MAINS NEW DEV</v>
          </cell>
          <cell r="I31">
            <v>2825</v>
          </cell>
          <cell r="J31">
            <v>5320</v>
          </cell>
          <cell r="L31">
            <v>68</v>
          </cell>
          <cell r="M31">
            <v>13429.95</v>
          </cell>
          <cell r="N31">
            <v>16807</v>
          </cell>
          <cell r="O31">
            <v>3377.0499999999993</v>
          </cell>
          <cell r="P31">
            <v>2367.4499999999998</v>
          </cell>
          <cell r="R31">
            <v>11062.5</v>
          </cell>
        </row>
        <row r="32">
          <cell r="A32" t="str">
            <v>05</v>
          </cell>
          <cell r="B32" t="str">
            <v>376</v>
          </cell>
          <cell r="C32">
            <v>36920</v>
          </cell>
          <cell r="D32">
            <v>37041</v>
          </cell>
          <cell r="E32" t="str">
            <v>DE-CARLISLE DEV</v>
          </cell>
          <cell r="F32" t="str">
            <v>MAIN NEW</v>
          </cell>
          <cell r="H32" t="str">
            <v>Install 1200 ft, 2 pl main, Birchwood Court and Turning Leaf Court-Carlisle Dev</v>
          </cell>
          <cell r="I32">
            <v>1200</v>
          </cell>
          <cell r="J32">
            <v>1215</v>
          </cell>
          <cell r="L32">
            <v>59</v>
          </cell>
          <cell r="M32">
            <v>5629.27</v>
          </cell>
          <cell r="N32">
            <v>6846</v>
          </cell>
          <cell r="O32">
            <v>1216.7299999999996</v>
          </cell>
          <cell r="P32">
            <v>609.27</v>
          </cell>
          <cell r="R32">
            <v>5020</v>
          </cell>
        </row>
        <row r="33">
          <cell r="A33" t="str">
            <v>05</v>
          </cell>
          <cell r="B33" t="str">
            <v>376</v>
          </cell>
          <cell r="C33">
            <v>36839</v>
          </cell>
          <cell r="D33">
            <v>36891</v>
          </cell>
          <cell r="E33" t="str">
            <v>DE-CHIMNEY HILL DEV</v>
          </cell>
          <cell r="F33" t="str">
            <v>MAIN NEW CUST</v>
          </cell>
          <cell r="H33" t="str">
            <v>Inventory charges additional</v>
          </cell>
          <cell r="M33">
            <v>61.04</v>
          </cell>
          <cell r="N33">
            <v>61</v>
          </cell>
          <cell r="O33">
            <v>-3.9999999999999147E-2</v>
          </cell>
          <cell r="P33">
            <v>61.04</v>
          </cell>
        </row>
        <row r="34">
          <cell r="A34" t="str">
            <v>05</v>
          </cell>
          <cell r="B34" t="str">
            <v>376</v>
          </cell>
          <cell r="C34">
            <v>37209</v>
          </cell>
          <cell r="E34" t="str">
            <v>DE-CHIMNEY HILL DEV</v>
          </cell>
          <cell r="F34" t="str">
            <v xml:space="preserve">MAIN NEW </v>
          </cell>
          <cell r="H34" t="str">
            <v>Install 600' 4" pl &amp; 1320' 2" in this development</v>
          </cell>
          <cell r="I34">
            <v>1920</v>
          </cell>
          <cell r="J34">
            <v>500</v>
          </cell>
          <cell r="K34">
            <v>680</v>
          </cell>
          <cell r="L34">
            <v>69</v>
          </cell>
          <cell r="M34">
            <v>1402.23</v>
          </cell>
          <cell r="N34">
            <v>13662</v>
          </cell>
          <cell r="O34">
            <v>12259.77</v>
          </cell>
          <cell r="P34">
            <v>1402.23</v>
          </cell>
        </row>
        <row r="35">
          <cell r="A35" t="str">
            <v>05</v>
          </cell>
          <cell r="B35" t="str">
            <v>376</v>
          </cell>
          <cell r="C35">
            <v>37074</v>
          </cell>
          <cell r="D35">
            <v>37225</v>
          </cell>
          <cell r="E35" t="str">
            <v>DE-CRICKLEWOOD DEV</v>
          </cell>
          <cell r="F35" t="str">
            <v xml:space="preserve">MAIN NEW </v>
          </cell>
          <cell r="H35" t="str">
            <v>Extend 2"pl main E. Minglewood Dr, W. Minglewood Dr</v>
          </cell>
          <cell r="I35">
            <v>1788</v>
          </cell>
          <cell r="J35">
            <v>1500</v>
          </cell>
          <cell r="L35">
            <v>45</v>
          </cell>
          <cell r="M35">
            <v>7852.49</v>
          </cell>
          <cell r="N35">
            <v>10723</v>
          </cell>
          <cell r="O35">
            <v>2870.51</v>
          </cell>
          <cell r="P35">
            <v>600.99</v>
          </cell>
          <cell r="R35">
            <v>7251.5</v>
          </cell>
        </row>
        <row r="36">
          <cell r="A36" t="str">
            <v>05</v>
          </cell>
          <cell r="B36" t="str">
            <v>376</v>
          </cell>
          <cell r="C36">
            <v>37105</v>
          </cell>
          <cell r="D36">
            <v>37195</v>
          </cell>
          <cell r="E36" t="str">
            <v>DE-FOUR SEASONS</v>
          </cell>
          <cell r="F36" t="str">
            <v>MAIN DEV</v>
          </cell>
          <cell r="H36" t="str">
            <v xml:space="preserve">Install 4978 feet of 2"PL main.  43 Lots </v>
          </cell>
          <cell r="I36">
            <v>4978</v>
          </cell>
          <cell r="J36">
            <v>4975</v>
          </cell>
          <cell r="L36">
            <v>60</v>
          </cell>
          <cell r="M36">
            <v>19448.75</v>
          </cell>
          <cell r="N36">
            <v>14242</v>
          </cell>
          <cell r="O36">
            <v>-5206.75</v>
          </cell>
          <cell r="P36">
            <v>1728.58</v>
          </cell>
          <cell r="R36">
            <v>17720.169999999998</v>
          </cell>
        </row>
        <row r="37">
          <cell r="A37" t="str">
            <v>05</v>
          </cell>
          <cell r="B37" t="str">
            <v>376</v>
          </cell>
          <cell r="C37">
            <v>37074</v>
          </cell>
          <cell r="E37" t="str">
            <v>DE-GRAND OAKS</v>
          </cell>
          <cell r="F37" t="str">
            <v>MAIN NEW</v>
          </cell>
          <cell r="H37" t="str">
            <v>Install 2"pl main-Grand Oaks Dr,Arthur Ln,Jullian Ct. 1st phase</v>
          </cell>
          <cell r="I37">
            <v>2115</v>
          </cell>
          <cell r="J37">
            <v>2120</v>
          </cell>
          <cell r="L37">
            <v>64</v>
          </cell>
          <cell r="M37">
            <v>8773.11</v>
          </cell>
          <cell r="N37">
            <v>12909</v>
          </cell>
          <cell r="O37">
            <v>4135.8899999999994</v>
          </cell>
          <cell r="P37">
            <v>1050.6100000000001</v>
          </cell>
          <cell r="R37">
            <v>7722.5</v>
          </cell>
        </row>
        <row r="38">
          <cell r="A38" t="str">
            <v>05</v>
          </cell>
          <cell r="B38" t="str">
            <v>376</v>
          </cell>
          <cell r="C38">
            <v>36839</v>
          </cell>
          <cell r="D38">
            <v>37195</v>
          </cell>
          <cell r="E38" t="str">
            <v>DE-GREENLAWN</v>
          </cell>
          <cell r="F38" t="str">
            <v>MAIN NEW CUST</v>
          </cell>
          <cell r="H38" t="str">
            <v>ADD-Carryover-4" and 2" pl main-Millbranch at Greenlawn</v>
          </cell>
          <cell r="I38">
            <v>2550</v>
          </cell>
          <cell r="K38">
            <v>1400</v>
          </cell>
          <cell r="L38">
            <v>45</v>
          </cell>
          <cell r="M38">
            <v>12765.85</v>
          </cell>
          <cell r="N38">
            <v>10423</v>
          </cell>
          <cell r="O38">
            <v>-2342.8500000000004</v>
          </cell>
          <cell r="P38">
            <v>2028.85</v>
          </cell>
          <cell r="R38">
            <v>10737</v>
          </cell>
        </row>
        <row r="39">
          <cell r="A39" t="str">
            <v>05</v>
          </cell>
          <cell r="B39" t="str">
            <v>376</v>
          </cell>
          <cell r="C39">
            <v>37158</v>
          </cell>
          <cell r="E39" t="str">
            <v>DE-GREENLAWN</v>
          </cell>
          <cell r="F39" t="str">
            <v>MAIN NEW 2</v>
          </cell>
          <cell r="H39" t="str">
            <v>Install 2200' of 2" Main in Greenlawn Dev *This is separate from the carryover</v>
          </cell>
          <cell r="I39">
            <v>2200</v>
          </cell>
          <cell r="J39">
            <v>2000</v>
          </cell>
          <cell r="L39">
            <v>45</v>
          </cell>
          <cell r="M39">
            <v>970.88</v>
          </cell>
          <cell r="N39">
            <v>12554</v>
          </cell>
          <cell r="O39">
            <v>11583.12</v>
          </cell>
          <cell r="P39">
            <v>970.88</v>
          </cell>
        </row>
        <row r="40">
          <cell r="A40" t="str">
            <v>05</v>
          </cell>
          <cell r="B40" t="str">
            <v>376</v>
          </cell>
          <cell r="C40">
            <v>37060</v>
          </cell>
          <cell r="D40">
            <v>37195</v>
          </cell>
          <cell r="E40" t="str">
            <v>DE-LAKE FOREST ELEM</v>
          </cell>
          <cell r="F40" t="str">
            <v>MAIN NEW</v>
          </cell>
          <cell r="H40" t="str">
            <v>2" Pl main-Lake Forest School Ctrl Elem; $8920.10 Reimbursed</v>
          </cell>
          <cell r="I40">
            <v>940</v>
          </cell>
          <cell r="J40">
            <v>3000</v>
          </cell>
          <cell r="L40">
            <v>69</v>
          </cell>
          <cell r="M40">
            <v>702.10000000000105</v>
          </cell>
          <cell r="N40">
            <v>9635</v>
          </cell>
          <cell r="O40">
            <v>8932.9</v>
          </cell>
          <cell r="P40">
            <v>2429.63</v>
          </cell>
          <cell r="R40">
            <v>5940</v>
          </cell>
          <cell r="S40">
            <v>-8148</v>
          </cell>
          <cell r="T40">
            <v>480.47</v>
          </cell>
        </row>
        <row r="41">
          <cell r="A41" t="str">
            <v>05</v>
          </cell>
          <cell r="B41" t="str">
            <v>376</v>
          </cell>
          <cell r="C41">
            <v>36542</v>
          </cell>
          <cell r="D41">
            <v>37195</v>
          </cell>
          <cell r="E41" t="str">
            <v>DE-LAKESIDE DEV</v>
          </cell>
          <cell r="F41" t="str">
            <v>MAIN DEV</v>
          </cell>
          <cell r="H41" t="str">
            <v>Extend 2 in Pl main in Lakeside Dev off Broad St, Install 550', 2" main Littondale</v>
          </cell>
          <cell r="I41">
            <v>550</v>
          </cell>
          <cell r="J41">
            <v>2845</v>
          </cell>
          <cell r="L41">
            <v>45</v>
          </cell>
          <cell r="M41">
            <v>10889.93</v>
          </cell>
          <cell r="N41">
            <v>11647</v>
          </cell>
          <cell r="O41">
            <v>757.06999999999971</v>
          </cell>
          <cell r="P41">
            <v>723.32999999999993</v>
          </cell>
          <cell r="R41">
            <v>10166.6</v>
          </cell>
        </row>
        <row r="42">
          <cell r="A42" t="str">
            <v>05</v>
          </cell>
          <cell r="B42" t="str">
            <v>376</v>
          </cell>
          <cell r="C42">
            <v>37035</v>
          </cell>
          <cell r="D42">
            <v>37195</v>
          </cell>
          <cell r="E42" t="str">
            <v>DE-LAKESIDE DEV</v>
          </cell>
          <cell r="F42" t="str">
            <v>MAIN DEV 2</v>
          </cell>
          <cell r="H42" t="str">
            <v>Install 3405',2"pl main-1717'Ingleside Dr&amp;1688'Silver Lake Dr (57Lots)</v>
          </cell>
          <cell r="I42">
            <v>3405</v>
          </cell>
          <cell r="L42">
            <v>45</v>
          </cell>
          <cell r="M42">
            <v>12183</v>
          </cell>
          <cell r="N42">
            <v>18277</v>
          </cell>
          <cell r="O42">
            <v>6094</v>
          </cell>
          <cell r="R42">
            <v>12183</v>
          </cell>
        </row>
        <row r="43">
          <cell r="A43" t="str">
            <v>05</v>
          </cell>
          <cell r="B43" t="str">
            <v>376</v>
          </cell>
          <cell r="C43">
            <v>37189</v>
          </cell>
          <cell r="E43" t="str">
            <v>DE-LAKESIDE DEV</v>
          </cell>
          <cell r="F43" t="str">
            <v>MAIN DEV 3</v>
          </cell>
          <cell r="H43" t="str">
            <v>ADD-Install 450' of 2" pl in the woods of Lakeside on Beckington Ct</v>
          </cell>
          <cell r="I43">
            <v>450</v>
          </cell>
          <cell r="J43">
            <v>1850</v>
          </cell>
          <cell r="L43">
            <v>45</v>
          </cell>
          <cell r="M43">
            <v>730.98</v>
          </cell>
          <cell r="N43">
            <v>2799</v>
          </cell>
          <cell r="O43">
            <v>2068.02</v>
          </cell>
          <cell r="P43">
            <v>730.98</v>
          </cell>
        </row>
        <row r="44">
          <cell r="A44" t="str">
            <v>05</v>
          </cell>
          <cell r="B44" t="str">
            <v>376</v>
          </cell>
          <cell r="C44">
            <v>36927</v>
          </cell>
          <cell r="D44">
            <v>36973</v>
          </cell>
          <cell r="E44" t="str">
            <v>DE-LINKSIDE COMM</v>
          </cell>
          <cell r="F44" t="str">
            <v>MAIN NEW</v>
          </cell>
          <cell r="H44" t="str">
            <v>Install 1000 ft, 4 inch pl main, Linkside Commercial Complex-S. St Street Ext</v>
          </cell>
          <cell r="I44">
            <v>1000</v>
          </cell>
          <cell r="K44">
            <v>1150</v>
          </cell>
          <cell r="L44">
            <v>64</v>
          </cell>
          <cell r="M44">
            <v>7363.46</v>
          </cell>
          <cell r="N44">
            <v>10030</v>
          </cell>
          <cell r="O44">
            <v>2666.54</v>
          </cell>
          <cell r="P44">
            <v>1613.46</v>
          </cell>
          <cell r="R44">
            <v>5750</v>
          </cell>
        </row>
        <row r="45">
          <cell r="A45" t="str">
            <v>05</v>
          </cell>
          <cell r="B45" t="str">
            <v>376</v>
          </cell>
          <cell r="C45">
            <v>36826</v>
          </cell>
          <cell r="D45">
            <v>37164</v>
          </cell>
          <cell r="E45" t="str">
            <v>DE-LONGMDW DEV</v>
          </cell>
          <cell r="F45" t="str">
            <v>MAIN NEW</v>
          </cell>
          <cell r="H45" t="str">
            <v>ADD-Carryover-2" pl main in Longmeadows Development</v>
          </cell>
          <cell r="I45">
            <v>5250</v>
          </cell>
          <cell r="J45">
            <v>5250</v>
          </cell>
          <cell r="L45">
            <v>44</v>
          </cell>
          <cell r="M45">
            <v>11892.72</v>
          </cell>
          <cell r="N45">
            <v>14328</v>
          </cell>
          <cell r="O45">
            <v>2435.2800000000007</v>
          </cell>
          <cell r="P45">
            <v>1842.72</v>
          </cell>
          <cell r="R45">
            <v>10050</v>
          </cell>
        </row>
        <row r="46">
          <cell r="A46" t="str">
            <v>05</v>
          </cell>
          <cell r="B46" t="str">
            <v>376</v>
          </cell>
          <cell r="C46">
            <v>37172</v>
          </cell>
          <cell r="E46" t="str">
            <v>DE-MAPLE GLEN</v>
          </cell>
          <cell r="F46" t="str">
            <v>MAIN NEW</v>
          </cell>
          <cell r="H46" t="str">
            <v>ADD-Install 940' of 4" pl main from Carlisle Dr to entrance of Maple Glen Dev</v>
          </cell>
          <cell r="I46">
            <v>940</v>
          </cell>
          <cell r="K46">
            <v>24</v>
          </cell>
          <cell r="L46">
            <v>59</v>
          </cell>
          <cell r="M46">
            <v>858.54</v>
          </cell>
          <cell r="N46">
            <v>29714</v>
          </cell>
          <cell r="O46">
            <v>28855.46</v>
          </cell>
          <cell r="P46">
            <v>858.54</v>
          </cell>
        </row>
        <row r="47">
          <cell r="A47" t="str">
            <v>05</v>
          </cell>
          <cell r="B47" t="str">
            <v>376</v>
          </cell>
          <cell r="C47">
            <v>37214</v>
          </cell>
          <cell r="E47" t="str">
            <v>DE-MIDDLETOWN COMMONS</v>
          </cell>
          <cell r="F47" t="str">
            <v>MAIN NEW</v>
          </cell>
          <cell r="H47" t="str">
            <v>ADD-Install 1210' 4" pl from Industrial Rd to Entrance; Install 2100' of 2" in Commons</v>
          </cell>
          <cell r="I47">
            <v>3310</v>
          </cell>
          <cell r="K47">
            <v>1160</v>
          </cell>
          <cell r="L47">
            <v>46</v>
          </cell>
          <cell r="M47">
            <v>1651.78</v>
          </cell>
          <cell r="N47">
            <v>24540</v>
          </cell>
          <cell r="O47">
            <v>22888.22</v>
          </cell>
          <cell r="P47">
            <v>1601.22</v>
          </cell>
          <cell r="R47">
            <v>50.56</v>
          </cell>
        </row>
        <row r="48">
          <cell r="A48" t="str">
            <v>05</v>
          </cell>
          <cell r="B48" t="str">
            <v>376</v>
          </cell>
          <cell r="C48">
            <v>36920</v>
          </cell>
          <cell r="D48">
            <v>37195</v>
          </cell>
          <cell r="E48" t="str">
            <v>DE-MIDDLETOWN VILLG</v>
          </cell>
          <cell r="F48" t="str">
            <v>MAIN NEW</v>
          </cell>
          <cell r="H48" t="str">
            <v>Install 4065 ft, 2 inch pl main, W. Harvest Lane and North Ramunno Dr.</v>
          </cell>
          <cell r="I48">
            <v>6665</v>
          </cell>
          <cell r="J48">
            <v>18845</v>
          </cell>
          <cell r="K48">
            <v>12530</v>
          </cell>
          <cell r="L48">
            <v>45</v>
          </cell>
          <cell r="M48">
            <v>20853.59</v>
          </cell>
          <cell r="N48">
            <v>37663</v>
          </cell>
          <cell r="O48">
            <v>16809.41</v>
          </cell>
          <cell r="P48">
            <v>3891.59</v>
          </cell>
          <cell r="R48">
            <v>16962</v>
          </cell>
        </row>
        <row r="49">
          <cell r="A49" t="str">
            <v>05</v>
          </cell>
          <cell r="B49" t="str">
            <v>376</v>
          </cell>
          <cell r="C49">
            <v>37215</v>
          </cell>
          <cell r="E49" t="str">
            <v>DE-MIDDLETOWN VILLG</v>
          </cell>
          <cell r="F49" t="str">
            <v>MAIN NEW PH2</v>
          </cell>
          <cell r="H49" t="str">
            <v>ADD-Install 1000' of 2" pl on Rosie Dr &amp; 260' of 2" on Edgerow Dr</v>
          </cell>
          <cell r="I49">
            <v>1260</v>
          </cell>
          <cell r="L49">
            <v>46</v>
          </cell>
          <cell r="M49">
            <v>0</v>
          </cell>
          <cell r="N49">
            <v>8050</v>
          </cell>
          <cell r="O49">
            <v>8050</v>
          </cell>
        </row>
        <row r="50">
          <cell r="A50" t="str">
            <v>05</v>
          </cell>
          <cell r="B50" t="str">
            <v>376</v>
          </cell>
          <cell r="C50">
            <v>37235</v>
          </cell>
          <cell r="E50" t="str">
            <v>DE-MIDDLETOWN VILLG</v>
          </cell>
          <cell r="F50" t="str">
            <v>MAIN NEW PH3</v>
          </cell>
          <cell r="H50" t="str">
            <v xml:space="preserve">Install 200' of 2" pl on Marian Dr </v>
          </cell>
          <cell r="I50">
            <v>200</v>
          </cell>
          <cell r="L50">
            <v>46</v>
          </cell>
          <cell r="M50">
            <v>0</v>
          </cell>
          <cell r="N50">
            <v>1615</v>
          </cell>
          <cell r="O50">
            <v>1615</v>
          </cell>
        </row>
        <row r="51">
          <cell r="A51" t="str">
            <v>05</v>
          </cell>
          <cell r="B51" t="str">
            <v>376</v>
          </cell>
          <cell r="C51">
            <v>36935</v>
          </cell>
          <cell r="D51">
            <v>37134</v>
          </cell>
          <cell r="E51" t="str">
            <v>DE-MILFORD</v>
          </cell>
          <cell r="F51" t="str">
            <v>AREA 1</v>
          </cell>
          <cell r="H51" t="str">
            <v>Install 6850ft-4" pl main-Milford Business Park-Airport Road</v>
          </cell>
          <cell r="I51">
            <v>6850</v>
          </cell>
          <cell r="J51">
            <v>2250</v>
          </cell>
          <cell r="K51">
            <v>5800</v>
          </cell>
          <cell r="L51">
            <v>75</v>
          </cell>
          <cell r="M51">
            <v>44122.71</v>
          </cell>
          <cell r="N51">
            <v>65612</v>
          </cell>
          <cell r="O51">
            <v>21489.29</v>
          </cell>
          <cell r="P51">
            <v>2953.46</v>
          </cell>
          <cell r="R51">
            <v>41169.25</v>
          </cell>
        </row>
        <row r="52">
          <cell r="A52" t="str">
            <v>05</v>
          </cell>
          <cell r="B52" t="str">
            <v>376</v>
          </cell>
          <cell r="C52">
            <v>36962</v>
          </cell>
          <cell r="D52">
            <v>37164</v>
          </cell>
          <cell r="E52" t="str">
            <v>DE-MILFORD</v>
          </cell>
          <cell r="F52" t="str">
            <v>AREA 2A</v>
          </cell>
          <cell r="H52" t="str">
            <v>Install 275ft-6inch and 800ft-4inch pl main-Milford Project Area 2-A</v>
          </cell>
          <cell r="I52">
            <v>1075</v>
          </cell>
          <cell r="L52">
            <v>75</v>
          </cell>
          <cell r="M52">
            <v>14440.83</v>
          </cell>
          <cell r="N52">
            <v>22884</v>
          </cell>
          <cell r="O52">
            <v>8443.17</v>
          </cell>
          <cell r="P52">
            <v>1537.04</v>
          </cell>
          <cell r="Q52">
            <v>556.37</v>
          </cell>
          <cell r="R52">
            <v>12293.28</v>
          </cell>
          <cell r="T52">
            <v>54.14</v>
          </cell>
        </row>
        <row r="53">
          <cell r="A53" t="str">
            <v>05</v>
          </cell>
          <cell r="B53" t="str">
            <v>376</v>
          </cell>
          <cell r="C53">
            <v>37158</v>
          </cell>
          <cell r="E53" t="str">
            <v>DE-MILFORD</v>
          </cell>
          <cell r="F53" t="str">
            <v>AREA 2A</v>
          </cell>
          <cell r="H53" t="str">
            <v>Install 700' of 2" from Wal-Mart to Milford Landing</v>
          </cell>
          <cell r="I53">
            <v>700</v>
          </cell>
          <cell r="L53">
            <v>75</v>
          </cell>
          <cell r="M53">
            <v>0</v>
          </cell>
          <cell r="N53">
            <v>6452</v>
          </cell>
          <cell r="O53">
            <v>6452</v>
          </cell>
        </row>
        <row r="54">
          <cell r="A54" t="str">
            <v>05</v>
          </cell>
          <cell r="B54" t="str">
            <v>376</v>
          </cell>
          <cell r="C54">
            <v>36962</v>
          </cell>
          <cell r="D54">
            <v>37164</v>
          </cell>
          <cell r="E54" t="str">
            <v>DE-MILFORD</v>
          </cell>
          <cell r="F54" t="str">
            <v>AREA 2B</v>
          </cell>
          <cell r="H54" t="str">
            <v>Install 935ft-4inch and 750ft-2inch pl main-Milfor Project-Area 2-B</v>
          </cell>
          <cell r="I54">
            <v>1685</v>
          </cell>
          <cell r="L54">
            <v>75</v>
          </cell>
          <cell r="M54">
            <v>39492.909999999996</v>
          </cell>
          <cell r="N54">
            <v>43055</v>
          </cell>
          <cell r="O54">
            <v>3562.0900000000038</v>
          </cell>
          <cell r="P54">
            <v>1279.2</v>
          </cell>
          <cell r="Q54">
            <v>2042.5</v>
          </cell>
          <cell r="R54">
            <v>36171.21</v>
          </cell>
        </row>
        <row r="55">
          <cell r="A55" t="str">
            <v>05</v>
          </cell>
          <cell r="B55" t="str">
            <v>376</v>
          </cell>
          <cell r="C55">
            <v>37028</v>
          </cell>
          <cell r="D55">
            <v>37225</v>
          </cell>
          <cell r="E55" t="str">
            <v>DE-MILFORD</v>
          </cell>
          <cell r="F55" t="str">
            <v>AREA 2C</v>
          </cell>
          <cell r="H55" t="str">
            <v>Install 475', 4" Pl main on Rt 113 frm WalMart entance North to Food Lion</v>
          </cell>
          <cell r="I55">
            <v>475</v>
          </cell>
          <cell r="L55">
            <v>75</v>
          </cell>
          <cell r="M55">
            <v>0</v>
          </cell>
          <cell r="N55">
            <v>145</v>
          </cell>
          <cell r="O55">
            <v>145</v>
          </cell>
          <cell r="P55">
            <v>-63.9</v>
          </cell>
          <cell r="R55">
            <v>63.899999999999977</v>
          </cell>
        </row>
        <row r="56">
          <cell r="A56" t="str">
            <v>05</v>
          </cell>
          <cell r="B56" t="str">
            <v>376</v>
          </cell>
          <cell r="C56" t="str">
            <v>05/17/200</v>
          </cell>
          <cell r="E56" t="str">
            <v>DE-MILFORD</v>
          </cell>
          <cell r="F56" t="str">
            <v>AREA 3A</v>
          </cell>
          <cell r="H56" t="str">
            <v>Install 3085', 6" Pl main-Airport Rd(Rosa Rd) to North of Stevenson House</v>
          </cell>
          <cell r="I56">
            <v>3085</v>
          </cell>
          <cell r="L56">
            <v>75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05</v>
          </cell>
          <cell r="B57" t="str">
            <v>376</v>
          </cell>
          <cell r="C57">
            <v>37028</v>
          </cell>
          <cell r="E57" t="str">
            <v>DE-MILFORD</v>
          </cell>
          <cell r="F57" t="str">
            <v>AREA 3C</v>
          </cell>
          <cell r="H57" t="str">
            <v>Install 385',6" Pl &amp; 2245', 4" Pl main-N. Stevenson House to Milford Plaza Shp Ctr</v>
          </cell>
          <cell r="I57">
            <v>2630</v>
          </cell>
          <cell r="J57">
            <v>250</v>
          </cell>
          <cell r="L57">
            <v>75</v>
          </cell>
          <cell r="M57">
            <v>0</v>
          </cell>
          <cell r="N57">
            <v>0</v>
          </cell>
          <cell r="O57">
            <v>0</v>
          </cell>
          <cell r="P57">
            <v>-687.73</v>
          </cell>
          <cell r="Q57">
            <v>687.73</v>
          </cell>
        </row>
        <row r="58">
          <cell r="A58" t="str">
            <v>05</v>
          </cell>
          <cell r="B58" t="str">
            <v>376</v>
          </cell>
          <cell r="C58">
            <v>37166</v>
          </cell>
          <cell r="D58">
            <v>37225</v>
          </cell>
          <cell r="E58" t="str">
            <v>DE-MILFORD</v>
          </cell>
          <cell r="F58" t="str">
            <v>AREA 5</v>
          </cell>
          <cell r="H58" t="str">
            <v>Install 220' of 6" @ Sea Watch to Rehoboth Blvd</v>
          </cell>
          <cell r="I58">
            <v>220</v>
          </cell>
          <cell r="L58">
            <v>75</v>
          </cell>
          <cell r="M58">
            <v>9047.48</v>
          </cell>
          <cell r="N58">
            <v>7458</v>
          </cell>
          <cell r="O58">
            <v>-1589.4799999999996</v>
          </cell>
          <cell r="P58">
            <v>1147.48</v>
          </cell>
          <cell r="R58">
            <v>7900</v>
          </cell>
        </row>
        <row r="59">
          <cell r="A59" t="str">
            <v>05</v>
          </cell>
          <cell r="B59" t="str">
            <v>376</v>
          </cell>
          <cell r="C59">
            <v>37240</v>
          </cell>
          <cell r="E59" t="str">
            <v>DE-MILFORD PARK CENTER</v>
          </cell>
          <cell r="F59" t="str">
            <v>MAIN NEW</v>
          </cell>
          <cell r="H59" t="str">
            <v>Install 1600' of 2" pl to Milford Park Center - this is off Buccaneer Dr</v>
          </cell>
          <cell r="I59">
            <v>1600</v>
          </cell>
          <cell r="L59">
            <v>75</v>
          </cell>
          <cell r="M59">
            <v>0</v>
          </cell>
          <cell r="N59">
            <v>11415</v>
          </cell>
          <cell r="O59">
            <v>11415</v>
          </cell>
        </row>
        <row r="60">
          <cell r="A60" t="str">
            <v>05</v>
          </cell>
          <cell r="B60" t="str">
            <v>376</v>
          </cell>
          <cell r="C60">
            <v>37168</v>
          </cell>
          <cell r="E60" t="str">
            <v>DE-ORCHARD CREEK</v>
          </cell>
          <cell r="F60" t="str">
            <v>MAIN NEW</v>
          </cell>
          <cell r="H60" t="str">
            <v>Install 2580' of 4" and 290' of 2" in Orchard Creek Dev</v>
          </cell>
          <cell r="I60">
            <v>2870</v>
          </cell>
          <cell r="J60">
            <v>500</v>
          </cell>
          <cell r="K60">
            <v>2930</v>
          </cell>
          <cell r="L60">
            <v>64</v>
          </cell>
          <cell r="M60">
            <v>19948.18</v>
          </cell>
          <cell r="N60">
            <v>23848</v>
          </cell>
          <cell r="O60">
            <v>3899.8199999999997</v>
          </cell>
          <cell r="P60">
            <v>2863.67</v>
          </cell>
          <cell r="R60">
            <v>17084.510000000002</v>
          </cell>
        </row>
        <row r="61">
          <cell r="A61" t="str">
            <v>05</v>
          </cell>
          <cell r="B61" t="str">
            <v>376</v>
          </cell>
          <cell r="C61">
            <v>37043</v>
          </cell>
          <cell r="D61">
            <v>37195</v>
          </cell>
          <cell r="E61" t="str">
            <v>DE-ORCHARDS</v>
          </cell>
          <cell r="F61" t="str">
            <v>MAIN NEW</v>
          </cell>
          <cell r="H61" t="str">
            <v>Install 790', 4", and 2665', 2" pl main in Orchards Dev</v>
          </cell>
          <cell r="I61">
            <v>3455</v>
          </cell>
          <cell r="J61">
            <v>3250</v>
          </cell>
          <cell r="K61">
            <v>1320</v>
          </cell>
          <cell r="L61">
            <v>64</v>
          </cell>
          <cell r="M61">
            <v>16276.21</v>
          </cell>
          <cell r="N61">
            <v>22243</v>
          </cell>
          <cell r="O61">
            <v>5966.7900000000009</v>
          </cell>
          <cell r="P61">
            <v>2817.46</v>
          </cell>
          <cell r="R61">
            <v>13458.75</v>
          </cell>
        </row>
        <row r="62">
          <cell r="A62" t="str">
            <v>05</v>
          </cell>
          <cell r="B62" t="str">
            <v>376</v>
          </cell>
          <cell r="C62">
            <v>37189</v>
          </cell>
          <cell r="D62">
            <v>37225</v>
          </cell>
          <cell r="E62" t="str">
            <v>DE-ORCHARDS</v>
          </cell>
          <cell r="F62" t="str">
            <v>MAIN NEW 2</v>
          </cell>
          <cell r="H62" t="str">
            <v>ADD-Install 345' of 4" pl on Pear Blossom Ln in Orchards Dev</v>
          </cell>
          <cell r="I62">
            <v>345</v>
          </cell>
          <cell r="J62">
            <v>1000</v>
          </cell>
          <cell r="L62">
            <v>64</v>
          </cell>
          <cell r="M62">
            <v>2509.86</v>
          </cell>
          <cell r="N62">
            <v>3409</v>
          </cell>
          <cell r="O62">
            <v>899.13999999999987</v>
          </cell>
          <cell r="P62">
            <v>371.11</v>
          </cell>
          <cell r="R62">
            <v>2138.75</v>
          </cell>
        </row>
        <row r="63">
          <cell r="A63" t="str">
            <v>05</v>
          </cell>
          <cell r="B63">
            <v>376</v>
          </cell>
          <cell r="C63">
            <v>36818</v>
          </cell>
          <cell r="D63">
            <v>36891</v>
          </cell>
          <cell r="E63" t="str">
            <v>DE-PAYNTERS VILLAGE</v>
          </cell>
          <cell r="F63" t="str">
            <v>MAIN NEW CUST DEV</v>
          </cell>
          <cell r="H63" t="str">
            <v>Install 125', 2" and 350', 1 1/4" PL Main in Paynters Village Dev</v>
          </cell>
          <cell r="J63">
            <v>1500</v>
          </cell>
          <cell r="K63">
            <v>200</v>
          </cell>
          <cell r="M63">
            <v>825.75</v>
          </cell>
          <cell r="N63">
            <v>826</v>
          </cell>
          <cell r="O63">
            <v>0.25</v>
          </cell>
          <cell r="P63">
            <v>825.75</v>
          </cell>
        </row>
        <row r="64">
          <cell r="A64" t="str">
            <v>05</v>
          </cell>
          <cell r="B64" t="str">
            <v>376</v>
          </cell>
          <cell r="C64">
            <v>37048</v>
          </cell>
          <cell r="D64">
            <v>37195</v>
          </cell>
          <cell r="E64" t="str">
            <v>DE-PINE TREE CRNR</v>
          </cell>
          <cell r="F64" t="str">
            <v>MAIN NEW</v>
          </cell>
          <cell r="H64" t="str">
            <v>Install 2" high press steel main for CGATE at Rt1 &amp; Pinetree Corners</v>
          </cell>
          <cell r="L64">
            <v>46</v>
          </cell>
          <cell r="M64">
            <v>10400</v>
          </cell>
          <cell r="N64">
            <v>22169</v>
          </cell>
          <cell r="O64">
            <v>11769</v>
          </cell>
          <cell r="R64">
            <v>10400</v>
          </cell>
        </row>
        <row r="65">
          <cell r="A65" t="str">
            <v>05</v>
          </cell>
          <cell r="B65" t="str">
            <v>376</v>
          </cell>
          <cell r="C65">
            <v>37035</v>
          </cell>
          <cell r="D65">
            <v>37225</v>
          </cell>
          <cell r="E65" t="str">
            <v>DE-PLANTERS RUN</v>
          </cell>
          <cell r="F65" t="str">
            <v>MAIN NEW</v>
          </cell>
          <cell r="H65" t="str">
            <v>Install 2" pl main in the Planters Run Dev off Rt10(Lebannon Rd)</v>
          </cell>
          <cell r="I65">
            <v>3955</v>
          </cell>
          <cell r="J65">
            <v>3250</v>
          </cell>
          <cell r="L65">
            <v>64</v>
          </cell>
          <cell r="M65">
            <v>7262.38</v>
          </cell>
          <cell r="N65">
            <v>21209</v>
          </cell>
          <cell r="O65">
            <v>13946.619999999999</v>
          </cell>
          <cell r="P65">
            <v>1302.18</v>
          </cell>
          <cell r="R65">
            <v>5960.2</v>
          </cell>
        </row>
        <row r="66">
          <cell r="A66" t="str">
            <v>05</v>
          </cell>
          <cell r="B66" t="str">
            <v>376</v>
          </cell>
          <cell r="C66">
            <v>37074</v>
          </cell>
          <cell r="D66">
            <v>37195</v>
          </cell>
          <cell r="E66" t="str">
            <v>DE-PLANTERS WOODS DEV</v>
          </cell>
          <cell r="F66" t="str">
            <v>MAIN NEW</v>
          </cell>
          <cell r="H66" t="str">
            <v>Extend 2" pl main on Cantwell Dr,Canary Ct,and Tall Tree Ct. (31 lots)</v>
          </cell>
          <cell r="J66">
            <v>2400</v>
          </cell>
          <cell r="L66">
            <v>59</v>
          </cell>
          <cell r="M66">
            <v>10634.63</v>
          </cell>
          <cell r="N66">
            <v>14599</v>
          </cell>
          <cell r="O66">
            <v>3964.3700000000008</v>
          </cell>
          <cell r="P66">
            <v>980.88</v>
          </cell>
          <cell r="R66">
            <v>9653.75</v>
          </cell>
        </row>
        <row r="67">
          <cell r="A67" t="str">
            <v>05</v>
          </cell>
          <cell r="B67" t="str">
            <v>376</v>
          </cell>
          <cell r="C67">
            <v>36858</v>
          </cell>
          <cell r="D67">
            <v>36891</v>
          </cell>
          <cell r="E67" t="str">
            <v>DE-SAFEWAY MAIN</v>
          </cell>
          <cell r="F67" t="str">
            <v>MAIN NEW APPR</v>
          </cell>
          <cell r="H67" t="str">
            <v>2000 Safeway main, Install 2 Inch pl, Dover Crossing</v>
          </cell>
          <cell r="J67">
            <v>30</v>
          </cell>
          <cell r="L67">
            <v>60</v>
          </cell>
          <cell r="M67">
            <v>311.89999999999998</v>
          </cell>
          <cell r="N67">
            <v>312</v>
          </cell>
          <cell r="O67">
            <v>0.10000000000002274</v>
          </cell>
          <cell r="P67">
            <v>311.89999999999998</v>
          </cell>
        </row>
        <row r="68">
          <cell r="A68" t="str">
            <v>05</v>
          </cell>
          <cell r="B68" t="str">
            <v>376</v>
          </cell>
          <cell r="C68">
            <v>37011</v>
          </cell>
          <cell r="D68">
            <v>37164</v>
          </cell>
          <cell r="E68" t="str">
            <v>DE-SPRING CREEK DEV</v>
          </cell>
          <cell r="F68" t="str">
            <v>MAIN NEW</v>
          </cell>
          <cell r="H68" t="str">
            <v xml:space="preserve">Install 465',4"pl main in Spring Creek Dev off State Rd,Install 2" Setter Ct, 350' Spaniel Ct </v>
          </cell>
          <cell r="I68">
            <v>1230</v>
          </cell>
          <cell r="J68">
            <v>1765</v>
          </cell>
          <cell r="K68">
            <v>925</v>
          </cell>
          <cell r="L68">
            <v>46</v>
          </cell>
          <cell r="M68">
            <v>9659.43</v>
          </cell>
          <cell r="N68">
            <v>11607</v>
          </cell>
          <cell r="O68">
            <v>1947.5699999999997</v>
          </cell>
          <cell r="P68">
            <v>2579.7299999999996</v>
          </cell>
          <cell r="R68">
            <v>7079.7</v>
          </cell>
        </row>
        <row r="69">
          <cell r="A69" t="str">
            <v>05</v>
          </cell>
          <cell r="B69" t="str">
            <v>376</v>
          </cell>
          <cell r="C69">
            <v>37174</v>
          </cell>
          <cell r="D69">
            <v>37225</v>
          </cell>
          <cell r="E69" t="str">
            <v>DE-SPRING CREEK DEV 2</v>
          </cell>
          <cell r="F69" t="str">
            <v>MAIN NEW</v>
          </cell>
          <cell r="H69" t="str">
            <v>ADD- Install 550' of 4" on Spring Creek Dr 830' of 2" on Labrador Ln &amp; 500' of 2" on Shepherd Ct</v>
          </cell>
          <cell r="I69">
            <v>1880</v>
          </cell>
          <cell r="K69">
            <v>675</v>
          </cell>
          <cell r="L69">
            <v>46</v>
          </cell>
          <cell r="M69">
            <v>9235.83</v>
          </cell>
          <cell r="N69">
            <v>13260</v>
          </cell>
          <cell r="O69">
            <v>4024.17</v>
          </cell>
          <cell r="P69">
            <v>937.08</v>
          </cell>
          <cell r="R69">
            <v>8298.75</v>
          </cell>
        </row>
        <row r="70">
          <cell r="A70" t="str">
            <v>05</v>
          </cell>
          <cell r="B70" t="str">
            <v>376</v>
          </cell>
          <cell r="C70">
            <v>36826</v>
          </cell>
          <cell r="D70">
            <v>37225</v>
          </cell>
          <cell r="E70" t="str">
            <v>DE-SPRINGMILL</v>
          </cell>
          <cell r="F70" t="str">
            <v>MAIN NEW</v>
          </cell>
          <cell r="H70" t="str">
            <v>ADD-Carryover-4" and 2" pl main Springmill Development</v>
          </cell>
          <cell r="I70">
            <v>3711</v>
          </cell>
          <cell r="J70">
            <v>2750</v>
          </cell>
          <cell r="L70">
            <v>45</v>
          </cell>
          <cell r="M70">
            <v>21258.07</v>
          </cell>
          <cell r="N70">
            <v>23183</v>
          </cell>
          <cell r="O70">
            <v>1924.9300000000003</v>
          </cell>
          <cell r="P70">
            <v>1375.4699999999998</v>
          </cell>
          <cell r="R70">
            <v>19930.599999999999</v>
          </cell>
          <cell r="S70">
            <v>-48</v>
          </cell>
        </row>
        <row r="71">
          <cell r="A71" t="str">
            <v>05</v>
          </cell>
          <cell r="B71" t="str">
            <v>376</v>
          </cell>
          <cell r="C71">
            <v>36678</v>
          </cell>
          <cell r="D71">
            <v>36707</v>
          </cell>
          <cell r="E71" t="str">
            <v>DE-ST JONES</v>
          </cell>
          <cell r="F71" t="str">
            <v>MAINS NEW</v>
          </cell>
          <cell r="H71" t="str">
            <v>2000 DE-STJONES</v>
          </cell>
          <cell r="K71">
            <v>2230</v>
          </cell>
          <cell r="M71">
            <v>3172.23</v>
          </cell>
          <cell r="N71">
            <v>3200</v>
          </cell>
          <cell r="O71">
            <v>27.769999999999982</v>
          </cell>
          <cell r="P71">
            <v>3172.23</v>
          </cell>
        </row>
        <row r="72">
          <cell r="A72" t="str">
            <v>05</v>
          </cell>
          <cell r="B72" t="str">
            <v>376</v>
          </cell>
          <cell r="C72">
            <v>37156</v>
          </cell>
          <cell r="D72">
            <v>37195</v>
          </cell>
          <cell r="E72" t="str">
            <v>DE-ST JONES</v>
          </cell>
          <cell r="F72" t="str">
            <v>MAINS NEW</v>
          </cell>
          <cell r="H72" t="str">
            <v>2001 DE-STJONES 1550' of 2"</v>
          </cell>
          <cell r="I72">
            <v>1550</v>
          </cell>
          <cell r="J72">
            <v>1550</v>
          </cell>
          <cell r="M72">
            <v>7013.67</v>
          </cell>
          <cell r="N72">
            <v>11498.23</v>
          </cell>
          <cell r="O72">
            <v>4484.5599999999995</v>
          </cell>
          <cell r="P72">
            <v>548.73</v>
          </cell>
          <cell r="R72">
            <v>6464.94</v>
          </cell>
        </row>
        <row r="73">
          <cell r="A73" t="str">
            <v>05</v>
          </cell>
          <cell r="B73" t="str">
            <v>376</v>
          </cell>
          <cell r="C73">
            <v>36908</v>
          </cell>
          <cell r="D73">
            <v>37195</v>
          </cell>
          <cell r="E73" t="str">
            <v>DE-STONEFIELD</v>
          </cell>
          <cell r="F73" t="str">
            <v>MAIN NEW</v>
          </cell>
          <cell r="H73" t="str">
            <v>Install 500 ft, 2 inch pl, Conquina Ct, 940ft 2 in pl-Basalt St, 80ft, 4 in-Olivine Cl</v>
          </cell>
          <cell r="I73">
            <v>1520</v>
          </cell>
          <cell r="J73">
            <v>1250</v>
          </cell>
          <cell r="L73">
            <v>46</v>
          </cell>
          <cell r="M73">
            <v>5635.97</v>
          </cell>
          <cell r="N73">
            <v>9424</v>
          </cell>
          <cell r="O73">
            <v>3788.0299999999997</v>
          </cell>
          <cell r="P73">
            <v>544.47</v>
          </cell>
          <cell r="R73">
            <v>5091.5</v>
          </cell>
        </row>
        <row r="74">
          <cell r="A74" t="str">
            <v>05</v>
          </cell>
          <cell r="B74" t="str">
            <v>376</v>
          </cell>
          <cell r="C74">
            <v>36910</v>
          </cell>
          <cell r="D74">
            <v>37164</v>
          </cell>
          <cell r="E74" t="str">
            <v>DE-SUNNYSIDE VILLG</v>
          </cell>
          <cell r="F74" t="str">
            <v>MAIN NEW</v>
          </cell>
          <cell r="H74" t="str">
            <v>Install 320 ft, 2inch pl main, Sunnyside Village Dev-Smyrna</v>
          </cell>
          <cell r="I74">
            <v>320</v>
          </cell>
          <cell r="J74">
            <v>2405</v>
          </cell>
          <cell r="K74">
            <v>1485</v>
          </cell>
          <cell r="L74">
            <v>54</v>
          </cell>
          <cell r="M74">
            <v>5365.09</v>
          </cell>
          <cell r="N74">
            <v>5213</v>
          </cell>
          <cell r="O74">
            <v>-152.09000000000015</v>
          </cell>
          <cell r="P74">
            <v>3254.8399999999997</v>
          </cell>
          <cell r="R74">
            <v>2110.25</v>
          </cell>
        </row>
        <row r="75">
          <cell r="A75" t="str">
            <v>05</v>
          </cell>
          <cell r="B75" t="str">
            <v>376</v>
          </cell>
          <cell r="C75">
            <v>37172</v>
          </cell>
          <cell r="D75">
            <v>37195</v>
          </cell>
          <cell r="E75" t="str">
            <v>DE-SUNNYSIDE VILLG 2</v>
          </cell>
          <cell r="F75" t="str">
            <v>MAIN NEW</v>
          </cell>
          <cell r="H75" t="str">
            <v>ADD-Install 720' of 2" pl main on Dairy Dr in Sunnyside Village Dev</v>
          </cell>
          <cell r="I75">
            <v>720</v>
          </cell>
          <cell r="J75">
            <v>720</v>
          </cell>
          <cell r="L75">
            <v>54</v>
          </cell>
          <cell r="M75">
            <v>3489.16</v>
          </cell>
          <cell r="N75">
            <v>5725</v>
          </cell>
          <cell r="O75">
            <v>2235.84</v>
          </cell>
          <cell r="P75">
            <v>289.16000000000003</v>
          </cell>
          <cell r="R75">
            <v>3200</v>
          </cell>
        </row>
        <row r="76">
          <cell r="A76" t="str">
            <v>05</v>
          </cell>
          <cell r="B76" t="str">
            <v>376</v>
          </cell>
          <cell r="C76">
            <v>36669</v>
          </cell>
          <cell r="D76">
            <v>37195</v>
          </cell>
          <cell r="E76" t="str">
            <v>DE-THE LEGENDS</v>
          </cell>
          <cell r="F76" t="str">
            <v>MAIN NEW</v>
          </cell>
          <cell r="H76" t="str">
            <v>ADD-Carryover-4" and 2" pl main The Legends Development</v>
          </cell>
          <cell r="I76">
            <v>5350</v>
          </cell>
          <cell r="J76">
            <v>3750</v>
          </cell>
          <cell r="L76">
            <v>45</v>
          </cell>
          <cell r="M76">
            <v>6945.99</v>
          </cell>
          <cell r="N76">
            <v>12816</v>
          </cell>
          <cell r="O76">
            <v>5870.01</v>
          </cell>
          <cell r="P76">
            <v>1264.3899999999999</v>
          </cell>
          <cell r="R76">
            <v>5681.6</v>
          </cell>
        </row>
        <row r="77">
          <cell r="A77" t="str">
            <v>05</v>
          </cell>
          <cell r="B77" t="str">
            <v>376</v>
          </cell>
          <cell r="C77">
            <v>37188</v>
          </cell>
          <cell r="E77" t="str">
            <v>DE-THE LEGENDS WEST</v>
          </cell>
          <cell r="F77" t="str">
            <v>MAIN NEW</v>
          </cell>
          <cell r="H77" t="str">
            <v>ADD-1550' of 4"pl -Palmer; 500' of 4" -Betsy Rawls; 500' of 4" on Porky Oliver; 800' of 2" on Jackie Circle; 600' of 2" on O'Meara Ct</v>
          </cell>
          <cell r="I77">
            <v>4500</v>
          </cell>
          <cell r="J77">
            <v>2450</v>
          </cell>
          <cell r="K77">
            <v>2600</v>
          </cell>
          <cell r="L77">
            <v>45</v>
          </cell>
          <cell r="M77">
            <v>4597.01</v>
          </cell>
          <cell r="N77">
            <v>29900</v>
          </cell>
          <cell r="O77">
            <v>25302.989999999998</v>
          </cell>
          <cell r="P77">
            <v>4597.01</v>
          </cell>
        </row>
        <row r="78">
          <cell r="A78" t="str">
            <v>05</v>
          </cell>
          <cell r="B78" t="str">
            <v>376</v>
          </cell>
          <cell r="C78">
            <v>37204</v>
          </cell>
          <cell r="E78" t="str">
            <v>DE-THOMAS COVE DEV</v>
          </cell>
          <cell r="F78" t="str">
            <v>MAIN NEW</v>
          </cell>
          <cell r="H78" t="str">
            <v>ADD-Install 3375' of 2" pl; 1775' on Middessa Dr; 650' -Jersey Ct; 550' -Guernsey Dr; 400' -Holstein Ct</v>
          </cell>
          <cell r="I78">
            <v>3375</v>
          </cell>
          <cell r="J78">
            <v>3112</v>
          </cell>
          <cell r="L78">
            <v>46</v>
          </cell>
          <cell r="M78">
            <v>8526.77</v>
          </cell>
          <cell r="N78">
            <v>19595</v>
          </cell>
          <cell r="O78">
            <v>11068.23</v>
          </cell>
          <cell r="P78">
            <v>1026.77</v>
          </cell>
          <cell r="R78">
            <v>7500</v>
          </cell>
        </row>
        <row r="79">
          <cell r="A79" t="str">
            <v>05</v>
          </cell>
          <cell r="B79" t="str">
            <v>376</v>
          </cell>
          <cell r="C79">
            <v>37180</v>
          </cell>
          <cell r="D79">
            <v>37195</v>
          </cell>
          <cell r="E79" t="str">
            <v>DE-THOMAS LANDING RD</v>
          </cell>
          <cell r="F79" t="str">
            <v>MAIN NEW</v>
          </cell>
          <cell r="H79" t="str">
            <v>ADD-Install 388' of 2" pl from Thomas Landing Rd to East</v>
          </cell>
          <cell r="I79">
            <v>388</v>
          </cell>
          <cell r="J79">
            <v>388</v>
          </cell>
          <cell r="L79">
            <v>46</v>
          </cell>
          <cell r="M79">
            <v>2589.1999999999998</v>
          </cell>
          <cell r="N79">
            <v>3702</v>
          </cell>
          <cell r="O79">
            <v>1112.8000000000002</v>
          </cell>
          <cell r="P79">
            <v>137.19999999999999</v>
          </cell>
          <cell r="R79">
            <v>2452</v>
          </cell>
        </row>
        <row r="80">
          <cell r="A80" t="str">
            <v>05</v>
          </cell>
          <cell r="B80" t="str">
            <v>376</v>
          </cell>
          <cell r="C80">
            <v>36678</v>
          </cell>
          <cell r="D80">
            <v>36739</v>
          </cell>
          <cell r="E80" t="str">
            <v>DE-VIOLATON CTR</v>
          </cell>
          <cell r="F80" t="str">
            <v>MAIN-NEW APPRO</v>
          </cell>
          <cell r="H80" t="str">
            <v>2000 DE-Violation Center-Main New Approach</v>
          </cell>
          <cell r="J80">
            <v>800</v>
          </cell>
          <cell r="K80">
            <v>1990</v>
          </cell>
          <cell r="L80">
            <v>48</v>
          </cell>
          <cell r="M80">
            <v>2830.83</v>
          </cell>
          <cell r="N80">
            <v>2900</v>
          </cell>
          <cell r="O80">
            <v>69.170000000000073</v>
          </cell>
          <cell r="P80">
            <v>2830.83</v>
          </cell>
        </row>
        <row r="81">
          <cell r="A81" t="str">
            <v>05</v>
          </cell>
          <cell r="B81">
            <v>376</v>
          </cell>
          <cell r="C81">
            <v>37140</v>
          </cell>
          <cell r="D81">
            <v>37195</v>
          </cell>
          <cell r="E81" t="str">
            <v>DE-WHEATLEY POND</v>
          </cell>
          <cell r="F81" t="str">
            <v>MAIN NEW</v>
          </cell>
          <cell r="H81" t="str">
            <v>Install 1500' 2" plastic main in Wheatley Pond Development</v>
          </cell>
          <cell r="I81">
            <v>1500</v>
          </cell>
          <cell r="J81">
            <v>1750</v>
          </cell>
          <cell r="L81">
            <v>51</v>
          </cell>
          <cell r="M81">
            <v>7377.37</v>
          </cell>
          <cell r="N81">
            <v>9974</v>
          </cell>
          <cell r="O81">
            <v>2596.63</v>
          </cell>
          <cell r="P81">
            <v>752.37</v>
          </cell>
          <cell r="R81">
            <v>6625</v>
          </cell>
        </row>
        <row r="82">
          <cell r="A82" t="str">
            <v>05</v>
          </cell>
          <cell r="B82" t="str">
            <v>376</v>
          </cell>
          <cell r="C82">
            <v>36949</v>
          </cell>
          <cell r="D82">
            <v>36994</v>
          </cell>
          <cell r="E82" t="str">
            <v>DE-WILD MEADOWS</v>
          </cell>
          <cell r="F82" t="str">
            <v>MAIN NEW APPR</v>
          </cell>
          <cell r="H82" t="str">
            <v>Install 285'-6" pl approach main to srve Wild Meadows Dev</v>
          </cell>
          <cell r="I82">
            <v>285</v>
          </cell>
          <cell r="K82">
            <v>300</v>
          </cell>
          <cell r="L82">
            <v>61</v>
          </cell>
          <cell r="M82">
            <v>8483.93</v>
          </cell>
          <cell r="N82">
            <v>11705</v>
          </cell>
          <cell r="O82">
            <v>3221.0699999999997</v>
          </cell>
          <cell r="P82">
            <v>1035.93</v>
          </cell>
          <cell r="R82">
            <v>7448</v>
          </cell>
        </row>
        <row r="83">
          <cell r="A83" t="str">
            <v>05</v>
          </cell>
          <cell r="B83" t="str">
            <v>376</v>
          </cell>
          <cell r="C83">
            <v>36949</v>
          </cell>
          <cell r="D83">
            <v>36994</v>
          </cell>
          <cell r="E83" t="str">
            <v>DE-WILD MEADOWS</v>
          </cell>
          <cell r="F83" t="str">
            <v>MAIN NEW DEV</v>
          </cell>
          <cell r="H83" t="str">
            <v>Install 1300'-2"pl main-Kurt Dr, Persimmon Circle West and Holland Ct</v>
          </cell>
          <cell r="I83">
            <v>1300</v>
          </cell>
          <cell r="J83">
            <v>3523</v>
          </cell>
          <cell r="L83">
            <v>61</v>
          </cell>
          <cell r="M83">
            <v>16247.66</v>
          </cell>
          <cell r="N83">
            <v>20402</v>
          </cell>
          <cell r="O83">
            <v>4154.34</v>
          </cell>
          <cell r="P83">
            <v>1508.66</v>
          </cell>
          <cell r="R83">
            <v>14739</v>
          </cell>
        </row>
        <row r="84">
          <cell r="A84" t="str">
            <v>05</v>
          </cell>
          <cell r="B84" t="str">
            <v>376</v>
          </cell>
          <cell r="C84">
            <v>36967</v>
          </cell>
          <cell r="D84">
            <v>37195</v>
          </cell>
          <cell r="E84" t="str">
            <v>DE-WOODFIELD DEV</v>
          </cell>
          <cell r="F84" t="str">
            <v>MAIN NEW DEV</v>
          </cell>
          <cell r="H84" t="str">
            <v>Install 350ft-2 in pl main -Forest Glen Rd, 300ft-4in pl mn-Sunny meadow Dr</v>
          </cell>
          <cell r="J84">
            <v>300</v>
          </cell>
          <cell r="K84">
            <v>300</v>
          </cell>
          <cell r="L84">
            <v>64</v>
          </cell>
          <cell r="M84">
            <v>3220.2200000000003</v>
          </cell>
          <cell r="N84">
            <v>4911</v>
          </cell>
          <cell r="O84">
            <v>1690.7799999999997</v>
          </cell>
          <cell r="P84">
            <v>610.22</v>
          </cell>
          <cell r="R84">
            <v>2610</v>
          </cell>
        </row>
        <row r="85">
          <cell r="A85" t="str">
            <v>05</v>
          </cell>
          <cell r="B85" t="str">
            <v>376</v>
          </cell>
          <cell r="C85">
            <v>37083</v>
          </cell>
          <cell r="D85">
            <v>37195</v>
          </cell>
          <cell r="E85" t="str">
            <v>DE-WOODFIELD DEV</v>
          </cell>
          <cell r="F85" t="str">
            <v>MAIN NEW DEV PH3</v>
          </cell>
          <cell r="H85" t="str">
            <v>Install 985ft-4" and 2691ft-2"--Woodfield Development (Extension)</v>
          </cell>
          <cell r="I85">
            <v>3676</v>
          </cell>
          <cell r="J85">
            <v>2691</v>
          </cell>
          <cell r="K85">
            <v>985</v>
          </cell>
          <cell r="L85">
            <v>64</v>
          </cell>
          <cell r="M85">
            <v>18278.400000000001</v>
          </cell>
          <cell r="N85">
            <v>24622</v>
          </cell>
          <cell r="O85">
            <v>6343.5999999999985</v>
          </cell>
          <cell r="P85">
            <v>2467.25</v>
          </cell>
          <cell r="R85">
            <v>15811.15</v>
          </cell>
        </row>
        <row r="86">
          <cell r="A86" t="str">
            <v>05</v>
          </cell>
          <cell r="B86">
            <v>376</v>
          </cell>
          <cell r="D86">
            <v>36922</v>
          </cell>
          <cell r="E86" t="str">
            <v>DE-WYNN WOOD DEV</v>
          </cell>
          <cell r="F86" t="str">
            <v>MAIN NEW</v>
          </cell>
          <cell r="H86" t="str">
            <v>2000 Project</v>
          </cell>
          <cell r="I86">
            <v>1500</v>
          </cell>
          <cell r="L86">
            <v>51</v>
          </cell>
          <cell r="M86">
            <v>2172.37</v>
          </cell>
          <cell r="N86">
            <v>2172</v>
          </cell>
          <cell r="O86">
            <v>-0.36999999999989086</v>
          </cell>
          <cell r="P86">
            <v>27.37</v>
          </cell>
          <cell r="R86">
            <v>2145</v>
          </cell>
        </row>
        <row r="87">
          <cell r="H87" t="str">
            <v>Subtotal Group 05</v>
          </cell>
          <cell r="M87">
            <v>515029.89999999997</v>
          </cell>
          <cell r="N87">
            <v>876080.23</v>
          </cell>
          <cell r="O87">
            <v>361050.33</v>
          </cell>
        </row>
        <row r="89">
          <cell r="A89" t="str">
            <v>05S</v>
          </cell>
          <cell r="B89" t="str">
            <v>376</v>
          </cell>
          <cell r="G89" t="str">
            <v>Mains - New Customers</v>
          </cell>
        </row>
        <row r="90">
          <cell r="A90" t="str">
            <v>05S</v>
          </cell>
          <cell r="B90" t="str">
            <v>376</v>
          </cell>
          <cell r="H90" t="str">
            <v>BLANKET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05S</v>
          </cell>
          <cell r="B91">
            <v>376</v>
          </cell>
          <cell r="C91">
            <v>36956</v>
          </cell>
          <cell r="D91">
            <v>37225</v>
          </cell>
          <cell r="E91" t="str">
            <v>DE-HOLLY OAK MHP II</v>
          </cell>
          <cell r="F91" t="str">
            <v>MAIN NEW DEV</v>
          </cell>
          <cell r="H91" t="str">
            <v>Install 2400 ft- 2" main, Holly Oak MHP II, 40 New lots</v>
          </cell>
          <cell r="I91">
            <v>2400</v>
          </cell>
          <cell r="J91">
            <v>2125</v>
          </cell>
          <cell r="L91">
            <v>90</v>
          </cell>
          <cell r="M91">
            <v>9900.75</v>
          </cell>
          <cell r="N91">
            <v>12488</v>
          </cell>
          <cell r="O91">
            <v>2587.25</v>
          </cell>
          <cell r="P91">
            <v>1025.75</v>
          </cell>
          <cell r="R91">
            <v>8875</v>
          </cell>
        </row>
        <row r="92">
          <cell r="A92" t="str">
            <v>05S</v>
          </cell>
          <cell r="B92">
            <v>376</v>
          </cell>
          <cell r="C92">
            <v>36956</v>
          </cell>
          <cell r="D92">
            <v>37134</v>
          </cell>
          <cell r="E92" t="str">
            <v>DE-LITTLE MEADOW</v>
          </cell>
          <cell r="F92" t="str">
            <v>MAIN NEW APPR</v>
          </cell>
          <cell r="H92" t="str">
            <v>Extend main to Little Meadows Development(Approach Mn)-4 inch pl</v>
          </cell>
          <cell r="I92">
            <v>685</v>
          </cell>
          <cell r="J92">
            <v>930</v>
          </cell>
          <cell r="K92">
            <v>1757</v>
          </cell>
          <cell r="L92">
            <v>84</v>
          </cell>
          <cell r="M92">
            <v>9930.0400000000009</v>
          </cell>
          <cell r="N92">
            <v>10506</v>
          </cell>
          <cell r="O92">
            <v>575.95999999999913</v>
          </cell>
          <cell r="P92">
            <v>3505.04</v>
          </cell>
          <cell r="R92">
            <v>6425</v>
          </cell>
        </row>
        <row r="93">
          <cell r="A93" t="str">
            <v>05S</v>
          </cell>
          <cell r="B93">
            <v>376</v>
          </cell>
          <cell r="C93">
            <v>36956</v>
          </cell>
          <cell r="D93">
            <v>37134</v>
          </cell>
          <cell r="E93" t="str">
            <v>DE-LITTLE MEADOW</v>
          </cell>
          <cell r="F93" t="str">
            <v>MAIN NEW DEV</v>
          </cell>
          <cell r="H93" t="str">
            <v>Extend main to Little Meadows Development(DEV-Main)-2 inch pl</v>
          </cell>
          <cell r="I93">
            <v>3800</v>
          </cell>
          <cell r="J93">
            <v>3750</v>
          </cell>
          <cell r="L93">
            <v>84</v>
          </cell>
          <cell r="M93">
            <v>11539.130000000001</v>
          </cell>
          <cell r="N93">
            <v>17006</v>
          </cell>
          <cell r="O93">
            <v>5466.869999999999</v>
          </cell>
          <cell r="P93">
            <v>2635.38</v>
          </cell>
          <cell r="R93">
            <v>8903.75</v>
          </cell>
        </row>
        <row r="94">
          <cell r="A94" t="str">
            <v>05S</v>
          </cell>
          <cell r="B94">
            <v>376</v>
          </cell>
          <cell r="C94">
            <v>37035</v>
          </cell>
          <cell r="D94">
            <v>37134</v>
          </cell>
          <cell r="E94" t="str">
            <v>DE-YORKTOWN WOODS</v>
          </cell>
          <cell r="F94" t="str">
            <v>MAIN NEW APPR</v>
          </cell>
          <cell r="H94" t="str">
            <v>ADD-Extend new main 1000',2"pl to Yorktowne Woods Dev, Nylon Ave Seaford</v>
          </cell>
          <cell r="I94">
            <v>1000</v>
          </cell>
          <cell r="J94">
            <v>1130</v>
          </cell>
          <cell r="L94">
            <v>81</v>
          </cell>
          <cell r="M94">
            <v>5259.97</v>
          </cell>
          <cell r="N94">
            <v>5415</v>
          </cell>
          <cell r="O94">
            <v>155.02999999999975</v>
          </cell>
          <cell r="P94">
            <v>522.47</v>
          </cell>
          <cell r="R94">
            <v>4737.5</v>
          </cell>
        </row>
        <row r="95">
          <cell r="H95" t="str">
            <v>Subtotal Group 05S</v>
          </cell>
          <cell r="M95">
            <v>36629.89</v>
          </cell>
          <cell r="N95">
            <v>45415</v>
          </cell>
          <cell r="O95">
            <v>8785.1099999999969</v>
          </cell>
        </row>
        <row r="97">
          <cell r="A97" t="str">
            <v>06</v>
          </cell>
          <cell r="B97" t="str">
            <v>376</v>
          </cell>
          <cell r="G97" t="str">
            <v>Mains - Replacement</v>
          </cell>
        </row>
        <row r="98">
          <cell r="A98" t="str">
            <v>06</v>
          </cell>
          <cell r="B98" t="str">
            <v>376</v>
          </cell>
          <cell r="H98" t="str">
            <v>Replace 2" Bare Steel Main with 2" Plastic Main (2500')</v>
          </cell>
          <cell r="M98">
            <v>116.69</v>
          </cell>
          <cell r="N98">
            <v>22100</v>
          </cell>
          <cell r="O98">
            <v>21983.31</v>
          </cell>
          <cell r="P98">
            <v>116.69</v>
          </cell>
        </row>
        <row r="99">
          <cell r="A99" t="str">
            <v>06</v>
          </cell>
          <cell r="B99">
            <v>376</v>
          </cell>
          <cell r="C99">
            <v>37032</v>
          </cell>
          <cell r="D99">
            <v>37195</v>
          </cell>
          <cell r="E99" t="str">
            <v>DE-BROAD ST</v>
          </cell>
          <cell r="F99" t="str">
            <v>MAIN REPLACE</v>
          </cell>
          <cell r="H99" t="str">
            <v>ADD-Replace 2" BS, main on Broad St in Wyoming from Mech St West to End</v>
          </cell>
          <cell r="I99">
            <v>326</v>
          </cell>
          <cell r="J99">
            <v>330</v>
          </cell>
          <cell r="L99">
            <v>66</v>
          </cell>
          <cell r="M99">
            <v>2482</v>
          </cell>
          <cell r="N99">
            <v>3481</v>
          </cell>
          <cell r="O99">
            <v>999</v>
          </cell>
          <cell r="R99">
            <v>2482</v>
          </cell>
        </row>
        <row r="100">
          <cell r="A100" t="str">
            <v>06</v>
          </cell>
          <cell r="B100" t="str">
            <v>376</v>
          </cell>
          <cell r="C100">
            <v>36896</v>
          </cell>
          <cell r="D100">
            <v>36950</v>
          </cell>
          <cell r="E100" t="str">
            <v>DE-DOV SHOP CTR</v>
          </cell>
          <cell r="F100" t="str">
            <v>MAIN REPLACE</v>
          </cell>
          <cell r="H100" t="str">
            <v>Replace @300ft 2inch pl main, Center of Dover Shopping Center</v>
          </cell>
          <cell r="I100">
            <v>300</v>
          </cell>
          <cell r="J100">
            <v>300</v>
          </cell>
          <cell r="L100">
            <v>60</v>
          </cell>
          <cell r="M100">
            <v>3631.27</v>
          </cell>
          <cell r="N100">
            <v>4577</v>
          </cell>
          <cell r="O100">
            <v>945.73</v>
          </cell>
          <cell r="P100">
            <v>131.27000000000001</v>
          </cell>
          <cell r="R100">
            <v>3500</v>
          </cell>
        </row>
        <row r="101">
          <cell r="A101" t="str">
            <v>06</v>
          </cell>
          <cell r="B101">
            <v>376</v>
          </cell>
          <cell r="C101">
            <v>37141</v>
          </cell>
          <cell r="D101">
            <v>37195</v>
          </cell>
          <cell r="E101" t="str">
            <v>DE-EAST ST</v>
          </cell>
          <cell r="F101" t="str">
            <v>MAIN REPLACE</v>
          </cell>
          <cell r="H101" t="str">
            <v>ADD-Replace 700' 2" Bare Steel Main with 2" Plastic Main</v>
          </cell>
          <cell r="I101">
            <v>700</v>
          </cell>
          <cell r="J101">
            <v>700</v>
          </cell>
          <cell r="L101">
            <v>65</v>
          </cell>
          <cell r="M101">
            <v>13155.38</v>
          </cell>
          <cell r="N101">
            <v>19450</v>
          </cell>
          <cell r="O101">
            <v>6294.6200000000008</v>
          </cell>
          <cell r="P101">
            <v>247.53</v>
          </cell>
          <cell r="Q101">
            <v>17.850000000000001</v>
          </cell>
          <cell r="R101">
            <v>12890</v>
          </cell>
        </row>
        <row r="102">
          <cell r="A102" t="str">
            <v>06</v>
          </cell>
          <cell r="B102">
            <v>376</v>
          </cell>
          <cell r="C102">
            <v>37215</v>
          </cell>
          <cell r="E102" t="str">
            <v>DE-EDGEHILL &amp; HALSEY</v>
          </cell>
          <cell r="F102" t="str">
            <v>MAIN REPLACE</v>
          </cell>
          <cell r="H102" t="str">
            <v>ADD-Replace 735' of 2" bare steel on Edgehill &amp; 540' on S Halsey with 2" pl</v>
          </cell>
          <cell r="I102">
            <v>1275</v>
          </cell>
          <cell r="L102">
            <v>60</v>
          </cell>
          <cell r="M102">
            <v>0</v>
          </cell>
          <cell r="N102">
            <v>23096</v>
          </cell>
          <cell r="O102">
            <v>23096</v>
          </cell>
        </row>
        <row r="103">
          <cell r="A103" t="str">
            <v>06</v>
          </cell>
          <cell r="B103">
            <v>376</v>
          </cell>
          <cell r="C103">
            <v>37147</v>
          </cell>
          <cell r="D103">
            <v>37225</v>
          </cell>
          <cell r="E103" t="str">
            <v>DE-HIGHLAND AVE</v>
          </cell>
          <cell r="F103" t="str">
            <v>MAIN REPLACE</v>
          </cell>
          <cell r="H103" t="str">
            <v>Replace 710' of 2" Bare Steel with 2" plastic on Highland Ave in Clayton</v>
          </cell>
          <cell r="I103">
            <v>710</v>
          </cell>
          <cell r="L103">
            <v>51</v>
          </cell>
          <cell r="M103">
            <v>10111.040000000001</v>
          </cell>
          <cell r="N103">
            <v>14872.59</v>
          </cell>
          <cell r="O103">
            <v>4761.5499999999993</v>
          </cell>
          <cell r="P103">
            <v>361.04</v>
          </cell>
          <cell r="R103">
            <v>9750</v>
          </cell>
        </row>
        <row r="104">
          <cell r="A104" t="str">
            <v>06</v>
          </cell>
          <cell r="B104">
            <v>376</v>
          </cell>
          <cell r="C104">
            <v>37033</v>
          </cell>
          <cell r="D104">
            <v>37195</v>
          </cell>
          <cell r="E104" t="str">
            <v>DE-MECHANIC ST</v>
          </cell>
          <cell r="F104" t="str">
            <v>MAIN REPLACE</v>
          </cell>
          <cell r="H104" t="str">
            <v>Replace 2" BS, main on Mechanic St in Wyoming from 3rd St to Grant St</v>
          </cell>
          <cell r="I104">
            <v>680</v>
          </cell>
          <cell r="J104">
            <v>500</v>
          </cell>
          <cell r="L104">
            <v>66</v>
          </cell>
          <cell r="M104">
            <v>10991.279999999999</v>
          </cell>
          <cell r="N104">
            <v>16543</v>
          </cell>
          <cell r="O104">
            <v>5551.7200000000012</v>
          </cell>
          <cell r="P104">
            <v>181.89</v>
          </cell>
          <cell r="R104">
            <v>10809.39</v>
          </cell>
        </row>
        <row r="105">
          <cell r="A105" t="str">
            <v>06</v>
          </cell>
          <cell r="B105">
            <v>376</v>
          </cell>
          <cell r="C105">
            <v>37165</v>
          </cell>
          <cell r="E105" t="str">
            <v>DE-MESSINA HILL RD</v>
          </cell>
          <cell r="F105" t="str">
            <v>MAIN REPLACE</v>
          </cell>
          <cell r="H105" t="str">
            <v>ADD-Replace 3100' of 4" Bare Steel with 6" Plastic on Messina Hill Rd in Cheswold</v>
          </cell>
          <cell r="I105">
            <v>3100</v>
          </cell>
          <cell r="K105">
            <v>2200</v>
          </cell>
          <cell r="L105">
            <v>57</v>
          </cell>
          <cell r="M105">
            <v>0</v>
          </cell>
          <cell r="N105">
            <v>63712</v>
          </cell>
          <cell r="O105">
            <v>63712</v>
          </cell>
        </row>
        <row r="106">
          <cell r="A106" t="str">
            <v>06</v>
          </cell>
          <cell r="B106">
            <v>376</v>
          </cell>
          <cell r="C106">
            <v>37033</v>
          </cell>
          <cell r="D106">
            <v>37195</v>
          </cell>
          <cell r="E106" t="str">
            <v>DE-SO STATE ST DOV</v>
          </cell>
          <cell r="F106" t="str">
            <v>MAIN RELOCATE</v>
          </cell>
          <cell r="H106" t="str">
            <v>Relocate of existing 4" due to conflicts w/storm drain wk performed by DELDOT</v>
          </cell>
          <cell r="J106">
            <v>100</v>
          </cell>
          <cell r="L106">
            <v>60</v>
          </cell>
          <cell r="M106">
            <v>30894.61</v>
          </cell>
          <cell r="N106">
            <v>24000</v>
          </cell>
          <cell r="O106">
            <v>-6894.6100000000006</v>
          </cell>
          <cell r="P106">
            <v>618.73</v>
          </cell>
          <cell r="R106">
            <v>27784</v>
          </cell>
          <cell r="T106">
            <v>2491.88</v>
          </cell>
        </row>
        <row r="107">
          <cell r="A107" t="str">
            <v>06</v>
          </cell>
          <cell r="B107">
            <v>376</v>
          </cell>
          <cell r="C107">
            <v>36949</v>
          </cell>
          <cell r="D107">
            <v>37164</v>
          </cell>
          <cell r="E107" t="str">
            <v>DE-THE MEADOWS</v>
          </cell>
          <cell r="F107" t="str">
            <v>MAIN RELOC</v>
          </cell>
          <cell r="H107" t="str">
            <v>Replace &amp; Relocate-2" pl main in the Meadows Housing Dev</v>
          </cell>
          <cell r="I107">
            <v>580</v>
          </cell>
          <cell r="J107">
            <v>580</v>
          </cell>
          <cell r="L107">
            <v>60</v>
          </cell>
          <cell r="M107">
            <v>3732.93</v>
          </cell>
          <cell r="N107">
            <v>4880</v>
          </cell>
          <cell r="O107">
            <v>1147.0700000000002</v>
          </cell>
          <cell r="P107">
            <v>232.93</v>
          </cell>
          <cell r="R107">
            <v>3500</v>
          </cell>
        </row>
        <row r="108">
          <cell r="A108" t="str">
            <v>06</v>
          </cell>
          <cell r="B108">
            <v>376</v>
          </cell>
          <cell r="C108">
            <v>37147</v>
          </cell>
          <cell r="D108">
            <v>37225</v>
          </cell>
          <cell r="E108" t="str">
            <v>DE-WEST MAIN</v>
          </cell>
          <cell r="F108" t="str">
            <v>MAIN REPLACE</v>
          </cell>
          <cell r="H108" t="str">
            <v>Replace 630' of 2" Bare Steel with 2" plastic on West Main in Clayton</v>
          </cell>
          <cell r="I108">
            <v>630</v>
          </cell>
          <cell r="J108">
            <v>650</v>
          </cell>
          <cell r="L108">
            <v>51</v>
          </cell>
          <cell r="M108">
            <v>9339.85</v>
          </cell>
          <cell r="N108">
            <v>23040.11</v>
          </cell>
          <cell r="O108">
            <v>13700.26</v>
          </cell>
          <cell r="P108">
            <v>229.85</v>
          </cell>
          <cell r="R108">
            <v>9110</v>
          </cell>
        </row>
        <row r="109">
          <cell r="A109" t="str">
            <v>06</v>
          </cell>
          <cell r="B109" t="str">
            <v>376</v>
          </cell>
          <cell r="H109" t="str">
            <v>BLANKET</v>
          </cell>
          <cell r="M109">
            <v>0</v>
          </cell>
          <cell r="N109">
            <v>0</v>
          </cell>
          <cell r="O109">
            <v>0</v>
          </cell>
        </row>
        <row r="110">
          <cell r="H110" t="str">
            <v>Subtotal Group 06</v>
          </cell>
          <cell r="M110">
            <v>84455.05</v>
          </cell>
          <cell r="N110">
            <v>219751.7</v>
          </cell>
          <cell r="O110">
            <v>135296.65000000002</v>
          </cell>
        </row>
        <row r="112">
          <cell r="A112" t="str">
            <v>06S</v>
          </cell>
          <cell r="B112" t="str">
            <v>376</v>
          </cell>
          <cell r="G112" t="str">
            <v>Mains - Replacement</v>
          </cell>
        </row>
        <row r="113">
          <cell r="A113" t="str">
            <v>06S</v>
          </cell>
          <cell r="B113" t="str">
            <v>376</v>
          </cell>
          <cell r="H113" t="str">
            <v>Replace 1000', 4" Bare Steel Main-Seaford/Lrl Hwy (13A) with 4" PL</v>
          </cell>
          <cell r="M113">
            <v>0</v>
          </cell>
          <cell r="N113">
            <v>22800</v>
          </cell>
          <cell r="O113">
            <v>22800</v>
          </cell>
        </row>
        <row r="114">
          <cell r="A114" t="str">
            <v>06S</v>
          </cell>
          <cell r="B114" t="str">
            <v>376</v>
          </cell>
          <cell r="H114" t="str">
            <v>Replace 1000', 4" Bare Steel Main-Rt 13A Laurel-Seaford with 4" PL</v>
          </cell>
          <cell r="M114">
            <v>0</v>
          </cell>
          <cell r="N114">
            <v>22800</v>
          </cell>
          <cell r="O114">
            <v>22800</v>
          </cell>
        </row>
        <row r="115">
          <cell r="A115" t="str">
            <v>06S</v>
          </cell>
          <cell r="B115" t="str">
            <v>376</v>
          </cell>
          <cell r="H115" t="str">
            <v>Replace 500', 2" Bare Steel Main-E. Sixth St-Laurel with 2" PL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06S</v>
          </cell>
          <cell r="B116" t="str">
            <v>376</v>
          </cell>
          <cell r="H116" t="str">
            <v>BLANKET</v>
          </cell>
          <cell r="M116">
            <v>0</v>
          </cell>
          <cell r="N116">
            <v>15000</v>
          </cell>
          <cell r="O116">
            <v>15000</v>
          </cell>
        </row>
        <row r="117">
          <cell r="H117" t="str">
            <v>Subtotal Group 06S</v>
          </cell>
          <cell r="M117">
            <v>0</v>
          </cell>
          <cell r="N117">
            <v>60600</v>
          </cell>
          <cell r="O117">
            <v>60600</v>
          </cell>
        </row>
        <row r="120">
          <cell r="A120" t="str">
            <v>07</v>
          </cell>
          <cell r="B120" t="str">
            <v>376</v>
          </cell>
          <cell r="G120" t="str">
            <v>Mains - Reinforcement</v>
          </cell>
        </row>
        <row r="121">
          <cell r="H121" t="str">
            <v>Subtotal Group 07</v>
          </cell>
          <cell r="N121">
            <v>0</v>
          </cell>
        </row>
        <row r="123">
          <cell r="A123" t="str">
            <v>07</v>
          </cell>
          <cell r="B123" t="str">
            <v>376</v>
          </cell>
          <cell r="G123" t="str">
            <v>Mains - Reinforcement</v>
          </cell>
        </row>
        <row r="124">
          <cell r="A124" t="str">
            <v>07</v>
          </cell>
          <cell r="B124" t="str">
            <v>376</v>
          </cell>
          <cell r="C124">
            <v>36892</v>
          </cell>
          <cell r="D124">
            <v>36922</v>
          </cell>
          <cell r="E124" t="str">
            <v>DE-S STATE DOV</v>
          </cell>
          <cell r="F124" t="str">
            <v>MAIN REINFORCE</v>
          </cell>
          <cell r="H124" t="str">
            <v>ADD-Carryover-Main Reinforcement 4" pl main-(S. State)</v>
          </cell>
          <cell r="I124">
            <v>2800</v>
          </cell>
          <cell r="K124">
            <v>2700</v>
          </cell>
          <cell r="L124">
            <v>65</v>
          </cell>
          <cell r="M124">
            <v>58435.25</v>
          </cell>
          <cell r="N124">
            <v>69847</v>
          </cell>
          <cell r="O124">
            <v>11411.75</v>
          </cell>
          <cell r="P124">
            <v>1383.06</v>
          </cell>
          <cell r="Q124">
            <v>386</v>
          </cell>
          <cell r="R124">
            <v>56084</v>
          </cell>
          <cell r="T124">
            <v>582.19000000000005</v>
          </cell>
        </row>
        <row r="125">
          <cell r="H125" t="str">
            <v>Subtotal Group 07</v>
          </cell>
          <cell r="M125">
            <v>58435.25</v>
          </cell>
          <cell r="N125">
            <v>69847</v>
          </cell>
          <cell r="O125">
            <v>11411.75</v>
          </cell>
        </row>
        <row r="127">
          <cell r="A127" t="str">
            <v>07S</v>
          </cell>
          <cell r="B127" t="str">
            <v>376</v>
          </cell>
          <cell r="G127" t="str">
            <v>Mains - Reinforcement</v>
          </cell>
        </row>
        <row r="128">
          <cell r="A128" t="str">
            <v>07S</v>
          </cell>
          <cell r="B128" t="str">
            <v>376</v>
          </cell>
          <cell r="H128" t="str">
            <v>BLANKET</v>
          </cell>
          <cell r="M128">
            <v>0</v>
          </cell>
          <cell r="N128">
            <v>0</v>
          </cell>
          <cell r="O128">
            <v>0</v>
          </cell>
        </row>
        <row r="129">
          <cell r="H129" t="str">
            <v>Subtotal Group 07S</v>
          </cell>
          <cell r="M129">
            <v>0</v>
          </cell>
          <cell r="N129">
            <v>0</v>
          </cell>
          <cell r="O129">
            <v>0</v>
          </cell>
        </row>
        <row r="131">
          <cell r="A131" t="str">
            <v>08</v>
          </cell>
          <cell r="B131" t="str">
            <v>378</v>
          </cell>
          <cell r="G131" t="str">
            <v>M &amp; R Stations - General</v>
          </cell>
        </row>
        <row r="132">
          <cell r="A132" t="str">
            <v>08</v>
          </cell>
          <cell r="B132" t="str">
            <v>378</v>
          </cell>
          <cell r="C132">
            <v>37202</v>
          </cell>
          <cell r="E132" t="str">
            <v>DE-LAKE FOREST HS</v>
          </cell>
          <cell r="F132" t="str">
            <v>MR GEN</v>
          </cell>
          <cell r="H132" t="str">
            <v>Install a Ditrict Regulator set @ Lake Forrest HS</v>
          </cell>
          <cell r="L132">
            <v>69</v>
          </cell>
          <cell r="M132">
            <v>3784</v>
          </cell>
          <cell r="N132">
            <v>8470</v>
          </cell>
          <cell r="O132">
            <v>4686</v>
          </cell>
          <cell r="R132">
            <v>3784</v>
          </cell>
        </row>
        <row r="133">
          <cell r="A133" t="str">
            <v>08</v>
          </cell>
          <cell r="B133" t="str">
            <v>378</v>
          </cell>
          <cell r="H133" t="str">
            <v>BLANKET</v>
          </cell>
          <cell r="M133">
            <v>0</v>
          </cell>
          <cell r="N133">
            <v>1310</v>
          </cell>
          <cell r="O133">
            <v>1310</v>
          </cell>
        </row>
        <row r="134">
          <cell r="H134" t="str">
            <v>Subtotal Group 08</v>
          </cell>
          <cell r="M134">
            <v>3784</v>
          </cell>
          <cell r="N134">
            <v>9780</v>
          </cell>
          <cell r="O134">
            <v>5996</v>
          </cell>
        </row>
        <row r="136">
          <cell r="A136" t="str">
            <v>08S</v>
          </cell>
          <cell r="B136" t="str">
            <v>378</v>
          </cell>
          <cell r="D136">
            <v>36891</v>
          </cell>
          <cell r="E136" t="str">
            <v>DE-M&amp;R GEN</v>
          </cell>
          <cell r="F136" t="str">
            <v>DELMAR HIGH</v>
          </cell>
          <cell r="H136" t="str">
            <v>Delmar High M&amp;R</v>
          </cell>
          <cell r="M136">
            <v>199.44</v>
          </cell>
          <cell r="N136">
            <v>0</v>
          </cell>
          <cell r="O136">
            <v>-199.44</v>
          </cell>
          <cell r="P136">
            <v>199.44</v>
          </cell>
        </row>
        <row r="137">
          <cell r="H137" t="str">
            <v>Subtotal Group 08S</v>
          </cell>
          <cell r="M137">
            <v>199.44</v>
          </cell>
          <cell r="N137">
            <v>0</v>
          </cell>
          <cell r="O137">
            <v>-199.44</v>
          </cell>
        </row>
        <row r="139">
          <cell r="A139" t="str">
            <v>08S</v>
          </cell>
          <cell r="B139" t="str">
            <v>378</v>
          </cell>
          <cell r="G139" t="str">
            <v>M &amp; R Stations - General</v>
          </cell>
        </row>
        <row r="142">
          <cell r="A142" t="str">
            <v>09</v>
          </cell>
          <cell r="B142" t="str">
            <v>379</v>
          </cell>
          <cell r="G142" t="str">
            <v>M &amp; R Stations - City Gate</v>
          </cell>
        </row>
        <row r="143">
          <cell r="A143" t="str">
            <v>09</v>
          </cell>
          <cell r="B143" t="str">
            <v>379</v>
          </cell>
          <cell r="H143" t="str">
            <v>BLANKET</v>
          </cell>
          <cell r="M143">
            <v>0</v>
          </cell>
          <cell r="N143">
            <v>0</v>
          </cell>
          <cell r="O143">
            <v>0</v>
          </cell>
        </row>
        <row r="144">
          <cell r="H144" t="str">
            <v>Subtotal group 09</v>
          </cell>
          <cell r="M144">
            <v>0</v>
          </cell>
          <cell r="N144">
            <v>0</v>
          </cell>
          <cell r="O144">
            <v>0</v>
          </cell>
        </row>
        <row r="146">
          <cell r="A146" t="str">
            <v>09S</v>
          </cell>
          <cell r="B146" t="str">
            <v>379</v>
          </cell>
          <cell r="G146" t="str">
            <v>M &amp; R Stations - City Gate</v>
          </cell>
        </row>
        <row r="147">
          <cell r="A147" t="str">
            <v>09S</v>
          </cell>
          <cell r="B147" t="str">
            <v>379</v>
          </cell>
          <cell r="H147" t="str">
            <v>BLANKET</v>
          </cell>
          <cell r="M147">
            <v>0</v>
          </cell>
          <cell r="N147">
            <v>0</v>
          </cell>
          <cell r="O147">
            <v>0</v>
          </cell>
        </row>
        <row r="148">
          <cell r="H148" t="str">
            <v>Subtotal Group 09S</v>
          </cell>
          <cell r="M148">
            <v>0</v>
          </cell>
          <cell r="N148">
            <v>0</v>
          </cell>
          <cell r="O148">
            <v>0</v>
          </cell>
        </row>
        <row r="150">
          <cell r="A150" t="str">
            <v>10</v>
          </cell>
          <cell r="B150" t="str">
            <v>380</v>
          </cell>
          <cell r="G150" t="str">
            <v>Services - 1/2"</v>
          </cell>
        </row>
        <row r="151">
          <cell r="A151" t="str">
            <v>10</v>
          </cell>
          <cell r="B151" t="str">
            <v>380</v>
          </cell>
          <cell r="C151">
            <v>36892</v>
          </cell>
          <cell r="E151" t="str">
            <v>DE-SVC</v>
          </cell>
          <cell r="F151" t="str">
            <v>1/2 INCH-DOV</v>
          </cell>
          <cell r="H151" t="str">
            <v>BLANKET</v>
          </cell>
          <cell r="M151">
            <v>2002.3</v>
          </cell>
          <cell r="N151">
            <v>7920</v>
          </cell>
          <cell r="O151">
            <v>5917.7</v>
          </cell>
          <cell r="P151">
            <v>-8.69</v>
          </cell>
          <cell r="T151">
            <v>2010.99</v>
          </cell>
        </row>
        <row r="152">
          <cell r="H152" t="str">
            <v>Subtotal Group 10</v>
          </cell>
          <cell r="M152">
            <v>2002.3</v>
          </cell>
          <cell r="N152">
            <v>7920</v>
          </cell>
          <cell r="O152">
            <v>5917.7</v>
          </cell>
        </row>
        <row r="154">
          <cell r="A154" t="str">
            <v>10S</v>
          </cell>
          <cell r="B154" t="str">
            <v>380</v>
          </cell>
          <cell r="G154" t="str">
            <v>Services - 1/2"</v>
          </cell>
        </row>
        <row r="157">
          <cell r="A157" t="str">
            <v>10S</v>
          </cell>
          <cell r="B157" t="str">
            <v>380</v>
          </cell>
          <cell r="G157" t="str">
            <v>Services - 1/2"</v>
          </cell>
        </row>
        <row r="158">
          <cell r="A158" t="str">
            <v>10S</v>
          </cell>
          <cell r="B158" t="str">
            <v>380</v>
          </cell>
          <cell r="C158">
            <v>36892</v>
          </cell>
          <cell r="E158" t="str">
            <v>DE-SVC</v>
          </cell>
          <cell r="F158" t="str">
            <v>1/2 INCH-SUS</v>
          </cell>
          <cell r="H158" t="str">
            <v>BLANKET</v>
          </cell>
          <cell r="J158">
            <v>75</v>
          </cell>
          <cell r="M158">
            <v>6231.9299999999994</v>
          </cell>
          <cell r="N158">
            <v>4500</v>
          </cell>
          <cell r="O158">
            <v>-1731.9299999999994</v>
          </cell>
          <cell r="P158">
            <v>400.12</v>
          </cell>
          <cell r="T158">
            <v>5831.8099999999995</v>
          </cell>
        </row>
        <row r="159">
          <cell r="H159" t="str">
            <v>Subtotal Group 10S</v>
          </cell>
          <cell r="M159">
            <v>6231.9299999999994</v>
          </cell>
          <cell r="N159">
            <v>4500</v>
          </cell>
          <cell r="O159">
            <v>-1731.9299999999994</v>
          </cell>
        </row>
        <row r="161">
          <cell r="A161" t="str">
            <v>11</v>
          </cell>
          <cell r="B161" t="str">
            <v>380</v>
          </cell>
          <cell r="E161" t="str">
            <v>DE-SVC</v>
          </cell>
          <cell r="F161" t="str">
            <v>3/4 INCH-DOV</v>
          </cell>
          <cell r="G161" t="str">
            <v>Services - 3/4"</v>
          </cell>
        </row>
        <row r="162">
          <cell r="A162" t="str">
            <v>11</v>
          </cell>
          <cell r="B162" t="str">
            <v>380</v>
          </cell>
          <cell r="C162">
            <v>36892</v>
          </cell>
          <cell r="E162" t="str">
            <v>DE-SVC INTERNAL</v>
          </cell>
          <cell r="F162" t="str">
            <v>3/4 INCH-DOV</v>
          </cell>
          <cell r="H162" t="str">
            <v>BLANKET-Installations performed Internally</v>
          </cell>
          <cell r="J162">
            <v>83821</v>
          </cell>
          <cell r="M162">
            <v>366473.94</v>
          </cell>
          <cell r="N162">
            <v>336341</v>
          </cell>
          <cell r="O162">
            <v>-30132.940000000002</v>
          </cell>
          <cell r="P162">
            <v>33676.869999999995</v>
          </cell>
          <cell r="Q162">
            <v>1125</v>
          </cell>
          <cell r="R162">
            <v>1201.01</v>
          </cell>
          <cell r="T162">
            <v>330471.06</v>
          </cell>
        </row>
        <row r="163">
          <cell r="A163" t="str">
            <v>11</v>
          </cell>
          <cell r="B163" t="str">
            <v>380</v>
          </cell>
          <cell r="C163">
            <v>36892</v>
          </cell>
          <cell r="E163" t="str">
            <v>DE-SVC CONTR</v>
          </cell>
          <cell r="F163" t="str">
            <v>3/4 INCH-DOV</v>
          </cell>
          <cell r="H163" t="str">
            <v>BLANKET-Installatons performed by Contractor</v>
          </cell>
          <cell r="J163">
            <v>51852</v>
          </cell>
          <cell r="K163">
            <v>550</v>
          </cell>
          <cell r="M163">
            <v>278639.17000000004</v>
          </cell>
          <cell r="N163">
            <v>280179</v>
          </cell>
          <cell r="O163">
            <v>1539.8299999999581</v>
          </cell>
          <cell r="P163">
            <v>33990.26</v>
          </cell>
          <cell r="Q163">
            <v>20773.510000000002</v>
          </cell>
          <cell r="R163">
            <v>208273</v>
          </cell>
          <cell r="S163">
            <v>15602.4</v>
          </cell>
        </row>
        <row r="164">
          <cell r="H164" t="str">
            <v>Subtotal Group 11</v>
          </cell>
          <cell r="M164">
            <v>645113.1100000001</v>
          </cell>
          <cell r="N164">
            <v>616520</v>
          </cell>
          <cell r="O164">
            <v>-28593.110000000044</v>
          </cell>
        </row>
        <row r="166">
          <cell r="A166" t="str">
            <v>11S</v>
          </cell>
          <cell r="B166" t="str">
            <v>380</v>
          </cell>
          <cell r="E166" t="str">
            <v>DE-SVC</v>
          </cell>
          <cell r="F166" t="str">
            <v>3/4 INCH-SUS</v>
          </cell>
          <cell r="G166" t="str">
            <v>Services - 3/4"</v>
          </cell>
        </row>
        <row r="167">
          <cell r="A167" t="str">
            <v>11S</v>
          </cell>
          <cell r="B167" t="str">
            <v>380</v>
          </cell>
          <cell r="C167">
            <v>36892</v>
          </cell>
          <cell r="E167" t="str">
            <v>DE-SVC INTERNAL</v>
          </cell>
          <cell r="F167" t="str">
            <v>3/4 INCH-SUS</v>
          </cell>
          <cell r="H167" t="str">
            <v>BLANKET-Installations performed Internally</v>
          </cell>
          <cell r="J167">
            <v>9632</v>
          </cell>
          <cell r="K167">
            <v>1680</v>
          </cell>
          <cell r="M167">
            <v>32874.649999999994</v>
          </cell>
          <cell r="N167">
            <v>69340</v>
          </cell>
          <cell r="O167">
            <v>36465.350000000006</v>
          </cell>
          <cell r="P167">
            <v>8525.36</v>
          </cell>
          <cell r="T167">
            <v>24349.289999999997</v>
          </cell>
        </row>
        <row r="168">
          <cell r="A168" t="str">
            <v>11S</v>
          </cell>
          <cell r="B168" t="str">
            <v>380</v>
          </cell>
          <cell r="C168">
            <v>36892</v>
          </cell>
          <cell r="E168" t="str">
            <v>DE-SVC CONTR</v>
          </cell>
          <cell r="F168" t="str">
            <v>3/4 INCH-SUS</v>
          </cell>
          <cell r="H168" t="str">
            <v>BLANKET-Installations performed by Contractor</v>
          </cell>
          <cell r="M168">
            <v>7304.11</v>
          </cell>
          <cell r="N168">
            <v>26660</v>
          </cell>
          <cell r="O168">
            <v>19355.89</v>
          </cell>
          <cell r="R168">
            <v>7304.11</v>
          </cell>
        </row>
        <row r="169">
          <cell r="H169" t="str">
            <v>Subtotal Group 11S</v>
          </cell>
          <cell r="M169">
            <v>40178.759999999995</v>
          </cell>
          <cell r="N169">
            <v>96000</v>
          </cell>
          <cell r="O169">
            <v>55821.240000000005</v>
          </cell>
        </row>
        <row r="171">
          <cell r="A171" t="str">
            <v>12</v>
          </cell>
          <cell r="B171" t="str">
            <v>380</v>
          </cell>
          <cell r="G171" t="str">
            <v>Services - 1"</v>
          </cell>
        </row>
        <row r="173">
          <cell r="A173" t="str">
            <v>13</v>
          </cell>
          <cell r="B173" t="str">
            <v>380</v>
          </cell>
          <cell r="G173" t="str">
            <v>Services - 1 1/4"</v>
          </cell>
        </row>
        <row r="174">
          <cell r="A174" t="str">
            <v>13</v>
          </cell>
          <cell r="B174" t="str">
            <v>380</v>
          </cell>
          <cell r="C174">
            <v>36892</v>
          </cell>
          <cell r="E174" t="str">
            <v>DE-SVC</v>
          </cell>
          <cell r="F174" t="str">
            <v>1 1/4 INCH-DOV</v>
          </cell>
          <cell r="H174" t="str">
            <v>BLANKET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13</v>
          </cell>
          <cell r="B175" t="str">
            <v>380</v>
          </cell>
          <cell r="C175">
            <v>36892</v>
          </cell>
          <cell r="E175" t="str">
            <v>DE-SVC INTERNAL</v>
          </cell>
          <cell r="F175" t="str">
            <v>1 1/4 INCH-DOV</v>
          </cell>
          <cell r="H175" t="str">
            <v>Services - Internal</v>
          </cell>
          <cell r="J175">
            <v>11211</v>
          </cell>
          <cell r="M175">
            <v>28436.959999999999</v>
          </cell>
          <cell r="N175">
            <v>34175</v>
          </cell>
          <cell r="O175">
            <v>5738.0400000000009</v>
          </cell>
          <cell r="P175">
            <v>4848.66</v>
          </cell>
          <cell r="R175">
            <v>187.85</v>
          </cell>
          <cell r="T175">
            <v>23400.45</v>
          </cell>
        </row>
        <row r="176">
          <cell r="A176" t="str">
            <v>13</v>
          </cell>
          <cell r="B176" t="str">
            <v>380</v>
          </cell>
          <cell r="C176">
            <v>36892</v>
          </cell>
          <cell r="E176" t="str">
            <v>DE-SVC CONTR</v>
          </cell>
          <cell r="F176" t="str">
            <v>1 1/4 INCH-DOV</v>
          </cell>
          <cell r="H176" t="str">
            <v>Services - Contractor</v>
          </cell>
          <cell r="J176">
            <v>1400</v>
          </cell>
          <cell r="M176">
            <v>11853.170000000002</v>
          </cell>
          <cell r="N176">
            <v>9744</v>
          </cell>
          <cell r="O176">
            <v>-2109.1700000000019</v>
          </cell>
          <cell r="P176">
            <v>702.84</v>
          </cell>
          <cell r="R176">
            <v>11150.330000000002</v>
          </cell>
        </row>
        <row r="177">
          <cell r="H177" t="str">
            <v>Subtotal Group 13</v>
          </cell>
          <cell r="M177">
            <v>40290.130000000005</v>
          </cell>
          <cell r="N177">
            <v>43919</v>
          </cell>
          <cell r="O177">
            <v>3628.869999999999</v>
          </cell>
        </row>
        <row r="179">
          <cell r="A179" t="str">
            <v>13S</v>
          </cell>
          <cell r="B179" t="str">
            <v>380</v>
          </cell>
          <cell r="G179" t="str">
            <v>Services - 1 1/4"</v>
          </cell>
        </row>
        <row r="182">
          <cell r="A182" t="str">
            <v>13S</v>
          </cell>
          <cell r="B182" t="str">
            <v>380</v>
          </cell>
          <cell r="G182" t="str">
            <v>Services - 1 1/4"</v>
          </cell>
        </row>
        <row r="183">
          <cell r="A183" t="str">
            <v>13S</v>
          </cell>
          <cell r="B183" t="str">
            <v>380</v>
          </cell>
          <cell r="C183">
            <v>36892</v>
          </cell>
          <cell r="E183" t="str">
            <v>DE-SVC</v>
          </cell>
          <cell r="F183" t="str">
            <v>1 1/4 INCH-SUS</v>
          </cell>
          <cell r="H183" t="str">
            <v>BLANKET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13S</v>
          </cell>
          <cell r="B184" t="str">
            <v>380</v>
          </cell>
          <cell r="C184">
            <v>36892</v>
          </cell>
          <cell r="E184" t="str">
            <v>DE-SVC INTERNAL</v>
          </cell>
          <cell r="F184" t="str">
            <v>1 1/4 INCH-SUS</v>
          </cell>
          <cell r="H184" t="str">
            <v>Services Internal</v>
          </cell>
          <cell r="J184">
            <v>545</v>
          </cell>
          <cell r="M184">
            <v>5462.98</v>
          </cell>
          <cell r="N184">
            <v>5000</v>
          </cell>
          <cell r="O184">
            <v>-462.97999999999956</v>
          </cell>
          <cell r="P184">
            <v>595</v>
          </cell>
          <cell r="T184">
            <v>4867.9799999999996</v>
          </cell>
        </row>
        <row r="185">
          <cell r="A185" t="str">
            <v>13S</v>
          </cell>
          <cell r="B185" t="str">
            <v>380</v>
          </cell>
          <cell r="C185">
            <v>36892</v>
          </cell>
          <cell r="E185" t="str">
            <v>DE-SVC CONTR</v>
          </cell>
          <cell r="F185" t="str">
            <v>1 1/4 INCH-SUS</v>
          </cell>
          <cell r="H185" t="str">
            <v>Services Contractor</v>
          </cell>
          <cell r="M185">
            <v>0</v>
          </cell>
          <cell r="N185">
            <v>0</v>
          </cell>
          <cell r="O185">
            <v>0</v>
          </cell>
        </row>
        <row r="186">
          <cell r="H186" t="str">
            <v>Subtotal Group 13S</v>
          </cell>
          <cell r="M186">
            <v>5462.98</v>
          </cell>
          <cell r="N186">
            <v>5000</v>
          </cell>
          <cell r="O186">
            <v>-462.97999999999956</v>
          </cell>
        </row>
        <row r="188">
          <cell r="A188" t="str">
            <v>14</v>
          </cell>
          <cell r="B188" t="str">
            <v>380</v>
          </cell>
          <cell r="G188" t="str">
            <v>Services 2"</v>
          </cell>
        </row>
        <row r="189">
          <cell r="A189" t="str">
            <v>14</v>
          </cell>
          <cell r="B189" t="str">
            <v>380</v>
          </cell>
          <cell r="H189" t="str">
            <v>Milford Project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14</v>
          </cell>
          <cell r="B190" t="str">
            <v>380</v>
          </cell>
          <cell r="H190" t="str">
            <v>BLANKET- working to determine actual project</v>
          </cell>
          <cell r="M190">
            <v>233.62</v>
          </cell>
          <cell r="N190">
            <v>0</v>
          </cell>
          <cell r="O190">
            <v>-233.62</v>
          </cell>
          <cell r="P190">
            <v>76.62</v>
          </cell>
          <cell r="R190">
            <v>157</v>
          </cell>
        </row>
        <row r="191">
          <cell r="A191">
            <v>14</v>
          </cell>
          <cell r="B191">
            <v>380</v>
          </cell>
          <cell r="C191">
            <v>37240</v>
          </cell>
          <cell r="E191" t="str">
            <v>DE-DEL STATE UNIV</v>
          </cell>
          <cell r="F191" t="str">
            <v>NEW 2 INCH SERV</v>
          </cell>
          <cell r="H191" t="str">
            <v>Install 210' of 2" pl to new Del State Admin/Student bldg @ Del State Univ on Rte 13 Dover</v>
          </cell>
          <cell r="I191">
            <v>60</v>
          </cell>
          <cell r="M191">
            <v>0</v>
          </cell>
          <cell r="N191">
            <v>3014</v>
          </cell>
          <cell r="O191">
            <v>3014</v>
          </cell>
        </row>
        <row r="192">
          <cell r="A192">
            <v>14</v>
          </cell>
          <cell r="B192">
            <v>380</v>
          </cell>
          <cell r="C192">
            <v>37213</v>
          </cell>
          <cell r="E192" t="str">
            <v>DE-LOWES</v>
          </cell>
          <cell r="F192" t="str">
            <v>NEW 2 INCH SERV</v>
          </cell>
          <cell r="H192" t="str">
            <v>ADD-Install 60' of 2" svc to Lowe's of Middletown</v>
          </cell>
          <cell r="I192">
            <v>60</v>
          </cell>
          <cell r="M192">
            <v>0</v>
          </cell>
          <cell r="N192">
            <v>636</v>
          </cell>
          <cell r="O192">
            <v>636</v>
          </cell>
        </row>
        <row r="193">
          <cell r="A193">
            <v>14</v>
          </cell>
          <cell r="B193">
            <v>380</v>
          </cell>
          <cell r="C193">
            <v>37237</v>
          </cell>
          <cell r="E193" t="str">
            <v>DE-MIDDLETOWN SCHOOL</v>
          </cell>
          <cell r="F193" t="str">
            <v>NEW 2 INCH SERV</v>
          </cell>
          <cell r="H193" t="str">
            <v>ADD-Install 725' of 2" svc to Middletown H.S. - for new addition school on Rte 299</v>
          </cell>
          <cell r="I193">
            <v>725</v>
          </cell>
          <cell r="J193">
            <v>750</v>
          </cell>
          <cell r="M193">
            <v>0</v>
          </cell>
          <cell r="N193">
            <v>7029</v>
          </cell>
          <cell r="O193">
            <v>7029</v>
          </cell>
        </row>
        <row r="194">
          <cell r="A194">
            <v>14</v>
          </cell>
          <cell r="B194">
            <v>380</v>
          </cell>
          <cell r="C194">
            <v>36777</v>
          </cell>
          <cell r="D194">
            <v>37134</v>
          </cell>
          <cell r="E194" t="str">
            <v>DE-MILFORD H.S.</v>
          </cell>
          <cell r="F194" t="str">
            <v>NEW 2 INCH SERVICE</v>
          </cell>
          <cell r="H194" t="str">
            <v>Install 2 inch pl svc to serve Milford HS</v>
          </cell>
          <cell r="J194">
            <v>1400</v>
          </cell>
          <cell r="M194">
            <v>8194.83</v>
          </cell>
          <cell r="N194">
            <v>0</v>
          </cell>
          <cell r="O194">
            <v>-8194.83</v>
          </cell>
          <cell r="P194">
            <v>1712.83</v>
          </cell>
          <cell r="R194">
            <v>6482</v>
          </cell>
        </row>
        <row r="195">
          <cell r="A195" t="str">
            <v>14</v>
          </cell>
          <cell r="B195" t="str">
            <v>380</v>
          </cell>
          <cell r="C195">
            <v>36776</v>
          </cell>
          <cell r="D195">
            <v>36891</v>
          </cell>
          <cell r="E195" t="str">
            <v>DE-MILFORD WAL-MART</v>
          </cell>
          <cell r="F195" t="str">
            <v>NEW 2 INCH SERV</v>
          </cell>
          <cell r="H195" t="str">
            <v>2000 MILFORD WAL-MART</v>
          </cell>
          <cell r="K195">
            <v>40</v>
          </cell>
          <cell r="M195">
            <v>251.02</v>
          </cell>
          <cell r="N195">
            <v>251</v>
          </cell>
          <cell r="O195">
            <v>-2.0000000000010232E-2</v>
          </cell>
          <cell r="P195">
            <v>251.02</v>
          </cell>
        </row>
        <row r="196">
          <cell r="A196" t="str">
            <v>14</v>
          </cell>
          <cell r="B196" t="str">
            <v>380</v>
          </cell>
          <cell r="C196">
            <v>37040</v>
          </cell>
          <cell r="D196">
            <v>37195</v>
          </cell>
          <cell r="E196" t="str">
            <v>DE-MOOSE LODGE</v>
          </cell>
          <cell r="F196" t="str">
            <v>NEW 2 INCH SERV</v>
          </cell>
          <cell r="H196" t="str">
            <v>Install 2 inch pl svc to the Camden-Wyoming Moose Lodge</v>
          </cell>
          <cell r="I196">
            <v>1000</v>
          </cell>
          <cell r="J196">
            <v>1000</v>
          </cell>
          <cell r="L196">
            <v>64</v>
          </cell>
          <cell r="M196">
            <v>5032.62</v>
          </cell>
          <cell r="N196">
            <v>7225</v>
          </cell>
          <cell r="O196">
            <v>2192.38</v>
          </cell>
          <cell r="P196">
            <v>353.61</v>
          </cell>
          <cell r="R196">
            <v>4679.01</v>
          </cell>
        </row>
        <row r="197">
          <cell r="A197" t="str">
            <v>14</v>
          </cell>
          <cell r="B197" t="str">
            <v>380</v>
          </cell>
          <cell r="C197">
            <v>37230</v>
          </cell>
          <cell r="E197" t="str">
            <v>DE-NEW SMYRNA M.S.</v>
          </cell>
          <cell r="F197" t="str">
            <v>NEW 2 INCH SERV</v>
          </cell>
          <cell r="H197" t="str">
            <v xml:space="preserve">ADD-Install1000' of 2" svc to New Smyrna Middle School on Duck Creek Pkwy </v>
          </cell>
          <cell r="I197">
            <v>1000</v>
          </cell>
          <cell r="L197">
            <v>54</v>
          </cell>
          <cell r="M197">
            <v>0</v>
          </cell>
          <cell r="N197">
            <v>7842</v>
          </cell>
          <cell r="O197">
            <v>7842</v>
          </cell>
        </row>
        <row r="198">
          <cell r="A198" t="str">
            <v>14</v>
          </cell>
          <cell r="B198" t="str">
            <v>380</v>
          </cell>
          <cell r="C198">
            <v>37161</v>
          </cell>
          <cell r="D198">
            <v>37225</v>
          </cell>
          <cell r="E198" t="str">
            <v>DE-ST ANN EPISCOPAL</v>
          </cell>
          <cell r="F198" t="str">
            <v>NEW 2 INCH SERV</v>
          </cell>
          <cell r="H198" t="str">
            <v>Install 2" from Silverlake to St. Ann's Episcopal School</v>
          </cell>
          <cell r="I198">
            <v>1720</v>
          </cell>
          <cell r="J198">
            <v>1720</v>
          </cell>
          <cell r="L198">
            <v>45</v>
          </cell>
          <cell r="M198">
            <v>7936.8099999999995</v>
          </cell>
          <cell r="N198">
            <v>10789</v>
          </cell>
          <cell r="O198">
            <v>2852.1900000000005</v>
          </cell>
          <cell r="P198">
            <v>726.81</v>
          </cell>
          <cell r="R198">
            <v>7210</v>
          </cell>
        </row>
        <row r="199">
          <cell r="A199" t="str">
            <v>14</v>
          </cell>
          <cell r="B199" t="str">
            <v>380</v>
          </cell>
          <cell r="C199">
            <v>36621</v>
          </cell>
          <cell r="D199">
            <v>36739</v>
          </cell>
          <cell r="E199" t="str">
            <v>DE-VIOLATION CTR</v>
          </cell>
          <cell r="F199" t="str">
            <v>NEW 2 INCH SERV</v>
          </cell>
          <cell r="H199" t="str">
            <v>2000 Violation Center</v>
          </cell>
          <cell r="J199">
            <v>800</v>
          </cell>
          <cell r="M199">
            <v>336.45</v>
          </cell>
          <cell r="N199">
            <v>336</v>
          </cell>
          <cell r="O199">
            <v>-0.44999999999998863</v>
          </cell>
          <cell r="P199">
            <v>336.45</v>
          </cell>
        </row>
        <row r="200">
          <cell r="H200" t="str">
            <v>Subtotal Group 14</v>
          </cell>
          <cell r="M200">
            <v>21985.350000000002</v>
          </cell>
          <cell r="N200">
            <v>37122</v>
          </cell>
          <cell r="O200">
            <v>15136.650000000001</v>
          </cell>
        </row>
        <row r="202">
          <cell r="A202" t="str">
            <v>14S</v>
          </cell>
          <cell r="B202" t="str">
            <v>380</v>
          </cell>
          <cell r="G202" t="str">
            <v>Services 2"</v>
          </cell>
        </row>
        <row r="204">
          <cell r="H204" t="str">
            <v>Subtotal Group 14S</v>
          </cell>
        </row>
        <row r="205">
          <cell r="A205" t="str">
            <v>15</v>
          </cell>
          <cell r="B205" t="str">
            <v>380</v>
          </cell>
          <cell r="G205" t="str">
            <v>Services Over 2"</v>
          </cell>
        </row>
        <row r="206">
          <cell r="A206" t="str">
            <v>15</v>
          </cell>
          <cell r="B206" t="str">
            <v>380</v>
          </cell>
          <cell r="H206" t="str">
            <v>Milford</v>
          </cell>
          <cell r="M206">
            <v>0</v>
          </cell>
          <cell r="N206">
            <v>708</v>
          </cell>
          <cell r="O206">
            <v>708</v>
          </cell>
        </row>
        <row r="207">
          <cell r="A207" t="str">
            <v>15</v>
          </cell>
          <cell r="B207" t="str">
            <v>380</v>
          </cell>
          <cell r="C207">
            <v>37161</v>
          </cell>
          <cell r="D207">
            <v>37225</v>
          </cell>
          <cell r="E207" t="str">
            <v>DE-SEA WATCH</v>
          </cell>
          <cell r="F207" t="str">
            <v>NEW 4 INCH SERV</v>
          </cell>
          <cell r="H207" t="str">
            <v xml:space="preserve">625' 4" Service to Sea Watch </v>
          </cell>
          <cell r="K207">
            <v>880</v>
          </cell>
          <cell r="M207">
            <v>8203.84</v>
          </cell>
          <cell r="N207">
            <v>11474</v>
          </cell>
          <cell r="O207">
            <v>3270.16</v>
          </cell>
          <cell r="P207">
            <v>1428.8400000000001</v>
          </cell>
          <cell r="R207">
            <v>6775</v>
          </cell>
        </row>
        <row r="208">
          <cell r="H208" t="str">
            <v>Subtotal Group 15</v>
          </cell>
          <cell r="M208">
            <v>8203.84</v>
          </cell>
          <cell r="N208">
            <v>12182</v>
          </cell>
          <cell r="O208">
            <v>3978.16</v>
          </cell>
        </row>
        <row r="210">
          <cell r="A210" t="str">
            <v>16</v>
          </cell>
          <cell r="B210" t="str">
            <v>381</v>
          </cell>
          <cell r="G210" t="str">
            <v>Meters 275 and Under</v>
          </cell>
        </row>
        <row r="211">
          <cell r="A211" t="str">
            <v>16</v>
          </cell>
          <cell r="B211" t="str">
            <v>381</v>
          </cell>
          <cell r="C211">
            <v>36892</v>
          </cell>
          <cell r="E211" t="str">
            <v>DE-MTR</v>
          </cell>
          <cell r="F211" t="str">
            <v>UNDER 275</v>
          </cell>
          <cell r="H211" t="str">
            <v>BLANKET - ADD- Purchase 400 Rockwell 275s</v>
          </cell>
          <cell r="M211">
            <v>86590.98000000001</v>
          </cell>
          <cell r="N211">
            <v>93000</v>
          </cell>
          <cell r="O211">
            <v>6409.0199999999895</v>
          </cell>
          <cell r="P211">
            <v>86590.98000000001</v>
          </cell>
        </row>
        <row r="212">
          <cell r="H212" t="str">
            <v>Subtotal Group 16</v>
          </cell>
          <cell r="M212">
            <v>86590.98000000001</v>
          </cell>
          <cell r="N212">
            <v>93000</v>
          </cell>
          <cell r="O212">
            <v>6409.0199999999895</v>
          </cell>
        </row>
        <row r="214">
          <cell r="A214" t="str">
            <v>16S</v>
          </cell>
          <cell r="B214" t="str">
            <v>381</v>
          </cell>
          <cell r="G214" t="str">
            <v>Meters 275 and Under</v>
          </cell>
        </row>
        <row r="215">
          <cell r="A215" t="str">
            <v>16S</v>
          </cell>
          <cell r="B215" t="str">
            <v>381</v>
          </cell>
          <cell r="C215">
            <v>37064</v>
          </cell>
          <cell r="D215">
            <v>37225</v>
          </cell>
          <cell r="E215" t="str">
            <v>DE-MTR</v>
          </cell>
          <cell r="F215" t="str">
            <v>UNDER 275 SUS</v>
          </cell>
          <cell r="H215" t="str">
            <v>Purchase (125) 275 Meters</v>
          </cell>
          <cell r="M215">
            <v>5254.37</v>
          </cell>
          <cell r="N215">
            <v>6250</v>
          </cell>
          <cell r="O215">
            <v>995.63000000000011</v>
          </cell>
          <cell r="P215">
            <v>5254.37</v>
          </cell>
        </row>
        <row r="216">
          <cell r="A216" t="str">
            <v>16S</v>
          </cell>
          <cell r="B216" t="str">
            <v>381</v>
          </cell>
          <cell r="E216" t="str">
            <v>DE-MTR</v>
          </cell>
          <cell r="H216" t="str">
            <v>BLANKET</v>
          </cell>
          <cell r="M216">
            <v>5245.89</v>
          </cell>
          <cell r="N216">
            <v>15000</v>
          </cell>
          <cell r="O216">
            <v>9754.11</v>
          </cell>
          <cell r="P216">
            <v>5245.89</v>
          </cell>
        </row>
        <row r="217">
          <cell r="H217" t="str">
            <v>Subtotal Group 16S</v>
          </cell>
          <cell r="M217">
            <v>10500.26</v>
          </cell>
          <cell r="N217">
            <v>21250</v>
          </cell>
          <cell r="O217">
            <v>10749.740000000002</v>
          </cell>
        </row>
        <row r="220">
          <cell r="A220" t="str">
            <v>17</v>
          </cell>
          <cell r="B220" t="str">
            <v>381</v>
          </cell>
          <cell r="G220" t="str">
            <v>Meters - Over 275</v>
          </cell>
        </row>
        <row r="221">
          <cell r="A221" t="str">
            <v>17</v>
          </cell>
          <cell r="B221" t="str">
            <v>381</v>
          </cell>
          <cell r="H221" t="str">
            <v>Milford Project</v>
          </cell>
          <cell r="M221">
            <v>0</v>
          </cell>
          <cell r="N221">
            <v>17950</v>
          </cell>
          <cell r="O221">
            <v>17950</v>
          </cell>
        </row>
        <row r="222">
          <cell r="A222">
            <v>17</v>
          </cell>
          <cell r="B222">
            <v>381</v>
          </cell>
          <cell r="C222">
            <v>37130</v>
          </cell>
          <cell r="D222">
            <v>37195</v>
          </cell>
          <cell r="E222" t="str">
            <v>DE-MTR</v>
          </cell>
          <cell r="F222" t="str">
            <v>ROTARY MTRS -DOV</v>
          </cell>
          <cell r="H222" t="str">
            <v>ADD - Purchase 13 Rotary Meters</v>
          </cell>
          <cell r="M222">
            <v>11900.619999999999</v>
          </cell>
          <cell r="N222">
            <v>18000</v>
          </cell>
          <cell r="O222">
            <v>6099.380000000001</v>
          </cell>
          <cell r="P222">
            <v>11900.619999999999</v>
          </cell>
        </row>
        <row r="223">
          <cell r="A223" t="str">
            <v>17</v>
          </cell>
          <cell r="B223" t="str">
            <v>381</v>
          </cell>
          <cell r="H223" t="str">
            <v>BLANKET</v>
          </cell>
          <cell r="M223">
            <v>55853.75</v>
          </cell>
          <cell r="N223">
            <v>33200</v>
          </cell>
          <cell r="O223">
            <v>-22653.75</v>
          </cell>
          <cell r="P223">
            <v>55853.75</v>
          </cell>
        </row>
        <row r="224">
          <cell r="H224" t="str">
            <v>Subtotal Group 17</v>
          </cell>
          <cell r="M224">
            <v>67754.37</v>
          </cell>
          <cell r="N224">
            <v>69150</v>
          </cell>
          <cell r="O224">
            <v>1395.630000000001</v>
          </cell>
        </row>
        <row r="226">
          <cell r="A226" t="str">
            <v>17S</v>
          </cell>
          <cell r="B226" t="str">
            <v>381</v>
          </cell>
          <cell r="G226" t="str">
            <v>Meters - Over 275</v>
          </cell>
        </row>
        <row r="227">
          <cell r="A227" t="str">
            <v>17S</v>
          </cell>
          <cell r="B227" t="str">
            <v>381</v>
          </cell>
          <cell r="C227">
            <v>37202</v>
          </cell>
          <cell r="E227" t="str">
            <v>DE-MTR</v>
          </cell>
          <cell r="F227" t="str">
            <v>425 MTRS-SUS</v>
          </cell>
          <cell r="H227" t="str">
            <v>Purchase 425 Meters (10)</v>
          </cell>
          <cell r="M227">
            <v>0</v>
          </cell>
          <cell r="N227">
            <v>2000</v>
          </cell>
          <cell r="O227">
            <v>2000</v>
          </cell>
        </row>
        <row r="228">
          <cell r="A228" t="str">
            <v>17S</v>
          </cell>
          <cell r="B228" t="str">
            <v>381</v>
          </cell>
          <cell r="C228">
            <v>37202</v>
          </cell>
          <cell r="E228" t="str">
            <v>DE-MTR</v>
          </cell>
          <cell r="F228" t="str">
            <v>750 MTRS-SUS</v>
          </cell>
          <cell r="H228" t="str">
            <v>Purchase 750 Meters (5)</v>
          </cell>
          <cell r="M228">
            <v>0</v>
          </cell>
          <cell r="N228">
            <v>2875</v>
          </cell>
          <cell r="O228">
            <v>2875</v>
          </cell>
        </row>
        <row r="229">
          <cell r="A229" t="str">
            <v>17S</v>
          </cell>
          <cell r="B229" t="str">
            <v>381</v>
          </cell>
          <cell r="C229">
            <v>36976</v>
          </cell>
          <cell r="D229">
            <v>37195</v>
          </cell>
          <cell r="E229" t="str">
            <v>DE-MTR</v>
          </cell>
          <cell r="F229" t="str">
            <v>ROTARY MTRS-SUS</v>
          </cell>
          <cell r="H229" t="str">
            <v>Purchase - (5) 15c Dresser Roots, (1) 5m Dresser Roots</v>
          </cell>
          <cell r="L229">
            <v>22</v>
          </cell>
          <cell r="M229">
            <v>5024</v>
          </cell>
          <cell r="N229">
            <v>5024</v>
          </cell>
          <cell r="O229">
            <v>0</v>
          </cell>
          <cell r="P229">
            <v>5024</v>
          </cell>
        </row>
        <row r="230">
          <cell r="A230" t="str">
            <v>17S</v>
          </cell>
          <cell r="B230" t="str">
            <v>381</v>
          </cell>
          <cell r="C230">
            <v>37202</v>
          </cell>
          <cell r="E230" t="str">
            <v>DE-MTR</v>
          </cell>
          <cell r="F230" t="str">
            <v>ROTARY MTRS-SUS</v>
          </cell>
          <cell r="H230" t="str">
            <v>Purchase - (1)15C,(1)3M,(1)5M,(1)7M</v>
          </cell>
          <cell r="M230">
            <v>0</v>
          </cell>
          <cell r="N230">
            <v>4476</v>
          </cell>
          <cell r="O230">
            <v>4476</v>
          </cell>
        </row>
        <row r="231">
          <cell r="A231" t="str">
            <v>17S</v>
          </cell>
          <cell r="B231" t="str">
            <v>381</v>
          </cell>
          <cell r="H231" t="str">
            <v>BLANKET (Rotary)</v>
          </cell>
          <cell r="M231">
            <v>0</v>
          </cell>
          <cell r="N231">
            <v>0</v>
          </cell>
          <cell r="O231">
            <v>0</v>
          </cell>
        </row>
        <row r="232">
          <cell r="H232" t="str">
            <v>Subtotal Group 17S</v>
          </cell>
          <cell r="M232">
            <v>5024</v>
          </cell>
          <cell r="N232">
            <v>14375</v>
          </cell>
          <cell r="O232">
            <v>9351</v>
          </cell>
        </row>
        <row r="234">
          <cell r="A234" t="str">
            <v>18</v>
          </cell>
          <cell r="B234" t="str">
            <v>381</v>
          </cell>
          <cell r="G234" t="str">
            <v>Other Meter Devices</v>
          </cell>
        </row>
        <row r="235">
          <cell r="A235" t="str">
            <v>18</v>
          </cell>
          <cell r="B235" t="str">
            <v>381</v>
          </cell>
          <cell r="H235" t="str">
            <v>Milford Project</v>
          </cell>
          <cell r="M235">
            <v>0</v>
          </cell>
          <cell r="N235">
            <v>26000</v>
          </cell>
          <cell r="O235">
            <v>26000</v>
          </cell>
        </row>
        <row r="236">
          <cell r="A236" t="str">
            <v>18</v>
          </cell>
          <cell r="B236" t="str">
            <v>381</v>
          </cell>
          <cell r="H236" t="str">
            <v>Purchase Itron Interrogation software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18</v>
          </cell>
          <cell r="B237" t="str">
            <v>381</v>
          </cell>
          <cell r="H237" t="str">
            <v>Install low pressure alarm system(cell phones and paging system)</v>
          </cell>
          <cell r="M237">
            <v>0</v>
          </cell>
          <cell r="N237">
            <v>18100</v>
          </cell>
          <cell r="O237">
            <v>18100</v>
          </cell>
        </row>
        <row r="238">
          <cell r="A238" t="str">
            <v>18</v>
          </cell>
          <cell r="B238" t="str">
            <v>381</v>
          </cell>
          <cell r="C238">
            <v>37033</v>
          </cell>
          <cell r="D238">
            <v>37225</v>
          </cell>
          <cell r="E238" t="str">
            <v>DE-OTH MTR DEV</v>
          </cell>
          <cell r="F238" t="str">
            <v>ERTS</v>
          </cell>
          <cell r="H238" t="str">
            <v>Purchase 120 ERT'S</v>
          </cell>
          <cell r="M238">
            <v>4063.56</v>
          </cell>
          <cell r="N238">
            <v>6960</v>
          </cell>
          <cell r="O238">
            <v>2896.44</v>
          </cell>
          <cell r="P238">
            <v>483.07</v>
          </cell>
          <cell r="Q238">
            <v>84.11</v>
          </cell>
          <cell r="R238">
            <v>3496.38</v>
          </cell>
        </row>
        <row r="239">
          <cell r="A239" t="str">
            <v>18</v>
          </cell>
          <cell r="B239" t="str">
            <v>381</v>
          </cell>
          <cell r="C239">
            <v>36994</v>
          </cell>
          <cell r="D239">
            <v>37164</v>
          </cell>
          <cell r="E239" t="str">
            <v>DE-OTH MTR DEV</v>
          </cell>
          <cell r="F239" t="str">
            <v>MINI AT</v>
          </cell>
          <cell r="H239" t="str">
            <v>Purchase (5) Mercury Mini AT'S-(Needed for new mtr ins and replacements</v>
          </cell>
          <cell r="M239">
            <v>7723.65</v>
          </cell>
          <cell r="N239">
            <v>8720</v>
          </cell>
          <cell r="O239">
            <v>996.35000000000036</v>
          </cell>
          <cell r="P239">
            <v>7723.65</v>
          </cell>
        </row>
        <row r="240">
          <cell r="A240" t="str">
            <v>18</v>
          </cell>
          <cell r="B240" t="str">
            <v>381</v>
          </cell>
          <cell r="C240">
            <v>36994</v>
          </cell>
          <cell r="D240">
            <v>37164</v>
          </cell>
          <cell r="E240" t="str">
            <v>DE-OTH MTR DEV</v>
          </cell>
          <cell r="F240" t="str">
            <v>MINI MAX</v>
          </cell>
          <cell r="H240" t="str">
            <v>Purchase (5) Mercury Mini Max-(Needed for new mtr ins and replacements</v>
          </cell>
          <cell r="M240">
            <v>4528.0200000000004</v>
          </cell>
          <cell r="N240">
            <v>5370</v>
          </cell>
          <cell r="O240">
            <v>841.97999999999956</v>
          </cell>
          <cell r="P240">
            <v>4528.0200000000004</v>
          </cell>
        </row>
        <row r="241">
          <cell r="A241" t="str">
            <v>18</v>
          </cell>
          <cell r="B241" t="str">
            <v>381</v>
          </cell>
          <cell r="H241" t="str">
            <v>BLANKET</v>
          </cell>
          <cell r="M241">
            <v>0</v>
          </cell>
          <cell r="N241">
            <v>400</v>
          </cell>
          <cell r="O241">
            <v>400</v>
          </cell>
        </row>
        <row r="242">
          <cell r="H242" t="str">
            <v>Subtotal Group 18</v>
          </cell>
          <cell r="M242">
            <v>16315.23</v>
          </cell>
          <cell r="N242">
            <v>65550</v>
          </cell>
          <cell r="O242">
            <v>49234.770000000004</v>
          </cell>
        </row>
        <row r="244">
          <cell r="A244" t="str">
            <v>18S</v>
          </cell>
          <cell r="B244" t="str">
            <v>381</v>
          </cell>
          <cell r="G244" t="str">
            <v>Other Meter Devices</v>
          </cell>
        </row>
        <row r="245">
          <cell r="A245" t="str">
            <v>18S</v>
          </cell>
          <cell r="B245" t="str">
            <v>381</v>
          </cell>
          <cell r="C245">
            <v>37202</v>
          </cell>
          <cell r="E245" t="str">
            <v>DE-OTH MTR DEV</v>
          </cell>
          <cell r="F245" t="str">
            <v>MERC ER-SUS</v>
          </cell>
          <cell r="H245" t="str">
            <v>Purchase Mercury ER's (3)</v>
          </cell>
          <cell r="M245">
            <v>0</v>
          </cell>
          <cell r="N245">
            <v>5601</v>
          </cell>
          <cell r="O245">
            <v>5601</v>
          </cell>
        </row>
        <row r="246">
          <cell r="A246" t="str">
            <v>18S</v>
          </cell>
          <cell r="B246" t="str">
            <v>381</v>
          </cell>
          <cell r="C246">
            <v>37202</v>
          </cell>
          <cell r="E246" t="str">
            <v>DE-OTH MTR DEV</v>
          </cell>
          <cell r="F246" t="str">
            <v>MINI AT-SUS</v>
          </cell>
          <cell r="H246" t="str">
            <v>Purchase Mercury Mini-AT's (2)</v>
          </cell>
          <cell r="M246">
            <v>0</v>
          </cell>
          <cell r="N246">
            <v>3120</v>
          </cell>
          <cell r="O246">
            <v>3120</v>
          </cell>
        </row>
        <row r="247">
          <cell r="A247" t="str">
            <v>18S</v>
          </cell>
          <cell r="B247" t="str">
            <v>381</v>
          </cell>
          <cell r="C247">
            <v>37202</v>
          </cell>
          <cell r="E247" t="str">
            <v>DE-OTH MTR DEV</v>
          </cell>
          <cell r="F247" t="str">
            <v>MINI MAX-SUS</v>
          </cell>
          <cell r="H247" t="str">
            <v>Purchase Mercury Mini-Max (3)</v>
          </cell>
          <cell r="M247">
            <v>0</v>
          </cell>
          <cell r="N247">
            <v>3000</v>
          </cell>
          <cell r="O247">
            <v>3000</v>
          </cell>
        </row>
        <row r="248">
          <cell r="A248" t="str">
            <v>18S</v>
          </cell>
          <cell r="B248" t="str">
            <v>381</v>
          </cell>
          <cell r="H248" t="str">
            <v>Install Modem Telephone service (3)</v>
          </cell>
          <cell r="M248">
            <v>0</v>
          </cell>
          <cell r="N248">
            <v>0</v>
          </cell>
          <cell r="O248">
            <v>0</v>
          </cell>
        </row>
        <row r="249">
          <cell r="H249" t="str">
            <v>Subtotal Group 18S</v>
          </cell>
          <cell r="M249">
            <v>0</v>
          </cell>
          <cell r="N249">
            <v>11721</v>
          </cell>
          <cell r="O249">
            <v>11721</v>
          </cell>
        </row>
        <row r="251">
          <cell r="A251" t="str">
            <v>19</v>
          </cell>
          <cell r="B251" t="str">
            <v>382</v>
          </cell>
          <cell r="G251" t="str">
            <v>Meter Installations</v>
          </cell>
        </row>
        <row r="252">
          <cell r="A252" t="str">
            <v>19</v>
          </cell>
          <cell r="B252" t="str">
            <v>382</v>
          </cell>
          <cell r="C252">
            <v>36892</v>
          </cell>
          <cell r="E252" t="str">
            <v>DE-MTR INS</v>
          </cell>
          <cell r="F252" t="str">
            <v>MTR INS-DOV</v>
          </cell>
          <cell r="H252" t="str">
            <v>BLANKET-Meter Installs</v>
          </cell>
          <cell r="M252">
            <v>125668.52</v>
          </cell>
          <cell r="N252">
            <v>147880</v>
          </cell>
          <cell r="O252">
            <v>22211.479999999996</v>
          </cell>
          <cell r="P252">
            <v>14027.130000000001</v>
          </cell>
          <cell r="Q252">
            <v>38469.210000000006</v>
          </cell>
          <cell r="R252">
            <v>-2984.03</v>
          </cell>
          <cell r="T252">
            <v>76156.209999999992</v>
          </cell>
        </row>
        <row r="253">
          <cell r="H253" t="str">
            <v>Subtotal Group 19</v>
          </cell>
          <cell r="M253">
            <v>125668.52</v>
          </cell>
          <cell r="N253">
            <v>147880</v>
          </cell>
          <cell r="O253">
            <v>22211.479999999996</v>
          </cell>
        </row>
        <row r="255">
          <cell r="A255" t="str">
            <v>19S</v>
          </cell>
          <cell r="B255" t="str">
            <v>382</v>
          </cell>
          <cell r="G255" t="str">
            <v>Meter Installations</v>
          </cell>
        </row>
        <row r="256">
          <cell r="A256" t="str">
            <v>19S</v>
          </cell>
          <cell r="B256" t="str">
            <v>382</v>
          </cell>
          <cell r="C256">
            <v>36892</v>
          </cell>
          <cell r="E256" t="str">
            <v>DE-MTR INS</v>
          </cell>
          <cell r="F256" t="str">
            <v>MTR INS SUS</v>
          </cell>
          <cell r="H256" t="str">
            <v>BLANKET-Meter Installs</v>
          </cell>
          <cell r="M256">
            <v>49051.25</v>
          </cell>
          <cell r="N256">
            <v>42000</v>
          </cell>
          <cell r="O256">
            <v>-7051.25</v>
          </cell>
          <cell r="P256">
            <v>3127.87</v>
          </cell>
          <cell r="Q256">
            <v>3166.5</v>
          </cell>
          <cell r="R256">
            <v>1478.75</v>
          </cell>
          <cell r="T256">
            <v>41278.129999999997</v>
          </cell>
        </row>
        <row r="257">
          <cell r="H257" t="str">
            <v>Subtotal Group 19S</v>
          </cell>
          <cell r="M257">
            <v>49051.25</v>
          </cell>
          <cell r="N257">
            <v>42000</v>
          </cell>
          <cell r="O257">
            <v>-7051.25</v>
          </cell>
        </row>
        <row r="259">
          <cell r="A259" t="str">
            <v>20</v>
          </cell>
          <cell r="B259" t="str">
            <v>383</v>
          </cell>
          <cell r="G259" t="str">
            <v>Regulators - 1" &amp; Smaller</v>
          </cell>
        </row>
        <row r="260">
          <cell r="A260" t="str">
            <v>20</v>
          </cell>
          <cell r="B260" t="str">
            <v>383</v>
          </cell>
          <cell r="E260" t="str">
            <v>DE-REG</v>
          </cell>
          <cell r="F260" t="str">
            <v>UNDER 1 INCH</v>
          </cell>
          <cell r="H260" t="str">
            <v>Natural Gas Regulators (1200)</v>
          </cell>
          <cell r="M260">
            <v>14786.85</v>
          </cell>
          <cell r="N260">
            <v>18000</v>
          </cell>
          <cell r="O260">
            <v>3213.1499999999996</v>
          </cell>
          <cell r="P260">
            <v>14786.85</v>
          </cell>
        </row>
        <row r="261">
          <cell r="H261" t="str">
            <v>Subtotal Group 20</v>
          </cell>
          <cell r="M261">
            <v>14786.85</v>
          </cell>
          <cell r="N261">
            <v>18000</v>
          </cell>
          <cell r="O261">
            <v>3213.1499999999996</v>
          </cell>
        </row>
        <row r="263">
          <cell r="A263" t="str">
            <v>20S</v>
          </cell>
          <cell r="B263" t="str">
            <v>383</v>
          </cell>
          <cell r="G263" t="str">
            <v>Regulators - 1" &amp; Smaller</v>
          </cell>
        </row>
        <row r="264">
          <cell r="A264" t="str">
            <v>20S</v>
          </cell>
          <cell r="B264" t="str">
            <v>383</v>
          </cell>
          <cell r="E264" t="str">
            <v>DE-REG</v>
          </cell>
          <cell r="F264" t="str">
            <v>FISHER S402-SUS</v>
          </cell>
          <cell r="H264" t="str">
            <v>Purchase 402 Regulators (150)</v>
          </cell>
          <cell r="M264">
            <v>0</v>
          </cell>
          <cell r="N264">
            <v>5250</v>
          </cell>
          <cell r="O264">
            <v>5250</v>
          </cell>
        </row>
        <row r="265">
          <cell r="A265" t="str">
            <v>20S</v>
          </cell>
          <cell r="B265" t="str">
            <v>383</v>
          </cell>
          <cell r="H265" t="str">
            <v>BLANKET</v>
          </cell>
          <cell r="M265">
            <v>0</v>
          </cell>
          <cell r="N265">
            <v>400</v>
          </cell>
          <cell r="O265">
            <v>400</v>
          </cell>
        </row>
        <row r="266">
          <cell r="H266" t="str">
            <v>Subtotal Group 20S</v>
          </cell>
          <cell r="M266">
            <v>0</v>
          </cell>
          <cell r="N266">
            <v>5650</v>
          </cell>
          <cell r="O266">
            <v>5650</v>
          </cell>
        </row>
        <row r="268">
          <cell r="A268" t="str">
            <v>21</v>
          </cell>
          <cell r="B268" t="str">
            <v>383</v>
          </cell>
          <cell r="G268" t="str">
            <v>Regulators - Over 1"</v>
          </cell>
        </row>
        <row r="269">
          <cell r="A269" t="str">
            <v>21</v>
          </cell>
          <cell r="B269" t="str">
            <v>383</v>
          </cell>
          <cell r="H269" t="str">
            <v xml:space="preserve">Milford Project </v>
          </cell>
          <cell r="M269">
            <v>0</v>
          </cell>
          <cell r="N269">
            <v>2750</v>
          </cell>
          <cell r="O269">
            <v>2750</v>
          </cell>
        </row>
        <row r="270">
          <cell r="A270" t="str">
            <v>21</v>
          </cell>
          <cell r="B270" t="str">
            <v>383</v>
          </cell>
          <cell r="H270" t="str">
            <v>BLANKET</v>
          </cell>
          <cell r="M270">
            <v>3614.25</v>
          </cell>
          <cell r="N270">
            <v>27500</v>
          </cell>
          <cell r="O270">
            <v>23885.75</v>
          </cell>
          <cell r="P270">
            <v>3614.25</v>
          </cell>
        </row>
        <row r="271">
          <cell r="A271" t="str">
            <v>21</v>
          </cell>
          <cell r="B271" t="str">
            <v>383</v>
          </cell>
          <cell r="C271">
            <v>37226</v>
          </cell>
          <cell r="E271" t="str">
            <v>DE-REG</v>
          </cell>
          <cell r="F271" t="str">
            <v>MOONEYS</v>
          </cell>
          <cell r="H271" t="str">
            <v>Purchase (2) Mooney Regulators - Over 1" - Milford Project</v>
          </cell>
          <cell r="M271">
            <v>0</v>
          </cell>
          <cell r="N271">
            <v>3450</v>
          </cell>
          <cell r="O271">
            <v>3450</v>
          </cell>
        </row>
        <row r="272">
          <cell r="H272" t="str">
            <v>Subtotal Group 21</v>
          </cell>
          <cell r="M272">
            <v>3614.25</v>
          </cell>
          <cell r="N272">
            <v>33700</v>
          </cell>
          <cell r="O272">
            <v>30085.75</v>
          </cell>
        </row>
        <row r="274">
          <cell r="A274" t="str">
            <v>21S</v>
          </cell>
          <cell r="B274" t="str">
            <v>383</v>
          </cell>
          <cell r="G274" t="str">
            <v>Regulators - Over 1"</v>
          </cell>
        </row>
        <row r="275">
          <cell r="A275" t="str">
            <v>21S</v>
          </cell>
          <cell r="B275" t="str">
            <v>383</v>
          </cell>
          <cell r="C275">
            <v>36892</v>
          </cell>
          <cell r="E275" t="str">
            <v>DE-REG</v>
          </cell>
          <cell r="F275" t="str">
            <v>AMER 1813C SUS</v>
          </cell>
          <cell r="H275" t="str">
            <v>Purchase 1813C Regulators (25)</v>
          </cell>
          <cell r="M275">
            <v>38.47</v>
          </cell>
          <cell r="N275">
            <v>1000</v>
          </cell>
          <cell r="O275">
            <v>961.53</v>
          </cell>
          <cell r="P275">
            <v>38.47</v>
          </cell>
        </row>
        <row r="276">
          <cell r="A276" t="str">
            <v>21S</v>
          </cell>
          <cell r="B276" t="str">
            <v>383</v>
          </cell>
          <cell r="H276" t="str">
            <v>BLANKET</v>
          </cell>
          <cell r="M276">
            <v>0</v>
          </cell>
          <cell r="N276">
            <v>3800</v>
          </cell>
          <cell r="O276">
            <v>3800</v>
          </cell>
        </row>
        <row r="277">
          <cell r="H277" t="str">
            <v>Subtotal Group 21S</v>
          </cell>
          <cell r="M277">
            <v>38.47</v>
          </cell>
          <cell r="N277">
            <v>4800</v>
          </cell>
          <cell r="O277">
            <v>4761.53</v>
          </cell>
        </row>
        <row r="279">
          <cell r="A279" t="str">
            <v>22</v>
          </cell>
          <cell r="B279" t="str">
            <v>385</v>
          </cell>
          <cell r="G279" t="str">
            <v>M &amp; R Stations - Industrial</v>
          </cell>
        </row>
        <row r="280">
          <cell r="A280" t="str">
            <v>22</v>
          </cell>
          <cell r="B280" t="str">
            <v>385</v>
          </cell>
          <cell r="H280" t="str">
            <v>BLANKET</v>
          </cell>
          <cell r="M280">
            <v>0</v>
          </cell>
          <cell r="N280">
            <v>1031</v>
          </cell>
          <cell r="O280">
            <v>1031</v>
          </cell>
        </row>
        <row r="281">
          <cell r="A281" t="str">
            <v>22</v>
          </cell>
          <cell r="B281" t="str">
            <v>385</v>
          </cell>
          <cell r="H281" t="str">
            <v>Carryover-Schiff Grain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22</v>
          </cell>
          <cell r="B282" t="str">
            <v>385</v>
          </cell>
          <cell r="H282" t="str">
            <v>Milford Project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22</v>
          </cell>
          <cell r="B283">
            <v>385</v>
          </cell>
          <cell r="C283">
            <v>37202</v>
          </cell>
          <cell r="D283">
            <v>37225</v>
          </cell>
          <cell r="E283" t="str">
            <v>DE-ACME</v>
          </cell>
          <cell r="F283" t="str">
            <v>MR IND</v>
          </cell>
          <cell r="H283" t="str">
            <v>Install Meter Set @ ACME Market in Smyrna</v>
          </cell>
          <cell r="L283">
            <v>54</v>
          </cell>
          <cell r="M283">
            <v>1497.26</v>
          </cell>
          <cell r="N283">
            <v>1925</v>
          </cell>
          <cell r="O283">
            <v>427.74</v>
          </cell>
          <cell r="P283">
            <v>122.26</v>
          </cell>
          <cell r="R283">
            <v>1375</v>
          </cell>
        </row>
        <row r="284">
          <cell r="A284">
            <v>22</v>
          </cell>
          <cell r="B284">
            <v>385</v>
          </cell>
          <cell r="C284">
            <v>37202</v>
          </cell>
          <cell r="D284">
            <v>37225</v>
          </cell>
          <cell r="E284" t="str">
            <v>DE-DELDOT DASH</v>
          </cell>
          <cell r="F284" t="str">
            <v>MR IND</v>
          </cell>
          <cell r="H284" t="str">
            <v xml:space="preserve">Install Meter Set @ DELDOT DASH facilities </v>
          </cell>
          <cell r="L284">
            <v>60</v>
          </cell>
          <cell r="M284">
            <v>975</v>
          </cell>
          <cell r="N284">
            <v>1200</v>
          </cell>
          <cell r="O284">
            <v>225</v>
          </cell>
          <cell r="R284">
            <v>975</v>
          </cell>
        </row>
        <row r="285">
          <cell r="A285">
            <v>22</v>
          </cell>
          <cell r="B285">
            <v>385</v>
          </cell>
          <cell r="C285">
            <v>37202</v>
          </cell>
          <cell r="D285">
            <v>37225</v>
          </cell>
          <cell r="E285" t="str">
            <v>DE-DELDOT LAB</v>
          </cell>
          <cell r="F285" t="str">
            <v>MR IND</v>
          </cell>
          <cell r="H285" t="str">
            <v>Install Meter Set @ DELDOT Materials Lab</v>
          </cell>
          <cell r="L285">
            <v>60</v>
          </cell>
          <cell r="M285">
            <v>1282.75</v>
          </cell>
          <cell r="N285">
            <v>1835</v>
          </cell>
          <cell r="O285">
            <v>552.25</v>
          </cell>
          <cell r="R285">
            <v>1282.75</v>
          </cell>
        </row>
        <row r="286">
          <cell r="A286">
            <v>22</v>
          </cell>
          <cell r="B286">
            <v>385</v>
          </cell>
          <cell r="C286">
            <v>36678</v>
          </cell>
          <cell r="D286">
            <v>36769</v>
          </cell>
          <cell r="E286" t="str">
            <v>DE-HOLY CROSS SCHOOL</v>
          </cell>
          <cell r="F286" t="str">
            <v>MR IND</v>
          </cell>
          <cell r="H286" t="str">
            <v>2000 Holy Cross School</v>
          </cell>
          <cell r="L286">
            <v>60</v>
          </cell>
          <cell r="M286">
            <v>135.59</v>
          </cell>
          <cell r="N286">
            <v>136</v>
          </cell>
          <cell r="O286">
            <v>0.40999999999999659</v>
          </cell>
          <cell r="P286">
            <v>135.59</v>
          </cell>
        </row>
        <row r="287">
          <cell r="A287">
            <v>22</v>
          </cell>
          <cell r="B287">
            <v>385</v>
          </cell>
          <cell r="C287">
            <v>37202</v>
          </cell>
          <cell r="D287">
            <v>37198</v>
          </cell>
          <cell r="E287" t="str">
            <v>DE-KFC</v>
          </cell>
          <cell r="F287" t="str">
            <v>MR IND</v>
          </cell>
          <cell r="H287" t="str">
            <v>Install Meter Set @ KFC and A&amp;W, Dover</v>
          </cell>
          <cell r="L287">
            <v>60</v>
          </cell>
          <cell r="M287">
            <v>1100.1100000000001</v>
          </cell>
          <cell r="N287">
            <v>1165</v>
          </cell>
          <cell r="O287">
            <v>64.889999999999873</v>
          </cell>
          <cell r="P287">
            <v>158.11000000000001</v>
          </cell>
          <cell r="R287">
            <v>942</v>
          </cell>
        </row>
        <row r="288">
          <cell r="A288" t="str">
            <v>22</v>
          </cell>
          <cell r="B288" t="str">
            <v>385</v>
          </cell>
          <cell r="C288">
            <v>37202</v>
          </cell>
          <cell r="E288" t="str">
            <v>DE-LAKE FOREST ELEM</v>
          </cell>
          <cell r="F288" t="str">
            <v>MR IND</v>
          </cell>
          <cell r="H288" t="str">
            <v>Install Meter Set @ Lake Forest Central Elem School</v>
          </cell>
          <cell r="L288">
            <v>69</v>
          </cell>
          <cell r="M288">
            <v>0</v>
          </cell>
          <cell r="N288">
            <v>1565</v>
          </cell>
          <cell r="O288">
            <v>1565</v>
          </cell>
        </row>
        <row r="289">
          <cell r="A289" t="str">
            <v>22</v>
          </cell>
          <cell r="B289" t="str">
            <v>385</v>
          </cell>
          <cell r="C289">
            <v>37237</v>
          </cell>
          <cell r="E289" t="str">
            <v>DE-LOWES</v>
          </cell>
          <cell r="F289" t="str">
            <v>MR IND</v>
          </cell>
          <cell r="H289" t="str">
            <v>ADD-Install Meter Set @ Lowes in the Middletown Commons</v>
          </cell>
          <cell r="L289">
            <v>45</v>
          </cell>
          <cell r="M289">
            <v>0</v>
          </cell>
          <cell r="N289">
            <v>1750</v>
          </cell>
          <cell r="O289">
            <v>1750</v>
          </cell>
        </row>
        <row r="290">
          <cell r="A290" t="str">
            <v>22</v>
          </cell>
          <cell r="B290" t="str">
            <v>385</v>
          </cell>
          <cell r="C290">
            <v>37236</v>
          </cell>
          <cell r="E290" t="str">
            <v>DE-MIDDLETOWN H.S.</v>
          </cell>
          <cell r="F290" t="str">
            <v>MR IND</v>
          </cell>
          <cell r="H290" t="str">
            <v>Install Meter Set @ Middletown H.S.</v>
          </cell>
          <cell r="L290">
            <v>45</v>
          </cell>
          <cell r="M290">
            <v>0</v>
          </cell>
          <cell r="N290">
            <v>1800</v>
          </cell>
          <cell r="O290">
            <v>1800</v>
          </cell>
        </row>
        <row r="291">
          <cell r="A291" t="str">
            <v>22</v>
          </cell>
          <cell r="B291" t="str">
            <v>385</v>
          </cell>
          <cell r="C291">
            <v>37202</v>
          </cell>
          <cell r="D291">
            <v>37225</v>
          </cell>
          <cell r="E291" t="str">
            <v>DE-MIDDLETOWN SCHOOL</v>
          </cell>
          <cell r="F291" t="str">
            <v>MR IND</v>
          </cell>
          <cell r="H291" t="str">
            <v>Install Meter Set @ Middletown Middle School Gym</v>
          </cell>
          <cell r="L291">
            <v>45</v>
          </cell>
          <cell r="M291">
            <v>1236.8899999999999</v>
          </cell>
          <cell r="N291">
            <v>1248</v>
          </cell>
          <cell r="O291">
            <v>11.110000000000127</v>
          </cell>
          <cell r="P291">
            <v>229.39</v>
          </cell>
          <cell r="R291">
            <v>1007.5</v>
          </cell>
        </row>
        <row r="292">
          <cell r="A292" t="str">
            <v>22</v>
          </cell>
          <cell r="B292" t="str">
            <v>385</v>
          </cell>
          <cell r="C292">
            <v>37202</v>
          </cell>
          <cell r="E292" t="str">
            <v>DE-MILFORD H.S.</v>
          </cell>
          <cell r="F292" t="str">
            <v>MR IND</v>
          </cell>
          <cell r="H292" t="str">
            <v>Install Meter Set @ Milford HS</v>
          </cell>
          <cell r="L292">
            <v>75</v>
          </cell>
          <cell r="M292">
            <v>1038.25</v>
          </cell>
          <cell r="N292">
            <v>2785</v>
          </cell>
          <cell r="O292">
            <v>1746.75</v>
          </cell>
          <cell r="R292">
            <v>1038.25</v>
          </cell>
        </row>
        <row r="293">
          <cell r="A293" t="str">
            <v>22</v>
          </cell>
          <cell r="B293" t="str">
            <v>385</v>
          </cell>
          <cell r="C293">
            <v>37202</v>
          </cell>
          <cell r="D293">
            <v>37225</v>
          </cell>
          <cell r="E293" t="str">
            <v>DE-MOOSE LODGE</v>
          </cell>
          <cell r="F293" t="str">
            <v>MR IND</v>
          </cell>
          <cell r="H293" t="str">
            <v>Install Meter Set @ Moose Lodge in Dover</v>
          </cell>
          <cell r="L293">
            <v>64</v>
          </cell>
          <cell r="M293">
            <v>235.5</v>
          </cell>
          <cell r="N293">
            <v>725</v>
          </cell>
          <cell r="O293">
            <v>489.5</v>
          </cell>
          <cell r="R293">
            <v>235.5</v>
          </cell>
        </row>
        <row r="294">
          <cell r="A294" t="str">
            <v>22</v>
          </cell>
          <cell r="B294" t="str">
            <v>385</v>
          </cell>
          <cell r="C294">
            <v>37202</v>
          </cell>
          <cell r="D294">
            <v>37225</v>
          </cell>
          <cell r="E294" t="str">
            <v>DE-SAFEWAY MAIN</v>
          </cell>
          <cell r="F294" t="str">
            <v>MR IND</v>
          </cell>
          <cell r="H294" t="str">
            <v>Install Meter Set @ Safeway in Dover</v>
          </cell>
          <cell r="L294">
            <v>60</v>
          </cell>
          <cell r="M294">
            <v>1102</v>
          </cell>
          <cell r="N294">
            <v>1327</v>
          </cell>
          <cell r="O294">
            <v>225</v>
          </cell>
          <cell r="R294">
            <v>1102</v>
          </cell>
        </row>
        <row r="295">
          <cell r="A295">
            <v>22</v>
          </cell>
          <cell r="B295">
            <v>385</v>
          </cell>
          <cell r="C295">
            <v>37214</v>
          </cell>
          <cell r="E295" t="str">
            <v>DE-SEA WATCH</v>
          </cell>
          <cell r="F295" t="str">
            <v>MR IND</v>
          </cell>
          <cell r="H295" t="str">
            <v>Install Meter Set @ Sea Watch</v>
          </cell>
          <cell r="M295">
            <v>0</v>
          </cell>
          <cell r="N295">
            <v>6040</v>
          </cell>
          <cell r="O295">
            <v>6040</v>
          </cell>
        </row>
        <row r="296">
          <cell r="A296">
            <v>22</v>
          </cell>
          <cell r="B296">
            <v>385</v>
          </cell>
          <cell r="C296">
            <v>36678</v>
          </cell>
          <cell r="D296">
            <v>36891</v>
          </cell>
          <cell r="E296" t="str">
            <v>DE-VIOLATION CTR</v>
          </cell>
          <cell r="F296" t="str">
            <v>MR IND</v>
          </cell>
          <cell r="H296" t="str">
            <v>2000 Violation Center-Smyrna</v>
          </cell>
          <cell r="M296">
            <v>328.62</v>
          </cell>
          <cell r="N296">
            <v>329</v>
          </cell>
          <cell r="O296">
            <v>0.37999999999999545</v>
          </cell>
          <cell r="P296">
            <v>328.62</v>
          </cell>
        </row>
        <row r="297">
          <cell r="H297" t="str">
            <v>Subtotal Group 22</v>
          </cell>
          <cell r="M297">
            <v>8931.9700000000012</v>
          </cell>
          <cell r="N297">
            <v>24861</v>
          </cell>
          <cell r="O297">
            <v>15929.029999999999</v>
          </cell>
        </row>
        <row r="299">
          <cell r="A299" t="str">
            <v>22S</v>
          </cell>
          <cell r="B299">
            <v>385</v>
          </cell>
          <cell r="G299" t="str">
            <v>M &amp; R Stations - Industrial</v>
          </cell>
        </row>
        <row r="300">
          <cell r="A300" t="str">
            <v>22S</v>
          </cell>
          <cell r="B300">
            <v>385</v>
          </cell>
          <cell r="H300" t="str">
            <v>BLANKET</v>
          </cell>
          <cell r="M300">
            <v>0</v>
          </cell>
          <cell r="N300">
            <v>8650</v>
          </cell>
          <cell r="O300">
            <v>8650</v>
          </cell>
        </row>
        <row r="301">
          <cell r="H301" t="str">
            <v>Subtotal Group 22S</v>
          </cell>
          <cell r="M301">
            <v>0</v>
          </cell>
          <cell r="N301">
            <v>8650</v>
          </cell>
          <cell r="O301">
            <v>8650</v>
          </cell>
        </row>
        <row r="303">
          <cell r="A303" t="str">
            <v>23</v>
          </cell>
          <cell r="B303" t="str">
            <v>387</v>
          </cell>
          <cell r="G303" t="str">
            <v>Other Equipment</v>
          </cell>
        </row>
        <row r="304">
          <cell r="A304" t="str">
            <v>23</v>
          </cell>
          <cell r="B304" t="str">
            <v>387</v>
          </cell>
          <cell r="C304">
            <v>36990</v>
          </cell>
          <cell r="D304">
            <v>37026</v>
          </cell>
          <cell r="E304" t="str">
            <v>DE-OTH EQUIP</v>
          </cell>
          <cell r="F304" t="str">
            <v>CGI</v>
          </cell>
          <cell r="H304" t="str">
            <v>Purchase 2 CGI'S for Construction</v>
          </cell>
          <cell r="M304">
            <v>3073.86</v>
          </cell>
          <cell r="N304">
            <v>3000</v>
          </cell>
          <cell r="O304">
            <v>-73.860000000000127</v>
          </cell>
          <cell r="P304">
            <v>3073.86</v>
          </cell>
        </row>
        <row r="305">
          <cell r="A305" t="str">
            <v>23</v>
          </cell>
          <cell r="B305" t="str">
            <v>387</v>
          </cell>
          <cell r="C305">
            <v>36949</v>
          </cell>
          <cell r="D305">
            <v>37000</v>
          </cell>
          <cell r="E305" t="str">
            <v>DE-OTH EQUIP</v>
          </cell>
          <cell r="F305" t="str">
            <v>PIPE LOCATOR TRK 5</v>
          </cell>
          <cell r="H305" t="str">
            <v>Purchase Pipe locator for New Construction Truck #5 (Model 500 Pipe Horn)</v>
          </cell>
          <cell r="L305">
            <v>61</v>
          </cell>
          <cell r="M305">
            <v>1009.5</v>
          </cell>
          <cell r="N305">
            <v>1000</v>
          </cell>
          <cell r="O305">
            <v>-9.5</v>
          </cell>
          <cell r="P305">
            <v>1009.5</v>
          </cell>
        </row>
        <row r="306">
          <cell r="A306" t="str">
            <v>23</v>
          </cell>
          <cell r="B306" t="str">
            <v>387</v>
          </cell>
          <cell r="C306">
            <v>37033</v>
          </cell>
          <cell r="E306" t="str">
            <v>DE-OTH EQUIP</v>
          </cell>
          <cell r="F306" t="str">
            <v>HOT TAP MACH</v>
          </cell>
          <cell r="H306" t="str">
            <v>1 McElroy Hot Tapping Machine for putting branch saddles on Pl pipe, Trk #5</v>
          </cell>
          <cell r="L306">
            <v>60</v>
          </cell>
          <cell r="M306">
            <v>0</v>
          </cell>
          <cell r="N306">
            <v>2000</v>
          </cell>
          <cell r="O306">
            <v>2000</v>
          </cell>
        </row>
        <row r="307">
          <cell r="A307" t="str">
            <v>23</v>
          </cell>
          <cell r="B307" t="str">
            <v>387</v>
          </cell>
          <cell r="H307" t="str">
            <v>BLANKET</v>
          </cell>
          <cell r="M307">
            <v>0</v>
          </cell>
          <cell r="N307">
            <v>0</v>
          </cell>
          <cell r="O307">
            <v>0</v>
          </cell>
        </row>
        <row r="308">
          <cell r="H308" t="str">
            <v>Subtotal Group 23</v>
          </cell>
          <cell r="M308">
            <v>4083.36</v>
          </cell>
          <cell r="N308">
            <v>6000</v>
          </cell>
          <cell r="O308">
            <v>1916.6399999999999</v>
          </cell>
        </row>
        <row r="311">
          <cell r="A311" t="str">
            <v>23S</v>
          </cell>
          <cell r="B311" t="str">
            <v>387</v>
          </cell>
          <cell r="G311" t="str">
            <v>Other Equipment</v>
          </cell>
        </row>
        <row r="314">
          <cell r="A314" t="str">
            <v>30</v>
          </cell>
          <cell r="B314" t="str">
            <v>390</v>
          </cell>
          <cell r="G314" t="str">
            <v>Structures and Improvements</v>
          </cell>
        </row>
        <row r="315">
          <cell r="A315" t="str">
            <v>30</v>
          </cell>
          <cell r="B315" t="str">
            <v>390</v>
          </cell>
          <cell r="H315" t="str">
            <v>Maintenance / Building repair -QS</v>
          </cell>
          <cell r="M315">
            <v>0</v>
          </cell>
          <cell r="N315">
            <v>10000</v>
          </cell>
          <cell r="O315">
            <v>10000</v>
          </cell>
        </row>
        <row r="316">
          <cell r="H316" t="str">
            <v>Subtotal Group 30</v>
          </cell>
          <cell r="M316">
            <v>0</v>
          </cell>
          <cell r="N316">
            <v>10000</v>
          </cell>
          <cell r="O316">
            <v>10000</v>
          </cell>
        </row>
        <row r="318">
          <cell r="A318" t="str">
            <v>24</v>
          </cell>
          <cell r="B318" t="str">
            <v>391</v>
          </cell>
          <cell r="G318" t="str">
            <v>Office Equipment</v>
          </cell>
        </row>
        <row r="319">
          <cell r="A319" t="str">
            <v>24</v>
          </cell>
          <cell r="B319" t="str">
            <v>391</v>
          </cell>
          <cell r="H319" t="str">
            <v>Update system flow model  Middletown/Odessa and Harrington</v>
          </cell>
          <cell r="M319">
            <v>0</v>
          </cell>
          <cell r="N319">
            <v>20000</v>
          </cell>
          <cell r="O319">
            <v>20000</v>
          </cell>
        </row>
        <row r="321">
          <cell r="H321" t="str">
            <v>Subtotal Group 24</v>
          </cell>
          <cell r="M321">
            <v>0</v>
          </cell>
          <cell r="N321">
            <v>20000</v>
          </cell>
          <cell r="O321">
            <v>20000</v>
          </cell>
        </row>
        <row r="323">
          <cell r="A323" t="str">
            <v>24S</v>
          </cell>
          <cell r="B323" t="str">
            <v>391</v>
          </cell>
          <cell r="G323" t="str">
            <v>Office Equipment</v>
          </cell>
        </row>
        <row r="325">
          <cell r="A325" t="str">
            <v>25</v>
          </cell>
          <cell r="B325" t="str">
            <v>392</v>
          </cell>
          <cell r="G325" t="str">
            <v>Transportation Equipment</v>
          </cell>
        </row>
        <row r="326">
          <cell r="A326" t="str">
            <v>25</v>
          </cell>
          <cell r="B326" t="str">
            <v>392</v>
          </cell>
          <cell r="H326" t="str">
            <v>Boom Truck Chassis -Cab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25</v>
          </cell>
          <cell r="B327" t="str">
            <v>392</v>
          </cell>
          <cell r="C327">
            <v>37207</v>
          </cell>
          <cell r="D327">
            <v>37225</v>
          </cell>
          <cell r="E327" t="str">
            <v>DE-TRANS</v>
          </cell>
          <cell r="F327" t="str">
            <v>TR-0105</v>
          </cell>
          <cell r="H327" t="str">
            <v>Emergency Trailer</v>
          </cell>
          <cell r="L327">
            <v>60</v>
          </cell>
          <cell r="M327">
            <v>4509.57</v>
          </cell>
          <cell r="N327">
            <v>3500</v>
          </cell>
          <cell r="O327">
            <v>-1009.5699999999997</v>
          </cell>
          <cell r="P327">
            <v>4509.57</v>
          </cell>
        </row>
        <row r="328">
          <cell r="A328" t="str">
            <v>25</v>
          </cell>
          <cell r="B328" t="str">
            <v>392</v>
          </cell>
          <cell r="C328">
            <v>36892</v>
          </cell>
          <cell r="D328">
            <v>37225</v>
          </cell>
          <cell r="E328" t="str">
            <v>DE-TRANS</v>
          </cell>
          <cell r="F328" t="str">
            <v>OT-0103</v>
          </cell>
          <cell r="H328" t="str">
            <v>Replace Unit 43</v>
          </cell>
          <cell r="L328">
            <v>60</v>
          </cell>
          <cell r="M328">
            <v>22667.55</v>
          </cell>
          <cell r="N328">
            <v>23500</v>
          </cell>
          <cell r="O328">
            <v>832.45000000000073</v>
          </cell>
          <cell r="P328">
            <v>22667.55</v>
          </cell>
        </row>
        <row r="329">
          <cell r="A329" t="str">
            <v>25</v>
          </cell>
          <cell r="B329" t="str">
            <v>392</v>
          </cell>
          <cell r="C329">
            <v>36935</v>
          </cell>
          <cell r="D329">
            <v>37195</v>
          </cell>
          <cell r="E329" t="str">
            <v>DE-TRANS</v>
          </cell>
          <cell r="F329" t="str">
            <v>OT-0104</v>
          </cell>
          <cell r="H329" t="str">
            <v>Replace Unit 58</v>
          </cell>
          <cell r="L329">
            <v>60</v>
          </cell>
          <cell r="M329">
            <v>17599</v>
          </cell>
          <cell r="N329">
            <v>17000</v>
          </cell>
          <cell r="O329">
            <v>-599</v>
          </cell>
          <cell r="Q329">
            <v>17599</v>
          </cell>
        </row>
        <row r="330">
          <cell r="H330" t="str">
            <v>Subtotal Group 25</v>
          </cell>
          <cell r="M330">
            <v>44776.119999999995</v>
          </cell>
          <cell r="N330">
            <v>44000</v>
          </cell>
          <cell r="O330">
            <v>-776.11999999999898</v>
          </cell>
        </row>
        <row r="332">
          <cell r="A332" t="str">
            <v>26</v>
          </cell>
          <cell r="B332" t="str">
            <v>394</v>
          </cell>
          <cell r="G332" t="str">
            <v>Tools, Shop and Garage Equip</v>
          </cell>
        </row>
        <row r="333">
          <cell r="A333" t="str">
            <v>26</v>
          </cell>
          <cell r="B333" t="str">
            <v>394</v>
          </cell>
          <cell r="C333">
            <v>36949</v>
          </cell>
          <cell r="D333">
            <v>37035</v>
          </cell>
          <cell r="E333" t="str">
            <v xml:space="preserve">DE-TOOLS </v>
          </cell>
          <cell r="F333" t="str">
            <v>FORK EXPANDER</v>
          </cell>
          <cell r="H333" t="str">
            <v>Purchase of Fork Expanders for Forklift truck</v>
          </cell>
          <cell r="L333">
            <v>60</v>
          </cell>
          <cell r="M333">
            <v>1400</v>
          </cell>
          <cell r="N333">
            <v>1400</v>
          </cell>
          <cell r="O333">
            <v>0</v>
          </cell>
          <cell r="P333">
            <v>1400</v>
          </cell>
        </row>
        <row r="334">
          <cell r="A334" t="str">
            <v>26</v>
          </cell>
          <cell r="B334" t="str">
            <v>394</v>
          </cell>
          <cell r="C334">
            <v>37033</v>
          </cell>
          <cell r="D334">
            <v>37225</v>
          </cell>
          <cell r="E334" t="str">
            <v xml:space="preserve">DE-TOOLS </v>
          </cell>
          <cell r="F334" t="str">
            <v>TOOLS TRUCK 5</v>
          </cell>
          <cell r="H334" t="str">
            <v>Purchase tools for new construction truck (Truck #5)</v>
          </cell>
          <cell r="L334">
            <v>60</v>
          </cell>
          <cell r="M334">
            <v>4934.6499999999996</v>
          </cell>
          <cell r="N334">
            <v>5182</v>
          </cell>
          <cell r="O334">
            <v>247.35000000000036</v>
          </cell>
          <cell r="P334">
            <v>4934.6499999999996</v>
          </cell>
        </row>
        <row r="335">
          <cell r="A335" t="str">
            <v>26</v>
          </cell>
          <cell r="B335" t="str">
            <v>394</v>
          </cell>
          <cell r="C335">
            <v>37033</v>
          </cell>
          <cell r="E335" t="str">
            <v xml:space="preserve">DE-TOOLS </v>
          </cell>
          <cell r="F335" t="str">
            <v>ROTARY HAMMER</v>
          </cell>
          <cell r="H335" t="str">
            <v>Purchase 1 hammer drill and drill bit, Truck #5</v>
          </cell>
          <cell r="L335">
            <v>60</v>
          </cell>
          <cell r="M335">
            <v>0</v>
          </cell>
          <cell r="N335">
            <v>670</v>
          </cell>
          <cell r="O335">
            <v>670</v>
          </cell>
        </row>
        <row r="336">
          <cell r="A336" t="str">
            <v>26</v>
          </cell>
          <cell r="B336" t="str">
            <v>394</v>
          </cell>
          <cell r="H336" t="str">
            <v>BLANKET</v>
          </cell>
          <cell r="M336">
            <v>0</v>
          </cell>
          <cell r="N336">
            <v>448</v>
          </cell>
          <cell r="O336">
            <v>448</v>
          </cell>
        </row>
        <row r="337">
          <cell r="H337" t="str">
            <v>Subtotal Group 26</v>
          </cell>
          <cell r="M337">
            <v>6334.65</v>
          </cell>
          <cell r="N337">
            <v>7700</v>
          </cell>
          <cell r="O337">
            <v>1365.3500000000004</v>
          </cell>
        </row>
        <row r="339">
          <cell r="A339" t="str">
            <v>26S</v>
          </cell>
          <cell r="B339" t="str">
            <v>394</v>
          </cell>
          <cell r="G339" t="str">
            <v>Tools, Shop and Garage Equip</v>
          </cell>
        </row>
        <row r="340">
          <cell r="A340" t="str">
            <v>26S</v>
          </cell>
          <cell r="B340" t="str">
            <v>394</v>
          </cell>
          <cell r="C340">
            <v>37144</v>
          </cell>
          <cell r="D340">
            <v>37164</v>
          </cell>
          <cell r="E340" t="str">
            <v>DE-TOOLS</v>
          </cell>
          <cell r="F340" t="str">
            <v>ELECTROFUSION-SUS</v>
          </cell>
          <cell r="H340" t="str">
            <v>Purchase Electrofusion Equip</v>
          </cell>
          <cell r="M340">
            <v>3462.5</v>
          </cell>
          <cell r="N340">
            <v>4000</v>
          </cell>
          <cell r="O340">
            <v>537.5</v>
          </cell>
          <cell r="P340">
            <v>3462.5</v>
          </cell>
        </row>
        <row r="341">
          <cell r="A341" t="str">
            <v>26S</v>
          </cell>
          <cell r="B341" t="str">
            <v>394</v>
          </cell>
          <cell r="C341">
            <v>37202</v>
          </cell>
          <cell r="E341" t="str">
            <v>DE-TOOLS</v>
          </cell>
          <cell r="F341" t="str">
            <v>TRAFFIC SIGNS-SUS</v>
          </cell>
          <cell r="H341" t="str">
            <v>Purchase Road Signs</v>
          </cell>
          <cell r="M341">
            <v>0</v>
          </cell>
          <cell r="N341">
            <v>2000</v>
          </cell>
          <cell r="O341">
            <v>2000</v>
          </cell>
        </row>
        <row r="342">
          <cell r="A342" t="str">
            <v>26S</v>
          </cell>
          <cell r="B342" t="str">
            <v>394</v>
          </cell>
          <cell r="H342" t="str">
            <v>Purchase Air Tool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26S</v>
          </cell>
          <cell r="B343" t="str">
            <v>394</v>
          </cell>
          <cell r="H343" t="str">
            <v>BLANKET</v>
          </cell>
          <cell r="M343">
            <v>0</v>
          </cell>
          <cell r="N343">
            <v>0</v>
          </cell>
          <cell r="O343">
            <v>0</v>
          </cell>
        </row>
        <row r="344">
          <cell r="H344" t="str">
            <v>Subtotal Group 26S</v>
          </cell>
          <cell r="M344">
            <v>3462.5</v>
          </cell>
          <cell r="N344">
            <v>6000</v>
          </cell>
          <cell r="O344">
            <v>2537.5</v>
          </cell>
        </row>
        <row r="346">
          <cell r="A346" t="str">
            <v>27</v>
          </cell>
          <cell r="B346" t="str">
            <v>396</v>
          </cell>
          <cell r="G346" t="str">
            <v>Power Operated Equipment</v>
          </cell>
        </row>
        <row r="347">
          <cell r="A347" t="str">
            <v>27</v>
          </cell>
          <cell r="B347" t="str">
            <v>396</v>
          </cell>
          <cell r="C347">
            <v>36935</v>
          </cell>
          <cell r="D347">
            <v>37035</v>
          </cell>
          <cell r="E347" t="str">
            <v>DE-POWER OP EQUIP</v>
          </cell>
          <cell r="F347" t="str">
            <v>FORKLIFT</v>
          </cell>
          <cell r="H347" t="str">
            <v>Purchase Forklift</v>
          </cell>
          <cell r="L347">
            <v>60</v>
          </cell>
          <cell r="M347">
            <v>10000</v>
          </cell>
          <cell r="N347">
            <v>9500</v>
          </cell>
          <cell r="O347">
            <v>-500</v>
          </cell>
          <cell r="P347">
            <v>10000</v>
          </cell>
        </row>
        <row r="348">
          <cell r="A348" t="str">
            <v>27</v>
          </cell>
          <cell r="B348" t="str">
            <v>396</v>
          </cell>
          <cell r="C348">
            <v>37119</v>
          </cell>
          <cell r="D348">
            <v>37164</v>
          </cell>
          <cell r="E348" t="str">
            <v>DE-POWER OP EQUIP</v>
          </cell>
          <cell r="F348" t="str">
            <v>GAS TAMP</v>
          </cell>
          <cell r="H348" t="str">
            <v>Purchase Gasolinge Tamp</v>
          </cell>
          <cell r="L348">
            <v>60</v>
          </cell>
          <cell r="M348">
            <v>2350</v>
          </cell>
          <cell r="N348">
            <v>2600</v>
          </cell>
          <cell r="O348">
            <v>250</v>
          </cell>
          <cell r="R348">
            <v>2350</v>
          </cell>
        </row>
        <row r="349">
          <cell r="A349" t="str">
            <v>27</v>
          </cell>
          <cell r="B349" t="str">
            <v>396</v>
          </cell>
          <cell r="C349">
            <v>36949</v>
          </cell>
          <cell r="D349">
            <v>36966</v>
          </cell>
          <cell r="E349" t="str">
            <v xml:space="preserve">DE-POWER OP EQUIP </v>
          </cell>
          <cell r="F349" t="str">
            <v>GENERATOR</v>
          </cell>
          <cell r="H349" t="str">
            <v>Purchase Generator</v>
          </cell>
          <cell r="L349">
            <v>60</v>
          </cell>
          <cell r="M349">
            <v>1999</v>
          </cell>
          <cell r="N349">
            <v>2500</v>
          </cell>
          <cell r="O349">
            <v>501</v>
          </cell>
          <cell r="P349">
            <v>1999</v>
          </cell>
        </row>
        <row r="350">
          <cell r="A350" t="str">
            <v>27</v>
          </cell>
          <cell r="B350" t="str">
            <v>396</v>
          </cell>
          <cell r="C350">
            <v>37165</v>
          </cell>
          <cell r="D350">
            <v>37225</v>
          </cell>
          <cell r="E350" t="str">
            <v xml:space="preserve">DE-POWER OP EQUIP </v>
          </cell>
          <cell r="F350" t="str">
            <v>GENERATOR 01</v>
          </cell>
          <cell r="H350" t="str">
            <v>ADD - Purchase Generator</v>
          </cell>
          <cell r="L350">
            <v>60</v>
          </cell>
          <cell r="M350">
            <v>1995</v>
          </cell>
          <cell r="N350">
            <v>2000</v>
          </cell>
          <cell r="O350">
            <v>5</v>
          </cell>
          <cell r="R350">
            <v>1995</v>
          </cell>
        </row>
        <row r="351">
          <cell r="H351" t="str">
            <v>Subtotal Group 27</v>
          </cell>
          <cell r="M351">
            <v>16344</v>
          </cell>
          <cell r="N351">
            <v>16600</v>
          </cell>
          <cell r="O351">
            <v>256</v>
          </cell>
        </row>
        <row r="352">
          <cell r="B352" t="str">
            <v xml:space="preserve"> </v>
          </cell>
        </row>
        <row r="353">
          <cell r="A353" t="str">
            <v>28</v>
          </cell>
          <cell r="B353" t="str">
            <v>397</v>
          </cell>
          <cell r="G353" t="str">
            <v>Communication Equipment</v>
          </cell>
        </row>
        <row r="356">
          <cell r="A356" t="str">
            <v>28S</v>
          </cell>
          <cell r="B356" t="str">
            <v>397</v>
          </cell>
          <cell r="G356" t="str">
            <v>Communication Equipment</v>
          </cell>
        </row>
        <row r="360">
          <cell r="A360" t="str">
            <v>29</v>
          </cell>
          <cell r="B360" t="str">
            <v>398</v>
          </cell>
          <cell r="G360" t="str">
            <v>Miscellaneous Equipment</v>
          </cell>
        </row>
        <row r="361">
          <cell r="H361" t="str">
            <v>Subtotal Group 29</v>
          </cell>
          <cell r="N361">
            <v>0</v>
          </cell>
        </row>
        <row r="363">
          <cell r="B363">
            <v>108</v>
          </cell>
          <cell r="G363" t="str">
            <v>Cost of Removal</v>
          </cell>
          <cell r="M363">
            <v>11514.64</v>
          </cell>
          <cell r="O363">
            <v>-11514.64</v>
          </cell>
          <cell r="P363">
            <v>540.24</v>
          </cell>
          <cell r="R363">
            <v>3785.23</v>
          </cell>
          <cell r="S363">
            <v>10344.17</v>
          </cell>
          <cell r="T363">
            <v>-3155</v>
          </cell>
        </row>
        <row r="364">
          <cell r="H364" t="str">
            <v>Blanket</v>
          </cell>
          <cell r="M364">
            <v>0</v>
          </cell>
          <cell r="N364">
            <v>20000</v>
          </cell>
          <cell r="O364">
            <v>20000</v>
          </cell>
        </row>
        <row r="365">
          <cell r="H365" t="str">
            <v>Subtotal</v>
          </cell>
          <cell r="M365">
            <v>11514.64</v>
          </cell>
          <cell r="N365">
            <v>20000</v>
          </cell>
          <cell r="O365">
            <v>8485.36</v>
          </cell>
        </row>
        <row r="367">
          <cell r="H367" t="str">
            <v>OVERHEAD</v>
          </cell>
          <cell r="M367">
            <v>170707.45</v>
          </cell>
          <cell r="N367">
            <v>-24256</v>
          </cell>
          <cell r="O367">
            <v>-194963.45</v>
          </cell>
        </row>
        <row r="368">
          <cell r="H368" t="str">
            <v>PRELIMINARY WORK</v>
          </cell>
          <cell r="M368">
            <v>8683.6</v>
          </cell>
          <cell r="O368">
            <v>-8683.6</v>
          </cell>
          <cell r="R368">
            <v>4448.2800000000007</v>
          </cell>
          <cell r="S368">
            <v>4235.32</v>
          </cell>
        </row>
        <row r="369">
          <cell r="H369" t="str">
            <v>TOTAL</v>
          </cell>
          <cell r="M369">
            <v>2197549.87</v>
          </cell>
          <cell r="N369">
            <v>2862667.9299999997</v>
          </cell>
          <cell r="O369">
            <v>665118.05999999947</v>
          </cell>
        </row>
        <row r="371">
          <cell r="M371">
            <v>0</v>
          </cell>
          <cell r="O371">
            <v>665118.05999999959</v>
          </cell>
        </row>
        <row r="372">
          <cell r="L372" t="str">
            <v>Begin</v>
          </cell>
          <cell r="M372">
            <v>1744465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put"/>
      <sheetName val="sum_macro"/>
      <sheetName val="print_macro"/>
      <sheetName val="DCFLBO Code"/>
      <sheetName val="__FDSCACHE__"/>
      <sheetName val="CasesDialog"/>
      <sheetName val="MainPrint Code"/>
      <sheetName val="AdditionalPrint Code"/>
      <sheetName val="InitialPrintDialog"/>
      <sheetName val="Sheet1"/>
    </sheetNames>
    <sheetDataSet>
      <sheetData sheetId="0" refreshError="1"/>
      <sheetData sheetId="1" refreshError="1">
        <row r="9">
          <cell r="E9" t="str">
            <v>PROJECT TIMEPIECE</v>
          </cell>
        </row>
        <row r="47">
          <cell r="K47">
            <v>121.68</v>
          </cell>
        </row>
        <row r="54">
          <cell r="K54">
            <v>95.346999999999994</v>
          </cell>
        </row>
        <row r="63">
          <cell r="K63">
            <v>34.380000000000003</v>
          </cell>
        </row>
        <row r="64">
          <cell r="K64">
            <v>14.88</v>
          </cell>
        </row>
        <row r="68">
          <cell r="K68">
            <v>1.1340563991323211</v>
          </cell>
        </row>
        <row r="69">
          <cell r="K69">
            <v>1.4778817201897638</v>
          </cell>
        </row>
        <row r="70">
          <cell r="K70">
            <v>1.8496928195173608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IRR"/>
      <sheetName val="Cases"/>
      <sheetName val="Financials"/>
      <sheetName val="PF Bal Sheets"/>
      <sheetName val="Credit Stats"/>
      <sheetName val="Schedules"/>
    </sheetNames>
    <sheetDataSet>
      <sheetData sheetId="0"/>
      <sheetData sheetId="1" refreshError="1"/>
      <sheetData sheetId="2" refreshError="1">
        <row r="4">
          <cell r="A4" t="str">
            <v>OM Case</v>
          </cell>
        </row>
      </sheetData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__FDSCACHE__"/>
      <sheetName val="Main"/>
      <sheetName val="Graph_Detail"/>
      <sheetName val="Sum"/>
      <sheetName val="AMC Multiples"/>
      <sheetName val="Summary - Detail"/>
      <sheetName val="Summary (2)"/>
      <sheetName val="Sources"/>
      <sheetName val="Summary (3)"/>
    </sheetNames>
    <sheetDataSet>
      <sheetData sheetId="0"/>
      <sheetData sheetId="1"/>
      <sheetData sheetId="2">
        <row r="5">
          <cell r="J5" t="str">
            <v/>
          </cell>
          <cell r="L5" t="str">
            <v/>
          </cell>
          <cell r="N5" t="str">
            <v/>
          </cell>
          <cell r="P5" t="str">
            <v/>
          </cell>
        </row>
        <row r="6">
          <cell r="J6" t="str">
            <v>Hasbro Inc.</v>
          </cell>
          <cell r="L6" t="str">
            <v>Carmike Cinemas</v>
          </cell>
          <cell r="N6" t="str">
            <v>Speedway Motorsports</v>
          </cell>
          <cell r="P6" t="str">
            <v xml:space="preserve">International Speedway </v>
          </cell>
        </row>
        <row r="8">
          <cell r="H8" t="str">
            <v>MAT/</v>
          </cell>
          <cell r="J8" t="str">
            <v>HAS/</v>
          </cell>
          <cell r="L8" t="str">
            <v>CKEC/</v>
          </cell>
          <cell r="N8" t="str">
            <v>TRK/</v>
          </cell>
          <cell r="P8" t="str">
            <v>ISCA/</v>
          </cell>
          <cell r="R8" t="str">
            <v>FUN /</v>
          </cell>
        </row>
        <row r="9">
          <cell r="H9">
            <v>37256</v>
          </cell>
          <cell r="J9">
            <v>37256</v>
          </cell>
          <cell r="L9">
            <v>37256</v>
          </cell>
          <cell r="N9">
            <v>37256</v>
          </cell>
          <cell r="P9">
            <v>37225</v>
          </cell>
          <cell r="R9">
            <v>37256</v>
          </cell>
        </row>
        <row r="10">
          <cell r="H10">
            <v>37256</v>
          </cell>
          <cell r="J10">
            <v>37256</v>
          </cell>
          <cell r="L10">
            <v>37346</v>
          </cell>
          <cell r="N10">
            <v>37346</v>
          </cell>
          <cell r="P10">
            <v>37315</v>
          </cell>
          <cell r="R10">
            <v>37346</v>
          </cell>
        </row>
        <row r="11">
          <cell r="H11" t="str">
            <v>#Calc</v>
          </cell>
          <cell r="J11" t="str">
            <v>#Calc</v>
          </cell>
          <cell r="L11" t="str">
            <v>#Calc</v>
          </cell>
          <cell r="N11" t="str">
            <v>#Calc</v>
          </cell>
          <cell r="P11" t="str">
            <v>#Calc</v>
          </cell>
          <cell r="R11" t="str">
            <v>#Calc</v>
          </cell>
        </row>
        <row r="12">
          <cell r="H12" t="str">
            <v>#Calc</v>
          </cell>
          <cell r="J12" t="str">
            <v>#Calc</v>
          </cell>
          <cell r="L12" t="str">
            <v>#Calc</v>
          </cell>
          <cell r="N12" t="str">
            <v>#Calc</v>
          </cell>
          <cell r="P12" t="str">
            <v>#Calc</v>
          </cell>
          <cell r="R12" t="str">
            <v>#Calc</v>
          </cell>
        </row>
        <row r="13">
          <cell r="H13" t="str">
            <v>#Calc</v>
          </cell>
          <cell r="J13" t="str">
            <v>#Calc</v>
          </cell>
          <cell r="L13">
            <v>23.47</v>
          </cell>
          <cell r="N13">
            <v>25.89</v>
          </cell>
          <cell r="P13">
            <v>39.35</v>
          </cell>
          <cell r="R13">
            <v>22.79</v>
          </cell>
        </row>
        <row r="14">
          <cell r="H14">
            <v>431.62960199999998</v>
          </cell>
          <cell r="J14">
            <v>172.75187399999999</v>
          </cell>
          <cell r="L14">
            <v>8.9912620000000008</v>
          </cell>
          <cell r="N14">
            <v>42.688620328312091</v>
          </cell>
          <cell r="P14">
            <v>53.146321</v>
          </cell>
          <cell r="R14">
            <v>51.739982194383501</v>
          </cell>
        </row>
        <row r="15">
          <cell r="H15" t="str">
            <v>NA</v>
          </cell>
          <cell r="J15" t="str">
            <v>NA</v>
          </cell>
          <cell r="L15">
            <v>211.02491914000001</v>
          </cell>
          <cell r="N15">
            <v>1105.2083803</v>
          </cell>
          <cell r="P15">
            <v>2091.3077313500003</v>
          </cell>
          <cell r="R15">
            <v>1179.15419421</v>
          </cell>
        </row>
        <row r="16">
          <cell r="H16">
            <v>1269.0999999999999</v>
          </cell>
          <cell r="J16">
            <v>1201.9769999999999</v>
          </cell>
          <cell r="L16">
            <v>433.358</v>
          </cell>
          <cell r="N16">
            <v>342.47300000000001</v>
          </cell>
          <cell r="P16">
            <v>383.63</v>
          </cell>
          <cell r="R16">
            <v>452.83299999999997</v>
          </cell>
        </row>
        <row r="17">
          <cell r="H17">
            <v>0</v>
          </cell>
          <cell r="J17">
            <v>0</v>
          </cell>
          <cell r="L17">
            <v>53.798000000000002</v>
          </cell>
          <cell r="N17">
            <v>0</v>
          </cell>
          <cell r="P17">
            <v>0</v>
          </cell>
          <cell r="R17">
            <v>0</v>
          </cell>
        </row>
        <row r="18"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</row>
        <row r="19">
          <cell r="H19">
            <v>-616.6</v>
          </cell>
          <cell r="J19">
            <v>-233.095</v>
          </cell>
          <cell r="L19">
            <v>-21.466000000000001</v>
          </cell>
          <cell r="N19">
            <v>-69.561418399999994</v>
          </cell>
          <cell r="P19">
            <v>-92.221000000000004</v>
          </cell>
          <cell r="R19">
            <v>-2.669</v>
          </cell>
        </row>
        <row r="20">
          <cell r="H20">
            <v>0</v>
          </cell>
          <cell r="J20">
            <v>0</v>
          </cell>
          <cell r="L20">
            <v>-6.702</v>
          </cell>
          <cell r="N20">
            <v>0</v>
          </cell>
          <cell r="P20">
            <v>0</v>
          </cell>
          <cell r="R20">
            <v>0</v>
          </cell>
        </row>
        <row r="21">
          <cell r="H21">
            <v>652.49999999999989</v>
          </cell>
          <cell r="J21">
            <v>968.88199999999983</v>
          </cell>
          <cell r="L21">
            <v>670.01291914000001</v>
          </cell>
          <cell r="N21">
            <v>1378.1199618999999</v>
          </cell>
          <cell r="P21">
            <v>2382.7167313500004</v>
          </cell>
          <cell r="R21">
            <v>1629.3181942099998</v>
          </cell>
        </row>
        <row r="24">
          <cell r="H24">
            <v>0.13582148581420034</v>
          </cell>
          <cell r="I24" t="str">
            <v>x</v>
          </cell>
          <cell r="J24">
            <v>0.33920413508340569</v>
          </cell>
          <cell r="K24" t="str">
            <v>x</v>
          </cell>
          <cell r="L24">
            <v>1.4144275566129547</v>
          </cell>
          <cell r="N24">
            <v>3.3906510858734347</v>
          </cell>
          <cell r="O24" t="str">
            <v>x</v>
          </cell>
          <cell r="P24">
            <v>4.4655285643202518</v>
          </cell>
          <cell r="R24">
            <v>3.3855610730485917</v>
          </cell>
        </row>
        <row r="25">
          <cell r="H25">
            <v>0.71194762684124369</v>
          </cell>
          <cell r="J25">
            <v>2.2722373358348964</v>
          </cell>
          <cell r="L25">
            <v>7.8222277641702203</v>
          </cell>
          <cell r="N25">
            <v>8.2024114770197727</v>
          </cell>
          <cell r="P25">
            <v>10.555932409856329</v>
          </cell>
          <cell r="R25">
            <v>10.720609252599026</v>
          </cell>
        </row>
        <row r="26">
          <cell r="H26">
            <v>0.94305535482006042</v>
          </cell>
          <cell r="J26">
            <v>4.6239625838165432</v>
          </cell>
          <cell r="L26">
            <v>14.484573559461278</v>
          </cell>
          <cell r="N26">
            <v>10.197796061092653</v>
          </cell>
          <cell r="P26">
            <v>13.675697247029792</v>
          </cell>
          <cell r="R26">
            <v>14.812522220898938</v>
          </cell>
        </row>
        <row r="27">
          <cell r="H27">
            <v>0.63294208943641461</v>
          </cell>
          <cell r="J27">
            <v>1.9569420319127444</v>
          </cell>
          <cell r="L27" t="str">
            <v>NA</v>
          </cell>
          <cell r="N27">
            <v>8.9721351686197917</v>
          </cell>
          <cell r="P27">
            <v>9.8622381264486769</v>
          </cell>
          <cell r="R27">
            <v>10.852715607873176</v>
          </cell>
        </row>
        <row r="28">
          <cell r="H28">
            <v>0.59248161263960764</v>
          </cell>
          <cell r="J28">
            <v>1.7224568888888887</v>
          </cell>
          <cell r="L28" t="str">
            <v>NA</v>
          </cell>
          <cell r="N28" t="str">
            <v>NA</v>
          </cell>
          <cell r="P28">
            <v>9.1890348297339006</v>
          </cell>
          <cell r="R28">
            <v>9.7145134403171944</v>
          </cell>
        </row>
        <row r="30">
          <cell r="H30" t="str">
            <v>NA</v>
          </cell>
          <cell r="I30" t="str">
            <v>x</v>
          </cell>
          <cell r="J30" t="str">
            <v>NA</v>
          </cell>
          <cell r="K30" t="str">
            <v>x</v>
          </cell>
          <cell r="L30" t="str">
            <v>NM</v>
          </cell>
          <cell r="N30">
            <v>19.32089552238806</v>
          </cell>
          <cell r="O30" t="str">
            <v>x</v>
          </cell>
          <cell r="P30">
            <v>23.848484848484851</v>
          </cell>
          <cell r="R30">
            <v>20.168141592920357</v>
          </cell>
        </row>
        <row r="31">
          <cell r="H31" t="str">
            <v>NA</v>
          </cell>
          <cell r="I31" t="str">
            <v xml:space="preserve"> </v>
          </cell>
          <cell r="J31" t="str">
            <v>NA</v>
          </cell>
          <cell r="K31" t="str">
            <v xml:space="preserve"> </v>
          </cell>
          <cell r="L31" t="str">
            <v>NA</v>
          </cell>
          <cell r="N31">
            <v>18.232394366197184</v>
          </cell>
          <cell r="O31" t="str">
            <v xml:space="preserve"> </v>
          </cell>
          <cell r="P31">
            <v>19.195121951219516</v>
          </cell>
          <cell r="R31">
            <v>16.635036496350363</v>
          </cell>
        </row>
        <row r="32">
          <cell r="H32" t="str">
            <v>NA</v>
          </cell>
          <cell r="J32" t="str">
            <v>NA</v>
          </cell>
          <cell r="L32" t="str">
            <v>NA</v>
          </cell>
          <cell r="N32">
            <v>16.490445859872612</v>
          </cell>
          <cell r="P32">
            <v>17.034632034632036</v>
          </cell>
          <cell r="R32">
            <v>15.609589041095891</v>
          </cell>
        </row>
        <row r="33">
          <cell r="H33" t="str">
            <v>NA</v>
          </cell>
          <cell r="J33" t="str">
            <v>NA</v>
          </cell>
          <cell r="L33" t="str">
            <v>NA</v>
          </cell>
          <cell r="N33" t="str">
            <v>NA</v>
          </cell>
          <cell r="P33" t="str">
            <v>NA</v>
          </cell>
          <cell r="R33" t="str">
            <v>NA</v>
          </cell>
        </row>
        <row r="36">
          <cell r="H36">
            <v>4804.1000000000004</v>
          </cell>
          <cell r="J36">
            <v>2856.3389999999999</v>
          </cell>
          <cell r="L36">
            <v>473.69900000000001</v>
          </cell>
          <cell r="N36">
            <v>406.447</v>
          </cell>
          <cell r="P36">
            <v>533.58000000000004</v>
          </cell>
          <cell r="R36">
            <v>481.25499999999994</v>
          </cell>
        </row>
        <row r="37">
          <cell r="H37">
            <v>916.5</v>
          </cell>
          <cell r="J37">
            <v>426.4</v>
          </cell>
          <cell r="L37">
            <v>85.654999999999973</v>
          </cell>
          <cell r="N37">
            <v>168.01399999999998</v>
          </cell>
          <cell r="P37">
            <v>225.72300000000001</v>
          </cell>
          <cell r="R37">
            <v>151.97999999999999</v>
          </cell>
        </row>
        <row r="38">
          <cell r="H38">
            <v>691.90000000000009</v>
          </cell>
          <cell r="J38">
            <v>209.53500000000008</v>
          </cell>
          <cell r="L38">
            <v>46.256999999999977</v>
          </cell>
          <cell r="N38">
            <v>135.13899999999998</v>
          </cell>
          <cell r="P38">
            <v>174.23</v>
          </cell>
          <cell r="R38">
            <v>109.99600000000001</v>
          </cell>
        </row>
        <row r="39">
          <cell r="H39">
            <v>351.6</v>
          </cell>
          <cell r="J39">
            <v>59.731999999999999</v>
          </cell>
          <cell r="L39">
            <v>-102.04499999999999</v>
          </cell>
          <cell r="N39">
            <v>57.591999999999999</v>
          </cell>
          <cell r="P39">
            <v>62.68</v>
          </cell>
          <cell r="R39">
            <v>57.893999999999998</v>
          </cell>
        </row>
        <row r="40">
          <cell r="H40">
            <v>0.81</v>
          </cell>
          <cell r="J40">
            <v>0.35</v>
          </cell>
          <cell r="L40">
            <v>-4.66</v>
          </cell>
          <cell r="N40">
            <v>1.34</v>
          </cell>
          <cell r="P40">
            <v>1.65</v>
          </cell>
          <cell r="R40">
            <v>1.1299999999999999</v>
          </cell>
        </row>
        <row r="41">
          <cell r="H41">
            <v>224.59999999999991</v>
          </cell>
          <cell r="J41">
            <v>216.8649999999999</v>
          </cell>
          <cell r="L41">
            <v>39.397999999999996</v>
          </cell>
          <cell r="N41">
            <v>32.875</v>
          </cell>
          <cell r="P41">
            <v>51.492999999999995</v>
          </cell>
          <cell r="R41">
            <v>41.983999999999995</v>
          </cell>
        </row>
        <row r="44">
          <cell r="H44">
            <v>19.077454674132511</v>
          </cell>
          <cell r="J44">
            <v>14.928200049083809</v>
          </cell>
          <cell r="L44">
            <v>18.082157657077587</v>
          </cell>
          <cell r="N44">
            <v>41.337246922723011</v>
          </cell>
          <cell r="P44">
            <v>42.303497132576183</v>
          </cell>
          <cell r="R44">
            <v>31.579931637073905</v>
          </cell>
        </row>
        <row r="45">
          <cell r="H45">
            <v>14.402281384650612</v>
          </cell>
          <cell r="J45">
            <v>7.3357889242138308</v>
          </cell>
          <cell r="L45">
            <v>9.7650617797377599</v>
          </cell>
          <cell r="N45">
            <v>33.248861475173882</v>
          </cell>
          <cell r="P45">
            <v>32.653022976873189</v>
          </cell>
          <cell r="R45">
            <v>22.856074222605486</v>
          </cell>
        </row>
        <row r="46">
          <cell r="H46">
            <v>7.3187485689307055</v>
          </cell>
          <cell r="J46">
            <v>2.0912083614725003</v>
          </cell>
          <cell r="L46" t="str">
            <v>NM</v>
          </cell>
          <cell r="N46">
            <v>14.169621131414429</v>
          </cell>
          <cell r="P46">
            <v>11.747066981521046</v>
          </cell>
          <cell r="R46">
            <v>12.029797093017217</v>
          </cell>
        </row>
        <row r="49">
          <cell r="H49">
            <v>2.2445356169691788E-2</v>
          </cell>
          <cell r="I49" t="str">
            <v>%</v>
          </cell>
          <cell r="J49">
            <v>-0.21458874434893049</v>
          </cell>
          <cell r="K49" t="str">
            <v>%</v>
          </cell>
          <cell r="L49" t="str">
            <v>NA</v>
          </cell>
          <cell r="N49">
            <v>8.9226128370105462E-2</v>
          </cell>
          <cell r="O49" t="str">
            <v>%</v>
          </cell>
          <cell r="P49">
            <v>0.33012666667669777</v>
          </cell>
          <cell r="R49">
            <v>4.3850124803518797E-2</v>
          </cell>
        </row>
        <row r="50">
          <cell r="H50">
            <v>2.942693895753723E-2</v>
          </cell>
          <cell r="J50">
            <v>8.0286230871305042E-2</v>
          </cell>
          <cell r="L50">
            <v>-1</v>
          </cell>
          <cell r="N50">
            <v>-1</v>
          </cell>
          <cell r="P50">
            <v>5.6751804387453531E-2</v>
          </cell>
          <cell r="R50">
            <v>1.3470133973472409E-2</v>
          </cell>
        </row>
        <row r="51">
          <cell r="H51">
            <v>2.0006477312108251</v>
          </cell>
          <cell r="J51">
            <v>-23.680847397785556</v>
          </cell>
          <cell r="L51" t="str">
            <v>NA</v>
          </cell>
          <cell r="N51">
            <v>7.9542959755253051</v>
          </cell>
          <cell r="P51">
            <v>36.044560678204896</v>
          </cell>
          <cell r="R51">
            <v>0.28509713152236049</v>
          </cell>
        </row>
        <row r="52">
          <cell r="H52">
            <v>4.3932508648301782</v>
          </cell>
          <cell r="J52">
            <v>-30.084400175318983</v>
          </cell>
          <cell r="L52" t="str">
            <v>NA</v>
          </cell>
          <cell r="N52">
            <v>7.9891245067934102</v>
          </cell>
          <cell r="P52">
            <v>32.885719191029935</v>
          </cell>
          <cell r="R52">
            <v>-2.8397734086669679</v>
          </cell>
        </row>
        <row r="53">
          <cell r="H53">
            <v>80.109174330347571</v>
          </cell>
          <cell r="J53">
            <v>-43.775366597196175</v>
          </cell>
          <cell r="L53" t="str">
            <v>NA</v>
          </cell>
          <cell r="N53">
            <v>17.884169268356121</v>
          </cell>
          <cell r="P53">
            <v>27.316011075390101</v>
          </cell>
          <cell r="R53">
            <v>-17.858427754227812</v>
          </cell>
        </row>
        <row r="54">
          <cell r="H54">
            <v>0.11799999999999999</v>
          </cell>
          <cell r="J54">
            <v>9.4E-2</v>
          </cell>
          <cell r="L54" t="str">
            <v>NA</v>
          </cell>
          <cell r="N54">
            <v>0.18</v>
          </cell>
          <cell r="P54">
            <v>0.19</v>
          </cell>
          <cell r="R54">
            <v>0.08</v>
          </cell>
        </row>
        <row r="57">
          <cell r="H57">
            <v>616.6</v>
          </cell>
          <cell r="J57">
            <v>233.095</v>
          </cell>
          <cell r="L57">
            <v>21.466000000000001</v>
          </cell>
          <cell r="N57">
            <v>69.561418399999994</v>
          </cell>
          <cell r="P57">
            <v>92.221000000000004</v>
          </cell>
          <cell r="R57">
            <v>2.669</v>
          </cell>
        </row>
        <row r="59">
          <cell r="H59">
            <v>1269.0999999999999</v>
          </cell>
          <cell r="J59">
            <v>1201.9769999999999</v>
          </cell>
          <cell r="L59">
            <v>433.358</v>
          </cell>
          <cell r="N59">
            <v>342.47300000000001</v>
          </cell>
          <cell r="P59">
            <v>383.63</v>
          </cell>
          <cell r="R59">
            <v>452.83299999999997</v>
          </cell>
        </row>
        <row r="60">
          <cell r="H60">
            <v>0</v>
          </cell>
          <cell r="J60">
            <v>0</v>
          </cell>
          <cell r="L60">
            <v>53.798000000000002</v>
          </cell>
          <cell r="N60">
            <v>0</v>
          </cell>
          <cell r="P60">
            <v>0</v>
          </cell>
          <cell r="R60">
            <v>0</v>
          </cell>
        </row>
        <row r="61">
          <cell r="H61">
            <v>1738.5</v>
          </cell>
          <cell r="J61">
            <v>1352.864</v>
          </cell>
          <cell r="L61">
            <v>0</v>
          </cell>
          <cell r="N61">
            <v>0</v>
          </cell>
          <cell r="P61">
            <v>0</v>
          </cell>
          <cell r="R61">
            <v>0</v>
          </cell>
        </row>
        <row r="62">
          <cell r="H62">
            <v>3007.6</v>
          </cell>
          <cell r="J62">
            <v>2554.8409999999999</v>
          </cell>
          <cell r="L62">
            <v>487.15600000000001</v>
          </cell>
          <cell r="N62">
            <v>342.47300000000001</v>
          </cell>
          <cell r="P62">
            <v>383.63</v>
          </cell>
          <cell r="R62">
            <v>452.83299999999997</v>
          </cell>
        </row>
        <row r="66">
          <cell r="H66">
            <v>47.773776565850007</v>
          </cell>
          <cell r="I66" t="str">
            <v>%</v>
          </cell>
          <cell r="J66">
            <v>57.166043666385534</v>
          </cell>
          <cell r="K66" t="str">
            <v>%</v>
          </cell>
          <cell r="L66">
            <v>58.11554874712769</v>
          </cell>
          <cell r="N66">
            <v>55.374882525658521</v>
          </cell>
          <cell r="O66" t="str">
            <v>%</v>
          </cell>
          <cell r="P66">
            <v>57.509224044956575</v>
          </cell>
          <cell r="R66">
            <v>44.629716546256098</v>
          </cell>
        </row>
        <row r="67">
          <cell r="H67">
            <v>44.985248210791475</v>
          </cell>
          <cell r="J67">
            <v>55.79936708108729</v>
          </cell>
          <cell r="L67" t="str">
            <v>NA</v>
          </cell>
          <cell r="N67">
            <v>54.371332526100993</v>
          </cell>
          <cell r="P67">
            <v>56.420316508866328</v>
          </cell>
          <cell r="R67">
            <v>45.98705912205024</v>
          </cell>
        </row>
        <row r="68">
          <cell r="H68">
            <v>47.481791930784304</v>
          </cell>
          <cell r="J68">
            <v>59.873901976318578</v>
          </cell>
          <cell r="L68" t="str">
            <v>NA</v>
          </cell>
          <cell r="N68">
            <v>54.993968370956203</v>
          </cell>
          <cell r="P68">
            <v>58.91029117373342</v>
          </cell>
          <cell r="R68">
            <v>46.276150054451925</v>
          </cell>
        </row>
        <row r="69">
          <cell r="H69">
            <v>46.746938902475257</v>
          </cell>
          <cell r="I69" t="str">
            <v>%</v>
          </cell>
          <cell r="J69">
            <v>57.613104241263805</v>
          </cell>
          <cell r="K69" t="str">
            <v>%</v>
          </cell>
          <cell r="L69">
            <v>58.11554874712769</v>
          </cell>
          <cell r="N69">
            <v>54.913394474238572</v>
          </cell>
          <cell r="O69" t="str">
            <v>%</v>
          </cell>
          <cell r="P69">
            <v>57.61327724251877</v>
          </cell>
          <cell r="R69">
            <v>45.630975240919419</v>
          </cell>
        </row>
        <row r="72">
          <cell r="H72">
            <v>19.077454674132511</v>
          </cell>
          <cell r="I72" t="str">
            <v>%</v>
          </cell>
          <cell r="J72">
            <v>14.928200049083809</v>
          </cell>
          <cell r="K72" t="str">
            <v>%</v>
          </cell>
          <cell r="L72">
            <v>16.338549075391175</v>
          </cell>
          <cell r="N72">
            <v>39.363063412251307</v>
          </cell>
          <cell r="O72" t="str">
            <v>%</v>
          </cell>
          <cell r="P72">
            <v>42.381222682636093</v>
          </cell>
          <cell r="R72">
            <v>31.996245201736595</v>
          </cell>
        </row>
        <row r="73">
          <cell r="H73">
            <v>15.047124782277807</v>
          </cell>
          <cell r="J73">
            <v>7.0727434275582475</v>
          </cell>
          <cell r="L73" t="str">
            <v>NA</v>
          </cell>
          <cell r="N73">
            <v>39.188025865305107</v>
          </cell>
          <cell r="P73">
            <v>39.384692232590872</v>
          </cell>
          <cell r="R73">
            <v>34.44874397361076</v>
          </cell>
        </row>
        <row r="74">
          <cell r="H74">
            <v>19.168793752135237</v>
          </cell>
          <cell r="J74">
            <v>15.810099703161162</v>
          </cell>
          <cell r="L74" t="str">
            <v>NA</v>
          </cell>
          <cell r="N74">
            <v>40.072379548525475</v>
          </cell>
          <cell r="P74">
            <v>40.513253124979066</v>
          </cell>
          <cell r="R74">
            <v>34.665902589263489</v>
          </cell>
        </row>
        <row r="75">
          <cell r="H75">
            <v>17.76445773618185</v>
          </cell>
          <cell r="I75" t="str">
            <v>%</v>
          </cell>
          <cell r="J75">
            <v>12.603681059934408</v>
          </cell>
          <cell r="K75" t="str">
            <v>%</v>
          </cell>
          <cell r="L75">
            <v>16.338549075391175</v>
          </cell>
          <cell r="N75">
            <v>39.541156275360628</v>
          </cell>
          <cell r="O75" t="str">
            <v>%</v>
          </cell>
          <cell r="P75">
            <v>40.759722680068677</v>
          </cell>
          <cell r="R75">
            <v>33.703630588203616</v>
          </cell>
        </row>
        <row r="78">
          <cell r="H78">
            <v>14.402281384650612</v>
          </cell>
          <cell r="I78" t="str">
            <v>%</v>
          </cell>
          <cell r="J78">
            <v>7.3357889242138308</v>
          </cell>
          <cell r="K78" t="str">
            <v>%</v>
          </cell>
          <cell r="L78">
            <v>7.1136885873727902</v>
          </cell>
          <cell r="N78">
            <v>30.553947934309939</v>
          </cell>
          <cell r="O78" t="str">
            <v>%</v>
          </cell>
          <cell r="P78">
            <v>32.060888157272331</v>
          </cell>
          <cell r="R78">
            <v>23.094104631476615</v>
          </cell>
        </row>
        <row r="79">
          <cell r="H79">
            <v>9.5569281160237072</v>
          </cell>
          <cell r="J79">
            <v>9.6086438187431233E-2</v>
          </cell>
          <cell r="L79" t="str">
            <v>NA</v>
          </cell>
          <cell r="N79">
            <v>30.384112764149858</v>
          </cell>
          <cell r="P79">
            <v>27.771041936289532</v>
          </cell>
          <cell r="R79">
            <v>26.081155375116293</v>
          </cell>
        </row>
        <row r="80">
          <cell r="H80">
            <v>13.815501720164763</v>
          </cell>
          <cell r="J80">
            <v>9.2574823445518337</v>
          </cell>
          <cell r="L80" t="str">
            <v>NA</v>
          </cell>
          <cell r="N80">
            <v>31.084464854343235</v>
          </cell>
          <cell r="P80">
            <v>32.122173793694458</v>
          </cell>
          <cell r="R80">
            <v>26.656331834858822</v>
          </cell>
        </row>
        <row r="81">
          <cell r="H81">
            <v>12.59157040694636</v>
          </cell>
          <cell r="I81" t="str">
            <v>%</v>
          </cell>
          <cell r="J81">
            <v>5.5631192356510324</v>
          </cell>
          <cell r="K81" t="str">
            <v>%</v>
          </cell>
          <cell r="L81">
            <v>7.1136885873727902</v>
          </cell>
          <cell r="N81">
            <v>30.674175184267678</v>
          </cell>
          <cell r="O81" t="str">
            <v>%</v>
          </cell>
          <cell r="P81">
            <v>30.651367962418774</v>
          </cell>
          <cell r="R81">
            <v>25.277197280483907</v>
          </cell>
        </row>
        <row r="84">
          <cell r="H84">
            <v>7.3187485689307055</v>
          </cell>
          <cell r="I84" t="str">
            <v>%</v>
          </cell>
          <cell r="J84">
            <v>2.0912083614725003</v>
          </cell>
          <cell r="K84" t="str">
            <v>%</v>
          </cell>
          <cell r="L84">
            <v>-27.734325418535942</v>
          </cell>
          <cell r="N84">
            <v>15.289451467831942</v>
          </cell>
          <cell r="O84" t="str">
            <v>%</v>
          </cell>
          <cell r="P84">
            <v>11.859756674424325</v>
          </cell>
          <cell r="R84">
            <v>12.130596577099082</v>
          </cell>
        </row>
        <row r="85">
          <cell r="H85">
            <v>6.2805919216983845</v>
          </cell>
          <cell r="J85">
            <v>-3.8189276288776846</v>
          </cell>
          <cell r="L85" t="str">
            <v>NA</v>
          </cell>
          <cell r="N85">
            <v>13.585212406540274</v>
          </cell>
          <cell r="P85">
            <v>9.4017210453420521</v>
          </cell>
          <cell r="R85">
            <v>16.452254081028503</v>
          </cell>
        </row>
        <row r="86">
          <cell r="H86">
            <v>2.3585515363976421</v>
          </cell>
          <cell r="J86">
            <v>4.0807339719002886</v>
          </cell>
          <cell r="L86" t="str">
            <v>NA</v>
          </cell>
          <cell r="N86">
            <v>13.053201172939247</v>
          </cell>
          <cell r="P86">
            <v>12.944811563929004</v>
          </cell>
          <cell r="R86">
            <v>19.589909612078511</v>
          </cell>
        </row>
        <row r="87">
          <cell r="H87">
            <v>5.3192973423422432</v>
          </cell>
          <cell r="I87" t="str">
            <v>%</v>
          </cell>
          <cell r="J87">
            <v>0.78433823483170151</v>
          </cell>
          <cell r="K87" t="str">
            <v>%</v>
          </cell>
          <cell r="L87">
            <v>-27.734325418535942</v>
          </cell>
          <cell r="N87">
            <v>13.975955015770488</v>
          </cell>
          <cell r="O87" t="str">
            <v>%</v>
          </cell>
          <cell r="P87">
            <v>11.402096427898462</v>
          </cell>
          <cell r="R87">
            <v>16.057586756735365</v>
          </cell>
        </row>
        <row r="92">
          <cell r="H92">
            <v>4804.1000000000004</v>
          </cell>
          <cell r="J92">
            <v>2856.3389999999999</v>
          </cell>
          <cell r="L92">
            <v>473.69900000000001</v>
          </cell>
          <cell r="N92">
            <v>406.447</v>
          </cell>
          <cell r="P92">
            <v>533.58000000000004</v>
          </cell>
          <cell r="R92">
            <v>481.25499999999994</v>
          </cell>
        </row>
        <row r="93">
          <cell r="H93">
            <v>4804.1000000000004</v>
          </cell>
          <cell r="J93">
            <v>2856.3389999999999</v>
          </cell>
          <cell r="L93">
            <v>456.95</v>
          </cell>
          <cell r="N93">
            <v>376.678</v>
          </cell>
          <cell r="P93">
            <v>528.51</v>
          </cell>
          <cell r="R93">
            <v>477.25599999999997</v>
          </cell>
        </row>
        <row r="94">
          <cell r="H94">
            <v>4669.942</v>
          </cell>
          <cell r="J94">
            <v>3787.2150000000001</v>
          </cell>
          <cell r="L94">
            <v>0</v>
          </cell>
          <cell r="N94">
            <v>354.29700000000003</v>
          </cell>
          <cell r="P94">
            <v>440.43</v>
          </cell>
          <cell r="R94">
            <v>472.92</v>
          </cell>
        </row>
        <row r="95">
          <cell r="H95">
            <v>4595.49</v>
          </cell>
          <cell r="J95">
            <v>4630.3680000000004</v>
          </cell>
          <cell r="L95">
            <v>0</v>
          </cell>
          <cell r="N95">
            <v>317.49299999999999</v>
          </cell>
          <cell r="P95">
            <v>298.72199999999998</v>
          </cell>
          <cell r="R95">
            <v>438.00099999999998</v>
          </cell>
        </row>
        <row r="97">
          <cell r="H97" t="str">
            <v>NA</v>
          </cell>
          <cell r="J97" t="str">
            <v>NA</v>
          </cell>
          <cell r="L97" t="str">
            <v>NA</v>
          </cell>
          <cell r="N97" t="str">
            <v>NA</v>
          </cell>
          <cell r="P97" t="str">
            <v>NA</v>
          </cell>
          <cell r="R97" t="str">
            <v>NA</v>
          </cell>
        </row>
        <row r="98">
          <cell r="H98">
            <v>2295.1000000000004</v>
          </cell>
          <cell r="J98">
            <v>1632.856</v>
          </cell>
          <cell r="L98">
            <v>265.55899999999997</v>
          </cell>
          <cell r="N98">
            <v>208.58500000000001</v>
          </cell>
          <cell r="P98">
            <v>303.94200000000001</v>
          </cell>
          <cell r="R98">
            <v>212.99799999999999</v>
          </cell>
        </row>
        <row r="99">
          <cell r="H99">
            <v>2100.7849999999999</v>
          </cell>
          <cell r="J99">
            <v>2113.2420000000002</v>
          </cell>
          <cell r="L99">
            <v>0</v>
          </cell>
          <cell r="N99">
            <v>192.63600000000002</v>
          </cell>
          <cell r="P99">
            <v>248.49199999999999</v>
          </cell>
          <cell r="R99">
            <v>217.482</v>
          </cell>
        </row>
        <row r="100">
          <cell r="H100">
            <v>2182.0209999999997</v>
          </cell>
          <cell r="J100">
            <v>2772.3819974628232</v>
          </cell>
          <cell r="L100">
            <v>0</v>
          </cell>
          <cell r="N100">
            <v>174.60199999999998</v>
          </cell>
          <cell r="P100">
            <v>175.97799999999995</v>
          </cell>
          <cell r="R100">
            <v>202.68999999999997</v>
          </cell>
        </row>
        <row r="103">
          <cell r="H103">
            <v>916.5</v>
          </cell>
          <cell r="J103">
            <v>426.4</v>
          </cell>
          <cell r="L103">
            <v>85.654999999999973</v>
          </cell>
          <cell r="N103">
            <v>168.01399999999998</v>
          </cell>
          <cell r="P103">
            <v>225.72300000000001</v>
          </cell>
          <cell r="R103">
            <v>151.97999999999999</v>
          </cell>
        </row>
        <row r="104">
          <cell r="H104">
            <v>916.5</v>
          </cell>
          <cell r="J104">
            <v>426.4</v>
          </cell>
          <cell r="L104">
            <v>74.658999999999963</v>
          </cell>
          <cell r="N104">
            <v>148.27199999999999</v>
          </cell>
          <cell r="P104">
            <v>223.989</v>
          </cell>
          <cell r="R104">
            <v>152.70400000000001</v>
          </cell>
        </row>
        <row r="105">
          <cell r="H105">
            <v>702.69199999999989</v>
          </cell>
          <cell r="J105">
            <v>267.86000000000013</v>
          </cell>
          <cell r="L105">
            <v>0</v>
          </cell>
          <cell r="N105">
            <v>138.84200000000004</v>
          </cell>
          <cell r="P105">
            <v>173.46199999999999</v>
          </cell>
          <cell r="R105">
            <v>162.91499999999999</v>
          </cell>
        </row>
        <row r="106">
          <cell r="H106">
            <v>880.89999999999964</v>
          </cell>
          <cell r="J106">
            <v>732.06579742326949</v>
          </cell>
          <cell r="L106">
            <v>0</v>
          </cell>
          <cell r="N106">
            <v>127.22699999999998</v>
          </cell>
          <cell r="P106">
            <v>121.02199999999995</v>
          </cell>
          <cell r="R106">
            <v>151.83699999999996</v>
          </cell>
        </row>
        <row r="109">
          <cell r="H109">
            <v>691.90000000000009</v>
          </cell>
          <cell r="J109">
            <v>209.53500000000008</v>
          </cell>
          <cell r="L109">
            <v>46.256999999999977</v>
          </cell>
          <cell r="N109">
            <v>135.13899999999998</v>
          </cell>
          <cell r="P109">
            <v>174.23</v>
          </cell>
          <cell r="R109">
            <v>109.99600000000001</v>
          </cell>
        </row>
        <row r="110">
          <cell r="H110">
            <v>691.90000000000009</v>
          </cell>
          <cell r="J110">
            <v>209.53500000000008</v>
          </cell>
          <cell r="L110">
            <v>32.505999999999965</v>
          </cell>
          <cell r="N110">
            <v>115.08999999999999</v>
          </cell>
          <cell r="P110">
            <v>169.44499999999999</v>
          </cell>
          <cell r="R110">
            <v>110.21800000000002</v>
          </cell>
        </row>
        <row r="111">
          <cell r="H111">
            <v>446.30299999999988</v>
          </cell>
          <cell r="J111">
            <v>3.6390000000001237</v>
          </cell>
          <cell r="L111">
            <v>0</v>
          </cell>
          <cell r="N111">
            <v>107.65000000000003</v>
          </cell>
          <cell r="P111">
            <v>122.31199999999998</v>
          </cell>
          <cell r="R111">
            <v>123.34299999999999</v>
          </cell>
        </row>
        <row r="112">
          <cell r="H112">
            <v>634.88999999999965</v>
          </cell>
          <cell r="J112">
            <v>428.65550008777791</v>
          </cell>
          <cell r="L112">
            <v>0</v>
          </cell>
          <cell r="N112">
            <v>98.690999999999974</v>
          </cell>
          <cell r="P112">
            <v>95.955999999999946</v>
          </cell>
          <cell r="R112">
            <v>116.75499999999997</v>
          </cell>
        </row>
        <row r="115">
          <cell r="H115">
            <v>351.6</v>
          </cell>
          <cell r="J115">
            <v>59.731999999999999</v>
          </cell>
          <cell r="L115">
            <v>-102.04499999999999</v>
          </cell>
          <cell r="N115">
            <v>57.591999999999999</v>
          </cell>
          <cell r="P115">
            <v>62.68</v>
          </cell>
          <cell r="R115">
            <v>57.893999999999998</v>
          </cell>
        </row>
        <row r="116">
          <cell r="H116">
            <v>351.6</v>
          </cell>
          <cell r="J116">
            <v>59.731999999999999</v>
          </cell>
          <cell r="L116">
            <v>-126.732</v>
          </cell>
          <cell r="N116">
            <v>57.591999999999999</v>
          </cell>
          <cell r="P116">
            <v>62.68</v>
          </cell>
          <cell r="R116">
            <v>57.893999999999998</v>
          </cell>
        </row>
        <row r="117">
          <cell r="H117">
            <v>293.3</v>
          </cell>
          <cell r="J117">
            <v>-144.631</v>
          </cell>
          <cell r="L117">
            <v>0</v>
          </cell>
          <cell r="N117">
            <v>48.131999999999998</v>
          </cell>
          <cell r="P117">
            <v>41.408000000000001</v>
          </cell>
          <cell r="R117">
            <v>77.805999999999997</v>
          </cell>
        </row>
        <row r="118">
          <cell r="H118">
            <v>108.387</v>
          </cell>
          <cell r="J118">
            <v>188.953</v>
          </cell>
          <cell r="L118">
            <v>0</v>
          </cell>
          <cell r="N118">
            <v>41.442999999999998</v>
          </cell>
          <cell r="P118">
            <v>38.668999999999997</v>
          </cell>
          <cell r="R118">
            <v>85.804000000000002</v>
          </cell>
        </row>
        <row r="121">
          <cell r="H121">
            <v>0.81</v>
          </cell>
          <cell r="J121">
            <v>0.35</v>
          </cell>
          <cell r="L121">
            <v>-4.66</v>
          </cell>
          <cell r="N121">
            <v>1.34</v>
          </cell>
          <cell r="P121">
            <v>1.65</v>
          </cell>
          <cell r="R121">
            <v>1.1299999999999999</v>
          </cell>
        </row>
        <row r="122">
          <cell r="H122">
            <v>0.81</v>
          </cell>
          <cell r="J122">
            <v>0.35</v>
          </cell>
          <cell r="L122">
            <v>-4.83</v>
          </cell>
          <cell r="N122">
            <v>1.34</v>
          </cell>
          <cell r="P122">
            <v>1.65</v>
          </cell>
          <cell r="R122">
            <v>1.1299999999999999</v>
          </cell>
        </row>
        <row r="123">
          <cell r="H123">
            <v>0.69</v>
          </cell>
          <cell r="J123">
            <v>-0.82</v>
          </cell>
          <cell r="L123">
            <v>0</v>
          </cell>
          <cell r="N123">
            <v>1.1299999999999999</v>
          </cell>
          <cell r="P123">
            <v>0.95</v>
          </cell>
          <cell r="R123">
            <v>1.5</v>
          </cell>
        </row>
        <row r="124">
          <cell r="H124">
            <v>0.25</v>
          </cell>
          <cell r="J124">
            <v>0.93</v>
          </cell>
          <cell r="L124">
            <v>0</v>
          </cell>
          <cell r="N124">
            <v>0.97</v>
          </cell>
          <cell r="P124">
            <v>1.22</v>
          </cell>
          <cell r="R124">
            <v>1.63</v>
          </cell>
        </row>
        <row r="127">
          <cell r="H127">
            <v>1.01</v>
          </cell>
          <cell r="J127">
            <v>0.75</v>
          </cell>
          <cell r="L127">
            <v>0</v>
          </cell>
          <cell r="N127">
            <v>1.42</v>
          </cell>
          <cell r="P127">
            <v>2.0499999999999998</v>
          </cell>
          <cell r="R127">
            <v>1.37</v>
          </cell>
        </row>
        <row r="128">
          <cell r="H128">
            <v>1.18</v>
          </cell>
          <cell r="J128">
            <v>1</v>
          </cell>
          <cell r="L128">
            <v>0</v>
          </cell>
          <cell r="N128">
            <v>1.57</v>
          </cell>
          <cell r="P128">
            <v>2.31</v>
          </cell>
          <cell r="R128">
            <v>1.46</v>
          </cell>
        </row>
        <row r="146">
          <cell r="J146" t="str">
            <v>Hasbro Inc.</v>
          </cell>
          <cell r="L146" t="str">
            <v>Carmike Cinemas</v>
          </cell>
          <cell r="N146" t="str">
            <v>Speedway Motorsports</v>
          </cell>
          <cell r="P146" t="str">
            <v xml:space="preserve">International Speedway </v>
          </cell>
        </row>
        <row r="147">
          <cell r="J147" t="str">
            <v>HAS</v>
          </cell>
          <cell r="L147" t="str">
            <v>CKEC</v>
          </cell>
          <cell r="N147" t="str">
            <v>TRK</v>
          </cell>
          <cell r="P147" t="str">
            <v>ISCA</v>
          </cell>
        </row>
        <row r="149">
          <cell r="J149" t="str">
            <v>#Calc</v>
          </cell>
          <cell r="L149">
            <v>23.47</v>
          </cell>
          <cell r="N149">
            <v>25.89</v>
          </cell>
          <cell r="P149">
            <v>39.35</v>
          </cell>
        </row>
        <row r="150">
          <cell r="J150" t="str">
            <v>#Calc</v>
          </cell>
          <cell r="L150" t="str">
            <v>#Calc</v>
          </cell>
          <cell r="N150" t="str">
            <v>#Calc</v>
          </cell>
          <cell r="P150" t="str">
            <v>#Calc</v>
          </cell>
        </row>
        <row r="151">
          <cell r="J151" t="str">
            <v>#Calc</v>
          </cell>
          <cell r="L151" t="str">
            <v>#Calc</v>
          </cell>
          <cell r="N151" t="str">
            <v>#Calc</v>
          </cell>
          <cell r="P151" t="str">
            <v>#Calc</v>
          </cell>
        </row>
        <row r="152">
          <cell r="J152">
            <v>37256</v>
          </cell>
          <cell r="L152">
            <v>37256</v>
          </cell>
          <cell r="N152">
            <v>37256</v>
          </cell>
          <cell r="P152">
            <v>37225</v>
          </cell>
        </row>
        <row r="153">
          <cell r="J153">
            <v>37256</v>
          </cell>
          <cell r="L153">
            <v>37346</v>
          </cell>
          <cell r="N153">
            <v>37346</v>
          </cell>
          <cell r="P153">
            <v>37315</v>
          </cell>
        </row>
        <row r="156">
          <cell r="J156" t="str">
            <v>First Call</v>
          </cell>
          <cell r="L156" t="str">
            <v>First Call</v>
          </cell>
          <cell r="N156" t="str">
            <v>First Call</v>
          </cell>
          <cell r="P156" t="str">
            <v>First Call</v>
          </cell>
        </row>
        <row r="157">
          <cell r="J157">
            <v>9.4E-2</v>
          </cell>
          <cell r="L157" t="str">
            <v>NA</v>
          </cell>
          <cell r="N157">
            <v>0.18</v>
          </cell>
          <cell r="P157">
            <v>0.19</v>
          </cell>
        </row>
        <row r="159">
          <cell r="J159">
            <v>0.75</v>
          </cell>
          <cell r="N159">
            <v>1.42</v>
          </cell>
          <cell r="P159">
            <v>2.0499999999999998</v>
          </cell>
        </row>
        <row r="160">
          <cell r="J160">
            <v>1</v>
          </cell>
          <cell r="N160">
            <v>1.57</v>
          </cell>
          <cell r="P160">
            <v>2.31</v>
          </cell>
        </row>
        <row r="162">
          <cell r="J162">
            <v>3151.8</v>
          </cell>
          <cell r="N162">
            <v>358.8</v>
          </cell>
          <cell r="P162">
            <v>557.9</v>
          </cell>
        </row>
        <row r="163">
          <cell r="J163">
            <v>3333.4</v>
          </cell>
          <cell r="P163">
            <v>590.20000000000005</v>
          </cell>
        </row>
        <row r="165">
          <cell r="J165">
            <v>495.1</v>
          </cell>
          <cell r="N165">
            <v>153.6</v>
          </cell>
          <cell r="P165">
            <v>241.6</v>
          </cell>
        </row>
        <row r="166">
          <cell r="J166">
            <v>562.5</v>
          </cell>
          <cell r="P166">
            <v>259.3</v>
          </cell>
        </row>
        <row r="169">
          <cell r="J169">
            <v>172.75187399999999</v>
          </cell>
          <cell r="L169">
            <v>8.9912620000000008</v>
          </cell>
          <cell r="N169">
            <v>41.881270000000001</v>
          </cell>
          <cell r="P169">
            <v>53.146321</v>
          </cell>
        </row>
        <row r="170">
          <cell r="J170">
            <v>0</v>
          </cell>
          <cell r="L170">
            <v>0</v>
          </cell>
          <cell r="N170">
            <v>0.80735032831208953</v>
          </cell>
          <cell r="P170">
            <v>0</v>
          </cell>
        </row>
        <row r="171">
          <cell r="J171">
            <v>172.75187399999999</v>
          </cell>
          <cell r="L171">
            <v>8.9912620000000008</v>
          </cell>
          <cell r="N171">
            <v>42.688620328312091</v>
          </cell>
          <cell r="P171">
            <v>53.146321</v>
          </cell>
        </row>
        <row r="174">
          <cell r="J174">
            <v>233.095</v>
          </cell>
          <cell r="L174">
            <v>21.466000000000001</v>
          </cell>
          <cell r="N174">
            <v>69.561418399999994</v>
          </cell>
          <cell r="P174">
            <v>92.221000000000004</v>
          </cell>
        </row>
        <row r="175">
          <cell r="J175">
            <v>0</v>
          </cell>
          <cell r="L175">
            <v>6.702</v>
          </cell>
          <cell r="N175">
            <v>0</v>
          </cell>
          <cell r="P175">
            <v>0</v>
          </cell>
        </row>
        <row r="176">
          <cell r="J176">
            <v>1201.9769999999999</v>
          </cell>
          <cell r="L176">
            <v>433.358</v>
          </cell>
          <cell r="N176">
            <v>342.47300000000001</v>
          </cell>
          <cell r="P176">
            <v>383.63</v>
          </cell>
        </row>
        <row r="177">
          <cell r="J177">
            <v>0</v>
          </cell>
          <cell r="L177">
            <v>0</v>
          </cell>
          <cell r="N177">
            <v>0</v>
          </cell>
          <cell r="P177">
            <v>0</v>
          </cell>
        </row>
        <row r="178">
          <cell r="J178">
            <v>0</v>
          </cell>
          <cell r="L178">
            <v>53.798000000000002</v>
          </cell>
          <cell r="N178">
            <v>0</v>
          </cell>
        </row>
        <row r="179">
          <cell r="J179">
            <v>1352.864</v>
          </cell>
        </row>
        <row r="183">
          <cell r="L183">
            <v>116.453</v>
          </cell>
          <cell r="N183">
            <v>96.567999999999998</v>
          </cell>
          <cell r="P183">
            <v>125.759</v>
          </cell>
        </row>
        <row r="184">
          <cell r="L184">
            <v>99.703999999999994</v>
          </cell>
          <cell r="N184">
            <v>66.799000000000007</v>
          </cell>
          <cell r="P184">
            <v>120.68899999999999</v>
          </cell>
        </row>
        <row r="185">
          <cell r="J185">
            <v>2856.3389999999999</v>
          </cell>
          <cell r="L185">
            <v>456.95</v>
          </cell>
          <cell r="N185">
            <v>376.678</v>
          </cell>
          <cell r="P185">
            <v>528.51</v>
          </cell>
        </row>
        <row r="186">
          <cell r="J186">
            <v>3787.2150000000001</v>
          </cell>
          <cell r="N186">
            <v>354.29700000000003</v>
          </cell>
          <cell r="P186">
            <v>440.43</v>
          </cell>
        </row>
        <row r="187">
          <cell r="J187">
            <v>4630.3680000000004</v>
          </cell>
          <cell r="N187">
            <v>317.49299999999999</v>
          </cell>
          <cell r="P187">
            <v>298.72199999999998</v>
          </cell>
        </row>
        <row r="189">
          <cell r="L189">
            <v>45.18</v>
          </cell>
          <cell r="N189">
            <v>39.927999999999997</v>
          </cell>
          <cell r="P189">
            <v>47.436000000000007</v>
          </cell>
        </row>
        <row r="190">
          <cell r="L190">
            <v>38.923000000000002</v>
          </cell>
          <cell r="N190">
            <v>30.744</v>
          </cell>
          <cell r="P190">
            <v>43.820000000000007</v>
          </cell>
        </row>
        <row r="191">
          <cell r="J191">
            <v>1223.4829999999999</v>
          </cell>
          <cell r="L191">
            <v>191.39099999999999</v>
          </cell>
          <cell r="N191">
            <v>168.09299999999999</v>
          </cell>
          <cell r="P191">
            <v>224.56800000000001</v>
          </cell>
        </row>
        <row r="192">
          <cell r="J192">
            <v>1673.973</v>
          </cell>
          <cell r="N192">
            <v>161.661</v>
          </cell>
          <cell r="P192">
            <v>191.93800000000002</v>
          </cell>
        </row>
        <row r="193">
          <cell r="J193">
            <v>1857.9860025371772</v>
          </cell>
          <cell r="N193">
            <v>142.89100000000002</v>
          </cell>
          <cell r="P193">
            <v>122.74400000000001</v>
          </cell>
        </row>
        <row r="195">
          <cell r="L195">
            <v>47.564</v>
          </cell>
          <cell r="N195">
            <v>14.355</v>
          </cell>
          <cell r="P195">
            <v>19.228000000000002</v>
          </cell>
        </row>
        <row r="196">
          <cell r="L196">
            <v>48.068000000000005</v>
          </cell>
          <cell r="N196">
            <v>13.512</v>
          </cell>
          <cell r="P196">
            <v>19.507999999999999</v>
          </cell>
        </row>
        <row r="197">
          <cell r="J197">
            <v>1423.3209999999999</v>
          </cell>
          <cell r="L197">
            <v>190.9</v>
          </cell>
          <cell r="N197">
            <v>60.313000000000002</v>
          </cell>
          <cell r="P197">
            <v>79.953000000000003</v>
          </cell>
        </row>
        <row r="198">
          <cell r="J198">
            <v>2109.6030000000001</v>
          </cell>
          <cell r="N198">
            <v>53.793999999999997</v>
          </cell>
          <cell r="P198">
            <v>75.03</v>
          </cell>
        </row>
        <row r="199">
          <cell r="J199">
            <v>2343.7264973750453</v>
          </cell>
          <cell r="N199">
            <v>47.375</v>
          </cell>
          <cell r="P199">
            <v>54.956000000000003</v>
          </cell>
        </row>
        <row r="214">
          <cell r="L214">
            <v>-1.873</v>
          </cell>
        </row>
        <row r="215">
          <cell r="L215">
            <v>-26.56</v>
          </cell>
        </row>
        <row r="216">
          <cell r="J216">
            <v>59.731999999999999</v>
          </cell>
          <cell r="L216">
            <v>-126.732</v>
          </cell>
          <cell r="N216">
            <v>57.591999999999999</v>
          </cell>
          <cell r="P216">
            <v>62.68</v>
          </cell>
        </row>
        <row r="217">
          <cell r="J217">
            <v>-144.631</v>
          </cell>
          <cell r="N217">
            <v>48.131999999999998</v>
          </cell>
          <cell r="P217">
            <v>41.408000000000001</v>
          </cell>
        </row>
        <row r="218">
          <cell r="J218">
            <v>188.953</v>
          </cell>
          <cell r="N218">
            <v>41.442999999999998</v>
          </cell>
          <cell r="P218">
            <v>38.668999999999997</v>
          </cell>
        </row>
        <row r="221">
          <cell r="L221">
            <v>-0.96</v>
          </cell>
        </row>
        <row r="222">
          <cell r="L222">
            <v>-1.1299999999999999</v>
          </cell>
        </row>
        <row r="223">
          <cell r="J223">
            <v>0.35</v>
          </cell>
          <cell r="L223">
            <v>-4.83</v>
          </cell>
          <cell r="N223">
            <v>1.34</v>
          </cell>
          <cell r="P223">
            <v>1.65</v>
          </cell>
        </row>
        <row r="224">
          <cell r="J224">
            <v>-0.82</v>
          </cell>
          <cell r="N224">
            <v>1.1299999999999999</v>
          </cell>
          <cell r="P224">
            <v>0.95</v>
          </cell>
        </row>
        <row r="225">
          <cell r="J225">
            <v>0.93</v>
          </cell>
          <cell r="N225">
            <v>0.97</v>
          </cell>
          <cell r="P225">
            <v>1.22</v>
          </cell>
        </row>
        <row r="230">
          <cell r="L230">
            <v>8.0269999999999992</v>
          </cell>
          <cell r="N230">
            <v>7.923</v>
          </cell>
          <cell r="P230">
            <v>9.9130000000000003</v>
          </cell>
        </row>
        <row r="231">
          <cell r="L231">
            <v>10.782</v>
          </cell>
          <cell r="N231">
            <v>8.23</v>
          </cell>
          <cell r="P231">
            <v>12.964</v>
          </cell>
        </row>
        <row r="232">
          <cell r="J232">
            <v>216.8649999999999</v>
          </cell>
          <cell r="L232">
            <v>42.152999999999999</v>
          </cell>
          <cell r="N232">
            <v>33.182000000000002</v>
          </cell>
          <cell r="P232">
            <v>54.543999999999997</v>
          </cell>
        </row>
        <row r="233">
          <cell r="J233">
            <v>264.221</v>
          </cell>
          <cell r="N233">
            <v>31.192</v>
          </cell>
          <cell r="P233">
            <v>51.15</v>
          </cell>
        </row>
        <row r="234">
          <cell r="J234">
            <v>303.41029733549163</v>
          </cell>
          <cell r="N234">
            <v>28.536000000000001</v>
          </cell>
          <cell r="P234">
            <v>25.065999999999999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ents"/>
      <sheetName val="1"/>
      <sheetName val="2"/>
      <sheetName val="3"/>
      <sheetName val="4"/>
      <sheetName val="5"/>
      <sheetName val="6"/>
      <sheetName val="Sheet1"/>
      <sheetName val="Units Sold Summary"/>
      <sheetName val="Units Sold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B33">
            <v>553</v>
          </cell>
          <cell r="C33">
            <v>596</v>
          </cell>
          <cell r="D33">
            <v>680</v>
          </cell>
          <cell r="E33">
            <v>729</v>
          </cell>
          <cell r="F33">
            <v>722</v>
          </cell>
          <cell r="G33">
            <v>90</v>
          </cell>
          <cell r="H33">
            <v>0</v>
          </cell>
          <cell r="I33">
            <v>0</v>
          </cell>
          <cell r="J33">
            <v>0</v>
          </cell>
        </row>
        <row r="51">
          <cell r="B51">
            <v>88</v>
          </cell>
          <cell r="C51">
            <v>63</v>
          </cell>
          <cell r="D51">
            <v>67</v>
          </cell>
          <cell r="E51">
            <v>66</v>
          </cell>
          <cell r="F51">
            <v>67</v>
          </cell>
          <cell r="G51">
            <v>7</v>
          </cell>
          <cell r="H51">
            <v>0</v>
          </cell>
          <cell r="I51">
            <v>0</v>
          </cell>
          <cell r="J51">
            <v>0</v>
          </cell>
        </row>
        <row r="69">
          <cell r="B69">
            <v>0</v>
          </cell>
          <cell r="C69">
            <v>8</v>
          </cell>
          <cell r="D69">
            <v>45</v>
          </cell>
          <cell r="E69">
            <v>39</v>
          </cell>
          <cell r="F69">
            <v>18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87">
          <cell r="B87">
            <v>35</v>
          </cell>
          <cell r="C87">
            <v>51</v>
          </cell>
          <cell r="D87">
            <v>47</v>
          </cell>
          <cell r="E87">
            <v>56</v>
          </cell>
          <cell r="F87">
            <v>39</v>
          </cell>
          <cell r="G87">
            <v>11</v>
          </cell>
          <cell r="H87">
            <v>0</v>
          </cell>
          <cell r="I87">
            <v>0</v>
          </cell>
          <cell r="J87">
            <v>0</v>
          </cell>
        </row>
        <row r="105">
          <cell r="B105">
            <v>34</v>
          </cell>
          <cell r="C105">
            <v>101</v>
          </cell>
          <cell r="D105">
            <v>61</v>
          </cell>
          <cell r="E105">
            <v>15</v>
          </cell>
          <cell r="F105">
            <v>4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23">
          <cell r="B123">
            <v>19</v>
          </cell>
          <cell r="C123">
            <v>155</v>
          </cell>
          <cell r="D123">
            <v>71</v>
          </cell>
          <cell r="E123">
            <v>27</v>
          </cell>
          <cell r="F123">
            <v>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"/>
      <sheetName val="Monthly Comparison"/>
      <sheetName val="Contracts"/>
      <sheetName val="gross"/>
      <sheetName val="Gross Margin"/>
      <sheetName val="Sales"/>
      <sheetName val="Demos Leads"/>
      <sheetName val="Adjustments"/>
      <sheetName val="Shipped"/>
      <sheetName val="Total Products"/>
      <sheetName val="Total Products - FM"/>
      <sheetName val="Marketplace"/>
      <sheetName val="Leads"/>
      <sheetName val="Demonstrations"/>
      <sheetName val="Demo Pivot"/>
      <sheetName val="Demo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7">
          <cell r="B17">
            <v>0</v>
          </cell>
          <cell r="C17">
            <v>0</v>
          </cell>
          <cell r="D17">
            <v>643</v>
          </cell>
          <cell r="E17">
            <v>1039</v>
          </cell>
          <cell r="F17">
            <v>800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se"/>
      <sheetName val="Def tax"/>
      <sheetName val="five year"/>
      <sheetName val="2002"/>
      <sheetName val="Board Format_DONT USE"/>
    </sheetNames>
    <sheetDataSet>
      <sheetData sheetId="0"/>
      <sheetData sheetId="1"/>
      <sheetData sheetId="2"/>
      <sheetData sheetId="3">
        <row r="1">
          <cell r="B1" t="str">
            <v>Eastern Shore Natural Gas Company</v>
          </cell>
        </row>
        <row r="2">
          <cell r="B2" t="str">
            <v>Capital Budget Summary - 2002</v>
          </cell>
        </row>
        <row r="3">
          <cell r="O3" t="str">
            <v xml:space="preserve"> </v>
          </cell>
        </row>
        <row r="4">
          <cell r="I4" t="str">
            <v xml:space="preserve"> </v>
          </cell>
          <cell r="M4" t="str">
            <v xml:space="preserve"> </v>
          </cell>
          <cell r="O4" t="str">
            <v xml:space="preserve"> </v>
          </cell>
        </row>
        <row r="5">
          <cell r="I5">
            <v>0</v>
          </cell>
        </row>
        <row r="6">
          <cell r="B6" t="str">
            <v>Budget</v>
          </cell>
          <cell r="C6" t="str">
            <v>Plant</v>
          </cell>
          <cell r="G6" t="str">
            <v>Contractor</v>
          </cell>
          <cell r="H6" t="str">
            <v>Other</v>
          </cell>
          <cell r="I6" t="str">
            <v>Overhead</v>
          </cell>
          <cell r="J6">
            <v>1.0749999999999999E-2</v>
          </cell>
          <cell r="K6" t="str">
            <v>Dept Charges</v>
          </cell>
          <cell r="M6" t="str">
            <v>Overhead</v>
          </cell>
        </row>
        <row r="7">
          <cell r="B7" t="str">
            <v>Group</v>
          </cell>
          <cell r="C7" t="str">
            <v>Account</v>
          </cell>
          <cell r="D7" t="str">
            <v>Description</v>
          </cell>
          <cell r="F7" t="str">
            <v>Material</v>
          </cell>
          <cell r="G7" t="str">
            <v>Charges</v>
          </cell>
          <cell r="I7" t="str">
            <v>Other</v>
          </cell>
          <cell r="J7" t="str">
            <v>Overheads</v>
          </cell>
          <cell r="K7" t="str">
            <v>With O/H</v>
          </cell>
          <cell r="M7" t="str">
            <v>Labor</v>
          </cell>
          <cell r="O7" t="str">
            <v>Total</v>
          </cell>
        </row>
        <row r="10">
          <cell r="B10">
            <v>1</v>
          </cell>
          <cell r="C10">
            <v>365</v>
          </cell>
          <cell r="D10" t="str">
            <v>Land - Right of ways</v>
          </cell>
        </row>
        <row r="11">
          <cell r="D11" t="str">
            <v>2002 System Expansion</v>
          </cell>
          <cell r="H11">
            <v>150000</v>
          </cell>
          <cell r="O11">
            <v>150000</v>
          </cell>
        </row>
        <row r="12">
          <cell r="F12">
            <v>0</v>
          </cell>
          <cell r="G12">
            <v>0</v>
          </cell>
          <cell r="H12">
            <v>150000</v>
          </cell>
          <cell r="I12">
            <v>0</v>
          </cell>
          <cell r="J12">
            <v>1.0749999999999999E-2</v>
          </cell>
          <cell r="K12">
            <v>0</v>
          </cell>
          <cell r="L12">
            <v>0</v>
          </cell>
          <cell r="M12">
            <v>0</v>
          </cell>
          <cell r="O12">
            <v>150000</v>
          </cell>
        </row>
        <row r="13">
          <cell r="B13" t="str">
            <v>03</v>
          </cell>
          <cell r="C13" t="str">
            <v>366</v>
          </cell>
          <cell r="D13" t="str">
            <v>Structures</v>
          </cell>
        </row>
        <row r="14">
          <cell r="D14" t="str">
            <v>Office upgrades</v>
          </cell>
          <cell r="H14">
            <v>25000</v>
          </cell>
          <cell r="O14">
            <v>25000</v>
          </cell>
        </row>
        <row r="15">
          <cell r="F15">
            <v>0</v>
          </cell>
          <cell r="G15">
            <v>0</v>
          </cell>
          <cell r="H15">
            <v>325000</v>
          </cell>
          <cell r="I15">
            <v>0</v>
          </cell>
          <cell r="J15">
            <v>1.0749999999999999E-2</v>
          </cell>
          <cell r="K15">
            <v>0</v>
          </cell>
          <cell r="L15">
            <v>0</v>
          </cell>
          <cell r="M15">
            <v>0</v>
          </cell>
          <cell r="O15">
            <v>25000</v>
          </cell>
        </row>
        <row r="17">
          <cell r="B17" t="str">
            <v>05</v>
          </cell>
          <cell r="C17">
            <v>367</v>
          </cell>
          <cell r="D17" t="str">
            <v>Mains New Customers</v>
          </cell>
        </row>
        <row r="18">
          <cell r="D18" t="str">
            <v>1.5 Miles of 16" Parkesburg looping-2002 Sys Expansion</v>
          </cell>
          <cell r="F18">
            <v>190000</v>
          </cell>
          <cell r="G18">
            <v>877222</v>
          </cell>
          <cell r="H18">
            <v>333578</v>
          </cell>
          <cell r="J18">
            <v>15865</v>
          </cell>
          <cell r="K18">
            <v>121111.542</v>
          </cell>
          <cell r="O18">
            <v>1537776.5419999999</v>
          </cell>
        </row>
        <row r="19">
          <cell r="D19" t="str">
            <v>Blanket Mains and New Customers</v>
          </cell>
          <cell r="G19">
            <v>35000</v>
          </cell>
          <cell r="H19">
            <v>10000</v>
          </cell>
          <cell r="J19">
            <v>483.74999999999994</v>
          </cell>
          <cell r="K19">
            <v>3649.3119999999999</v>
          </cell>
          <cell r="O19">
            <v>49133.061999999998</v>
          </cell>
        </row>
        <row r="20">
          <cell r="D20" t="str">
            <v>1.0 Miles of 16" Parkesburg looping-2002 Sys Expansion</v>
          </cell>
          <cell r="F20">
            <v>130000</v>
          </cell>
          <cell r="G20">
            <v>757000</v>
          </cell>
          <cell r="H20">
            <v>220200</v>
          </cell>
          <cell r="J20">
            <v>12709</v>
          </cell>
          <cell r="K20">
            <v>96934.849999999991</v>
          </cell>
          <cell r="O20">
            <v>1216843.8500000001</v>
          </cell>
        </row>
        <row r="21">
          <cell r="D21" t="str">
            <v>Carryover - Expansion 2000</v>
          </cell>
          <cell r="G21">
            <v>300000</v>
          </cell>
          <cell r="O21">
            <v>300000</v>
          </cell>
        </row>
        <row r="22">
          <cell r="D22" t="str">
            <v>Carryover - Expansion 1999</v>
          </cell>
          <cell r="G22">
            <v>200000</v>
          </cell>
          <cell r="O22">
            <v>200000</v>
          </cell>
        </row>
        <row r="23">
          <cell r="F23">
            <v>320000</v>
          </cell>
          <cell r="G23">
            <v>2169222</v>
          </cell>
          <cell r="H23">
            <v>563778</v>
          </cell>
          <cell r="I23">
            <v>0</v>
          </cell>
          <cell r="J23">
            <v>29057.75</v>
          </cell>
          <cell r="K23">
            <v>221695.704</v>
          </cell>
          <cell r="L23">
            <v>0</v>
          </cell>
          <cell r="M23">
            <v>0</v>
          </cell>
          <cell r="O23">
            <v>3303753.4539999999</v>
          </cell>
        </row>
        <row r="25">
          <cell r="B25" t="str">
            <v>07</v>
          </cell>
          <cell r="C25">
            <v>367</v>
          </cell>
          <cell r="D25" t="str">
            <v>Mains Reinforcement</v>
          </cell>
        </row>
        <row r="26">
          <cell r="D26" t="str">
            <v>North Street split casing</v>
          </cell>
          <cell r="G26">
            <v>25000</v>
          </cell>
          <cell r="H26">
            <v>3000</v>
          </cell>
          <cell r="J26">
            <v>301</v>
          </cell>
          <cell r="K26">
            <v>2280.8200000000002</v>
          </cell>
          <cell r="O26">
            <v>30581.82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D30" t="str">
            <v>Blanket Reinforcement</v>
          </cell>
          <cell r="H30">
            <v>50000</v>
          </cell>
          <cell r="K30">
            <v>4105.4759999999997</v>
          </cell>
          <cell r="O30">
            <v>54105.476000000002</v>
          </cell>
        </row>
        <row r="31">
          <cell r="D31" t="str">
            <v>Carryover - Porter relocation</v>
          </cell>
          <cell r="G31">
            <v>50000</v>
          </cell>
          <cell r="O31">
            <v>50000</v>
          </cell>
        </row>
        <row r="32">
          <cell r="F32">
            <v>0</v>
          </cell>
          <cell r="G32">
            <v>75000</v>
          </cell>
          <cell r="H32">
            <v>53000</v>
          </cell>
          <cell r="I32">
            <v>0</v>
          </cell>
          <cell r="J32">
            <v>301</v>
          </cell>
          <cell r="K32">
            <v>6386.2960000000003</v>
          </cell>
          <cell r="L32">
            <v>0</v>
          </cell>
          <cell r="M32">
            <v>0</v>
          </cell>
          <cell r="O32">
            <v>134687.296</v>
          </cell>
        </row>
        <row r="34">
          <cell r="B34">
            <v>32</v>
          </cell>
          <cell r="C34" t="str">
            <v>368</v>
          </cell>
          <cell r="D34" t="str">
            <v>Compressor Station Equipment</v>
          </cell>
        </row>
        <row r="35">
          <cell r="D35" t="str">
            <v>Maintenance platform - bridgeville</v>
          </cell>
          <cell r="G35">
            <v>10000</v>
          </cell>
          <cell r="H35">
            <v>3000</v>
          </cell>
          <cell r="J35">
            <v>139.75</v>
          </cell>
          <cell r="O35">
            <v>13139.75</v>
          </cell>
        </row>
        <row r="36">
          <cell r="D36" t="str">
            <v>BLANKET</v>
          </cell>
          <cell r="F36">
            <v>3500</v>
          </cell>
          <cell r="G36">
            <v>35000</v>
          </cell>
          <cell r="H36">
            <v>4000</v>
          </cell>
          <cell r="J36">
            <v>456.87499999999994</v>
          </cell>
          <cell r="O36">
            <v>42956.875</v>
          </cell>
        </row>
        <row r="37">
          <cell r="O37">
            <v>0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D46" t="str">
            <v>Delaware City EMS</v>
          </cell>
          <cell r="G46">
            <v>150000</v>
          </cell>
          <cell r="O46">
            <v>150000</v>
          </cell>
        </row>
        <row r="47">
          <cell r="F47">
            <v>3500</v>
          </cell>
          <cell r="G47">
            <v>195000</v>
          </cell>
          <cell r="H47">
            <v>7000</v>
          </cell>
          <cell r="I47">
            <v>0</v>
          </cell>
          <cell r="J47">
            <v>596.625</v>
          </cell>
          <cell r="K47">
            <v>0</v>
          </cell>
          <cell r="L47">
            <v>0</v>
          </cell>
          <cell r="M47">
            <v>0</v>
          </cell>
          <cell r="O47">
            <v>206096.625</v>
          </cell>
        </row>
        <row r="49">
          <cell r="B49" t="str">
            <v>08</v>
          </cell>
          <cell r="C49" t="str">
            <v>369</v>
          </cell>
          <cell r="D49" t="str">
            <v>M&amp;R Stations - General</v>
          </cell>
        </row>
        <row r="50">
          <cell r="D50" t="str">
            <v>Install MTL Safety Barriers</v>
          </cell>
          <cell r="G50">
            <v>12000</v>
          </cell>
          <cell r="J50">
            <v>129</v>
          </cell>
          <cell r="O50">
            <v>12129</v>
          </cell>
        </row>
        <row r="51">
          <cell r="D51" t="str">
            <v>Cheswold Upgrade</v>
          </cell>
          <cell r="F51">
            <v>2500</v>
          </cell>
          <cell r="G51">
            <v>4000</v>
          </cell>
          <cell r="J51">
            <v>69.875</v>
          </cell>
          <cell r="O51">
            <v>6569.875</v>
          </cell>
        </row>
        <row r="52">
          <cell r="D52" t="str">
            <v>BLANKET</v>
          </cell>
          <cell r="F52">
            <v>12500</v>
          </cell>
          <cell r="G52">
            <v>22500</v>
          </cell>
          <cell r="J52">
            <v>376.24999999999994</v>
          </cell>
          <cell r="O52">
            <v>35376.25</v>
          </cell>
        </row>
        <row r="53">
          <cell r="D53" t="str">
            <v>Carryover - Hockessan M&amp;R</v>
          </cell>
          <cell r="G53">
            <v>50000</v>
          </cell>
          <cell r="O53">
            <v>50000</v>
          </cell>
        </row>
        <row r="54">
          <cell r="F54">
            <v>15000</v>
          </cell>
          <cell r="G54">
            <v>88500</v>
          </cell>
          <cell r="H54">
            <v>0</v>
          </cell>
          <cell r="I54">
            <v>0</v>
          </cell>
          <cell r="J54">
            <v>575.125</v>
          </cell>
          <cell r="K54">
            <v>0</v>
          </cell>
          <cell r="L54">
            <v>0</v>
          </cell>
          <cell r="M54">
            <v>0</v>
          </cell>
          <cell r="O54">
            <v>104075.125</v>
          </cell>
        </row>
        <row r="55">
          <cell r="O55" t="str">
            <v/>
          </cell>
        </row>
        <row r="56">
          <cell r="B56" t="str">
            <v>22</v>
          </cell>
          <cell r="C56" t="str">
            <v>369</v>
          </cell>
          <cell r="D56" t="str">
            <v>M&amp;R Stations - Industrial</v>
          </cell>
        </row>
        <row r="57">
          <cell r="D57" t="str">
            <v>Playtex</v>
          </cell>
          <cell r="F57">
            <v>3500</v>
          </cell>
          <cell r="G57">
            <v>8000</v>
          </cell>
          <cell r="H57">
            <v>500</v>
          </cell>
          <cell r="J57">
            <v>129</v>
          </cell>
          <cell r="O57">
            <v>12129</v>
          </cell>
        </row>
        <row r="58">
          <cell r="D58" t="str">
            <v>Mckee Power Plant</v>
          </cell>
          <cell r="E58" t="str">
            <v xml:space="preserve"> </v>
          </cell>
          <cell r="F58">
            <v>3500</v>
          </cell>
          <cell r="G58">
            <v>8000</v>
          </cell>
          <cell r="H58">
            <v>500</v>
          </cell>
          <cell r="J58">
            <v>129</v>
          </cell>
          <cell r="O58">
            <v>12129</v>
          </cell>
        </row>
        <row r="59">
          <cell r="D59" t="str">
            <v>BLANKET</v>
          </cell>
          <cell r="E59" t="str">
            <v xml:space="preserve"> </v>
          </cell>
          <cell r="F59">
            <v>12500</v>
          </cell>
          <cell r="G59">
            <v>22500</v>
          </cell>
          <cell r="J59">
            <v>412.24999999999994</v>
          </cell>
          <cell r="O59">
            <v>35412.25</v>
          </cell>
        </row>
        <row r="60">
          <cell r="F60">
            <v>19500</v>
          </cell>
          <cell r="G60">
            <v>38500</v>
          </cell>
          <cell r="H60">
            <v>1000</v>
          </cell>
          <cell r="I60">
            <v>0</v>
          </cell>
          <cell r="J60">
            <v>670.25</v>
          </cell>
          <cell r="K60">
            <v>0</v>
          </cell>
          <cell r="L60">
            <v>0</v>
          </cell>
          <cell r="M60">
            <v>0</v>
          </cell>
          <cell r="O60">
            <v>59670.25</v>
          </cell>
        </row>
        <row r="62">
          <cell r="B62">
            <v>23</v>
          </cell>
          <cell r="C62" t="str">
            <v>369</v>
          </cell>
          <cell r="D62" t="str">
            <v>Office Equipment</v>
          </cell>
        </row>
        <row r="63">
          <cell r="D63" t="str">
            <v>PC for MISS UTILITY upgrade</v>
          </cell>
          <cell r="H63">
            <v>5000</v>
          </cell>
          <cell r="O63">
            <v>5000</v>
          </cell>
        </row>
        <row r="64">
          <cell r="D64" t="str">
            <v>PC for T&amp;S position</v>
          </cell>
          <cell r="H64">
            <v>3000</v>
          </cell>
          <cell r="O64">
            <v>3000</v>
          </cell>
        </row>
        <row r="65">
          <cell r="D65" t="str">
            <v>AutoDesk MAP 2002 Upgrade</v>
          </cell>
          <cell r="H65">
            <v>3500</v>
          </cell>
          <cell r="O65">
            <v>3500</v>
          </cell>
        </row>
        <row r="66">
          <cell r="F66">
            <v>0</v>
          </cell>
          <cell r="G66">
            <v>0</v>
          </cell>
          <cell r="H66">
            <v>11500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11500</v>
          </cell>
        </row>
        <row r="68">
          <cell r="B68" t="str">
            <v>25</v>
          </cell>
          <cell r="C68" t="str">
            <v>392</v>
          </cell>
          <cell r="D68" t="str">
            <v>Transportation Equipment</v>
          </cell>
        </row>
        <row r="69">
          <cell r="D69" t="str">
            <v>Replace unit OT-4060</v>
          </cell>
          <cell r="H69">
            <v>19500</v>
          </cell>
          <cell r="O69">
            <v>19500</v>
          </cell>
        </row>
        <row r="70">
          <cell r="D70" t="str">
            <v>Replace unit OT-4065</v>
          </cell>
          <cell r="H70">
            <v>23500</v>
          </cell>
          <cell r="O70">
            <v>23500</v>
          </cell>
        </row>
        <row r="71">
          <cell r="D71" t="str">
            <v>Replace unit OT-4066</v>
          </cell>
          <cell r="H71">
            <v>23500</v>
          </cell>
          <cell r="O71">
            <v>23500</v>
          </cell>
        </row>
        <row r="72">
          <cell r="D72" t="str">
            <v>Replace unit OT-4068</v>
          </cell>
          <cell r="H72">
            <v>25500</v>
          </cell>
          <cell r="O72">
            <v>25500</v>
          </cell>
        </row>
        <row r="73">
          <cell r="D73" t="str">
            <v>Replace unit AS-3038</v>
          </cell>
          <cell r="H73">
            <v>23500</v>
          </cell>
          <cell r="O73">
            <v>23500</v>
          </cell>
        </row>
        <row r="74">
          <cell r="F74">
            <v>0</v>
          </cell>
          <cell r="G74">
            <v>0</v>
          </cell>
          <cell r="H74">
            <v>115500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115500</v>
          </cell>
        </row>
        <row r="76">
          <cell r="B76">
            <v>24</v>
          </cell>
          <cell r="C76">
            <v>394</v>
          </cell>
          <cell r="D76" t="str">
            <v>Tools &amp; Work Eqpmt</v>
          </cell>
        </row>
        <row r="77">
          <cell r="D77" t="str">
            <v>TDW Stopple Equipment</v>
          </cell>
          <cell r="H77">
            <v>30000</v>
          </cell>
          <cell r="O77">
            <v>30000</v>
          </cell>
        </row>
        <row r="78">
          <cell r="D78" t="str">
            <v>Hydrostatic Test Console</v>
          </cell>
          <cell r="H78">
            <v>11000</v>
          </cell>
          <cell r="O78">
            <v>11000</v>
          </cell>
        </row>
        <row r="79">
          <cell r="D79" t="str">
            <v>Corrosion Testing Equipment</v>
          </cell>
          <cell r="H79">
            <v>1500</v>
          </cell>
          <cell r="O79">
            <v>1500</v>
          </cell>
        </row>
        <row r="80">
          <cell r="D80" t="str">
            <v>Meter boby</v>
          </cell>
          <cell r="H80">
            <v>2000</v>
          </cell>
          <cell r="O80">
            <v>2000</v>
          </cell>
        </row>
        <row r="81">
          <cell r="D81" t="str">
            <v>Drive Socket Set</v>
          </cell>
          <cell r="H81">
            <v>1500</v>
          </cell>
          <cell r="O81">
            <v>1500</v>
          </cell>
        </row>
        <row r="82">
          <cell r="F82">
            <v>0</v>
          </cell>
          <cell r="G82">
            <v>0</v>
          </cell>
          <cell r="H82">
            <v>46000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46000</v>
          </cell>
        </row>
        <row r="84">
          <cell r="B84" t="str">
            <v>27</v>
          </cell>
          <cell r="C84" t="str">
            <v>396</v>
          </cell>
          <cell r="D84" t="str">
            <v>Power Operated Equipment</v>
          </cell>
        </row>
        <row r="85">
          <cell r="O85">
            <v>0</v>
          </cell>
        </row>
        <row r="87">
          <cell r="D87" t="str">
            <v>Carryover - generator</v>
          </cell>
          <cell r="H87">
            <v>25000</v>
          </cell>
          <cell r="O87">
            <v>25000</v>
          </cell>
        </row>
        <row r="88">
          <cell r="F88">
            <v>0</v>
          </cell>
          <cell r="G88">
            <v>0</v>
          </cell>
          <cell r="H88">
            <v>25000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25000</v>
          </cell>
        </row>
        <row r="90">
          <cell r="B90">
            <v>28</v>
          </cell>
          <cell r="C90">
            <v>370</v>
          </cell>
          <cell r="D90" t="str">
            <v>Communication Equipment</v>
          </cell>
        </row>
        <row r="91">
          <cell r="O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</row>
        <row r="94">
          <cell r="D94" t="str">
            <v>Overheads - department costs (excluding benefits)</v>
          </cell>
          <cell r="J94">
            <v>24000</v>
          </cell>
          <cell r="O94">
            <v>24000</v>
          </cell>
        </row>
        <row r="95">
          <cell r="D95" t="str">
            <v>Overheads - department costs (benefits only)</v>
          </cell>
          <cell r="J95">
            <v>7200</v>
          </cell>
          <cell r="O95">
            <v>7200</v>
          </cell>
        </row>
        <row r="96">
          <cell r="J96">
            <v>-31200.760750000001</v>
          </cell>
          <cell r="O96">
            <v>-31200.760750000001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-0.76075000000128057</v>
          </cell>
          <cell r="K97">
            <v>0</v>
          </cell>
          <cell r="L97">
            <v>0</v>
          </cell>
          <cell r="M97">
            <v>0</v>
          </cell>
          <cell r="O97">
            <v>-0.76075000000128057</v>
          </cell>
        </row>
        <row r="100">
          <cell r="D100" t="str">
            <v>TOTAL</v>
          </cell>
          <cell r="F100">
            <v>358000</v>
          </cell>
          <cell r="G100">
            <v>2566222</v>
          </cell>
          <cell r="H100">
            <v>1297778</v>
          </cell>
          <cell r="I100">
            <v>0</v>
          </cell>
          <cell r="J100">
            <v>31200.010750000001</v>
          </cell>
          <cell r="K100">
            <v>228082</v>
          </cell>
          <cell r="L100">
            <v>0</v>
          </cell>
          <cell r="M100">
            <v>0</v>
          </cell>
          <cell r="O100">
            <v>4181281.9892500001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se"/>
      <sheetName val="Def tax"/>
      <sheetName val="five year"/>
      <sheetName val="2002"/>
      <sheetName val="Board Format_DONT USE"/>
    </sheetNames>
    <sheetDataSet>
      <sheetData sheetId="0"/>
      <sheetData sheetId="1"/>
      <sheetData sheetId="2"/>
      <sheetData sheetId="3">
        <row r="1">
          <cell r="B1" t="str">
            <v>Eastern Shore Natural Gas Company</v>
          </cell>
        </row>
        <row r="2">
          <cell r="B2" t="str">
            <v>Capital Budget Summary - 2002</v>
          </cell>
        </row>
        <row r="3">
          <cell r="O3" t="str">
            <v xml:space="preserve"> </v>
          </cell>
        </row>
        <row r="4">
          <cell r="I4" t="str">
            <v xml:space="preserve"> </v>
          </cell>
          <cell r="M4" t="str">
            <v xml:space="preserve"> </v>
          </cell>
          <cell r="O4" t="str">
            <v xml:space="preserve"> </v>
          </cell>
        </row>
        <row r="5">
          <cell r="I5">
            <v>0</v>
          </cell>
        </row>
        <row r="6">
          <cell r="B6" t="str">
            <v>Budget</v>
          </cell>
          <cell r="C6" t="str">
            <v>Plant</v>
          </cell>
          <cell r="G6" t="str">
            <v>Contractor</v>
          </cell>
          <cell r="H6" t="str">
            <v>Other</v>
          </cell>
          <cell r="I6" t="str">
            <v>Overhead</v>
          </cell>
          <cell r="J6">
            <v>1.0749999999999999E-2</v>
          </cell>
          <cell r="K6" t="str">
            <v>Dept Charges</v>
          </cell>
          <cell r="M6" t="str">
            <v>Overhead</v>
          </cell>
        </row>
        <row r="7">
          <cell r="B7" t="str">
            <v>Group</v>
          </cell>
          <cell r="C7" t="str">
            <v>Account</v>
          </cell>
          <cell r="D7" t="str">
            <v>Description</v>
          </cell>
          <cell r="F7" t="str">
            <v>Material</v>
          </cell>
          <cell r="G7" t="str">
            <v>Charges</v>
          </cell>
          <cell r="I7" t="str">
            <v>Other</v>
          </cell>
          <cell r="J7" t="str">
            <v>Overheads</v>
          </cell>
          <cell r="K7" t="str">
            <v>With O/H</v>
          </cell>
          <cell r="M7" t="str">
            <v>Labor</v>
          </cell>
          <cell r="O7" t="str">
            <v>Total</v>
          </cell>
        </row>
        <row r="10">
          <cell r="B10">
            <v>1</v>
          </cell>
          <cell r="C10">
            <v>365</v>
          </cell>
          <cell r="D10" t="str">
            <v>Land - Right of ways</v>
          </cell>
        </row>
        <row r="11">
          <cell r="D11" t="str">
            <v>2002 System Expansion</v>
          </cell>
          <cell r="H11">
            <v>150000</v>
          </cell>
          <cell r="O11">
            <v>150000</v>
          </cell>
        </row>
        <row r="12">
          <cell r="F12">
            <v>0</v>
          </cell>
          <cell r="G12">
            <v>0</v>
          </cell>
          <cell r="H12">
            <v>150000</v>
          </cell>
          <cell r="I12">
            <v>0</v>
          </cell>
          <cell r="J12">
            <v>1.0749999999999999E-2</v>
          </cell>
          <cell r="K12">
            <v>0</v>
          </cell>
          <cell r="L12">
            <v>0</v>
          </cell>
          <cell r="M12">
            <v>0</v>
          </cell>
          <cell r="O12">
            <v>150000</v>
          </cell>
        </row>
        <row r="13">
          <cell r="B13" t="str">
            <v>03</v>
          </cell>
          <cell r="C13" t="str">
            <v>366</v>
          </cell>
          <cell r="D13" t="str">
            <v>Structures</v>
          </cell>
        </row>
        <row r="14">
          <cell r="D14" t="str">
            <v>Office upgrades</v>
          </cell>
          <cell r="H14">
            <v>25000</v>
          </cell>
          <cell r="O14">
            <v>25000</v>
          </cell>
        </row>
        <row r="15">
          <cell r="F15">
            <v>0</v>
          </cell>
          <cell r="G15">
            <v>0</v>
          </cell>
          <cell r="H15">
            <v>325000</v>
          </cell>
          <cell r="I15">
            <v>0</v>
          </cell>
          <cell r="J15">
            <v>1.0749999999999999E-2</v>
          </cell>
          <cell r="K15">
            <v>0</v>
          </cell>
          <cell r="L15">
            <v>0</v>
          </cell>
          <cell r="M15">
            <v>0</v>
          </cell>
          <cell r="O15">
            <v>25000</v>
          </cell>
        </row>
        <row r="17">
          <cell r="B17" t="str">
            <v>05</v>
          </cell>
          <cell r="C17">
            <v>367</v>
          </cell>
          <cell r="D17" t="str">
            <v>Mains New Customers</v>
          </cell>
        </row>
        <row r="18">
          <cell r="D18" t="str">
            <v>1.5 Miles of 16" Parkesburg looping-2002 Sys Expansion</v>
          </cell>
          <cell r="F18">
            <v>190000</v>
          </cell>
          <cell r="G18">
            <v>877222</v>
          </cell>
          <cell r="H18">
            <v>333578</v>
          </cell>
          <cell r="J18">
            <v>15865</v>
          </cell>
          <cell r="K18">
            <v>121111.542</v>
          </cell>
          <cell r="O18">
            <v>1537776.5419999999</v>
          </cell>
        </row>
        <row r="19">
          <cell r="D19" t="str">
            <v>Blanket Mains and New Customers</v>
          </cell>
          <cell r="G19">
            <v>35000</v>
          </cell>
          <cell r="H19">
            <v>10000</v>
          </cell>
          <cell r="J19">
            <v>483.74999999999994</v>
          </cell>
          <cell r="K19">
            <v>3649.3119999999999</v>
          </cell>
          <cell r="O19">
            <v>49133.061999999998</v>
          </cell>
        </row>
        <row r="20">
          <cell r="D20" t="str">
            <v>1.0 Miles of 16" Parkesburg looping-2002 Sys Expansion</v>
          </cell>
          <cell r="F20">
            <v>130000</v>
          </cell>
          <cell r="G20">
            <v>757000</v>
          </cell>
          <cell r="H20">
            <v>220200</v>
          </cell>
          <cell r="J20">
            <v>12709</v>
          </cell>
          <cell r="K20">
            <v>96934.849999999991</v>
          </cell>
          <cell r="O20">
            <v>1216843.8500000001</v>
          </cell>
        </row>
        <row r="21">
          <cell r="D21" t="str">
            <v>Carryover - Expansion 2000</v>
          </cell>
          <cell r="G21">
            <v>300000</v>
          </cell>
          <cell r="O21">
            <v>300000</v>
          </cell>
        </row>
        <row r="22">
          <cell r="D22" t="str">
            <v>Carryover - Expansion 1999</v>
          </cell>
          <cell r="G22">
            <v>200000</v>
          </cell>
          <cell r="O22">
            <v>200000</v>
          </cell>
        </row>
        <row r="23">
          <cell r="F23">
            <v>320000</v>
          </cell>
          <cell r="G23">
            <v>2169222</v>
          </cell>
          <cell r="H23">
            <v>563778</v>
          </cell>
          <cell r="I23">
            <v>0</v>
          </cell>
          <cell r="J23">
            <v>29057.75</v>
          </cell>
          <cell r="K23">
            <v>221695.704</v>
          </cell>
          <cell r="L23">
            <v>0</v>
          </cell>
          <cell r="M23">
            <v>0</v>
          </cell>
          <cell r="O23">
            <v>3303753.4539999999</v>
          </cell>
        </row>
        <row r="25">
          <cell r="B25" t="str">
            <v>07</v>
          </cell>
          <cell r="C25">
            <v>367</v>
          </cell>
          <cell r="D25" t="str">
            <v>Mains Reinforcement</v>
          </cell>
        </row>
        <row r="26">
          <cell r="D26" t="str">
            <v>North Street split casing</v>
          </cell>
          <cell r="G26">
            <v>25000</v>
          </cell>
          <cell r="H26">
            <v>3000</v>
          </cell>
          <cell r="J26">
            <v>301</v>
          </cell>
          <cell r="K26">
            <v>2280.8200000000002</v>
          </cell>
          <cell r="O26">
            <v>30581.82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D30" t="str">
            <v>Blanket Reinforcement</v>
          </cell>
          <cell r="H30">
            <v>50000</v>
          </cell>
          <cell r="K30">
            <v>4105.4759999999997</v>
          </cell>
          <cell r="O30">
            <v>54105.476000000002</v>
          </cell>
        </row>
        <row r="31">
          <cell r="D31" t="str">
            <v>Carryover - Porter relocation</v>
          </cell>
          <cell r="G31">
            <v>50000</v>
          </cell>
          <cell r="O31">
            <v>50000</v>
          </cell>
        </row>
        <row r="32">
          <cell r="F32">
            <v>0</v>
          </cell>
          <cell r="G32">
            <v>75000</v>
          </cell>
          <cell r="H32">
            <v>53000</v>
          </cell>
          <cell r="I32">
            <v>0</v>
          </cell>
          <cell r="J32">
            <v>301</v>
          </cell>
          <cell r="K32">
            <v>6386.2960000000003</v>
          </cell>
          <cell r="L32">
            <v>0</v>
          </cell>
          <cell r="M32">
            <v>0</v>
          </cell>
          <cell r="O32">
            <v>134687.296</v>
          </cell>
        </row>
        <row r="34">
          <cell r="B34">
            <v>32</v>
          </cell>
          <cell r="C34" t="str">
            <v>368</v>
          </cell>
          <cell r="D34" t="str">
            <v>Compressor Station Equipment</v>
          </cell>
        </row>
        <row r="35">
          <cell r="D35" t="str">
            <v>Maintenance platform - bridgeville</v>
          </cell>
          <cell r="G35">
            <v>10000</v>
          </cell>
          <cell r="H35">
            <v>3000</v>
          </cell>
          <cell r="J35">
            <v>139.75</v>
          </cell>
          <cell r="O35">
            <v>13139.75</v>
          </cell>
        </row>
        <row r="36">
          <cell r="D36" t="str">
            <v>BLANKET</v>
          </cell>
          <cell r="F36">
            <v>3500</v>
          </cell>
          <cell r="G36">
            <v>35000</v>
          </cell>
          <cell r="H36">
            <v>4000</v>
          </cell>
          <cell r="J36">
            <v>456.87499999999994</v>
          </cell>
          <cell r="O36">
            <v>42956.875</v>
          </cell>
        </row>
        <row r="37">
          <cell r="O37">
            <v>0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D46" t="str">
            <v>Delaware City EMS</v>
          </cell>
          <cell r="G46">
            <v>150000</v>
          </cell>
          <cell r="O46">
            <v>150000</v>
          </cell>
        </row>
        <row r="47">
          <cell r="F47">
            <v>3500</v>
          </cell>
          <cell r="G47">
            <v>195000</v>
          </cell>
          <cell r="H47">
            <v>7000</v>
          </cell>
          <cell r="I47">
            <v>0</v>
          </cell>
          <cell r="J47">
            <v>596.625</v>
          </cell>
          <cell r="K47">
            <v>0</v>
          </cell>
          <cell r="L47">
            <v>0</v>
          </cell>
          <cell r="M47">
            <v>0</v>
          </cell>
          <cell r="O47">
            <v>206096.625</v>
          </cell>
        </row>
        <row r="49">
          <cell r="B49" t="str">
            <v>08</v>
          </cell>
          <cell r="C49" t="str">
            <v>369</v>
          </cell>
          <cell r="D49" t="str">
            <v>M&amp;R Stations - General</v>
          </cell>
        </row>
        <row r="50">
          <cell r="D50" t="str">
            <v>Install MTL Safety Barriers</v>
          </cell>
          <cell r="G50">
            <v>12000</v>
          </cell>
          <cell r="J50">
            <v>129</v>
          </cell>
          <cell r="O50">
            <v>12129</v>
          </cell>
        </row>
        <row r="51">
          <cell r="D51" t="str">
            <v>Cheswold Upgrade</v>
          </cell>
          <cell r="F51">
            <v>2500</v>
          </cell>
          <cell r="G51">
            <v>4000</v>
          </cell>
          <cell r="J51">
            <v>69.875</v>
          </cell>
          <cell r="O51">
            <v>6569.875</v>
          </cell>
        </row>
        <row r="52">
          <cell r="D52" t="str">
            <v>BLANKET</v>
          </cell>
          <cell r="F52">
            <v>12500</v>
          </cell>
          <cell r="G52">
            <v>22500</v>
          </cell>
          <cell r="J52">
            <v>376.24999999999994</v>
          </cell>
          <cell r="O52">
            <v>35376.25</v>
          </cell>
        </row>
        <row r="53">
          <cell r="D53" t="str">
            <v>Carryover - Hockessan M&amp;R</v>
          </cell>
          <cell r="G53">
            <v>50000</v>
          </cell>
          <cell r="O53">
            <v>50000</v>
          </cell>
        </row>
        <row r="54">
          <cell r="F54">
            <v>15000</v>
          </cell>
          <cell r="G54">
            <v>88500</v>
          </cell>
          <cell r="H54">
            <v>0</v>
          </cell>
          <cell r="I54">
            <v>0</v>
          </cell>
          <cell r="J54">
            <v>575.125</v>
          </cell>
          <cell r="K54">
            <v>0</v>
          </cell>
          <cell r="L54">
            <v>0</v>
          </cell>
          <cell r="M54">
            <v>0</v>
          </cell>
          <cell r="O54">
            <v>104075.125</v>
          </cell>
        </row>
        <row r="55">
          <cell r="O55" t="str">
            <v/>
          </cell>
        </row>
        <row r="56">
          <cell r="B56" t="str">
            <v>22</v>
          </cell>
          <cell r="C56" t="str">
            <v>369</v>
          </cell>
          <cell r="D56" t="str">
            <v>M&amp;R Stations - Industrial</v>
          </cell>
        </row>
        <row r="57">
          <cell r="D57" t="str">
            <v>Playtex</v>
          </cell>
          <cell r="F57">
            <v>3500</v>
          </cell>
          <cell r="G57">
            <v>8000</v>
          </cell>
          <cell r="H57">
            <v>500</v>
          </cell>
          <cell r="J57">
            <v>129</v>
          </cell>
          <cell r="O57">
            <v>12129</v>
          </cell>
        </row>
        <row r="58">
          <cell r="D58" t="str">
            <v>Mckee Power Plant</v>
          </cell>
          <cell r="E58" t="str">
            <v xml:space="preserve"> </v>
          </cell>
          <cell r="F58">
            <v>3500</v>
          </cell>
          <cell r="G58">
            <v>8000</v>
          </cell>
          <cell r="H58">
            <v>500</v>
          </cell>
          <cell r="J58">
            <v>129</v>
          </cell>
          <cell r="O58">
            <v>12129</v>
          </cell>
        </row>
        <row r="59">
          <cell r="D59" t="str">
            <v>BLANKET</v>
          </cell>
          <cell r="E59" t="str">
            <v xml:space="preserve"> </v>
          </cell>
          <cell r="F59">
            <v>12500</v>
          </cell>
          <cell r="G59">
            <v>22500</v>
          </cell>
          <cell r="J59">
            <v>412.24999999999994</v>
          </cell>
          <cell r="O59">
            <v>35412.25</v>
          </cell>
        </row>
        <row r="60">
          <cell r="F60">
            <v>19500</v>
          </cell>
          <cell r="G60">
            <v>38500</v>
          </cell>
          <cell r="H60">
            <v>1000</v>
          </cell>
          <cell r="I60">
            <v>0</v>
          </cell>
          <cell r="J60">
            <v>670.25</v>
          </cell>
          <cell r="K60">
            <v>0</v>
          </cell>
          <cell r="L60">
            <v>0</v>
          </cell>
          <cell r="M60">
            <v>0</v>
          </cell>
          <cell r="O60">
            <v>59670.25</v>
          </cell>
        </row>
        <row r="62">
          <cell r="B62">
            <v>23</v>
          </cell>
          <cell r="C62" t="str">
            <v>369</v>
          </cell>
          <cell r="D62" t="str">
            <v>Office Equipment</v>
          </cell>
        </row>
        <row r="63">
          <cell r="D63" t="str">
            <v>PC for MISS UTILITY upgrade</v>
          </cell>
          <cell r="H63">
            <v>5000</v>
          </cell>
          <cell r="O63">
            <v>5000</v>
          </cell>
        </row>
        <row r="64">
          <cell r="D64" t="str">
            <v>PC for T&amp;S position</v>
          </cell>
          <cell r="H64">
            <v>3000</v>
          </cell>
          <cell r="O64">
            <v>3000</v>
          </cell>
        </row>
        <row r="65">
          <cell r="D65" t="str">
            <v>AutoDesk MAP 2002 Upgrade</v>
          </cell>
          <cell r="H65">
            <v>3500</v>
          </cell>
          <cell r="O65">
            <v>3500</v>
          </cell>
        </row>
        <row r="66">
          <cell r="F66">
            <v>0</v>
          </cell>
          <cell r="G66">
            <v>0</v>
          </cell>
          <cell r="H66">
            <v>11500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11500</v>
          </cell>
        </row>
        <row r="68">
          <cell r="B68" t="str">
            <v>25</v>
          </cell>
          <cell r="C68" t="str">
            <v>392</v>
          </cell>
          <cell r="D68" t="str">
            <v>Transportation Equipment</v>
          </cell>
        </row>
        <row r="69">
          <cell r="D69" t="str">
            <v>Replace unit OT-4060</v>
          </cell>
          <cell r="H69">
            <v>19500</v>
          </cell>
          <cell r="O69">
            <v>19500</v>
          </cell>
        </row>
        <row r="70">
          <cell r="D70" t="str">
            <v>Replace unit OT-4065</v>
          </cell>
          <cell r="H70">
            <v>23500</v>
          </cell>
          <cell r="O70">
            <v>23500</v>
          </cell>
        </row>
        <row r="71">
          <cell r="D71" t="str">
            <v>Replace unit OT-4066</v>
          </cell>
          <cell r="H71">
            <v>23500</v>
          </cell>
          <cell r="O71">
            <v>23500</v>
          </cell>
        </row>
        <row r="72">
          <cell r="D72" t="str">
            <v>Replace unit OT-4068</v>
          </cell>
          <cell r="H72">
            <v>25500</v>
          </cell>
          <cell r="O72">
            <v>25500</v>
          </cell>
        </row>
        <row r="73">
          <cell r="D73" t="str">
            <v>Replace unit AS-3038</v>
          </cell>
          <cell r="H73">
            <v>23500</v>
          </cell>
          <cell r="O73">
            <v>23500</v>
          </cell>
        </row>
        <row r="74">
          <cell r="F74">
            <v>0</v>
          </cell>
          <cell r="G74">
            <v>0</v>
          </cell>
          <cell r="H74">
            <v>115500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115500</v>
          </cell>
        </row>
        <row r="76">
          <cell r="B76">
            <v>24</v>
          </cell>
          <cell r="C76">
            <v>394</v>
          </cell>
          <cell r="D76" t="str">
            <v>Tools &amp; Work Eqpmt</v>
          </cell>
        </row>
        <row r="77">
          <cell r="D77" t="str">
            <v>TDW Stopple Equipment</v>
          </cell>
          <cell r="H77">
            <v>30000</v>
          </cell>
          <cell r="O77">
            <v>30000</v>
          </cell>
        </row>
        <row r="78">
          <cell r="D78" t="str">
            <v>Hydrostatic Test Console</v>
          </cell>
          <cell r="H78">
            <v>11000</v>
          </cell>
          <cell r="O78">
            <v>11000</v>
          </cell>
        </row>
        <row r="79">
          <cell r="D79" t="str">
            <v>Corrosion Testing Equipment</v>
          </cell>
          <cell r="H79">
            <v>1500</v>
          </cell>
          <cell r="O79">
            <v>1500</v>
          </cell>
        </row>
        <row r="80">
          <cell r="D80" t="str">
            <v>Meter boby</v>
          </cell>
          <cell r="H80">
            <v>2000</v>
          </cell>
          <cell r="O80">
            <v>2000</v>
          </cell>
        </row>
        <row r="81">
          <cell r="D81" t="str">
            <v>Drive Socket Set</v>
          </cell>
          <cell r="H81">
            <v>1500</v>
          </cell>
          <cell r="O81">
            <v>1500</v>
          </cell>
        </row>
        <row r="82">
          <cell r="F82">
            <v>0</v>
          </cell>
          <cell r="G82">
            <v>0</v>
          </cell>
          <cell r="H82">
            <v>46000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46000</v>
          </cell>
        </row>
        <row r="84">
          <cell r="B84" t="str">
            <v>27</v>
          </cell>
          <cell r="C84" t="str">
            <v>396</v>
          </cell>
          <cell r="D84" t="str">
            <v>Power Operated Equipment</v>
          </cell>
        </row>
        <row r="85">
          <cell r="O85">
            <v>0</v>
          </cell>
        </row>
        <row r="87">
          <cell r="D87" t="str">
            <v>Carryover - generator</v>
          </cell>
          <cell r="H87">
            <v>25000</v>
          </cell>
          <cell r="O87">
            <v>25000</v>
          </cell>
        </row>
        <row r="88">
          <cell r="F88">
            <v>0</v>
          </cell>
          <cell r="G88">
            <v>0</v>
          </cell>
          <cell r="H88">
            <v>25000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25000</v>
          </cell>
        </row>
        <row r="90">
          <cell r="B90">
            <v>28</v>
          </cell>
          <cell r="C90">
            <v>370</v>
          </cell>
          <cell r="D90" t="str">
            <v>Communication Equipment</v>
          </cell>
        </row>
        <row r="91">
          <cell r="O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</row>
        <row r="94">
          <cell r="D94" t="str">
            <v>Overheads - department costs (excluding benefits)</v>
          </cell>
          <cell r="J94">
            <v>24000</v>
          </cell>
          <cell r="O94">
            <v>24000</v>
          </cell>
        </row>
        <row r="95">
          <cell r="D95" t="str">
            <v>Overheads - department costs (benefits only)</v>
          </cell>
          <cell r="J95">
            <v>7200</v>
          </cell>
          <cell r="O95">
            <v>7200</v>
          </cell>
        </row>
        <row r="96">
          <cell r="J96">
            <v>-31200.760750000001</v>
          </cell>
          <cell r="O96">
            <v>-31200.760750000001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-0.76075000000128057</v>
          </cell>
          <cell r="K97">
            <v>0</v>
          </cell>
          <cell r="L97">
            <v>0</v>
          </cell>
          <cell r="M97">
            <v>0</v>
          </cell>
          <cell r="O97">
            <v>-0.76075000000128057</v>
          </cell>
        </row>
        <row r="100">
          <cell r="D100" t="str">
            <v>TOTAL</v>
          </cell>
          <cell r="F100">
            <v>358000</v>
          </cell>
          <cell r="G100">
            <v>2566222</v>
          </cell>
          <cell r="H100">
            <v>1297778</v>
          </cell>
          <cell r="I100">
            <v>0</v>
          </cell>
          <cell r="J100">
            <v>31200.010750000001</v>
          </cell>
          <cell r="K100">
            <v>228082</v>
          </cell>
          <cell r="L100">
            <v>0</v>
          </cell>
          <cell r="M100">
            <v>0</v>
          </cell>
          <cell r="O100">
            <v>4181281.9892500001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ost Savings Detail"/>
      <sheetName val="Revenue Build"/>
      <sheetName val="Fixed Price Sensitivies"/>
      <sheetName val="Revenue Detail"/>
      <sheetName val="Model"/>
      <sheetName val="Comps"/>
    </sheetNames>
    <sheetDataSet>
      <sheetData sheetId="0"/>
      <sheetData sheetId="1">
        <row r="143">
          <cell r="F143">
            <v>0.02</v>
          </cell>
        </row>
        <row r="144">
          <cell r="F144">
            <v>0.1</v>
          </cell>
        </row>
      </sheetData>
      <sheetData sheetId="2"/>
      <sheetData sheetId="3"/>
      <sheetData sheetId="4"/>
      <sheetData sheetId="5">
        <row r="8">
          <cell r="D8">
            <v>2</v>
          </cell>
          <cell r="I8">
            <v>0</v>
          </cell>
        </row>
        <row r="11">
          <cell r="D11" t="str">
            <v>N</v>
          </cell>
        </row>
        <row r="22">
          <cell r="C22">
            <v>0.96</v>
          </cell>
        </row>
        <row r="41">
          <cell r="D41" t="str">
            <v>n</v>
          </cell>
        </row>
        <row r="45">
          <cell r="D45">
            <v>2</v>
          </cell>
        </row>
        <row r="49">
          <cell r="D49">
            <v>1</v>
          </cell>
        </row>
        <row r="50">
          <cell r="D50">
            <v>0.05</v>
          </cell>
        </row>
        <row r="51">
          <cell r="D51">
            <v>17.5</v>
          </cell>
        </row>
        <row r="56">
          <cell r="D56">
            <v>2</v>
          </cell>
        </row>
        <row r="59">
          <cell r="D59">
            <v>3</v>
          </cell>
        </row>
        <row r="62">
          <cell r="D62">
            <v>4</v>
          </cell>
        </row>
        <row r="178">
          <cell r="AA178" t="str">
            <v>n</v>
          </cell>
        </row>
        <row r="180">
          <cell r="AA180">
            <v>0.05</v>
          </cell>
        </row>
      </sheetData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Cash Flow Analysis"/>
      <sheetName val="Consolidated MII"/>
      <sheetName val="Corporate Model"/>
      <sheetName val="JRM Model"/>
      <sheetName val="BWC Model"/>
      <sheetName val="Initiatives"/>
      <sheetName val="Corporate"/>
      <sheetName val="JRMSA"/>
      <sheetName val="Caspian"/>
      <sheetName val="Middle East"/>
      <sheetName val="Canada"/>
      <sheetName val="Asia Pacific"/>
      <sheetName val="Americas"/>
      <sheetName val="EH Marine"/>
      <sheetName val="WH Marine"/>
      <sheetName val="Legacy"/>
      <sheetName val="JRM Other"/>
      <sheetName val="BWC Total"/>
      <sheetName val="NOG"/>
      <sheetName val="NPG"/>
      <sheetName val="PGG"/>
      <sheetName val="TSG"/>
      <sheetName val="BWC with C13 Adj"/>
    </sheetNames>
    <sheetDataSet>
      <sheetData sheetId="0"/>
      <sheetData sheetId="1"/>
      <sheetData sheetId="2"/>
      <sheetData sheetId="3"/>
      <sheetData sheetId="4">
        <row r="190">
          <cell r="A190" t="b">
            <v>1</v>
          </cell>
        </row>
      </sheetData>
      <sheetData sheetId="5">
        <row r="191">
          <cell r="A191" t="b">
            <v>1</v>
          </cell>
        </row>
      </sheetData>
      <sheetData sheetId="6">
        <row r="195">
          <cell r="A195" t="b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719.733963541665" createdVersion="7" refreshedVersion="7" minRefreshableVersion="3" recordCount="64" xr:uid="{3BF5CE48-9F68-409E-A6FE-0E63365A2257}">
  <cacheSource type="worksheet">
    <worksheetSource ref="A1:CC65" sheet="Master "/>
  </cacheSource>
  <cacheFields count="81">
    <cacheField name="Service Area" numFmtId="0">
      <sharedItems count="4">
        <s v="Indiantown"/>
        <s v="Ft. Meade "/>
        <s v="FPUC"/>
        <s v="CFG"/>
      </sharedItems>
    </cacheField>
    <cacheField name="Service" numFmtId="0">
      <sharedItems/>
    </cacheField>
    <cacheField name="Customer Class Code" numFmtId="0">
      <sharedItems/>
    </cacheField>
    <cacheField name="Current Customer Class " numFmtId="0">
      <sharedItems/>
    </cacheField>
    <cacheField name="Rate Code" numFmtId="0">
      <sharedItems/>
    </cacheField>
    <cacheField name="Fixed (Y/N)" numFmtId="0">
      <sharedItems/>
    </cacheField>
    <cacheField name="Rate" numFmtId="0">
      <sharedItems/>
    </cacheField>
    <cacheField name="Fcst Code" numFmtId="0">
      <sharedItems/>
    </cacheField>
    <cacheField name="Horsepower Desc Code" numFmtId="0">
      <sharedItems/>
    </cacheField>
    <cacheField name="Customer Growth Rate Select Model" numFmtId="164">
      <sharedItems/>
    </cacheField>
    <cacheField name="Customer Growth Rate Median" numFmtId="10">
      <sharedItems containsSemiMixedTypes="0" containsString="0" containsNumber="1" minValue="-8.9379418530954602E-2" maxValue="0.10817508987692429"/>
    </cacheField>
    <cacheField name="Customer Growth Rate Low" numFmtId="10">
      <sharedItems containsSemiMixedTypes="0" containsString="0" containsNumber="1" minValue="-0.17888305563978787" maxValue="7.5972852686745126E-2"/>
    </cacheField>
    <cacheField name="Customer Growth Rate Average" numFmtId="10">
      <sharedItems containsSemiMixedTypes="0" containsString="0" containsNumber="1" minValue="-2.4483754304541958E-2" maxValue="0.13893700428480263"/>
    </cacheField>
    <cacheField name="Customer Growth Rate (Modeled)" numFmtId="10">
      <sharedItems containsSemiMixedTypes="0" containsString="0" containsNumber="1" minValue="-8.9379418530954602E-2" maxValue="0.10817508987692429"/>
    </cacheField>
    <cacheField name="UPC Select Model" numFmtId="10">
      <sharedItems/>
    </cacheField>
    <cacheField name="BP to TY UPC Change Median" numFmtId="10">
      <sharedItems containsSemiMixedTypes="0" containsString="0" containsNumber="1" minValue="-8.2102988836874169E-2" maxValue="3.989071854052504E-2"/>
    </cacheField>
    <cacheField name="BP to TY UPC Change Low" numFmtId="10">
      <sharedItems containsSemiMixedTypes="0" containsString="0" containsNumber="1" minValue="-0.30490523968784827" maxValue="1.5873015873015931E-2"/>
    </cacheField>
    <cacheField name="BP to TY UPC Change Average" numFmtId="10">
      <sharedItems containsSemiMixedTypes="0" containsString="0" containsNumber="1" minValue="-2.9141040695421366E-2" maxValue="6.1455204850682725E-2"/>
    </cacheField>
    <cacheField name="BP to TY UPC Modeled" numFmtId="10">
      <sharedItems containsSemiMixedTypes="0" containsString="0" containsNumber="1" minValue="-8.2102988836874169E-2" maxValue="3.989071854052504E-2"/>
    </cacheField>
    <cacheField name="TY UPC Median" numFmtId="164">
      <sharedItems containsSemiMixedTypes="0" containsString="0" containsNumber="1" minValue="0" maxValue="19502.099999999999"/>
    </cacheField>
    <cacheField name="TY UPC Low" numFmtId="164">
      <sharedItems containsSemiMixedTypes="0" containsString="0" containsNumber="1" minValue="0" maxValue="17678.5"/>
    </cacheField>
    <cacheField name="TY UPC Average" numFmtId="164">
      <sharedItems containsSemiMixedTypes="0" containsString="0" containsNumber="1" minValue="0" maxValue="21325.699999999997"/>
    </cacheField>
    <cacheField name="UPC (Modeled)" numFmtId="164">
      <sharedItems containsSemiMixedTypes="0" containsString="0" containsNumber="1" minValue="0" maxValue="3405406.7120000003"/>
    </cacheField>
    <cacheField name="2019-2021 Actuals Average UPC" numFmtId="164">
      <sharedItems containsSemiMixedTypes="0" containsString="0" containsNumber="1" minValue="0" maxValue="3435259.5675000008"/>
    </cacheField>
    <cacheField name="2019 Actual Bills" numFmtId="164">
      <sharedItems containsSemiMixedTypes="0" containsString="0" containsNumber="1" containsInteger="1" minValue="0" maxValue="670256"/>
    </cacheField>
    <cacheField name="2020 Actual Bills" numFmtId="164">
      <sharedItems containsSemiMixedTypes="0" containsString="0" containsNumber="1" containsInteger="1" minValue="0" maxValue="698292"/>
    </cacheField>
    <cacheField name="2021 Actual Bills" numFmtId="164">
      <sharedItems containsString="0" containsBlank="1" containsNumber="1" minValue="0" maxValue="732742"/>
    </cacheField>
    <cacheField name="2022 Forecasted Bills" numFmtId="164">
      <sharedItems containsString="0" containsBlank="1" containsNumber="1" minValue="0" maxValue="753862.3213910698"/>
    </cacheField>
    <cacheField name="2023 Forecasted Bills" numFmtId="164">
      <sharedItems containsSemiMixedTypes="0" containsString="0" containsNumber="1" minValue="0" maxValue="775591.40818068653"/>
    </cacheField>
    <cacheField name="Billing Det Fcst Calc Method" numFmtId="164">
      <sharedItems/>
    </cacheField>
    <cacheField name="2019 Billing Determinants (Therms)" numFmtId="164">
      <sharedItems containsSemiMixedTypes="0" containsString="0" containsNumber="1" minValue="0" maxValue="32997446.559999995"/>
    </cacheField>
    <cacheField name="2020 Billing Determinants (Therms)" numFmtId="164">
      <sharedItems containsSemiMixedTypes="0" containsString="0" containsNumber="1" minValue="0" maxValue="29910522.709999993"/>
    </cacheField>
    <cacheField name="2021 Billing Determinants (Therms)" numFmtId="164">
      <sharedItems containsSemiMixedTypes="0" containsString="0" containsNumber="1" minValue="0" maxValue="32542765.020000007"/>
    </cacheField>
    <cacheField name="2022 Billing Determinants (Therms)" numFmtId="164">
      <sharedItems containsSemiMixedTypes="0" containsString="0" containsNumber="1" minValue="0" maxValue="32333814.541406397"/>
    </cacheField>
    <cacheField name="2023 Billing Determinants (Therms)" numFmtId="164">
      <sharedItems containsSemiMixedTypes="0" containsString="0" containsNumber="1" minValue="0" maxValue="32126205.691358417"/>
    </cacheField>
    <cacheField name="2019 Actuals Peak Month UPC (Therms)" numFmtId="177">
      <sharedItems containsSemiMixedTypes="0" containsString="0" containsNumber="1" minValue="0" maxValue="371183.92499999999"/>
    </cacheField>
    <cacheField name="2020 Actuals Peak Month UPC (Therms)" numFmtId="177">
      <sharedItems containsSemiMixedTypes="0" containsString="0" containsNumber="1" minValue="0" maxValue="238439.79"/>
    </cacheField>
    <cacheField name="2021 Actuals Peak Month UPC (Therms)" numFmtId="177">
      <sharedItems containsSemiMixedTypes="0" containsString="0" containsNumber="1" minValue="0" maxValue="300696.50800000003"/>
    </cacheField>
    <cacheField name="2022 Actuals Peak Month UPC (Therms)" numFmtId="177">
      <sharedItems containsSemiMixedTypes="0" containsString="0" containsNumber="1" minValue="0" maxValue="300696.50800000003"/>
    </cacheField>
    <cacheField name="2023 Actuals Peak Month UPC (Therms)" numFmtId="177">
      <sharedItems containsSemiMixedTypes="0" containsString="0" containsNumber="1" minValue="0" maxValue="300696.50800000003"/>
    </cacheField>
    <cacheField name="Current Customer Charge" numFmtId="44">
      <sharedItems containsString="0" containsBlank="1" containsNumber="1" minValue="0" maxValue="16692.25"/>
    </cacheField>
    <cacheField name="Current Volumetric Charge" numFmtId="170">
      <sharedItems containsSemiMixedTypes="0" containsString="0" containsNumber="1" minValue="0" maxValue="0.55700000000000005"/>
    </cacheField>
    <cacheField name="Administrative Charge" numFmtId="44">
      <sharedItems containsSemiMixedTypes="0" containsString="0" containsNumber="1" minValue="0" maxValue="55"/>
    </cacheField>
    <cacheField name="Current Demand Charge" numFmtId="170">
      <sharedItems containsString="0" containsBlank="1" containsNumber="1" minValue="5.3000000000000005E-2" maxValue="5.3000000000000005E-2"/>
    </cacheField>
    <cacheField name="2021 Revenue Current Rate_ Customer Charge" numFmtId="165">
      <sharedItems containsSemiMixedTypes="0" containsString="0" containsNumber="1" minValue="0" maxValue="8060162"/>
    </cacheField>
    <cacheField name="2021 Revenue Current Rate_Volumetric Charge" numFmtId="165">
      <sharedItems containsSemiMixedTypes="0" containsString="0" containsNumber="1" minValue="0" maxValue="11509074.276973201"/>
    </cacheField>
    <cacheField name="2021 Revenue Current Rate_Min Bill Charge" numFmtId="165">
      <sharedItems containsSemiMixedTypes="0" containsString="0" containsNumber="1" minValue="0" maxValue="429251.16"/>
    </cacheField>
    <cacheField name="2021 Revenue Current Rate_Demand Charge" numFmtId="165">
      <sharedItems containsSemiMixedTypes="0" containsString="0" containsNumber="1" containsInteger="1" minValue="0" maxValue="0"/>
    </cacheField>
    <cacheField name="2021 Revenue Current Rate_Admin Charge" numFmtId="165">
      <sharedItems containsSemiMixedTypes="0" containsString="0" containsNumber="1" minValue="0" maxValue="78933"/>
    </cacheField>
    <cacheField name="2021 Revenue Current Base Rate_Total" numFmtId="165">
      <sharedItems containsSemiMixedTypes="0" containsString="0" containsNumber="1" minValue="0" maxValue="16037624.530928886"/>
    </cacheField>
    <cacheField name="2021 Marin Revenue" numFmtId="165">
      <sharedItems containsSemiMixedTypes="0" containsString="0" containsNumber="1" minValue="-5701.67" maxValue="15985486.179999882"/>
    </cacheField>
    <cacheField name="2021 Margin Difference" numFmtId="165">
      <sharedItems containsString="0" containsBlank="1" containsNumber="1" minValue="-52138.350929003209" maxValue="59638.383052798454"/>
    </cacheField>
    <cacheField name="x" numFmtId="165">
      <sharedItems containsNonDate="0" containsString="0" containsBlank="1"/>
    </cacheField>
    <cacheField name="x2" numFmtId="165">
      <sharedItems containsNonDate="0" containsString="0" containsBlank="1"/>
    </cacheField>
    <cacheField name="x3" numFmtId="165">
      <sharedItems containsNonDate="0" containsString="0" containsBlank="1"/>
    </cacheField>
    <cacheField name="x4" numFmtId="165">
      <sharedItems containsNonDate="0" containsString="0" containsBlank="1"/>
    </cacheField>
    <cacheField name="x5" numFmtId="165">
      <sharedItems containsNonDate="0" containsString="0" containsBlank="1"/>
    </cacheField>
    <cacheField name="x6" numFmtId="165">
      <sharedItems containsNonDate="0" containsString="0" containsBlank="1"/>
    </cacheField>
    <cacheField name="x7" numFmtId="0">
      <sharedItems containsNonDate="0" containsString="0" containsBlank="1"/>
    </cacheField>
    <cacheField name="x8" numFmtId="42">
      <sharedItems containsNonDate="0" containsString="0" containsBlank="1"/>
    </cacheField>
    <cacheField name="x9" numFmtId="42">
      <sharedItems containsNonDate="0" containsString="0" containsBlank="1"/>
    </cacheField>
    <cacheField name="GRIP Codes" numFmtId="0">
      <sharedItems/>
    </cacheField>
    <cacheField name="2023 GRIP Rate" numFmtId="170">
      <sharedItems containsSemiMixedTypes="0" containsString="0" containsNumber="1" minValue="0" maxValue="1.1405100000000004"/>
    </cacheField>
    <cacheField name="2023 GRIP Revenue" numFmtId="164">
      <sharedItems containsSemiMixedTypes="0" containsString="0" containsNumber="1" minValue="0" maxValue="5142763.0070726555"/>
    </cacheField>
    <cacheField name="2021 GRIP Rate" numFmtId="0">
      <sharedItems containsSemiMixedTypes="0" containsString="0" containsNumber="1" minValue="0" maxValue="42.915289937304081"/>
    </cacheField>
    <cacheField name="2021 GRIP Revenue" numFmtId="164">
      <sharedItems containsSemiMixedTypes="0" containsString="0" containsNumber="1" minValue="0" maxValue="3588910.1986756469"/>
    </cacheField>
    <cacheField name="2021 GRIP Over/Under" numFmtId="164">
      <sharedItems containsSemiMixedTypes="0" containsString="0" containsNumber="1" minValue="0" maxValue="706262.4402816731"/>
    </cacheField>
    <cacheField name="2021 GRIP Total" numFmtId="164">
      <sharedItems containsSemiMixedTypes="0" containsString="0" containsNumber="1" minValue="0" maxValue="4295172.6389573198"/>
    </cacheField>
    <cacheField name="Conservation Revenue" numFmtId="0">
      <sharedItems containsSemiMixedTypes="0" containsString="0" containsNumber="1" minValue="0" maxValue="1223484.1587332131"/>
    </cacheField>
    <cacheField name="Conservation Revenue Adjusted" numFmtId="164">
      <sharedItems containsSemiMixedTypes="0" containsString="0" containsNumber="1" minValue="0" maxValue="1222562.727108659"/>
    </cacheField>
    <cacheField name="PGA and SWING Revenue" numFmtId="0">
      <sharedItems containsSemiMixedTypes="0" containsString="0" containsNumber="1" minValue="0" maxValue="15943878.162230372"/>
    </cacheField>
    <cacheField name="PGA and SWING Revenue Adjusted" numFmtId="164">
      <sharedItems containsSemiMixedTypes="0" containsString="0" containsNumber="1" minValue="0" maxValue="16025511.84243843"/>
    </cacheField>
    <cacheField name="Total Revenue" numFmtId="164">
      <sharedItems containsSemiMixedTypes="0" containsString="0" containsNumber="1" minValue="0" maxValue="37580871.739433289"/>
    </cacheField>
    <cacheField name="Unbilled Revenue" numFmtId="164">
      <sharedItems containsSemiMixedTypes="0" containsString="0" containsNumber="1" minValue="0" maxValue="22849.113538418082"/>
    </cacheField>
    <cacheField name="Unbilled BD" numFmtId="164">
      <sharedItems containsSemiMixedTypes="0" containsString="0" containsNumber="1" minValue="0" maxValue="53947.531029646059"/>
    </cacheField>
    <cacheField name="Unbilled Fuel Rev" numFmtId="164">
      <sharedItems containsSemiMixedTypes="0" containsString="0" containsNumber="1" minValue="0" maxValue="45666.586456418911"/>
    </cacheField>
    <cacheField name="x10" numFmtId="164">
      <sharedItems containsNonDate="0" containsString="0" containsBlank="1"/>
    </cacheField>
    <cacheField name="2023 Peak Month" numFmtId="164">
      <sharedItems containsSemiMixedTypes="0" containsString="0" containsNumber="1" minValue="0" maxValue="2895968.2292605718"/>
    </cacheField>
    <cacheField name="x11" numFmtId="164">
      <sharedItems containsNonDate="0" containsString="0" containsBlank="1"/>
    </cacheField>
    <cacheField name="x12" numFmtId="164">
      <sharedItems containsNonDate="0" containsString="0" containsBlank="1"/>
    </cacheField>
    <cacheField name="MFR E-1 Header " numFmtId="0">
      <sharedItems containsBlank="1" count="42">
        <s v="TS-1"/>
        <s v="TS-2"/>
        <s v="TS-3"/>
        <s v="TS-4"/>
        <s v="RS"/>
        <s v="GS"/>
        <s v="GS-TS"/>
        <s v="LVS"/>
        <s v="LVTS"/>
        <m/>
        <s v="RS-GS"/>
        <s v="CS-GS"/>
        <s v="GS-1"/>
        <s v="GSTS-1"/>
        <s v="GS-2"/>
        <s v="GSTS-2"/>
        <s v="IS"/>
        <s v="ITS"/>
        <s v="NVGTS"/>
        <s v="GLS"/>
        <s v="GLSTS"/>
        <s v="FTS-A"/>
        <s v="FTS-B"/>
        <s v="FTS-1"/>
        <s v="FTS-2"/>
        <s v="FTS-2.1"/>
        <s v="FTS-3"/>
        <s v="FTS-3.1"/>
        <s v="FTS-4"/>
        <s v="FTS-5"/>
        <s v="FTS-6"/>
        <s v="FTS-7"/>
        <s v="FTS-8"/>
        <s v="FTS-9"/>
        <s v="FTS-10"/>
        <s v="FTS-11"/>
        <s v="FTS-12"/>
        <s v="FTS-13"/>
        <s v="NGV"/>
        <s v="Residential" u="1"/>
        <s v="Commercial" u="1"/>
        <s v="Transportatio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">
  <r>
    <x v="0"/>
    <s v="Transportation"/>
    <s v="Residential"/>
    <s v="Indiantown - Transportation Service 1"/>
    <s v="TS1R"/>
    <s v="N"/>
    <s v="IGC - IGC - TS1"/>
    <s v="TS_1"/>
    <s v="TS-1"/>
    <s v="Median"/>
    <n v="2.5051703091705339E-3"/>
    <n v="2.1962264791334546E-3"/>
    <n v="2.8092644708525663E-3"/>
    <n v="2.5051703091705339E-3"/>
    <s v="Median"/>
    <n v="-4.3943718717954036E-2"/>
    <n v="-6.1471465285679532E-2"/>
    <n v="-2.9141040695421366E-2"/>
    <n v="-4.3943718717954036E-2"/>
    <n v="147.81172002816606"/>
    <n v="132.87148021723644"/>
    <n v="162.75195983909569"/>
    <n v="147.81172002816606"/>
    <n v="173.96730921704659"/>
    <n v="8032"/>
    <n v="8086"/>
    <n v="8098"/>
    <n v="8118.2868691636631"/>
    <n v="8138.6245603896205"/>
    <s v="Modeled UPC"/>
    <n v="114642.48000000004"/>
    <n v="120526.06999999999"/>
    <n v="115897.47999999994"/>
    <n v="99998.162151096345"/>
    <n v="100248.67457788889"/>
    <n v="16.672690582959692"/>
    <n v="17.892218934911245"/>
    <n v="17.51724444444443"/>
    <n v="14.5850242029399"/>
    <n v="13.325217575345899"/>
    <n v="9"/>
    <n v="0.37835000000000002"/>
    <n v="0"/>
    <m/>
    <n v="72882"/>
    <n v="43849.811557999979"/>
    <n v="0"/>
    <n v="0"/>
    <n v="0"/>
    <n v="116731.81155799999"/>
    <n v="116511.5"/>
    <n v="-220.31155799998669"/>
    <m/>
    <m/>
    <m/>
    <m/>
    <m/>
    <m/>
    <m/>
    <m/>
    <m/>
    <s v="TS1R"/>
    <n v="0"/>
    <n v="0"/>
    <n v="0"/>
    <n v="0"/>
    <n v="0"/>
    <n v="0"/>
    <n v="8537.0083767999949"/>
    <n v="8562.2868149517162"/>
    <n v="12204.004643999993"/>
    <n v="12204.202789897321"/>
    <n v="137498.30116284903"/>
    <n v="0"/>
    <n v="0"/>
    <n v="0"/>
    <m/>
    <n v="8356.119454195481"/>
    <m/>
    <m/>
    <x v="0"/>
  </r>
  <r>
    <x v="0"/>
    <s v="Transportation"/>
    <s v="Commercial"/>
    <s v="Indiantown - Transportation Service 2"/>
    <s v="TS2C"/>
    <s v="N"/>
    <s v="IGC - IGC - TS2"/>
    <s v="Base Period"/>
    <s v="TS-2"/>
    <s v="Base Period"/>
    <n v="0"/>
    <n v="0"/>
    <n v="0"/>
    <n v="0"/>
    <s v="Base Period"/>
    <n v="0"/>
    <n v="0"/>
    <n v="0"/>
    <n v="0"/>
    <n v="0"/>
    <n v="0"/>
    <n v="0"/>
    <n v="3722.1586206896554"/>
    <n v="3702.0793450881611"/>
    <n v="272"/>
    <n v="261"/>
    <n v="261"/>
    <n v="261"/>
    <n v="261"/>
    <s v="Base Period"/>
    <n v="83536.34"/>
    <n v="80460.960000000006"/>
    <n v="80956.95"/>
    <n v="80956.95"/>
    <n v="80956.95"/>
    <n v="307.78130434782605"/>
    <n v="336.03727272727269"/>
    <n v="317.39238095238096"/>
    <n v="317.39238095238096"/>
    <n v="317.39238095238096"/>
    <n v="25"/>
    <n v="5.7619999999999998E-2"/>
    <n v="0"/>
    <m/>
    <n v="6525"/>
    <n v="4664.7394589999994"/>
    <n v="0"/>
    <n v="0"/>
    <n v="0"/>
    <n v="11189.739459"/>
    <n v="10741.07"/>
    <n v="-448.66945900000064"/>
    <m/>
    <m/>
    <m/>
    <m/>
    <m/>
    <m/>
    <m/>
    <m/>
    <m/>
    <s v="TS2C"/>
    <n v="0"/>
    <n v="0"/>
    <n v="0"/>
    <n v="0"/>
    <n v="0"/>
    <n v="0"/>
    <n v="826.57045949999997"/>
    <n v="829.01796913291685"/>
    <n v="7949.9724899999992"/>
    <n v="7950.1015668463879"/>
    <n v="19968.858994979306"/>
    <n v="0"/>
    <n v="0"/>
    <n v="0"/>
    <m/>
    <n v="6665.2400000000007"/>
    <m/>
    <m/>
    <x v="1"/>
  </r>
  <r>
    <x v="0"/>
    <s v="Transportation"/>
    <s v="Commercial"/>
    <s v="Indiantown - Transportation Service 3"/>
    <s v="TS3C"/>
    <s v="N"/>
    <s v="IGC - IGC - TS3"/>
    <s v="Base Period"/>
    <s v="TS-3"/>
    <s v="Base Period"/>
    <n v="0"/>
    <n v="0"/>
    <n v="0"/>
    <n v="0"/>
    <s v="Base Period"/>
    <n v="0"/>
    <n v="0"/>
    <n v="0"/>
    <n v="0"/>
    <n v="0"/>
    <n v="0"/>
    <n v="0"/>
    <n v="7985.92"/>
    <n v="5507.5366666666669"/>
    <n v="12"/>
    <n v="12"/>
    <n v="12"/>
    <n v="12"/>
    <n v="12"/>
    <s v="Base Period"/>
    <n v="3870.09"/>
    <n v="4666.6000000000004"/>
    <n v="7985.92"/>
    <n v="7985.92"/>
    <n v="7985.92"/>
    <n v="445.11"/>
    <n v="325.58999999999997"/>
    <n v="944.37"/>
    <n v="944.37"/>
    <n v="944.37"/>
    <n v="60"/>
    <n v="4.7849999999999997E-2"/>
    <n v="0"/>
    <m/>
    <n v="720"/>
    <n v="382.12627199999997"/>
    <n v="0"/>
    <n v="0"/>
    <n v="0"/>
    <n v="1102.126272"/>
    <n v="1102.1299999999999"/>
    <n v="3.7279999999100255E-3"/>
    <m/>
    <m/>
    <m/>
    <m/>
    <m/>
    <m/>
    <m/>
    <m/>
    <m/>
    <s v="TS3C"/>
    <n v="0"/>
    <n v="0"/>
    <n v="0"/>
    <n v="0"/>
    <n v="0"/>
    <n v="0"/>
    <n v="137.91683840000002"/>
    <n v="138.3252159153659"/>
    <n v="746.68352000000004"/>
    <n v="746.69564325629221"/>
    <n v="1987.147131171658"/>
    <n v="0"/>
    <n v="0"/>
    <n v="0"/>
    <m/>
    <n v="944.37"/>
    <m/>
    <m/>
    <x v="2"/>
  </r>
  <r>
    <x v="0"/>
    <s v="Transportation"/>
    <s v="Commercial"/>
    <s v="Indiantown - Transportation Service 4"/>
    <s v="TS4I"/>
    <s v="N"/>
    <s v="IGC - IGC - TS4"/>
    <s v="Base Period"/>
    <s v="TS-4"/>
    <s v="Base Period"/>
    <n v="0"/>
    <n v="0"/>
    <n v="0"/>
    <n v="0"/>
    <s v="Base Period"/>
    <n v="0"/>
    <n v="0"/>
    <n v="0"/>
    <n v="0"/>
    <n v="0"/>
    <n v="0"/>
    <n v="0"/>
    <n v="0"/>
    <n v="0"/>
    <n v="24"/>
    <n v="24"/>
    <m/>
    <m/>
    <n v="0"/>
    <s v="Base Period"/>
    <n v="0"/>
    <n v="0"/>
    <n v="0"/>
    <n v="0"/>
    <n v="0"/>
    <n v="0"/>
    <n v="0"/>
    <n v="0"/>
    <n v="0"/>
    <n v="0"/>
    <m/>
    <n v="3.9100000000000003E-2"/>
    <n v="0"/>
    <m/>
    <n v="0"/>
    <n v="0"/>
    <n v="0"/>
    <n v="0"/>
    <n v="0"/>
    <n v="0"/>
    <n v="-5701.67"/>
    <n v="-5701.67"/>
    <m/>
    <m/>
    <m/>
    <m/>
    <m/>
    <m/>
    <m/>
    <m/>
    <m/>
    <s v="TS4I"/>
    <n v="0"/>
    <n v="0"/>
    <n v="0"/>
    <n v="0"/>
    <n v="0"/>
    <n v="0"/>
    <n v="0"/>
    <n v="0"/>
    <n v="0"/>
    <n v="0"/>
    <n v="0"/>
    <n v="0"/>
    <n v="0"/>
    <n v="0"/>
    <m/>
    <n v="0"/>
    <m/>
    <m/>
    <x v="3"/>
  </r>
  <r>
    <x v="0"/>
    <s v="Transportation"/>
    <s v="Commercial"/>
    <s v="Indiantown - Transportation Service NGV"/>
    <s v="TSNGV"/>
    <s v="N"/>
    <s v="TSNGV"/>
    <s v="Base Period"/>
    <s v="TS-1"/>
    <s v="Base Period"/>
    <n v="0"/>
    <n v="0"/>
    <n v="0"/>
    <n v="0"/>
    <s v="Base Period"/>
    <n v="0"/>
    <n v="0"/>
    <n v="0"/>
    <n v="0"/>
    <n v="0"/>
    <n v="0"/>
    <n v="0"/>
    <n v="0"/>
    <n v="0"/>
    <n v="0"/>
    <n v="0"/>
    <n v="0"/>
    <n v="0"/>
    <n v="0"/>
    <s v="Base Period"/>
    <n v="0"/>
    <n v="0"/>
    <n v="0"/>
    <n v="0"/>
    <n v="0"/>
    <n v="0"/>
    <n v="0"/>
    <n v="0"/>
    <n v="0"/>
    <n v="0"/>
    <n v="100"/>
    <n v="0.17111000000000001"/>
    <n v="0"/>
    <n v="5.3000000000000005E-2"/>
    <n v="0"/>
    <n v="0"/>
    <n v="0"/>
    <n v="0"/>
    <n v="0"/>
    <n v="0"/>
    <n v="0"/>
    <n v="0"/>
    <m/>
    <m/>
    <m/>
    <m/>
    <m/>
    <m/>
    <m/>
    <m/>
    <m/>
    <s v="TSNGV"/>
    <n v="0"/>
    <n v="0"/>
    <n v="0"/>
    <n v="0"/>
    <n v="0"/>
    <n v="0"/>
    <n v="0"/>
    <n v="0"/>
    <n v="0"/>
    <n v="0"/>
    <n v="0"/>
    <n v="0"/>
    <n v="0"/>
    <n v="0"/>
    <m/>
    <n v="0"/>
    <m/>
    <m/>
    <x v="0"/>
  </r>
  <r>
    <x v="1"/>
    <s v="Sales"/>
    <s v="Residential"/>
    <s v="Ft. Meade - Residential Service"/>
    <s v="FMRES"/>
    <s v="N"/>
    <s v="FT - FT-RS"/>
    <s v="FortMeade_RS"/>
    <s v="RS"/>
    <s v="Median"/>
    <n v="-5.2281762574494024E-2"/>
    <n v="-9.3566278230524977E-2"/>
    <n v="-1.3984642768931832E-2"/>
    <n v="-5.2281762574494024E-2"/>
    <s v="Median"/>
    <n v="-1.1031629750926494E-2"/>
    <n v="-3.148573302722199E-2"/>
    <n v="2.2761220570452607E-3"/>
    <n v="-1.1031629750926494E-2"/>
    <n v="114.75"/>
    <n v="88.59"/>
    <n v="140.91"/>
    <n v="114.75"/>
    <n v="123.93831925211205"/>
    <n v="6720"/>
    <n v="6652"/>
    <n v="6631"/>
    <n v="6284.3196323685306"/>
    <n v="5955.764325406808"/>
    <s v="Modeled UPC"/>
    <n v="69507.229999999952"/>
    <n v="69665.909999999887"/>
    <n v="67421.709999999992"/>
    <n v="60093.806484524081"/>
    <n v="56951.996361702601"/>
    <n v="16.963439716312099"/>
    <n v="14.428053097345094"/>
    <n v="17.402196428571411"/>
    <n v="12.14"/>
    <n v="11.89"/>
    <n v="8.5"/>
    <n v="0.55700000000000005"/>
    <n v="0"/>
    <m/>
    <n v="56363.5"/>
    <n v="37553.892469999999"/>
    <n v="0"/>
    <n v="0"/>
    <n v="0"/>
    <n v="93917.392469999992"/>
    <n v="93782.43999999993"/>
    <n v="-134.95247000006202"/>
    <m/>
    <m/>
    <m/>
    <m/>
    <m/>
    <m/>
    <m/>
    <m/>
    <m/>
    <s v="FMRES"/>
    <n v="0.15244999999999995"/>
    <n v="8682.3318453415577"/>
    <n v="0.16325419999999999"/>
    <n v="11006.877328681998"/>
    <n v="10468.487841437231"/>
    <n v="21475.365170119228"/>
    <n v="5152.3670781999999"/>
    <n v="5847.8146646702698"/>
    <n v="0"/>
    <n v="0"/>
    <n v="121240.57230478949"/>
    <n v="165.37570699033375"/>
    <n v="296.90432134709829"/>
    <n v="0"/>
    <m/>
    <n v="4809.6995871744011"/>
    <m/>
    <m/>
    <x v="4"/>
  </r>
  <r>
    <x v="1"/>
    <s v="Sales"/>
    <s v="Commercial"/>
    <s v="Ft. Meade - General Service-1"/>
    <s v="FMCS1"/>
    <s v="N"/>
    <s v="FMCS1"/>
    <s v="GS1_FortMeade"/>
    <s v="GS-1"/>
    <s v="Median"/>
    <n v="-2.7622859351881829E-2"/>
    <n v="-6.0693781438392269E-2"/>
    <n v="-1.4200244051049466E-4"/>
    <n v="-2.7622859351881829E-2"/>
    <s v="Median"/>
    <n v="-6.3629918468627502E-3"/>
    <n v="4.9025615884296754E-4"/>
    <n v="4.9025615884296754E-4"/>
    <n v="-6.3629918468627502E-3"/>
    <n v="2803.05"/>
    <n v="2340.9"/>
    <n v="3265.2000000000003"/>
    <n v="2803.05"/>
    <n v="1990.4446814044218"/>
    <n v="238"/>
    <n v="255"/>
    <n v="276"/>
    <n v="268.37609081888064"/>
    <n v="260.96277580878285"/>
    <s v="UPC Growth Rate"/>
    <n v="42766.890000000007"/>
    <n v="40341.090000000004"/>
    <n v="44446.350000000006"/>
    <n v="42943.615032116053"/>
    <n v="41491.687664489524"/>
    <n v="466.45875000000001"/>
    <n v="338.95235294117651"/>
    <n v="391.81210526315789"/>
    <n v="383.0073388527498"/>
    <n v="374.40043236167674"/>
    <n v="17.5"/>
    <n v="0.55700000000000005"/>
    <n v="0"/>
    <m/>
    <n v="4830"/>
    <n v="24756.616950000007"/>
    <n v="0"/>
    <n v="0"/>
    <n v="0"/>
    <n v="29586.616950000007"/>
    <n v="96620.73000000001"/>
    <n v="-356.85768999998982"/>
    <m/>
    <m/>
    <m/>
    <m/>
    <m/>
    <m/>
    <m/>
    <m/>
    <m/>
    <s v="FMCS1"/>
    <n v="1.4560000000000002E-2"/>
    <n v="604.1189723949675"/>
    <n v="1.9593889999999999E-2"/>
    <n v="870.87689280150005"/>
    <n v="828.27889249973225"/>
    <n v="1699.1557853012323"/>
    <n v="2135.6471175000006"/>
    <n v="2423.908922389965"/>
    <n v="0"/>
    <n v="0"/>
    <n v="33709.681657691202"/>
    <n v="52.097993426738114"/>
    <n v="93.533201843335917"/>
    <n v="0"/>
    <m/>
    <n v="6960.4124443192823"/>
    <m/>
    <m/>
    <x v="5"/>
  </r>
  <r>
    <x v="1"/>
    <s v="Transportation"/>
    <s v="Commercial"/>
    <s v="Ft. Meade - General Transportation Service-1"/>
    <s v="FMCT1"/>
    <s v="N"/>
    <s v="FMCT1"/>
    <s v="GS1_FortMeade"/>
    <s v="GSTS1"/>
    <s v="Median"/>
    <n v="-2.7622859351881829E-2"/>
    <n v="-6.0693781438392269E-2"/>
    <n v="-1.4200244051049466E-4"/>
    <n v="-2.7622859351881829E-2"/>
    <s v="Median"/>
    <n v="-6.3629918468627502E-3"/>
    <n v="4.9025615884296754E-4"/>
    <n v="4.9025615884296754E-4"/>
    <n v="-6.3629918468627502E-3"/>
    <n v="2803.05"/>
    <n v="2340.9"/>
    <n v="3265.2000000000003"/>
    <n v="2803.05"/>
    <n v="3868.045540540541"/>
    <n v="92"/>
    <n v="96"/>
    <n v="108"/>
    <n v="105.01673118999676"/>
    <n v="102.1158687947411"/>
    <s v="UPC Growth Rate"/>
    <n v="31338.15"/>
    <n v="29489.78"/>
    <n v="34583.86"/>
    <n v="33414.576678728336"/>
    <n v="32284.826928475177"/>
    <n v="618.62"/>
    <n v="619.31750000000011"/>
    <n v="459.54799999999994"/>
    <n v="449.22107865168533"/>
    <n v="439.12622295164743"/>
    <n v="17.5"/>
    <n v="0.55700000000000005"/>
    <n v="4.5"/>
    <m/>
    <n v="1890"/>
    <n v="19263.210020000002"/>
    <n v="0"/>
    <n v="0"/>
    <n v="468"/>
    <n v="21621.210020000002"/>
    <n v="0"/>
    <m/>
    <m/>
    <m/>
    <m/>
    <m/>
    <m/>
    <m/>
    <m/>
    <m/>
    <m/>
    <s v="FMCT1"/>
    <n v="1.4560000000000003E-2"/>
    <n v="470.06708007859868"/>
    <n v="1.9593889999999999E-2"/>
    <n v="677.63234861540002"/>
    <n v="644.48669596414084"/>
    <n v="1322.119044579541"/>
    <n v="0"/>
    <n v="0"/>
    <n v="0"/>
    <n v="0"/>
    <n v="22943.329064579542"/>
    <n v="38.071999221934846"/>
    <n v="68.351883701857886"/>
    <n v="0"/>
    <m/>
    <n v="2462.5775245360637"/>
    <m/>
    <m/>
    <x v="6"/>
  </r>
  <r>
    <x v="1"/>
    <s v="Sales"/>
    <s v="Commercial"/>
    <s v="Ft. Meade - Large Volume Service"/>
    <s v="FMLV1"/>
    <s v="N"/>
    <s v="FMLV1"/>
    <s v="Base Period"/>
    <s v="LVS"/>
    <s v="Base Period"/>
    <n v="0"/>
    <n v="0"/>
    <n v="0"/>
    <n v="0"/>
    <s v="Base Period"/>
    <n v="0"/>
    <n v="0"/>
    <n v="0"/>
    <n v="0"/>
    <n v="0"/>
    <n v="0"/>
    <n v="0"/>
    <n v="13662.630000000001"/>
    <n v="27944.368484848492"/>
    <n v="27"/>
    <n v="48"/>
    <n v="24"/>
    <n v="24"/>
    <n v="24"/>
    <s v="Base Period"/>
    <n v="77382.11"/>
    <n v="125833.67000000001"/>
    <n v="27325.26"/>
    <n v="27325.26"/>
    <n v="27325.26"/>
    <n v="0"/>
    <n v="7636.52"/>
    <n v="1342.7049999999999"/>
    <n v="1342.7049999999999"/>
    <n v="1342.7049999999999"/>
    <n v="175"/>
    <n v="0.218"/>
    <n v="0"/>
    <m/>
    <n v="4200"/>
    <n v="5956.9066800000001"/>
    <n v="0"/>
    <n v="0"/>
    <n v="0"/>
    <n v="10156.90668"/>
    <n v="0"/>
    <m/>
    <m/>
    <m/>
    <m/>
    <m/>
    <m/>
    <m/>
    <m/>
    <m/>
    <m/>
    <s v="FMLV1"/>
    <n v="0"/>
    <n v="0"/>
    <n v="0"/>
    <n v="0"/>
    <n v="0"/>
    <n v="0"/>
    <n v="810.19395899999995"/>
    <n v="919.55096419928509"/>
    <n v="0"/>
    <n v="0"/>
    <n v="11076.457644199285"/>
    <n v="17.884926091579807"/>
    <n v="82.040945374219305"/>
    <n v="0"/>
    <m/>
    <n v="2685.41"/>
    <m/>
    <m/>
    <x v="7"/>
  </r>
  <r>
    <x v="1"/>
    <s v="Transportation"/>
    <s v="Commercial"/>
    <s v="Ft. Meade - Large Volume Transportation Service"/>
    <s v="FMLT1"/>
    <s v="N"/>
    <s v="FMLT1"/>
    <s v="Base Period"/>
    <s v="LVTS"/>
    <s v="Base Period"/>
    <n v="0"/>
    <n v="0"/>
    <n v="0"/>
    <n v="0"/>
    <s v="Base Period"/>
    <n v="0"/>
    <n v="0"/>
    <n v="0"/>
    <n v="0"/>
    <n v="0"/>
    <n v="0"/>
    <n v="0"/>
    <n v="70919.389999999985"/>
    <n v="70919.389999999985"/>
    <n v="0"/>
    <n v="0"/>
    <n v="24"/>
    <n v="24"/>
    <n v="24"/>
    <s v="Base Period"/>
    <n v="0"/>
    <n v="0"/>
    <n v="141838.77999999997"/>
    <n v="141838.77999999997"/>
    <n v="141838.77999999997"/>
    <n v="0"/>
    <n v="0"/>
    <n v="7477.89"/>
    <n v="7477.89"/>
    <n v="7477.89"/>
    <n v="175"/>
    <n v="0.218"/>
    <n v="55"/>
    <m/>
    <n v="4200"/>
    <n v="30920.854039999995"/>
    <n v="0"/>
    <n v="0"/>
    <n v="492"/>
    <n v="35612.854039999991"/>
    <n v="0"/>
    <m/>
    <m/>
    <m/>
    <m/>
    <m/>
    <m/>
    <m/>
    <m/>
    <m/>
    <m/>
    <s v="FMLT1"/>
    <n v="0"/>
    <n v="0"/>
    <n v="0"/>
    <n v="0"/>
    <n v="0"/>
    <n v="0"/>
    <n v="4205.5198269999992"/>
    <n v="4773.1654487404785"/>
    <n v="14921.439655999997"/>
    <n v="18917"/>
    <n v="59303.019488740472"/>
    <n v="62.70937426941282"/>
    <n v="287.65768013492118"/>
    <n v="30.261587950193707"/>
    <m/>
    <n v="14955.78"/>
    <m/>
    <m/>
    <x v="8"/>
  </r>
  <r>
    <x v="1"/>
    <s v="Sales"/>
    <s v="Residential"/>
    <s v="Ft. Meade - Natural Gas Vehicle Service"/>
    <s v="FMPA1"/>
    <s v="N"/>
    <s v="GCNGV"/>
    <s v="Base Period"/>
    <s v="GS-1"/>
    <s v="Base Period"/>
    <n v="0"/>
    <n v="0"/>
    <n v="0"/>
    <n v="0"/>
    <s v="Base Period"/>
    <n v="0"/>
    <n v="0"/>
    <n v="0"/>
    <n v="0"/>
    <n v="0"/>
    <n v="0"/>
    <n v="0"/>
    <n v="0"/>
    <n v="0"/>
    <n v="0"/>
    <n v="0"/>
    <n v="0"/>
    <n v="0"/>
    <n v="0"/>
    <s v="Base Period"/>
    <n v="0"/>
    <n v="0"/>
    <n v="0"/>
    <n v="0"/>
    <n v="0"/>
    <n v="0"/>
    <n v="0"/>
    <n v="0"/>
    <n v="0"/>
    <n v="0"/>
    <n v="17.5"/>
    <n v="0.55700000000000005"/>
    <n v="0"/>
    <m/>
    <n v="0"/>
    <n v="0"/>
    <n v="0"/>
    <n v="0"/>
    <n v="0"/>
    <n v="0"/>
    <n v="0"/>
    <n v="0"/>
    <m/>
    <m/>
    <m/>
    <m/>
    <m/>
    <m/>
    <m/>
    <m/>
    <m/>
    <s v="FMPA1"/>
    <n v="1.4560000000000002E-2"/>
    <n v="0"/>
    <n v="0"/>
    <n v="0"/>
    <n v="0"/>
    <n v="0"/>
    <n v="0"/>
    <n v="0"/>
    <n v="0"/>
    <n v="0"/>
    <n v="0"/>
    <n v="0"/>
    <n v="0"/>
    <n v="0"/>
    <m/>
    <n v="0"/>
    <m/>
    <m/>
    <x v="9"/>
  </r>
  <r>
    <x v="1"/>
    <s v="Transportation"/>
    <s v="Commercial"/>
    <s v="Ft. Meade - Natural Gas Vehicle Transportation Service"/>
    <s v="FMPT1"/>
    <s v="N"/>
    <s v="GTNGV"/>
    <s v="Base Period"/>
    <s v="GSTS1"/>
    <s v="Base Period"/>
    <n v="0"/>
    <n v="0"/>
    <n v="0"/>
    <n v="0"/>
    <s v="Base Period"/>
    <n v="0"/>
    <n v="0"/>
    <n v="0"/>
    <n v="0"/>
    <n v="0"/>
    <n v="0"/>
    <n v="0"/>
    <n v="0"/>
    <n v="0"/>
    <n v="0"/>
    <n v="0"/>
    <n v="0"/>
    <n v="0"/>
    <n v="0"/>
    <s v="Base Period"/>
    <n v="0"/>
    <n v="0"/>
    <n v="0"/>
    <n v="0"/>
    <n v="0"/>
    <n v="0"/>
    <n v="0"/>
    <n v="0"/>
    <n v="0"/>
    <n v="0"/>
    <n v="17.5"/>
    <n v="0.55700000000000005"/>
    <n v="55"/>
    <m/>
    <n v="0"/>
    <n v="0"/>
    <n v="0"/>
    <n v="0"/>
    <n v="0"/>
    <n v="0"/>
    <n v="0"/>
    <n v="0"/>
    <m/>
    <m/>
    <m/>
    <m/>
    <m/>
    <m/>
    <m/>
    <m/>
    <m/>
    <s v="FMPT1"/>
    <n v="1.4560000000000003E-2"/>
    <n v="0"/>
    <n v="0"/>
    <n v="0"/>
    <n v="0"/>
    <n v="0"/>
    <n v="0"/>
    <n v="0"/>
    <n v="0"/>
    <n v="0"/>
    <n v="0"/>
    <n v="0"/>
    <n v="0"/>
    <n v="0"/>
    <m/>
    <n v="0"/>
    <m/>
    <m/>
    <x v="9"/>
  </r>
  <r>
    <x v="2"/>
    <s v="Sales"/>
    <s v="Residential"/>
    <s v="FPUC - Residential Service"/>
    <s v="GRS31"/>
    <s v="N"/>
    <s v="FPU - FPU - RS"/>
    <s v="FPU_RS"/>
    <s v="RS"/>
    <s v="Median"/>
    <n v="2.8823680628474693E-2"/>
    <n v="2.3852475637664031E-2"/>
    <n v="3.3743559110069571E-2"/>
    <n v="2.8823680628474693E-2"/>
    <s v="Median"/>
    <n v="0"/>
    <n v="0"/>
    <n v="0"/>
    <n v="0"/>
    <n v="250.70017607354299"/>
    <n v="232.63967216629609"/>
    <n v="268.76067998078992"/>
    <n v="250.70017607354299"/>
    <n v="255.64008497637661"/>
    <n v="670256"/>
    <n v="698292"/>
    <n v="732742"/>
    <n v="753862.3213910698"/>
    <n v="775591.40818068653"/>
    <s v="Modeled UPC"/>
    <n v="13679044.58000033"/>
    <n v="15075452.140000366"/>
    <n v="16009999.460000172"/>
    <n v="15749451.392329255"/>
    <n v="16203408.549335439"/>
    <n v="35.310483947206386"/>
    <n v="33.202974894663456"/>
    <n v="41.778947870630972"/>
    <n v="32.2930448046408"/>
    <n v="32.2930448046408"/>
    <n v="11"/>
    <n v="0.49828"/>
    <n v="0"/>
    <m/>
    <n v="8060162"/>
    <n v="7977462.5309288856"/>
    <n v="0"/>
    <n v="0"/>
    <n v="0"/>
    <n v="16037624.530928886"/>
    <n v="15985486.179999882"/>
    <n v="-52138.350929003209"/>
    <m/>
    <m/>
    <m/>
    <m/>
    <m/>
    <m/>
    <m/>
    <m/>
    <m/>
    <s v="GRS31"/>
    <n v="0.31642000000000003"/>
    <n v="5127082.5331807202"/>
    <n v="0.22416679073864304"/>
    <n v="3588910.1986756469"/>
    <n v="706262.4402816731"/>
    <n v="4295172.6389573198"/>
    <n v="1223484.1587332131"/>
    <n v="1222562.727108659"/>
    <n v="15943878.162230372"/>
    <n v="16025511.84243843"/>
    <n v="37580871.739433289"/>
    <n v="22849.113538418082"/>
    <n v="45855.971619206233"/>
    <n v="45666.586456418911"/>
    <m/>
    <n v="1320965.3781318688"/>
    <m/>
    <m/>
    <x v="4"/>
  </r>
  <r>
    <x v="2"/>
    <s v="Sales"/>
    <s v="Residential"/>
    <s v="FPUC - Residential Standby Generator Service"/>
    <s v="GEN31"/>
    <s v="N"/>
    <s v="FPU - FPU - RS-GS"/>
    <s v="RS_GS"/>
    <s v="RS-GS"/>
    <s v="Median"/>
    <n v="0.10817508987692429"/>
    <n v="7.5972852686745126E-2"/>
    <n v="0.13893700428480263"/>
    <n v="0.10817508987692429"/>
    <s v="Median"/>
    <n v="-6.5016495904125227E-3"/>
    <n v="-3.741269434140309E-2"/>
    <n v="1.1806468915858643E-2"/>
    <n v="-6.5016495904125227E-3"/>
    <n v="80.956336657055985"/>
    <n v="58.353016544855414"/>
    <n v="103.55965676925655"/>
    <n v="80.956336657055985"/>
    <n v="108.81766713830919"/>
    <n v="6827"/>
    <n v="7161"/>
    <n v="8628"/>
    <n v="9561.3346754581016"/>
    <n v="10595.632913319134"/>
    <s v="Historical Average"/>
    <n v="60641.200000000026"/>
    <n v="67503.669999999984"/>
    <n v="76940.160000000018"/>
    <n v="86910.511175997774"/>
    <n v="96311.671290106227"/>
    <n v="18.588472222222229"/>
    <n v="15.744042553191498"/>
    <n v="15.235575757575763"/>
    <n v="16.522696844329829"/>
    <n v="16.522696844329829"/>
    <n v="21.25"/>
    <n v="0.49828"/>
    <n v="0"/>
    <m/>
    <n v="183345"/>
    <n v="38337.742924800012"/>
    <n v="0"/>
    <n v="0"/>
    <n v="0"/>
    <n v="221682.74292480003"/>
    <n v="208015.15999999997"/>
    <n v="-13667.582924800052"/>
    <m/>
    <m/>
    <m/>
    <m/>
    <m/>
    <m/>
    <m/>
    <m/>
    <m/>
    <s v="GRS31"/>
    <n v="0.31642000000000003"/>
    <n v="30474.939029615416"/>
    <n v="0.22416679073864304"/>
    <n v="17247.428746117719"/>
    <n v="3394.1253585315112"/>
    <n v="20641.554104649229"/>
    <n v="5879.7670272000014"/>
    <n v="5875.338851121709"/>
    <n v="76622.397139200024"/>
    <n v="77014.708733731255"/>
    <n v="325214.34461430222"/>
    <n v="315.83568706377042"/>
    <n v="633.85182440348888"/>
    <n v="631.23401636870244"/>
    <m/>
    <n v="13391.882722575305"/>
    <m/>
    <m/>
    <x v="10"/>
  </r>
  <r>
    <x v="2"/>
    <s v="Sales"/>
    <s v="Commercial"/>
    <s v="FPUC - Commercial Standby Generator Service"/>
    <s v="GEN11"/>
    <s v="N"/>
    <s v="FPU - FPU - CS - GS"/>
    <s v="CSGS"/>
    <s v="CS-GS"/>
    <s v="Median"/>
    <n v="6.0576162758234124E-2"/>
    <n v="5.2586431702868877E-2"/>
    <n v="6.8444875878733269E-2"/>
    <n v="6.0576162758234124E-2"/>
    <s v="Median"/>
    <n v="-3.2834133097367192E-2"/>
    <n v="-6.4512138571494793E-2"/>
    <n v="-1.3997876852005481E-2"/>
    <n v="-3.2834133097367192E-2"/>
    <n v="113.23523775289279"/>
    <n v="81.682565062384668"/>
    <n v="144.7879104434009"/>
    <n v="113.23523775289279"/>
    <n v="206.2406441784548"/>
    <n v="2890"/>
    <n v="3064"/>
    <n v="3236"/>
    <n v="3432.0244626856456"/>
    <n v="3639.9233351275325"/>
    <s v="Historical Average"/>
    <n v="47649.58"/>
    <n v="60220.289999999994"/>
    <n v="50076.090000000004"/>
    <n v="59114.244668375228"/>
    <n v="62695.344449740995"/>
    <n v="15.893544303797466"/>
    <n v="38.783967611336031"/>
    <n v="22.291358490566044"/>
    <n v="25.656290135233178"/>
    <n v="25.656290135233178"/>
    <n v="35.81"/>
    <n v="0.39135999999999999"/>
    <n v="0"/>
    <m/>
    <n v="115881.16"/>
    <n v="19597.778582400002"/>
    <n v="0"/>
    <n v="0"/>
    <n v="0"/>
    <n v="135478.93858240001"/>
    <n v="127456.08999999997"/>
    <n v="-8022.8485824000381"/>
    <m/>
    <m/>
    <m/>
    <m/>
    <m/>
    <m/>
    <m/>
    <m/>
    <m/>
    <s v="GCS11"/>
    <n v="0.22966000000000003"/>
    <n v="14398.612806327519"/>
    <n v="0.15179948367288987"/>
    <n v="7601.524606357164"/>
    <n v="1495.9057265707295"/>
    <n v="9097.4303329278937"/>
    <n v="2406.1561245000003"/>
    <n v="2404.3439977708531"/>
    <n v="49869.275748300002"/>
    <n v="50124.609643053911"/>
    <n v="197105.32255615268"/>
    <n v="193.01946143980055"/>
    <n v="493.2018127550096"/>
    <n v="491.16488926833142"/>
    <m/>
    <n v="7647.5699092552395"/>
    <m/>
    <m/>
    <x v="11"/>
  </r>
  <r>
    <x v="2"/>
    <s v="Sales"/>
    <s v="Commercial"/>
    <s v="FPUC - General Service-1"/>
    <s v="GCS11"/>
    <s v="N"/>
    <s v="FPU - FPU - GS - 1"/>
    <s v="GS1"/>
    <s v="GS-1"/>
    <s v="Median"/>
    <n v="-3.3336450138164629E-2"/>
    <n v="-4.7282751453629437E-2"/>
    <n v="-2.0003514486837203E-2"/>
    <n v="-3.3336450138164629E-2"/>
    <s v="Median"/>
    <n v="3.989071854052504E-2"/>
    <n v="1.5873015873015931E-2"/>
    <n v="6.1455204850682725E-2"/>
    <n v="3.989071854052504E-2"/>
    <n v="3482.75"/>
    <n v="3219.2000000000003"/>
    <n v="3746.3"/>
    <n v="3482.75"/>
    <n v="1067.0139875078075"/>
    <n v="10765"/>
    <n v="10713"/>
    <n v="10542"/>
    <n v="10190.567142643467"/>
    <n v="9850.849809213114"/>
    <s v="UPC Growth Rate"/>
    <n v="981263.19999999984"/>
    <n v="881718.45"/>
    <n v="984167.33999999985"/>
    <n v="989309.07645755517"/>
    <n v="994477.67567789927"/>
    <n v="117.97827896512935"/>
    <n v="126.08586786114211"/>
    <n v="133.92147356580415"/>
    <n v="134.47592552642692"/>
    <n v="135.03267298879749"/>
    <n v="20"/>
    <n v="0.39135999999999999"/>
    <n v="0"/>
    <m/>
    <n v="210840"/>
    <n v="385163.73018239992"/>
    <n v="0"/>
    <n v="0"/>
    <n v="0"/>
    <n v="596003.73018239997"/>
    <n v="592262.1599999998"/>
    <n v="-3741.5701824001735"/>
    <m/>
    <m/>
    <m/>
    <m/>
    <m/>
    <m/>
    <m/>
    <m/>
    <m/>
    <s v="GCS11"/>
    <n v="0.22966"/>
    <n v="228391.74299618634"/>
    <n v="0.15179948367288987"/>
    <n v="149396.09405972142"/>
    <n v="29399.690746819128"/>
    <n v="178795.78480654056"/>
    <n v="47289.240686999998"/>
    <n v="47253.62616632221"/>
    <n v="980102.72888579988"/>
    <n v="985120.91780613689"/>
    <n v="1807174.0589613996"/>
    <n v="849.13803001158055"/>
    <n v="2169.7108289339244"/>
    <n v="2160.7499232104274"/>
    <m/>
    <n v="120303.44667428841"/>
    <m/>
    <m/>
    <x v="12"/>
  </r>
  <r>
    <x v="2"/>
    <s v="Transportation"/>
    <s v="Commercial"/>
    <s v="FPUC - General Transportation Service -1"/>
    <s v="GCPT1"/>
    <s v="N"/>
    <s v="FPU - FPU - GSTS - 1"/>
    <s v="GS1"/>
    <s v="GSTS1"/>
    <s v="Median"/>
    <n v="-3.3336450138164629E-2"/>
    <n v="-4.7282751453629437E-2"/>
    <n v="-2.0003514486837203E-2"/>
    <n v="-3.3336450138164629E-2"/>
    <s v="Median"/>
    <n v="3.989071854052504E-2"/>
    <n v="1.5873015873015931E-2"/>
    <n v="6.1455204850682725E-2"/>
    <n v="3.989071854052504E-2"/>
    <n v="3482.75"/>
    <n v="3219.2000000000003"/>
    <n v="3746.3"/>
    <n v="3482.75"/>
    <n v="2123.9767894116108"/>
    <n v="4362"/>
    <n v="4465"/>
    <n v="2619.5"/>
    <n v="2532.1751688630775"/>
    <n v="2447.7614376051747"/>
    <s v="UPC Growth Rate"/>
    <n v="681290.39000000013"/>
    <n v="639383.85000000009"/>
    <n v="705334.12000000011"/>
    <n v="709019.10527858254"/>
    <n v="712723.34259122703"/>
    <n v="204.59732044198898"/>
    <n v="216.33707446808509"/>
    <n v="214.88761643835628"/>
    <n v="215.77727854462972"/>
    <n v="216.6706239653559"/>
    <n v="20"/>
    <n v="0.39135999999999999"/>
    <n v="4.5"/>
    <m/>
    <n v="52390"/>
    <n v="276039.56120320002"/>
    <n v="0"/>
    <n v="0"/>
    <n v="3465"/>
    <n v="331894.56120320002"/>
    <n v="334990.41000000003"/>
    <n v="3095.8487968000118"/>
    <m/>
    <m/>
    <m/>
    <m/>
    <m/>
    <m/>
    <m/>
    <m/>
    <m/>
    <s v="GCPT1"/>
    <n v="0.22965999999999998"/>
    <n v="163684.04285950118"/>
    <n v="0.15179948367288987"/>
    <n v="107069.35523287216"/>
    <n v="21070.202351136562"/>
    <n v="128139.55758400873"/>
    <n v="33891.304466000009"/>
    <n v="33865.780212572245"/>
    <n v="81818.757920000018"/>
    <n v="82237.675215472336"/>
    <n v="576137.57421525335"/>
    <n v="472.85659401056796"/>
    <n v="1208.2394573041904"/>
    <n v="140.15577704728611"/>
    <m/>
    <n v="79255.670203978618"/>
    <m/>
    <m/>
    <x v="13"/>
  </r>
  <r>
    <x v="2"/>
    <s v="Sales"/>
    <s v="Commercial"/>
    <s v="FPUC - General Service - 2"/>
    <s v="GCS41"/>
    <s v="N"/>
    <s v="FPU - FPU - GS - 2"/>
    <s v="GS2"/>
    <s v="GS-2"/>
    <s v="Median"/>
    <n v="1.8587655739112818E-2"/>
    <n v="8.309696626712066E-3"/>
    <n v="2.8580676964871994E-2"/>
    <n v="1.8587655739112818E-2"/>
    <s v="Median"/>
    <n v="-1.8292273161028501E-2"/>
    <n v="-3.0189122518501168E-2"/>
    <n v="-8.2525835790934997E-3"/>
    <n v="-1.8292273161028501E-2"/>
    <n v="3652.1"/>
    <n v="3302.4"/>
    <n v="4001.7999999999997"/>
    <n v="3652.1"/>
    <n v="3012.5167820821653"/>
    <n v="24964"/>
    <n v="25616"/>
    <n v="26215"/>
    <n v="26702.275395200846"/>
    <n v="27198.608097697826"/>
    <s v="UPC Growth Rate"/>
    <n v="6702935.9999999981"/>
    <n v="5960624.3199999994"/>
    <n v="6615291.8699999936"/>
    <n v="6614996.6434283946"/>
    <n v="6614701.4300321369"/>
    <n v="364.16759999999971"/>
    <n v="353.48441838649194"/>
    <n v="345.30090991810704"/>
    <n v="337.13471961633456"/>
    <n v="329.16165554773818"/>
    <n v="33"/>
    <n v="0.39135999999999999"/>
    <n v="0"/>
    <m/>
    <n v="865095"/>
    <n v="2588960.6262431974"/>
    <n v="0"/>
    <n v="0"/>
    <n v="0"/>
    <n v="3454055.6262431974"/>
    <n v="3453378.8899999969"/>
    <n v="-676.73624320048839"/>
    <m/>
    <m/>
    <m/>
    <m/>
    <m/>
    <m/>
    <m/>
    <m/>
    <m/>
    <s v="GCS41"/>
    <n v="0.22965999999999995"/>
    <n v="1519132.3304211802"/>
    <n v="0.15179948367288987"/>
    <n v="1004197.8902114651"/>
    <n v="197616.32729851271"/>
    <n v="1201814.2175099778"/>
    <n v="234776.70846629978"/>
    <n v="234599.89319464678"/>
    <n v="6587970.7145768935"/>
    <n v="6621701.5477569802"/>
    <n v="11512171.284704801"/>
    <n v="4921.0597878656954"/>
    <n v="12574.25334184816"/>
    <n v="12522.321675546327"/>
    <m/>
    <n v="758903.65891497571"/>
    <m/>
    <m/>
    <x v="14"/>
  </r>
  <r>
    <x v="2"/>
    <s v="Transportation"/>
    <s v="Commercial"/>
    <s v="FPUC - General Transportation Service-2"/>
    <s v="GCT96"/>
    <s v="N"/>
    <s v="FPU - FPU - GSTS - 2"/>
    <s v="GS2"/>
    <s v="GSTS2"/>
    <s v="Median"/>
    <n v="1.8587655739112818E-2"/>
    <n v="8.309696626712066E-3"/>
    <n v="2.8580676964871994E-2"/>
    <n v="1.8587655739112818E-2"/>
    <s v="Median"/>
    <n v="-1.8292273161028501E-2"/>
    <n v="-3.0189122518501168E-2"/>
    <n v="-8.2525835790934997E-3"/>
    <n v="-1.8292273161028501E-2"/>
    <n v="3652.1"/>
    <n v="3302.4"/>
    <n v="4001.7999999999997"/>
    <n v="3652.1"/>
    <n v="6538.219680981595"/>
    <n v="9439"/>
    <n v="9817"/>
    <n v="10084"/>
    <n v="10271.437920473214"/>
    <n v="10462.35987248464"/>
    <s v="UPC Growth Rate"/>
    <n v="5285544.8599999994"/>
    <n v="4996441.4899999974"/>
    <n v="5703960.7700000023"/>
    <n v="5703706.2142198849"/>
    <n v="5703451.669800058"/>
    <n v="681.10299999999961"/>
    <n v="702.17314930991176"/>
    <n v="697.73033816425254"/>
    <n v="681.22937174015397"/>
    <n v="665.11864475102914"/>
    <n v="33"/>
    <n v="0.39135999999999999"/>
    <n v="4.5"/>
    <m/>
    <n v="332772"/>
    <n v="2232302.0869472008"/>
    <n v="0"/>
    <n v="0"/>
    <n v="68174"/>
    <n v="2633248.0869472008"/>
    <n v="2692886.4699999993"/>
    <n v="59638.383052798454"/>
    <m/>
    <m/>
    <m/>
    <m/>
    <m/>
    <m/>
    <m/>
    <m/>
    <m/>
    <s v="GCT96"/>
    <n v="0.22966"/>
    <n v="1309854.7104862814"/>
    <n v="0.15179948367288987"/>
    <n v="865858.29977641965"/>
    <n v="170392.44837162388"/>
    <n v="1036250.7481480435"/>
    <n v="202433.56772730008"/>
    <n v="202281.11075444613"/>
    <n v="623442.91216100019"/>
    <n v="626634.97991274041"/>
    <n v="4498414.9257624308"/>
    <n v="3751.6394274878285"/>
    <n v="9586.1596164345574"/>
    <n v="1047.7672460762972"/>
    <m/>
    <n v="577669.15622775175"/>
    <m/>
    <m/>
    <x v="15"/>
  </r>
  <r>
    <x v="2"/>
    <s v="Sales"/>
    <s v="Commercial"/>
    <s v="FPUC - Large Volume Service"/>
    <s v="GLV51"/>
    <s v="N"/>
    <s v="FPU - FPU - LVS"/>
    <s v="LVS"/>
    <s v="LVS"/>
    <s v="Median"/>
    <n v="1.1133093100946111E-2"/>
    <n v="1.0311691202693724E-2"/>
    <n v="1.1943602949465048E-2"/>
    <n v="1.1133093100946111E-2"/>
    <s v="Median"/>
    <n v="-1.7360612496315646E-2"/>
    <n v="-3.1097397223485902E-2"/>
    <n v="-5.6743474733534482E-3"/>
    <n v="-1.7360612496315646E-2"/>
    <n v="19502.099999999999"/>
    <n v="17678.5"/>
    <n v="21325.699999999997"/>
    <n v="19502.099999999999"/>
    <n v="12714.193689295702"/>
    <n v="7873"/>
    <n v="7824"/>
    <n v="7901"/>
    <n v="7988.9625685905758"/>
    <n v="8077.9044326466683"/>
    <s v="UPC Growth Rate"/>
    <n v="9095256.9100000001"/>
    <n v="7704386.799999997"/>
    <n v="8202818.1799999988"/>
    <n v="8150149.5520123653"/>
    <n v="8097819.0985780656"/>
    <n v="1422.2135585585595"/>
    <n v="1501.8132511556237"/>
    <n v="1354.3189701492531"/>
    <n v="1304.6627001690138"/>
    <n v="1256.8270833751346"/>
    <n v="90"/>
    <n v="0.35365999999999997"/>
    <n v="0"/>
    <m/>
    <n v="711090"/>
    <n v="2901008.6775387996"/>
    <n v="298823.74"/>
    <n v="0"/>
    <n v="0"/>
    <n v="3910922.4175387993"/>
    <n v="3906648.1200000057"/>
    <n v="-4274.2975387936458"/>
    <m/>
    <m/>
    <m/>
    <m/>
    <m/>
    <m/>
    <m/>
    <m/>
    <m/>
    <s v="GLV51"/>
    <n v="0.16008"/>
    <n v="1296298.8813003767"/>
    <n v="0.10220922550548883"/>
    <n v="838403.69314014341"/>
    <n v="164989.65019432059"/>
    <n v="1003393.343334464"/>
    <n v="243213.55903699997"/>
    <n v="243030.3897959294"/>
    <n v="8168940.5409165993"/>
    <n v="8210766.0411475003"/>
    <n v="13368112.191816693"/>
    <n v="5571.9667327261477"/>
    <n v="15755.151085014273"/>
    <n v="15690.082311033164"/>
    <m/>
    <n v="895778.737688369"/>
    <m/>
    <m/>
    <x v="7"/>
  </r>
  <r>
    <x v="2"/>
    <s v="Transportation"/>
    <s v="Commercial"/>
    <s v="FPUC - Large Volume Transportation Service"/>
    <s v="GLT91"/>
    <s v="N"/>
    <s v="FPU - FPU - LVTS &gt;50k"/>
    <s v="LVS"/>
    <s v="LVTS"/>
    <s v="Median"/>
    <n v="1.1133093100946111E-2"/>
    <n v="1.0311691202693724E-2"/>
    <n v="1.1943602949465048E-2"/>
    <n v="1.1133093100946111E-2"/>
    <s v="Median"/>
    <n v="-1.7360612496315646E-2"/>
    <n v="-3.1097397223485902E-2"/>
    <n v="-5.6743474733534482E-3"/>
    <n v="-1.7360612496315646E-2"/>
    <n v="19502.099999999999"/>
    <n v="17678.5"/>
    <n v="21325.699999999997"/>
    <n v="19502.099999999999"/>
    <n v="25224.268569666798"/>
    <n v="14923"/>
    <n v="15217"/>
    <n v="15269"/>
    <n v="15438.991198558346"/>
    <n v="15610.874924956584"/>
    <s v="UPC Growth Rate"/>
    <n v="32997446.559999995"/>
    <n v="29910522.709999993"/>
    <n v="32542765.020000007"/>
    <n v="32333814.541406397"/>
    <n v="32126205.691358417"/>
    <n v="2682.2998775510182"/>
    <n v="2553.5531408227844"/>
    <n v="2330.0383955520251"/>
    <n v="2244.6072540085347"/>
    <n v="2162.3084556742187"/>
    <n v="90"/>
    <n v="0.35365999999999997"/>
    <n v="55"/>
    <m/>
    <n v="1374210"/>
    <n v="11509074.276973201"/>
    <n v="429251.16"/>
    <n v="0"/>
    <n v="78933"/>
    <n v="13391468.436973201"/>
    <n v="13394092.929999972"/>
    <n v="2624.4930267706513"/>
    <m/>
    <m/>
    <m/>
    <m/>
    <m/>
    <m/>
    <m/>
    <m/>
    <m/>
    <s v="GLP91"/>
    <n v="0.16008"/>
    <n v="5142763.0070726555"/>
    <n v="0.10220922550548883"/>
    <n v="3326170.8085013144"/>
    <n v="654557.89695508953"/>
    <n v="3980728.705456404"/>
    <n v="964892.98284300021"/>
    <n v="964166.30166584277"/>
    <n v="3423498.8801040007"/>
    <n v="3441027.414249043"/>
    <n v="21777390.858344492"/>
    <n v="19079.083823944624"/>
    <n v="53947.531029646059"/>
    <n v="5675.2802643187651"/>
    <m/>
    <n v="2895968.2292605718"/>
    <m/>
    <m/>
    <x v="8"/>
  </r>
  <r>
    <x v="2"/>
    <s v="Sales"/>
    <s v="Commercial"/>
    <s v="FPUC - Interruptible Service (IS)"/>
    <s v="GIS61"/>
    <s v="N"/>
    <s v="FPU - FPU - IS"/>
    <s v="Base Period"/>
    <s v="IS"/>
    <s v="Base Period"/>
    <n v="0"/>
    <n v="0"/>
    <n v="0"/>
    <n v="0"/>
    <s v="Base Period"/>
    <n v="0"/>
    <n v="0"/>
    <n v="0"/>
    <n v="0"/>
    <n v="0"/>
    <n v="0"/>
    <n v="0"/>
    <n v="0"/>
    <n v="0"/>
    <n v="0"/>
    <n v="0"/>
    <n v="0"/>
    <n v="0"/>
    <n v="0"/>
    <s v="Base Period"/>
    <n v="0"/>
    <n v="0"/>
    <n v="0"/>
    <n v="0"/>
    <n v="0"/>
    <n v="0"/>
    <n v="0"/>
    <n v="0"/>
    <n v="0"/>
    <n v="0"/>
    <n v="280"/>
    <n v="0.23080000000000001"/>
    <n v="30"/>
    <m/>
    <n v="0"/>
    <n v="0"/>
    <n v="0"/>
    <n v="0"/>
    <n v="0"/>
    <n v="0"/>
    <n v="0"/>
    <n v="0"/>
    <m/>
    <m/>
    <m/>
    <m/>
    <m/>
    <m/>
    <m/>
    <m/>
    <m/>
    <s v="GIS61"/>
    <n v="0"/>
    <n v="0"/>
    <n v="6.114420386821167E-2"/>
    <n v="0"/>
    <n v="0"/>
    <n v="0"/>
    <n v="0"/>
    <n v="0"/>
    <n v="0"/>
    <n v="0"/>
    <n v="0"/>
    <n v="0"/>
    <n v="0"/>
    <n v="0"/>
    <m/>
    <n v="0"/>
    <m/>
    <m/>
    <x v="16"/>
  </r>
  <r>
    <x v="2"/>
    <s v="Transportation"/>
    <s v="Commercial"/>
    <s v="FPUC - Interruptible Transportation Service (ITS)"/>
    <s v="GIT92"/>
    <s v="N"/>
    <s v="FPU - FPU - ITS"/>
    <s v="Base Period"/>
    <s v="ITS"/>
    <s v="Base Period"/>
    <n v="0"/>
    <n v="0"/>
    <n v="0"/>
    <n v="0"/>
    <s v="Base Period"/>
    <n v="0"/>
    <n v="0"/>
    <n v="0"/>
    <n v="0"/>
    <n v="0"/>
    <n v="0"/>
    <n v="0"/>
    <n v="530317.79888888879"/>
    <n v="547013.58360554697"/>
    <n v="216"/>
    <n v="217"/>
    <n v="216"/>
    <n v="216"/>
    <n v="216"/>
    <s v="Base Period"/>
    <n v="9991202.8100000005"/>
    <n v="10047394.789999999"/>
    <n v="9545720.379999999"/>
    <n v="9545720.379999999"/>
    <n v="9545720.379999999"/>
    <n v="50412.742777777785"/>
    <n v="44831.080000000009"/>
    <n v="51952.443888888891"/>
    <n v="51952.443888888891"/>
    <n v="51952.443888888891"/>
    <n v="280"/>
    <n v="0.23080000000000001"/>
    <n v="50.5"/>
    <m/>
    <n v="60480"/>
    <n v="2203152.263704"/>
    <n v="59438.99"/>
    <n v="0"/>
    <n v="6930"/>
    <n v="2330001.2537040003"/>
    <n v="2334123.7199999997"/>
    <n v="4122.4662959994748"/>
    <m/>
    <m/>
    <m/>
    <m/>
    <m/>
    <m/>
    <m/>
    <m/>
    <m/>
    <s v="GIT92"/>
    <n v="9.536E-2"/>
    <n v="910279.89543679985"/>
    <n v="6.114420386821167E-2"/>
    <n v="583665.47298366297"/>
    <n v="114859.65890417472"/>
    <n v="698525.13188783766"/>
    <n v="0"/>
    <n v="0"/>
    <n v="0"/>
    <n v="0"/>
    <n v="3028526.385591838"/>
    <n v="3319.597805015806"/>
    <n v="14383.006087590147"/>
    <n v="0"/>
    <m/>
    <n v="935143.99"/>
    <m/>
    <m/>
    <x v="17"/>
  </r>
  <r>
    <x v="2"/>
    <s v="Sales"/>
    <s v="Commercial"/>
    <s v="FPUC - Natural Gas Vehicle Service"/>
    <s v="GCNGV"/>
    <s v="N"/>
    <s v="FPU - FPU-NGVS"/>
    <s v="Base Period"/>
    <s v="GS-1"/>
    <s v="Base Period"/>
    <n v="0"/>
    <n v="0"/>
    <n v="0"/>
    <n v="0"/>
    <s v="Base Period"/>
    <n v="0"/>
    <n v="0"/>
    <n v="0"/>
    <n v="0"/>
    <n v="0"/>
    <n v="0"/>
    <n v="0"/>
    <n v="0"/>
    <n v="0"/>
    <n v="0"/>
    <n v="0"/>
    <n v="0"/>
    <n v="0"/>
    <n v="0"/>
    <s v="Base Period"/>
    <n v="0"/>
    <n v="0"/>
    <n v="0"/>
    <n v="0"/>
    <n v="0"/>
    <n v="0"/>
    <n v="0"/>
    <n v="0"/>
    <n v="0"/>
    <n v="0"/>
    <n v="100"/>
    <n v="0.17111000000000001"/>
    <n v="0"/>
    <m/>
    <n v="0"/>
    <n v="0"/>
    <n v="0"/>
    <n v="0"/>
    <n v="0"/>
    <n v="0"/>
    <n v="0"/>
    <n v="0"/>
    <m/>
    <m/>
    <m/>
    <m/>
    <m/>
    <m/>
    <m/>
    <m/>
    <m/>
    <s v="GCNGV"/>
    <n v="0.22966"/>
    <n v="0"/>
    <n v="0.15179948367288987"/>
    <n v="0"/>
    <n v="0"/>
    <n v="0"/>
    <n v="0"/>
    <n v="0"/>
    <n v="0"/>
    <n v="0"/>
    <n v="0"/>
    <n v="0"/>
    <n v="0"/>
    <n v="0"/>
    <m/>
    <n v="0"/>
    <m/>
    <m/>
    <x v="12"/>
  </r>
  <r>
    <x v="2"/>
    <s v="Transportation"/>
    <s v="Commercial"/>
    <s v="FPUC - Natural Gas Vehicle Transportation Service"/>
    <s v="GTNGV"/>
    <s v="N"/>
    <s v="FPU - FPU- NGVTS"/>
    <s v="Base Period"/>
    <s v="GSTS1"/>
    <s v="Base Period"/>
    <n v="0"/>
    <n v="0"/>
    <n v="0"/>
    <n v="0"/>
    <s v="Base Period"/>
    <n v="0"/>
    <n v="0"/>
    <n v="0"/>
    <n v="0"/>
    <n v="0"/>
    <n v="0"/>
    <n v="0"/>
    <n v="545656.96499999997"/>
    <n v="461073.4283333334"/>
    <n v="24"/>
    <n v="24"/>
    <n v="24"/>
    <n v="24"/>
    <n v="24"/>
    <s v="Historical Average"/>
    <n v="731973.77"/>
    <n v="943152.87"/>
    <n v="1091313.93"/>
    <n v="922146.8566666668"/>
    <n v="922146.8566666668"/>
    <n v="28253.355"/>
    <n v="36470.474999999999"/>
    <n v="40401.154999999999"/>
    <n v="35041.661666666667"/>
    <n v="35041.661666666667"/>
    <n v="100"/>
    <n v="0.17111000000000001"/>
    <n v="50.5"/>
    <m/>
    <n v="2400"/>
    <n v="186734.7265623"/>
    <n v="0"/>
    <n v="0"/>
    <n v="6898.5"/>
    <n v="196033.2265623"/>
    <n v="189777.39"/>
    <n v="-6255.8365622999845"/>
    <m/>
    <m/>
    <m/>
    <m/>
    <m/>
    <m/>
    <m/>
    <m/>
    <m/>
    <s v="GTNGV"/>
    <n v="0.22965999999999998"/>
    <n v="211780.24710206667"/>
    <n v="0.15179948367288987"/>
    <n v="165660.89109903228"/>
    <n v="32600.44379210534"/>
    <n v="198261.33489113761"/>
    <n v="13946.992025399999"/>
    <n v="13936.488252688376"/>
    <n v="0"/>
    <n v="0"/>
    <n v="408231.04970612598"/>
    <n v="279.29232551779893"/>
    <n v="1632.2384753538595"/>
    <n v="0"/>
    <m/>
    <n v="70083.323333333334"/>
    <m/>
    <m/>
    <x v="18"/>
  </r>
  <r>
    <x v="2"/>
    <s v="Sales"/>
    <s v="Commercial"/>
    <s v="FPUC - Gas Lighting Service"/>
    <s v="LITEG"/>
    <s v="N"/>
    <s v="FPU - FPU - GLS"/>
    <s v="Base Period"/>
    <s v="GLS"/>
    <s v="Base Period"/>
    <n v="0"/>
    <n v="0"/>
    <n v="0"/>
    <n v="0"/>
    <s v="Base Period"/>
    <n v="0"/>
    <n v="0"/>
    <n v="0"/>
    <n v="0"/>
    <n v="0"/>
    <n v="0"/>
    <n v="0"/>
    <n v="3458.5886705202315"/>
    <n v="3436.9512328767123"/>
    <n v="433"/>
    <n v="389"/>
    <n v="346"/>
    <n v="346"/>
    <n v="346"/>
    <s v="Base Period"/>
    <n v="125676.64"/>
    <n v="109130.64"/>
    <n v="99722.64"/>
    <n v="99722.64"/>
    <n v="99722.64"/>
    <n v="296.95549999999997"/>
    <n v="246.65352941176468"/>
    <n v="293.36193548387092"/>
    <n v="293.36193548387092"/>
    <n v="293.36193548387092"/>
    <n v="0"/>
    <n v="0.24210000000000001"/>
    <n v="0"/>
    <m/>
    <n v="0"/>
    <n v="24142.851144"/>
    <n v="0"/>
    <n v="0"/>
    <n v="0"/>
    <n v="24142.851144"/>
    <n v="29582.910000000003"/>
    <n v="5440.0588560000033"/>
    <m/>
    <m/>
    <m/>
    <m/>
    <m/>
    <m/>
    <m/>
    <m/>
    <m/>
    <s v="LITEG"/>
    <n v="1.1405100000000004"/>
    <n v="113734.66814640003"/>
    <n v="0.80045814687627426"/>
    <n v="79823.799616009826"/>
    <n v="15708.543370676156"/>
    <n v="95532.342986685981"/>
    <n v="0"/>
    <n v="0"/>
    <n v="99310.785496800003"/>
    <n v="99819.26309691499"/>
    <n v="219494.45722760097"/>
    <n v="34.396786498307691"/>
    <n v="142.07677198805325"/>
    <n v="141.4899949197426"/>
    <m/>
    <n v="9094.2199999999993"/>
    <m/>
    <m/>
    <x v="19"/>
  </r>
  <r>
    <x v="2"/>
    <s v="Transportation"/>
    <s v="Commercial"/>
    <s v="FPUC - Gas Lighting Transportation Service"/>
    <s v="LA3MX"/>
    <s v="N"/>
    <s v="LA3MX"/>
    <s v="Base Period"/>
    <s v="GLSTS"/>
    <s v="Base Period"/>
    <n v="0"/>
    <n v="0"/>
    <n v="0"/>
    <n v="0"/>
    <s v="Base Period"/>
    <n v="0"/>
    <n v="0"/>
    <n v="0"/>
    <n v="0"/>
    <n v="0"/>
    <n v="0"/>
    <n v="0"/>
    <n v="0"/>
    <n v="0"/>
    <n v="0"/>
    <n v="0"/>
    <n v="0"/>
    <n v="0"/>
    <n v="0"/>
    <s v="Base Period"/>
    <n v="0"/>
    <n v="0"/>
    <n v="0"/>
    <n v="0"/>
    <n v="0"/>
    <n v="0"/>
    <n v="0"/>
    <n v="0"/>
    <n v="0"/>
    <n v="0"/>
    <n v="0"/>
    <n v="0.24210000000000001"/>
    <n v="1.5"/>
    <m/>
    <n v="0"/>
    <n v="0"/>
    <n v="0"/>
    <n v="0"/>
    <n v="0"/>
    <n v="0"/>
    <n v="0"/>
    <n v="0"/>
    <m/>
    <m/>
    <m/>
    <m/>
    <m/>
    <m/>
    <m/>
    <m/>
    <m/>
    <s v="LA3MX"/>
    <n v="0"/>
    <n v="0"/>
    <n v="0.80045814687627426"/>
    <n v="0"/>
    <n v="0"/>
    <n v="0"/>
    <n v="0"/>
    <n v="0"/>
    <n v="0"/>
    <n v="0"/>
    <n v="0"/>
    <n v="0"/>
    <n v="0"/>
    <n v="0"/>
    <m/>
    <n v="0"/>
    <m/>
    <m/>
    <x v="20"/>
  </r>
  <r>
    <x v="3"/>
    <s v="Transportation"/>
    <s v="Residential"/>
    <s v="CFG - Firm Transportation Service - A Residential"/>
    <s v="CR801"/>
    <s v="N"/>
    <s v="CFG - FTS-A R"/>
    <s v="FTS_AB"/>
    <s v="FTS-A"/>
    <s v="Median"/>
    <n v="-7.5316460637900734E-3"/>
    <n v="-8.2150941290087542E-3"/>
    <n v="-6.8560912978240466E-3"/>
    <n v="-7.5316460637900734E-3"/>
    <s v="Median"/>
    <n v="0"/>
    <n v="0"/>
    <n v="0"/>
    <n v="0"/>
    <n v="103.66332451256534"/>
    <n v="96.05709389912397"/>
    <n v="111.26955512600672"/>
    <n v="103.66332451256534"/>
    <n v="77.195336559612741"/>
    <n v="13816"/>
    <n v="13665"/>
    <n v="13433"/>
    <n v="13331.827398425108"/>
    <n v="13231.416793076631"/>
    <s v="UPC Growth Rate"/>
    <n v="83992.079999999783"/>
    <n v="87785.459999999934"/>
    <n v="91419.959999999948"/>
    <n v="90731.417218114104"/>
    <n v="90048.060296761192"/>
    <n v="8.0750042844900847"/>
    <n v="8.1331643356642918"/>
    <n v="10.036914235190098"/>
    <n v="10.036914235190098"/>
    <n v="10.036914235190098"/>
    <n v="13"/>
    <n v="0.46357999999999999"/>
    <n v="0"/>
    <m/>
    <n v="174629"/>
    <n v="42380.465056799978"/>
    <n v="0"/>
    <n v="0"/>
    <n v="0"/>
    <n v="217009.46505679999"/>
    <n v="216032.80000000005"/>
    <n v="-976.66505679994589"/>
    <m/>
    <m/>
    <m/>
    <m/>
    <m/>
    <m/>
    <m/>
    <m/>
    <m/>
    <s v="CC801"/>
    <n v="0.71307000000000009"/>
    <n v="64210.570355811513"/>
    <n v="0.74443089478927815"/>
    <n v="68055.842624399986"/>
    <n v="624.65279653789764"/>
    <n v="68680.495420937877"/>
    <n v="17361.564603599989"/>
    <n v="17380.691075894683"/>
    <n v="8891.5053095999956"/>
    <n v="16041.812757474379"/>
    <n v="319112.46431110695"/>
    <n v="283.38673693502869"/>
    <n v="611.30061032621916"/>
    <n v="59.455097360328075"/>
    <m/>
    <n v="11181.399209469786"/>
    <m/>
    <m/>
    <x v="21"/>
  </r>
  <r>
    <x v="3"/>
    <s v="Transportation"/>
    <s v="Residential"/>
    <s v="CFG - Firm Transportation Service - A (Fixed Residential)"/>
    <s v="CR804"/>
    <s v="Y"/>
    <s v="CFG - FTS-A - Fixed R"/>
    <s v="FTS_AB"/>
    <s v="FTS-A"/>
    <s v="Median"/>
    <n v="-7.5316460637900734E-3"/>
    <n v="-8.2150941290087542E-3"/>
    <n v="-6.8560912978240466E-3"/>
    <n v="-7.5316460637900734E-3"/>
    <s v="Median"/>
    <n v="0"/>
    <n v="0"/>
    <n v="0"/>
    <n v="0"/>
    <n v="103.66332451256534"/>
    <n v="96.05709389912397"/>
    <n v="111.26955512600672"/>
    <n v="103.66332451256534"/>
    <n v="87.028085106382974"/>
    <n v="381"/>
    <n v="381"/>
    <n v="366"/>
    <n v="363.24341754065284"/>
    <n v="360.50759668473512"/>
    <s v="UPC Growth Rate"/>
    <n v="2650.3100000000004"/>
    <n v="2922.77"/>
    <n v="2607.56"/>
    <n v="2587.9207809899035"/>
    <n v="2568.4294776263605"/>
    <n v="8.9326470588235285"/>
    <n v="12.095757575757576"/>
    <n v="12.935483870967742"/>
    <n v="12.935483870967742"/>
    <n v="12.935483870967742"/>
    <n v="17"/>
    <n v="0"/>
    <n v="0"/>
    <m/>
    <n v="6222"/>
    <n v="0"/>
    <n v="0"/>
    <n v="0"/>
    <n v="0"/>
    <n v="6222"/>
    <n v="6126.8"/>
    <n v="-95.199999999999818"/>
    <m/>
    <m/>
    <m/>
    <m/>
    <m/>
    <m/>
    <m/>
    <m/>
    <m/>
    <s v="CC804"/>
    <n v="0.71307000000000009"/>
    <n v="1831.4700076110291"/>
    <n v="4.4097465211810016"/>
    <n v="1613.9672267522467"/>
    <n v="14.813851431909951"/>
    <n v="1628.7810781841567"/>
    <n v="424.55999999999995"/>
    <n v="425.02771908309177"/>
    <n v="317.46839999999997"/>
    <n v="572.76787809105963"/>
    <n v="8848.5766753583066"/>
    <n v="8.1251399645091098"/>
    <n v="0"/>
    <n v="0"/>
    <m/>
    <n v="394.98236685950479"/>
    <m/>
    <m/>
    <x v="21"/>
  </r>
  <r>
    <x v="3"/>
    <s v="Transportation"/>
    <s v="Residential"/>
    <s v="CFG - Firm Transportation Service - B Residential"/>
    <s v="CR807"/>
    <s v="N"/>
    <s v="CFG - FTS-B R"/>
    <s v="FTS_AB"/>
    <s v="FTS-B"/>
    <s v="Median"/>
    <n v="-7.5316460637900734E-3"/>
    <n v="-8.2150941290087542E-3"/>
    <n v="-6.8560912978240466E-3"/>
    <n v="-7.5316460637900734E-3"/>
    <s v="Median"/>
    <n v="0"/>
    <n v="0"/>
    <n v="0"/>
    <n v="0"/>
    <n v="103.66332451256534"/>
    <n v="96.05709389912397"/>
    <n v="111.26955512600672"/>
    <n v="103.66332451256534"/>
    <n v="127.50759115775914"/>
    <n v="27045"/>
    <n v="26917"/>
    <n v="26832"/>
    <n v="26629.910872816385"/>
    <n v="26429.343809412057"/>
    <s v="UPC Growth Rate"/>
    <n v="282677.26000000042"/>
    <n v="288535.78999999934"/>
    <n v="287274.30999999942"/>
    <n v="285110.66157385992"/>
    <n v="282963.30898187263"/>
    <n v="14.634892212934448"/>
    <n v="13.621958946898751"/>
    <n v="16.441125945705338"/>
    <n v="16.441125945705338"/>
    <n v="16.441125945705338"/>
    <n v="15.5"/>
    <n v="0.49286000000000002"/>
    <n v="0"/>
    <m/>
    <n v="415896"/>
    <n v="141586.01642659973"/>
    <n v="0"/>
    <n v="0"/>
    <n v="0"/>
    <n v="557482.0164265997"/>
    <n v="554397.88000000024"/>
    <n v="-3084.1364265994634"/>
    <m/>
    <m/>
    <m/>
    <m/>
    <m/>
    <m/>
    <m/>
    <m/>
    <m/>
    <s v="CC805"/>
    <n v="0.21507999999999991"/>
    <n v="60859.748495821143"/>
    <n v="0.21666922997208923"/>
    <n v="62243.503538463126"/>
    <n v="571.30405050157606"/>
    <n v="62814.807588964701"/>
    <n v="41123.317476499913"/>
    <n v="41168.62122707416"/>
    <n v="28540.702698499943"/>
    <n v="51492.361834587602"/>
    <n v="712957.80707722623"/>
    <n v="728.00054824218728"/>
    <n v="1477.0939987870536"/>
    <n v="146.74928877949378"/>
    <m/>
    <n v="36388.8192648072"/>
    <m/>
    <m/>
    <x v="22"/>
  </r>
  <r>
    <x v="3"/>
    <s v="Transportation"/>
    <s v="Residential"/>
    <s v="CFG - Firm Transportation Service - B (Fixed Residential)"/>
    <s v="CR814"/>
    <s v="Y"/>
    <s v="CFG - FTS-B - Fixed R"/>
    <s v="FTS_AB"/>
    <s v="FTS-B"/>
    <s v="Median"/>
    <n v="-7.5316460637900734E-3"/>
    <n v="-8.2150941290087542E-3"/>
    <n v="-6.8560912978240466E-3"/>
    <n v="-7.5316460637900734E-3"/>
    <s v="Median"/>
    <n v="0"/>
    <n v="0"/>
    <n v="0"/>
    <n v="0"/>
    <n v="103.66332451256534"/>
    <n v="96.05709389912397"/>
    <n v="111.26955512600672"/>
    <n v="103.66332451256534"/>
    <n v="133.05698555956678"/>
    <n v="740"/>
    <n v="736"/>
    <n v="740"/>
    <n v="734.42658191279531"/>
    <n v="728.89514083798895"/>
    <s v="UPC Growth Rate"/>
    <n v="8281.44"/>
    <n v="8157.1500000000005"/>
    <n v="8132.5999999999995"/>
    <n v="8071.3481352216195"/>
    <n v="8010.5575978094976"/>
    <n v="15.213606557377048"/>
    <n v="14.733809523809525"/>
    <n v="15.878225806451614"/>
    <n v="15.878225806451614"/>
    <n v="15.878225806451614"/>
    <n v="23"/>
    <n v="0"/>
    <n v="0"/>
    <m/>
    <n v="17020"/>
    <n v="0"/>
    <n v="0"/>
    <n v="0"/>
    <n v="0"/>
    <n v="17020"/>
    <n v="17001.600000000002"/>
    <n v="-18.399999999997817"/>
    <m/>
    <m/>
    <m/>
    <m/>
    <m/>
    <m/>
    <m/>
    <m/>
    <m/>
    <s v="CC810"/>
    <n v="0.21507999999999991"/>
    <n v="1722.9107281368661"/>
    <n v="2.2359572357282396"/>
    <n v="1654.6083544388973"/>
    <n v="15.186877363041663"/>
    <n v="1669.7952318019391"/>
    <n v="1124.8"/>
    <n v="1126.0391426998815"/>
    <n v="1150.0339999999999"/>
    <n v="2074.8601558850378"/>
    <n v="21890.69453038686"/>
    <n v="22.225953422684835"/>
    <n v="0"/>
    <n v="0"/>
    <m/>
    <n v="969.67678567291671"/>
    <m/>
    <m/>
    <x v="22"/>
  </r>
  <r>
    <x v="3"/>
    <s v="Transportation"/>
    <s v="Commercial"/>
    <s v="CFG - Firm Transportation Service - A Non-Residential"/>
    <s v="CC801"/>
    <s v="N"/>
    <s v="CFG - FTS-A NR"/>
    <s v="FTS_AB_C"/>
    <s v="FTS-A"/>
    <s v="Median"/>
    <n v="-8.9379418530954602E-2"/>
    <n v="-0.17888305563978787"/>
    <n v="-2.3920498749897635E-2"/>
    <n v="-8.9379418530954602E-2"/>
    <s v="Median"/>
    <n v="-3.2809295967190781E-2"/>
    <n v="-5.3962900505902238E-2"/>
    <n v="-1.8390804597701409E-2"/>
    <n v="-3.2809295967190781E-2"/>
    <n v="70.75"/>
    <n v="56.1"/>
    <n v="85.399999999999991"/>
    <n v="70.75"/>
    <n v="34.168992248062011"/>
    <n v="135"/>
    <n v="120"/>
    <n v="132"/>
    <n v="120.20191675391399"/>
    <n v="109.45833932814294"/>
    <s v="UPC Growth Rate"/>
    <n v="369.84"/>
    <n v="324.19"/>
    <n v="407.92000000000007"/>
    <n v="359.2729951086036"/>
    <n v="316.42744904468196"/>
    <n v="2.4208333333333334"/>
    <n v="3.3289999999999997"/>
    <n v="10.564545454545454"/>
    <n v="9.8099350649350647"/>
    <n v="9.1092254174397027"/>
    <n v="13"/>
    <n v="0.46357999999999999"/>
    <n v="0"/>
    <m/>
    <n v="1716"/>
    <n v="189.10355360000003"/>
    <n v="0"/>
    <n v="0"/>
    <n v="0"/>
    <n v="1905.1035535999999"/>
    <n v="1910.81"/>
    <n v="5.7064464000000044"/>
    <m/>
    <m/>
    <m/>
    <m/>
    <m/>
    <m/>
    <m/>
    <m/>
    <m/>
    <s v="CC801"/>
    <n v="0.71307000000000009"/>
    <n v="225.63492109029139"/>
    <n v="0.74443089478927815"/>
    <n v="303.66825060244241"/>
    <n v="2.7872290554900632"/>
    <n v="306.45547965793247"/>
    <n v="77.468087200000014"/>
    <n v="77.55343038521309"/>
    <n v="39.674299200000007"/>
    <n v="71.579294718888008"/>
    <n v="2360.6917583620334"/>
    <n v="2.487822729007342"/>
    <n v="5.3665445640608782"/>
    <n v="0.52195012430056098"/>
    <m/>
    <n v="90.145209485885673"/>
    <m/>
    <m/>
    <x v="21"/>
  </r>
  <r>
    <x v="3"/>
    <s v="Transportation"/>
    <s v="Commercial"/>
    <s v="CFG - Firm Transportation Service - B Non-Residential"/>
    <s v="CC805"/>
    <s v="N"/>
    <s v="CFG - FTS-B NR"/>
    <s v="FTS_AB_C"/>
    <s v="FTS-B"/>
    <s v="Median"/>
    <n v="-8.9379418530954602E-2"/>
    <n v="-0.17888305563978787"/>
    <n v="-2.3920498749897635E-2"/>
    <n v="-8.9379418530954602E-2"/>
    <s v="Median"/>
    <n v="-3.2809295967190781E-2"/>
    <n v="-5.3962900505902238E-2"/>
    <n v="-1.8390804597701409E-2"/>
    <n v="-3.2809295967190781E-2"/>
    <n v="70.75"/>
    <n v="56.1"/>
    <n v="85.399999999999991"/>
    <n v="70.75"/>
    <n v="120.97913793103447"/>
    <n v="79"/>
    <n v="76"/>
    <n v="77"/>
    <n v="70.117784773116497"/>
    <n v="63.850697941416719"/>
    <s v="UPC Growth Rate"/>
    <n v="759.92000000000007"/>
    <n v="833.05"/>
    <n v="745.95999999999992"/>
    <n v="656.99961617771578"/>
    <n v="578.64831312358035"/>
    <n v="15.631428571428572"/>
    <n v="14.047142857142857"/>
    <n v="17.775714285714287"/>
    <n v="16.506020408163266"/>
    <n v="15.327018950437319"/>
    <n v="15.5"/>
    <n v="0.49286000000000002"/>
    <n v="0"/>
    <m/>
    <n v="1193.5"/>
    <n v="367.65384559999995"/>
    <n v="0"/>
    <n v="0"/>
    <n v="0"/>
    <n v="1561.1538455999998"/>
    <n v="1549.8200000000002"/>
    <n v="-11.333845599999677"/>
    <m/>
    <m/>
    <m/>
    <m/>
    <m/>
    <m/>
    <m/>
    <m/>
    <m/>
    <s v="CC805"/>
    <n v="0.21507999999999991"/>
    <n v="124.45567918661961"/>
    <n v="0.21666922997208923"/>
    <n v="161.62657878997967"/>
    <n v="1.4834948851227125"/>
    <n v="163.1100736751024"/>
    <n v="106.78417399999999"/>
    <n v="106.90181342894289"/>
    <n v="74.111125999999999"/>
    <n v="133.70928376480668"/>
    <n v="1964.8750164688518"/>
    <n v="2.0386681937691482"/>
    <n v="4.1364042400867351"/>
    <n v="0.41095176125261718"/>
    <m/>
    <n v="96.521542176480125"/>
    <m/>
    <m/>
    <x v="22"/>
  </r>
  <r>
    <x v="3"/>
    <s v="Transportation"/>
    <s v="Commercial"/>
    <s v="CFG - Firm Transportation Service - A (Fixed Non-Residential)"/>
    <s v="CC804"/>
    <s v="Y"/>
    <s v="CFG - FTS-A - Fixed NR"/>
    <s v="FTS_AB_C"/>
    <s v="FTS-A"/>
    <s v="Median"/>
    <n v="-8.9379418530954602E-2"/>
    <n v="-0.17888305563978787"/>
    <n v="-2.3920498749897635E-2"/>
    <n v="-8.9379418530954602E-2"/>
    <s v="Median"/>
    <n v="-3.2809295967190781E-2"/>
    <n v="-5.3962900505902238E-2"/>
    <n v="-1.8390804597701409E-2"/>
    <n v="-3.2809295967190781E-2"/>
    <n v="70.75"/>
    <n v="56.1"/>
    <n v="85.399999999999991"/>
    <n v="70.75"/>
    <n v="0"/>
    <n v="0"/>
    <n v="0"/>
    <n v="0"/>
    <n v="0"/>
    <n v="0"/>
    <s v="UPC Growth Rate"/>
    <n v="0"/>
    <n v="0"/>
    <n v="0"/>
    <n v="0"/>
    <n v="0"/>
    <n v="0"/>
    <n v="0"/>
    <n v="0"/>
    <n v="0"/>
    <n v="0"/>
    <n v="17"/>
    <n v="0"/>
    <n v="0"/>
    <m/>
    <n v="0"/>
    <n v="0"/>
    <n v="0"/>
    <n v="0"/>
    <n v="0"/>
    <n v="0"/>
    <n v="0"/>
    <n v="0"/>
    <m/>
    <m/>
    <m/>
    <m/>
    <m/>
    <m/>
    <m/>
    <m/>
    <m/>
    <s v="CC804"/>
    <n v="0.71307000000000009"/>
    <n v="0"/>
    <n v="4.4097465211810016"/>
    <n v="0"/>
    <n v="0"/>
    <n v="0"/>
    <n v="0"/>
    <n v="0"/>
    <n v="0"/>
    <n v="0"/>
    <n v="0"/>
    <n v="0"/>
    <n v="0"/>
    <n v="0"/>
    <m/>
    <n v="0"/>
    <m/>
    <m/>
    <x v="21"/>
  </r>
  <r>
    <x v="3"/>
    <s v="Transportation"/>
    <s v="Commercial"/>
    <s v="CFG - Firm Transportation Service - B (Fixed Non-Residential)"/>
    <s v="CC810"/>
    <s v="Y"/>
    <s v="CFG - FTS-B - Fixed NR"/>
    <s v="FTS_AB_C"/>
    <s v="FTS-B"/>
    <s v="Median"/>
    <n v="-8.9379418530954602E-2"/>
    <n v="-0.17888305563978787"/>
    <n v="-2.3920498749897635E-2"/>
    <n v="-8.9379418530954602E-2"/>
    <s v="Median"/>
    <n v="-3.2809295967190781E-2"/>
    <n v="-5.3962900505902238E-2"/>
    <n v="-1.8390804597701409E-2"/>
    <n v="-3.2809295967190781E-2"/>
    <n v="70.75"/>
    <n v="56.1"/>
    <n v="85.399999999999991"/>
    <n v="70.75"/>
    <n v="20.733333333333331"/>
    <n v="12"/>
    <n v="12"/>
    <n v="12"/>
    <n v="10.927446977628545"/>
    <n v="9.950758120740268"/>
    <s v="UPC Growth Rate"/>
    <n v="19.66"/>
    <n v="20.739999999999995"/>
    <n v="21.799999999999997"/>
    <n v="19.200213996292302"/>
    <n v="16.910468692817378"/>
    <n v="2.0699999999999998"/>
    <n v="1.03"/>
    <n v="2.08"/>
    <n v="1.9314285714285715"/>
    <n v="1.7934693877551022"/>
    <n v="23"/>
    <n v="0"/>
    <n v="0"/>
    <m/>
    <n v="276"/>
    <n v="0"/>
    <n v="0"/>
    <n v="0"/>
    <n v="0"/>
    <n v="276"/>
    <n v="276"/>
    <n v="0"/>
    <m/>
    <m/>
    <m/>
    <m/>
    <m/>
    <m/>
    <m/>
    <m/>
    <m/>
    <s v="CC810"/>
    <n v="0.21507999999999991"/>
    <n v="3.6371036064511602"/>
    <n v="2.2359572357282396"/>
    <n v="26.831486828738875"/>
    <n v="0.2462736869682432"/>
    <n v="27.077760515707119"/>
    <n v="18.240000000000002"/>
    <n v="18.260094205944025"/>
    <n v="18.649199999999997"/>
    <n v="33.646380906243856"/>
    <n v="354.98423562789498"/>
    <n v="0.3604208663138081"/>
    <n v="0"/>
    <n v="0"/>
    <m/>
    <n v="1.6134759119752362"/>
    <m/>
    <m/>
    <x v="22"/>
  </r>
  <r>
    <x v="3"/>
    <s v="Transportation"/>
    <s v="Residential"/>
    <s v="CFG - Firm Transportation Service - 1 Residential"/>
    <s v="CR810"/>
    <s v="N"/>
    <s v="CFG - FTS-1 R"/>
    <s v="FTS_1"/>
    <s v="FTS-1"/>
    <s v="Median"/>
    <n v="3.3861006638872364E-2"/>
    <n v="2.6119283757474052E-2"/>
    <n v="4.1469771481892632E-2"/>
    <n v="3.3861006638872364E-2"/>
    <s v="Median"/>
    <n v="0"/>
    <n v="0"/>
    <n v="0"/>
    <n v="0"/>
    <n v="172.96753251423365"/>
    <n v="156.56991756863101"/>
    <n v="189.36514745983629"/>
    <n v="172.96753251423365"/>
    <n v="179.61770847267096"/>
    <n v="148108"/>
    <n v="156264"/>
    <n v="165114"/>
    <n v="170704.92625017074"/>
    <n v="176485.16689121598"/>
    <s v="UPC Growth Rate"/>
    <n v="2127737.6099999826"/>
    <n v="2335465.2400000431"/>
    <n v="2564130.4400000079"/>
    <n v="2650954.4778517825"/>
    <n v="2740718.4650256699"/>
    <n v="22.583110608724777"/>
    <n v="22.2101967884131"/>
    <n v="27.068042553191489"/>
    <n v="27.068042553191489"/>
    <n v="27.068042553191489"/>
    <n v="19"/>
    <n v="0.46310000000000001"/>
    <n v="0"/>
    <m/>
    <n v="3137166"/>
    <n v="1187448.8067640036"/>
    <n v="0"/>
    <n v="0"/>
    <n v="0"/>
    <n v="4324614.8067640038"/>
    <n v="4301669.8700000262"/>
    <n v="-22944.936763977632"/>
    <m/>
    <m/>
    <m/>
    <m/>
    <m/>
    <m/>
    <m/>
    <m/>
    <m/>
    <s v="CR810"/>
    <n v="0.11405000000000003"/>
    <n v="312578.94093617774"/>
    <n v="0.11567247339772106"/>
    <n v="296599.31010918773"/>
    <n v="2722.3465519842089"/>
    <n v="299321.65666117193"/>
    <n v="326849.70718680101"/>
    <n v="327209.78313685337"/>
    <n v="281079.97883280087"/>
    <n v="507116.87541167345"/>
    <n v="5458263.1219737027"/>
    <n v="5647.3964316210295"/>
    <n v="12194.766641375576"/>
    <n v="1336.7903192275905"/>
    <m/>
    <n v="394345.6166110363"/>
    <m/>
    <m/>
    <x v="23"/>
  </r>
  <r>
    <x v="3"/>
    <s v="Transportation"/>
    <s v="Residential"/>
    <s v="CFG - Firm Transportation Service - 1 (Fixed Residential)"/>
    <s v="CR817"/>
    <s v="Y"/>
    <s v="CFG - FTS-1 - Fixed R"/>
    <s v="FTS_1"/>
    <s v="FTS-1"/>
    <s v="Median"/>
    <n v="3.3861006638872364E-2"/>
    <n v="2.6119283757474052E-2"/>
    <n v="4.1469771481892632E-2"/>
    <n v="3.3861006638872364E-2"/>
    <s v="Median"/>
    <n v="0"/>
    <n v="0"/>
    <n v="0"/>
    <n v="0"/>
    <n v="172.96753251423365"/>
    <n v="156.56991756863101"/>
    <n v="189.36514745983629"/>
    <n v="172.96753251423365"/>
    <n v="192.92325252525254"/>
    <n v="1996"/>
    <n v="1985"/>
    <n v="1959"/>
    <n v="2025.3337120055508"/>
    <n v="2093.9135502737026"/>
    <s v="UPC Growth Rate"/>
    <n v="30535.900000000005"/>
    <n v="31146.39"/>
    <n v="33814.720000000001"/>
    <n v="34959.720458411604"/>
    <n v="36143.491784947"/>
    <n v="24.832048192771083"/>
    <n v="22.674311377245509"/>
    <n v="29.85668674698795"/>
    <n v="29.85668674698795"/>
    <n v="29.85668674698795"/>
    <n v="29"/>
    <n v="0"/>
    <n v="0"/>
    <m/>
    <n v="56811"/>
    <n v="0"/>
    <n v="0"/>
    <n v="0"/>
    <n v="0"/>
    <n v="56811"/>
    <n v="56280.319999999992"/>
    <n v="-530.68000000000757"/>
    <m/>
    <m/>
    <m/>
    <m/>
    <m/>
    <m/>
    <m/>
    <m/>
    <m/>
    <s v="CR817"/>
    <n v="0.11405000000000003"/>
    <n v="4122.1652380732066"/>
    <n v="1.6959081534193776"/>
    <n v="3322.2840725485607"/>
    <n v="30.49369395459852"/>
    <n v="3352.7777665031595"/>
    <n v="3722.1"/>
    <n v="3726.2004739004524"/>
    <n v="4737.8414999999995"/>
    <n v="8547.8851523073245"/>
    <n v="72437.863392710948"/>
    <n v="74.187934188962871"/>
    <n v="0"/>
    <n v="0"/>
    <m/>
    <n v="5297.5371500776046"/>
    <m/>
    <m/>
    <x v="23"/>
  </r>
  <r>
    <x v="3"/>
    <s v="Transportation"/>
    <s v="Commercial"/>
    <s v="CFG - Firm Transportation Service - 1 Non-Residential"/>
    <s v="CC807"/>
    <s v="N"/>
    <s v="CFG - FTS-1 NR"/>
    <s v="FTS1"/>
    <s v="FTS-1"/>
    <s v="Median"/>
    <n v="-4.9605598787378136E-2"/>
    <n v="-7.7135138735573455E-2"/>
    <n v="-2.4483754304541958E-2"/>
    <n v="-4.9605598787378136E-2"/>
    <s v="Median"/>
    <n v="-8.2102988836874169E-2"/>
    <n v="-0.30490523968784827"/>
    <n v="2.4202127659574527E-2"/>
    <n v="-8.2102988836874169E-2"/>
    <n v="254.90000000000003"/>
    <n v="124.7"/>
    <n v="385.1"/>
    <n v="254.90000000000003"/>
    <n v="237.28234262754177"/>
    <n v="2760"/>
    <n v="2741"/>
    <n v="2712"/>
    <n v="2577.4696160886306"/>
    <n v="2449.6126924262803"/>
    <s v="UPC Growth Rate"/>
    <n v="54048.340000000018"/>
    <n v="49703.5"/>
    <n v="58648.149999999994"/>
    <n v="51162.545300816535"/>
    <n v="44632.371893369251"/>
    <n v="22.155695652173957"/>
    <n v="25.89182608695652"/>
    <n v="31.785565217391305"/>
    <n v="20.693727355072468"/>
    <n v="13.472478746791973"/>
    <n v="19"/>
    <n v="0.46310000000000001"/>
    <n v="0"/>
    <m/>
    <n v="51528"/>
    <n v="27159.958264999997"/>
    <n v="0"/>
    <n v="0"/>
    <n v="0"/>
    <n v="78687.958264999994"/>
    <n v="78456.58"/>
    <n v="-231.3782649999921"/>
    <m/>
    <m/>
    <m/>
    <m/>
    <m/>
    <m/>
    <m/>
    <m/>
    <m/>
    <s v="CR810"/>
    <n v="0.11405000000000003"/>
    <n v="5090.3220144387642"/>
    <n v="0.11567247339772106"/>
    <n v="6783.9765707005536"/>
    <n v="62.266952742369909"/>
    <n v="6846.2435234429231"/>
    <n v="7475.8796804999993"/>
    <n v="7484.1155284118804"/>
    <n v="6429.0102029999989"/>
    <n v="11599.045864716241"/>
    <n v="104617.36318157105"/>
    <n v="102.756456834551"/>
    <n v="221.88826783535089"/>
    <n v="24.323391920111163"/>
    <m/>
    <n v="5563.5683061344098"/>
    <m/>
    <m/>
    <x v="23"/>
  </r>
  <r>
    <x v="3"/>
    <s v="Transportation"/>
    <s v="Commercial"/>
    <s v="CFG - Firm Transportation Service - 1 (Fixed Non-Residential)"/>
    <s v="CC812"/>
    <s v="Y"/>
    <s v="CFG - FTS-1 - Fixed NR"/>
    <s v="FTS1"/>
    <s v="FTS-1"/>
    <s v="Median"/>
    <n v="-4.9605598787378136E-2"/>
    <n v="-7.7135138735573455E-2"/>
    <n v="-2.4483754304541958E-2"/>
    <n v="-4.9605598787378136E-2"/>
    <s v="Median"/>
    <n v="-8.2102988836874169E-2"/>
    <n v="-0.30490523968784827"/>
    <n v="2.4202127659574527E-2"/>
    <n v="-8.2102988836874169E-2"/>
    <n v="254.90000000000003"/>
    <n v="124.7"/>
    <n v="385.1"/>
    <n v="254.90000000000003"/>
    <n v="164.88255681818185"/>
    <n v="388"/>
    <n v="480"/>
    <n v="540"/>
    <n v="513.21297665481586"/>
    <n v="487.75473964240098"/>
    <s v="UPC Growth Rate"/>
    <n v="5983.4800000000005"/>
    <n v="6183.58"/>
    <n v="7179.16"/>
    <n v="6262.842028637051"/>
    <n v="5463.4790526555544"/>
    <n v="17.25"/>
    <n v="14.698378378378379"/>
    <n v="15.640465116279069"/>
    <n v="10.182594476744187"/>
    <n v="6.629293279130331"/>
    <n v="29"/>
    <n v="0"/>
    <n v="0"/>
    <m/>
    <n v="15660"/>
    <n v="0"/>
    <n v="0"/>
    <n v="0"/>
    <n v="0"/>
    <n v="15660"/>
    <n v="15753.77"/>
    <n v="93.770000000000437"/>
    <m/>
    <m/>
    <m/>
    <m/>
    <m/>
    <m/>
    <m/>
    <m/>
    <m/>
    <s v="CR817"/>
    <n v="0.11405000000000003"/>
    <n v="623.10978595536608"/>
    <n v="1.6959081534193776"/>
    <n v="915.79040284646396"/>
    <n v="8.405612422400818"/>
    <n v="924.19601526886481"/>
    <n v="1026"/>
    <n v="1027.1302990843512"/>
    <n v="1305.99"/>
    <n v="2356.2317418305033"/>
    <n v="19967.55805618372"/>
    <n v="20.449966545196506"/>
    <n v="0"/>
    <n v="0"/>
    <m/>
    <n v="511.8158951845295"/>
    <m/>
    <m/>
    <x v="23"/>
  </r>
  <r>
    <x v="3"/>
    <s v="Transportation"/>
    <s v="Residential"/>
    <s v="CFG - Firm Transportation Service - 2 Residential"/>
    <s v="CR821"/>
    <s v="N"/>
    <s v="CFG - FTS-2 R"/>
    <s v="FTS_2"/>
    <s v="FTS-2"/>
    <s v="Median"/>
    <n v="6.1347398016349964E-3"/>
    <n v="-1.603910390921288E-3"/>
    <n v="1.3626664163571472E-2"/>
    <n v="6.1347398016349964E-3"/>
    <s v="Median"/>
    <n v="0"/>
    <n v="0"/>
    <n v="0"/>
    <n v="0"/>
    <n v="597.30342792519559"/>
    <n v="502.88306565049282"/>
    <n v="691.72379019989842"/>
    <n v="597.30342792519559"/>
    <n v="623.07492425105352"/>
    <n v="8742"/>
    <n v="8793"/>
    <n v="8802"/>
    <n v="8855.9979797339911"/>
    <n v="8910.3272230234634"/>
    <s v="UPC Growth Rate"/>
    <n v="488269.11"/>
    <n v="426417.79999999976"/>
    <n v="452806.78"/>
    <n v="455584.6317757162"/>
    <n v="458379.52494928386"/>
    <n v="107.49203830369356"/>
    <n v="106.31153005464481"/>
    <n v="93.689783491204466"/>
    <n v="93.689783491204466"/>
    <n v="93.689783491204466"/>
    <n v="34"/>
    <n v="0.3196"/>
    <n v="0"/>
    <m/>
    <n v="299268"/>
    <n v="144717.04688800001"/>
    <n v="0"/>
    <n v="0"/>
    <n v="0"/>
    <n v="443985.04688799998"/>
    <n v="441049.20000000013"/>
    <n v="-2935.8468879998545"/>
    <m/>
    <m/>
    <m/>
    <m/>
    <m/>
    <m/>
    <m/>
    <m/>
    <m/>
    <s v="CR821"/>
    <n v="0.15536"/>
    <n v="71213.842996120744"/>
    <n v="0.13790724594372689"/>
    <n v="62445.335974447036"/>
    <n v="573.15657617325439"/>
    <n v="63018.492550620293"/>
    <n v="29722.237039200005"/>
    <n v="29754.980720788972"/>
    <n v="59743.326553200008"/>
    <n v="107787.28963253548"/>
    <n v="644545.80979194469"/>
    <n v="579.78795373097705"/>
    <n v="1814.1049866426065"/>
    <n v="239.3530119376255"/>
    <m/>
    <n v="70088.85461925366"/>
    <m/>
    <m/>
    <x v="24"/>
  </r>
  <r>
    <x v="3"/>
    <s v="Transportation"/>
    <s v="Residential"/>
    <s v="CFG - Firm Transportation Service - 2 (Fixed Residential)"/>
    <s v="CR839"/>
    <s v="Y"/>
    <s v="CFG - FTS-2 - Fixed R"/>
    <s v="FTS_2"/>
    <s v="FTS-2"/>
    <s v="Median"/>
    <n v="6.1347398016349964E-3"/>
    <n v="-1.603910390921288E-3"/>
    <n v="1.3626664163571472E-2"/>
    <n v="6.1347398016349964E-3"/>
    <s v="Median"/>
    <n v="0"/>
    <n v="0"/>
    <n v="0"/>
    <n v="0"/>
    <n v="597.30342792519559"/>
    <n v="502.88306565049282"/>
    <n v="691.72379019989842"/>
    <n v="597.30342792519559"/>
    <n v="552.13719197707735"/>
    <n v="223"/>
    <n v="239"/>
    <n v="236"/>
    <n v="237.44779859318584"/>
    <n v="238.90447905402604"/>
    <s v="UPC Growth Rate"/>
    <n v="10839.05"/>
    <n v="10261.370000000001"/>
    <n v="11015.56"/>
    <n v="11083.137594369296"/>
    <n v="11151.129759696471"/>
    <n v="83.416842105263157"/>
    <n v="94.939473684210526"/>
    <n v="68.594000000000008"/>
    <n v="68.594000000000008"/>
    <n v="68.594000000000008"/>
    <n v="48"/>
    <n v="0"/>
    <n v="0"/>
    <m/>
    <n v="11328"/>
    <n v="0"/>
    <n v="0"/>
    <n v="0"/>
    <n v="0"/>
    <n v="11328"/>
    <n v="11204.8"/>
    <n v="-123.20000000000073"/>
    <m/>
    <m/>
    <m/>
    <m/>
    <m/>
    <m/>
    <m/>
    <m/>
    <m/>
    <s v="CR839"/>
    <n v="0.15536"/>
    <n v="1732.4395194664437"/>
    <n v="7.9429790322580649"/>
    <n v="1874.5430516129034"/>
    <n v="17.205555236206411"/>
    <n v="1891.7486068491098"/>
    <n v="915.68"/>
    <n v="916.68876439138285"/>
    <n v="1349.2592"/>
    <n v="2434.2968590853152"/>
    <n v="16570.734230325808"/>
    <n v="14.79292599131456"/>
    <n v="0"/>
    <n v="0"/>
    <m/>
    <n v="1388.7638844264291"/>
    <m/>
    <m/>
    <x v="24"/>
  </r>
  <r>
    <x v="3"/>
    <s v="Transportation"/>
    <s v="Commercial"/>
    <s v="CFG - Firm Transportation Service - 2 Non-Residential"/>
    <s v="CC815"/>
    <s v="N"/>
    <s v="CFG - FTS-2 NR"/>
    <s v="FTS2"/>
    <s v="FTS-2"/>
    <s v="Median"/>
    <n v="5.7427510434033407E-2"/>
    <n v="5.352031492648783E-2"/>
    <n v="6.1052014053353108E-2"/>
    <n v="5.7427510434033407E-2"/>
    <s v="Median"/>
    <n v="-1.970443349753722E-2"/>
    <n v="-2.5095188646590511E-2"/>
    <n v="-1.5386747990019593E-2"/>
    <n v="-1.970443349753722E-2"/>
    <n v="636.79999999999995"/>
    <n v="563.30000000000007"/>
    <n v="710.3"/>
    <n v="636.79999999999995"/>
    <n v="704.51699914748508"/>
    <n v="1140"/>
    <n v="1204"/>
    <n v="1175"/>
    <n v="1242.4773247599892"/>
    <n v="1313.8297042916934"/>
    <s v="UPC Growth Rate"/>
    <n v="74329.64"/>
    <n v="64248.369999999995"/>
    <n v="68021.599999999991"/>
    <n v="70510.612401991049"/>
    <n v="73090.701502225973"/>
    <n v="93.656276595744686"/>
    <n v="75.092626262626268"/>
    <n v="83.427549019607852"/>
    <n v="80.150525817528333"/>
    <n v="77.002223657756346"/>
    <n v="34"/>
    <n v="0.3196"/>
    <n v="0"/>
    <m/>
    <n v="39950"/>
    <n v="21739.703359999996"/>
    <n v="0"/>
    <n v="0"/>
    <n v="0"/>
    <n v="61689.70336"/>
    <n v="61519.609999999993"/>
    <n v="-170.09336000000621"/>
    <m/>
    <m/>
    <m/>
    <m/>
    <m/>
    <m/>
    <m/>
    <m/>
    <m/>
    <s v="CR821"/>
    <n v="0.15536"/>
    <n v="11355.371385385826"/>
    <n v="0.13790724594372689"/>
    <n v="9380.6715206858116"/>
    <n v="86.100802999960905"/>
    <n v="9466.7723236857728"/>
    <n v="4464.9378239999996"/>
    <n v="4469.8566496668154"/>
    <n v="8974.7699039999989"/>
    <n v="16192.036480700386"/>
    <n v="91818.368814052985"/>
    <n v="80.558899737873332"/>
    <n v="252.06163872926575"/>
    <n v="33.257012613939324"/>
    <m/>
    <n v="9143.7626343743359"/>
    <m/>
    <m/>
    <x v="24"/>
  </r>
  <r>
    <x v="3"/>
    <s v="Transportation"/>
    <s v="Commercial"/>
    <s v="CFG - Firm Transportation Service - 2 (Fixed Non-Residential)"/>
    <s v="CC820"/>
    <s v="Y"/>
    <s v="CFG - FTS-2 - Fixed NR"/>
    <s v="FTS2"/>
    <s v="FTS-2"/>
    <s v="Median"/>
    <n v="5.7427510434033407E-2"/>
    <n v="5.352031492648783E-2"/>
    <n v="6.1052014053353108E-2"/>
    <n v="5.7427510434033407E-2"/>
    <s v="Median"/>
    <n v="-1.970443349753722E-2"/>
    <n v="-2.5095188646590511E-2"/>
    <n v="-1.5386747990019593E-2"/>
    <n v="-1.970443349753722E-2"/>
    <n v="636.79999999999995"/>
    <n v="563.30000000000007"/>
    <n v="710.3"/>
    <n v="636.79999999999995"/>
    <n v="616.65624365482222"/>
    <n v="63"/>
    <n v="67"/>
    <n v="67"/>
    <n v="70.847643199080238"/>
    <n v="74.916246968122095"/>
    <s v="UPC Growth Rate"/>
    <n v="4452.0999999999995"/>
    <n v="2389.8399999999997"/>
    <n v="3281.4999999999995"/>
    <n v="3401.575008484564"/>
    <n v="3526.0437416872664"/>
    <n v="113.758"/>
    <n v="47.594000000000001"/>
    <n v="37.723333333333336"/>
    <n v="36.241565739225315"/>
    <n v="34.818001782201733"/>
    <n v="48"/>
    <n v="0"/>
    <n v="0"/>
    <m/>
    <n v="3216"/>
    <n v="0"/>
    <n v="0"/>
    <n v="0"/>
    <n v="0"/>
    <n v="3216"/>
    <n v="3177.6"/>
    <n v="-38.400000000000091"/>
    <m/>
    <m/>
    <m/>
    <m/>
    <m/>
    <m/>
    <m/>
    <m/>
    <m/>
    <s v="CR839"/>
    <n v="0.15536"/>
    <n v="547.80615570853365"/>
    <n v="7.9429790322580649"/>
    <n v="532.17959516129031"/>
    <n v="4.8846279696009729"/>
    <n v="537.06422313089126"/>
    <n v="259.95999999999998"/>
    <n v="260.2463865009434"/>
    <n v="383.05239999999998"/>
    <n v="691.09275236744134"/>
    <n v="4704.4033619992761"/>
    <n v="4.199686616178286"/>
    <n v="0"/>
    <n v="0"/>
    <m/>
    <n v="243.20729559454395"/>
    <m/>
    <m/>
    <x v="24"/>
  </r>
  <r>
    <x v="3"/>
    <s v="Transportation"/>
    <s v="Residential"/>
    <s v="CFG - Firm Transportation Service - 2.1 Residential"/>
    <s v="CR825"/>
    <s v="N"/>
    <s v="CFG - FTS-2.1 R"/>
    <s v="FTS_2.1"/>
    <s v="FTS21"/>
    <s v="Median"/>
    <n v="-2.0400907354704373E-2"/>
    <n v="-5.8885380908403812E-2"/>
    <n v="1.3983779024195529E-2"/>
    <n v="-2.0400907354704373E-2"/>
    <s v="Median"/>
    <n v="-4.2673976859106559E-2"/>
    <n v="-9.4883282598638069E-2"/>
    <n v="-8.4170622033785409E-3"/>
    <n v="-4.2673976859106559E-2"/>
    <n v="871.59467421763247"/>
    <n v="652.96673277073285"/>
    <n v="1090.2226156645322"/>
    <n v="871.59467421763247"/>
    <n v="984.3542164502162"/>
    <n v="5789"/>
    <n v="5764"/>
    <n v="5772"/>
    <n v="5654.2459627486469"/>
    <n v="5538.8942147019006"/>
    <s v="UPC Growth Rate"/>
    <n v="534136.82999999996"/>
    <n v="409436.17999999982"/>
    <n v="477588.38999999996"/>
    <n v="447880.3402477412"/>
    <n v="420020.25882671145"/>
    <n v="179.3436929460581"/>
    <n v="173.30298538622108"/>
    <n v="158.06089211618257"/>
    <n v="144.47825102329662"/>
    <n v="132.06280655057492"/>
    <n v="40"/>
    <n v="0.30826999999999999"/>
    <n v="0"/>
    <m/>
    <n v="230880"/>
    <n v="147226.17298529999"/>
    <n v="0"/>
    <n v="0"/>
    <n v="0"/>
    <n v="378106.17298529996"/>
    <n v="375405.8299999999"/>
    <n v="-2700.3429853000562"/>
    <m/>
    <m/>
    <m/>
    <m/>
    <m/>
    <m/>
    <m/>
    <m/>
    <m/>
    <s v="CR825"/>
    <n v="0.15931999999999996"/>
    <n v="66917.627636271645"/>
    <n v="0.14624196951007992"/>
    <n v="69843.466768748156"/>
    <n v="641.06056371651459"/>
    <n v="70484.52733246467"/>
    <n v="23053.191585299999"/>
    <n v="23078.588272766119"/>
    <n v="59421.547483800001"/>
    <n v="107206.74456161076"/>
    <n v="578876.03315214149"/>
    <n v="493.75853052884202"/>
    <n v="1601.708017416038"/>
    <n v="199.28451152690349"/>
    <m/>
    <n v="67002.027469310138"/>
    <m/>
    <m/>
    <x v="25"/>
  </r>
  <r>
    <x v="3"/>
    <s v="Transportation"/>
    <s v="Residential"/>
    <s v="CFG - Firm Transportation Service - 2.1 (Fixed Residential)"/>
    <s v="CR827"/>
    <s v="Y"/>
    <s v="CFG - FTS-2.1 - Fixed R"/>
    <s v="FTS_2.1"/>
    <s v="FTS21"/>
    <s v="Median"/>
    <n v="-2.0400907354704373E-2"/>
    <n v="-5.8885380908403812E-2"/>
    <n v="1.3983779024195529E-2"/>
    <n v="-2.0400907354704373E-2"/>
    <s v="Median"/>
    <n v="-4.2673976859106559E-2"/>
    <n v="-9.4883282598638069E-2"/>
    <n v="-8.4170622033785409E-3"/>
    <n v="-4.2673976859106559E-2"/>
    <n v="871.59467421763247"/>
    <n v="652.96673277073285"/>
    <n v="1090.2226156645322"/>
    <n v="871.59467421763247"/>
    <n v="1134.0255052264808"/>
    <n v="106"/>
    <n v="96"/>
    <n v="85"/>
    <n v="83.265922874850133"/>
    <n v="81.567222496476361"/>
    <s v="UPC Growth Rate"/>
    <n v="9720.6400000000012"/>
    <n v="7897.3099999999995"/>
    <n v="9504.16"/>
    <n v="8912.9604146553302"/>
    <n v="8358.5359835285726"/>
    <n v="193.32888888888888"/>
    <n v="213.215"/>
    <n v="218.8942857142857"/>
    <n v="200.08405074512359"/>
    <n v="182.89023503716103"/>
    <n v="87"/>
    <n v="0"/>
    <n v="0"/>
    <m/>
    <n v="7395"/>
    <n v="0"/>
    <n v="0"/>
    <n v="0"/>
    <n v="0"/>
    <n v="7395"/>
    <n v="7247.1"/>
    <n v="-147.89999999999964"/>
    <m/>
    <m/>
    <m/>
    <m/>
    <m/>
    <m/>
    <m/>
    <m/>
    <m/>
    <s v="CR827"/>
    <n v="0.15931999999999996"/>
    <n v="1331.6819528957719"/>
    <n v="16.260971386253182"/>
    <n v="1382.1825678315204"/>
    <n v="12.686408293949231"/>
    <n v="1394.8689761254695"/>
    <n v="468.34999999999997"/>
    <n v="468.86596060054183"/>
    <n v="1622.9389999999999"/>
    <n v="2928.0625325267843"/>
    <n v="12186.797469252797"/>
    <n v="9.6569286463427932"/>
    <n v="0"/>
    <n v="0"/>
    <m/>
    <n v="1347.5625774525565"/>
    <m/>
    <m/>
    <x v="25"/>
  </r>
  <r>
    <x v="3"/>
    <s v="Transportation"/>
    <s v="Commercial"/>
    <s v="CFG - Firm Transportation Service - 2.1 Non-Residential"/>
    <s v="CC816"/>
    <s v="N"/>
    <s v="CFG - FTS-2.1 NR"/>
    <s v="FTS2.1"/>
    <s v="FTS21"/>
    <s v="Median"/>
    <n v="2.748906551832106E-2"/>
    <n v="2.5561879187322677E-2"/>
    <n v="2.9340079346640572E-2"/>
    <n v="2.748906551832106E-2"/>
    <s v="Median"/>
    <n v="-1.8059022170019087E-2"/>
    <n v="-2.0071918927754197E-2"/>
    <n v="-1.6417910447761409E-2"/>
    <n v="-1.8059022170019087E-2"/>
    <n v="1672"/>
    <n v="1498.8"/>
    <n v="1845.1999999999998"/>
    <n v="1672"/>
    <n v="1823.8794139387537"/>
    <n v="2415"/>
    <n v="2529"/>
    <n v="2632"/>
    <n v="2704.3512204442213"/>
    <n v="2778.691308327564"/>
    <s v="UPC Growth Rate"/>
    <n v="378330.98"/>
    <n v="375255.91"/>
    <n v="397888.98"/>
    <n v="401443.56803622254"/>
    <n v="405029.91140305815"/>
    <n v="189.64515463917527"/>
    <n v="175.98561904761905"/>
    <n v="194.90679069767441"/>
    <n v="195.52475769417939"/>
    <n v="196.14468400265807"/>
    <n v="40"/>
    <n v="0.30826999999999999"/>
    <n v="0"/>
    <m/>
    <n v="105280"/>
    <n v="122657.23586459999"/>
    <n v="0"/>
    <n v="0"/>
    <n v="0"/>
    <n v="227937.23586459999"/>
    <n v="228371.78"/>
    <n v="434.54413540000678"/>
    <m/>
    <m/>
    <m/>
    <m/>
    <m/>
    <m/>
    <m/>
    <m/>
    <m/>
    <s v="CR825"/>
    <n v="0.15931999999999996"/>
    <n v="64529.365484735208"/>
    <n v="0.14624196951007992"/>
    <n v="58188.068081556798"/>
    <n v="534.08110238062739"/>
    <n v="58722.149183937428"/>
    <n v="19206.1010646"/>
    <n v="19227.259581605143"/>
    <n v="49505.346891600006"/>
    <n v="89316.204363217155"/>
    <n v="395202.84899335972"/>
    <n v="297.65701454889108"/>
    <n v="965.57243503711391"/>
    <n v="120.13652236731772"/>
    <m/>
    <n v="42657.030200104302"/>
    <m/>
    <m/>
    <x v="25"/>
  </r>
  <r>
    <x v="3"/>
    <s v="Transportation"/>
    <s v="Commercial"/>
    <s v="CFG - Firm Transportation Service - 2.1 (Fixed Non-Residential)"/>
    <s v="CC827"/>
    <s v="Y"/>
    <s v="CFG - FTS-2.1 - Fixed NR"/>
    <s v="FTS2.1"/>
    <s v="FTS21"/>
    <s v="Median"/>
    <n v="2.748906551832106E-2"/>
    <n v="2.5561879187322677E-2"/>
    <n v="2.9340079346640572E-2"/>
    <n v="2.748906551832106E-2"/>
    <s v="Median"/>
    <n v="-1.8059022170019087E-2"/>
    <n v="-2.0071918927754197E-2"/>
    <n v="-1.6417910447761409E-2"/>
    <n v="-1.8059022170019087E-2"/>
    <n v="1672"/>
    <n v="1498.8"/>
    <n v="1845.1999999999998"/>
    <n v="1672"/>
    <n v="1635.3043902439026"/>
    <n v="128"/>
    <n v="119"/>
    <n v="122"/>
    <n v="125.35366599323517"/>
    <n v="128.79952113068495"/>
    <s v="UPC Growth Rate"/>
    <n v="18485.39"/>
    <n v="13846.25"/>
    <n v="17953.97"/>
    <n v="18114.363904261179"/>
    <n v="18276.190706345187"/>
    <n v="168.77181818181819"/>
    <n v="145.42400000000001"/>
    <n v="172.41199999999998"/>
    <n v="172.95864552948632"/>
    <n v="173.50702424074024"/>
    <n v="87"/>
    <n v="0"/>
    <n v="0"/>
    <m/>
    <n v="10614"/>
    <n v="0"/>
    <n v="0"/>
    <n v="0"/>
    <n v="0"/>
    <n v="10614"/>
    <n v="10437.099999999999"/>
    <n v="-176.90000000000146"/>
    <m/>
    <m/>
    <m/>
    <m/>
    <m/>
    <m/>
    <m/>
    <m/>
    <m/>
    <s v="CR827"/>
    <n v="0.15931999999999996"/>
    <n v="2911.7627033349145"/>
    <n v="16.260971386253182"/>
    <n v="1983.8385091228881"/>
    <n v="18.208727198374191"/>
    <n v="2002.0472363212623"/>
    <n v="672.22"/>
    <n v="672.96055521489541"/>
    <n v="2329.3948"/>
    <n v="4202.6309290384434"/>
    <n v="17491.6387205746"/>
    <n v="13.860532880633185"/>
    <n v="0"/>
    <n v="0"/>
    <m/>
    <n v="1755.0628591127115"/>
    <m/>
    <m/>
    <x v="25"/>
  </r>
  <r>
    <x v="3"/>
    <s v="Transportation"/>
    <s v="Residential"/>
    <s v="CFG - Firm Transportation Service - 3 Residential"/>
    <s v="CR245"/>
    <s v="N"/>
    <s v="CFG - FTS-3 R"/>
    <s v="FTS3"/>
    <s v="FTS-3"/>
    <s v="Median"/>
    <n v="2.6784283829125063E-2"/>
    <n v="2.2427493718462355E-2"/>
    <n v="3.1020324094097884E-2"/>
    <n v="2.6784283829125063E-2"/>
    <s v="Median"/>
    <n v="1.22672019627513E-3"/>
    <n v="5.6980056980073348E-4"/>
    <n v="1.7972962413063428E-3"/>
    <n v="1.22672019627513E-3"/>
    <n v="3591.2"/>
    <n v="3336.4000000000005"/>
    <n v="3845.9999999999995"/>
    <n v="3591.2"/>
    <n v="2152.2539792387543"/>
    <n v="193"/>
    <n v="194"/>
    <n v="191"/>
    <n v="196.11579821136289"/>
    <n v="201.36861941403143"/>
    <s v="UPC Growth Rate"/>
    <n v="36917.149999999994"/>
    <n v="32448.590000000004"/>
    <n v="34301.160000000003"/>
    <n v="35263.096957941532"/>
    <n v="36252.01034207546"/>
    <n v="421.99"/>
    <n v="393.14812499999999"/>
    <n v="486.55687499999999"/>
    <n v="498.2529537259615"/>
    <n v="510.23018819052783"/>
    <n v="108"/>
    <n v="0.24102000000000001"/>
    <n v="0"/>
    <m/>
    <n v="20628"/>
    <n v="8267.2655832000019"/>
    <n v="0"/>
    <n v="0"/>
    <n v="0"/>
    <n v="28895.265583200002"/>
    <n v="28722.440000000002"/>
    <n v="-172.82558319999953"/>
    <m/>
    <m/>
    <m/>
    <m/>
    <m/>
    <m/>
    <m/>
    <m/>
    <m/>
    <s v="CR245"/>
    <n v="5.9479999999999998E-2"/>
    <n v="2156.2695751466481"/>
    <n v="6.0567597862095243E-2"/>
    <n v="2077.538865083387"/>
    <n v="19.068759006522537"/>
    <n v="2096.6076240899097"/>
    <n v="1489.0133556000001"/>
    <n v="1490.6537361384226"/>
    <n v="3451.3827192000003"/>
    <n v="6226.8911065048851"/>
    <n v="38709.418049933214"/>
    <n v="37.733538600958362"/>
    <n v="156.55770724818836"/>
    <n v="15.752836503312713"/>
    <m/>
    <n v="8227.6703712681028"/>
    <m/>
    <m/>
    <x v="26"/>
  </r>
  <r>
    <x v="3"/>
    <s v="Transportation"/>
    <s v="Residential"/>
    <s v="CFG - Firm Transportation Service - 3 (Fixed Residential)"/>
    <s v="CR828"/>
    <s v="Y"/>
    <s v="CFG - FTS-3 - Fixed R"/>
    <s v="FTS3"/>
    <s v="FTS-3"/>
    <s v="Median"/>
    <n v="2.6784283829125063E-2"/>
    <n v="2.2427493718462355E-2"/>
    <n v="3.1020324094097884E-2"/>
    <n v="2.6784283829125063E-2"/>
    <s v="Median"/>
    <n v="1.22672019627513E-3"/>
    <n v="5.6980056980073348E-4"/>
    <n v="1.7972962413063428E-3"/>
    <n v="1.22672019627513E-3"/>
    <n v="3591.2"/>
    <n v="3336.4000000000005"/>
    <n v="3845.9999999999995"/>
    <n v="3591.2"/>
    <n v="0"/>
    <n v="0"/>
    <n v="0"/>
    <n v="0"/>
    <n v="0"/>
    <n v="0"/>
    <s v="UPC Growth Rate"/>
    <n v="0"/>
    <n v="0"/>
    <n v="0"/>
    <n v="0"/>
    <n v="0"/>
    <n v="0"/>
    <n v="0"/>
    <n v="0"/>
    <n v="0"/>
    <n v="0"/>
    <n v="162"/>
    <n v="0"/>
    <n v="0"/>
    <m/>
    <n v="0"/>
    <n v="0"/>
    <n v="0"/>
    <n v="0"/>
    <n v="0"/>
    <n v="0"/>
    <n v="0"/>
    <n v="0"/>
    <m/>
    <m/>
    <m/>
    <m/>
    <m/>
    <m/>
    <m/>
    <m/>
    <m/>
    <s v="CR828"/>
    <n v="5.9479999999999998E-2"/>
    <n v="0"/>
    <n v="17.657355122636687"/>
    <n v="0"/>
    <n v="0"/>
    <n v="0"/>
    <n v="0"/>
    <n v="0"/>
    <n v="0"/>
    <n v="0"/>
    <n v="0"/>
    <n v="0"/>
    <n v="0"/>
    <n v="0"/>
    <m/>
    <n v="0"/>
    <m/>
    <m/>
    <x v="26"/>
  </r>
  <r>
    <x v="3"/>
    <s v="Transportation"/>
    <s v="Commercial"/>
    <s v="CFG - Firm Transportation Service - 3 Non-Residential"/>
    <s v="CC245"/>
    <s v="N"/>
    <s v="CFG - FTS-3 NR"/>
    <s v="FTS3"/>
    <s v="FTS-3"/>
    <s v="Median"/>
    <n v="2.6784283829125063E-2"/>
    <n v="2.2427493718462355E-2"/>
    <n v="3.1020324094097884E-2"/>
    <n v="2.6784283829125063E-2"/>
    <s v="Median"/>
    <n v="1.22672019627513E-3"/>
    <n v="5.6980056980073348E-4"/>
    <n v="1.7972962413063428E-3"/>
    <n v="1.22672019627513E-3"/>
    <n v="3591.2"/>
    <n v="3336.4000000000005"/>
    <n v="3845.9999999999995"/>
    <n v="3591.2"/>
    <n v="3739.5312185917178"/>
    <n v="3251"/>
    <n v="3351"/>
    <n v="3467"/>
    <n v="3559.8611120355763"/>
    <n v="3655.2094424526017"/>
    <s v="UPC Growth Rate"/>
    <n v="1046214.8000000003"/>
    <n v="994633.17000000016"/>
    <n v="1096930.3500000003"/>
    <n v="1127692.5120945983"/>
    <n v="1159317.3639823396"/>
    <n v="348.38984905660413"/>
    <n v="354.83865942028984"/>
    <n v="358.40000000000003"/>
    <n v="367.01538461538462"/>
    <n v="375.83786982248517"/>
    <n v="108"/>
    <n v="0.24102000000000001"/>
    <n v="0"/>
    <m/>
    <n v="374436"/>
    <n v="264382.15295700007"/>
    <n v="0"/>
    <n v="0"/>
    <n v="0"/>
    <n v="638818.15295700007"/>
    <n v="637676.79"/>
    <n v="-1141.3629570000339"/>
    <m/>
    <m/>
    <m/>
    <m/>
    <m/>
    <m/>
    <m/>
    <m/>
    <m/>
    <s v="CR245"/>
    <n v="5.9479999999999998E-2"/>
    <n v="68956.196809669564"/>
    <n v="6.0567597862095243E-2"/>
    <n v="66438.436321527406"/>
    <n v="609.80737943236977"/>
    <n v="67048.243700959778"/>
    <n v="47617.74649350001"/>
    <n v="47670.204870946865"/>
    <n v="110373.13181700003"/>
    <n v="199132.21129752733"/>
    <n v="952668.81282643392"/>
    <n v="834.21518878894472"/>
    <n v="3461.1865770016789"/>
    <n v="348.26459337790891"/>
    <m/>
    <n v="106817.0051059835"/>
    <m/>
    <m/>
    <x v="26"/>
  </r>
  <r>
    <x v="3"/>
    <s v="Transportation"/>
    <s v="Commercial"/>
    <s v="CFG - Firm Transportation Service - 3 (Fixed Non-Residential)"/>
    <s v="CC828"/>
    <s v="Y"/>
    <s v="CFG - FTS-3 - Fixed NR"/>
    <s v="FTS3"/>
    <s v="FTS-3"/>
    <s v="Median"/>
    <n v="2.6784283829125063E-2"/>
    <n v="2.2427493718462355E-2"/>
    <n v="3.1020324094097884E-2"/>
    <n v="2.6784283829125063E-2"/>
    <s v="Median"/>
    <n v="1.22672019627513E-3"/>
    <n v="5.6980056980073348E-4"/>
    <n v="1.7972962413063428E-3"/>
    <n v="1.22672019627513E-3"/>
    <n v="3591.2"/>
    <n v="3336.4000000000005"/>
    <n v="3845.9999999999995"/>
    <n v="3591.2"/>
    <n v="3434.4567515923568"/>
    <n v="211"/>
    <n v="214"/>
    <n v="203"/>
    <n v="208.43720961731239"/>
    <n v="214.02005100025332"/>
    <s v="UPC Growth Rate"/>
    <n v="63850.9"/>
    <n v="56372.82"/>
    <n v="59512.849999999991"/>
    <n v="61181.820084027197"/>
    <n v="62897.594532849194"/>
    <n v="281.315"/>
    <n v="283.18799999999999"/>
    <n v="300.46470588235292"/>
    <n v="307.68741515837098"/>
    <n v="315.08374725352411"/>
    <n v="162"/>
    <n v="0"/>
    <n v="0"/>
    <m/>
    <n v="32886"/>
    <n v="0"/>
    <n v="0"/>
    <n v="0"/>
    <n v="0"/>
    <n v="32886"/>
    <n v="32745.600000000002"/>
    <n v="-140.39999999999782"/>
    <m/>
    <m/>
    <m/>
    <m/>
    <m/>
    <m/>
    <m/>
    <m/>
    <m/>
    <s v="CR828"/>
    <n v="5.9479999999999998E-2"/>
    <n v="3741.1489228138698"/>
    <n v="17.657355122636687"/>
    <n v="3584.4430898952473"/>
    <n v="32.89992914335398"/>
    <n v="3617.3430190386011"/>
    <n v="2710.0499999999997"/>
    <n v="2713.0355429176861"/>
    <n v="4529.4171999999999"/>
    <n v="8171.8516823505852"/>
    <n v="47388.230244306869"/>
    <n v="42.944929744912656"/>
    <n v="0"/>
    <n v="0"/>
    <m/>
    <n v="5398.4076231324898"/>
    <m/>
    <m/>
    <x v="26"/>
  </r>
  <r>
    <x v="3"/>
    <s v="Transportation"/>
    <s v="Commercial"/>
    <s v="CFG - Firm Transportation Service - 3.1 Non-Residential"/>
    <s v="CC824"/>
    <s v="N"/>
    <s v="CFG - FTS-3.1 NR"/>
    <s v="FTS3.1"/>
    <s v="FTS31"/>
    <s v="Median"/>
    <n v="-1.0532413897830479E-2"/>
    <n v="-2.1782179918380277E-2"/>
    <n v="3.5798619761134349E-4"/>
    <n v="-1.0532413897830479E-2"/>
    <s v="Median"/>
    <n v="-5.3752990430621737E-3"/>
    <n v="-6.6995073891624422E-3"/>
    <n v="-4.268460060389714E-3"/>
    <n v="-5.3752990430621737E-3"/>
    <n v="6652.05"/>
    <n v="6049.2000000000007"/>
    <n v="7254.9"/>
    <n v="6652.05"/>
    <n v="6939.6362100000006"/>
    <n v="3967"/>
    <n v="4033"/>
    <n v="4000"/>
    <n v="3957.8703444086782"/>
    <n v="3916.1844157874175"/>
    <s v="UPC Growth Rate"/>
    <n v="2375136"/>
    <n v="2187651.4499999997"/>
    <n v="2376848.7600000002"/>
    <n v="2339173.0972158909"/>
    <n v="2302094.6350572947"/>
    <n v="677.4848484848485"/>
    <n v="749.22169642857136"/>
    <n v="691.97423880597012"/>
    <n v="677.28083290425855"/>
    <n v="662.8994273125079"/>
    <n v="134"/>
    <n v="0.20383000000000001"/>
    <n v="0"/>
    <m/>
    <n v="536000"/>
    <n v="484473.08275080007"/>
    <n v="0"/>
    <n v="0"/>
    <n v="0"/>
    <n v="1020473.0827508001"/>
    <n v="1019878.4600000003"/>
    <n v="-594.6227507997537"/>
    <m/>
    <m/>
    <m/>
    <m/>
    <m/>
    <m/>
    <m/>
    <m/>
    <m/>
    <s v="CC824"/>
    <n v="7.5529999999999986E-2"/>
    <n v="173877.20778587743"/>
    <n v="7.4686924084199621E-2"/>
    <n v="177519.52289774403"/>
    <n v="1629.3687968884626"/>
    <n v="179148.8916946325"/>
    <n v="75369.87417960001"/>
    <n v="75452.905855791905"/>
    <n v="257032.42490640003"/>
    <n v="463730.9307453541"/>
    <n v="1738805.8110465787"/>
    <n v="1332.6079439672671"/>
    <n v="6537.8400822610365"/>
    <n v="707.00202649570849"/>
    <m/>
    <n v="224520.68478361296"/>
    <m/>
    <m/>
    <x v="27"/>
  </r>
  <r>
    <x v="3"/>
    <s v="Transportation"/>
    <s v="Commercial"/>
    <s v="CFG - Firm Transportation Service - 3.1 (Fixed Non-Residential)"/>
    <s v="CC826"/>
    <s v="Y"/>
    <s v="CFG - FTS-3.1 - Fixed NR"/>
    <s v="FTS3.1"/>
    <s v="FTS31"/>
    <s v="Median"/>
    <n v="-1.0532413897830479E-2"/>
    <n v="-2.1782179918380277E-2"/>
    <n v="3.5798619761134349E-4"/>
    <n v="-1.0532413897830479E-2"/>
    <s v="Median"/>
    <n v="-5.3752990430621737E-3"/>
    <n v="-6.6995073891624422E-3"/>
    <n v="-4.268460060389714E-3"/>
    <n v="-5.3752990430621737E-3"/>
    <n v="6652.05"/>
    <n v="6049.2000000000007"/>
    <n v="7254.9"/>
    <n v="6652.05"/>
    <n v="6492.4332530120482"/>
    <n v="84"/>
    <n v="84"/>
    <n v="81"/>
    <n v="80.146874474275734"/>
    <n v="79.302734419695199"/>
    <s v="UPC Growth Rate"/>
    <n v="46889.649999999994"/>
    <n v="40285.82"/>
    <n v="47542.520000000004"/>
    <n v="46788.918853149255"/>
    <n v="46047.263111980305"/>
    <n v="571.36714285714288"/>
    <n v="567.00428571428574"/>
    <n v="694.77571428571434"/>
    <n v="680.02282175279731"/>
    <n v="665.58319267111006"/>
    <n v="263"/>
    <n v="0"/>
    <n v="0"/>
    <m/>
    <n v="21303"/>
    <n v="0"/>
    <n v="0"/>
    <n v="0"/>
    <n v="0"/>
    <n v="21303"/>
    <n v="21408.2"/>
    <n v="105.20000000000073"/>
    <m/>
    <m/>
    <m/>
    <m/>
    <m/>
    <m/>
    <m/>
    <m/>
    <m/>
    <s v="CC826"/>
    <n v="7.5529999999999986E-2"/>
    <n v="3477.9497828478716"/>
    <n v="42.915289937304081"/>
    <n v="3476.1384849216306"/>
    <n v="31.905851753877258"/>
    <n v="3508.044336675508"/>
    <n v="1504.17"/>
    <n v="1505.8270779470847"/>
    <n v="5551.6670999999997"/>
    <n v="10016.167230297397"/>
    <n v="36333.038644919987"/>
    <n v="27.819006214069038"/>
    <n v="0"/>
    <n v="0"/>
    <m/>
    <n v="4710.4705605991921"/>
    <m/>
    <m/>
    <x v="27"/>
  </r>
  <r>
    <x v="3"/>
    <s v="Transportation"/>
    <s v="Commercial"/>
    <s v="CFG - Firm Transportation Service - 4"/>
    <s v="CC601"/>
    <s v="N"/>
    <s v="CFG - FTS-4"/>
    <s v="FTS4"/>
    <s v="FTS-4"/>
    <s v="Median"/>
    <n v="1.8974393636890258E-2"/>
    <n v="1.2695374204291092E-2"/>
    <n v="2.5034446367125145E-2"/>
    <n v="1.8974393636890258E-2"/>
    <s v="Median"/>
    <n v="-1.9094755816262625E-5"/>
    <n v="-7.4886967209516079E-3"/>
    <n v="5.7317823274551771E-3"/>
    <n v="-1.9094755816262625E-5"/>
    <n v="13092.349999999999"/>
    <n v="11305.199999999999"/>
    <n v="14879.499999999998"/>
    <n v="13092.349999999999"/>
    <n v="14182.919605211213"/>
    <n v="2522"/>
    <n v="2521"/>
    <n v="2556"/>
    <n v="2604.4985501358915"/>
    <n v="2653.9173308528798"/>
    <s v="UPC Growth Rate"/>
    <n v="3177361.0100000002"/>
    <n v="2769647.3300000005"/>
    <n v="3034325.4999999991"/>
    <n v="3091840.9473842033"/>
    <n v="3150446.5964253508"/>
    <n v="1551.3023557692309"/>
    <n v="1500.1405714285715"/>
    <n v="1508.2987677725118"/>
    <n v="1489.5940691512121"/>
    <n v="1471.1213310393216"/>
    <n v="210"/>
    <n v="0.189"/>
    <n v="0"/>
    <m/>
    <n v="536760"/>
    <n v="573487.51949999982"/>
    <n v="0"/>
    <n v="0"/>
    <n v="0"/>
    <n v="1110247.5194999999"/>
    <n v="1110821.5699999998"/>
    <n v="574.05049999989569"/>
    <m/>
    <m/>
    <m/>
    <m/>
    <m/>
    <m/>
    <m/>
    <m/>
    <m/>
    <s v="CC601"/>
    <n v="8.3809999999999996E-2"/>
    <n v="264038.92924640863"/>
    <n v="7.9037986774523256E-2"/>
    <n v="239826.97873859858"/>
    <n v="2201.2598357071815"/>
    <n v="242028.23857430575"/>
    <n v="80439.969004999977"/>
    <n v="80528.586181716935"/>
    <n v="321517.12997999991"/>
    <n v="580072.4869264845"/>
    <n v="2012876.8311825073"/>
    <n v="1449.8419304382121"/>
    <n v="7671.1213250699057"/>
    <n v="812.83201560440716"/>
    <m/>
    <n v="330430.24084819789"/>
    <m/>
    <m/>
    <x v="28"/>
  </r>
  <r>
    <x v="3"/>
    <s v="Transportation"/>
    <s v="Commercial"/>
    <s v="CFG - Firm Transportation Service - 5"/>
    <s v="CC602"/>
    <s v="N"/>
    <s v="CFG - FTS-5"/>
    <s v="Base Period"/>
    <s v="FTS-5"/>
    <s v="Base Period"/>
    <n v="0"/>
    <n v="0"/>
    <n v="0"/>
    <n v="0"/>
    <s v="Base Period"/>
    <n v="0"/>
    <n v="0"/>
    <n v="0"/>
    <n v="0"/>
    <n v="0"/>
    <n v="0"/>
    <n v="0"/>
    <n v="29072.603888888887"/>
    <n v="29398.029389671363"/>
    <n v="414"/>
    <n v="432"/>
    <n v="432"/>
    <n v="432"/>
    <n v="432"/>
    <s v="Base Period"/>
    <n v="1055390.52"/>
    <n v="1028885.8700000001"/>
    <n v="1046613.74"/>
    <n v="1046613.74"/>
    <n v="1046613.74"/>
    <n v="3310.3658823529413"/>
    <n v="2678.9994444444442"/>
    <n v="2937.8266666666664"/>
    <n v="2937.8266666666664"/>
    <n v="2937.8266666666664"/>
    <n v="380"/>
    <n v="0.1658"/>
    <n v="0"/>
    <m/>
    <n v="164160"/>
    <n v="173528.55809199999"/>
    <n v="0"/>
    <n v="0"/>
    <n v="0"/>
    <n v="337688.55809199996"/>
    <n v="339271.84"/>
    <n v="1583.2819080000627"/>
    <m/>
    <m/>
    <m/>
    <m/>
    <m/>
    <m/>
    <m/>
    <m/>
    <m/>
    <s v="CC602"/>
    <n v="8.9869999999999992E-2"/>
    <n v="94059.17681379999"/>
    <n v="9.3676777028921868E-2"/>
    <n v="98043.401957385999"/>
    <n v="899.89459909813729"/>
    <n v="98943.296556484129"/>
    <n v="23915.123958999997"/>
    <n v="23941.470199461015"/>
    <n v="104022.93961860001"/>
    <n v="187675.36673930363"/>
    <n v="648248.69158724882"/>
    <n v="440.97827047746136"/>
    <n v="2659.7000631933738"/>
    <n v="264.34758928078946"/>
    <m/>
    <n v="105761.76"/>
    <m/>
    <m/>
    <x v="29"/>
  </r>
  <r>
    <x v="3"/>
    <s v="Transportation"/>
    <s v="Commercial"/>
    <s v="CFG - Firm Transportation Service - 6"/>
    <s v="CC603"/>
    <s v="N"/>
    <s v="CFG - FTS-6"/>
    <s v="Base Period"/>
    <s v="FTS-6"/>
    <s v="Base Period"/>
    <n v="0"/>
    <n v="0"/>
    <n v="0"/>
    <n v="0"/>
    <s v="Base Period"/>
    <n v="0"/>
    <n v="0"/>
    <n v="0"/>
    <n v="0"/>
    <n v="0"/>
    <n v="0"/>
    <n v="0"/>
    <n v="82722.10633333333"/>
    <n v="72831.851377245504"/>
    <n v="312"/>
    <n v="330"/>
    <n v="360"/>
    <n v="360"/>
    <n v="360"/>
    <s v="Base Period"/>
    <n v="1766616.12"/>
    <n v="1833180.28"/>
    <n v="2481663.19"/>
    <n v="2481663.19"/>
    <n v="2481663.19"/>
    <n v="7171.418846153847"/>
    <n v="6538.4115384615388"/>
    <n v="7506.1953571428576"/>
    <n v="7506.1953571428576"/>
    <n v="7506.1953571428576"/>
    <n v="600"/>
    <n v="0.15137"/>
    <n v="0"/>
    <m/>
    <n v="216000"/>
    <n v="375649.35707030003"/>
    <n v="0"/>
    <n v="0"/>
    <n v="0"/>
    <n v="591649.35707030003"/>
    <n v="608790.67999999993"/>
    <n v="17141.322929699905"/>
    <m/>
    <m/>
    <m/>
    <m/>
    <m/>
    <m/>
    <m/>
    <m/>
    <m/>
    <s v="CC603"/>
    <n v="5.7680000000000009E-2"/>
    <n v="143142.33279920003"/>
    <n v="6.3871322341516837E-2"/>
    <n v="158507.10955156694"/>
    <n v="1454.8627338136369"/>
    <n v="159961.97228538059"/>
    <n v="47846.466303199995"/>
    <n v="47899.176651203852"/>
    <n v="252409.96305490003"/>
    <n v="455391.21042597573"/>
    <n v="1254901.7164328601"/>
    <n v="772.61874575827937"/>
    <n v="5104.173520237031"/>
    <n v="519.14548874330842"/>
    <m/>
    <n v="210173.47"/>
    <m/>
    <m/>
    <x v="30"/>
  </r>
  <r>
    <x v="3"/>
    <s v="Transportation"/>
    <s v="Commercial"/>
    <s v="CFG - Firm Transportation Service - 7"/>
    <s v="CC605"/>
    <s v="N"/>
    <s v="CFG - FTS-7"/>
    <s v="Base Period"/>
    <s v="FTS-7"/>
    <s v="Base Period"/>
    <n v="0"/>
    <n v="0"/>
    <n v="0"/>
    <n v="0"/>
    <s v="Base Period"/>
    <n v="0"/>
    <n v="0"/>
    <n v="0"/>
    <n v="0"/>
    <n v="0"/>
    <n v="0"/>
    <n v="0"/>
    <n v="165170.7373076923"/>
    <n v="158884.40176271184"/>
    <n v="271"/>
    <n v="302"/>
    <n v="312"/>
    <n v="312"/>
    <n v="312"/>
    <s v="Base Period"/>
    <n v="3671319.6399999997"/>
    <n v="3751965.82"/>
    <n v="4294439.17"/>
    <n v="4294439.17"/>
    <n v="4294439.17"/>
    <n v="16544.710454545453"/>
    <n v="13842.4828"/>
    <n v="14956.400769230768"/>
    <n v="14956.400769230768"/>
    <n v="14956.400769230768"/>
    <n v="700"/>
    <n v="0.123"/>
    <n v="0"/>
    <m/>
    <n v="218400"/>
    <n v="528216.01790999994"/>
    <n v="0"/>
    <n v="0"/>
    <n v="0"/>
    <n v="746616.01790999994"/>
    <n v="746826.12"/>
    <n v="210.10209000005852"/>
    <m/>
    <m/>
    <m/>
    <m/>
    <m/>
    <m/>
    <m/>
    <m/>
    <m/>
    <s v="CC605"/>
    <n v="7.7160000000000006E-2"/>
    <n v="331358.92635720002"/>
    <n v="7.8964769977720145E-2"/>
    <n v="339109.4012423614"/>
    <n v="3112.5268257627517"/>
    <n v="342221.92806812417"/>
    <n v="55612.987251499995"/>
    <n v="55674.253634120279"/>
    <n v="430302.80483400007"/>
    <n v="776340.65142042981"/>
    <n v="1920852.8510326743"/>
    <n v="974.98547818437635"/>
    <n v="7926.7112047510273"/>
    <n v="794.25646271605297"/>
    <m/>
    <n v="388866.42"/>
    <m/>
    <m/>
    <x v="31"/>
  </r>
  <r>
    <x v="3"/>
    <s v="Transportation"/>
    <s v="Commercial"/>
    <s v="CFG - Firm Transportation Service - 8"/>
    <s v="CI406"/>
    <s v="N"/>
    <s v="CFG - FTS-8"/>
    <s v="Base Period"/>
    <s v="FTS-8"/>
    <s v="Base Period"/>
    <n v="0"/>
    <n v="0"/>
    <n v="0"/>
    <n v="0"/>
    <s v="Base Period"/>
    <n v="0"/>
    <n v="0"/>
    <n v="0"/>
    <n v="0"/>
    <n v="0"/>
    <n v="0"/>
    <n v="0"/>
    <n v="293058.25764705881"/>
    <n v="295805.23149350646"/>
    <n v="207"/>
    <n v="205"/>
    <n v="204"/>
    <n v="228"/>
    <n v="228"/>
    <s v="Base Period"/>
    <n v="4974440.8499999996"/>
    <n v="5228237.3199999994"/>
    <n v="4981990.38"/>
    <n v="4981990.38"/>
    <n v="5498096.3799999999"/>
    <n v="28791.135294117645"/>
    <n v="32257.446315789472"/>
    <n v="28498.691764705884"/>
    <n v="28498.691764705884"/>
    <n v="28498.691764705884"/>
    <n v="1200"/>
    <n v="0.11024"/>
    <n v="0"/>
    <m/>
    <n v="244800"/>
    <n v="549214.61949119996"/>
    <n v="0"/>
    <n v="0"/>
    <n v="0"/>
    <n v="794014.61949119996"/>
    <n v="794014.59"/>
    <n v="-2.9491199995391071E-2"/>
    <m/>
    <m/>
    <m/>
    <m/>
    <m/>
    <m/>
    <m/>
    <m/>
    <m/>
    <s v="CC506"/>
    <n v="8.3180000000000004E-2"/>
    <n v="457331.65688840003"/>
    <n v="8.4722000490383712E-2"/>
    <n v="422084.19141744694"/>
    <n v="3874.1136745372864"/>
    <n v="425958.30509198422"/>
    <n v="58538.386964999998"/>
    <n v="58602.876131847894"/>
    <n v="563313.65226660005"/>
    <n v="1016315.2153362839"/>
    <n v="2294891.0160513157"/>
    <n v="1036.882018198721"/>
    <n v="9405.6786846763516"/>
    <n v="1063.5000888763552"/>
    <m/>
    <n v="527486.59"/>
    <m/>
    <m/>
    <x v="32"/>
  </r>
  <r>
    <x v="3"/>
    <s v="Transportation"/>
    <s v="Commercial"/>
    <s v="CFG - Firm Transportation Service - 9"/>
    <s v="CC905"/>
    <s v="N"/>
    <s v="CFG - FTS-9"/>
    <s v="Base Period"/>
    <s v="FTS-9"/>
    <s v="Base Period"/>
    <n v="0"/>
    <n v="0"/>
    <n v="0"/>
    <n v="0"/>
    <s v="Base Period"/>
    <n v="0"/>
    <n v="0"/>
    <n v="0"/>
    <n v="0"/>
    <n v="0"/>
    <n v="0"/>
    <n v="0"/>
    <n v="522822.03811764705"/>
    <n v="548876.81164556951"/>
    <n v="79"/>
    <n v="73"/>
    <n v="85"/>
    <n v="85"/>
    <n v="85"/>
    <s v="Base Period"/>
    <n v="3765224.8499999987"/>
    <n v="3371769.41"/>
    <n v="3703322.77"/>
    <n v="3703322.77"/>
    <n v="3703322.77"/>
    <n v="51574.6"/>
    <n v="53092.584999999999"/>
    <n v="51809.841666666667"/>
    <n v="51809.841666666667"/>
    <n v="51809.841666666667"/>
    <n v="2000"/>
    <n v="9.1329999999999995E-2"/>
    <n v="0"/>
    <m/>
    <n v="170000"/>
    <n v="338224.46858409996"/>
    <n v="0"/>
    <n v="0"/>
    <n v="0"/>
    <n v="508224.46858409996"/>
    <n v="510024.51"/>
    <n v="1800.0414159000502"/>
    <m/>
    <m/>
    <m/>
    <m/>
    <m/>
    <m/>
    <m/>
    <m/>
    <m/>
    <s v="CC905"/>
    <n v="0.129"/>
    <n v="477728.63733"/>
    <n v="0.17979350106674624"/>
    <n v="665833.36639850063"/>
    <n v="6111.3735178403131"/>
    <n v="671944.73991634091"/>
    <n v="36329.596373699998"/>
    <n v="36369.619092526555"/>
    <n v="362888.59823229996"/>
    <n v="654713.7680252695"/>
    <n v="1871252.595618237"/>
    <n v="663.67646104694234"/>
    <n v="7266.7958069302786"/>
    <n v="712.07332112109793"/>
    <m/>
    <n v="310859.05"/>
    <m/>
    <m/>
    <x v="33"/>
  </r>
  <r>
    <x v="3"/>
    <s v="Transportation"/>
    <s v="Commercial"/>
    <s v="CFG - Firm Transportation Service - 10"/>
    <s v="CI905"/>
    <s v="N"/>
    <s v="CFG - FTS-10"/>
    <s v="Base Period"/>
    <s v="FTS10"/>
    <s v="Base Period"/>
    <n v="0"/>
    <n v="0"/>
    <n v="0"/>
    <n v="0"/>
    <s v="Base Period"/>
    <n v="0"/>
    <n v="0"/>
    <n v="0"/>
    <n v="0"/>
    <n v="0"/>
    <n v="0"/>
    <n v="0"/>
    <n v="1210296.3333333335"/>
    <n v="986230.6399999999"/>
    <n v="36"/>
    <n v="36"/>
    <n v="36"/>
    <n v="36"/>
    <n v="36"/>
    <s v="Base Period"/>
    <n v="2456435.31"/>
    <n v="2788751.4499999997"/>
    <n v="3630889.0000000005"/>
    <n v="3630889.0000000005"/>
    <n v="3630889.0000000005"/>
    <n v="79867.31"/>
    <n v="73694.31"/>
    <n v="124432.52"/>
    <n v="124432.52"/>
    <n v="124432.52"/>
    <n v="3000"/>
    <n v="8.3180000000000004E-2"/>
    <n v="0"/>
    <m/>
    <n v="108000"/>
    <n v="302017.34702000004"/>
    <n v="0"/>
    <n v="0"/>
    <n v="0"/>
    <n v="410017.34702000004"/>
    <n v="410017.33999999997"/>
    <n v="-7.0200000773184001E-3"/>
    <m/>
    <m/>
    <m/>
    <m/>
    <m/>
    <m/>
    <m/>
    <m/>
    <m/>
    <s v="CC910"/>
    <n v="7.393000000000001E-2"/>
    <n v="268431.62377000006"/>
    <n v="0.10788515345072508"/>
    <n v="391719.01692754979"/>
    <n v="3595.4059188026599"/>
    <n v="395314.42284635245"/>
    <n v="33985.121040000005"/>
    <n v="34022.560953443557"/>
    <n v="354084.29528000008"/>
    <n v="638829.28339606035"/>
    <n v="1478183.6142158564"/>
    <n v="535.43046165448447"/>
    <n v="6437.0096375869734"/>
    <n v="627.73717985748169"/>
    <m/>
    <n v="373297.56"/>
    <m/>
    <m/>
    <x v="34"/>
  </r>
  <r>
    <x v="3"/>
    <s v="Transportation"/>
    <s v="Commercial"/>
    <s v="CFG - Firm Transportation Service - 11"/>
    <s v="CI107"/>
    <s v="N"/>
    <s v="CFG - FTS-11"/>
    <s v="Base Period"/>
    <s v="FTS11"/>
    <s v="Base Period"/>
    <n v="0"/>
    <n v="0"/>
    <n v="0"/>
    <n v="0"/>
    <s v="Base Period"/>
    <n v="0"/>
    <n v="0"/>
    <n v="0"/>
    <n v="0"/>
    <n v="0"/>
    <n v="0"/>
    <n v="0"/>
    <n v="1227248.6200000001"/>
    <n v="1993849.7569230772"/>
    <n v="15"/>
    <n v="12"/>
    <n v="12"/>
    <n v="12"/>
    <n v="12"/>
    <s v="Adjusted"/>
    <n v="3102303.72"/>
    <n v="2150459.37"/>
    <n v="1227248.6200000001"/>
    <n v="1527248.62"/>
    <n v="1527248.62"/>
    <n v="218414.655"/>
    <n v="238439.79"/>
    <n v="146807.04999999999"/>
    <n v="146807.04999999999"/>
    <n v="146807.04999999999"/>
    <n v="5500"/>
    <n v="6.9769999999999999E-2"/>
    <n v="0"/>
    <m/>
    <n v="66000"/>
    <n v="85625.13621740001"/>
    <n v="0"/>
    <n v="0"/>
    <n v="0"/>
    <n v="151625.13621740002"/>
    <n v="151625.13999999998"/>
    <n v="3.782599960686639E-3"/>
    <m/>
    <m/>
    <m/>
    <m/>
    <m/>
    <m/>
    <m/>
    <m/>
    <m/>
    <s v="CI107"/>
    <n v="5.3280000000000001E-2"/>
    <n v="81371.806473600009"/>
    <n v="0.14365914764254772"/>
    <n v="176305.49069469297"/>
    <n v="1618.225762264555"/>
    <n v="177923.71645695751"/>
    <n v="9044.8223293999999"/>
    <n v="9054.7866124380525"/>
    <n v="123878.47570280002"/>
    <n v="223498.18649493193"/>
    <n v="562101.82578172744"/>
    <n v="198.00312663197275"/>
    <n v="2837.9407572305108"/>
    <n v="286.46174003484776"/>
    <m/>
    <n v="127270.71833333334"/>
    <m/>
    <m/>
    <x v="35"/>
  </r>
  <r>
    <x v="3"/>
    <s v="Transportation"/>
    <s v="Commercial"/>
    <s v="CFG - Firm Transportation Service - 12"/>
    <s v="CI108"/>
    <s v="N"/>
    <s v="CFG - FTS-12"/>
    <s v="Base Period"/>
    <s v="FTS12"/>
    <s v="Base Period"/>
    <n v="0"/>
    <n v="0"/>
    <n v="0"/>
    <n v="0"/>
    <s v="Base Period"/>
    <n v="0"/>
    <n v="0"/>
    <n v="0"/>
    <n v="0"/>
    <n v="0"/>
    <n v="0"/>
    <n v="0"/>
    <n v="3405406.7120000003"/>
    <n v="3435259.5675000008"/>
    <n v="56"/>
    <n v="60"/>
    <n v="60"/>
    <n v="60"/>
    <n v="60"/>
    <s v="Base Period"/>
    <n v="17456733.789999999"/>
    <n v="15900039.640000001"/>
    <n v="17027033.560000002"/>
    <n v="17027033.560000002"/>
    <n v="17027033.560000002"/>
    <n v="371183.92499999999"/>
    <n v="226326.55800000002"/>
    <n v="300696.50800000003"/>
    <n v="300696.50800000003"/>
    <n v="300696.50800000003"/>
    <n v="9000"/>
    <n v="6.123E-2"/>
    <n v="0"/>
    <m/>
    <n v="540000"/>
    <n v="1042565.2648788001"/>
    <n v="0"/>
    <n v="0"/>
    <n v="0"/>
    <n v="1582565.2648788001"/>
    <n v="1582565.2499999998"/>
    <n v="-1.4878800371661782E-2"/>
    <m/>
    <m/>
    <m/>
    <m/>
    <m/>
    <m/>
    <m/>
    <m/>
    <m/>
    <s v="CI108"/>
    <n v="3.7080000000000002E-2"/>
    <n v="631362.40440480015"/>
    <n v="3.3261070730913146E-2"/>
    <n v="566337.3675767919"/>
    <n v="5198.1462105050723"/>
    <n v="571535.51378729695"/>
    <n v="110845.98847560002"/>
    <n v="110968.10262694309"/>
    <n v="1500081.6566360001"/>
    <n v="2706406.6453061886"/>
    <n v="4971475.5265992284"/>
    <n v="2066.6287817599941"/>
    <n v="33751.899097827765"/>
    <n v="2973.542310518626"/>
    <m/>
    <n v="1503482.54"/>
    <m/>
    <m/>
    <x v="36"/>
  </r>
  <r>
    <x v="3"/>
    <s v="Transportation"/>
    <s v="Commercial"/>
    <s v="CFG - Firm Transportation Service - 13"/>
    <s v="CICID"/>
    <s v="N"/>
    <s v="CFG - FTS-13"/>
    <s v="Base Period"/>
    <s v="FTS13"/>
    <s v="Base Period"/>
    <n v="0"/>
    <n v="0"/>
    <n v="0"/>
    <n v="0"/>
    <s v="Base Period"/>
    <n v="0"/>
    <n v="0"/>
    <n v="0"/>
    <n v="0"/>
    <n v="0"/>
    <n v="0"/>
    <n v="0"/>
    <n v="0"/>
    <n v="0"/>
    <n v="0"/>
    <n v="0"/>
    <n v="0"/>
    <n v="0"/>
    <n v="0"/>
    <s v="Base Period"/>
    <n v="0"/>
    <n v="0"/>
    <n v="0"/>
    <n v="0"/>
    <n v="0"/>
    <n v="0"/>
    <n v="0"/>
    <n v="0"/>
    <n v="0"/>
    <n v="0"/>
    <n v="16692.25"/>
    <n v="0"/>
    <n v="0"/>
    <m/>
    <n v="0"/>
    <n v="0"/>
    <n v="0"/>
    <n v="0"/>
    <n v="0"/>
    <n v="0"/>
    <n v="0"/>
    <n v="0"/>
    <m/>
    <m/>
    <m/>
    <m/>
    <m/>
    <m/>
    <m/>
    <m/>
    <m/>
    <s v="CICID"/>
    <n v="0"/>
    <n v="0"/>
    <n v="0"/>
    <n v="0"/>
    <n v="0"/>
    <n v="0"/>
    <n v="0"/>
    <n v="0"/>
    <n v="0"/>
    <n v="0"/>
    <n v="0"/>
    <n v="0"/>
    <n v="0"/>
    <n v="0"/>
    <m/>
    <n v="0"/>
    <m/>
    <m/>
    <x v="37"/>
  </r>
  <r>
    <x v="3"/>
    <s v="Transportation"/>
    <s v="Commercial"/>
    <s v="CFG - Firm Transportation Service - NGV"/>
    <s v="CCNGV"/>
    <s v="N"/>
    <s v="CFG - FTS-NGV"/>
    <s v="Base Period"/>
    <s v="NVS"/>
    <s v="Base Period"/>
    <n v="0"/>
    <n v="0"/>
    <n v="0"/>
    <n v="0"/>
    <s v="Base Period"/>
    <n v="0"/>
    <n v="0"/>
    <n v="0"/>
    <n v="0"/>
    <n v="0"/>
    <n v="0"/>
    <n v="0"/>
    <n v="887806.67999999982"/>
    <n v="1512541.5636363635"/>
    <n v="9"/>
    <n v="12"/>
    <n v="12"/>
    <n v="12"/>
    <n v="12"/>
    <s v="Adjusted"/>
    <n v="1645841.3499999999"/>
    <n v="1625841.2699999998"/>
    <n v="887806.67999999982"/>
    <n v="100131"/>
    <n v="100131"/>
    <n v="0"/>
    <n v="153010.59"/>
    <n v="109372.81"/>
    <n v="109372.81"/>
    <n v="109372.81"/>
    <n v="100"/>
    <n v="0.17111000000000001"/>
    <n v="0"/>
    <m/>
    <n v="1200"/>
    <n v="151912.60101479999"/>
    <n v="0"/>
    <n v="0"/>
    <n v="0"/>
    <n v="153112.60101479999"/>
    <n v="153112.80000000002"/>
    <n v="0.19898520002607256"/>
    <m/>
    <m/>
    <m/>
    <m/>
    <m/>
    <m/>
    <m/>
    <m/>
    <m/>
    <s v="CCNGV"/>
    <n v="5.3290000000000004E-2"/>
    <n v="5335.98099"/>
    <n v="0.14365482126169521"/>
    <n v="127537.70993033901"/>
    <n v="1170.6090777790564"/>
    <n v="128708.31900811807"/>
    <n v="0"/>
    <n v="0"/>
    <n v="0"/>
    <n v="0"/>
    <n v="281820.92002291803"/>
    <n v="199.94556630911111"/>
    <n v="1168.5206376547899"/>
    <n v="0"/>
    <m/>
    <n v="8344.25"/>
    <m/>
    <m/>
    <x v="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D01040-6BC8-4B4E-9633-22D20D0248C1}" name="PivotTable1" cacheId="0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7" indent="0" compact="0" compactData="0" gridDropZones="1" multipleFieldFilters="0">
  <location ref="A3:Q50" firstHeaderRow="1" firstDataRow="2" firstDataCol="2"/>
  <pivotFields count="81">
    <pivotField axis="axisRow" compact="0" outline="0" showAll="0">
      <items count="5">
        <item x="3"/>
        <item x="2"/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77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77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77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77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77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7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7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3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43">
        <item m="1" x="40"/>
        <item x="11"/>
        <item x="23"/>
        <item x="34"/>
        <item x="35"/>
        <item x="36"/>
        <item x="37"/>
        <item x="24"/>
        <item x="25"/>
        <item x="26"/>
        <item x="27"/>
        <item x="28"/>
        <item x="29"/>
        <item x="30"/>
        <item x="31"/>
        <item x="32"/>
        <item x="33"/>
        <item x="21"/>
        <item x="22"/>
        <item x="19"/>
        <item x="20"/>
        <item x="12"/>
        <item x="14"/>
        <item x="13"/>
        <item x="15"/>
        <item x="16"/>
        <item x="17"/>
        <item x="7"/>
        <item x="8"/>
        <item x="38"/>
        <item x="18"/>
        <item m="1" x="39"/>
        <item x="4"/>
        <item x="10"/>
        <item m="1" x="41"/>
        <item x="0"/>
        <item x="1"/>
        <item x="2"/>
        <item x="3"/>
        <item x="5"/>
        <item x="6"/>
        <item x="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80"/>
  </rowFields>
  <rowItems count="46">
    <i>
      <x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9"/>
    </i>
    <i t="default">
      <x/>
    </i>
    <i>
      <x v="1"/>
      <x v="1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2"/>
    </i>
    <i r="1">
      <x v="33"/>
    </i>
    <i t="default">
      <x v="1"/>
    </i>
    <i>
      <x v="2"/>
      <x v="27"/>
    </i>
    <i r="1">
      <x v="28"/>
    </i>
    <i r="1">
      <x v="32"/>
    </i>
    <i r="1">
      <x v="39"/>
    </i>
    <i r="1">
      <x v="40"/>
    </i>
    <i r="1">
      <x v="41"/>
    </i>
    <i t="default">
      <x v="2"/>
    </i>
    <i>
      <x v="3"/>
      <x v="35"/>
    </i>
    <i r="1">
      <x v="36"/>
    </i>
    <i r="1">
      <x v="37"/>
    </i>
    <i r="1">
      <x v="38"/>
    </i>
    <i t="default">
      <x v="3"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Sum of 2021 Actual Bills" fld="26" baseField="0" baseItem="0"/>
    <dataField name="Sum of 2021 Billing Determinants (Therms)" fld="32" baseField="0" baseItem="0"/>
    <dataField name="Sum of 2021 Revenue Current Rate_ Customer Charge" fld="44" baseField="0" baseItem="0"/>
    <dataField name="Sum of 2021 Revenue Current Rate_Volumetric Charge" fld="45" baseField="0" baseItem="0"/>
    <dataField name="Sum of 2021 Revenue Current Rate_Min Bill Charge" fld="46" baseField="0" baseItem="0"/>
    <dataField name="Sum of 2021 Revenue Current Rate_Demand Charge" fld="47" baseField="0" baseItem="0"/>
    <dataField name="Sum of 2021 Revenue Current Rate_Admin Charge" fld="48" baseField="0" baseItem="0"/>
    <dataField name="Sum of 2021 Revenue Current Base Rate_Total" fld="49" baseField="0" baseItem="0"/>
    <dataField name="Sum of 2021 Margin Difference" fld="51" baseField="0" baseItem="0"/>
    <dataField name="Sum of 2021 GRIP Total" fld="67" baseField="0" baseItem="0"/>
    <dataField name="Sum of Conservation Revenue Adjusted" fld="69" baseField="0" baseItem="0"/>
    <dataField name="Sum of PGA and SWING Revenue Adjusted" fld="71" baseField="0" baseItem="0"/>
    <dataField name="Sum of Unbilled Revenue" fld="73" baseField="0" baseItem="0"/>
    <dataField name="Sum of Unbilled BD" fld="74" baseField="0" baseItem="0"/>
    <dataField name="Sum of Unbilled Fuel Rev" fld="75" baseField="0" baseItem="0"/>
  </dataFields>
  <formats count="11">
    <format dxfId="1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">
      <pivotArea outline="0" collapsedLevelsAreSubtotals="1" fieldPosition="0"/>
    </format>
    <format dxfId="7">
      <pivotArea field="-2" type="button" dataOnly="0" labelOnly="1" outline="0" axis="axisCol" fieldPosition="0"/>
    </format>
    <format dxfId="6">
      <pivotArea type="topRight" dataOnly="0" labelOnly="1" outline="0" fieldPosition="0"/>
    </format>
    <format dxfId="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">
      <pivotArea dataOnly="0" labelOnly="1" outline="0" fieldPosition="0">
        <references count="1">
          <reference field="4294967294" count="6">
            <x v="9"/>
            <x v="10"/>
            <x v="11"/>
            <x v="12"/>
            <x v="13"/>
            <x v="14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5A26B-26DE-41FF-AD68-4521F1C20127}">
  <dimension ref="A1:C46"/>
  <sheetViews>
    <sheetView tabSelected="1" workbookViewId="0">
      <selection activeCell="E16" sqref="E16"/>
    </sheetView>
  </sheetViews>
  <sheetFormatPr defaultRowHeight="12.75"/>
  <cols>
    <col min="1" max="1" width="9" customWidth="1"/>
    <col min="2" max="2" width="35.7109375" customWidth="1"/>
    <col min="3" max="3" width="64.42578125" customWidth="1"/>
  </cols>
  <sheetData>
    <row r="1" spans="1:3">
      <c r="A1" s="70" t="s">
        <v>1264</v>
      </c>
    </row>
    <row r="2" spans="1:3">
      <c r="A2" s="70" t="s">
        <v>1482</v>
      </c>
    </row>
    <row r="3" spans="1:3">
      <c r="A3" s="2" t="s">
        <v>1511</v>
      </c>
    </row>
    <row r="5" spans="1:3">
      <c r="A5" s="139" t="s">
        <v>1270</v>
      </c>
      <c r="B5" s="140" t="s">
        <v>1536</v>
      </c>
      <c r="C5" s="669" t="s">
        <v>1537</v>
      </c>
    </row>
    <row r="6" spans="1:3" ht="51">
      <c r="A6" s="671">
        <v>1</v>
      </c>
      <c r="B6" s="672" t="s">
        <v>1483</v>
      </c>
      <c r="C6" s="512" t="s">
        <v>1538</v>
      </c>
    </row>
    <row r="7" spans="1:3">
      <c r="A7" s="671">
        <f>A6+1</f>
        <v>2</v>
      </c>
      <c r="B7" s="672" t="s">
        <v>1484</v>
      </c>
      <c r="C7" t="s">
        <v>1512</v>
      </c>
    </row>
    <row r="8" spans="1:3">
      <c r="A8" s="671">
        <f t="shared" ref="A8:A33" si="0">A7+1</f>
        <v>3</v>
      </c>
      <c r="B8" s="672" t="s">
        <v>1485</v>
      </c>
      <c r="C8" t="s">
        <v>1513</v>
      </c>
    </row>
    <row r="9" spans="1:3">
      <c r="A9" s="671">
        <f t="shared" si="0"/>
        <v>4</v>
      </c>
      <c r="B9" s="672" t="s">
        <v>1486</v>
      </c>
      <c r="C9" t="s">
        <v>1514</v>
      </c>
    </row>
    <row r="10" spans="1:3">
      <c r="A10" s="671">
        <f t="shared" si="0"/>
        <v>5</v>
      </c>
      <c r="B10" s="672" t="s">
        <v>1487</v>
      </c>
      <c r="C10" t="s">
        <v>1515</v>
      </c>
    </row>
    <row r="11" spans="1:3">
      <c r="A11" s="671">
        <f t="shared" si="0"/>
        <v>6</v>
      </c>
      <c r="B11" s="673" t="s">
        <v>1488</v>
      </c>
    </row>
    <row r="12" spans="1:3">
      <c r="A12" s="671">
        <f t="shared" si="0"/>
        <v>7</v>
      </c>
      <c r="B12" s="672" t="s">
        <v>1489</v>
      </c>
      <c r="C12" t="s">
        <v>1516</v>
      </c>
    </row>
    <row r="13" spans="1:3">
      <c r="A13" s="671">
        <f t="shared" si="0"/>
        <v>8</v>
      </c>
      <c r="B13" s="672" t="s">
        <v>1490</v>
      </c>
      <c r="C13" t="s">
        <v>1517</v>
      </c>
    </row>
    <row r="14" spans="1:3">
      <c r="A14" s="671">
        <f t="shared" si="0"/>
        <v>9</v>
      </c>
      <c r="B14" s="672" t="s">
        <v>1491</v>
      </c>
      <c r="C14" t="s">
        <v>1518</v>
      </c>
    </row>
    <row r="15" spans="1:3">
      <c r="A15" s="671">
        <f t="shared" si="0"/>
        <v>10</v>
      </c>
      <c r="B15" s="672" t="s">
        <v>1492</v>
      </c>
      <c r="C15" t="s">
        <v>1519</v>
      </c>
    </row>
    <row r="16" spans="1:3">
      <c r="A16" s="671">
        <f t="shared" si="0"/>
        <v>11</v>
      </c>
      <c r="B16" s="672" t="s">
        <v>1493</v>
      </c>
      <c r="C16" t="s">
        <v>1520</v>
      </c>
    </row>
    <row r="17" spans="1:3">
      <c r="A17" s="671">
        <f t="shared" si="0"/>
        <v>12</v>
      </c>
      <c r="B17" s="672" t="s">
        <v>1494</v>
      </c>
      <c r="C17" t="s">
        <v>1521</v>
      </c>
    </row>
    <row r="18" spans="1:3">
      <c r="A18" s="671">
        <f t="shared" si="0"/>
        <v>13</v>
      </c>
      <c r="B18" s="673" t="s">
        <v>1495</v>
      </c>
      <c r="C18" s="173"/>
    </row>
    <row r="19" spans="1:3">
      <c r="A19" s="671">
        <f t="shared" si="0"/>
        <v>14</v>
      </c>
      <c r="B19" s="672" t="s">
        <v>1497</v>
      </c>
      <c r="C19" s="670" t="s">
        <v>1531</v>
      </c>
    </row>
    <row r="20" spans="1:3">
      <c r="A20" s="671">
        <f t="shared" si="0"/>
        <v>15</v>
      </c>
      <c r="B20" s="672" t="s">
        <v>1498</v>
      </c>
      <c r="C20" s="670" t="s">
        <v>1527</v>
      </c>
    </row>
    <row r="21" spans="1:3">
      <c r="A21" s="671">
        <f t="shared" si="0"/>
        <v>16</v>
      </c>
      <c r="B21" s="672" t="s">
        <v>1499</v>
      </c>
      <c r="C21" s="670" t="s">
        <v>1532</v>
      </c>
    </row>
    <row r="22" spans="1:3">
      <c r="A22" s="671">
        <f t="shared" si="0"/>
        <v>17</v>
      </c>
      <c r="B22" s="672" t="s">
        <v>1500</v>
      </c>
      <c r="C22" s="670" t="s">
        <v>1528</v>
      </c>
    </row>
    <row r="23" spans="1:3">
      <c r="A23" s="671">
        <f t="shared" si="0"/>
        <v>18</v>
      </c>
      <c r="B23" s="672" t="s">
        <v>1501</v>
      </c>
      <c r="C23" s="670" t="s">
        <v>1533</v>
      </c>
    </row>
    <row r="24" spans="1:3">
      <c r="A24" s="671">
        <f t="shared" si="0"/>
        <v>19</v>
      </c>
      <c r="B24" s="672" t="s">
        <v>1502</v>
      </c>
      <c r="C24" s="670" t="s">
        <v>1529</v>
      </c>
    </row>
    <row r="25" spans="1:3">
      <c r="A25" s="671">
        <f t="shared" si="0"/>
        <v>20</v>
      </c>
      <c r="B25" s="672" t="s">
        <v>1503</v>
      </c>
      <c r="C25" s="670" t="s">
        <v>1534</v>
      </c>
    </row>
    <row r="26" spans="1:3">
      <c r="A26" s="671">
        <f t="shared" si="0"/>
        <v>21</v>
      </c>
      <c r="B26" s="672" t="s">
        <v>1504</v>
      </c>
      <c r="C26" s="670" t="s">
        <v>1530</v>
      </c>
    </row>
    <row r="27" spans="1:3">
      <c r="A27" s="671">
        <f t="shared" si="0"/>
        <v>22</v>
      </c>
      <c r="B27" s="672" t="s">
        <v>1505</v>
      </c>
      <c r="C27" s="670" t="s">
        <v>1535</v>
      </c>
    </row>
    <row r="28" spans="1:3">
      <c r="A28" s="671">
        <f t="shared" si="0"/>
        <v>23</v>
      </c>
      <c r="B28" s="672" t="s">
        <v>1506</v>
      </c>
      <c r="C28" t="s">
        <v>1523</v>
      </c>
    </row>
    <row r="29" spans="1:3">
      <c r="A29" s="671">
        <f t="shared" si="0"/>
        <v>24</v>
      </c>
      <c r="B29" s="672" t="s">
        <v>1507</v>
      </c>
      <c r="C29" t="s">
        <v>1522</v>
      </c>
    </row>
    <row r="30" spans="1:3">
      <c r="A30" s="671">
        <f t="shared" si="0"/>
        <v>25</v>
      </c>
      <c r="B30" s="672" t="s">
        <v>1496</v>
      </c>
      <c r="C30" t="s">
        <v>1522</v>
      </c>
    </row>
    <row r="31" spans="1:3">
      <c r="A31" s="671">
        <f t="shared" si="0"/>
        <v>26</v>
      </c>
      <c r="B31" s="672" t="s">
        <v>1508</v>
      </c>
      <c r="C31" t="s">
        <v>1524</v>
      </c>
    </row>
    <row r="32" spans="1:3">
      <c r="A32" s="671">
        <f t="shared" si="0"/>
        <v>27</v>
      </c>
      <c r="B32" s="672" t="s">
        <v>1509</v>
      </c>
      <c r="C32" t="s">
        <v>1525</v>
      </c>
    </row>
    <row r="33" spans="1:3">
      <c r="A33" s="671">
        <f t="shared" si="0"/>
        <v>28</v>
      </c>
      <c r="B33" s="672" t="s">
        <v>1510</v>
      </c>
      <c r="C33" t="s">
        <v>1526</v>
      </c>
    </row>
    <row r="34" spans="1:3">
      <c r="A34" s="141"/>
      <c r="B34" s="142"/>
    </row>
    <row r="35" spans="1:3">
      <c r="A35" s="141"/>
      <c r="B35" s="142"/>
    </row>
    <row r="36" spans="1:3">
      <c r="A36" s="141"/>
      <c r="B36" s="142"/>
    </row>
    <row r="37" spans="1:3">
      <c r="A37" s="141"/>
      <c r="B37" s="142"/>
    </row>
    <row r="38" spans="1:3">
      <c r="A38" s="141"/>
      <c r="B38" s="142"/>
    </row>
    <row r="39" spans="1:3">
      <c r="A39" s="141"/>
      <c r="B39" s="142"/>
    </row>
    <row r="40" spans="1:3">
      <c r="A40" s="141"/>
      <c r="B40" s="142"/>
    </row>
    <row r="41" spans="1:3">
      <c r="A41" s="141"/>
      <c r="B41" s="142"/>
    </row>
    <row r="42" spans="1:3">
      <c r="A42" s="141"/>
      <c r="B42" s="142"/>
    </row>
    <row r="43" spans="1:3">
      <c r="A43" s="141"/>
      <c r="B43" s="142"/>
    </row>
    <row r="44" spans="1:3">
      <c r="A44" s="141"/>
      <c r="B44" s="142"/>
    </row>
    <row r="45" spans="1:3">
      <c r="A45" s="141"/>
      <c r="B45" s="3"/>
    </row>
    <row r="46" spans="1:3">
      <c r="A46" s="141"/>
      <c r="B46" s="3"/>
    </row>
  </sheetData>
  <phoneticPr fontId="57" type="noConversion"/>
  <hyperlinks>
    <hyperlink ref="B6" location="'Master '!A1" display="Master " xr:uid="{3DB90BF5-B1BE-42E1-8456-DE8DBDB0B159}"/>
    <hyperlink ref="B7" location="'Pivot for E-1'!A1" display="Pivot for E-1" xr:uid="{62E686A0-2A1D-4D8F-8A41-C4A8CC205553}"/>
    <hyperlink ref="B8" location="'Monthly CUST'!A1" display="Monthly CUST" xr:uid="{5FD55800-AEF4-4282-9187-DE50C8140C04}"/>
    <hyperlink ref="B9" location="'Monthly VOL'!A1" display="Monthly VOL" xr:uid="{B692C8B6-AE18-40DB-9737-02FF644B357A}"/>
    <hyperlink ref="B10" location="'Monthly UPC'!A1" display="Monthly UPC" xr:uid="{56536255-9667-4948-8C79-31B041ECC48E}"/>
    <hyperlink ref="B11" location="'Regression Forecast --&gt;'!A1" display="Regression Forecast --&gt;" xr:uid="{244FC08C-2F0C-4F2D-9797-8156685B8BFA}"/>
    <hyperlink ref="B12" location="'Report_Regression'!A1" display="Report_Regression" xr:uid="{F5E22430-7564-4C0D-8A69-455613937228}"/>
    <hyperlink ref="B13" location="'WP_Regression Summary'!A1" display="WP_Regression Summary" xr:uid="{743A1477-0623-4A2B-97B5-06B70A52F64A}"/>
    <hyperlink ref="B14" location="'WP_Regression_RES Cust Count'!A1" display="WP_Regression_RES Cust Count" xr:uid="{8363F077-C81D-4146-8839-272378556D86}"/>
    <hyperlink ref="B15" location="'WP_Regression_RES UPC'!A1" display="WP_Regression_RES UPC" xr:uid="{F661E322-5055-40CD-AD7B-210C27DAE875}"/>
    <hyperlink ref="B16" location="'WP_Regreession_COM Cust Count'!A1" display="WP_Regreession_COM Cust Count" xr:uid="{F86BEE3A-3541-46A8-8E79-D9C667D2748F}"/>
    <hyperlink ref="B17" location="'WP_Regression_COM UPC'!A1" display="WP_Regression_COM UPC" xr:uid="{FD70216C-30E5-48A7-A96C-3B3F3C43D92D}"/>
    <hyperlink ref="B18" location="'Input Sheets -&gt;'!A1" display="Input Sheets -&gt;" xr:uid="{828811DC-D2B8-42DE-A3C1-E4A0C91613B9}"/>
    <hyperlink ref="B30" location="'Input 1_GRIP Factors'!A1" display="Input 1_GRIP Factors" xr:uid="{D1AAF0A5-06E2-4BDB-B6DC-D0B446B0E330}"/>
    <hyperlink ref="B19" location="'Input 16_2018CUST-YTD'!A1" display="Input 16_2018CUST-YTD" xr:uid="{BA5E494B-5F1A-4307-B071-17D7941F674E}"/>
    <hyperlink ref="B20" location="'Input 16.1_2018VOL-YTD'!A1" display="Input 16.1_2018VOL-YTD" xr:uid="{97C13F0C-278C-4EEF-A67A-8CEB1313C714}"/>
    <hyperlink ref="B21" location="'Input 3_2019CUST-YTD'!A1" display="Input 3_2019CUST-YTD" xr:uid="{F853E469-6DAD-4E52-81F6-A85B85566BFF}"/>
    <hyperlink ref="B22" location="'Input 3.1_2019VOL-YTD'!A1" display="Input 3.1_2019VOL-YTD" xr:uid="{8DC83EA8-5892-48EB-9E40-24CCA4BB5F88}"/>
    <hyperlink ref="B23" location="'Input 4_2020CUST-YTD'!A1" display="Input 4_2020CUST-YTD" xr:uid="{9DB105F6-D1DF-46A9-BC53-CFDD4992AE00}"/>
    <hyperlink ref="B24" location="'Input 4.1_2020VOL-YTD'!A1" display="Input 4.1_2020VOL-YTD" xr:uid="{A1195A43-B354-4ABC-BAB4-BE6E871AB761}"/>
    <hyperlink ref="B25" location="'Input 5_2021CUST-YTD'!A1" display="Input 5_2021CUST-YTD" xr:uid="{D1E224CD-6F34-4035-8053-97F0299FEE78}"/>
    <hyperlink ref="B26" location="'Input 5.1_2021VOL-YTD'!A1" display="Input 5.1_2021VOL-YTD" xr:uid="{7A94316D-1CEF-4845-ABCF-4BE30A0AA6C1}"/>
    <hyperlink ref="B27" location="'Input 6_2021MARG-YTD'!A1" display="Input 6_2021MARG-YTD" xr:uid="{8ED12B7B-23D2-4516-A5D9-87C85A0D9B17}"/>
    <hyperlink ref="B28" location="'WP-Peak Month UPC'!A1" display="WP-Peak Month UPC" xr:uid="{91E0317D-C00C-42F0-AF33-02A4574B782A}"/>
    <hyperlink ref="B29" location="'Input 7_NG Rates'!A1" display="Input 7_NG Rates" xr:uid="{F523105C-1FD1-4839-BF13-10315091003D}"/>
    <hyperlink ref="B31" location="'Input 13.3_2021 Min Charges'!A1" display="Input 13.3_2021 Min Charges" xr:uid="{3D41E6DB-FBA5-438F-A216-ECE6C687544D}"/>
    <hyperlink ref="B32" location="'Input 14_Ref Table'!A1" display="Input 14_Ref Table" xr:uid="{47AB21CF-9666-4E34-B5FF-1F774E59A2DD}"/>
    <hyperlink ref="B33" location="'Input 15_Fcst Inputs'!A1" display="Input 15_Fcst Inputs" xr:uid="{3E71D4B5-470A-4718-B422-CA8B7F6CD87B}"/>
  </hyperlink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FA764-66F5-4427-9726-B688DF2B25E5}">
  <sheetPr codeName="Sheet34">
    <tabColor theme="4" tint="0.39997558519241921"/>
  </sheetPr>
  <dimension ref="A1:AC61"/>
  <sheetViews>
    <sheetView workbookViewId="0"/>
  </sheetViews>
  <sheetFormatPr defaultColWidth="9.140625" defaultRowHeight="12.75"/>
  <cols>
    <col min="1" max="1" width="10.42578125" style="82" bestFit="1" customWidth="1"/>
    <col min="2" max="2" width="10.42578125" style="82" customWidth="1"/>
    <col min="3" max="3" width="22.7109375" style="82" bestFit="1" customWidth="1"/>
    <col min="4" max="4" width="21.42578125" style="82" bestFit="1" customWidth="1"/>
    <col min="5" max="5" width="21.7109375" style="82" bestFit="1" customWidth="1"/>
    <col min="6" max="6" width="23" style="82" bestFit="1" customWidth="1"/>
    <col min="7" max="7" width="21.5703125" style="82" bestFit="1" customWidth="1"/>
    <col min="8" max="8" width="22" style="82" bestFit="1" customWidth="1"/>
    <col min="9" max="9" width="21.5703125" style="82" bestFit="1" customWidth="1"/>
    <col min="10" max="10" width="20.140625" style="82" bestFit="1" customWidth="1"/>
    <col min="11" max="11" width="20.5703125" style="82" bestFit="1" customWidth="1"/>
    <col min="12" max="12" width="21.5703125" style="82" bestFit="1" customWidth="1"/>
    <col min="13" max="13" width="20.140625" style="82" bestFit="1" customWidth="1"/>
    <col min="14" max="14" width="20.5703125" style="82" bestFit="1" customWidth="1"/>
    <col min="15" max="15" width="29.140625" style="82" bestFit="1" customWidth="1"/>
    <col min="16" max="16" width="27.7109375" style="82" bestFit="1" customWidth="1"/>
    <col min="17" max="17" width="28.140625" style="82" bestFit="1" customWidth="1"/>
    <col min="18" max="18" width="20.5703125" style="82" bestFit="1" customWidth="1"/>
    <col min="19" max="19" width="19.28515625" style="82" bestFit="1" customWidth="1"/>
    <col min="20" max="20" width="19.5703125" style="82" bestFit="1" customWidth="1"/>
    <col min="21" max="21" width="23.140625" style="82" bestFit="1" customWidth="1"/>
    <col min="22" max="22" width="21.85546875" style="82" bestFit="1" customWidth="1"/>
    <col min="23" max="23" width="22.140625" style="82" bestFit="1" customWidth="1"/>
    <col min="24" max="24" width="22" style="82" bestFit="1" customWidth="1"/>
    <col min="25" max="25" width="20.5703125" style="82" bestFit="1" customWidth="1"/>
    <col min="26" max="26" width="20.85546875" style="82" bestFit="1" customWidth="1"/>
    <col min="27" max="27" width="22.85546875" style="82" bestFit="1" customWidth="1"/>
    <col min="28" max="28" width="21.5703125" style="82" bestFit="1" customWidth="1"/>
    <col min="29" max="29" width="21.85546875" style="82" bestFit="1" customWidth="1"/>
    <col min="30" max="16384" width="9.140625" style="82"/>
  </cols>
  <sheetData>
    <row r="1" spans="1:29">
      <c r="A1" s="130" t="s">
        <v>123</v>
      </c>
      <c r="B1" s="130" t="s">
        <v>128</v>
      </c>
      <c r="C1" s="84" t="s">
        <v>1039</v>
      </c>
      <c r="D1" s="85" t="s">
        <v>1040</v>
      </c>
      <c r="E1" s="86" t="s">
        <v>1041</v>
      </c>
      <c r="F1" s="84" t="s">
        <v>1004</v>
      </c>
      <c r="G1" s="85" t="s">
        <v>1006</v>
      </c>
      <c r="H1" s="86" t="s">
        <v>1008</v>
      </c>
      <c r="I1" s="84" t="s">
        <v>1011</v>
      </c>
      <c r="J1" s="85" t="s">
        <v>1013</v>
      </c>
      <c r="K1" s="86" t="s">
        <v>1015</v>
      </c>
      <c r="L1" s="84" t="s">
        <v>1017</v>
      </c>
      <c r="M1" s="85" t="s">
        <v>1019</v>
      </c>
      <c r="N1" s="86" t="s">
        <v>1021</v>
      </c>
      <c r="O1" s="84" t="s">
        <v>1022</v>
      </c>
      <c r="P1" s="85" t="s">
        <v>1023</v>
      </c>
      <c r="Q1" s="86" t="s">
        <v>1024</v>
      </c>
      <c r="R1" s="84" t="s">
        <v>1025</v>
      </c>
      <c r="S1" s="85" t="s">
        <v>1027</v>
      </c>
      <c r="T1" s="86" t="s">
        <v>1029</v>
      </c>
      <c r="U1" s="84" t="s">
        <v>1030</v>
      </c>
      <c r="V1" s="85" t="s">
        <v>1031</v>
      </c>
      <c r="W1" s="86" t="s">
        <v>1032</v>
      </c>
      <c r="X1" s="84" t="s">
        <v>1033</v>
      </c>
      <c r="Y1" s="85" t="s">
        <v>1034</v>
      </c>
      <c r="Z1" s="86" t="s">
        <v>1035</v>
      </c>
      <c r="AA1" s="84" t="s">
        <v>1036</v>
      </c>
      <c r="AB1" s="85" t="s">
        <v>1037</v>
      </c>
      <c r="AC1" s="86" t="s">
        <v>1038</v>
      </c>
    </row>
    <row r="2" spans="1:29">
      <c r="A2" s="131">
        <v>44562</v>
      </c>
      <c r="B2" s="82">
        <f>YEAR(A2)</f>
        <v>2022</v>
      </c>
      <c r="C2" s="199">
        <v>78821.89</v>
      </c>
      <c r="D2" s="199">
        <v>78426.990000000005</v>
      </c>
      <c r="E2" s="199">
        <v>79216.22</v>
      </c>
      <c r="F2" s="199">
        <v>58994.13</v>
      </c>
      <c r="G2" s="199">
        <v>58694.68</v>
      </c>
      <c r="H2" s="199">
        <v>59293.58</v>
      </c>
      <c r="I2" s="199">
        <v>13630.96</v>
      </c>
      <c r="J2" s="199">
        <v>13522.07</v>
      </c>
      <c r="K2" s="199">
        <v>13739.86</v>
      </c>
      <c r="L2" s="199">
        <v>734.35730000000001</v>
      </c>
      <c r="M2" s="199">
        <v>719.98500000000001</v>
      </c>
      <c r="N2" s="199">
        <v>748.72950000000003</v>
      </c>
      <c r="O2" s="199">
        <v>515.37260000000003</v>
      </c>
      <c r="P2" s="199">
        <v>496.60559999999998</v>
      </c>
      <c r="Q2" s="199">
        <v>534.13959999999997</v>
      </c>
      <c r="R2" s="199">
        <v>649.82010000000002</v>
      </c>
      <c r="S2" s="199">
        <v>641.92160000000001</v>
      </c>
      <c r="T2" s="199">
        <v>657.90539999999999</v>
      </c>
      <c r="U2" s="199">
        <v>471.3954</v>
      </c>
      <c r="V2" s="199">
        <v>443.26420000000002</v>
      </c>
      <c r="W2" s="199">
        <v>503.12400000000002</v>
      </c>
      <c r="X2" s="199">
        <v>916</v>
      </c>
      <c r="Y2" s="199">
        <v>899.22630000000004</v>
      </c>
      <c r="Z2" s="199">
        <v>932.77369999999996</v>
      </c>
      <c r="AA2" s="199">
        <v>3325.4720000000002</v>
      </c>
      <c r="AB2" s="199">
        <v>3295.5529999999999</v>
      </c>
      <c r="AC2" s="199">
        <v>3355.39</v>
      </c>
    </row>
    <row r="3" spans="1:29">
      <c r="A3" s="131">
        <v>44593</v>
      </c>
      <c r="B3" s="82">
        <f t="shared" ref="B3:B61" si="0">YEAR(A3)</f>
        <v>2022</v>
      </c>
      <c r="C3" s="199">
        <v>78829.119999999995</v>
      </c>
      <c r="D3" s="199">
        <v>78270.759999999995</v>
      </c>
      <c r="E3" s="199">
        <v>79386.31</v>
      </c>
      <c r="F3" s="199">
        <v>58965.38</v>
      </c>
      <c r="G3" s="199">
        <v>58583.519999999997</v>
      </c>
      <c r="H3" s="199">
        <v>59347.24</v>
      </c>
      <c r="I3" s="199">
        <v>13650.23</v>
      </c>
      <c r="J3" s="199">
        <v>13508.12</v>
      </c>
      <c r="K3" s="199">
        <v>13792.35</v>
      </c>
      <c r="L3" s="199">
        <v>733.28840000000002</v>
      </c>
      <c r="M3" s="199">
        <v>713.97550000000001</v>
      </c>
      <c r="N3" s="199">
        <v>752.60130000000004</v>
      </c>
      <c r="O3" s="199">
        <v>510.00349999999997</v>
      </c>
      <c r="P3" s="199">
        <v>487.98</v>
      </c>
      <c r="Q3" s="199">
        <v>532.02700000000004</v>
      </c>
      <c r="R3" s="199">
        <v>652.3682</v>
      </c>
      <c r="S3" s="199">
        <v>642.85249999999996</v>
      </c>
      <c r="T3" s="199">
        <v>662.15530000000001</v>
      </c>
      <c r="U3" s="199">
        <v>473.48259999999999</v>
      </c>
      <c r="V3" s="199">
        <v>435.87569999999999</v>
      </c>
      <c r="W3" s="199">
        <v>517.77260000000001</v>
      </c>
      <c r="X3" s="199">
        <v>916</v>
      </c>
      <c r="Y3" s="199">
        <v>892.27840000000003</v>
      </c>
      <c r="Z3" s="199">
        <v>939.72159999999997</v>
      </c>
      <c r="AA3" s="199">
        <v>3333.864</v>
      </c>
      <c r="AB3" s="199">
        <v>3298.3229999999999</v>
      </c>
      <c r="AC3" s="199">
        <v>3369.4050000000002</v>
      </c>
    </row>
    <row r="4" spans="1:29">
      <c r="A4" s="131">
        <v>44621</v>
      </c>
      <c r="B4" s="82">
        <f t="shared" si="0"/>
        <v>2022</v>
      </c>
      <c r="C4" s="199">
        <v>79014.880000000005</v>
      </c>
      <c r="D4" s="199">
        <v>78331.47</v>
      </c>
      <c r="E4" s="199">
        <v>79696.56</v>
      </c>
      <c r="F4" s="199">
        <v>59108.4</v>
      </c>
      <c r="G4" s="199">
        <v>58658.99</v>
      </c>
      <c r="H4" s="199">
        <v>59557.8</v>
      </c>
      <c r="I4" s="199">
        <v>13707.3</v>
      </c>
      <c r="J4" s="199">
        <v>13536.84</v>
      </c>
      <c r="K4" s="199">
        <v>13877.77</v>
      </c>
      <c r="L4" s="199">
        <v>739.16150000000005</v>
      </c>
      <c r="M4" s="199">
        <v>718.77440000000001</v>
      </c>
      <c r="N4" s="199">
        <v>759.54849999999999</v>
      </c>
      <c r="O4" s="199">
        <v>503.72930000000002</v>
      </c>
      <c r="P4" s="199">
        <v>477.45979999999997</v>
      </c>
      <c r="Q4" s="199">
        <v>529.99890000000005</v>
      </c>
      <c r="R4" s="199">
        <v>654.06259999999997</v>
      </c>
      <c r="S4" s="199">
        <v>643.89430000000004</v>
      </c>
      <c r="T4" s="199">
        <v>664.5403</v>
      </c>
      <c r="U4" s="199">
        <v>472.178</v>
      </c>
      <c r="V4" s="199">
        <v>431.46100000000001</v>
      </c>
      <c r="W4" s="199">
        <v>520.87220000000002</v>
      </c>
      <c r="X4" s="199">
        <v>914</v>
      </c>
      <c r="Y4" s="199">
        <v>884.947</v>
      </c>
      <c r="Z4" s="199">
        <v>943.053</v>
      </c>
      <c r="AA4" s="199">
        <v>3326.7280000000001</v>
      </c>
      <c r="AB4" s="199">
        <v>3289.1179999999999</v>
      </c>
      <c r="AC4" s="199">
        <v>3364.3380000000002</v>
      </c>
    </row>
    <row r="5" spans="1:29">
      <c r="A5" s="131">
        <v>44652</v>
      </c>
      <c r="B5" s="82">
        <f t="shared" si="0"/>
        <v>2022</v>
      </c>
      <c r="C5" s="199">
        <v>79237.09</v>
      </c>
      <c r="D5" s="199">
        <v>78448.53</v>
      </c>
      <c r="E5" s="199">
        <v>80023.360000000001</v>
      </c>
      <c r="F5" s="199">
        <v>59378.720000000001</v>
      </c>
      <c r="G5" s="199">
        <v>58870.68</v>
      </c>
      <c r="H5" s="199">
        <v>59886.77</v>
      </c>
      <c r="I5" s="199">
        <v>13739.96</v>
      </c>
      <c r="J5" s="199">
        <v>13545.44</v>
      </c>
      <c r="K5" s="199">
        <v>13934.47</v>
      </c>
      <c r="L5" s="199">
        <v>735.72630000000004</v>
      </c>
      <c r="M5" s="199">
        <v>714.31889999999999</v>
      </c>
      <c r="N5" s="199">
        <v>757.13369999999998</v>
      </c>
      <c r="O5" s="199">
        <v>503.28579999999999</v>
      </c>
      <c r="P5" s="199">
        <v>473.86770000000001</v>
      </c>
      <c r="Q5" s="199">
        <v>532.70399999999995</v>
      </c>
      <c r="R5" s="199">
        <v>655.18679999999995</v>
      </c>
      <c r="S5" s="199">
        <v>644.73170000000005</v>
      </c>
      <c r="T5" s="199">
        <v>665.96889999999996</v>
      </c>
      <c r="U5" s="199">
        <v>459.2405</v>
      </c>
      <c r="V5" s="199">
        <v>417.17790000000002</v>
      </c>
      <c r="W5" s="199">
        <v>510.16410000000002</v>
      </c>
      <c r="X5" s="199">
        <v>914</v>
      </c>
      <c r="Y5" s="199">
        <v>880.45249999999999</v>
      </c>
      <c r="Z5" s="199">
        <v>947.54750000000001</v>
      </c>
      <c r="AA5" s="199">
        <v>3311.4250000000002</v>
      </c>
      <c r="AB5" s="199">
        <v>3272.9969999999998</v>
      </c>
      <c r="AC5" s="199">
        <v>3349.8530000000001</v>
      </c>
    </row>
    <row r="6" spans="1:29">
      <c r="A6" s="131">
        <v>44682</v>
      </c>
      <c r="B6" s="82">
        <f t="shared" si="0"/>
        <v>2022</v>
      </c>
      <c r="C6" s="199">
        <v>78596.009999999995</v>
      </c>
      <c r="D6" s="199">
        <v>77712.13</v>
      </c>
      <c r="E6" s="199">
        <v>79476.97</v>
      </c>
      <c r="F6" s="199">
        <v>59083.25</v>
      </c>
      <c r="G6" s="199">
        <v>58522.67</v>
      </c>
      <c r="H6" s="199">
        <v>59643.83</v>
      </c>
      <c r="I6" s="199">
        <v>13615.63</v>
      </c>
      <c r="J6" s="199">
        <v>13399.69</v>
      </c>
      <c r="K6" s="199">
        <v>13831.56</v>
      </c>
      <c r="L6" s="199">
        <v>724.28139999999996</v>
      </c>
      <c r="M6" s="199">
        <v>701.90020000000004</v>
      </c>
      <c r="N6" s="199">
        <v>746.6626</v>
      </c>
      <c r="O6" s="199">
        <v>482.24799999999999</v>
      </c>
      <c r="P6" s="199">
        <v>449.8141</v>
      </c>
      <c r="Q6" s="199">
        <v>514.68179999999995</v>
      </c>
      <c r="R6" s="199">
        <v>655.93179999999995</v>
      </c>
      <c r="S6" s="199">
        <v>645.3451</v>
      </c>
      <c r="T6" s="199">
        <v>666.85339999999997</v>
      </c>
      <c r="U6" s="199">
        <v>438.7577</v>
      </c>
      <c r="V6" s="199">
        <v>396.46730000000002</v>
      </c>
      <c r="W6" s="199">
        <v>490.52800000000002</v>
      </c>
      <c r="X6" s="199">
        <v>915</v>
      </c>
      <c r="Y6" s="199">
        <v>877.49279999999999</v>
      </c>
      <c r="Z6" s="199">
        <v>952.50720000000001</v>
      </c>
      <c r="AA6" s="199">
        <v>3265.5740000000001</v>
      </c>
      <c r="AB6" s="199">
        <v>3226.8139999999999</v>
      </c>
      <c r="AC6" s="199">
        <v>3304.3339999999998</v>
      </c>
    </row>
    <row r="7" spans="1:29">
      <c r="A7" s="131">
        <v>44713</v>
      </c>
      <c r="B7" s="82">
        <f t="shared" si="0"/>
        <v>2022</v>
      </c>
      <c r="C7" s="199">
        <v>78155.17</v>
      </c>
      <c r="D7" s="199">
        <v>77185.2</v>
      </c>
      <c r="E7" s="199">
        <v>79121.62</v>
      </c>
      <c r="F7" s="199">
        <v>58700.21</v>
      </c>
      <c r="G7" s="199">
        <v>58091.61</v>
      </c>
      <c r="H7" s="199">
        <v>59308.82</v>
      </c>
      <c r="I7" s="199">
        <v>13586.53</v>
      </c>
      <c r="J7" s="199">
        <v>13351.13</v>
      </c>
      <c r="K7" s="199">
        <v>13821.94</v>
      </c>
      <c r="L7" s="199">
        <v>724.51580000000001</v>
      </c>
      <c r="M7" s="199">
        <v>701.20140000000004</v>
      </c>
      <c r="N7" s="199">
        <v>747.83019999999999</v>
      </c>
      <c r="O7" s="199">
        <v>473.1669</v>
      </c>
      <c r="P7" s="199">
        <v>438.03680000000003</v>
      </c>
      <c r="Q7" s="199">
        <v>508.29700000000003</v>
      </c>
      <c r="R7" s="199">
        <v>656.42499999999995</v>
      </c>
      <c r="S7" s="199">
        <v>645.77589999999998</v>
      </c>
      <c r="T7" s="199">
        <v>667.41269999999997</v>
      </c>
      <c r="U7" s="199">
        <v>453.94</v>
      </c>
      <c r="V7" s="199">
        <v>405.7475</v>
      </c>
      <c r="W7" s="199">
        <v>514.30759999999998</v>
      </c>
      <c r="X7" s="199">
        <v>911</v>
      </c>
      <c r="Y7" s="199">
        <v>869.91290000000004</v>
      </c>
      <c r="Z7" s="199">
        <v>952.08709999999996</v>
      </c>
      <c r="AA7" s="199">
        <v>3242.9389999999999</v>
      </c>
      <c r="AB7" s="199">
        <v>3204.0439999999999</v>
      </c>
      <c r="AC7" s="199">
        <v>3281.8339999999998</v>
      </c>
    </row>
    <row r="8" spans="1:29">
      <c r="A8" s="131">
        <v>44743</v>
      </c>
      <c r="B8" s="82">
        <f t="shared" si="0"/>
        <v>2022</v>
      </c>
      <c r="C8" s="199">
        <v>77805.05</v>
      </c>
      <c r="D8" s="199">
        <v>76755.839999999997</v>
      </c>
      <c r="E8" s="199">
        <v>78850.12</v>
      </c>
      <c r="F8" s="199">
        <v>58462.33</v>
      </c>
      <c r="G8" s="199">
        <v>57809.23</v>
      </c>
      <c r="H8" s="199">
        <v>59115.43</v>
      </c>
      <c r="I8" s="199">
        <v>13546.88</v>
      </c>
      <c r="J8" s="199">
        <v>13293.49</v>
      </c>
      <c r="K8" s="199">
        <v>13800.27</v>
      </c>
      <c r="L8" s="199">
        <v>726.56110000000001</v>
      </c>
      <c r="M8" s="199">
        <v>702.34939999999995</v>
      </c>
      <c r="N8" s="199">
        <v>750.77279999999996</v>
      </c>
      <c r="O8" s="199">
        <v>470.45639999999997</v>
      </c>
      <c r="P8" s="199">
        <v>432.80040000000002</v>
      </c>
      <c r="Q8" s="199">
        <v>508.1123</v>
      </c>
      <c r="R8" s="199">
        <v>656.75130000000001</v>
      </c>
      <c r="S8" s="199">
        <v>646.07159999999999</v>
      </c>
      <c r="T8" s="199">
        <v>667.77139999999997</v>
      </c>
      <c r="U8" s="199">
        <v>463.29950000000002</v>
      </c>
      <c r="V8" s="199">
        <v>410.45139999999998</v>
      </c>
      <c r="W8" s="199">
        <v>530.76760000000002</v>
      </c>
      <c r="X8" s="199">
        <v>914</v>
      </c>
      <c r="Y8" s="199">
        <v>869.62090000000001</v>
      </c>
      <c r="Z8" s="199">
        <v>958.37909999999999</v>
      </c>
      <c r="AA8" s="199">
        <v>3224.1179999999999</v>
      </c>
      <c r="AB8" s="199">
        <v>3185.1669999999999</v>
      </c>
      <c r="AC8" s="199">
        <v>3263.069</v>
      </c>
    </row>
    <row r="9" spans="1:29">
      <c r="A9" s="131">
        <v>44774</v>
      </c>
      <c r="B9" s="82">
        <f t="shared" si="0"/>
        <v>2022</v>
      </c>
      <c r="C9" s="199">
        <v>77624.039999999994</v>
      </c>
      <c r="D9" s="199">
        <v>76501.48</v>
      </c>
      <c r="E9" s="199">
        <v>78741.86</v>
      </c>
      <c r="F9" s="199">
        <v>58236.06</v>
      </c>
      <c r="G9" s="199">
        <v>57541.3</v>
      </c>
      <c r="H9" s="199">
        <v>58930.81</v>
      </c>
      <c r="I9" s="199">
        <v>13555.98</v>
      </c>
      <c r="J9" s="199">
        <v>13285.81</v>
      </c>
      <c r="K9" s="199">
        <v>13826.16</v>
      </c>
      <c r="L9" s="199">
        <v>723.80960000000005</v>
      </c>
      <c r="M9" s="199">
        <v>698.7328</v>
      </c>
      <c r="N9" s="199">
        <v>748.88649999999996</v>
      </c>
      <c r="O9" s="199">
        <v>468.59840000000003</v>
      </c>
      <c r="P9" s="199">
        <v>428.58390000000003</v>
      </c>
      <c r="Q9" s="199">
        <v>508.613</v>
      </c>
      <c r="R9" s="199">
        <v>656.96709999999996</v>
      </c>
      <c r="S9" s="199">
        <v>646.27179999999998</v>
      </c>
      <c r="T9" s="199">
        <v>668.00369999999998</v>
      </c>
      <c r="U9" s="199">
        <v>454.95940000000002</v>
      </c>
      <c r="V9" s="199">
        <v>401.17329999999998</v>
      </c>
      <c r="W9" s="199">
        <v>524.32349999999997</v>
      </c>
      <c r="X9" s="199">
        <v>914</v>
      </c>
      <c r="Y9" s="199">
        <v>866.55669999999998</v>
      </c>
      <c r="Z9" s="199">
        <v>961.44330000000002</v>
      </c>
      <c r="AA9" s="199">
        <v>3216.1030000000001</v>
      </c>
      <c r="AB9" s="199">
        <v>3177.1289999999999</v>
      </c>
      <c r="AC9" s="199">
        <v>3255.0770000000002</v>
      </c>
    </row>
    <row r="10" spans="1:29">
      <c r="A10" s="131">
        <v>44805</v>
      </c>
      <c r="B10" s="82">
        <f t="shared" si="0"/>
        <v>2022</v>
      </c>
      <c r="C10" s="199">
        <v>77867.259999999995</v>
      </c>
      <c r="D10" s="199">
        <v>76677.570000000007</v>
      </c>
      <c r="E10" s="199">
        <v>79051.64</v>
      </c>
      <c r="F10" s="199">
        <v>58425.4</v>
      </c>
      <c r="G10" s="199">
        <v>57691.34</v>
      </c>
      <c r="H10" s="199">
        <v>59159.45</v>
      </c>
      <c r="I10" s="199">
        <v>13606.46</v>
      </c>
      <c r="J10" s="199">
        <v>13320.49</v>
      </c>
      <c r="K10" s="199">
        <v>13892.44</v>
      </c>
      <c r="L10" s="199">
        <v>718.85109999999997</v>
      </c>
      <c r="M10" s="199">
        <v>692.93790000000001</v>
      </c>
      <c r="N10" s="199">
        <v>744.76419999999996</v>
      </c>
      <c r="O10" s="199">
        <v>475.09789999999998</v>
      </c>
      <c r="P10" s="199">
        <v>432.85320000000002</v>
      </c>
      <c r="Q10" s="199">
        <v>517.34259999999995</v>
      </c>
      <c r="R10" s="199">
        <v>657.10969999999998</v>
      </c>
      <c r="S10" s="199">
        <v>646.40620000000001</v>
      </c>
      <c r="T10" s="199">
        <v>668.15509999999995</v>
      </c>
      <c r="U10" s="199">
        <v>455.38529999999997</v>
      </c>
      <c r="V10" s="199">
        <v>398.98360000000002</v>
      </c>
      <c r="W10" s="199">
        <v>529.14</v>
      </c>
      <c r="X10" s="199">
        <v>914</v>
      </c>
      <c r="Y10" s="199">
        <v>863.67880000000002</v>
      </c>
      <c r="Z10" s="199">
        <v>964.32119999999998</v>
      </c>
      <c r="AA10" s="199">
        <v>3223.299</v>
      </c>
      <c r="AB10" s="199">
        <v>3184.3159999999998</v>
      </c>
      <c r="AC10" s="199">
        <v>3262.2820000000002</v>
      </c>
    </row>
    <row r="11" spans="1:29">
      <c r="A11" s="131">
        <v>44835</v>
      </c>
      <c r="B11" s="82">
        <f t="shared" si="0"/>
        <v>2022</v>
      </c>
      <c r="C11" s="199">
        <v>78148.960000000006</v>
      </c>
      <c r="D11" s="199">
        <v>76896.11</v>
      </c>
      <c r="E11" s="199">
        <v>79395.929999999993</v>
      </c>
      <c r="F11" s="199">
        <v>58662.94</v>
      </c>
      <c r="G11" s="199">
        <v>57891.59</v>
      </c>
      <c r="H11" s="199">
        <v>59434.29</v>
      </c>
      <c r="I11" s="199">
        <v>13698.51</v>
      </c>
      <c r="J11" s="199">
        <v>13397.56</v>
      </c>
      <c r="K11" s="199">
        <v>13999.46</v>
      </c>
      <c r="L11" s="199">
        <v>720.75220000000002</v>
      </c>
      <c r="M11" s="199">
        <v>694.02890000000002</v>
      </c>
      <c r="N11" s="199">
        <v>747.47550000000001</v>
      </c>
      <c r="O11" s="199">
        <v>465.81150000000002</v>
      </c>
      <c r="P11" s="199">
        <v>421.44979999999998</v>
      </c>
      <c r="Q11" s="199">
        <v>510.17320000000001</v>
      </c>
      <c r="R11" s="199">
        <v>657.20410000000004</v>
      </c>
      <c r="S11" s="199">
        <v>646.49590000000001</v>
      </c>
      <c r="T11" s="199">
        <v>668.25429999999994</v>
      </c>
      <c r="U11" s="199">
        <v>453.50659999999999</v>
      </c>
      <c r="V11" s="199">
        <v>395.1866</v>
      </c>
      <c r="W11" s="199">
        <v>530.6789</v>
      </c>
      <c r="X11" s="199">
        <v>912</v>
      </c>
      <c r="Y11" s="199">
        <v>858.95680000000004</v>
      </c>
      <c r="Z11" s="199">
        <v>965.04319999999996</v>
      </c>
      <c r="AA11" s="199">
        <v>3210.0830000000001</v>
      </c>
      <c r="AB11" s="199">
        <v>3171.096</v>
      </c>
      <c r="AC11" s="199">
        <v>3249.069</v>
      </c>
    </row>
    <row r="12" spans="1:29">
      <c r="A12" s="131">
        <v>44866</v>
      </c>
      <c r="B12" s="82">
        <f t="shared" si="0"/>
        <v>2022</v>
      </c>
      <c r="C12" s="199">
        <v>79230.759999999995</v>
      </c>
      <c r="D12" s="199">
        <v>77921.98</v>
      </c>
      <c r="E12" s="199">
        <v>80533.23</v>
      </c>
      <c r="F12" s="199">
        <v>59518.46</v>
      </c>
      <c r="G12" s="199">
        <v>58711.53</v>
      </c>
      <c r="H12" s="199">
        <v>60325.38</v>
      </c>
      <c r="I12" s="199">
        <v>13896.49</v>
      </c>
      <c r="J12" s="199">
        <v>13581.27</v>
      </c>
      <c r="K12" s="199">
        <v>14211.7</v>
      </c>
      <c r="L12" s="199">
        <v>727.78470000000004</v>
      </c>
      <c r="M12" s="199">
        <v>700.27509999999995</v>
      </c>
      <c r="N12" s="199">
        <v>755.29430000000002</v>
      </c>
      <c r="O12" s="199">
        <v>480.74079999999998</v>
      </c>
      <c r="P12" s="199">
        <v>434.35809999999998</v>
      </c>
      <c r="Q12" s="199">
        <v>527.12350000000004</v>
      </c>
      <c r="R12" s="199">
        <v>657.26639999999998</v>
      </c>
      <c r="S12" s="199">
        <v>646.55550000000005</v>
      </c>
      <c r="T12" s="199">
        <v>668.31949999999995</v>
      </c>
      <c r="U12" s="199">
        <v>457.36669999999998</v>
      </c>
      <c r="V12" s="199">
        <v>395.92619999999999</v>
      </c>
      <c r="W12" s="199">
        <v>539.85739999999998</v>
      </c>
      <c r="X12" s="199">
        <v>914</v>
      </c>
      <c r="Y12" s="199">
        <v>858.36779999999999</v>
      </c>
      <c r="Z12" s="199">
        <v>969.63220000000001</v>
      </c>
      <c r="AA12" s="199">
        <v>3249.4780000000001</v>
      </c>
      <c r="AB12" s="199">
        <v>3210.49</v>
      </c>
      <c r="AC12" s="199">
        <v>3288.4670000000001</v>
      </c>
    </row>
    <row r="13" spans="1:29">
      <c r="A13" s="131">
        <v>44896</v>
      </c>
      <c r="B13" s="82">
        <f t="shared" si="0"/>
        <v>2022</v>
      </c>
      <c r="C13" s="199">
        <v>80229.86</v>
      </c>
      <c r="D13" s="199">
        <v>78867.820000000007</v>
      </c>
      <c r="E13" s="199">
        <v>81585.14</v>
      </c>
      <c r="F13" s="199">
        <v>60387.08</v>
      </c>
      <c r="G13" s="199">
        <v>59546.09</v>
      </c>
      <c r="H13" s="199">
        <v>61228.08</v>
      </c>
      <c r="I13" s="199">
        <v>14074.15</v>
      </c>
      <c r="J13" s="199">
        <v>13745.29</v>
      </c>
      <c r="K13" s="199">
        <v>14403.01</v>
      </c>
      <c r="L13" s="199">
        <v>738.48069999999996</v>
      </c>
      <c r="M13" s="199">
        <v>710.19809999999995</v>
      </c>
      <c r="N13" s="199">
        <v>766.76340000000005</v>
      </c>
      <c r="O13" s="199">
        <v>497.45159999999998</v>
      </c>
      <c r="P13" s="199">
        <v>449.13260000000002</v>
      </c>
      <c r="Q13" s="199">
        <v>545.77059999999994</v>
      </c>
      <c r="R13" s="199">
        <v>657.30759999999998</v>
      </c>
      <c r="S13" s="199">
        <v>646.59519999999998</v>
      </c>
      <c r="T13" s="199">
        <v>668.36239999999998</v>
      </c>
      <c r="U13" s="199">
        <v>469.33730000000003</v>
      </c>
      <c r="V13" s="199">
        <v>402.78</v>
      </c>
      <c r="W13" s="199">
        <v>560.43380000000002</v>
      </c>
      <c r="X13" s="199">
        <v>915</v>
      </c>
      <c r="Y13" s="199">
        <v>856.89409999999998</v>
      </c>
      <c r="Z13" s="199">
        <v>973.10590000000002</v>
      </c>
      <c r="AA13" s="199">
        <v>3296.4740000000002</v>
      </c>
      <c r="AB13" s="199">
        <v>3257.4850000000001</v>
      </c>
      <c r="AC13" s="199">
        <v>3335.4630000000002</v>
      </c>
    </row>
    <row r="14" spans="1:29">
      <c r="A14" s="131">
        <v>44927</v>
      </c>
      <c r="B14" s="82">
        <f t="shared" si="0"/>
        <v>2023</v>
      </c>
      <c r="C14" s="199">
        <v>80980.73</v>
      </c>
      <c r="D14" s="199">
        <v>79541.03</v>
      </c>
      <c r="E14" s="199">
        <v>82412.960000000006</v>
      </c>
      <c r="F14" s="199">
        <v>60984.78</v>
      </c>
      <c r="G14" s="199">
        <v>60066.29</v>
      </c>
      <c r="H14" s="199">
        <v>61903.27</v>
      </c>
      <c r="I14" s="199">
        <v>14199.62</v>
      </c>
      <c r="J14" s="199">
        <v>13846.9</v>
      </c>
      <c r="K14" s="199">
        <v>14552.35</v>
      </c>
      <c r="L14" s="199">
        <v>746.41089999999997</v>
      </c>
      <c r="M14" s="199">
        <v>716.86770000000001</v>
      </c>
      <c r="N14" s="199">
        <v>775.95420000000001</v>
      </c>
      <c r="O14" s="199">
        <v>509.42410000000001</v>
      </c>
      <c r="P14" s="199">
        <v>455.93830000000003</v>
      </c>
      <c r="Q14" s="199">
        <v>562.90989999999999</v>
      </c>
      <c r="R14" s="199">
        <v>657.33479999999997</v>
      </c>
      <c r="S14" s="199">
        <v>646.62139999999999</v>
      </c>
      <c r="T14" s="199">
        <v>668.39059999999995</v>
      </c>
      <c r="U14" s="199">
        <v>469.71230000000003</v>
      </c>
      <c r="V14" s="199">
        <v>400.41210000000001</v>
      </c>
      <c r="W14" s="199">
        <v>565.99570000000006</v>
      </c>
      <c r="X14" s="199">
        <v>1043</v>
      </c>
      <c r="Y14" s="199">
        <v>975.90509999999995</v>
      </c>
      <c r="Z14" s="199">
        <v>1110.095</v>
      </c>
      <c r="AA14" s="199">
        <v>3303.6579999999999</v>
      </c>
      <c r="AB14" s="199">
        <v>3262.8339999999998</v>
      </c>
      <c r="AC14" s="199">
        <v>3344.482</v>
      </c>
    </row>
    <row r="15" spans="1:29">
      <c r="A15" s="131">
        <v>44958</v>
      </c>
      <c r="B15" s="82">
        <f t="shared" si="0"/>
        <v>2023</v>
      </c>
      <c r="C15" s="199">
        <v>80987.899999999994</v>
      </c>
      <c r="D15" s="199">
        <v>79471.45</v>
      </c>
      <c r="E15" s="199">
        <v>82496.06</v>
      </c>
      <c r="F15" s="199">
        <v>60956.03</v>
      </c>
      <c r="G15" s="199">
        <v>59976.06</v>
      </c>
      <c r="H15" s="199">
        <v>61936</v>
      </c>
      <c r="I15" s="199">
        <v>14217.84</v>
      </c>
      <c r="J15" s="199">
        <v>13844.6</v>
      </c>
      <c r="K15" s="199">
        <v>14591.09</v>
      </c>
      <c r="L15" s="199">
        <v>743.029</v>
      </c>
      <c r="M15" s="199">
        <v>712.36019999999996</v>
      </c>
      <c r="N15" s="199">
        <v>773.69770000000005</v>
      </c>
      <c r="O15" s="199">
        <v>502.45600000000002</v>
      </c>
      <c r="P15" s="199">
        <v>445.59109999999998</v>
      </c>
      <c r="Q15" s="199">
        <v>559.32090000000005</v>
      </c>
      <c r="R15" s="199">
        <v>657.3528</v>
      </c>
      <c r="S15" s="199">
        <v>646.63879999999995</v>
      </c>
      <c r="T15" s="199">
        <v>668.40930000000003</v>
      </c>
      <c r="U15" s="199">
        <v>466.8843</v>
      </c>
      <c r="V15" s="199">
        <v>395.89069999999998</v>
      </c>
      <c r="W15" s="199">
        <v>566.71079999999995</v>
      </c>
      <c r="X15" s="199">
        <v>1043</v>
      </c>
      <c r="Y15" s="199">
        <v>967.98559999999998</v>
      </c>
      <c r="Z15" s="199">
        <v>1118.0139999999999</v>
      </c>
      <c r="AA15" s="199">
        <v>3304.61</v>
      </c>
      <c r="AB15" s="199">
        <v>3263.0549999999998</v>
      </c>
      <c r="AC15" s="199">
        <v>3346.165</v>
      </c>
    </row>
    <row r="16" spans="1:29">
      <c r="A16" s="131">
        <v>44986</v>
      </c>
      <c r="B16" s="82">
        <f t="shared" si="0"/>
        <v>2023</v>
      </c>
      <c r="C16" s="199">
        <v>81172.2</v>
      </c>
      <c r="D16" s="199">
        <v>79583.710000000006</v>
      </c>
      <c r="E16" s="199">
        <v>82751.61</v>
      </c>
      <c r="F16" s="199">
        <v>61099.05</v>
      </c>
      <c r="G16" s="199">
        <v>60061.23</v>
      </c>
      <c r="H16" s="199">
        <v>62136.86</v>
      </c>
      <c r="I16" s="199">
        <v>14275.08</v>
      </c>
      <c r="J16" s="199">
        <v>13882.11</v>
      </c>
      <c r="K16" s="199">
        <v>14668.05</v>
      </c>
      <c r="L16" s="199">
        <v>748.90210000000002</v>
      </c>
      <c r="M16" s="199">
        <v>717.3578</v>
      </c>
      <c r="N16" s="199">
        <v>780.44629999999995</v>
      </c>
      <c r="O16" s="199">
        <v>497.95949999999999</v>
      </c>
      <c r="P16" s="199">
        <v>437.44119999999998</v>
      </c>
      <c r="Q16" s="199">
        <v>558.47789999999998</v>
      </c>
      <c r="R16" s="199">
        <v>657.36469999999997</v>
      </c>
      <c r="S16" s="199">
        <v>646.65030000000002</v>
      </c>
      <c r="T16" s="199">
        <v>668.42160000000001</v>
      </c>
      <c r="U16" s="199">
        <v>470.20569999999998</v>
      </c>
      <c r="V16" s="199">
        <v>396.12650000000002</v>
      </c>
      <c r="W16" s="199">
        <v>575.91949999999997</v>
      </c>
      <c r="X16" s="199">
        <v>1041</v>
      </c>
      <c r="Y16" s="199">
        <v>958.82579999999996</v>
      </c>
      <c r="Z16" s="199">
        <v>1123.174</v>
      </c>
      <c r="AA16" s="199">
        <v>3295.7539999999999</v>
      </c>
      <c r="AB16" s="199">
        <v>3253.902</v>
      </c>
      <c r="AC16" s="199">
        <v>3337.6060000000002</v>
      </c>
    </row>
    <row r="17" spans="1:29">
      <c r="A17" s="131">
        <v>45017</v>
      </c>
      <c r="B17" s="82">
        <f t="shared" si="0"/>
        <v>2023</v>
      </c>
      <c r="C17" s="199">
        <v>81392.66</v>
      </c>
      <c r="D17" s="199">
        <v>79735.64</v>
      </c>
      <c r="E17" s="199">
        <v>83039.839999999997</v>
      </c>
      <c r="F17" s="199">
        <v>61369.38</v>
      </c>
      <c r="G17" s="199">
        <v>60276.78</v>
      </c>
      <c r="H17" s="199">
        <v>62461.98</v>
      </c>
      <c r="I17" s="199">
        <v>14307.71</v>
      </c>
      <c r="J17" s="199">
        <v>13896.01</v>
      </c>
      <c r="K17" s="199">
        <v>14719.41</v>
      </c>
      <c r="L17" s="199">
        <v>745.46690000000001</v>
      </c>
      <c r="M17" s="199">
        <v>713.07079999999996</v>
      </c>
      <c r="N17" s="199">
        <v>777.86310000000003</v>
      </c>
      <c r="O17" s="199">
        <v>496.09679999999997</v>
      </c>
      <c r="P17" s="199">
        <v>432.30599999999998</v>
      </c>
      <c r="Q17" s="199">
        <v>559.8877</v>
      </c>
      <c r="R17" s="199">
        <v>657.37260000000003</v>
      </c>
      <c r="S17" s="199">
        <v>646.65790000000004</v>
      </c>
      <c r="T17" s="199">
        <v>668.42970000000003</v>
      </c>
      <c r="U17" s="199">
        <v>472.0111</v>
      </c>
      <c r="V17" s="199">
        <v>395.29509999999999</v>
      </c>
      <c r="W17" s="199">
        <v>582.98599999999999</v>
      </c>
      <c r="X17" s="199">
        <v>1041</v>
      </c>
      <c r="Y17" s="199">
        <v>952.24180000000001</v>
      </c>
      <c r="Z17" s="199">
        <v>1129.758</v>
      </c>
      <c r="AA17" s="199">
        <v>3297.4409999999998</v>
      </c>
      <c r="AB17" s="199">
        <v>3255.4679999999998</v>
      </c>
      <c r="AC17" s="199">
        <v>3339.415</v>
      </c>
    </row>
    <row r="18" spans="1:29">
      <c r="A18" s="131">
        <v>45047</v>
      </c>
      <c r="B18" s="82">
        <f t="shared" si="0"/>
        <v>2023</v>
      </c>
      <c r="C18" s="199">
        <v>80756.639999999999</v>
      </c>
      <c r="D18" s="199">
        <v>79028.570000000007</v>
      </c>
      <c r="E18" s="199">
        <v>82473.91</v>
      </c>
      <c r="F18" s="199">
        <v>61073.9</v>
      </c>
      <c r="G18" s="199">
        <v>59929.13</v>
      </c>
      <c r="H18" s="199">
        <v>62218.67</v>
      </c>
      <c r="I18" s="199">
        <v>14183.38</v>
      </c>
      <c r="J18" s="199">
        <v>13753.75</v>
      </c>
      <c r="K18" s="199">
        <v>14613.01</v>
      </c>
      <c r="L18" s="199">
        <v>734.02200000000005</v>
      </c>
      <c r="M18" s="199">
        <v>700.79579999999999</v>
      </c>
      <c r="N18" s="199">
        <v>767.2482</v>
      </c>
      <c r="O18" s="199">
        <v>474.86380000000003</v>
      </c>
      <c r="P18" s="199">
        <v>407.89729999999997</v>
      </c>
      <c r="Q18" s="199">
        <v>541.83029999999997</v>
      </c>
      <c r="R18" s="199">
        <v>657.37779999999998</v>
      </c>
      <c r="S18" s="199">
        <v>646.66290000000004</v>
      </c>
      <c r="T18" s="199">
        <v>668.43510000000003</v>
      </c>
      <c r="U18" s="199">
        <v>465.47620000000001</v>
      </c>
      <c r="V18" s="199">
        <v>388.58080000000001</v>
      </c>
      <c r="W18" s="199">
        <v>577.53129999999999</v>
      </c>
      <c r="X18" s="199">
        <v>1042</v>
      </c>
      <c r="Y18" s="199">
        <v>947.11339999999996</v>
      </c>
      <c r="Z18" s="199">
        <v>1136.8869999999999</v>
      </c>
      <c r="AA18" s="199">
        <v>3245.4969999999998</v>
      </c>
      <c r="AB18" s="199">
        <v>3203.4740000000002</v>
      </c>
      <c r="AC18" s="199">
        <v>3287.5210000000002</v>
      </c>
    </row>
    <row r="19" spans="1:29">
      <c r="A19" s="131">
        <v>45078</v>
      </c>
      <c r="B19" s="82">
        <f t="shared" si="0"/>
        <v>2023</v>
      </c>
      <c r="C19" s="199">
        <v>80319.31</v>
      </c>
      <c r="D19" s="199">
        <v>78523.66</v>
      </c>
      <c r="E19" s="199">
        <v>82103.240000000005</v>
      </c>
      <c r="F19" s="199">
        <v>60690.87</v>
      </c>
      <c r="G19" s="199">
        <v>59496.21</v>
      </c>
      <c r="H19" s="199">
        <v>61885.53</v>
      </c>
      <c r="I19" s="199">
        <v>14154.29</v>
      </c>
      <c r="J19" s="199">
        <v>13707.45</v>
      </c>
      <c r="K19" s="199">
        <v>14601.12</v>
      </c>
      <c r="L19" s="199">
        <v>734.25639999999999</v>
      </c>
      <c r="M19" s="199">
        <v>700.22040000000004</v>
      </c>
      <c r="N19" s="199">
        <v>768.29240000000004</v>
      </c>
      <c r="O19" s="199">
        <v>466.46570000000003</v>
      </c>
      <c r="P19" s="199">
        <v>396.49079999999998</v>
      </c>
      <c r="Q19" s="199">
        <v>536.44060000000002</v>
      </c>
      <c r="R19" s="199">
        <v>657.38120000000004</v>
      </c>
      <c r="S19" s="199">
        <v>646.66629999999998</v>
      </c>
      <c r="T19" s="199">
        <v>668.43859999999995</v>
      </c>
      <c r="U19" s="199">
        <v>467.74689999999998</v>
      </c>
      <c r="V19" s="199">
        <v>388.22800000000001</v>
      </c>
      <c r="W19" s="199">
        <v>585.18650000000002</v>
      </c>
      <c r="X19" s="199">
        <v>1038</v>
      </c>
      <c r="Y19" s="199">
        <v>937.35760000000005</v>
      </c>
      <c r="Z19" s="199">
        <v>1138.6420000000001</v>
      </c>
      <c r="AA19" s="199">
        <v>3221.442</v>
      </c>
      <c r="AB19" s="199">
        <v>3179.3980000000001</v>
      </c>
      <c r="AC19" s="199">
        <v>3263.4859999999999</v>
      </c>
    </row>
    <row r="20" spans="1:29">
      <c r="A20" s="131">
        <v>45108</v>
      </c>
      <c r="B20" s="82">
        <f t="shared" si="0"/>
        <v>2023</v>
      </c>
      <c r="C20" s="199">
        <v>79971.990000000005</v>
      </c>
      <c r="D20" s="199">
        <v>78111.39</v>
      </c>
      <c r="E20" s="199">
        <v>81819.97</v>
      </c>
      <c r="F20" s="199">
        <v>60452.98</v>
      </c>
      <c r="G20" s="199">
        <v>59210.43</v>
      </c>
      <c r="H20" s="199">
        <v>61695.53</v>
      </c>
      <c r="I20" s="199">
        <v>14114.64</v>
      </c>
      <c r="J20" s="199">
        <v>13651.23</v>
      </c>
      <c r="K20" s="199">
        <v>14578.04</v>
      </c>
      <c r="L20" s="199">
        <v>736.30169999999998</v>
      </c>
      <c r="M20" s="199">
        <v>701.47469999999998</v>
      </c>
      <c r="N20" s="199">
        <v>771.12860000000001</v>
      </c>
      <c r="O20" s="199">
        <v>463.75310000000002</v>
      </c>
      <c r="P20" s="199">
        <v>390.88529999999997</v>
      </c>
      <c r="Q20" s="199">
        <v>536.62090000000001</v>
      </c>
      <c r="R20" s="199">
        <v>657.38350000000003</v>
      </c>
      <c r="S20" s="199">
        <v>646.66849999999999</v>
      </c>
      <c r="T20" s="199">
        <v>668.44090000000006</v>
      </c>
      <c r="U20" s="199">
        <v>467.7319</v>
      </c>
      <c r="V20" s="199">
        <v>386.33890000000002</v>
      </c>
      <c r="W20" s="199">
        <v>589.30629999999996</v>
      </c>
      <c r="X20" s="199">
        <v>1041</v>
      </c>
      <c r="Y20" s="199">
        <v>934.91359999999997</v>
      </c>
      <c r="Z20" s="199">
        <v>1147.086</v>
      </c>
      <c r="AA20" s="199">
        <v>3200.1129999999998</v>
      </c>
      <c r="AB20" s="199">
        <v>3158.06</v>
      </c>
      <c r="AC20" s="199">
        <v>3242.165</v>
      </c>
    </row>
    <row r="21" spans="1:29">
      <c r="A21" s="131">
        <v>45139</v>
      </c>
      <c r="B21" s="82">
        <f t="shared" si="0"/>
        <v>2023</v>
      </c>
      <c r="C21" s="199">
        <v>79792.44</v>
      </c>
      <c r="D21" s="199">
        <v>77869.94</v>
      </c>
      <c r="E21" s="199">
        <v>81701.429999999993</v>
      </c>
      <c r="F21" s="199">
        <v>60226.71</v>
      </c>
      <c r="G21" s="199">
        <v>58938.05</v>
      </c>
      <c r="H21" s="199">
        <v>61515.37</v>
      </c>
      <c r="I21" s="199">
        <v>14123.74</v>
      </c>
      <c r="J21" s="199">
        <v>13644.34</v>
      </c>
      <c r="K21" s="199">
        <v>14603.14</v>
      </c>
      <c r="L21" s="199">
        <v>733.55020000000002</v>
      </c>
      <c r="M21" s="199">
        <v>697.94979999999998</v>
      </c>
      <c r="N21" s="199">
        <v>769.15060000000005</v>
      </c>
      <c r="O21" s="199">
        <v>460.46899999999999</v>
      </c>
      <c r="P21" s="199">
        <v>384.822</v>
      </c>
      <c r="Q21" s="199">
        <v>536.11590000000001</v>
      </c>
      <c r="R21" s="199">
        <v>657.38499999999999</v>
      </c>
      <c r="S21" s="199">
        <v>646.66989999999998</v>
      </c>
      <c r="T21" s="199">
        <v>668.4425</v>
      </c>
      <c r="U21" s="199">
        <v>463.54730000000001</v>
      </c>
      <c r="V21" s="199">
        <v>381.63510000000002</v>
      </c>
      <c r="W21" s="199">
        <v>586.83759999999995</v>
      </c>
      <c r="X21" s="199">
        <v>1041</v>
      </c>
      <c r="Y21" s="199">
        <v>929.73569999999995</v>
      </c>
      <c r="Z21" s="199">
        <v>1152.2639999999999</v>
      </c>
      <c r="AA21" s="199">
        <v>3192.1060000000002</v>
      </c>
      <c r="AB21" s="199">
        <v>3150.0509999999999</v>
      </c>
      <c r="AC21" s="199">
        <v>3234.1619999999998</v>
      </c>
    </row>
    <row r="22" spans="1:29">
      <c r="A22" s="131">
        <v>45170</v>
      </c>
      <c r="B22" s="82">
        <f t="shared" si="0"/>
        <v>2023</v>
      </c>
      <c r="C22" s="199">
        <v>80033.7</v>
      </c>
      <c r="D22" s="199">
        <v>78054.17</v>
      </c>
      <c r="E22" s="199">
        <v>81998.960000000006</v>
      </c>
      <c r="F22" s="199">
        <v>60416.05</v>
      </c>
      <c r="G22" s="199">
        <v>59082.87</v>
      </c>
      <c r="H22" s="199">
        <v>61749.23</v>
      </c>
      <c r="I22" s="199">
        <v>14174.22</v>
      </c>
      <c r="J22" s="199">
        <v>13679.34</v>
      </c>
      <c r="K22" s="199">
        <v>14669.1</v>
      </c>
      <c r="L22" s="199">
        <v>728.59169999999995</v>
      </c>
      <c r="M22" s="199">
        <v>692.23429999999996</v>
      </c>
      <c r="N22" s="199">
        <v>764.94899999999996</v>
      </c>
      <c r="O22" s="199">
        <v>469.35829999999999</v>
      </c>
      <c r="P22" s="199">
        <v>391.02960000000002</v>
      </c>
      <c r="Q22" s="199">
        <v>547.68709999999999</v>
      </c>
      <c r="R22" s="199">
        <v>657.38599999999997</v>
      </c>
      <c r="S22" s="199">
        <v>646.67089999999996</v>
      </c>
      <c r="T22" s="199">
        <v>668.44349999999997</v>
      </c>
      <c r="U22" s="199">
        <v>458.74669999999998</v>
      </c>
      <c r="V22" s="199">
        <v>376.60890000000001</v>
      </c>
      <c r="W22" s="199">
        <v>583.20870000000002</v>
      </c>
      <c r="X22" s="199">
        <v>1041</v>
      </c>
      <c r="Y22" s="199">
        <v>924.78819999999996</v>
      </c>
      <c r="Z22" s="199">
        <v>1157.212</v>
      </c>
      <c r="AA22" s="199">
        <v>3193.1819999999998</v>
      </c>
      <c r="AB22" s="199">
        <v>3151.1239999999998</v>
      </c>
      <c r="AC22" s="199">
        <v>3235.239</v>
      </c>
    </row>
    <row r="23" spans="1:29">
      <c r="A23" s="131">
        <v>45200</v>
      </c>
      <c r="B23" s="82">
        <f t="shared" si="0"/>
        <v>2023</v>
      </c>
      <c r="C23" s="199">
        <v>80313.14</v>
      </c>
      <c r="D23" s="199">
        <v>78278.64</v>
      </c>
      <c r="E23" s="199">
        <v>82332.62</v>
      </c>
      <c r="F23" s="199">
        <v>60653.59</v>
      </c>
      <c r="G23" s="199">
        <v>59277.33</v>
      </c>
      <c r="H23" s="199">
        <v>62029.84</v>
      </c>
      <c r="I23" s="199">
        <v>14266.27</v>
      </c>
      <c r="J23" s="199">
        <v>13756.38</v>
      </c>
      <c r="K23" s="199">
        <v>14776.15</v>
      </c>
      <c r="L23" s="199">
        <v>730.49279999999999</v>
      </c>
      <c r="M23" s="199">
        <v>693.39390000000003</v>
      </c>
      <c r="N23" s="199">
        <v>767.59169999999995</v>
      </c>
      <c r="O23" s="199">
        <v>458.71679999999998</v>
      </c>
      <c r="P23" s="199">
        <v>377.79559999999998</v>
      </c>
      <c r="Q23" s="199">
        <v>539.63810000000001</v>
      </c>
      <c r="R23" s="199">
        <v>657.38660000000004</v>
      </c>
      <c r="S23" s="199">
        <v>646.67150000000004</v>
      </c>
      <c r="T23" s="199">
        <v>668.44420000000002</v>
      </c>
      <c r="U23" s="199">
        <v>462.9828</v>
      </c>
      <c r="V23" s="199">
        <v>377.84609999999998</v>
      </c>
      <c r="W23" s="199">
        <v>593.80939999999998</v>
      </c>
      <c r="X23" s="199">
        <v>1039</v>
      </c>
      <c r="Y23" s="199">
        <v>918.04290000000003</v>
      </c>
      <c r="Z23" s="199">
        <v>1159.9570000000001</v>
      </c>
      <c r="AA23" s="199">
        <v>3191.5010000000002</v>
      </c>
      <c r="AB23" s="199">
        <v>3149.4430000000002</v>
      </c>
      <c r="AC23" s="199">
        <v>3233.5590000000002</v>
      </c>
    </row>
    <row r="24" spans="1:29">
      <c r="A24" s="131">
        <v>45231</v>
      </c>
      <c r="B24" s="82">
        <f t="shared" si="0"/>
        <v>2023</v>
      </c>
      <c r="C24" s="199">
        <v>81386.39</v>
      </c>
      <c r="D24" s="199">
        <v>79304.66</v>
      </c>
      <c r="E24" s="199">
        <v>83452.59</v>
      </c>
      <c r="F24" s="199">
        <v>61509.11</v>
      </c>
      <c r="G24" s="199">
        <v>60091.08</v>
      </c>
      <c r="H24" s="199">
        <v>62927.13</v>
      </c>
      <c r="I24" s="199">
        <v>14464.24</v>
      </c>
      <c r="J24" s="199">
        <v>13939.77</v>
      </c>
      <c r="K24" s="199">
        <v>14988.71</v>
      </c>
      <c r="L24" s="199">
        <v>737.52530000000002</v>
      </c>
      <c r="M24" s="199">
        <v>699.69949999999994</v>
      </c>
      <c r="N24" s="199">
        <v>775.35109999999997</v>
      </c>
      <c r="O24" s="199">
        <v>474.7516</v>
      </c>
      <c r="P24" s="199">
        <v>391.31810000000002</v>
      </c>
      <c r="Q24" s="199">
        <v>558.18499999999995</v>
      </c>
      <c r="R24" s="199">
        <v>657.38710000000003</v>
      </c>
      <c r="S24" s="199">
        <v>646.67190000000005</v>
      </c>
      <c r="T24" s="199">
        <v>668.44460000000004</v>
      </c>
      <c r="U24" s="199">
        <v>466.77870000000001</v>
      </c>
      <c r="V24" s="199">
        <v>378.7842</v>
      </c>
      <c r="W24" s="199">
        <v>603.84590000000003</v>
      </c>
      <c r="X24" s="199">
        <v>1041</v>
      </c>
      <c r="Y24" s="199">
        <v>915.4769</v>
      </c>
      <c r="Z24" s="199">
        <v>1166.5229999999999</v>
      </c>
      <c r="AA24" s="199">
        <v>3231.26</v>
      </c>
      <c r="AB24" s="199">
        <v>3189.2020000000002</v>
      </c>
      <c r="AC24" s="199">
        <v>3273.3180000000002</v>
      </c>
    </row>
    <row r="25" spans="1:29">
      <c r="A25" s="131">
        <v>45261</v>
      </c>
      <c r="B25" s="82">
        <f t="shared" si="0"/>
        <v>2023</v>
      </c>
      <c r="C25" s="199">
        <v>82377.7</v>
      </c>
      <c r="D25" s="199">
        <v>80249.83</v>
      </c>
      <c r="E25" s="199">
        <v>84489.54</v>
      </c>
      <c r="F25" s="199">
        <v>62377.73</v>
      </c>
      <c r="G25" s="199">
        <v>60919.13</v>
      </c>
      <c r="H25" s="199">
        <v>63836.34</v>
      </c>
      <c r="I25" s="199">
        <v>14641.91</v>
      </c>
      <c r="J25" s="199">
        <v>14103.25</v>
      </c>
      <c r="K25" s="199">
        <v>15180.56</v>
      </c>
      <c r="L25" s="199">
        <v>748.22130000000004</v>
      </c>
      <c r="M25" s="199">
        <v>709.66970000000003</v>
      </c>
      <c r="N25" s="199">
        <v>786.77300000000002</v>
      </c>
      <c r="O25" s="199">
        <v>489.89429999999999</v>
      </c>
      <c r="P25" s="199">
        <v>404.0222</v>
      </c>
      <c r="Q25" s="199">
        <v>575.76639999999998</v>
      </c>
      <c r="R25" s="199">
        <v>657.38739999999996</v>
      </c>
      <c r="S25" s="199">
        <v>646.67219999999998</v>
      </c>
      <c r="T25" s="199">
        <v>668.44489999999996</v>
      </c>
      <c r="U25" s="199">
        <v>468.25540000000001</v>
      </c>
      <c r="V25" s="199">
        <v>378.17869999999999</v>
      </c>
      <c r="W25" s="199">
        <v>610.1816</v>
      </c>
      <c r="X25" s="199">
        <v>1042</v>
      </c>
      <c r="Y25" s="199">
        <v>912.07119999999998</v>
      </c>
      <c r="Z25" s="199">
        <v>1171.9290000000001</v>
      </c>
      <c r="AA25" s="199">
        <v>3280.0590000000002</v>
      </c>
      <c r="AB25" s="199">
        <v>3238.0010000000002</v>
      </c>
      <c r="AC25" s="199">
        <v>3322.1170000000002</v>
      </c>
    </row>
    <row r="26" spans="1:29">
      <c r="A26" s="131">
        <v>45292</v>
      </c>
      <c r="B26" s="82">
        <f t="shared" si="0"/>
        <v>2024</v>
      </c>
      <c r="C26" s="199">
        <v>83122.8</v>
      </c>
      <c r="D26" s="199">
        <v>80928.52</v>
      </c>
      <c r="E26" s="199">
        <v>85300.21</v>
      </c>
      <c r="F26" s="199">
        <v>62975.44</v>
      </c>
      <c r="G26" s="199">
        <v>61441.77</v>
      </c>
      <c r="H26" s="199">
        <v>64509.11</v>
      </c>
      <c r="I26" s="199">
        <v>14767.38</v>
      </c>
      <c r="J26" s="199">
        <v>14206.42</v>
      </c>
      <c r="K26" s="199">
        <v>15328.34</v>
      </c>
      <c r="L26" s="199">
        <v>756.15150000000006</v>
      </c>
      <c r="M26" s="199">
        <v>716.46270000000004</v>
      </c>
      <c r="N26" s="199">
        <v>795.84040000000005</v>
      </c>
      <c r="O26" s="199">
        <v>501.98689999999999</v>
      </c>
      <c r="P26" s="199">
        <v>410.8999</v>
      </c>
      <c r="Q26" s="199">
        <v>593.07399999999996</v>
      </c>
      <c r="R26" s="199">
        <v>657.38750000000005</v>
      </c>
      <c r="S26" s="199">
        <v>646.67240000000004</v>
      </c>
      <c r="T26" s="199">
        <v>668.44510000000002</v>
      </c>
      <c r="U26" s="199">
        <v>468.0283</v>
      </c>
      <c r="V26" s="199">
        <v>374.27940000000001</v>
      </c>
      <c r="W26" s="199">
        <v>619.33100000000002</v>
      </c>
      <c r="X26" s="199">
        <v>1170</v>
      </c>
      <c r="Y26" s="199">
        <v>1030.6669999999999</v>
      </c>
      <c r="Z26" s="199">
        <v>1309.3330000000001</v>
      </c>
      <c r="AA26" s="199">
        <v>3291.0169999999998</v>
      </c>
      <c r="AB26" s="199">
        <v>3243.1770000000001</v>
      </c>
      <c r="AC26" s="199">
        <v>3338.857</v>
      </c>
    </row>
    <row r="27" spans="1:29">
      <c r="A27" s="131">
        <v>45323</v>
      </c>
      <c r="B27" s="82">
        <f t="shared" si="0"/>
        <v>2024</v>
      </c>
      <c r="C27" s="199">
        <v>83129.919999999998</v>
      </c>
      <c r="D27" s="199">
        <v>80866.17</v>
      </c>
      <c r="E27" s="199">
        <v>85375.7</v>
      </c>
      <c r="F27" s="199">
        <v>62946.68</v>
      </c>
      <c r="G27" s="199">
        <v>61349.39</v>
      </c>
      <c r="H27" s="199">
        <v>64543.98</v>
      </c>
      <c r="I27" s="199">
        <v>14785.6</v>
      </c>
      <c r="J27" s="199">
        <v>14204.65</v>
      </c>
      <c r="K27" s="199">
        <v>15366.55</v>
      </c>
      <c r="L27" s="199">
        <v>752.76959999999997</v>
      </c>
      <c r="M27" s="199">
        <v>712.05799999999999</v>
      </c>
      <c r="N27" s="199">
        <v>793.48119999999994</v>
      </c>
      <c r="O27" s="199">
        <v>496.32459999999998</v>
      </c>
      <c r="P27" s="199">
        <v>401.46179999999998</v>
      </c>
      <c r="Q27" s="199">
        <v>591.18730000000005</v>
      </c>
      <c r="R27" s="199">
        <v>657.3877</v>
      </c>
      <c r="S27" s="199">
        <v>646.67250000000001</v>
      </c>
      <c r="T27" s="199">
        <v>668.44529999999997</v>
      </c>
      <c r="U27" s="199">
        <v>468.67779999999999</v>
      </c>
      <c r="V27" s="199">
        <v>371.40660000000003</v>
      </c>
      <c r="W27" s="199">
        <v>629.22170000000006</v>
      </c>
      <c r="X27" s="199">
        <v>1170</v>
      </c>
      <c r="Y27" s="199">
        <v>1021.8579999999999</v>
      </c>
      <c r="Z27" s="199">
        <v>1318.1420000000001</v>
      </c>
      <c r="AA27" s="199">
        <v>3296.4360000000001</v>
      </c>
      <c r="AB27" s="199">
        <v>3246.4119999999998</v>
      </c>
      <c r="AC27" s="199">
        <v>3346.46</v>
      </c>
    </row>
    <row r="28" spans="1:29">
      <c r="A28" s="131">
        <v>45352</v>
      </c>
      <c r="B28" s="82">
        <f t="shared" si="0"/>
        <v>2024</v>
      </c>
      <c r="C28" s="199">
        <v>83312.81</v>
      </c>
      <c r="D28" s="199">
        <v>80983.13</v>
      </c>
      <c r="E28" s="199">
        <v>85623.52</v>
      </c>
      <c r="F28" s="199">
        <v>63089.7</v>
      </c>
      <c r="G28" s="199">
        <v>61431.22</v>
      </c>
      <c r="H28" s="199">
        <v>64748.18</v>
      </c>
      <c r="I28" s="199">
        <v>14842.84</v>
      </c>
      <c r="J28" s="199">
        <v>14242.34</v>
      </c>
      <c r="K28" s="199">
        <v>15443.34</v>
      </c>
      <c r="L28" s="199">
        <v>758.64269999999999</v>
      </c>
      <c r="M28" s="199">
        <v>717.11180000000002</v>
      </c>
      <c r="N28" s="199">
        <v>800.17359999999996</v>
      </c>
      <c r="O28" s="199">
        <v>490.78480000000002</v>
      </c>
      <c r="P28" s="199">
        <v>391.8777</v>
      </c>
      <c r="Q28" s="199">
        <v>589.69200000000001</v>
      </c>
      <c r="R28" s="199">
        <v>657.3877</v>
      </c>
      <c r="S28" s="199">
        <v>646.67259999999999</v>
      </c>
      <c r="T28" s="199">
        <v>668.44529999999997</v>
      </c>
      <c r="U28" s="199">
        <v>468.40600000000001</v>
      </c>
      <c r="V28" s="199">
        <v>368.7765</v>
      </c>
      <c r="W28" s="199">
        <v>635.53930000000003</v>
      </c>
      <c r="X28" s="199">
        <v>1168</v>
      </c>
      <c r="Y28" s="199">
        <v>1011.545</v>
      </c>
      <c r="Z28" s="199">
        <v>1324.4549999999999</v>
      </c>
      <c r="AA28" s="199">
        <v>3288.6129999999998</v>
      </c>
      <c r="AB28" s="199">
        <v>3237.7179999999998</v>
      </c>
      <c r="AC28" s="199">
        <v>3339.5070000000001</v>
      </c>
    </row>
    <row r="29" spans="1:29">
      <c r="A29" s="131">
        <v>45383</v>
      </c>
      <c r="B29" s="82">
        <f t="shared" si="0"/>
        <v>2024</v>
      </c>
      <c r="C29" s="199">
        <v>83531.600000000006</v>
      </c>
      <c r="D29" s="199">
        <v>81138.25</v>
      </c>
      <c r="E29" s="199">
        <v>85904.98</v>
      </c>
      <c r="F29" s="199">
        <v>63360.03</v>
      </c>
      <c r="G29" s="199">
        <v>61642.54</v>
      </c>
      <c r="H29" s="199">
        <v>65077.52</v>
      </c>
      <c r="I29" s="199">
        <v>14875.47</v>
      </c>
      <c r="J29" s="199">
        <v>14256.07</v>
      </c>
      <c r="K29" s="199">
        <v>15494.86</v>
      </c>
      <c r="L29" s="199">
        <v>755.20749999999998</v>
      </c>
      <c r="M29" s="199">
        <v>712.87310000000002</v>
      </c>
      <c r="N29" s="199">
        <v>797.54190000000006</v>
      </c>
      <c r="O29" s="199">
        <v>489.93990000000002</v>
      </c>
      <c r="P29" s="199">
        <v>387.3032</v>
      </c>
      <c r="Q29" s="199">
        <v>592.57659999999998</v>
      </c>
      <c r="R29" s="199">
        <v>657.38779999999997</v>
      </c>
      <c r="S29" s="199">
        <v>646.67259999999999</v>
      </c>
      <c r="T29" s="199">
        <v>668.44539999999995</v>
      </c>
      <c r="U29" s="199">
        <v>462.93029999999999</v>
      </c>
      <c r="V29" s="199">
        <v>362.87529999999998</v>
      </c>
      <c r="W29" s="199">
        <v>632.63170000000002</v>
      </c>
      <c r="X29" s="199">
        <v>1168</v>
      </c>
      <c r="Y29" s="199">
        <v>1003.652</v>
      </c>
      <c r="Z29" s="199">
        <v>1332.348</v>
      </c>
      <c r="AA29" s="199">
        <v>3280.1</v>
      </c>
      <c r="AB29" s="199">
        <v>3228.8519999999999</v>
      </c>
      <c r="AC29" s="199">
        <v>3331.348</v>
      </c>
    </row>
    <row r="30" spans="1:29">
      <c r="A30" s="131">
        <v>45413</v>
      </c>
      <c r="B30" s="82">
        <f t="shared" si="0"/>
        <v>2024</v>
      </c>
      <c r="C30" s="199">
        <v>82900.42</v>
      </c>
      <c r="D30" s="199">
        <v>80437.710000000006</v>
      </c>
      <c r="E30" s="199">
        <v>85341.83</v>
      </c>
      <c r="F30" s="199">
        <v>63064.55</v>
      </c>
      <c r="G30" s="199">
        <v>61290.01</v>
      </c>
      <c r="H30" s="199">
        <v>64839.09</v>
      </c>
      <c r="I30" s="199">
        <v>14751.14</v>
      </c>
      <c r="J30" s="199">
        <v>14113.4</v>
      </c>
      <c r="K30" s="199">
        <v>15388.88</v>
      </c>
      <c r="L30" s="199">
        <v>743.76260000000002</v>
      </c>
      <c r="M30" s="199">
        <v>700.63969999999995</v>
      </c>
      <c r="N30" s="199">
        <v>786.8854</v>
      </c>
      <c r="O30" s="199">
        <v>468.8125</v>
      </c>
      <c r="P30" s="199">
        <v>362.51929999999999</v>
      </c>
      <c r="Q30" s="199">
        <v>575.10569999999996</v>
      </c>
      <c r="R30" s="199">
        <v>657.38779999999997</v>
      </c>
      <c r="S30" s="199">
        <v>646.67269999999996</v>
      </c>
      <c r="T30" s="199">
        <v>668.44539999999995</v>
      </c>
      <c r="U30" s="199">
        <v>453.1345</v>
      </c>
      <c r="V30" s="199">
        <v>354.27379999999999</v>
      </c>
      <c r="W30" s="199">
        <v>621.91570000000002</v>
      </c>
      <c r="X30" s="199">
        <v>1169</v>
      </c>
      <c r="Y30" s="199">
        <v>997.12040000000002</v>
      </c>
      <c r="Z30" s="199">
        <v>1340.88</v>
      </c>
      <c r="AA30" s="199">
        <v>3231.8139999999999</v>
      </c>
      <c r="AB30" s="199">
        <v>3180.4209999999998</v>
      </c>
      <c r="AC30" s="199">
        <v>3283.2069999999999</v>
      </c>
    </row>
    <row r="31" spans="1:29">
      <c r="A31" s="131">
        <v>45444</v>
      </c>
      <c r="B31" s="82">
        <f t="shared" si="0"/>
        <v>2024</v>
      </c>
      <c r="C31" s="199">
        <v>82466.460000000006</v>
      </c>
      <c r="D31" s="199">
        <v>79937.45</v>
      </c>
      <c r="E31" s="199">
        <v>84972.89</v>
      </c>
      <c r="F31" s="199">
        <v>62681.52</v>
      </c>
      <c r="G31" s="199">
        <v>60851.71</v>
      </c>
      <c r="H31" s="199">
        <v>64511.32</v>
      </c>
      <c r="I31" s="199">
        <v>14722.05</v>
      </c>
      <c r="J31" s="199">
        <v>14066.48</v>
      </c>
      <c r="K31" s="199">
        <v>15377.61</v>
      </c>
      <c r="L31" s="199">
        <v>743.99699999999996</v>
      </c>
      <c r="M31" s="199">
        <v>700.09979999999996</v>
      </c>
      <c r="N31" s="199">
        <v>787.89419999999996</v>
      </c>
      <c r="O31" s="199">
        <v>460.73270000000002</v>
      </c>
      <c r="P31" s="199">
        <v>350.92630000000003</v>
      </c>
      <c r="Q31" s="199">
        <v>570.53899999999999</v>
      </c>
      <c r="R31" s="199">
        <v>657.38789999999995</v>
      </c>
      <c r="S31" s="199">
        <v>646.67269999999996</v>
      </c>
      <c r="T31" s="199">
        <v>668.44550000000004</v>
      </c>
      <c r="U31" s="199">
        <v>460.22149999999999</v>
      </c>
      <c r="V31" s="199">
        <v>356.38350000000003</v>
      </c>
      <c r="W31" s="199">
        <v>641.88340000000005</v>
      </c>
      <c r="X31" s="199">
        <v>1165</v>
      </c>
      <c r="Y31" s="199">
        <v>985.90560000000005</v>
      </c>
      <c r="Z31" s="199">
        <v>1344.0940000000001</v>
      </c>
      <c r="AA31" s="199">
        <v>3208.6109999999999</v>
      </c>
      <c r="AB31" s="199">
        <v>3157.1590000000001</v>
      </c>
      <c r="AC31" s="199">
        <v>3260.0639999999999</v>
      </c>
    </row>
    <row r="32" spans="1:29">
      <c r="A32" s="131">
        <v>45474</v>
      </c>
      <c r="B32" s="82">
        <f t="shared" si="0"/>
        <v>2024</v>
      </c>
      <c r="C32" s="199">
        <v>82121.83</v>
      </c>
      <c r="D32" s="199">
        <v>79528.63</v>
      </c>
      <c r="E32" s="199">
        <v>84691.199999999997</v>
      </c>
      <c r="F32" s="199">
        <v>62443.63</v>
      </c>
      <c r="G32" s="199">
        <v>60560.18</v>
      </c>
      <c r="H32" s="199">
        <v>64327.09</v>
      </c>
      <c r="I32" s="199">
        <v>14682.39</v>
      </c>
      <c r="J32" s="199">
        <v>14009.47</v>
      </c>
      <c r="K32" s="199">
        <v>15355.32</v>
      </c>
      <c r="L32" s="199">
        <v>746.04229999999995</v>
      </c>
      <c r="M32" s="199">
        <v>701.38419999999996</v>
      </c>
      <c r="N32" s="199">
        <v>790.70039999999995</v>
      </c>
      <c r="O32" s="199">
        <v>457.74509999999998</v>
      </c>
      <c r="P32" s="199">
        <v>344.52640000000002</v>
      </c>
      <c r="Q32" s="199">
        <v>570.96379999999999</v>
      </c>
      <c r="R32" s="199">
        <v>657.38789999999995</v>
      </c>
      <c r="S32" s="199">
        <v>646.67269999999996</v>
      </c>
      <c r="T32" s="199">
        <v>668.44550000000004</v>
      </c>
      <c r="U32" s="199">
        <v>464.35399999999998</v>
      </c>
      <c r="V32" s="199">
        <v>356.71069999999997</v>
      </c>
      <c r="W32" s="199">
        <v>656.61770000000001</v>
      </c>
      <c r="X32" s="199">
        <v>1168</v>
      </c>
      <c r="Y32" s="199">
        <v>981.97029999999995</v>
      </c>
      <c r="Z32" s="199">
        <v>1354.03</v>
      </c>
      <c r="AA32" s="199">
        <v>3188.788</v>
      </c>
      <c r="AB32" s="199">
        <v>3137.3110000000001</v>
      </c>
      <c r="AC32" s="199">
        <v>3240.2649999999999</v>
      </c>
    </row>
    <row r="33" spans="1:29">
      <c r="A33" s="131">
        <v>45505</v>
      </c>
      <c r="B33" s="82">
        <f t="shared" si="0"/>
        <v>2024</v>
      </c>
      <c r="C33" s="199">
        <v>81943.67</v>
      </c>
      <c r="D33" s="199">
        <v>79289.100000000006</v>
      </c>
      <c r="E33" s="199">
        <v>84573.22</v>
      </c>
      <c r="F33" s="199">
        <v>62217.36</v>
      </c>
      <c r="G33" s="199">
        <v>60281.74</v>
      </c>
      <c r="H33" s="199">
        <v>64152.98</v>
      </c>
      <c r="I33" s="199">
        <v>14691.49</v>
      </c>
      <c r="J33" s="199">
        <v>14001.65</v>
      </c>
      <c r="K33" s="199">
        <v>15381.34</v>
      </c>
      <c r="L33" s="199">
        <v>743.29079999999999</v>
      </c>
      <c r="M33" s="199">
        <v>697.8845</v>
      </c>
      <c r="N33" s="199">
        <v>788.69709999999998</v>
      </c>
      <c r="O33" s="199">
        <v>455.57100000000003</v>
      </c>
      <c r="P33" s="199">
        <v>339.04289999999997</v>
      </c>
      <c r="Q33" s="199">
        <v>572.09910000000002</v>
      </c>
      <c r="R33" s="199">
        <v>657.38789999999995</v>
      </c>
      <c r="S33" s="199">
        <v>646.67269999999996</v>
      </c>
      <c r="T33" s="199">
        <v>668.44550000000004</v>
      </c>
      <c r="U33" s="199">
        <v>460.322</v>
      </c>
      <c r="V33" s="199">
        <v>352.14460000000003</v>
      </c>
      <c r="W33" s="199">
        <v>655.64909999999998</v>
      </c>
      <c r="X33" s="199">
        <v>1168</v>
      </c>
      <c r="Y33" s="199">
        <v>975.28449999999998</v>
      </c>
      <c r="Z33" s="199">
        <v>1360.7149999999999</v>
      </c>
      <c r="AA33" s="199">
        <v>3180.7759999999998</v>
      </c>
      <c r="AB33" s="199">
        <v>3129.29</v>
      </c>
      <c r="AC33" s="199">
        <v>3232.2629999999999</v>
      </c>
    </row>
    <row r="34" spans="1:29">
      <c r="A34" s="131">
        <v>45536</v>
      </c>
      <c r="B34" s="82">
        <f t="shared" si="0"/>
        <v>2024</v>
      </c>
      <c r="C34" s="199">
        <v>82183.06</v>
      </c>
      <c r="D34" s="199">
        <v>79472.490000000005</v>
      </c>
      <c r="E34" s="199">
        <v>84867.63</v>
      </c>
      <c r="F34" s="199">
        <v>62406.7</v>
      </c>
      <c r="G34" s="199">
        <v>60420.29</v>
      </c>
      <c r="H34" s="199">
        <v>64393.11</v>
      </c>
      <c r="I34" s="199">
        <v>14741.98</v>
      </c>
      <c r="J34" s="199">
        <v>14035.61</v>
      </c>
      <c r="K34" s="199">
        <v>15448.34</v>
      </c>
      <c r="L34" s="199">
        <v>738.33230000000003</v>
      </c>
      <c r="M34" s="199">
        <v>692.18989999999997</v>
      </c>
      <c r="N34" s="199">
        <v>784.47460000000001</v>
      </c>
      <c r="O34" s="199">
        <v>462.73169999999999</v>
      </c>
      <c r="P34" s="199">
        <v>342.98450000000003</v>
      </c>
      <c r="Q34" s="199">
        <v>582.47889999999995</v>
      </c>
      <c r="R34" s="199">
        <v>657.38789999999995</v>
      </c>
      <c r="S34" s="199">
        <v>646.67269999999996</v>
      </c>
      <c r="T34" s="199">
        <v>668.44550000000004</v>
      </c>
      <c r="U34" s="199">
        <v>460.0994</v>
      </c>
      <c r="V34" s="199">
        <v>349.95679999999999</v>
      </c>
      <c r="W34" s="199">
        <v>662.00390000000004</v>
      </c>
      <c r="X34" s="199">
        <v>1168</v>
      </c>
      <c r="Y34" s="199">
        <v>968.82299999999998</v>
      </c>
      <c r="Z34" s="199">
        <v>1367.1769999999999</v>
      </c>
      <c r="AA34" s="199">
        <v>3185.5259999999998</v>
      </c>
      <c r="AB34" s="199">
        <v>3134.0349999999999</v>
      </c>
      <c r="AC34" s="199">
        <v>3237.0169999999998</v>
      </c>
    </row>
    <row r="35" spans="1:29">
      <c r="A35" s="131">
        <v>45566</v>
      </c>
      <c r="B35" s="82">
        <f t="shared" si="0"/>
        <v>2024</v>
      </c>
      <c r="C35" s="199">
        <v>82460.34</v>
      </c>
      <c r="D35" s="199">
        <v>79695.44</v>
      </c>
      <c r="E35" s="199">
        <v>85198.27</v>
      </c>
      <c r="F35" s="199">
        <v>62644.24</v>
      </c>
      <c r="G35" s="199">
        <v>60608.31</v>
      </c>
      <c r="H35" s="199">
        <v>64680.17</v>
      </c>
      <c r="I35" s="199">
        <v>14834.02</v>
      </c>
      <c r="J35" s="199">
        <v>14111.52</v>
      </c>
      <c r="K35" s="199">
        <v>15556.52</v>
      </c>
      <c r="L35" s="199">
        <v>740.23339999999996</v>
      </c>
      <c r="M35" s="199">
        <v>693.36659999999995</v>
      </c>
      <c r="N35" s="199">
        <v>787.10019999999997</v>
      </c>
      <c r="O35" s="199">
        <v>452.82830000000001</v>
      </c>
      <c r="P35" s="199">
        <v>329.9468</v>
      </c>
      <c r="Q35" s="199">
        <v>575.70989999999995</v>
      </c>
      <c r="R35" s="199">
        <v>657.38789999999995</v>
      </c>
      <c r="S35" s="199">
        <v>646.67269999999996</v>
      </c>
      <c r="T35" s="199">
        <v>668.44550000000004</v>
      </c>
      <c r="U35" s="199">
        <v>459.6268</v>
      </c>
      <c r="V35" s="199">
        <v>347.70100000000002</v>
      </c>
      <c r="W35" s="199">
        <v>667.78309999999999</v>
      </c>
      <c r="X35" s="199">
        <v>1166</v>
      </c>
      <c r="Y35" s="199">
        <v>960.56460000000004</v>
      </c>
      <c r="Z35" s="199">
        <v>1371.4349999999999</v>
      </c>
      <c r="AA35" s="199">
        <v>3176.92</v>
      </c>
      <c r="AB35" s="199">
        <v>3125.4270000000001</v>
      </c>
      <c r="AC35" s="199">
        <v>3228.413</v>
      </c>
    </row>
    <row r="36" spans="1:29">
      <c r="A36" s="131">
        <v>45597</v>
      </c>
      <c r="B36" s="82">
        <f t="shared" si="0"/>
        <v>2024</v>
      </c>
      <c r="C36" s="199">
        <v>83525.37</v>
      </c>
      <c r="D36" s="199">
        <v>80715.399999999994</v>
      </c>
      <c r="E36" s="199">
        <v>86307.85</v>
      </c>
      <c r="F36" s="199">
        <v>63499.76</v>
      </c>
      <c r="G36" s="199">
        <v>61415.47</v>
      </c>
      <c r="H36" s="199">
        <v>65584.039999999994</v>
      </c>
      <c r="I36" s="199">
        <v>15032</v>
      </c>
      <c r="J36" s="199">
        <v>14293.71</v>
      </c>
      <c r="K36" s="199">
        <v>15770.28</v>
      </c>
      <c r="L36" s="199">
        <v>747.26589999999999</v>
      </c>
      <c r="M36" s="199">
        <v>699.6857</v>
      </c>
      <c r="N36" s="199">
        <v>794.84609999999998</v>
      </c>
      <c r="O36" s="199">
        <v>468.3261</v>
      </c>
      <c r="P36" s="199">
        <v>342.3879</v>
      </c>
      <c r="Q36" s="199">
        <v>594.26419999999996</v>
      </c>
      <c r="R36" s="199">
        <v>657.38789999999995</v>
      </c>
      <c r="S36" s="199">
        <v>646.67269999999996</v>
      </c>
      <c r="T36" s="199">
        <v>668.44550000000004</v>
      </c>
      <c r="U36" s="199">
        <v>461.66390000000001</v>
      </c>
      <c r="V36" s="199">
        <v>346.97879999999998</v>
      </c>
      <c r="W36" s="199">
        <v>678.70010000000002</v>
      </c>
      <c r="X36" s="199">
        <v>1168</v>
      </c>
      <c r="Y36" s="199">
        <v>956.49130000000002</v>
      </c>
      <c r="Z36" s="199">
        <v>1379.509</v>
      </c>
      <c r="AA36" s="199">
        <v>3216.4609999999998</v>
      </c>
      <c r="AB36" s="199">
        <v>3164.9679999999998</v>
      </c>
      <c r="AC36" s="199">
        <v>3267.9540000000002</v>
      </c>
    </row>
    <row r="37" spans="1:29">
      <c r="A37" s="131">
        <v>45627</v>
      </c>
      <c r="B37" s="82">
        <f t="shared" si="0"/>
        <v>2024</v>
      </c>
      <c r="C37" s="199">
        <v>84509.22</v>
      </c>
      <c r="D37" s="199">
        <v>81654.66</v>
      </c>
      <c r="E37" s="199">
        <v>87335.73</v>
      </c>
      <c r="F37" s="199">
        <v>64368.39</v>
      </c>
      <c r="G37" s="199">
        <v>62236.85</v>
      </c>
      <c r="H37" s="199">
        <v>66499.92</v>
      </c>
      <c r="I37" s="199">
        <v>15209.66</v>
      </c>
      <c r="J37" s="199">
        <v>14455.92</v>
      </c>
      <c r="K37" s="199">
        <v>15963.4</v>
      </c>
      <c r="L37" s="199">
        <v>757.96190000000001</v>
      </c>
      <c r="M37" s="199">
        <v>709.66380000000004</v>
      </c>
      <c r="N37" s="199">
        <v>806.26009999999997</v>
      </c>
      <c r="O37" s="199">
        <v>483.67189999999999</v>
      </c>
      <c r="P37" s="199">
        <v>354.74970000000002</v>
      </c>
      <c r="Q37" s="199">
        <v>612.59400000000005</v>
      </c>
      <c r="R37" s="199">
        <v>657.38789999999995</v>
      </c>
      <c r="S37" s="199">
        <v>646.67269999999996</v>
      </c>
      <c r="T37" s="199">
        <v>668.44550000000004</v>
      </c>
      <c r="U37" s="199">
        <v>467.01850000000002</v>
      </c>
      <c r="V37" s="199">
        <v>348.19029999999998</v>
      </c>
      <c r="W37" s="199">
        <v>696.8569</v>
      </c>
      <c r="X37" s="199">
        <v>1169</v>
      </c>
      <c r="Y37" s="199">
        <v>951.58759999999995</v>
      </c>
      <c r="Z37" s="199">
        <v>1386.412</v>
      </c>
      <c r="AA37" s="199">
        <v>3264.1779999999999</v>
      </c>
      <c r="AB37" s="199">
        <v>3212.6840000000002</v>
      </c>
      <c r="AC37" s="199">
        <v>3315.6709999999998</v>
      </c>
    </row>
    <row r="38" spans="1:29">
      <c r="A38" s="131">
        <v>45658</v>
      </c>
      <c r="B38" s="82">
        <f t="shared" si="0"/>
        <v>2025</v>
      </c>
      <c r="C38" s="199">
        <v>85248.79</v>
      </c>
      <c r="D38" s="199">
        <v>82331.19</v>
      </c>
      <c r="E38" s="199">
        <v>88137.35</v>
      </c>
      <c r="F38" s="199">
        <v>64966.09</v>
      </c>
      <c r="G38" s="199">
        <v>62757.41</v>
      </c>
      <c r="H38" s="199">
        <v>67174.77</v>
      </c>
      <c r="I38" s="199">
        <v>15335.14</v>
      </c>
      <c r="J38" s="199">
        <v>14558.87</v>
      </c>
      <c r="K38" s="199">
        <v>16111.41</v>
      </c>
      <c r="L38" s="199">
        <v>765.89210000000003</v>
      </c>
      <c r="M38" s="199">
        <v>716.50750000000005</v>
      </c>
      <c r="N38" s="199">
        <v>815.27679999999998</v>
      </c>
      <c r="O38" s="199">
        <v>495.7901</v>
      </c>
      <c r="P38" s="199">
        <v>361.00810000000001</v>
      </c>
      <c r="Q38" s="199">
        <v>630.57209999999998</v>
      </c>
      <c r="R38" s="199">
        <v>657.38789999999995</v>
      </c>
      <c r="S38" s="199">
        <v>646.67269999999996</v>
      </c>
      <c r="T38" s="199">
        <v>668.44550000000004</v>
      </c>
      <c r="U38" s="199">
        <v>467.16050000000001</v>
      </c>
      <c r="V38" s="199">
        <v>346.17590000000001</v>
      </c>
      <c r="W38" s="199">
        <v>705.12540000000001</v>
      </c>
      <c r="X38" s="199">
        <v>1297</v>
      </c>
      <c r="Y38" s="199">
        <v>1069.47</v>
      </c>
      <c r="Z38" s="199">
        <v>1524.53</v>
      </c>
      <c r="AA38" s="199">
        <v>3272.87</v>
      </c>
      <c r="AB38" s="199">
        <v>3218.835</v>
      </c>
      <c r="AC38" s="199">
        <v>3326.9050000000002</v>
      </c>
    </row>
    <row r="39" spans="1:29">
      <c r="A39" s="131">
        <v>45689</v>
      </c>
      <c r="B39" s="82">
        <f t="shared" si="0"/>
        <v>2025</v>
      </c>
      <c r="C39" s="199">
        <v>85255.85</v>
      </c>
      <c r="D39" s="199">
        <v>82269.83</v>
      </c>
      <c r="E39" s="199">
        <v>88211.46</v>
      </c>
      <c r="F39" s="199">
        <v>64937.33</v>
      </c>
      <c r="G39" s="199">
        <v>62660.959999999999</v>
      </c>
      <c r="H39" s="199">
        <v>67213.710000000006</v>
      </c>
      <c r="I39" s="199">
        <v>15353.36</v>
      </c>
      <c r="J39" s="199">
        <v>14556.46</v>
      </c>
      <c r="K39" s="199">
        <v>16150.25</v>
      </c>
      <c r="L39" s="199">
        <v>762.51020000000005</v>
      </c>
      <c r="M39" s="199">
        <v>712.14520000000005</v>
      </c>
      <c r="N39" s="199">
        <v>812.87509999999997</v>
      </c>
      <c r="O39" s="199">
        <v>489.8177</v>
      </c>
      <c r="P39" s="199">
        <v>350.61989999999997</v>
      </c>
      <c r="Q39" s="199">
        <v>629.01559999999995</v>
      </c>
      <c r="R39" s="199">
        <v>657.38789999999995</v>
      </c>
      <c r="S39" s="199">
        <v>646.67269999999996</v>
      </c>
      <c r="T39" s="199">
        <v>668.44550000000004</v>
      </c>
      <c r="U39" s="199">
        <v>465.99439999999998</v>
      </c>
      <c r="V39" s="199">
        <v>343.52100000000002</v>
      </c>
      <c r="W39" s="199">
        <v>710.38509999999997</v>
      </c>
      <c r="X39" s="199">
        <v>1297</v>
      </c>
      <c r="Y39" s="199">
        <v>1059.7840000000001</v>
      </c>
      <c r="Z39" s="199">
        <v>1534.2159999999999</v>
      </c>
      <c r="AA39" s="199">
        <v>3275.607</v>
      </c>
      <c r="AB39" s="199">
        <v>3220.5610000000001</v>
      </c>
      <c r="AC39" s="199">
        <v>3330.6529999999998</v>
      </c>
    </row>
    <row r="40" spans="1:29">
      <c r="A40" s="131">
        <v>45717</v>
      </c>
      <c r="B40" s="82">
        <f t="shared" si="0"/>
        <v>2025</v>
      </c>
      <c r="C40" s="199">
        <v>85437.39</v>
      </c>
      <c r="D40" s="199">
        <v>82386.34</v>
      </c>
      <c r="E40" s="199">
        <v>88456.77</v>
      </c>
      <c r="F40" s="199">
        <v>65080.35</v>
      </c>
      <c r="G40" s="199">
        <v>62738.23</v>
      </c>
      <c r="H40" s="199">
        <v>67422.47</v>
      </c>
      <c r="I40" s="199">
        <v>15410.59</v>
      </c>
      <c r="J40" s="199">
        <v>14593.4</v>
      </c>
      <c r="K40" s="199">
        <v>16227.79</v>
      </c>
      <c r="L40" s="199">
        <v>768.38329999999996</v>
      </c>
      <c r="M40" s="199">
        <v>717.21669999999995</v>
      </c>
      <c r="N40" s="199">
        <v>819.5498</v>
      </c>
      <c r="O40" s="199">
        <v>484.4187</v>
      </c>
      <c r="P40" s="199">
        <v>340.50740000000002</v>
      </c>
      <c r="Q40" s="199">
        <v>628.32989999999995</v>
      </c>
      <c r="R40" s="199">
        <v>657.38789999999995</v>
      </c>
      <c r="S40" s="199">
        <v>646.67269999999996</v>
      </c>
      <c r="T40" s="199">
        <v>668.44550000000004</v>
      </c>
      <c r="U40" s="199">
        <v>467.40530000000001</v>
      </c>
      <c r="V40" s="199">
        <v>342.44600000000003</v>
      </c>
      <c r="W40" s="199">
        <v>721.09180000000003</v>
      </c>
      <c r="X40" s="199">
        <v>1295</v>
      </c>
      <c r="Y40" s="199">
        <v>1048.4780000000001</v>
      </c>
      <c r="Z40" s="199">
        <v>1541.5219999999999</v>
      </c>
      <c r="AA40" s="199">
        <v>3267.1640000000002</v>
      </c>
      <c r="AB40" s="199">
        <v>3211.7069999999999</v>
      </c>
      <c r="AC40" s="199">
        <v>3322.6210000000001</v>
      </c>
    </row>
    <row r="41" spans="1:29">
      <c r="A41" s="131">
        <v>45748</v>
      </c>
      <c r="B41" s="82">
        <f t="shared" si="0"/>
        <v>2025</v>
      </c>
      <c r="C41" s="199">
        <v>85654.57</v>
      </c>
      <c r="D41" s="199">
        <v>82540.38</v>
      </c>
      <c r="E41" s="199">
        <v>88735.86</v>
      </c>
      <c r="F41" s="199">
        <v>65350.68</v>
      </c>
      <c r="G41" s="199">
        <v>62944.62</v>
      </c>
      <c r="H41" s="199">
        <v>67756.740000000005</v>
      </c>
      <c r="I41" s="199">
        <v>15443.22</v>
      </c>
      <c r="J41" s="199">
        <v>14606.25</v>
      </c>
      <c r="K41" s="199">
        <v>16280.2</v>
      </c>
      <c r="L41" s="199">
        <v>764.94809999999995</v>
      </c>
      <c r="M41" s="199">
        <v>712.99239999999998</v>
      </c>
      <c r="N41" s="199">
        <v>816.90380000000005</v>
      </c>
      <c r="O41" s="199">
        <v>483.3691</v>
      </c>
      <c r="P41" s="199">
        <v>335.05840000000001</v>
      </c>
      <c r="Q41" s="199">
        <v>631.67989999999998</v>
      </c>
      <c r="R41" s="199">
        <v>657.38789999999995</v>
      </c>
      <c r="S41" s="199">
        <v>646.67269999999996</v>
      </c>
      <c r="T41" s="199">
        <v>668.44550000000004</v>
      </c>
      <c r="U41" s="199">
        <v>467.70429999999999</v>
      </c>
      <c r="V41" s="199">
        <v>340.7869</v>
      </c>
      <c r="W41" s="199">
        <v>729.40380000000005</v>
      </c>
      <c r="X41" s="199">
        <v>1295</v>
      </c>
      <c r="Y41" s="199">
        <v>1039.51</v>
      </c>
      <c r="Z41" s="199">
        <v>1550.49</v>
      </c>
      <c r="AA41" s="199">
        <v>3264.7750000000001</v>
      </c>
      <c r="AB41" s="199">
        <v>3209.15</v>
      </c>
      <c r="AC41" s="199">
        <v>3320.3989999999999</v>
      </c>
    </row>
    <row r="42" spans="1:29">
      <c r="A42" s="131">
        <v>45778</v>
      </c>
      <c r="B42" s="82">
        <f t="shared" si="0"/>
        <v>2025</v>
      </c>
      <c r="C42" s="199">
        <v>85028.05</v>
      </c>
      <c r="D42" s="199">
        <v>81842.679999999993</v>
      </c>
      <c r="E42" s="199">
        <v>88178.75</v>
      </c>
      <c r="F42" s="199">
        <v>65055.199999999997</v>
      </c>
      <c r="G42" s="199">
        <v>62586.85</v>
      </c>
      <c r="H42" s="199">
        <v>67523.55</v>
      </c>
      <c r="I42" s="199">
        <v>15318.9</v>
      </c>
      <c r="J42" s="199">
        <v>14462.6</v>
      </c>
      <c r="K42" s="199">
        <v>16175.2</v>
      </c>
      <c r="L42" s="199">
        <v>753.50319999999999</v>
      </c>
      <c r="M42" s="199">
        <v>700.77009999999996</v>
      </c>
      <c r="N42" s="199">
        <v>806.23630000000003</v>
      </c>
      <c r="O42" s="199">
        <v>462.23070000000001</v>
      </c>
      <c r="P42" s="199">
        <v>309.58600000000001</v>
      </c>
      <c r="Q42" s="199">
        <v>614.87549999999999</v>
      </c>
      <c r="R42" s="199">
        <v>657.38789999999995</v>
      </c>
      <c r="S42" s="199">
        <v>646.67269999999996</v>
      </c>
      <c r="T42" s="199">
        <v>668.44550000000004</v>
      </c>
      <c r="U42" s="199">
        <v>464.02330000000001</v>
      </c>
      <c r="V42" s="199">
        <v>336.99299999999999</v>
      </c>
      <c r="W42" s="199">
        <v>728.42750000000001</v>
      </c>
      <c r="X42" s="199">
        <v>1296</v>
      </c>
      <c r="Y42" s="199">
        <v>1031.847</v>
      </c>
      <c r="Z42" s="199">
        <v>1560.153</v>
      </c>
      <c r="AA42" s="199">
        <v>3214.2930000000001</v>
      </c>
      <c r="AB42" s="199">
        <v>3158.5990000000002</v>
      </c>
      <c r="AC42" s="199">
        <v>3269.9859999999999</v>
      </c>
    </row>
    <row r="43" spans="1:29">
      <c r="A43" s="131">
        <v>45809</v>
      </c>
      <c r="B43" s="82">
        <f t="shared" si="0"/>
        <v>2025</v>
      </c>
      <c r="C43" s="199">
        <v>84597.31</v>
      </c>
      <c r="D43" s="199">
        <v>81343.929999999993</v>
      </c>
      <c r="E43" s="199">
        <v>87814.36</v>
      </c>
      <c r="F43" s="199">
        <v>64672.17</v>
      </c>
      <c r="G43" s="199">
        <v>62143.06</v>
      </c>
      <c r="H43" s="199">
        <v>67201.279999999999</v>
      </c>
      <c r="I43" s="199">
        <v>15289.8</v>
      </c>
      <c r="J43" s="199">
        <v>14414.6</v>
      </c>
      <c r="K43" s="199">
        <v>16165</v>
      </c>
      <c r="L43" s="199">
        <v>753.73760000000004</v>
      </c>
      <c r="M43" s="199">
        <v>700.23839999999996</v>
      </c>
      <c r="N43" s="199">
        <v>807.23680000000002</v>
      </c>
      <c r="O43" s="199">
        <v>453.84570000000002</v>
      </c>
      <c r="P43" s="199">
        <v>297.00970000000001</v>
      </c>
      <c r="Q43" s="199">
        <v>610.68169999999998</v>
      </c>
      <c r="R43" s="199">
        <v>657.38789999999995</v>
      </c>
      <c r="S43" s="199">
        <v>646.67269999999996</v>
      </c>
      <c r="T43" s="199">
        <v>668.44550000000004</v>
      </c>
      <c r="U43" s="199">
        <v>465.63510000000002</v>
      </c>
      <c r="V43" s="199">
        <v>336.14409999999998</v>
      </c>
      <c r="W43" s="199">
        <v>739.84389999999996</v>
      </c>
      <c r="X43" s="199">
        <v>1292</v>
      </c>
      <c r="Y43" s="199">
        <v>1019.4589999999999</v>
      </c>
      <c r="Z43" s="199">
        <v>1564.5409999999999</v>
      </c>
      <c r="AA43" s="199">
        <v>3190.578</v>
      </c>
      <c r="AB43" s="199">
        <v>3134.857</v>
      </c>
      <c r="AC43" s="199">
        <v>3246.3</v>
      </c>
    </row>
    <row r="44" spans="1:29">
      <c r="A44" s="131">
        <v>45839</v>
      </c>
      <c r="B44" s="82">
        <f t="shared" si="0"/>
        <v>2025</v>
      </c>
      <c r="C44" s="199">
        <v>84255.26</v>
      </c>
      <c r="D44" s="199">
        <v>80935.87</v>
      </c>
      <c r="E44" s="199">
        <v>87536.68</v>
      </c>
      <c r="F44" s="199">
        <v>64434.29</v>
      </c>
      <c r="G44" s="199">
        <v>61845.85</v>
      </c>
      <c r="H44" s="199">
        <v>67022.720000000001</v>
      </c>
      <c r="I44" s="199">
        <v>15250.15</v>
      </c>
      <c r="J44" s="199">
        <v>14356.45</v>
      </c>
      <c r="K44" s="199">
        <v>16143.85</v>
      </c>
      <c r="L44" s="199">
        <v>755.78290000000004</v>
      </c>
      <c r="M44" s="199">
        <v>701.52840000000003</v>
      </c>
      <c r="N44" s="199">
        <v>810.03729999999996</v>
      </c>
      <c r="O44" s="199">
        <v>450.99599999999998</v>
      </c>
      <c r="P44" s="199">
        <v>290.06920000000002</v>
      </c>
      <c r="Q44" s="199">
        <v>611.92269999999996</v>
      </c>
      <c r="R44" s="199">
        <v>657.38789999999995</v>
      </c>
      <c r="S44" s="199">
        <v>646.67269999999996</v>
      </c>
      <c r="T44" s="199">
        <v>668.44550000000004</v>
      </c>
      <c r="U44" s="199">
        <v>465.98970000000003</v>
      </c>
      <c r="V44" s="199">
        <v>334.65980000000002</v>
      </c>
      <c r="W44" s="199">
        <v>748.31560000000002</v>
      </c>
      <c r="X44" s="199">
        <v>1295</v>
      </c>
      <c r="Y44" s="199">
        <v>1014.322</v>
      </c>
      <c r="Z44" s="199">
        <v>1575.6780000000001</v>
      </c>
      <c r="AA44" s="199">
        <v>3169.85</v>
      </c>
      <c r="AB44" s="199">
        <v>3114.1170000000002</v>
      </c>
      <c r="AC44" s="199">
        <v>3225.5839999999998</v>
      </c>
    </row>
    <row r="45" spans="1:29">
      <c r="A45" s="131">
        <v>45870</v>
      </c>
      <c r="B45" s="82">
        <f t="shared" si="0"/>
        <v>2025</v>
      </c>
      <c r="C45" s="199">
        <v>84078.44</v>
      </c>
      <c r="D45" s="199">
        <v>80695.990000000005</v>
      </c>
      <c r="E45" s="199">
        <v>87421.39</v>
      </c>
      <c r="F45" s="199">
        <v>64208.01</v>
      </c>
      <c r="G45" s="199">
        <v>61561.58</v>
      </c>
      <c r="H45" s="199">
        <v>66854.45</v>
      </c>
      <c r="I45" s="199">
        <v>15259.25</v>
      </c>
      <c r="J45" s="199">
        <v>14347.43</v>
      </c>
      <c r="K45" s="199">
        <v>16171.07</v>
      </c>
      <c r="L45" s="199">
        <v>753.03139999999996</v>
      </c>
      <c r="M45" s="199">
        <v>698.03200000000004</v>
      </c>
      <c r="N45" s="199">
        <v>808.0308</v>
      </c>
      <c r="O45" s="199">
        <v>448.57260000000002</v>
      </c>
      <c r="P45" s="199">
        <v>283.65980000000002</v>
      </c>
      <c r="Q45" s="199">
        <v>613.4855</v>
      </c>
      <c r="R45" s="199">
        <v>657.38789999999995</v>
      </c>
      <c r="S45" s="199">
        <v>646.67269999999996</v>
      </c>
      <c r="T45" s="199">
        <v>668.44550000000004</v>
      </c>
      <c r="U45" s="199">
        <v>463.82389999999998</v>
      </c>
      <c r="V45" s="199">
        <v>331.88119999999998</v>
      </c>
      <c r="W45" s="199">
        <v>750.54129999999998</v>
      </c>
      <c r="X45" s="199">
        <v>1295</v>
      </c>
      <c r="Y45" s="199">
        <v>1006.414</v>
      </c>
      <c r="Z45" s="199">
        <v>1583.586</v>
      </c>
      <c r="AA45" s="199">
        <v>3161.8420000000001</v>
      </c>
      <c r="AB45" s="199">
        <v>3106.1039999999998</v>
      </c>
      <c r="AC45" s="199">
        <v>3217.58</v>
      </c>
    </row>
    <row r="46" spans="1:29">
      <c r="A46" s="131">
        <v>45901</v>
      </c>
      <c r="B46" s="82">
        <f t="shared" si="0"/>
        <v>2025</v>
      </c>
      <c r="C46" s="199">
        <v>84316.03</v>
      </c>
      <c r="D46" s="199">
        <v>80876.61</v>
      </c>
      <c r="E46" s="199">
        <v>87714.73</v>
      </c>
      <c r="F46" s="199">
        <v>64397.35</v>
      </c>
      <c r="G46" s="199">
        <v>61694.16</v>
      </c>
      <c r="H46" s="199">
        <v>67100.539999999994</v>
      </c>
      <c r="I46" s="199">
        <v>15309.73</v>
      </c>
      <c r="J46" s="199">
        <v>14380.14</v>
      </c>
      <c r="K46" s="199">
        <v>16239.33</v>
      </c>
      <c r="L46" s="199">
        <v>748.07280000000003</v>
      </c>
      <c r="M46" s="199">
        <v>692.33849999999995</v>
      </c>
      <c r="N46" s="199">
        <v>803.80719999999997</v>
      </c>
      <c r="O46" s="199">
        <v>456.08530000000002</v>
      </c>
      <c r="P46" s="199">
        <v>287.27929999999998</v>
      </c>
      <c r="Q46" s="199">
        <v>624.8913</v>
      </c>
      <c r="R46" s="199">
        <v>657.38789999999995</v>
      </c>
      <c r="S46" s="199">
        <v>646.67269999999996</v>
      </c>
      <c r="T46" s="199">
        <v>668.44550000000004</v>
      </c>
      <c r="U46" s="199">
        <v>461.7022</v>
      </c>
      <c r="V46" s="199">
        <v>329.1841</v>
      </c>
      <c r="W46" s="199">
        <v>752.72349999999994</v>
      </c>
      <c r="X46" s="199">
        <v>1295</v>
      </c>
      <c r="Y46" s="199">
        <v>998.71680000000003</v>
      </c>
      <c r="Z46" s="199">
        <v>1591.2829999999999</v>
      </c>
      <c r="AA46" s="199">
        <v>3164.386</v>
      </c>
      <c r="AB46" s="199">
        <v>3108.6460000000002</v>
      </c>
      <c r="AC46" s="199">
        <v>3220.1260000000002</v>
      </c>
    </row>
    <row r="47" spans="1:29">
      <c r="A47" s="131">
        <v>45931</v>
      </c>
      <c r="B47" s="82">
        <f t="shared" si="0"/>
        <v>2025</v>
      </c>
      <c r="C47" s="199">
        <v>84591.24</v>
      </c>
      <c r="D47" s="199">
        <v>81096.42</v>
      </c>
      <c r="E47" s="199">
        <v>88044.160000000003</v>
      </c>
      <c r="F47" s="199">
        <v>64634.89</v>
      </c>
      <c r="G47" s="199">
        <v>61876.11</v>
      </c>
      <c r="H47" s="199">
        <v>67393.67</v>
      </c>
      <c r="I47" s="199">
        <v>15401.78</v>
      </c>
      <c r="J47" s="199">
        <v>14454.75</v>
      </c>
      <c r="K47" s="199">
        <v>16348.81</v>
      </c>
      <c r="L47" s="199">
        <v>749.97400000000005</v>
      </c>
      <c r="M47" s="199">
        <v>693.51430000000005</v>
      </c>
      <c r="N47" s="199">
        <v>806.43370000000004</v>
      </c>
      <c r="O47" s="199">
        <v>446.10329999999999</v>
      </c>
      <c r="P47" s="199">
        <v>273.4923</v>
      </c>
      <c r="Q47" s="199">
        <v>618.71429999999998</v>
      </c>
      <c r="R47" s="199">
        <v>657.38789999999995</v>
      </c>
      <c r="S47" s="199">
        <v>646.67269999999996</v>
      </c>
      <c r="T47" s="199">
        <v>668.44550000000004</v>
      </c>
      <c r="U47" s="199">
        <v>463.51710000000003</v>
      </c>
      <c r="V47" s="199">
        <v>328.59640000000002</v>
      </c>
      <c r="W47" s="199">
        <v>764.89449999999999</v>
      </c>
      <c r="X47" s="199">
        <v>1293</v>
      </c>
      <c r="Y47" s="199">
        <v>989.21479999999997</v>
      </c>
      <c r="Z47" s="199">
        <v>1596.7850000000001</v>
      </c>
      <c r="AA47" s="199">
        <v>3159.9380000000001</v>
      </c>
      <c r="AB47" s="199">
        <v>3104.1970000000001</v>
      </c>
      <c r="AC47" s="199">
        <v>3215.6790000000001</v>
      </c>
    </row>
    <row r="48" spans="1:29">
      <c r="A48" s="131">
        <v>45962</v>
      </c>
      <c r="B48" s="82">
        <f t="shared" si="0"/>
        <v>2025</v>
      </c>
      <c r="C48" s="199">
        <v>85648.39</v>
      </c>
      <c r="D48" s="199">
        <v>82109.03</v>
      </c>
      <c r="E48" s="199">
        <v>89145.3</v>
      </c>
      <c r="F48" s="199">
        <v>65490.41</v>
      </c>
      <c r="G48" s="199">
        <v>62677.14</v>
      </c>
      <c r="H48" s="199">
        <v>68303.679999999993</v>
      </c>
      <c r="I48" s="199">
        <v>15599.75</v>
      </c>
      <c r="J48" s="199">
        <v>14635.6</v>
      </c>
      <c r="K48" s="199">
        <v>16563.91</v>
      </c>
      <c r="L48" s="199">
        <v>757.00649999999996</v>
      </c>
      <c r="M48" s="199">
        <v>699.8306</v>
      </c>
      <c r="N48" s="199">
        <v>814.18240000000003</v>
      </c>
      <c r="O48" s="199">
        <v>461.63260000000002</v>
      </c>
      <c r="P48" s="199">
        <v>285.29860000000002</v>
      </c>
      <c r="Q48" s="199">
        <v>637.96669999999995</v>
      </c>
      <c r="R48" s="199">
        <v>657.38789999999995</v>
      </c>
      <c r="S48" s="199">
        <v>646.67269999999996</v>
      </c>
      <c r="T48" s="199">
        <v>668.44550000000004</v>
      </c>
      <c r="U48" s="199">
        <v>465.34350000000001</v>
      </c>
      <c r="V48" s="199">
        <v>328.03370000000001</v>
      </c>
      <c r="W48" s="199">
        <v>777.31489999999997</v>
      </c>
      <c r="X48" s="199">
        <v>1295</v>
      </c>
      <c r="Y48" s="199">
        <v>983.89359999999999</v>
      </c>
      <c r="Z48" s="199">
        <v>1606.106</v>
      </c>
      <c r="AA48" s="199">
        <v>3199.6089999999999</v>
      </c>
      <c r="AB48" s="199">
        <v>3143.8679999999999</v>
      </c>
      <c r="AC48" s="199">
        <v>3255.35</v>
      </c>
    </row>
    <row r="49" spans="1:29">
      <c r="A49" s="131">
        <v>45992</v>
      </c>
      <c r="B49" s="82">
        <f t="shared" si="0"/>
        <v>2025</v>
      </c>
      <c r="C49" s="199">
        <v>86625.06</v>
      </c>
      <c r="D49" s="199">
        <v>83041.289999999994</v>
      </c>
      <c r="E49" s="199">
        <v>90165.81</v>
      </c>
      <c r="F49" s="199">
        <v>66359.039999999994</v>
      </c>
      <c r="G49" s="199">
        <v>63492.32</v>
      </c>
      <c r="H49" s="199">
        <v>69225.759999999995</v>
      </c>
      <c r="I49" s="199">
        <v>15777.42</v>
      </c>
      <c r="J49" s="199">
        <v>14796.45</v>
      </c>
      <c r="K49" s="199">
        <v>16758.400000000001</v>
      </c>
      <c r="L49" s="199">
        <v>767.70249999999999</v>
      </c>
      <c r="M49" s="199">
        <v>709.80250000000001</v>
      </c>
      <c r="N49" s="199">
        <v>825.60249999999996</v>
      </c>
      <c r="O49" s="199">
        <v>477.21260000000001</v>
      </c>
      <c r="P49" s="199">
        <v>297.23259999999999</v>
      </c>
      <c r="Q49" s="199">
        <v>657.19259999999997</v>
      </c>
      <c r="R49" s="199">
        <v>657.38789999999995</v>
      </c>
      <c r="S49" s="199">
        <v>646.67269999999996</v>
      </c>
      <c r="T49" s="199">
        <v>668.44550000000004</v>
      </c>
      <c r="U49" s="199">
        <v>466.44569999999999</v>
      </c>
      <c r="V49" s="199">
        <v>327.11930000000001</v>
      </c>
      <c r="W49" s="199">
        <v>788.00490000000002</v>
      </c>
      <c r="X49" s="199">
        <v>1296</v>
      </c>
      <c r="Y49" s="199">
        <v>977.74080000000004</v>
      </c>
      <c r="Z49" s="199">
        <v>1614.259</v>
      </c>
      <c r="AA49" s="199">
        <v>3247.9760000000001</v>
      </c>
      <c r="AB49" s="199">
        <v>3192.2339999999999</v>
      </c>
      <c r="AC49" s="199">
        <v>3303.7170000000001</v>
      </c>
    </row>
    <row r="50" spans="1:29">
      <c r="A50" s="131">
        <v>46023</v>
      </c>
      <c r="B50" s="82">
        <f t="shared" si="0"/>
        <v>2026</v>
      </c>
      <c r="C50" s="199">
        <v>87359.31</v>
      </c>
      <c r="D50" s="199">
        <v>83713.649999999994</v>
      </c>
      <c r="E50" s="199">
        <v>90960.83</v>
      </c>
      <c r="F50" s="199">
        <v>66956.740000000005</v>
      </c>
      <c r="G50" s="199">
        <v>64009.7</v>
      </c>
      <c r="H50" s="199">
        <v>69903.78</v>
      </c>
      <c r="I50" s="199">
        <v>15902.89</v>
      </c>
      <c r="J50" s="199">
        <v>14898.7</v>
      </c>
      <c r="K50" s="199">
        <v>16907.09</v>
      </c>
      <c r="L50" s="199">
        <v>775.6327</v>
      </c>
      <c r="M50" s="199">
        <v>716.66849999999999</v>
      </c>
      <c r="N50" s="199">
        <v>834.59699999999998</v>
      </c>
      <c r="O50" s="199">
        <v>489.29230000000001</v>
      </c>
      <c r="P50" s="199">
        <v>303.3279</v>
      </c>
      <c r="Q50" s="199">
        <v>675.2568</v>
      </c>
      <c r="R50" s="199">
        <v>657.38789999999995</v>
      </c>
      <c r="S50" s="199">
        <v>646.67269999999996</v>
      </c>
      <c r="T50" s="199">
        <v>668.44550000000004</v>
      </c>
      <c r="U50" s="199">
        <v>466.35980000000001</v>
      </c>
      <c r="V50" s="199">
        <v>325.09050000000002</v>
      </c>
      <c r="W50" s="199">
        <v>798.51620000000003</v>
      </c>
      <c r="X50" s="199">
        <v>1424</v>
      </c>
      <c r="Y50" s="199">
        <v>1094.876</v>
      </c>
      <c r="Z50" s="199">
        <v>1753.124</v>
      </c>
      <c r="AA50" s="199">
        <v>3258.0279999999998</v>
      </c>
      <c r="AB50" s="199">
        <v>3198.7289999999998</v>
      </c>
      <c r="AC50" s="199">
        <v>3317.328</v>
      </c>
    </row>
    <row r="51" spans="1:29">
      <c r="A51" s="131">
        <v>46054</v>
      </c>
      <c r="B51" s="82">
        <f t="shared" si="0"/>
        <v>2026</v>
      </c>
      <c r="C51" s="199">
        <v>87366.32</v>
      </c>
      <c r="D51" s="199">
        <v>83651.44</v>
      </c>
      <c r="E51" s="199">
        <v>91035.37</v>
      </c>
      <c r="F51" s="199">
        <v>66927.990000000005</v>
      </c>
      <c r="G51" s="199">
        <v>63908.88</v>
      </c>
      <c r="H51" s="199">
        <v>69947.09</v>
      </c>
      <c r="I51" s="199">
        <v>15921.11</v>
      </c>
      <c r="J51" s="199">
        <v>14895.36</v>
      </c>
      <c r="K51" s="199">
        <v>16946.87</v>
      </c>
      <c r="L51" s="199">
        <v>772.25080000000003</v>
      </c>
      <c r="M51" s="199">
        <v>712.32410000000004</v>
      </c>
      <c r="N51" s="199">
        <v>832.17750000000001</v>
      </c>
      <c r="O51" s="199">
        <v>483.19540000000001</v>
      </c>
      <c r="P51" s="199">
        <v>292.4033</v>
      </c>
      <c r="Q51" s="199">
        <v>673.98739999999998</v>
      </c>
      <c r="R51" s="199">
        <v>657.38789999999995</v>
      </c>
      <c r="S51" s="199">
        <v>646.67269999999996</v>
      </c>
      <c r="T51" s="199">
        <v>668.44550000000004</v>
      </c>
      <c r="U51" s="199">
        <v>466.53980000000001</v>
      </c>
      <c r="V51" s="199">
        <v>323.30549999999999</v>
      </c>
      <c r="W51" s="199">
        <v>809.5539</v>
      </c>
      <c r="X51" s="199">
        <v>1424</v>
      </c>
      <c r="Y51" s="199">
        <v>1084.3579999999999</v>
      </c>
      <c r="Z51" s="199">
        <v>1763.6420000000001</v>
      </c>
      <c r="AA51" s="199">
        <v>3262.375</v>
      </c>
      <c r="AB51" s="199">
        <v>3201.6729999999998</v>
      </c>
      <c r="AC51" s="199">
        <v>3323.0770000000002</v>
      </c>
    </row>
    <row r="52" spans="1:29">
      <c r="A52" s="131">
        <v>46082</v>
      </c>
      <c r="B52" s="82">
        <f t="shared" si="0"/>
        <v>2026</v>
      </c>
      <c r="C52" s="199">
        <v>87546.57</v>
      </c>
      <c r="D52" s="199">
        <v>83765.990000000005</v>
      </c>
      <c r="E52" s="199">
        <v>91279.8</v>
      </c>
      <c r="F52" s="199">
        <v>67071</v>
      </c>
      <c r="G52" s="199">
        <v>63981.51</v>
      </c>
      <c r="H52" s="199">
        <v>70160.490000000005</v>
      </c>
      <c r="I52" s="199">
        <v>15978.35</v>
      </c>
      <c r="J52" s="199">
        <v>14931.31</v>
      </c>
      <c r="K52" s="199">
        <v>17025.39</v>
      </c>
      <c r="L52" s="199">
        <v>778.12379999999996</v>
      </c>
      <c r="M52" s="199">
        <v>717.39760000000001</v>
      </c>
      <c r="N52" s="199">
        <v>838.8501</v>
      </c>
      <c r="O52" s="199">
        <v>477.94929999999999</v>
      </c>
      <c r="P52" s="199">
        <v>282.0933</v>
      </c>
      <c r="Q52" s="199">
        <v>673.80529999999999</v>
      </c>
      <c r="R52" s="199">
        <v>657.38789999999995</v>
      </c>
      <c r="S52" s="199">
        <v>646.67269999999996</v>
      </c>
      <c r="T52" s="199">
        <v>668.44550000000004</v>
      </c>
      <c r="U52" s="199">
        <v>466.54390000000001</v>
      </c>
      <c r="V52" s="199">
        <v>321.64600000000002</v>
      </c>
      <c r="W52" s="199">
        <v>819.22439999999995</v>
      </c>
      <c r="X52" s="199">
        <v>1422</v>
      </c>
      <c r="Y52" s="199">
        <v>1072.1559999999999</v>
      </c>
      <c r="Z52" s="199">
        <v>1771.8440000000001</v>
      </c>
      <c r="AA52" s="199">
        <v>3254.3040000000001</v>
      </c>
      <c r="AB52" s="199">
        <v>3193.0349999999999</v>
      </c>
      <c r="AC52" s="199">
        <v>3315.5740000000001</v>
      </c>
    </row>
    <row r="53" spans="1:29">
      <c r="A53" s="131">
        <v>46113</v>
      </c>
      <c r="B53" s="82">
        <f t="shared" si="0"/>
        <v>2026</v>
      </c>
      <c r="C53" s="199">
        <v>87762.2</v>
      </c>
      <c r="D53" s="199">
        <v>83917.64</v>
      </c>
      <c r="E53" s="199">
        <v>91557.92</v>
      </c>
      <c r="F53" s="199">
        <v>67341.33</v>
      </c>
      <c r="G53" s="199">
        <v>64183.03</v>
      </c>
      <c r="H53" s="199">
        <v>70499.64</v>
      </c>
      <c r="I53" s="199">
        <v>16010.98</v>
      </c>
      <c r="J53" s="199">
        <v>14943.1</v>
      </c>
      <c r="K53" s="199">
        <v>17078.849999999999</v>
      </c>
      <c r="L53" s="199">
        <v>774.68870000000004</v>
      </c>
      <c r="M53" s="199">
        <v>713.17319999999995</v>
      </c>
      <c r="N53" s="199">
        <v>836.20420000000001</v>
      </c>
      <c r="O53" s="199">
        <v>476.78410000000002</v>
      </c>
      <c r="P53" s="199">
        <v>276.12709999999998</v>
      </c>
      <c r="Q53" s="199">
        <v>677.44119999999998</v>
      </c>
      <c r="R53" s="199">
        <v>657.38789999999995</v>
      </c>
      <c r="S53" s="199">
        <v>646.67269999999996</v>
      </c>
      <c r="T53" s="199">
        <v>668.44550000000004</v>
      </c>
      <c r="U53" s="199">
        <v>464.19029999999998</v>
      </c>
      <c r="V53" s="199">
        <v>318.8476</v>
      </c>
      <c r="W53" s="199">
        <v>822.11900000000003</v>
      </c>
      <c r="X53" s="199">
        <v>1422</v>
      </c>
      <c r="Y53" s="199">
        <v>1062.2439999999999</v>
      </c>
      <c r="Z53" s="199">
        <v>1781.7560000000001</v>
      </c>
      <c r="AA53" s="199">
        <v>3248.239</v>
      </c>
      <c r="AB53" s="199">
        <v>3186.7379999999998</v>
      </c>
      <c r="AC53" s="199">
        <v>3309.74</v>
      </c>
    </row>
    <row r="54" spans="1:29">
      <c r="A54" s="131">
        <v>46143</v>
      </c>
      <c r="B54" s="82">
        <f t="shared" si="0"/>
        <v>2026</v>
      </c>
      <c r="C54" s="199">
        <v>87140.160000000003</v>
      </c>
      <c r="D54" s="199">
        <v>83221.509999999995</v>
      </c>
      <c r="E54" s="199">
        <v>91007.71</v>
      </c>
      <c r="F54" s="199">
        <v>67045.850000000006</v>
      </c>
      <c r="G54" s="199">
        <v>63820.2</v>
      </c>
      <c r="H54" s="199">
        <v>70271.509999999995</v>
      </c>
      <c r="I54" s="199">
        <v>15886.65</v>
      </c>
      <c r="J54" s="199">
        <v>14798.34</v>
      </c>
      <c r="K54" s="199">
        <v>16974.97</v>
      </c>
      <c r="L54" s="199">
        <v>763.24379999999996</v>
      </c>
      <c r="M54" s="199">
        <v>700.94910000000004</v>
      </c>
      <c r="N54" s="199">
        <v>825.5385</v>
      </c>
      <c r="O54" s="199">
        <v>455.62860000000001</v>
      </c>
      <c r="P54" s="199">
        <v>250.2321</v>
      </c>
      <c r="Q54" s="199">
        <v>661.02520000000004</v>
      </c>
      <c r="R54" s="199">
        <v>657.38789999999995</v>
      </c>
      <c r="S54" s="199">
        <v>646.67269999999996</v>
      </c>
      <c r="T54" s="199">
        <v>668.44550000000004</v>
      </c>
      <c r="U54" s="199">
        <v>459.5489</v>
      </c>
      <c r="V54" s="199">
        <v>314.95089999999999</v>
      </c>
      <c r="W54" s="199">
        <v>818.21389999999997</v>
      </c>
      <c r="X54" s="199">
        <v>1423</v>
      </c>
      <c r="Y54" s="199">
        <v>1053.597</v>
      </c>
      <c r="Z54" s="199">
        <v>1792.403</v>
      </c>
      <c r="AA54" s="199">
        <v>3199.0749999999998</v>
      </c>
      <c r="AB54" s="199">
        <v>3137.4789999999998</v>
      </c>
      <c r="AC54" s="199">
        <v>3260.672</v>
      </c>
    </row>
    <row r="55" spans="1:29">
      <c r="A55" s="131">
        <v>46174</v>
      </c>
      <c r="B55" s="82">
        <f t="shared" si="0"/>
        <v>2026</v>
      </c>
      <c r="C55" s="199">
        <v>86712.52</v>
      </c>
      <c r="D55" s="199">
        <v>82723.19</v>
      </c>
      <c r="E55" s="199">
        <v>90648.65</v>
      </c>
      <c r="F55" s="199">
        <v>66662.820000000007</v>
      </c>
      <c r="G55" s="199">
        <v>63371.199999999997</v>
      </c>
      <c r="H55" s="199">
        <v>69954.45</v>
      </c>
      <c r="I55" s="199">
        <v>15857.56</v>
      </c>
      <c r="J55" s="199">
        <v>14749.18</v>
      </c>
      <c r="K55" s="199">
        <v>16965.939999999999</v>
      </c>
      <c r="L55" s="199">
        <v>763.47820000000002</v>
      </c>
      <c r="M55" s="199">
        <v>700.41390000000001</v>
      </c>
      <c r="N55" s="199">
        <v>826.54250000000002</v>
      </c>
      <c r="O55" s="199">
        <v>447.3279</v>
      </c>
      <c r="P55" s="199">
        <v>237.31790000000001</v>
      </c>
      <c r="Q55" s="199">
        <v>657.33799999999997</v>
      </c>
      <c r="R55" s="199">
        <v>657.38789999999995</v>
      </c>
      <c r="S55" s="199">
        <v>646.67269999999996</v>
      </c>
      <c r="T55" s="199">
        <v>668.44550000000004</v>
      </c>
      <c r="U55" s="199">
        <v>462.82670000000002</v>
      </c>
      <c r="V55" s="199">
        <v>314.9676</v>
      </c>
      <c r="W55" s="199">
        <v>838.04169999999999</v>
      </c>
      <c r="X55" s="199">
        <v>1419</v>
      </c>
      <c r="Y55" s="199">
        <v>1040.1959999999999</v>
      </c>
      <c r="Z55" s="199">
        <v>1797.8040000000001</v>
      </c>
      <c r="AA55" s="199">
        <v>3175.6680000000001</v>
      </c>
      <c r="AB55" s="199">
        <v>3114.0329999999999</v>
      </c>
      <c r="AC55" s="199">
        <v>3237.3040000000001</v>
      </c>
    </row>
    <row r="56" spans="1:29">
      <c r="A56" s="131">
        <v>46204</v>
      </c>
      <c r="B56" s="82">
        <f t="shared" si="0"/>
        <v>2026</v>
      </c>
      <c r="C56" s="199">
        <v>86372.95</v>
      </c>
      <c r="D56" s="199">
        <v>82314.97</v>
      </c>
      <c r="E56" s="199">
        <v>90375.679999999993</v>
      </c>
      <c r="F56" s="199">
        <v>66424.94</v>
      </c>
      <c r="G56" s="199">
        <v>63068.639999999999</v>
      </c>
      <c r="H56" s="199">
        <v>69781.240000000005</v>
      </c>
      <c r="I56" s="199">
        <v>15817.9</v>
      </c>
      <c r="J56" s="199">
        <v>14689.82</v>
      </c>
      <c r="K56" s="199">
        <v>16945.990000000002</v>
      </c>
      <c r="L56" s="199">
        <v>765.52350000000001</v>
      </c>
      <c r="M56" s="199">
        <v>701.69889999999998</v>
      </c>
      <c r="N56" s="199">
        <v>829.34810000000004</v>
      </c>
      <c r="O56" s="199">
        <v>444.46820000000002</v>
      </c>
      <c r="P56" s="199">
        <v>229.9367</v>
      </c>
      <c r="Q56" s="199">
        <v>658.99980000000005</v>
      </c>
      <c r="R56" s="199">
        <v>657.38789999999995</v>
      </c>
      <c r="S56" s="199">
        <v>646.67269999999996</v>
      </c>
      <c r="T56" s="199">
        <v>668.44550000000004</v>
      </c>
      <c r="U56" s="199">
        <v>464.66550000000001</v>
      </c>
      <c r="V56" s="199">
        <v>314.31479999999999</v>
      </c>
      <c r="W56" s="199">
        <v>853.83680000000004</v>
      </c>
      <c r="X56" s="199">
        <v>1422</v>
      </c>
      <c r="Y56" s="199">
        <v>1034.0219999999999</v>
      </c>
      <c r="Z56" s="199">
        <v>1809.9780000000001</v>
      </c>
      <c r="AA56" s="199">
        <v>3155.4830000000002</v>
      </c>
      <c r="AB56" s="199">
        <v>3093.8319999999999</v>
      </c>
      <c r="AC56" s="199">
        <v>3217.1350000000002</v>
      </c>
    </row>
    <row r="57" spans="1:29">
      <c r="A57" s="131">
        <v>46235</v>
      </c>
      <c r="B57" s="82">
        <f t="shared" si="0"/>
        <v>2026</v>
      </c>
      <c r="C57" s="199">
        <v>86197.41</v>
      </c>
      <c r="D57" s="199">
        <v>82073.960000000006</v>
      </c>
      <c r="E57" s="199">
        <v>90263.73</v>
      </c>
      <c r="F57" s="199">
        <v>66198.66</v>
      </c>
      <c r="G57" s="199">
        <v>62778.91</v>
      </c>
      <c r="H57" s="199">
        <v>69618.41</v>
      </c>
      <c r="I57" s="199">
        <v>15827.01</v>
      </c>
      <c r="J57" s="199">
        <v>14679.55</v>
      </c>
      <c r="K57" s="199">
        <v>16974.46</v>
      </c>
      <c r="L57" s="199">
        <v>762.77200000000005</v>
      </c>
      <c r="M57" s="199">
        <v>698.1961</v>
      </c>
      <c r="N57" s="199">
        <v>827.34789999999998</v>
      </c>
      <c r="O57" s="199">
        <v>441.93180000000001</v>
      </c>
      <c r="P57" s="199">
        <v>222.97479999999999</v>
      </c>
      <c r="Q57" s="199">
        <v>660.88879999999995</v>
      </c>
      <c r="R57" s="199">
        <v>657.38789999999995</v>
      </c>
      <c r="S57" s="199">
        <v>646.67269999999996</v>
      </c>
      <c r="T57" s="199">
        <v>668.44550000000004</v>
      </c>
      <c r="U57" s="199">
        <v>462.71620000000001</v>
      </c>
      <c r="V57" s="199">
        <v>311.88940000000002</v>
      </c>
      <c r="W57" s="199">
        <v>857.73220000000003</v>
      </c>
      <c r="X57" s="199">
        <v>1422</v>
      </c>
      <c r="Y57" s="199">
        <v>1025.0609999999999</v>
      </c>
      <c r="Z57" s="199">
        <v>1818.9390000000001</v>
      </c>
      <c r="AA57" s="199">
        <v>3147.473</v>
      </c>
      <c r="AB57" s="199">
        <v>3085.8150000000001</v>
      </c>
      <c r="AC57" s="199">
        <v>3209.1309999999999</v>
      </c>
    </row>
    <row r="58" spans="1:29">
      <c r="A58" s="131">
        <v>46266</v>
      </c>
      <c r="B58" s="82">
        <f t="shared" si="0"/>
        <v>2026</v>
      </c>
      <c r="C58" s="199">
        <v>86433.279999999999</v>
      </c>
      <c r="D58" s="199">
        <v>82251.240000000005</v>
      </c>
      <c r="E58" s="199">
        <v>90556.71</v>
      </c>
      <c r="F58" s="199">
        <v>66388.009999999995</v>
      </c>
      <c r="G58" s="199">
        <v>62905.96</v>
      </c>
      <c r="H58" s="199">
        <v>69870.05</v>
      </c>
      <c r="I58" s="199">
        <v>15877.49</v>
      </c>
      <c r="J58" s="199">
        <v>14710.99</v>
      </c>
      <c r="K58" s="199">
        <v>17043.990000000002</v>
      </c>
      <c r="L58" s="199">
        <v>757.8134</v>
      </c>
      <c r="M58" s="199">
        <v>692.49480000000005</v>
      </c>
      <c r="N58" s="199">
        <v>823.13210000000004</v>
      </c>
      <c r="O58" s="199">
        <v>449.6386</v>
      </c>
      <c r="P58" s="199">
        <v>226.34289999999999</v>
      </c>
      <c r="Q58" s="199">
        <v>672.93439999999998</v>
      </c>
      <c r="R58" s="199">
        <v>657.38789999999995</v>
      </c>
      <c r="S58" s="199">
        <v>646.67269999999996</v>
      </c>
      <c r="T58" s="199">
        <v>668.44550000000004</v>
      </c>
      <c r="U58" s="199">
        <v>462.43579999999997</v>
      </c>
      <c r="V58" s="199">
        <v>310.29259999999999</v>
      </c>
      <c r="W58" s="199">
        <v>866.98149999999998</v>
      </c>
      <c r="X58" s="199">
        <v>1422</v>
      </c>
      <c r="Y58" s="199">
        <v>1016.298</v>
      </c>
      <c r="Z58" s="199">
        <v>1827.702</v>
      </c>
      <c r="AA58" s="199">
        <v>3151.3409999999999</v>
      </c>
      <c r="AB58" s="199">
        <v>3089.68</v>
      </c>
      <c r="AC58" s="199">
        <v>3213.002</v>
      </c>
    </row>
    <row r="59" spans="1:29">
      <c r="A59" s="131">
        <v>46296</v>
      </c>
      <c r="B59" s="82">
        <f t="shared" si="0"/>
        <v>2026</v>
      </c>
      <c r="C59" s="199">
        <v>86706.49</v>
      </c>
      <c r="D59" s="199">
        <v>82467.399999999994</v>
      </c>
      <c r="E59" s="199">
        <v>90885.57</v>
      </c>
      <c r="F59" s="199">
        <v>66625.539999999994</v>
      </c>
      <c r="G59" s="199">
        <v>63082.3</v>
      </c>
      <c r="H59" s="199">
        <v>70168.789999999994</v>
      </c>
      <c r="I59" s="199">
        <v>15969.53</v>
      </c>
      <c r="J59" s="199">
        <v>14784.29</v>
      </c>
      <c r="K59" s="199">
        <v>17154.78</v>
      </c>
      <c r="L59" s="199">
        <v>759.71460000000002</v>
      </c>
      <c r="M59" s="199">
        <v>693.66160000000002</v>
      </c>
      <c r="N59" s="199">
        <v>825.76760000000002</v>
      </c>
      <c r="O59" s="199">
        <v>439.53789999999998</v>
      </c>
      <c r="P59" s="199">
        <v>211.98650000000001</v>
      </c>
      <c r="Q59" s="199">
        <v>667.08939999999996</v>
      </c>
      <c r="R59" s="199">
        <v>657.38789999999995</v>
      </c>
      <c r="S59" s="199">
        <v>646.67269999999996</v>
      </c>
      <c r="T59" s="199">
        <v>668.44550000000004</v>
      </c>
      <c r="U59" s="199">
        <v>462.38420000000002</v>
      </c>
      <c r="V59" s="199">
        <v>308.83890000000002</v>
      </c>
      <c r="W59" s="199">
        <v>877.03589999999997</v>
      </c>
      <c r="X59" s="199">
        <v>1420</v>
      </c>
      <c r="Y59" s="199">
        <v>1005.7190000000001</v>
      </c>
      <c r="Z59" s="199">
        <v>1834.2809999999999</v>
      </c>
      <c r="AA59" s="199">
        <v>3144.3969999999999</v>
      </c>
      <c r="AB59" s="199">
        <v>3082.7350000000001</v>
      </c>
      <c r="AC59" s="199">
        <v>3206.0590000000002</v>
      </c>
    </row>
    <row r="60" spans="1:29">
      <c r="A60" s="131">
        <v>46327</v>
      </c>
      <c r="B60" s="82">
        <f t="shared" si="0"/>
        <v>2026</v>
      </c>
      <c r="C60" s="199">
        <v>87756.06</v>
      </c>
      <c r="D60" s="199">
        <v>83472.42</v>
      </c>
      <c r="E60" s="199">
        <v>91979.14</v>
      </c>
      <c r="F60" s="199">
        <v>67481.06</v>
      </c>
      <c r="G60" s="199">
        <v>63877.65</v>
      </c>
      <c r="H60" s="199">
        <v>71084.47</v>
      </c>
      <c r="I60" s="199">
        <v>16167.51</v>
      </c>
      <c r="J60" s="199">
        <v>14963.82</v>
      </c>
      <c r="K60" s="199">
        <v>17371.2</v>
      </c>
      <c r="L60" s="199">
        <v>766.74710000000005</v>
      </c>
      <c r="M60" s="199">
        <v>699.96780000000001</v>
      </c>
      <c r="N60" s="199">
        <v>833.52639999999997</v>
      </c>
      <c r="O60" s="199">
        <v>455.16640000000001</v>
      </c>
      <c r="P60" s="199">
        <v>223.43729999999999</v>
      </c>
      <c r="Q60" s="199">
        <v>686.89549999999997</v>
      </c>
      <c r="R60" s="199">
        <v>657.38789999999995</v>
      </c>
      <c r="S60" s="199">
        <v>646.67269999999996</v>
      </c>
      <c r="T60" s="199">
        <v>668.44550000000004</v>
      </c>
      <c r="U60" s="199">
        <v>463.435</v>
      </c>
      <c r="V60" s="199">
        <v>307.92520000000002</v>
      </c>
      <c r="W60" s="199">
        <v>890.97550000000001</v>
      </c>
      <c r="X60" s="199">
        <v>1422</v>
      </c>
      <c r="Y60" s="199">
        <v>999.31529999999998</v>
      </c>
      <c r="Z60" s="199">
        <v>1844.6849999999999</v>
      </c>
      <c r="AA60" s="199">
        <v>3183.99</v>
      </c>
      <c r="AB60" s="199">
        <v>3122.3270000000002</v>
      </c>
      <c r="AC60" s="199">
        <v>3245.652</v>
      </c>
    </row>
    <row r="61" spans="1:29">
      <c r="A61" s="131">
        <v>46357</v>
      </c>
      <c r="B61" s="82">
        <f t="shared" si="0"/>
        <v>2026</v>
      </c>
      <c r="C61" s="199">
        <v>88725.84</v>
      </c>
      <c r="D61" s="199">
        <v>84397.48</v>
      </c>
      <c r="E61" s="199">
        <v>92993.04</v>
      </c>
      <c r="F61" s="199">
        <v>68349.69</v>
      </c>
      <c r="G61" s="199">
        <v>64687.11</v>
      </c>
      <c r="H61" s="199">
        <v>72012.27</v>
      </c>
      <c r="I61" s="199">
        <v>16345.18</v>
      </c>
      <c r="J61" s="199">
        <v>15123.31</v>
      </c>
      <c r="K61" s="199">
        <v>17567.04</v>
      </c>
      <c r="L61" s="199">
        <v>777.44309999999996</v>
      </c>
      <c r="M61" s="199">
        <v>709.92740000000003</v>
      </c>
      <c r="N61" s="199">
        <v>844.9588</v>
      </c>
      <c r="O61" s="199">
        <v>470.58600000000001</v>
      </c>
      <c r="P61" s="199">
        <v>234.75319999999999</v>
      </c>
      <c r="Q61" s="199">
        <v>706.41869999999994</v>
      </c>
      <c r="R61" s="199">
        <v>657.38789999999995</v>
      </c>
      <c r="S61" s="199">
        <v>646.67269999999996</v>
      </c>
      <c r="T61" s="199">
        <v>668.44550000000004</v>
      </c>
      <c r="U61" s="199">
        <v>465.86169999999998</v>
      </c>
      <c r="V61" s="199">
        <v>307.65820000000002</v>
      </c>
      <c r="W61" s="199">
        <v>910.08839999999998</v>
      </c>
      <c r="X61" s="199">
        <v>1423</v>
      </c>
      <c r="Y61" s="199">
        <v>992.07500000000005</v>
      </c>
      <c r="Z61" s="199">
        <v>1853.925</v>
      </c>
      <c r="AA61" s="199">
        <v>3231.9659999999999</v>
      </c>
      <c r="AB61" s="199">
        <v>3170.3040000000001</v>
      </c>
      <c r="AC61" s="199">
        <v>3293.6289999999999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A333F-4527-4763-809B-207BAA24FE36}">
  <sheetPr codeName="Sheet35">
    <tabColor theme="4" tint="0.39997558519241921"/>
  </sheetPr>
  <dimension ref="A1:AC66"/>
  <sheetViews>
    <sheetView workbookViewId="0"/>
  </sheetViews>
  <sheetFormatPr defaultColWidth="9.140625" defaultRowHeight="12.75"/>
  <cols>
    <col min="1" max="1" width="10.42578125" style="82" bestFit="1" customWidth="1"/>
    <col min="2" max="2" width="10.42578125" style="82" customWidth="1"/>
    <col min="3" max="3" width="22.7109375" style="82" bestFit="1" customWidth="1"/>
    <col min="4" max="4" width="21.42578125" style="82" bestFit="1" customWidth="1"/>
    <col min="5" max="5" width="21.7109375" style="82" bestFit="1" customWidth="1"/>
    <col min="6" max="6" width="23" style="82" bestFit="1" customWidth="1"/>
    <col min="7" max="7" width="21.5703125" style="82" bestFit="1" customWidth="1"/>
    <col min="8" max="8" width="22" style="82" bestFit="1" customWidth="1"/>
    <col min="9" max="9" width="21.5703125" style="82" bestFit="1" customWidth="1"/>
    <col min="10" max="10" width="20.140625" style="82" bestFit="1" customWidth="1"/>
    <col min="11" max="11" width="20.5703125" style="82" bestFit="1" customWidth="1"/>
    <col min="12" max="12" width="21.5703125" style="82" bestFit="1" customWidth="1"/>
    <col min="13" max="13" width="20.140625" style="82" bestFit="1" customWidth="1"/>
    <col min="14" max="14" width="20.5703125" style="82" bestFit="1" customWidth="1"/>
    <col min="15" max="15" width="29.140625" style="506" bestFit="1" customWidth="1"/>
    <col min="16" max="16" width="21.85546875" style="506" bestFit="1" customWidth="1"/>
    <col min="17" max="17" width="22.140625" style="506" bestFit="1" customWidth="1"/>
    <col min="18" max="18" width="20.5703125" style="82" bestFit="1" customWidth="1"/>
    <col min="19" max="19" width="19.28515625" style="82" bestFit="1" customWidth="1"/>
    <col min="20" max="20" width="19.5703125" style="82" bestFit="1" customWidth="1"/>
    <col min="21" max="21" width="23.140625" style="82" bestFit="1" customWidth="1"/>
    <col min="22" max="22" width="21.85546875" style="82" bestFit="1" customWidth="1"/>
    <col min="23" max="23" width="22.140625" style="82" bestFit="1" customWidth="1"/>
    <col min="24" max="24" width="22" style="82" bestFit="1" customWidth="1"/>
    <col min="25" max="25" width="20.5703125" style="82" bestFit="1" customWidth="1"/>
    <col min="26" max="26" width="20.85546875" style="82" bestFit="1" customWidth="1"/>
    <col min="27" max="27" width="22.85546875" style="82" bestFit="1" customWidth="1"/>
    <col min="28" max="28" width="21.5703125" style="82" bestFit="1" customWidth="1"/>
    <col min="29" max="29" width="21.85546875" style="82" bestFit="1" customWidth="1"/>
    <col min="30" max="16384" width="9.140625" style="82"/>
  </cols>
  <sheetData>
    <row r="1" spans="1:29" s="501" customFormat="1" ht="25.5">
      <c r="A1" s="497" t="s">
        <v>123</v>
      </c>
      <c r="B1" s="497" t="s">
        <v>128</v>
      </c>
      <c r="C1" s="498" t="s">
        <v>1039</v>
      </c>
      <c r="D1" s="499" t="s">
        <v>1040</v>
      </c>
      <c r="E1" s="500" t="s">
        <v>1041</v>
      </c>
      <c r="F1" s="498" t="s">
        <v>1004</v>
      </c>
      <c r="G1" s="499" t="s">
        <v>1006</v>
      </c>
      <c r="H1" s="500" t="s">
        <v>1008</v>
      </c>
      <c r="I1" s="498" t="s">
        <v>1011</v>
      </c>
      <c r="J1" s="499" t="s">
        <v>1013</v>
      </c>
      <c r="K1" s="500" t="s">
        <v>1015</v>
      </c>
      <c r="L1" s="498" t="s">
        <v>1017</v>
      </c>
      <c r="M1" s="499" t="s">
        <v>1019</v>
      </c>
      <c r="N1" s="500" t="s">
        <v>1021</v>
      </c>
      <c r="O1" s="502" t="s">
        <v>1022</v>
      </c>
      <c r="P1" s="503" t="s">
        <v>1023</v>
      </c>
      <c r="Q1" s="504" t="s">
        <v>1024</v>
      </c>
      <c r="R1" s="498" t="s">
        <v>1025</v>
      </c>
      <c r="S1" s="499" t="s">
        <v>1027</v>
      </c>
      <c r="T1" s="500" t="s">
        <v>1029</v>
      </c>
      <c r="U1" s="498" t="s">
        <v>1030</v>
      </c>
      <c r="V1" s="499" t="s">
        <v>1031</v>
      </c>
      <c r="W1" s="500" t="s">
        <v>1032</v>
      </c>
      <c r="X1" s="498" t="s">
        <v>1033</v>
      </c>
      <c r="Y1" s="499" t="s">
        <v>1034</v>
      </c>
      <c r="Z1" s="500" t="s">
        <v>1035</v>
      </c>
      <c r="AA1" s="498" t="s">
        <v>1036</v>
      </c>
      <c r="AB1" s="499" t="s">
        <v>1037</v>
      </c>
      <c r="AC1" s="500" t="s">
        <v>1038</v>
      </c>
    </row>
    <row r="2" spans="1:29">
      <c r="A2" s="131">
        <v>44562</v>
      </c>
      <c r="B2" s="82">
        <f>YEAR(A2)</f>
        <v>2022</v>
      </c>
      <c r="C2" s="134">
        <v>36.245464820011399</v>
      </c>
      <c r="D2" s="134">
        <v>31.0840129897352</v>
      </c>
      <c r="E2" s="134">
        <v>42.578872179720598</v>
      </c>
      <c r="F2" s="674">
        <v>38.199522317166398</v>
      </c>
      <c r="G2" s="134">
        <v>32.2930448046408</v>
      </c>
      <c r="H2" s="134">
        <v>45.648518461393401</v>
      </c>
      <c r="I2" s="134">
        <v>24.3760953524949</v>
      </c>
      <c r="J2" s="134">
        <v>18.784803549120898</v>
      </c>
      <c r="K2" s="134">
        <v>34.489188514612202</v>
      </c>
      <c r="L2" s="134">
        <v>106.996797968698</v>
      </c>
      <c r="M2" s="134">
        <v>76.183080028532402</v>
      </c>
      <c r="N2" s="134">
        <v>152.84432857829799</v>
      </c>
      <c r="O2" s="505">
        <v>13.69</v>
      </c>
      <c r="P2" s="505">
        <v>9.8699999999999992</v>
      </c>
      <c r="Q2" s="505">
        <v>17.52</v>
      </c>
      <c r="R2" s="134">
        <v>17.683340884379099</v>
      </c>
      <c r="S2" s="134">
        <v>14.5850242029399</v>
      </c>
      <c r="T2" s="134">
        <v>22.326934355111899</v>
      </c>
      <c r="U2" s="134">
        <v>186.05292102106901</v>
      </c>
      <c r="V2" s="134">
        <v>137.568871536627</v>
      </c>
      <c r="W2" s="134">
        <v>243.18077689739101</v>
      </c>
      <c r="X2" s="134">
        <v>14.123130600517401</v>
      </c>
      <c r="Y2" s="134">
        <v>7.1526128929810602</v>
      </c>
      <c r="Z2" s="134">
        <v>111.772840736955</v>
      </c>
      <c r="AA2" s="134">
        <v>12.657643028241401</v>
      </c>
      <c r="AB2" s="134">
        <v>10.6277059809119</v>
      </c>
      <c r="AC2" s="134">
        <v>15.4053792289276</v>
      </c>
    </row>
    <row r="3" spans="1:29">
      <c r="A3" s="131">
        <v>44593</v>
      </c>
      <c r="B3" s="82">
        <f t="shared" ref="B3:B61" si="0">YEAR(A3)</f>
        <v>2022</v>
      </c>
      <c r="C3" s="134">
        <v>32.164998468911499</v>
      </c>
      <c r="D3" s="134">
        <v>27.7270175964026</v>
      </c>
      <c r="E3" s="134">
        <v>37.572526205444198</v>
      </c>
      <c r="F3" s="134">
        <v>33.692026794258801</v>
      </c>
      <c r="G3" s="134">
        <v>28.680217634077799</v>
      </c>
      <c r="H3" s="134">
        <v>39.950745628308901</v>
      </c>
      <c r="I3" s="134">
        <v>22.4383699221138</v>
      </c>
      <c r="J3" s="134">
        <v>17.610710777367402</v>
      </c>
      <c r="K3" s="134">
        <v>30.753600590714601</v>
      </c>
      <c r="L3" s="134">
        <v>95.837588817356604</v>
      </c>
      <c r="M3" s="134">
        <v>68.665253208411897</v>
      </c>
      <c r="N3" s="134">
        <v>135.96463195830799</v>
      </c>
      <c r="O3" s="505">
        <v>15.15</v>
      </c>
      <c r="P3" s="505">
        <v>11.03</v>
      </c>
      <c r="Q3" s="505">
        <v>19.27</v>
      </c>
      <c r="R3" s="134">
        <v>14.589302010079001</v>
      </c>
      <c r="S3" s="134">
        <v>12.3538542571078</v>
      </c>
      <c r="T3" s="134">
        <v>17.742463052734799</v>
      </c>
      <c r="U3" s="134">
        <v>156.953879544486</v>
      </c>
      <c r="V3" s="134">
        <v>112.302525748064</v>
      </c>
      <c r="W3" s="134">
        <v>210.44914037246201</v>
      </c>
      <c r="X3" s="134">
        <v>13.490212196022201</v>
      </c>
      <c r="Y3" s="134">
        <v>6.9190384639336697</v>
      </c>
      <c r="Z3" s="134">
        <v>92.810478083158102</v>
      </c>
      <c r="AA3" s="134">
        <v>11.8020705174869</v>
      </c>
      <c r="AB3" s="134">
        <v>9.9856562594393097</v>
      </c>
      <c r="AC3" s="134">
        <v>14.226268789912201</v>
      </c>
    </row>
    <row r="4" spans="1:29">
      <c r="A4" s="131">
        <v>44621</v>
      </c>
      <c r="B4" s="82">
        <f t="shared" si="0"/>
        <v>2022</v>
      </c>
      <c r="C4" s="134">
        <v>27.8522913625992</v>
      </c>
      <c r="D4" s="134">
        <v>24.163675930624802</v>
      </c>
      <c r="E4" s="134">
        <v>32.307689333697198</v>
      </c>
      <c r="F4" s="134">
        <v>28.5797760966617</v>
      </c>
      <c r="G4" s="134">
        <v>24.548668658176901</v>
      </c>
      <c r="H4" s="134">
        <v>33.549810863693999</v>
      </c>
      <c r="I4" s="134">
        <v>19.702319879086701</v>
      </c>
      <c r="J4" s="134">
        <v>15.8614404341933</v>
      </c>
      <c r="K4" s="134">
        <v>25.897833392935102</v>
      </c>
      <c r="L4" s="134">
        <v>104.724690221055</v>
      </c>
      <c r="M4" s="134">
        <v>74.722496127644504</v>
      </c>
      <c r="N4" s="134">
        <v>149.251864344475</v>
      </c>
      <c r="O4" s="505">
        <v>16.25</v>
      </c>
      <c r="P4" s="505">
        <v>12.14</v>
      </c>
      <c r="Q4" s="505">
        <v>20.37</v>
      </c>
      <c r="R4" s="134">
        <v>14.8615307862159</v>
      </c>
      <c r="S4" s="134">
        <v>12.5272875069876</v>
      </c>
      <c r="T4" s="134">
        <v>18.1882603498109</v>
      </c>
      <c r="U4" s="134">
        <v>159.77808906835401</v>
      </c>
      <c r="V4" s="134">
        <v>113.79640167433701</v>
      </c>
      <c r="W4" s="134">
        <v>214.99534099195199</v>
      </c>
      <c r="X4" s="134">
        <v>11.850177253853801</v>
      </c>
      <c r="Y4" s="134">
        <v>6.4323279526411596</v>
      </c>
      <c r="Z4" s="134">
        <v>51.405323190474903</v>
      </c>
      <c r="AA4" s="134">
        <v>10.246564911970999</v>
      </c>
      <c r="AB4" s="134">
        <v>8.7877718764469304</v>
      </c>
      <c r="AC4" s="134">
        <v>12.1458960983363</v>
      </c>
    </row>
    <row r="5" spans="1:29">
      <c r="A5" s="131">
        <v>44652</v>
      </c>
      <c r="B5" s="82">
        <f t="shared" si="0"/>
        <v>2022</v>
      </c>
      <c r="C5" s="134">
        <v>24.528487550861701</v>
      </c>
      <c r="D5" s="134">
        <v>21.390652475110102</v>
      </c>
      <c r="E5" s="134">
        <v>28.291995187845298</v>
      </c>
      <c r="F5" s="134">
        <v>25.212564318015801</v>
      </c>
      <c r="G5" s="134">
        <v>21.790197833701399</v>
      </c>
      <c r="H5" s="134">
        <v>29.395446577361898</v>
      </c>
      <c r="I5" s="134">
        <v>17.845451094601401</v>
      </c>
      <c r="J5" s="134">
        <v>14.624166629943799</v>
      </c>
      <c r="K5" s="134">
        <v>22.8160064196408</v>
      </c>
      <c r="L5" s="134">
        <v>85.221335676424701</v>
      </c>
      <c r="M5" s="134">
        <v>61.384284705430503</v>
      </c>
      <c r="N5" s="134">
        <v>120.19905792739</v>
      </c>
      <c r="O5" s="505">
        <v>14.12</v>
      </c>
      <c r="P5" s="505">
        <v>10</v>
      </c>
      <c r="Q5" s="505">
        <v>18.239999999999998</v>
      </c>
      <c r="R5" s="134">
        <v>14.0662735697461</v>
      </c>
      <c r="S5" s="134">
        <v>11.9283369735526</v>
      </c>
      <c r="T5" s="134">
        <v>17.071953713700701</v>
      </c>
      <c r="U5" s="134">
        <v>118.850327443011</v>
      </c>
      <c r="V5" s="134">
        <v>80.0273860631102</v>
      </c>
      <c r="W5" s="134">
        <v>166.789363932171</v>
      </c>
      <c r="X5" s="134">
        <v>9.7262142275469099</v>
      </c>
      <c r="Y5" s="134">
        <v>5.7151604877283901</v>
      </c>
      <c r="Z5" s="134">
        <v>27.9820912707807</v>
      </c>
      <c r="AA5" s="134">
        <v>9.6666354717205696</v>
      </c>
      <c r="AB5" s="134">
        <v>8.3345717002060393</v>
      </c>
      <c r="AC5" s="134">
        <v>11.3843381310051</v>
      </c>
    </row>
    <row r="6" spans="1:29">
      <c r="A6" s="131">
        <v>44682</v>
      </c>
      <c r="B6" s="82">
        <f t="shared" si="0"/>
        <v>2022</v>
      </c>
      <c r="C6" s="134">
        <v>18.217326744929</v>
      </c>
      <c r="D6" s="134">
        <v>16.070453740763298</v>
      </c>
      <c r="E6" s="134">
        <v>20.752479880156599</v>
      </c>
      <c r="F6" s="134">
        <v>19.430576141962199</v>
      </c>
      <c r="G6" s="134">
        <v>16.997898462921601</v>
      </c>
      <c r="H6" s="134">
        <v>22.353438774380201</v>
      </c>
      <c r="I6" s="134">
        <v>12.912355443988799</v>
      </c>
      <c r="J6" s="134">
        <v>11.1144008085701</v>
      </c>
      <c r="K6" s="134">
        <v>15.380363394663</v>
      </c>
      <c r="L6" s="134">
        <v>38.983388987257896</v>
      </c>
      <c r="M6" s="134">
        <v>29.031360807957999</v>
      </c>
      <c r="N6" s="134">
        <v>53.015468054640102</v>
      </c>
      <c r="O6" s="505">
        <v>14.46</v>
      </c>
      <c r="P6" s="505">
        <v>10.34</v>
      </c>
      <c r="Q6" s="505">
        <v>18.579999999999998</v>
      </c>
      <c r="R6" s="134">
        <v>13.2428561635182</v>
      </c>
      <c r="S6" s="134">
        <v>11.303879450749299</v>
      </c>
      <c r="T6" s="134">
        <v>15.9288667116549</v>
      </c>
      <c r="U6" s="134">
        <v>61.755465903756999</v>
      </c>
      <c r="V6" s="134">
        <v>35.813004469464502</v>
      </c>
      <c r="W6" s="134">
        <v>96.154135024868694</v>
      </c>
      <c r="X6" s="134">
        <v>7.3594375148274596</v>
      </c>
      <c r="Y6" s="134">
        <v>4.7695735125466401</v>
      </c>
      <c r="Z6" s="134">
        <v>15.137968930015299</v>
      </c>
      <c r="AA6" s="134">
        <v>8.0107654725429995</v>
      </c>
      <c r="AB6" s="134">
        <v>7.0174597118704902</v>
      </c>
      <c r="AC6" s="134">
        <v>9.2555704438360493</v>
      </c>
    </row>
    <row r="7" spans="1:29">
      <c r="A7" s="131">
        <v>44713</v>
      </c>
      <c r="B7" s="82">
        <f t="shared" si="0"/>
        <v>2022</v>
      </c>
      <c r="C7" s="134">
        <v>15.413184035026299</v>
      </c>
      <c r="D7" s="134">
        <v>13.6789319271707</v>
      </c>
      <c r="E7" s="134">
        <v>17.444482885014899</v>
      </c>
      <c r="F7" s="134">
        <v>16.301405299284799</v>
      </c>
      <c r="G7" s="134">
        <v>14.369119203533399</v>
      </c>
      <c r="H7" s="134">
        <v>18.598430119698801</v>
      </c>
      <c r="I7" s="134">
        <v>12.033182193299201</v>
      </c>
      <c r="J7" s="134">
        <v>10.452278132016</v>
      </c>
      <c r="K7" s="134">
        <v>14.1585253939433</v>
      </c>
      <c r="L7" s="134">
        <v>28.054403743395099</v>
      </c>
      <c r="M7" s="134">
        <v>21.1660269851794</v>
      </c>
      <c r="N7" s="134">
        <v>37.617347759557703</v>
      </c>
      <c r="O7" s="505">
        <v>12.14</v>
      </c>
      <c r="P7" s="505">
        <v>8.02</v>
      </c>
      <c r="Q7" s="505">
        <v>16.260000000000002</v>
      </c>
      <c r="R7" s="134">
        <v>13.0194831286327</v>
      </c>
      <c r="S7" s="134">
        <v>11.121092524852701</v>
      </c>
      <c r="T7" s="134">
        <v>15.6450911490441</v>
      </c>
      <c r="U7" s="134">
        <v>42.564234359212101</v>
      </c>
      <c r="V7" s="134">
        <v>21.9981694181824</v>
      </c>
      <c r="W7" s="134">
        <v>71.291791398271698</v>
      </c>
      <c r="X7" s="134">
        <v>5.3023100812668202</v>
      </c>
      <c r="Y7" s="134">
        <v>3.7816961084958498</v>
      </c>
      <c r="Z7" s="134">
        <v>8.6384218721974708</v>
      </c>
      <c r="AA7" s="134">
        <v>7.8109317236053899</v>
      </c>
      <c r="AB7" s="134">
        <v>6.8561511689721604</v>
      </c>
      <c r="AC7" s="134">
        <v>9.0031760955722699</v>
      </c>
    </row>
    <row r="8" spans="1:29">
      <c r="A8" s="131">
        <v>44743</v>
      </c>
      <c r="B8" s="82">
        <f t="shared" si="0"/>
        <v>2022</v>
      </c>
      <c r="C8" s="134">
        <v>13.7273662181908</v>
      </c>
      <c r="D8" s="134">
        <v>12.2317120276204</v>
      </c>
      <c r="E8" s="134">
        <v>15.469753436954999</v>
      </c>
      <c r="F8" s="134">
        <v>14.3495387006847</v>
      </c>
      <c r="G8" s="134">
        <v>12.715138988362501</v>
      </c>
      <c r="H8" s="134">
        <v>16.278218990060999</v>
      </c>
      <c r="I8" s="134">
        <v>11.446175225203399</v>
      </c>
      <c r="J8" s="134">
        <v>10.0035746887076</v>
      </c>
      <c r="K8" s="134">
        <v>13.358791481413</v>
      </c>
      <c r="L8" s="134">
        <v>24.6850270548791</v>
      </c>
      <c r="M8" s="134">
        <v>18.715553922816099</v>
      </c>
      <c r="N8" s="134">
        <v>32.9240286347016</v>
      </c>
      <c r="O8" s="505">
        <v>9.7799999999999994</v>
      </c>
      <c r="P8" s="505">
        <v>5.66</v>
      </c>
      <c r="Q8" s="505">
        <v>13.9</v>
      </c>
      <c r="R8" s="134">
        <v>12.873025733370101</v>
      </c>
      <c r="S8" s="134">
        <v>10.995831560908</v>
      </c>
      <c r="T8" s="134">
        <v>15.469401666792701</v>
      </c>
      <c r="U8" s="134">
        <v>37.067006970595401</v>
      </c>
      <c r="V8" s="134">
        <v>18.1469096131611</v>
      </c>
      <c r="W8" s="134">
        <v>64.128662694880703</v>
      </c>
      <c r="X8" s="134">
        <v>3.9192940856507499</v>
      </c>
      <c r="Y8" s="134">
        <v>3.00295932686568</v>
      </c>
      <c r="Z8" s="134">
        <v>5.5670636715851396</v>
      </c>
      <c r="AA8" s="134">
        <v>7.7223188978122703</v>
      </c>
      <c r="AB8" s="134">
        <v>6.7844511674363801</v>
      </c>
      <c r="AC8" s="134">
        <v>8.8915721110787906</v>
      </c>
    </row>
    <row r="9" spans="1:29">
      <c r="A9" s="131">
        <v>44774</v>
      </c>
      <c r="B9" s="82">
        <f t="shared" si="0"/>
        <v>2022</v>
      </c>
      <c r="C9" s="134">
        <v>12.666043518213</v>
      </c>
      <c r="D9" s="134">
        <v>11.3166001947054</v>
      </c>
      <c r="E9" s="134">
        <v>14.2323779473665</v>
      </c>
      <c r="F9" s="134">
        <v>13.2112888504978</v>
      </c>
      <c r="G9" s="134">
        <v>11.7450484672916</v>
      </c>
      <c r="H9" s="134">
        <v>14.933599574501701</v>
      </c>
      <c r="I9" s="134">
        <v>10.743075853776199</v>
      </c>
      <c r="J9" s="134">
        <v>9.4589835880920994</v>
      </c>
      <c r="K9" s="134">
        <v>12.4173851312963</v>
      </c>
      <c r="L9" s="134">
        <v>21.8186452736606</v>
      </c>
      <c r="M9" s="134">
        <v>16.6194983592741</v>
      </c>
      <c r="N9" s="134">
        <v>28.954846354730801</v>
      </c>
      <c r="O9" s="505">
        <v>9.06</v>
      </c>
      <c r="P9" s="505">
        <v>4.95</v>
      </c>
      <c r="Q9" s="505">
        <v>13.18</v>
      </c>
      <c r="R9" s="134">
        <v>11.9846210166848</v>
      </c>
      <c r="S9" s="134">
        <v>10.317048275734599</v>
      </c>
      <c r="T9" s="134">
        <v>14.2512980698612</v>
      </c>
      <c r="U9" s="134">
        <v>31.891494463754</v>
      </c>
      <c r="V9" s="134">
        <v>14.6649735633387</v>
      </c>
      <c r="W9" s="134">
        <v>57.198988642122004</v>
      </c>
      <c r="X9" s="134">
        <v>3.5648427737088002</v>
      </c>
      <c r="Y9" s="134">
        <v>2.7852577384894799</v>
      </c>
      <c r="Z9" s="134">
        <v>4.8980260681011796</v>
      </c>
      <c r="AA9" s="134">
        <v>7.3778183001357203</v>
      </c>
      <c r="AB9" s="134">
        <v>6.5046976771499398</v>
      </c>
      <c r="AC9" s="134">
        <v>8.4595326115430094</v>
      </c>
    </row>
    <row r="10" spans="1:29">
      <c r="A10" s="131">
        <v>44805</v>
      </c>
      <c r="B10" s="82">
        <f t="shared" si="0"/>
        <v>2022</v>
      </c>
      <c r="C10" s="134">
        <v>13.4973569462445</v>
      </c>
      <c r="D10" s="134">
        <v>12.0268233386841</v>
      </c>
      <c r="E10" s="134">
        <v>15.2104679792819</v>
      </c>
      <c r="F10" s="134">
        <v>14.250689275631499</v>
      </c>
      <c r="G10" s="134">
        <v>12.6235422103298</v>
      </c>
      <c r="H10" s="134">
        <v>16.171664213617799</v>
      </c>
      <c r="I10" s="134">
        <v>11.164489567025299</v>
      </c>
      <c r="J10" s="134">
        <v>9.7863377158633291</v>
      </c>
      <c r="K10" s="134">
        <v>12.979495975092201</v>
      </c>
      <c r="L10" s="134">
        <v>20.7575723541778</v>
      </c>
      <c r="M10" s="134">
        <v>15.840668421559799</v>
      </c>
      <c r="N10" s="134">
        <v>27.491488627576199</v>
      </c>
      <c r="O10" s="505">
        <v>8.3800000000000008</v>
      </c>
      <c r="P10" s="505">
        <v>4.26</v>
      </c>
      <c r="Q10" s="505">
        <v>12.49</v>
      </c>
      <c r="R10" s="134">
        <v>12.961500141387299</v>
      </c>
      <c r="S10" s="134">
        <v>11.028525795060601</v>
      </c>
      <c r="T10" s="134">
        <v>15.658454121123</v>
      </c>
      <c r="U10" s="134">
        <v>27.450248836138201</v>
      </c>
      <c r="V10" s="134">
        <v>11.7962842318501</v>
      </c>
      <c r="W10" s="134">
        <v>51.104853726285199</v>
      </c>
      <c r="X10" s="134">
        <v>5.0639179309276203</v>
      </c>
      <c r="Y10" s="134">
        <v>3.65483691622482</v>
      </c>
      <c r="Z10" s="134">
        <v>8.0497307806433103</v>
      </c>
      <c r="AA10" s="134">
        <v>7.7866146165253198</v>
      </c>
      <c r="AB10" s="134">
        <v>6.83648570326607</v>
      </c>
      <c r="AC10" s="134">
        <v>8.9725304942218003</v>
      </c>
    </row>
    <row r="11" spans="1:29">
      <c r="A11" s="131">
        <v>44835</v>
      </c>
      <c r="B11" s="82">
        <f t="shared" si="0"/>
        <v>2022</v>
      </c>
      <c r="C11" s="134">
        <v>14.6254662115016</v>
      </c>
      <c r="D11" s="134">
        <v>13.003589630299</v>
      </c>
      <c r="E11" s="134">
        <v>16.5204610188479</v>
      </c>
      <c r="F11" s="134">
        <v>15.189780446719899</v>
      </c>
      <c r="G11" s="134">
        <v>13.428500356227</v>
      </c>
      <c r="H11" s="134">
        <v>17.274947888433601</v>
      </c>
      <c r="I11" s="134">
        <v>11.6260732435296</v>
      </c>
      <c r="J11" s="134">
        <v>10.141647143745899</v>
      </c>
      <c r="K11" s="134">
        <v>13.6025578130719</v>
      </c>
      <c r="L11" s="134">
        <v>31.511221393477701</v>
      </c>
      <c r="M11" s="134">
        <v>23.6665788536143</v>
      </c>
      <c r="N11" s="134">
        <v>42.460669191086403</v>
      </c>
      <c r="O11" s="505">
        <v>9.1199999999999992</v>
      </c>
      <c r="P11" s="505">
        <v>5</v>
      </c>
      <c r="Q11" s="505">
        <v>13.24</v>
      </c>
      <c r="R11" s="134">
        <v>12.7051333672722</v>
      </c>
      <c r="S11" s="134">
        <v>10.8238324011988</v>
      </c>
      <c r="T11" s="134">
        <v>15.322655946674899</v>
      </c>
      <c r="U11" s="134">
        <v>43.9440957101911</v>
      </c>
      <c r="V11" s="134">
        <v>22.415353812489801</v>
      </c>
      <c r="W11" s="134">
        <v>74.190692229721193</v>
      </c>
      <c r="X11" s="134">
        <v>6.0361479823198501</v>
      </c>
      <c r="Y11" s="134">
        <v>4.1550024888951702</v>
      </c>
      <c r="Z11" s="134">
        <v>10.6374513877476</v>
      </c>
      <c r="AA11" s="134">
        <v>7.7374688466945498</v>
      </c>
      <c r="AB11" s="134">
        <v>6.7967099307569203</v>
      </c>
      <c r="AC11" s="134">
        <v>8.9106500802295194</v>
      </c>
    </row>
    <row r="12" spans="1:29">
      <c r="A12" s="131">
        <v>44866</v>
      </c>
      <c r="B12" s="82">
        <f t="shared" si="0"/>
        <v>2022</v>
      </c>
      <c r="C12" s="134">
        <v>19.834132325324902</v>
      </c>
      <c r="D12" s="134">
        <v>17.441115918095001</v>
      </c>
      <c r="E12" s="134">
        <v>22.672148875665801</v>
      </c>
      <c r="F12" s="134">
        <v>20.441080132837602</v>
      </c>
      <c r="G12" s="134">
        <v>17.840814229597701</v>
      </c>
      <c r="H12" s="134">
        <v>23.5754287141832</v>
      </c>
      <c r="I12" s="134">
        <v>14.768718264821301</v>
      </c>
      <c r="J12" s="134">
        <v>12.474426625302099</v>
      </c>
      <c r="K12" s="134">
        <v>18.0598560729158</v>
      </c>
      <c r="L12" s="134">
        <v>56.266838499733502</v>
      </c>
      <c r="M12" s="134">
        <v>41.2668481536288</v>
      </c>
      <c r="N12" s="134">
        <v>77.806291210524904</v>
      </c>
      <c r="O12" s="505">
        <v>8.92</v>
      </c>
      <c r="P12" s="505">
        <v>4.8</v>
      </c>
      <c r="Q12" s="505">
        <v>13.04</v>
      </c>
      <c r="R12" s="134">
        <v>12.7861473610552</v>
      </c>
      <c r="S12" s="134">
        <v>10.8681422816062</v>
      </c>
      <c r="T12" s="134">
        <v>15.468428825158099</v>
      </c>
      <c r="U12" s="134">
        <v>83.773103220792706</v>
      </c>
      <c r="V12" s="134">
        <v>50.9462036164675</v>
      </c>
      <c r="W12" s="134">
        <v>126.344672088783</v>
      </c>
      <c r="X12" s="134">
        <v>9.7248221547173799</v>
      </c>
      <c r="Y12" s="134">
        <v>5.7146535413080199</v>
      </c>
      <c r="Z12" s="134">
        <v>27.971727599800001</v>
      </c>
      <c r="AA12" s="134">
        <v>8.9945190926446994</v>
      </c>
      <c r="AB12" s="134">
        <v>7.8038089444453496</v>
      </c>
      <c r="AC12" s="134">
        <v>10.512680753575999</v>
      </c>
    </row>
    <row r="13" spans="1:29">
      <c r="A13" s="131">
        <v>44896</v>
      </c>
      <c r="B13" s="82">
        <f t="shared" si="0"/>
        <v>2022</v>
      </c>
      <c r="C13" s="134">
        <v>28.513746441457599</v>
      </c>
      <c r="D13" s="134">
        <v>24.703538196833801</v>
      </c>
      <c r="E13" s="134">
        <v>33.124634966612298</v>
      </c>
      <c r="F13" s="134">
        <v>29.902431607068699</v>
      </c>
      <c r="G13" s="134">
        <v>25.6074813174356</v>
      </c>
      <c r="H13" s="134">
        <v>35.220437733503999</v>
      </c>
      <c r="I13" s="134">
        <v>20.3088414198957</v>
      </c>
      <c r="J13" s="134">
        <v>16.2571474757085</v>
      </c>
      <c r="K13" s="134">
        <v>26.939397274068</v>
      </c>
      <c r="L13" s="134">
        <v>76.866280209782303</v>
      </c>
      <c r="M13" s="134">
        <v>55.621416076443097</v>
      </c>
      <c r="N13" s="134">
        <v>107.86877104583699</v>
      </c>
      <c r="O13" s="505">
        <v>9.52</v>
      </c>
      <c r="P13" s="505">
        <v>5.4</v>
      </c>
      <c r="Q13" s="505">
        <v>13.64</v>
      </c>
      <c r="R13" s="134">
        <v>16.863864611361102</v>
      </c>
      <c r="S13" s="134">
        <v>13.7214020268943</v>
      </c>
      <c r="T13" s="134">
        <v>21.727599768273301</v>
      </c>
      <c r="U13" s="134">
        <v>149.39611527026301</v>
      </c>
      <c r="V13" s="134">
        <v>101.94107739587599</v>
      </c>
      <c r="W13" s="134">
        <v>207.61181130113999</v>
      </c>
      <c r="X13" s="134">
        <v>12.190743117234399</v>
      </c>
      <c r="Y13" s="134">
        <v>6.5378925049379797</v>
      </c>
      <c r="Z13" s="134">
        <v>57.379071319903403</v>
      </c>
      <c r="AA13" s="134">
        <v>11.4562042466259</v>
      </c>
      <c r="AB13" s="134">
        <v>9.7216237782224795</v>
      </c>
      <c r="AC13" s="134">
        <v>13.7587054512811</v>
      </c>
    </row>
    <row r="14" spans="1:29">
      <c r="A14" s="131">
        <v>44927</v>
      </c>
      <c r="B14" s="82">
        <f t="shared" si="0"/>
        <v>2023</v>
      </c>
      <c r="C14" s="134">
        <v>36.245464820011399</v>
      </c>
      <c r="D14" s="134">
        <v>31.0840129897352</v>
      </c>
      <c r="E14" s="134">
        <v>42.578872179720598</v>
      </c>
      <c r="F14" s="674">
        <v>38.199522317166398</v>
      </c>
      <c r="G14" s="134">
        <v>32.2930448046408</v>
      </c>
      <c r="H14" s="134">
        <v>45.648518461393401</v>
      </c>
      <c r="I14" s="134">
        <v>24.3760953524949</v>
      </c>
      <c r="J14" s="134">
        <v>18.784803549120898</v>
      </c>
      <c r="K14" s="134">
        <v>34.489188514612202</v>
      </c>
      <c r="L14" s="134">
        <v>106.996797968698</v>
      </c>
      <c r="M14" s="134">
        <v>76.183080028532402</v>
      </c>
      <c r="N14" s="134">
        <v>152.84432857829799</v>
      </c>
      <c r="O14" s="505">
        <v>14.01</v>
      </c>
      <c r="P14" s="505">
        <v>9.67</v>
      </c>
      <c r="Q14" s="505">
        <v>18.34</v>
      </c>
      <c r="R14" s="134">
        <v>16.737800821783299</v>
      </c>
      <c r="S14" s="134">
        <v>13.325217575345899</v>
      </c>
      <c r="T14" s="134">
        <v>22.3064207840814</v>
      </c>
      <c r="U14" s="134">
        <v>184.34487244345999</v>
      </c>
      <c r="V14" s="134">
        <v>125.747170528753</v>
      </c>
      <c r="W14" s="134">
        <v>256.24155625106602</v>
      </c>
      <c r="X14" s="134">
        <v>14.7947734745481</v>
      </c>
      <c r="Y14" s="134">
        <v>6.86091381842642</v>
      </c>
      <c r="Z14" s="134">
        <v>8684.3734228540907</v>
      </c>
      <c r="AA14" s="134">
        <v>12.657643028241401</v>
      </c>
      <c r="AB14" s="134">
        <v>10.6277059809119</v>
      </c>
      <c r="AC14" s="134">
        <v>15.4053792289276</v>
      </c>
    </row>
    <row r="15" spans="1:29">
      <c r="A15" s="131">
        <v>44958</v>
      </c>
      <c r="B15" s="82">
        <f t="shared" si="0"/>
        <v>2023</v>
      </c>
      <c r="C15" s="134">
        <v>32.164998468911499</v>
      </c>
      <c r="D15" s="134">
        <v>27.7270175964026</v>
      </c>
      <c r="E15" s="134">
        <v>37.572526205444198</v>
      </c>
      <c r="F15" s="134">
        <v>33.692026794258801</v>
      </c>
      <c r="G15" s="134">
        <v>28.680217634077799</v>
      </c>
      <c r="H15" s="134">
        <v>39.950745628308901</v>
      </c>
      <c r="I15" s="134">
        <v>22.4383699221138</v>
      </c>
      <c r="J15" s="134">
        <v>17.610710777367402</v>
      </c>
      <c r="K15" s="134">
        <v>30.753600590714601</v>
      </c>
      <c r="L15" s="134">
        <v>95.837588817356604</v>
      </c>
      <c r="M15" s="134">
        <v>68.665253208411897</v>
      </c>
      <c r="N15" s="134">
        <v>135.96463195830799</v>
      </c>
      <c r="O15" s="505">
        <v>15.15</v>
      </c>
      <c r="P15" s="505">
        <v>10.79</v>
      </c>
      <c r="Q15" s="505">
        <v>19.52</v>
      </c>
      <c r="R15" s="134">
        <v>14.4078932195346</v>
      </c>
      <c r="S15" s="134">
        <v>11.771939027025599</v>
      </c>
      <c r="T15" s="134">
        <v>18.447455929347498</v>
      </c>
      <c r="U15" s="134">
        <v>155.52197153334899</v>
      </c>
      <c r="V15" s="134">
        <v>102.355924602618</v>
      </c>
      <c r="W15" s="134">
        <v>221.90923376584701</v>
      </c>
      <c r="X15" s="134">
        <v>12.7341554089938</v>
      </c>
      <c r="Y15" s="134">
        <v>6.3378125051676797</v>
      </c>
      <c r="Z15" s="134">
        <v>126.935100785749</v>
      </c>
      <c r="AA15" s="134">
        <v>11.8020705174869</v>
      </c>
      <c r="AB15" s="134">
        <v>9.9856562594393097</v>
      </c>
      <c r="AC15" s="134">
        <v>14.226268789912201</v>
      </c>
    </row>
    <row r="16" spans="1:29">
      <c r="A16" s="131">
        <v>44986</v>
      </c>
      <c r="B16" s="82">
        <f t="shared" si="0"/>
        <v>2023</v>
      </c>
      <c r="C16" s="134">
        <v>27.8522913625992</v>
      </c>
      <c r="D16" s="134">
        <v>24.163675930624802</v>
      </c>
      <c r="E16" s="134">
        <v>32.307689333697198</v>
      </c>
      <c r="F16" s="134">
        <v>28.5797760966617</v>
      </c>
      <c r="G16" s="134">
        <v>24.548668658176901</v>
      </c>
      <c r="H16" s="134">
        <v>33.549810863693999</v>
      </c>
      <c r="I16" s="134">
        <v>19.702319879086701</v>
      </c>
      <c r="J16" s="134">
        <v>15.8614404341933</v>
      </c>
      <c r="K16" s="134">
        <v>25.897833392935102</v>
      </c>
      <c r="L16" s="134">
        <v>104.724690221055</v>
      </c>
      <c r="M16" s="134">
        <v>74.722496127644504</v>
      </c>
      <c r="N16" s="134">
        <v>149.251864344475</v>
      </c>
      <c r="O16" s="505">
        <v>16.25</v>
      </c>
      <c r="P16" s="505">
        <v>11.89</v>
      </c>
      <c r="Q16" s="505">
        <v>20.62</v>
      </c>
      <c r="R16" s="134">
        <v>14.376084278018</v>
      </c>
      <c r="S16" s="134">
        <v>11.745514551002801</v>
      </c>
      <c r="T16" s="134">
        <v>18.407750142733502</v>
      </c>
      <c r="U16" s="134">
        <v>158.43960992894799</v>
      </c>
      <c r="V16" s="134">
        <v>104.23289668797401</v>
      </c>
      <c r="W16" s="134">
        <v>226.13999911095499</v>
      </c>
      <c r="X16" s="134">
        <v>11.7063871029473</v>
      </c>
      <c r="Y16" s="134">
        <v>6.0546702814260902</v>
      </c>
      <c r="Z16" s="134">
        <v>74.108628187464703</v>
      </c>
      <c r="AA16" s="134">
        <v>10.246564911970999</v>
      </c>
      <c r="AB16" s="134">
        <v>8.7877718764469304</v>
      </c>
      <c r="AC16" s="134">
        <v>12.1458960983363</v>
      </c>
    </row>
    <row r="17" spans="1:29">
      <c r="A17" s="131">
        <v>45017</v>
      </c>
      <c r="B17" s="82">
        <f t="shared" si="0"/>
        <v>2023</v>
      </c>
      <c r="C17" s="134">
        <v>24.528487550861701</v>
      </c>
      <c r="D17" s="134">
        <v>21.390652475110102</v>
      </c>
      <c r="E17" s="134">
        <v>28.291995187845298</v>
      </c>
      <c r="F17" s="134">
        <v>25.212564318015801</v>
      </c>
      <c r="G17" s="134">
        <v>21.790197833701399</v>
      </c>
      <c r="H17" s="134">
        <v>29.395446577361898</v>
      </c>
      <c r="I17" s="134">
        <v>17.845451094601401</v>
      </c>
      <c r="J17" s="134">
        <v>14.624166629943799</v>
      </c>
      <c r="K17" s="134">
        <v>22.8160064196408</v>
      </c>
      <c r="L17" s="134">
        <v>85.221335676424701</v>
      </c>
      <c r="M17" s="134">
        <v>61.384284705430503</v>
      </c>
      <c r="N17" s="134">
        <v>120.19905792739</v>
      </c>
      <c r="O17" s="505">
        <v>14.12</v>
      </c>
      <c r="P17" s="505">
        <v>9.76</v>
      </c>
      <c r="Q17" s="505">
        <v>18.489999999999998</v>
      </c>
      <c r="R17" s="134">
        <v>13.648131428352301</v>
      </c>
      <c r="S17" s="134">
        <v>11.216544465362899</v>
      </c>
      <c r="T17" s="134">
        <v>17.323317732544499</v>
      </c>
      <c r="U17" s="134">
        <v>117.807137506655</v>
      </c>
      <c r="V17" s="134">
        <v>72.573934381241003</v>
      </c>
      <c r="W17" s="134">
        <v>176.11121667082199</v>
      </c>
      <c r="X17" s="134">
        <v>9.8102943862480494</v>
      </c>
      <c r="Y17" s="134">
        <v>5.4725975703955099</v>
      </c>
      <c r="Z17" s="134">
        <v>36.166308154652199</v>
      </c>
      <c r="AA17" s="134">
        <v>9.6666354717205696</v>
      </c>
      <c r="AB17" s="134">
        <v>8.3345717002060393</v>
      </c>
      <c r="AC17" s="134">
        <v>11.3843381310051</v>
      </c>
    </row>
    <row r="18" spans="1:29">
      <c r="A18" s="131">
        <v>45047</v>
      </c>
      <c r="B18" s="82">
        <f t="shared" si="0"/>
        <v>2023</v>
      </c>
      <c r="C18" s="134">
        <v>18.217326744929</v>
      </c>
      <c r="D18" s="134">
        <v>16.070453740763298</v>
      </c>
      <c r="E18" s="134">
        <v>20.752479880156599</v>
      </c>
      <c r="F18" s="134">
        <v>19.430576141962199</v>
      </c>
      <c r="G18" s="134">
        <v>16.997898462921601</v>
      </c>
      <c r="H18" s="134">
        <v>22.353438774380201</v>
      </c>
      <c r="I18" s="134">
        <v>12.912355443988799</v>
      </c>
      <c r="J18" s="134">
        <v>11.1144008085701</v>
      </c>
      <c r="K18" s="134">
        <v>15.380363394663</v>
      </c>
      <c r="L18" s="134">
        <v>38.983388987257896</v>
      </c>
      <c r="M18" s="134">
        <v>29.031360807957999</v>
      </c>
      <c r="N18" s="134">
        <v>53.015468054640102</v>
      </c>
      <c r="O18" s="505">
        <v>14.46</v>
      </c>
      <c r="P18" s="505">
        <v>10.1</v>
      </c>
      <c r="Q18" s="505">
        <v>18.829999999999998</v>
      </c>
      <c r="R18" s="134">
        <v>12.958112017504</v>
      </c>
      <c r="S18" s="134">
        <v>10.7112296105451</v>
      </c>
      <c r="T18" s="134">
        <v>16.3083236418783</v>
      </c>
      <c r="U18" s="134">
        <v>61.095046237116598</v>
      </c>
      <c r="V18" s="134">
        <v>31.350556147020001</v>
      </c>
      <c r="W18" s="134">
        <v>102.77457715011499</v>
      </c>
      <c r="X18" s="134">
        <v>7.3523910706139102</v>
      </c>
      <c r="Y18" s="134">
        <v>4.5736488098373203</v>
      </c>
      <c r="Z18" s="134">
        <v>17.133845206013198</v>
      </c>
      <c r="AA18" s="134">
        <v>8.0107654725429995</v>
      </c>
      <c r="AB18" s="134">
        <v>7.0174597118704902</v>
      </c>
      <c r="AC18" s="134">
        <v>9.2555704438360493</v>
      </c>
    </row>
    <row r="19" spans="1:29">
      <c r="A19" s="131">
        <v>45078</v>
      </c>
      <c r="B19" s="82">
        <f t="shared" si="0"/>
        <v>2023</v>
      </c>
      <c r="C19" s="134">
        <v>15.413184035026299</v>
      </c>
      <c r="D19" s="134">
        <v>13.6789319271707</v>
      </c>
      <c r="E19" s="134">
        <v>17.444482885014899</v>
      </c>
      <c r="F19" s="134">
        <v>16.301405299284799</v>
      </c>
      <c r="G19" s="134">
        <v>14.369119203533399</v>
      </c>
      <c r="H19" s="134">
        <v>18.598430119698801</v>
      </c>
      <c r="I19" s="134">
        <v>12.033182193299201</v>
      </c>
      <c r="J19" s="134">
        <v>10.452278132016</v>
      </c>
      <c r="K19" s="134">
        <v>14.1585253939433</v>
      </c>
      <c r="L19" s="134">
        <v>28.054403743395099</v>
      </c>
      <c r="M19" s="134">
        <v>21.1660269851794</v>
      </c>
      <c r="N19" s="134">
        <v>37.617347759557703</v>
      </c>
      <c r="O19" s="505">
        <v>12.14</v>
      </c>
      <c r="P19" s="505">
        <v>7.78</v>
      </c>
      <c r="Q19" s="505">
        <v>16.510000000000002</v>
      </c>
      <c r="R19" s="134">
        <v>12.590184855521899</v>
      </c>
      <c r="S19" s="134">
        <v>10.4292573121238</v>
      </c>
      <c r="T19" s="134">
        <v>15.796266856488399</v>
      </c>
      <c r="U19" s="134">
        <v>42.071784586277801</v>
      </c>
      <c r="V19" s="134">
        <v>18.7669642708534</v>
      </c>
      <c r="W19" s="134">
        <v>76.748126496298298</v>
      </c>
      <c r="X19" s="134">
        <v>5.3777221083575997</v>
      </c>
      <c r="Y19" s="134">
        <v>3.6936438696149398</v>
      </c>
      <c r="Z19" s="134">
        <v>9.5259491460143693</v>
      </c>
      <c r="AA19" s="134">
        <v>7.8109317236053899</v>
      </c>
      <c r="AB19" s="134">
        <v>6.8561511689721604</v>
      </c>
      <c r="AC19" s="134">
        <v>9.0031760955722699</v>
      </c>
    </row>
    <row r="20" spans="1:29">
      <c r="A20" s="131">
        <v>45108</v>
      </c>
      <c r="B20" s="82">
        <f t="shared" si="0"/>
        <v>2023</v>
      </c>
      <c r="C20" s="134">
        <v>13.7273662181908</v>
      </c>
      <c r="D20" s="134">
        <v>12.2317120276204</v>
      </c>
      <c r="E20" s="134">
        <v>15.469753436954999</v>
      </c>
      <c r="F20" s="134">
        <v>14.3495387006847</v>
      </c>
      <c r="G20" s="134">
        <v>12.715138988362501</v>
      </c>
      <c r="H20" s="134">
        <v>16.278218990060999</v>
      </c>
      <c r="I20" s="134">
        <v>11.446175225203399</v>
      </c>
      <c r="J20" s="134">
        <v>10.0035746887076</v>
      </c>
      <c r="K20" s="134">
        <v>13.358791481413</v>
      </c>
      <c r="L20" s="134">
        <v>24.6850270548791</v>
      </c>
      <c r="M20" s="134">
        <v>18.715553922816099</v>
      </c>
      <c r="N20" s="134">
        <v>32.9240286347016</v>
      </c>
      <c r="O20" s="505">
        <v>9.7799999999999994</v>
      </c>
      <c r="P20" s="505">
        <v>5.42</v>
      </c>
      <c r="Q20" s="505">
        <v>14.15</v>
      </c>
      <c r="R20" s="134">
        <v>12.5104926536963</v>
      </c>
      <c r="S20" s="134">
        <v>10.3495189113517</v>
      </c>
      <c r="T20" s="134">
        <v>15.726577380079201</v>
      </c>
      <c r="U20" s="134">
        <v>36.646490815763698</v>
      </c>
      <c r="V20" s="134">
        <v>15.348323327572601</v>
      </c>
      <c r="W20" s="134">
        <v>69.170023956362002</v>
      </c>
      <c r="X20" s="134">
        <v>3.9173020380375299</v>
      </c>
      <c r="Y20" s="134">
        <v>2.9205949543177399</v>
      </c>
      <c r="Z20" s="134">
        <v>5.8451198918637601</v>
      </c>
      <c r="AA20" s="134">
        <v>7.7223188978122703</v>
      </c>
      <c r="AB20" s="134">
        <v>6.7844511674363801</v>
      </c>
      <c r="AC20" s="134">
        <v>8.8915721110787906</v>
      </c>
    </row>
    <row r="21" spans="1:29">
      <c r="A21" s="131">
        <v>45139</v>
      </c>
      <c r="B21" s="82">
        <f t="shared" si="0"/>
        <v>2023</v>
      </c>
      <c r="C21" s="134">
        <v>12.666043518213</v>
      </c>
      <c r="D21" s="134">
        <v>11.3166001947054</v>
      </c>
      <c r="E21" s="134">
        <v>14.2323779473665</v>
      </c>
      <c r="F21" s="134">
        <v>13.2112888504978</v>
      </c>
      <c r="G21" s="134">
        <v>11.7450484672916</v>
      </c>
      <c r="H21" s="134">
        <v>14.933599574501701</v>
      </c>
      <c r="I21" s="134">
        <v>10.743075853776199</v>
      </c>
      <c r="J21" s="134">
        <v>9.4589835880920994</v>
      </c>
      <c r="K21" s="134">
        <v>12.4173851312963</v>
      </c>
      <c r="L21" s="134">
        <v>21.8186452736606</v>
      </c>
      <c r="M21" s="134">
        <v>16.6194983592741</v>
      </c>
      <c r="N21" s="134">
        <v>28.954846354730801</v>
      </c>
      <c r="O21" s="505">
        <v>9.06</v>
      </c>
      <c r="P21" s="505">
        <v>4.7</v>
      </c>
      <c r="Q21" s="505">
        <v>13.43</v>
      </c>
      <c r="R21" s="134">
        <v>11.7667474577745</v>
      </c>
      <c r="S21" s="134">
        <v>9.8047870104050698</v>
      </c>
      <c r="T21" s="134">
        <v>14.6380274191252</v>
      </c>
      <c r="U21" s="134">
        <v>31.534914824124701</v>
      </c>
      <c r="V21" s="134">
        <v>12.263525720411099</v>
      </c>
      <c r="W21" s="134">
        <v>61.850847079973903</v>
      </c>
      <c r="X21" s="134">
        <v>3.8086581657067402</v>
      </c>
      <c r="Y21" s="134">
        <v>2.8580197903679898</v>
      </c>
      <c r="Z21" s="134">
        <v>5.6153535489715303</v>
      </c>
      <c r="AA21" s="134">
        <v>7.3778183001357203</v>
      </c>
      <c r="AB21" s="134">
        <v>6.5046976771499398</v>
      </c>
      <c r="AC21" s="134">
        <v>8.4595326115430094</v>
      </c>
    </row>
    <row r="22" spans="1:29">
      <c r="A22" s="131">
        <v>45170</v>
      </c>
      <c r="B22" s="82">
        <f t="shared" si="0"/>
        <v>2023</v>
      </c>
      <c r="C22" s="134">
        <v>13.4973569462445</v>
      </c>
      <c r="D22" s="134">
        <v>12.0268233386841</v>
      </c>
      <c r="E22" s="134">
        <v>15.2104679792819</v>
      </c>
      <c r="F22" s="134">
        <v>14.250689275631499</v>
      </c>
      <c r="G22" s="134">
        <v>12.6235422103298</v>
      </c>
      <c r="H22" s="134">
        <v>16.171664213617799</v>
      </c>
      <c r="I22" s="134">
        <v>11.164489567025299</v>
      </c>
      <c r="J22" s="134">
        <v>9.7863377158633291</v>
      </c>
      <c r="K22" s="134">
        <v>12.979495975092201</v>
      </c>
      <c r="L22" s="134">
        <v>20.7575723541778</v>
      </c>
      <c r="M22" s="134">
        <v>15.840668421559799</v>
      </c>
      <c r="N22" s="134">
        <v>27.491488627576199</v>
      </c>
      <c r="O22" s="505">
        <v>8.3800000000000008</v>
      </c>
      <c r="P22" s="505">
        <v>4.01</v>
      </c>
      <c r="Q22" s="505">
        <v>12.74</v>
      </c>
      <c r="R22" s="134">
        <v>12.5403231965633</v>
      </c>
      <c r="S22" s="134">
        <v>10.323447862558901</v>
      </c>
      <c r="T22" s="134">
        <v>15.8777494942237</v>
      </c>
      <c r="U22" s="134">
        <v>27.1478105352234</v>
      </c>
      <c r="V22" s="134">
        <v>9.7360265813733999</v>
      </c>
      <c r="W22" s="134">
        <v>55.414202823233701</v>
      </c>
      <c r="X22" s="134">
        <v>5.5161845203209801</v>
      </c>
      <c r="Y22" s="134">
        <v>3.7609938276839499</v>
      </c>
      <c r="Z22" s="134">
        <v>9.9431076731490808</v>
      </c>
      <c r="AA22" s="134">
        <v>7.7866146165253198</v>
      </c>
      <c r="AB22" s="134">
        <v>6.83648570326607</v>
      </c>
      <c r="AC22" s="134">
        <v>8.9725304942218003</v>
      </c>
    </row>
    <row r="23" spans="1:29">
      <c r="A23" s="131">
        <v>45200</v>
      </c>
      <c r="B23" s="82">
        <f t="shared" si="0"/>
        <v>2023</v>
      </c>
      <c r="C23" s="134">
        <v>14.6254662115016</v>
      </c>
      <c r="D23" s="134">
        <v>13.003589630299</v>
      </c>
      <c r="E23" s="134">
        <v>16.5204610188479</v>
      </c>
      <c r="F23" s="134">
        <v>15.189780446719899</v>
      </c>
      <c r="G23" s="134">
        <v>13.428500356227</v>
      </c>
      <c r="H23" s="134">
        <v>17.274947888433601</v>
      </c>
      <c r="I23" s="134">
        <v>11.6260732435296</v>
      </c>
      <c r="J23" s="134">
        <v>10.141647143745899</v>
      </c>
      <c r="K23" s="134">
        <v>13.6025578130719</v>
      </c>
      <c r="L23" s="134">
        <v>31.511221393477701</v>
      </c>
      <c r="M23" s="134">
        <v>23.6665788536143</v>
      </c>
      <c r="N23" s="134">
        <v>42.460669191086403</v>
      </c>
      <c r="O23" s="505">
        <v>9.1199999999999992</v>
      </c>
      <c r="P23" s="505">
        <v>4.76</v>
      </c>
      <c r="Q23" s="505">
        <v>13.49</v>
      </c>
      <c r="R23" s="134">
        <v>12.4993657560304</v>
      </c>
      <c r="S23" s="134">
        <v>10.272402055613</v>
      </c>
      <c r="T23" s="134">
        <v>15.865311110522301</v>
      </c>
      <c r="U23" s="134">
        <v>43.576582391491101</v>
      </c>
      <c r="V23" s="134">
        <v>19.450340155496001</v>
      </c>
      <c r="W23" s="134">
        <v>79.465822903784897</v>
      </c>
      <c r="X23" s="134">
        <v>6.04982307935144</v>
      </c>
      <c r="Y23" s="134">
        <v>4.0120482020927</v>
      </c>
      <c r="Z23" s="134">
        <v>11.689434584458001</v>
      </c>
      <c r="AA23" s="134">
        <v>7.7374688466945498</v>
      </c>
      <c r="AB23" s="134">
        <v>6.7967099307569203</v>
      </c>
      <c r="AC23" s="134">
        <v>8.9106500802295194</v>
      </c>
    </row>
    <row r="24" spans="1:29">
      <c r="A24" s="131">
        <v>45231</v>
      </c>
      <c r="B24" s="82">
        <f t="shared" si="0"/>
        <v>2023</v>
      </c>
      <c r="C24" s="134">
        <v>19.834132325324902</v>
      </c>
      <c r="D24" s="134">
        <v>17.441115918095001</v>
      </c>
      <c r="E24" s="134">
        <v>22.672148875665801</v>
      </c>
      <c r="F24" s="134">
        <v>20.441080132837602</v>
      </c>
      <c r="G24" s="134">
        <v>17.840814229597701</v>
      </c>
      <c r="H24" s="134">
        <v>23.5754287141832</v>
      </c>
      <c r="I24" s="134">
        <v>14.768718264821301</v>
      </c>
      <c r="J24" s="134">
        <v>12.474426625302099</v>
      </c>
      <c r="K24" s="134">
        <v>18.0598560729158</v>
      </c>
      <c r="L24" s="134">
        <v>56.266838499733502</v>
      </c>
      <c r="M24" s="134">
        <v>41.2668481536288</v>
      </c>
      <c r="N24" s="134">
        <v>77.806291210524904</v>
      </c>
      <c r="O24" s="505">
        <v>8.92</v>
      </c>
      <c r="P24" s="505">
        <v>4.55</v>
      </c>
      <c r="Q24" s="505">
        <v>13.28</v>
      </c>
      <c r="R24" s="134">
        <v>12.749505329158801</v>
      </c>
      <c r="S24" s="134">
        <v>10.4214218798073</v>
      </c>
      <c r="T24" s="134">
        <v>16.3136307369554</v>
      </c>
      <c r="U24" s="134">
        <v>83.279078606178999</v>
      </c>
      <c r="V24" s="134">
        <v>46.2094172877121</v>
      </c>
      <c r="W24" s="134">
        <v>133.43703322336199</v>
      </c>
      <c r="X24" s="134">
        <v>10.0047201806393</v>
      </c>
      <c r="Y24" s="134">
        <v>5.5362504195765601</v>
      </c>
      <c r="Z24" s="134">
        <v>38.587003420690699</v>
      </c>
      <c r="AA24" s="134">
        <v>8.9945190926446994</v>
      </c>
      <c r="AB24" s="134">
        <v>7.8038089444453496</v>
      </c>
      <c r="AC24" s="134">
        <v>10.512680753575999</v>
      </c>
    </row>
    <row r="25" spans="1:29">
      <c r="A25" s="131">
        <v>45261</v>
      </c>
      <c r="B25" s="82">
        <f t="shared" si="0"/>
        <v>2023</v>
      </c>
      <c r="C25" s="134">
        <v>28.513746441457599</v>
      </c>
      <c r="D25" s="134">
        <v>24.703538196833801</v>
      </c>
      <c r="E25" s="134">
        <v>33.124634966612298</v>
      </c>
      <c r="F25" s="134">
        <v>29.902431607068699</v>
      </c>
      <c r="G25" s="134">
        <v>25.6074813174356</v>
      </c>
      <c r="H25" s="134">
        <v>35.220437733503999</v>
      </c>
      <c r="I25" s="134">
        <v>20.3088414198957</v>
      </c>
      <c r="J25" s="134">
        <v>16.2571474757085</v>
      </c>
      <c r="K25" s="134">
        <v>26.939397274068</v>
      </c>
      <c r="L25" s="134">
        <v>76.866280209782303</v>
      </c>
      <c r="M25" s="134">
        <v>55.621416076443097</v>
      </c>
      <c r="N25" s="134">
        <v>107.86877104583699</v>
      </c>
      <c r="O25" s="505">
        <v>9.52</v>
      </c>
      <c r="P25" s="505">
        <v>5.16</v>
      </c>
      <c r="Q25" s="505">
        <v>13.89</v>
      </c>
      <c r="R25" s="134">
        <v>15.9673188251583</v>
      </c>
      <c r="S25" s="134">
        <v>12.5001999560944</v>
      </c>
      <c r="T25" s="134">
        <v>21.866882746263698</v>
      </c>
      <c r="U25" s="134">
        <v>148.757316255944</v>
      </c>
      <c r="V25" s="134">
        <v>94.931653079708198</v>
      </c>
      <c r="W25" s="134">
        <v>216.97804693509701</v>
      </c>
      <c r="X25" s="134">
        <v>12.4872452334918</v>
      </c>
      <c r="Y25" s="134">
        <v>6.27182249594851</v>
      </c>
      <c r="Z25" s="134">
        <v>109.615516618763</v>
      </c>
      <c r="AA25" s="134">
        <v>11.4562042466259</v>
      </c>
      <c r="AB25" s="134">
        <v>9.7216237782224795</v>
      </c>
      <c r="AC25" s="134">
        <v>13.7587054512811</v>
      </c>
    </row>
    <row r="26" spans="1:29">
      <c r="A26" s="131">
        <v>45292</v>
      </c>
      <c r="B26" s="82">
        <f t="shared" si="0"/>
        <v>2024</v>
      </c>
      <c r="C26" s="134">
        <v>36.245464820011399</v>
      </c>
      <c r="D26" s="134">
        <v>31.0840129897352</v>
      </c>
      <c r="E26" s="134">
        <v>42.578872179720598</v>
      </c>
      <c r="F26" s="674">
        <v>38.199522317166398</v>
      </c>
      <c r="G26" s="134">
        <v>32.2930448046408</v>
      </c>
      <c r="H26" s="134">
        <v>45.648518461393401</v>
      </c>
      <c r="I26" s="134">
        <v>24.3760953524949</v>
      </c>
      <c r="J26" s="134">
        <v>18.784803549120898</v>
      </c>
      <c r="K26" s="134">
        <v>34.489188514612202</v>
      </c>
      <c r="L26" s="134">
        <v>106.996797968698</v>
      </c>
      <c r="M26" s="134">
        <v>76.183080028532402</v>
      </c>
      <c r="N26" s="134">
        <v>152.84432857829799</v>
      </c>
      <c r="O26" s="505">
        <v>14.01</v>
      </c>
      <c r="P26" s="505">
        <v>9.44</v>
      </c>
      <c r="Q26" s="505">
        <v>18.57</v>
      </c>
      <c r="R26" s="134">
        <v>16.214617617774898</v>
      </c>
      <c r="S26" s="134">
        <v>12.494141140613401</v>
      </c>
      <c r="T26" s="134">
        <v>22.807136102054798</v>
      </c>
      <c r="U26" s="134">
        <v>183.67750705355701</v>
      </c>
      <c r="V26" s="134">
        <v>118.67920488615</v>
      </c>
      <c r="W26" s="134">
        <v>265.56795820711397</v>
      </c>
      <c r="X26" s="134">
        <v>14.848748683549699</v>
      </c>
      <c r="Y26" s="134">
        <v>6.7938795485475696</v>
      </c>
      <c r="Z26" s="134" t="s">
        <v>1042</v>
      </c>
      <c r="AA26" s="134">
        <v>12.657643028241401</v>
      </c>
      <c r="AB26" s="134">
        <v>10.6277059809119</v>
      </c>
      <c r="AC26" s="134">
        <v>15.4053792289276</v>
      </c>
    </row>
    <row r="27" spans="1:29">
      <c r="A27" s="131">
        <v>45323</v>
      </c>
      <c r="B27" s="82">
        <f t="shared" si="0"/>
        <v>2024</v>
      </c>
      <c r="C27" s="134">
        <v>32.164998468911499</v>
      </c>
      <c r="D27" s="134">
        <v>27.7270175964026</v>
      </c>
      <c r="E27" s="134">
        <v>37.572526205444198</v>
      </c>
      <c r="F27" s="134">
        <v>33.692026794258801</v>
      </c>
      <c r="G27" s="134">
        <v>28.680217634077799</v>
      </c>
      <c r="H27" s="134">
        <v>39.950745628308901</v>
      </c>
      <c r="I27" s="134">
        <v>22.4383699221138</v>
      </c>
      <c r="J27" s="134">
        <v>17.610710777367402</v>
      </c>
      <c r="K27" s="134">
        <v>30.753600590714601</v>
      </c>
      <c r="L27" s="134">
        <v>95.837588817356604</v>
      </c>
      <c r="M27" s="134">
        <v>68.665253208411897</v>
      </c>
      <c r="N27" s="134">
        <v>135.96463195830799</v>
      </c>
      <c r="O27" s="505">
        <v>15.15</v>
      </c>
      <c r="P27" s="505">
        <v>10.55</v>
      </c>
      <c r="Q27" s="505">
        <v>19.75</v>
      </c>
      <c r="R27" s="134">
        <v>14.137441371242099</v>
      </c>
      <c r="S27" s="134">
        <v>11.180129353815</v>
      </c>
      <c r="T27" s="134">
        <v>19.0435968739503</v>
      </c>
      <c r="U27" s="134">
        <v>154.96248617561301</v>
      </c>
      <c r="V27" s="134">
        <v>96.255163597454597</v>
      </c>
      <c r="W27" s="134">
        <v>230.33799898712601</v>
      </c>
      <c r="X27" s="134">
        <v>12.7341554089938</v>
      </c>
      <c r="Y27" s="134">
        <v>6.2778747177410699</v>
      </c>
      <c r="Z27" s="134">
        <v>147.69455370533899</v>
      </c>
      <c r="AA27" s="134">
        <v>11.8020705174869</v>
      </c>
      <c r="AB27" s="134">
        <v>9.9856562594393097</v>
      </c>
      <c r="AC27" s="134">
        <v>14.226268789912201</v>
      </c>
    </row>
    <row r="28" spans="1:29">
      <c r="A28" s="131">
        <v>45352</v>
      </c>
      <c r="B28" s="82">
        <f t="shared" si="0"/>
        <v>2024</v>
      </c>
      <c r="C28" s="134">
        <v>27.8522913625992</v>
      </c>
      <c r="D28" s="134">
        <v>24.163675930624802</v>
      </c>
      <c r="E28" s="134">
        <v>32.307689333697198</v>
      </c>
      <c r="F28" s="134">
        <v>28.5797760966617</v>
      </c>
      <c r="G28" s="134">
        <v>24.548668658176901</v>
      </c>
      <c r="H28" s="134">
        <v>33.549810863693999</v>
      </c>
      <c r="I28" s="134">
        <v>19.702319879086701</v>
      </c>
      <c r="J28" s="134">
        <v>15.8614404341933</v>
      </c>
      <c r="K28" s="134">
        <v>25.897833392935102</v>
      </c>
      <c r="L28" s="134">
        <v>104.724690221055</v>
      </c>
      <c r="M28" s="134">
        <v>74.722496127644504</v>
      </c>
      <c r="N28" s="134">
        <v>149.251864344475</v>
      </c>
      <c r="O28" s="505">
        <v>16.25</v>
      </c>
      <c r="P28" s="505">
        <v>11.66</v>
      </c>
      <c r="Q28" s="505">
        <v>20.85</v>
      </c>
      <c r="R28" s="134">
        <v>14.033172525527901</v>
      </c>
      <c r="S28" s="134">
        <v>11.098224382612999</v>
      </c>
      <c r="T28" s="134">
        <v>18.901623403607001</v>
      </c>
      <c r="U28" s="134">
        <v>157.916470877677</v>
      </c>
      <c r="V28" s="134">
        <v>98.209675537903195</v>
      </c>
      <c r="W28" s="134">
        <v>234.530792767039</v>
      </c>
      <c r="X28" s="134">
        <v>11.7063871029473</v>
      </c>
      <c r="Y28" s="134">
        <v>5.9996976445493404</v>
      </c>
      <c r="Z28" s="134">
        <v>81.157544577307803</v>
      </c>
      <c r="AA28" s="134">
        <v>10.246564911970999</v>
      </c>
      <c r="AB28" s="134">
        <v>8.7877718764469304</v>
      </c>
      <c r="AC28" s="134">
        <v>12.1458960983363</v>
      </c>
    </row>
    <row r="29" spans="1:29">
      <c r="A29" s="131">
        <v>45383</v>
      </c>
      <c r="B29" s="82">
        <f t="shared" si="0"/>
        <v>2024</v>
      </c>
      <c r="C29" s="134">
        <v>24.528487550861701</v>
      </c>
      <c r="D29" s="134">
        <v>21.390652475110102</v>
      </c>
      <c r="E29" s="134">
        <v>28.291995187845298</v>
      </c>
      <c r="F29" s="134">
        <v>25.212564318015801</v>
      </c>
      <c r="G29" s="134">
        <v>21.790197833701399</v>
      </c>
      <c r="H29" s="134">
        <v>29.395446577361898</v>
      </c>
      <c r="I29" s="134">
        <v>17.845451094601401</v>
      </c>
      <c r="J29" s="134">
        <v>14.624166629943799</v>
      </c>
      <c r="K29" s="134">
        <v>22.8160064196408</v>
      </c>
      <c r="L29" s="134">
        <v>85.221335676424701</v>
      </c>
      <c r="M29" s="134">
        <v>61.384284705430503</v>
      </c>
      <c r="N29" s="134">
        <v>120.19905792739</v>
      </c>
      <c r="O29" s="505">
        <v>14.12</v>
      </c>
      <c r="P29" s="505">
        <v>9.52</v>
      </c>
      <c r="Q29" s="505">
        <v>18.72</v>
      </c>
      <c r="R29" s="134">
        <v>13.342120234963</v>
      </c>
      <c r="S29" s="134">
        <v>10.6208199442687</v>
      </c>
      <c r="T29" s="134">
        <v>17.783787813000298</v>
      </c>
      <c r="U29" s="134">
        <v>117.399477450893</v>
      </c>
      <c r="V29" s="134">
        <v>67.801550242495395</v>
      </c>
      <c r="W29" s="134">
        <v>183.28989366856601</v>
      </c>
      <c r="X29" s="134">
        <v>9.8102943862480494</v>
      </c>
      <c r="Y29" s="134">
        <v>5.4271959431634302</v>
      </c>
      <c r="Z29" s="134">
        <v>37.8958798054596</v>
      </c>
      <c r="AA29" s="134">
        <v>9.6666354717205696</v>
      </c>
      <c r="AB29" s="134">
        <v>8.3345717002060393</v>
      </c>
      <c r="AC29" s="134">
        <v>11.3843381310051</v>
      </c>
    </row>
    <row r="30" spans="1:29">
      <c r="A30" s="131">
        <v>45413</v>
      </c>
      <c r="B30" s="82">
        <f t="shared" si="0"/>
        <v>2024</v>
      </c>
      <c r="C30" s="134">
        <v>18.217326744929</v>
      </c>
      <c r="D30" s="134">
        <v>16.070453740763298</v>
      </c>
      <c r="E30" s="134">
        <v>20.752479880156599</v>
      </c>
      <c r="F30" s="134">
        <v>19.430576141962199</v>
      </c>
      <c r="G30" s="134">
        <v>16.997898462921601</v>
      </c>
      <c r="H30" s="134">
        <v>22.353438774380201</v>
      </c>
      <c r="I30" s="134">
        <v>12.912355443988799</v>
      </c>
      <c r="J30" s="134">
        <v>11.1144008085701</v>
      </c>
      <c r="K30" s="134">
        <v>15.380363394663</v>
      </c>
      <c r="L30" s="134">
        <v>38.983388987257896</v>
      </c>
      <c r="M30" s="134">
        <v>29.031360807957999</v>
      </c>
      <c r="N30" s="134">
        <v>53.015468054640102</v>
      </c>
      <c r="O30" s="505">
        <v>14.46</v>
      </c>
      <c r="P30" s="505">
        <v>9.86</v>
      </c>
      <c r="Q30" s="505">
        <v>19.059999999999999</v>
      </c>
      <c r="R30" s="134">
        <v>12.7030923145998</v>
      </c>
      <c r="S30" s="134">
        <v>10.1748894082893</v>
      </c>
      <c r="T30" s="134">
        <v>16.7674258237694</v>
      </c>
      <c r="U30" s="134">
        <v>60.837167607503297</v>
      </c>
      <c r="V30" s="134">
        <v>28.4897876829091</v>
      </c>
      <c r="W30" s="134">
        <v>107.99354907114</v>
      </c>
      <c r="X30" s="134">
        <v>7.3523910706139102</v>
      </c>
      <c r="Y30" s="134">
        <v>4.5413252173499599</v>
      </c>
      <c r="Z30" s="134">
        <v>17.5430759782069</v>
      </c>
      <c r="AA30" s="134">
        <v>8.0107654725429995</v>
      </c>
      <c r="AB30" s="134">
        <v>7.0174597118704902</v>
      </c>
      <c r="AC30" s="134">
        <v>9.2555704438360493</v>
      </c>
    </row>
    <row r="31" spans="1:29">
      <c r="A31" s="131">
        <v>45444</v>
      </c>
      <c r="B31" s="82">
        <f t="shared" si="0"/>
        <v>2024</v>
      </c>
      <c r="C31" s="134">
        <v>15.413184035026299</v>
      </c>
      <c r="D31" s="134">
        <v>13.6789319271707</v>
      </c>
      <c r="E31" s="134">
        <v>17.444482885014899</v>
      </c>
      <c r="F31" s="134">
        <v>16.301405299284799</v>
      </c>
      <c r="G31" s="134">
        <v>14.369119203533399</v>
      </c>
      <c r="H31" s="134">
        <v>18.598430119698801</v>
      </c>
      <c r="I31" s="134">
        <v>12.033182193299201</v>
      </c>
      <c r="J31" s="134">
        <v>10.452278132016</v>
      </c>
      <c r="K31" s="134">
        <v>14.1585253939433</v>
      </c>
      <c r="L31" s="134">
        <v>28.054403743395099</v>
      </c>
      <c r="M31" s="134">
        <v>21.1660269851794</v>
      </c>
      <c r="N31" s="134">
        <v>37.617347759557703</v>
      </c>
      <c r="O31" s="505">
        <v>12.14</v>
      </c>
      <c r="P31" s="505">
        <v>7.54</v>
      </c>
      <c r="Q31" s="505">
        <v>16.739999999999998</v>
      </c>
      <c r="R31" s="134">
        <v>12.310322737902</v>
      </c>
      <c r="S31" s="134">
        <v>9.8895945712532498</v>
      </c>
      <c r="T31" s="134">
        <v>16.173834164801502</v>
      </c>
      <c r="U31" s="134">
        <v>41.879563074869701</v>
      </c>
      <c r="V31" s="134">
        <v>16.687925043548599</v>
      </c>
      <c r="W31" s="134">
        <v>81.127650043977695</v>
      </c>
      <c r="X31" s="134">
        <v>5.3777221083575997</v>
      </c>
      <c r="Y31" s="134">
        <v>3.6720812197870698</v>
      </c>
      <c r="Z31" s="134">
        <v>9.6588616347158105</v>
      </c>
      <c r="AA31" s="134">
        <v>7.8109317236053899</v>
      </c>
      <c r="AB31" s="134">
        <v>6.8561511689721604</v>
      </c>
      <c r="AC31" s="134">
        <v>9.0031760955722699</v>
      </c>
    </row>
    <row r="32" spans="1:29">
      <c r="A32" s="131">
        <v>45474</v>
      </c>
      <c r="B32" s="82">
        <f t="shared" si="0"/>
        <v>2024</v>
      </c>
      <c r="C32" s="134">
        <v>13.7273662181908</v>
      </c>
      <c r="D32" s="134">
        <v>12.2317120276204</v>
      </c>
      <c r="E32" s="134">
        <v>15.469753436954999</v>
      </c>
      <c r="F32" s="134">
        <v>14.3495387006847</v>
      </c>
      <c r="G32" s="134">
        <v>12.715138988362501</v>
      </c>
      <c r="H32" s="134">
        <v>16.278218990060999</v>
      </c>
      <c r="I32" s="134">
        <v>11.446175225203399</v>
      </c>
      <c r="J32" s="134">
        <v>10.0035746887076</v>
      </c>
      <c r="K32" s="134">
        <v>13.358791481413</v>
      </c>
      <c r="L32" s="134">
        <v>24.6850270548791</v>
      </c>
      <c r="M32" s="134">
        <v>18.715553922816099</v>
      </c>
      <c r="N32" s="134">
        <v>32.9240286347016</v>
      </c>
      <c r="O32" s="505">
        <v>9.7799999999999994</v>
      </c>
      <c r="P32" s="505">
        <v>5.18</v>
      </c>
      <c r="Q32" s="505">
        <v>14.38</v>
      </c>
      <c r="R32" s="134">
        <v>12.2485764267389</v>
      </c>
      <c r="S32" s="134">
        <v>9.8232331399671793</v>
      </c>
      <c r="T32" s="134">
        <v>16.135552942855298</v>
      </c>
      <c r="U32" s="134">
        <v>36.482332597257901</v>
      </c>
      <c r="V32" s="134">
        <v>13.5284879586562</v>
      </c>
      <c r="W32" s="134">
        <v>73.269226165835306</v>
      </c>
      <c r="X32" s="134">
        <v>3.9173020380375299</v>
      </c>
      <c r="Y32" s="134">
        <v>2.9067784015844702</v>
      </c>
      <c r="Z32" s="134">
        <v>5.8974222640062397</v>
      </c>
      <c r="AA32" s="134">
        <v>7.7223188978122703</v>
      </c>
      <c r="AB32" s="134">
        <v>6.7844511674363801</v>
      </c>
      <c r="AC32" s="134">
        <v>8.8915721110787906</v>
      </c>
    </row>
    <row r="33" spans="1:29">
      <c r="A33" s="131">
        <v>45505</v>
      </c>
      <c r="B33" s="82">
        <f t="shared" si="0"/>
        <v>2024</v>
      </c>
      <c r="C33" s="134">
        <v>12.666043518213</v>
      </c>
      <c r="D33" s="134">
        <v>11.3166001947054</v>
      </c>
      <c r="E33" s="134">
        <v>14.2323779473665</v>
      </c>
      <c r="F33" s="134">
        <v>13.2112888504978</v>
      </c>
      <c r="G33" s="134">
        <v>11.7450484672916</v>
      </c>
      <c r="H33" s="134">
        <v>14.933599574501701</v>
      </c>
      <c r="I33" s="134">
        <v>10.743075853776199</v>
      </c>
      <c r="J33" s="134">
        <v>9.4589835880920994</v>
      </c>
      <c r="K33" s="134">
        <v>12.4173851312963</v>
      </c>
      <c r="L33" s="134">
        <v>21.8186452736606</v>
      </c>
      <c r="M33" s="134">
        <v>16.6194983592741</v>
      </c>
      <c r="N33" s="134">
        <v>28.954846354730801</v>
      </c>
      <c r="O33" s="505">
        <v>9.06</v>
      </c>
      <c r="P33" s="505">
        <v>4.46</v>
      </c>
      <c r="Q33" s="505">
        <v>13.66</v>
      </c>
      <c r="R33" s="134">
        <v>11.558692523790301</v>
      </c>
      <c r="S33" s="134">
        <v>9.3422155133361908</v>
      </c>
      <c r="T33" s="134">
        <v>15.044671866153999</v>
      </c>
      <c r="U33" s="134">
        <v>31.395706393052102</v>
      </c>
      <c r="V33" s="134">
        <v>10.6902388283996</v>
      </c>
      <c r="W33" s="134">
        <v>65.675722111728604</v>
      </c>
      <c r="X33" s="134">
        <v>3.8086581657067402</v>
      </c>
      <c r="Y33" s="134">
        <v>2.84475908944925</v>
      </c>
      <c r="Z33" s="134">
        <v>5.6638043388066999</v>
      </c>
      <c r="AA33" s="134">
        <v>7.3778183001357203</v>
      </c>
      <c r="AB33" s="134">
        <v>6.5046976771499398</v>
      </c>
      <c r="AC33" s="134">
        <v>8.4595326115430094</v>
      </c>
    </row>
    <row r="34" spans="1:29">
      <c r="A34" s="131">
        <v>45536</v>
      </c>
      <c r="B34" s="82">
        <f t="shared" si="0"/>
        <v>2024</v>
      </c>
      <c r="C34" s="134">
        <v>13.4973569462445</v>
      </c>
      <c r="D34" s="134">
        <v>12.0268233386841</v>
      </c>
      <c r="E34" s="134">
        <v>15.2104679792819</v>
      </c>
      <c r="F34" s="134">
        <v>14.250689275631499</v>
      </c>
      <c r="G34" s="134">
        <v>12.6235422103298</v>
      </c>
      <c r="H34" s="134">
        <v>16.171664213617799</v>
      </c>
      <c r="I34" s="134">
        <v>11.164489567025299</v>
      </c>
      <c r="J34" s="134">
        <v>9.7863377158633291</v>
      </c>
      <c r="K34" s="134">
        <v>12.979495975092201</v>
      </c>
      <c r="L34" s="134">
        <v>20.7575723541778</v>
      </c>
      <c r="M34" s="134">
        <v>15.840668421559799</v>
      </c>
      <c r="N34" s="134">
        <v>27.491488627576199</v>
      </c>
      <c r="O34" s="505">
        <v>8.3800000000000008</v>
      </c>
      <c r="P34" s="505">
        <v>3.78</v>
      </c>
      <c r="Q34" s="505">
        <v>12.98</v>
      </c>
      <c r="R34" s="134">
        <v>12.2636878738536</v>
      </c>
      <c r="S34" s="134">
        <v>9.7832219322433502</v>
      </c>
      <c r="T34" s="134">
        <v>16.2910481618514</v>
      </c>
      <c r="U34" s="134">
        <v>27.029730965443701</v>
      </c>
      <c r="V34" s="134">
        <v>8.3795368666771495</v>
      </c>
      <c r="W34" s="134">
        <v>58.991232316309897</v>
      </c>
      <c r="X34" s="134">
        <v>5.5161845203209801</v>
      </c>
      <c r="Y34" s="134">
        <v>3.7386800806034999</v>
      </c>
      <c r="Z34" s="134">
        <v>10.087371392146601</v>
      </c>
      <c r="AA34" s="134">
        <v>7.7866146165253198</v>
      </c>
      <c r="AB34" s="134">
        <v>6.83648570326607</v>
      </c>
      <c r="AC34" s="134">
        <v>8.9725304942218003</v>
      </c>
    </row>
    <row r="35" spans="1:29">
      <c r="A35" s="131">
        <v>45566</v>
      </c>
      <c r="B35" s="82">
        <f t="shared" si="0"/>
        <v>2024</v>
      </c>
      <c r="C35" s="134">
        <v>14.6254662115016</v>
      </c>
      <c r="D35" s="134">
        <v>13.003589630299</v>
      </c>
      <c r="E35" s="134">
        <v>16.5204610188479</v>
      </c>
      <c r="F35" s="134">
        <v>15.189780446719899</v>
      </c>
      <c r="G35" s="134">
        <v>13.428500356227</v>
      </c>
      <c r="H35" s="134">
        <v>17.274947888433601</v>
      </c>
      <c r="I35" s="134">
        <v>11.6260732435296</v>
      </c>
      <c r="J35" s="134">
        <v>10.141647143745899</v>
      </c>
      <c r="K35" s="134">
        <v>13.6025578130719</v>
      </c>
      <c r="L35" s="134">
        <v>31.511221393477701</v>
      </c>
      <c r="M35" s="134">
        <v>23.6665788536143</v>
      </c>
      <c r="N35" s="134">
        <v>42.460669191086403</v>
      </c>
      <c r="O35" s="505">
        <v>9.1199999999999992</v>
      </c>
      <c r="P35" s="505">
        <v>4.5199999999999996</v>
      </c>
      <c r="Q35" s="505">
        <v>13.72</v>
      </c>
      <c r="R35" s="134">
        <v>12.275751755737099</v>
      </c>
      <c r="S35" s="134">
        <v>9.7666992480960602</v>
      </c>
      <c r="T35" s="134">
        <v>16.3764225827323</v>
      </c>
      <c r="U35" s="134">
        <v>43.432940513317099</v>
      </c>
      <c r="V35" s="134">
        <v>17.423719991825401</v>
      </c>
      <c r="W35" s="134">
        <v>83.846149565340795</v>
      </c>
      <c r="X35" s="134">
        <v>6.04982307935144</v>
      </c>
      <c r="Y35" s="134">
        <v>3.98682823143479</v>
      </c>
      <c r="Z35" s="134">
        <v>11.8860449309449</v>
      </c>
      <c r="AA35" s="134">
        <v>7.7374688466945498</v>
      </c>
      <c r="AB35" s="134">
        <v>6.7967099307569203</v>
      </c>
      <c r="AC35" s="134">
        <v>8.9106500802295194</v>
      </c>
    </row>
    <row r="36" spans="1:29">
      <c r="A36" s="131">
        <v>45597</v>
      </c>
      <c r="B36" s="82">
        <f t="shared" si="0"/>
        <v>2024</v>
      </c>
      <c r="C36" s="134">
        <v>19.834132325324902</v>
      </c>
      <c r="D36" s="134">
        <v>17.441115918095001</v>
      </c>
      <c r="E36" s="134">
        <v>22.672148875665801</v>
      </c>
      <c r="F36" s="134">
        <v>20.441080132837602</v>
      </c>
      <c r="G36" s="134">
        <v>17.840814229597701</v>
      </c>
      <c r="H36" s="134">
        <v>23.5754287141832</v>
      </c>
      <c r="I36" s="134">
        <v>14.768718264821301</v>
      </c>
      <c r="J36" s="134">
        <v>12.474426625302099</v>
      </c>
      <c r="K36" s="134">
        <v>18.0598560729158</v>
      </c>
      <c r="L36" s="134">
        <v>56.266838499733502</v>
      </c>
      <c r="M36" s="134">
        <v>41.2668481536288</v>
      </c>
      <c r="N36" s="134">
        <v>77.806291210524904</v>
      </c>
      <c r="O36" s="505">
        <v>8.92</v>
      </c>
      <c r="P36" s="505">
        <v>4.32</v>
      </c>
      <c r="Q36" s="505">
        <v>13.52</v>
      </c>
      <c r="R36" s="134">
        <v>12.5616221689795</v>
      </c>
      <c r="S36" s="134">
        <v>9.9266509804802698</v>
      </c>
      <c r="T36" s="134">
        <v>16.9410168916888</v>
      </c>
      <c r="U36" s="134">
        <v>83.085796452227797</v>
      </c>
      <c r="V36" s="134">
        <v>42.863179924021701</v>
      </c>
      <c r="W36" s="134">
        <v>139.315284515043</v>
      </c>
      <c r="X36" s="134">
        <v>10.0047201806393</v>
      </c>
      <c r="Y36" s="134">
        <v>5.4898440663439203</v>
      </c>
      <c r="Z36" s="134">
        <v>40.548469406864903</v>
      </c>
      <c r="AA36" s="134">
        <v>8.9945190926446994</v>
      </c>
      <c r="AB36" s="134">
        <v>7.8038089444453496</v>
      </c>
      <c r="AC36" s="134">
        <v>10.512680753575999</v>
      </c>
    </row>
    <row r="37" spans="1:29">
      <c r="A37" s="131">
        <v>45627</v>
      </c>
      <c r="B37" s="82">
        <f t="shared" si="0"/>
        <v>2024</v>
      </c>
      <c r="C37" s="134">
        <v>28.513746441457599</v>
      </c>
      <c r="D37" s="134">
        <v>24.703538196833801</v>
      </c>
      <c r="E37" s="134">
        <v>33.124634966612298</v>
      </c>
      <c r="F37" s="134">
        <v>29.902431607068699</v>
      </c>
      <c r="G37" s="134">
        <v>25.6074813174356</v>
      </c>
      <c r="H37" s="134">
        <v>35.220437733503999</v>
      </c>
      <c r="I37" s="134">
        <v>20.3088414198957</v>
      </c>
      <c r="J37" s="134">
        <v>16.2571474757085</v>
      </c>
      <c r="K37" s="134">
        <v>26.939397274068</v>
      </c>
      <c r="L37" s="134">
        <v>76.866280209782303</v>
      </c>
      <c r="M37" s="134">
        <v>55.621416076443097</v>
      </c>
      <c r="N37" s="134">
        <v>107.86877104583699</v>
      </c>
      <c r="O37" s="505">
        <v>9.52</v>
      </c>
      <c r="P37" s="505">
        <v>4.92</v>
      </c>
      <c r="Q37" s="505">
        <v>14.12</v>
      </c>
      <c r="R37" s="134">
        <v>15.4807651740899</v>
      </c>
      <c r="S37" s="134">
        <v>11.685224674964701</v>
      </c>
      <c r="T37" s="134">
        <v>22.581202049904</v>
      </c>
      <c r="U37" s="134">
        <v>148.507228318226</v>
      </c>
      <c r="V37" s="134">
        <v>89.867502195334197</v>
      </c>
      <c r="W37" s="134">
        <v>224.73188462408001</v>
      </c>
      <c r="X37" s="134">
        <v>12.4872452334918</v>
      </c>
      <c r="Y37" s="134">
        <v>6.21305700572288</v>
      </c>
      <c r="Z37" s="134">
        <v>125.031496732519</v>
      </c>
      <c r="AA37" s="134">
        <v>11.4562042466259</v>
      </c>
      <c r="AB37" s="134">
        <v>9.7216237782224795</v>
      </c>
      <c r="AC37" s="134">
        <v>13.7587054512811</v>
      </c>
    </row>
    <row r="38" spans="1:29">
      <c r="A38" s="131">
        <v>45658</v>
      </c>
      <c r="B38" s="82">
        <f t="shared" si="0"/>
        <v>2025</v>
      </c>
      <c r="C38" s="134">
        <v>36.245464820011399</v>
      </c>
      <c r="D38" s="134">
        <v>31.0840129897352</v>
      </c>
      <c r="E38" s="134">
        <v>42.578872179720598</v>
      </c>
      <c r="F38" s="674">
        <v>38.199522317166398</v>
      </c>
      <c r="G38" s="134">
        <v>32.2930448046408</v>
      </c>
      <c r="H38" s="134">
        <v>45.648518461393401</v>
      </c>
      <c r="I38" s="134">
        <v>24.3760953524949</v>
      </c>
      <c r="J38" s="134">
        <v>18.784803549120898</v>
      </c>
      <c r="K38" s="134">
        <v>34.489188514612202</v>
      </c>
      <c r="L38" s="134">
        <v>106.996797968698</v>
      </c>
      <c r="M38" s="134">
        <v>76.183080028532402</v>
      </c>
      <c r="N38" s="134">
        <v>152.84432857829799</v>
      </c>
      <c r="O38" s="505">
        <v>14.01</v>
      </c>
      <c r="P38" s="505">
        <v>9.2100000000000009</v>
      </c>
      <c r="Q38" s="505">
        <v>18.8</v>
      </c>
      <c r="R38" s="134">
        <v>15.8056103859363</v>
      </c>
      <c r="S38" s="134">
        <v>11.753146768953901</v>
      </c>
      <c r="T38" s="134">
        <v>23.7004160887426</v>
      </c>
      <c r="U38" s="134">
        <v>183.416166136946</v>
      </c>
      <c r="V38" s="134">
        <v>113.32575312006399</v>
      </c>
      <c r="W38" s="134">
        <v>273.63397313463201</v>
      </c>
      <c r="X38" s="134">
        <v>14.848748683549699</v>
      </c>
      <c r="Y38" s="134">
        <v>6.7266844677039197</v>
      </c>
      <c r="Z38" s="134" t="s">
        <v>1042</v>
      </c>
      <c r="AA38" s="134">
        <v>12.657643028241401</v>
      </c>
      <c r="AB38" s="134">
        <v>10.6277059809119</v>
      </c>
      <c r="AC38" s="134">
        <v>15.4053792289276</v>
      </c>
    </row>
    <row r="39" spans="1:29">
      <c r="A39" s="131">
        <v>45689</v>
      </c>
      <c r="B39" s="82">
        <f t="shared" si="0"/>
        <v>2025</v>
      </c>
      <c r="C39" s="134">
        <v>32.164998468911499</v>
      </c>
      <c r="D39" s="134">
        <v>27.7270175964026</v>
      </c>
      <c r="E39" s="134">
        <v>37.572526205444198</v>
      </c>
      <c r="F39" s="134">
        <v>33.692026794258801</v>
      </c>
      <c r="G39" s="134">
        <v>28.680217634077799</v>
      </c>
      <c r="H39" s="134">
        <v>39.950745628308901</v>
      </c>
      <c r="I39" s="134">
        <v>22.4383699221138</v>
      </c>
      <c r="J39" s="134">
        <v>17.610710777367402</v>
      </c>
      <c r="K39" s="134">
        <v>30.753600590714601</v>
      </c>
      <c r="L39" s="134">
        <v>95.837588817356604</v>
      </c>
      <c r="M39" s="134">
        <v>68.665253208411897</v>
      </c>
      <c r="N39" s="134">
        <v>135.96463195830799</v>
      </c>
      <c r="O39" s="505">
        <v>15.15</v>
      </c>
      <c r="P39" s="505">
        <v>10.33</v>
      </c>
      <c r="Q39" s="505">
        <v>19.98</v>
      </c>
      <c r="R39" s="134">
        <v>13.853011245593301</v>
      </c>
      <c r="S39" s="134">
        <v>10.5907431779841</v>
      </c>
      <c r="T39" s="134">
        <v>19.753272443599801</v>
      </c>
      <c r="U39" s="134">
        <v>154.74338916702899</v>
      </c>
      <c r="V39" s="134">
        <v>91.583960299383804</v>
      </c>
      <c r="W39" s="134">
        <v>237.702015225194</v>
      </c>
      <c r="X39" s="134">
        <v>12.7341554089938</v>
      </c>
      <c r="Y39" s="134">
        <v>6.2200415018655901</v>
      </c>
      <c r="Z39" s="134">
        <v>175.423212848329</v>
      </c>
      <c r="AA39" s="134">
        <v>11.8020705174869</v>
      </c>
      <c r="AB39" s="134">
        <v>9.9856562594393097</v>
      </c>
      <c r="AC39" s="134">
        <v>14.226268789912201</v>
      </c>
    </row>
    <row r="40" spans="1:29">
      <c r="A40" s="131">
        <v>45717</v>
      </c>
      <c r="B40" s="82">
        <f t="shared" si="0"/>
        <v>2025</v>
      </c>
      <c r="C40" s="134">
        <v>27.8522913625992</v>
      </c>
      <c r="D40" s="134">
        <v>24.163675930624802</v>
      </c>
      <c r="E40" s="134">
        <v>32.307689333697198</v>
      </c>
      <c r="F40" s="134">
        <v>28.5797760966617</v>
      </c>
      <c r="G40" s="134">
        <v>24.548668658176901</v>
      </c>
      <c r="H40" s="134">
        <v>33.549810863693999</v>
      </c>
      <c r="I40" s="134">
        <v>19.702319879086701</v>
      </c>
      <c r="J40" s="134">
        <v>15.8614404341933</v>
      </c>
      <c r="K40" s="134">
        <v>25.897833392935102</v>
      </c>
      <c r="L40" s="134">
        <v>104.724690221055</v>
      </c>
      <c r="M40" s="134">
        <v>74.722496127644504</v>
      </c>
      <c r="N40" s="134">
        <v>149.251864344475</v>
      </c>
      <c r="O40" s="505">
        <v>16.25</v>
      </c>
      <c r="P40" s="505">
        <v>11.43</v>
      </c>
      <c r="Q40" s="505">
        <v>21.08</v>
      </c>
      <c r="R40" s="134">
        <v>13.7341954501992</v>
      </c>
      <c r="S40" s="134">
        <v>10.5006515501893</v>
      </c>
      <c r="T40" s="134">
        <v>19.581419364088202</v>
      </c>
      <c r="U40" s="134">
        <v>157.71158275469799</v>
      </c>
      <c r="V40" s="134">
        <v>93.540566056154006</v>
      </c>
      <c r="W40" s="134">
        <v>241.914815412792</v>
      </c>
      <c r="X40" s="134">
        <v>11.7063871029473</v>
      </c>
      <c r="Y40" s="134">
        <v>5.9466174481246403</v>
      </c>
      <c r="Z40" s="134">
        <v>89.434969058049404</v>
      </c>
      <c r="AA40" s="134">
        <v>10.246564911970999</v>
      </c>
      <c r="AB40" s="134">
        <v>8.7877718764469304</v>
      </c>
      <c r="AC40" s="134">
        <v>12.1458960983363</v>
      </c>
    </row>
    <row r="41" spans="1:29">
      <c r="A41" s="131">
        <v>45748</v>
      </c>
      <c r="B41" s="82">
        <f t="shared" si="0"/>
        <v>2025</v>
      </c>
      <c r="C41" s="134">
        <v>24.528487550861701</v>
      </c>
      <c r="D41" s="134">
        <v>21.390652475110102</v>
      </c>
      <c r="E41" s="134">
        <v>28.291995187845298</v>
      </c>
      <c r="F41" s="134">
        <v>25.212564318015801</v>
      </c>
      <c r="G41" s="134">
        <v>21.790197833701399</v>
      </c>
      <c r="H41" s="134">
        <v>29.395446577361898</v>
      </c>
      <c r="I41" s="134">
        <v>17.845451094601401</v>
      </c>
      <c r="J41" s="134">
        <v>14.624166629943799</v>
      </c>
      <c r="K41" s="134">
        <v>22.8160064196408</v>
      </c>
      <c r="L41" s="134">
        <v>85.221335676424701</v>
      </c>
      <c r="M41" s="134">
        <v>61.384284705430503</v>
      </c>
      <c r="N41" s="134">
        <v>120.19905792739</v>
      </c>
      <c r="O41" s="505">
        <v>14.12</v>
      </c>
      <c r="P41" s="505">
        <v>9.3000000000000007</v>
      </c>
      <c r="Q41" s="505">
        <v>18.940000000000001</v>
      </c>
      <c r="R41" s="134">
        <v>13.0715099355272</v>
      </c>
      <c r="S41" s="134">
        <v>10.0682999057298</v>
      </c>
      <c r="T41" s="134">
        <v>18.3984373527814</v>
      </c>
      <c r="U41" s="134">
        <v>117.23982707113601</v>
      </c>
      <c r="V41" s="134">
        <v>64.081644682866497</v>
      </c>
      <c r="W41" s="134">
        <v>189.65893554459899</v>
      </c>
      <c r="X41" s="134">
        <v>9.8102943862480494</v>
      </c>
      <c r="Y41" s="134">
        <v>5.3832925019534201</v>
      </c>
      <c r="Z41" s="134">
        <v>39.754454970351198</v>
      </c>
      <c r="AA41" s="134">
        <v>9.6666354717205696</v>
      </c>
      <c r="AB41" s="134">
        <v>8.3345717002060393</v>
      </c>
      <c r="AC41" s="134">
        <v>11.3843381310051</v>
      </c>
    </row>
    <row r="42" spans="1:29">
      <c r="A42" s="131">
        <v>45778</v>
      </c>
      <c r="B42" s="82">
        <f t="shared" si="0"/>
        <v>2025</v>
      </c>
      <c r="C42" s="134">
        <v>18.217326744929</v>
      </c>
      <c r="D42" s="134">
        <v>16.070453740763298</v>
      </c>
      <c r="E42" s="134">
        <v>20.752479880156599</v>
      </c>
      <c r="F42" s="134">
        <v>19.430576141962199</v>
      </c>
      <c r="G42" s="134">
        <v>16.997898462921601</v>
      </c>
      <c r="H42" s="134">
        <v>22.353438774380201</v>
      </c>
      <c r="I42" s="134">
        <v>12.912355443988799</v>
      </c>
      <c r="J42" s="134">
        <v>11.1144008085701</v>
      </c>
      <c r="K42" s="134">
        <v>15.380363394663</v>
      </c>
      <c r="L42" s="134">
        <v>38.983388987257896</v>
      </c>
      <c r="M42" s="134">
        <v>29.031360807957999</v>
      </c>
      <c r="N42" s="134">
        <v>53.015468054640102</v>
      </c>
      <c r="O42" s="505">
        <v>14.46</v>
      </c>
      <c r="P42" s="505">
        <v>9.64</v>
      </c>
      <c r="Q42" s="505">
        <v>19.28</v>
      </c>
      <c r="R42" s="134">
        <v>12.4620848878216</v>
      </c>
      <c r="S42" s="134">
        <v>9.6658603372895406</v>
      </c>
      <c r="T42" s="134">
        <v>17.333854456177701</v>
      </c>
      <c r="U42" s="134">
        <v>60.736206636508101</v>
      </c>
      <c r="V42" s="134">
        <v>26.2734158380187</v>
      </c>
      <c r="W42" s="134">
        <v>112.671389093013</v>
      </c>
      <c r="X42" s="134">
        <v>7.3523910706139102</v>
      </c>
      <c r="Y42" s="134">
        <v>4.50999577642426</v>
      </c>
      <c r="Z42" s="134">
        <v>17.9635044429285</v>
      </c>
      <c r="AA42" s="134">
        <v>8.0107654725429995</v>
      </c>
      <c r="AB42" s="134">
        <v>7.0174597118704902</v>
      </c>
      <c r="AC42" s="134">
        <v>9.2555704438360493</v>
      </c>
    </row>
    <row r="43" spans="1:29">
      <c r="A43" s="131">
        <v>45809</v>
      </c>
      <c r="B43" s="82">
        <f t="shared" si="0"/>
        <v>2025</v>
      </c>
      <c r="C43" s="134">
        <v>15.413184035026299</v>
      </c>
      <c r="D43" s="134">
        <v>13.6789319271707</v>
      </c>
      <c r="E43" s="134">
        <v>17.444482885014899</v>
      </c>
      <c r="F43" s="134">
        <v>16.301405299284799</v>
      </c>
      <c r="G43" s="134">
        <v>14.369119203533399</v>
      </c>
      <c r="H43" s="134">
        <v>18.598430119698801</v>
      </c>
      <c r="I43" s="134">
        <v>12.033182193299201</v>
      </c>
      <c r="J43" s="134">
        <v>10.452278132016</v>
      </c>
      <c r="K43" s="134">
        <v>14.1585253939433</v>
      </c>
      <c r="L43" s="134">
        <v>28.054403743395099</v>
      </c>
      <c r="M43" s="134">
        <v>21.1660269851794</v>
      </c>
      <c r="N43" s="134">
        <v>37.617347759557703</v>
      </c>
      <c r="O43" s="505">
        <v>12.14</v>
      </c>
      <c r="P43" s="505">
        <v>7.32</v>
      </c>
      <c r="Q43" s="505">
        <v>16.96</v>
      </c>
      <c r="R43" s="134">
        <v>12.0734858937622</v>
      </c>
      <c r="S43" s="134">
        <v>9.3985462203365397</v>
      </c>
      <c r="T43" s="134">
        <v>16.690882848232398</v>
      </c>
      <c r="U43" s="134">
        <v>41.804317845387303</v>
      </c>
      <c r="V43" s="134">
        <v>15.083722106698</v>
      </c>
      <c r="W43" s="134">
        <v>85.081826965830601</v>
      </c>
      <c r="X43" s="134">
        <v>5.3777221083575997</v>
      </c>
      <c r="Y43" s="134">
        <v>3.6511332714678799</v>
      </c>
      <c r="Z43" s="134">
        <v>9.7928857044137505</v>
      </c>
      <c r="AA43" s="134">
        <v>7.8109317236053899</v>
      </c>
      <c r="AB43" s="134">
        <v>6.8561511689721604</v>
      </c>
      <c r="AC43" s="134">
        <v>9.0031760955722699</v>
      </c>
    </row>
    <row r="44" spans="1:29">
      <c r="A44" s="131">
        <v>45839</v>
      </c>
      <c r="B44" s="82">
        <f t="shared" si="0"/>
        <v>2025</v>
      </c>
      <c r="C44" s="134">
        <v>13.7273662181908</v>
      </c>
      <c r="D44" s="134">
        <v>12.2317120276204</v>
      </c>
      <c r="E44" s="134">
        <v>15.469753436954999</v>
      </c>
      <c r="F44" s="134">
        <v>14.3495387006847</v>
      </c>
      <c r="G44" s="134">
        <v>12.715138988362501</v>
      </c>
      <c r="H44" s="134">
        <v>16.278218990060999</v>
      </c>
      <c r="I44" s="134">
        <v>11.446175225203399</v>
      </c>
      <c r="J44" s="134">
        <v>10.0035746887076</v>
      </c>
      <c r="K44" s="134">
        <v>13.358791481413</v>
      </c>
      <c r="L44" s="134">
        <v>24.6850270548791</v>
      </c>
      <c r="M44" s="134">
        <v>18.715553922816099</v>
      </c>
      <c r="N44" s="134">
        <v>32.9240286347016</v>
      </c>
      <c r="O44" s="505">
        <v>9.7799999999999994</v>
      </c>
      <c r="P44" s="505">
        <v>4.96</v>
      </c>
      <c r="Q44" s="505">
        <v>14.6</v>
      </c>
      <c r="R44" s="134">
        <v>12.0176796226525</v>
      </c>
      <c r="S44" s="134">
        <v>9.3384157800936602</v>
      </c>
      <c r="T44" s="134">
        <v>16.6636527695367</v>
      </c>
      <c r="U44" s="134">
        <v>36.4180704351215</v>
      </c>
      <c r="V44" s="134">
        <v>12.1213641501848</v>
      </c>
      <c r="W44" s="134">
        <v>76.986671575750904</v>
      </c>
      <c r="X44" s="134">
        <v>3.9173020380375299</v>
      </c>
      <c r="Y44" s="134">
        <v>2.8933276987957002</v>
      </c>
      <c r="Z44" s="134">
        <v>5.9496679688391803</v>
      </c>
      <c r="AA44" s="134">
        <v>7.7223188978122703</v>
      </c>
      <c r="AB44" s="134">
        <v>6.7844511674363801</v>
      </c>
      <c r="AC44" s="134">
        <v>8.8915721110787906</v>
      </c>
    </row>
    <row r="45" spans="1:29">
      <c r="A45" s="131">
        <v>45870</v>
      </c>
      <c r="B45" s="82">
        <f t="shared" si="0"/>
        <v>2025</v>
      </c>
      <c r="C45" s="134">
        <v>12.666043518213</v>
      </c>
      <c r="D45" s="134">
        <v>11.3166001947054</v>
      </c>
      <c r="E45" s="134">
        <v>14.2323779473665</v>
      </c>
      <c r="F45" s="134">
        <v>13.2112888504978</v>
      </c>
      <c r="G45" s="134">
        <v>11.7450484672916</v>
      </c>
      <c r="H45" s="134">
        <v>14.933599574501701</v>
      </c>
      <c r="I45" s="134">
        <v>10.743075853776199</v>
      </c>
      <c r="J45" s="134">
        <v>9.4589835880920994</v>
      </c>
      <c r="K45" s="134">
        <v>12.4173851312963</v>
      </c>
      <c r="L45" s="134">
        <v>21.8186452736606</v>
      </c>
      <c r="M45" s="134">
        <v>16.6194983592741</v>
      </c>
      <c r="N45" s="134">
        <v>28.954846354730801</v>
      </c>
      <c r="O45" s="505">
        <v>9.06</v>
      </c>
      <c r="P45" s="505">
        <v>4.24</v>
      </c>
      <c r="Q45" s="505">
        <v>13.89</v>
      </c>
      <c r="R45" s="134">
        <v>11.3581309686585</v>
      </c>
      <c r="S45" s="134">
        <v>8.9026722455966194</v>
      </c>
      <c r="T45" s="134">
        <v>15.523467578668001</v>
      </c>
      <c r="U45" s="134">
        <v>31.341209758028501</v>
      </c>
      <c r="V45" s="134">
        <v>9.4737760431990008</v>
      </c>
      <c r="W45" s="134">
        <v>69.157982165413699</v>
      </c>
      <c r="X45" s="134">
        <v>3.8086581657067402</v>
      </c>
      <c r="Y45" s="134">
        <v>2.83184730859089</v>
      </c>
      <c r="Z45" s="134">
        <v>5.7121735282161303</v>
      </c>
      <c r="AA45" s="134">
        <v>7.3778183001357203</v>
      </c>
      <c r="AB45" s="134">
        <v>6.5046976771499398</v>
      </c>
      <c r="AC45" s="134">
        <v>8.4595326115430094</v>
      </c>
    </row>
    <row r="46" spans="1:29">
      <c r="A46" s="131">
        <v>45901</v>
      </c>
      <c r="B46" s="82">
        <f t="shared" si="0"/>
        <v>2025</v>
      </c>
      <c r="C46" s="134">
        <v>13.4973569462445</v>
      </c>
      <c r="D46" s="134">
        <v>12.0268233386841</v>
      </c>
      <c r="E46" s="134">
        <v>15.2104679792819</v>
      </c>
      <c r="F46" s="134">
        <v>14.250689275631499</v>
      </c>
      <c r="G46" s="134">
        <v>12.6235422103298</v>
      </c>
      <c r="H46" s="134">
        <v>16.171664213617799</v>
      </c>
      <c r="I46" s="134">
        <v>11.164489567025299</v>
      </c>
      <c r="J46" s="134">
        <v>9.7863377158633291</v>
      </c>
      <c r="K46" s="134">
        <v>12.979495975092201</v>
      </c>
      <c r="L46" s="134">
        <v>20.7575723541778</v>
      </c>
      <c r="M46" s="134">
        <v>15.840668421559799</v>
      </c>
      <c r="N46" s="134">
        <v>27.491488627576199</v>
      </c>
      <c r="O46" s="505">
        <v>8.3800000000000008</v>
      </c>
      <c r="P46" s="505">
        <v>3.55</v>
      </c>
      <c r="Q46" s="505">
        <v>13.2</v>
      </c>
      <c r="R46" s="134">
        <v>12.028828159081399</v>
      </c>
      <c r="S46" s="134">
        <v>9.2956772536455592</v>
      </c>
      <c r="T46" s="134">
        <v>16.835762657933198</v>
      </c>
      <c r="U46" s="134">
        <v>26.983504538669699</v>
      </c>
      <c r="V46" s="134">
        <v>7.3324798523044601</v>
      </c>
      <c r="W46" s="134">
        <v>62.258948895155903</v>
      </c>
      <c r="X46" s="134">
        <v>5.5161845203209801</v>
      </c>
      <c r="Y46" s="134">
        <v>3.7170063342503301</v>
      </c>
      <c r="Z46" s="134">
        <v>10.232993849089301</v>
      </c>
      <c r="AA46" s="134">
        <v>7.7866146165253198</v>
      </c>
      <c r="AB46" s="134">
        <v>6.83648570326607</v>
      </c>
      <c r="AC46" s="134">
        <v>8.9725304942218003</v>
      </c>
    </row>
    <row r="47" spans="1:29">
      <c r="A47" s="131">
        <v>45931</v>
      </c>
      <c r="B47" s="82">
        <f t="shared" si="0"/>
        <v>2025</v>
      </c>
      <c r="C47" s="134">
        <v>14.6254662115016</v>
      </c>
      <c r="D47" s="134">
        <v>13.003589630299</v>
      </c>
      <c r="E47" s="134">
        <v>16.5204610188479</v>
      </c>
      <c r="F47" s="134">
        <v>15.189780446719899</v>
      </c>
      <c r="G47" s="134">
        <v>13.428500356227</v>
      </c>
      <c r="H47" s="134">
        <v>17.274947888433601</v>
      </c>
      <c r="I47" s="134">
        <v>11.6260732435296</v>
      </c>
      <c r="J47" s="134">
        <v>10.141647143745899</v>
      </c>
      <c r="K47" s="134">
        <v>13.6025578130719</v>
      </c>
      <c r="L47" s="134">
        <v>31.511221393477701</v>
      </c>
      <c r="M47" s="134">
        <v>23.6665788536143</v>
      </c>
      <c r="N47" s="134">
        <v>42.460669191086403</v>
      </c>
      <c r="O47" s="505">
        <v>9.1199999999999992</v>
      </c>
      <c r="P47" s="505">
        <v>4.3</v>
      </c>
      <c r="Q47" s="505">
        <v>13.94</v>
      </c>
      <c r="R47" s="134">
        <v>12.053515665579599</v>
      </c>
      <c r="S47" s="134">
        <v>9.2865125659777998</v>
      </c>
      <c r="T47" s="134">
        <v>16.958298129239399</v>
      </c>
      <c r="U47" s="134">
        <v>43.376682850463801</v>
      </c>
      <c r="V47" s="134">
        <v>15.8161313976077</v>
      </c>
      <c r="W47" s="134">
        <v>87.835068106482595</v>
      </c>
      <c r="X47" s="134">
        <v>6.04982307935144</v>
      </c>
      <c r="Y47" s="134">
        <v>3.9623479130469899</v>
      </c>
      <c r="Z47" s="134">
        <v>12.085371019383899</v>
      </c>
      <c r="AA47" s="134">
        <v>7.7374688466945498</v>
      </c>
      <c r="AB47" s="134">
        <v>6.7967099307569203</v>
      </c>
      <c r="AC47" s="134">
        <v>8.9106500802295194</v>
      </c>
    </row>
    <row r="48" spans="1:29">
      <c r="A48" s="131">
        <v>45962</v>
      </c>
      <c r="B48" s="82">
        <f t="shared" si="0"/>
        <v>2025</v>
      </c>
      <c r="C48" s="134">
        <v>19.834132325324902</v>
      </c>
      <c r="D48" s="134">
        <v>17.441115918095001</v>
      </c>
      <c r="E48" s="134">
        <v>22.672148875665801</v>
      </c>
      <c r="F48" s="134">
        <v>20.441080132837602</v>
      </c>
      <c r="G48" s="134">
        <v>17.840814229597701</v>
      </c>
      <c r="H48" s="134">
        <v>23.5754287141832</v>
      </c>
      <c r="I48" s="134">
        <v>14.768718264821301</v>
      </c>
      <c r="J48" s="134">
        <v>12.474426625302099</v>
      </c>
      <c r="K48" s="134">
        <v>18.0598560729158</v>
      </c>
      <c r="L48" s="134">
        <v>56.266838499733502</v>
      </c>
      <c r="M48" s="134">
        <v>41.2668481536288</v>
      </c>
      <c r="N48" s="134">
        <v>77.806291210524904</v>
      </c>
      <c r="O48" s="505">
        <v>8.92</v>
      </c>
      <c r="P48" s="505">
        <v>4.0999999999999996</v>
      </c>
      <c r="Q48" s="505">
        <v>13.74</v>
      </c>
      <c r="R48" s="134">
        <v>12.340796289012101</v>
      </c>
      <c r="S48" s="134">
        <v>9.4363931166958999</v>
      </c>
      <c r="T48" s="134">
        <v>17.591256352464601</v>
      </c>
      <c r="U48" s="134">
        <v>83.010067225689895</v>
      </c>
      <c r="V48" s="134">
        <v>40.145260773296002</v>
      </c>
      <c r="W48" s="134">
        <v>144.64446262109399</v>
      </c>
      <c r="X48" s="134">
        <v>10.0047201806393</v>
      </c>
      <c r="Y48" s="134">
        <v>5.4449763358091303</v>
      </c>
      <c r="Z48" s="134">
        <v>42.668170530641902</v>
      </c>
      <c r="AA48" s="134">
        <v>8.9945190926446994</v>
      </c>
      <c r="AB48" s="134">
        <v>7.8038089444453496</v>
      </c>
      <c r="AC48" s="134">
        <v>10.512680753575999</v>
      </c>
    </row>
    <row r="49" spans="1:29">
      <c r="A49" s="131">
        <v>45992</v>
      </c>
      <c r="B49" s="82">
        <f t="shared" si="0"/>
        <v>2025</v>
      </c>
      <c r="C49" s="134">
        <v>28.513746441457599</v>
      </c>
      <c r="D49" s="134">
        <v>24.703538196833801</v>
      </c>
      <c r="E49" s="134">
        <v>33.124634966612298</v>
      </c>
      <c r="F49" s="134">
        <v>29.902431607068699</v>
      </c>
      <c r="G49" s="134">
        <v>25.6074813174356</v>
      </c>
      <c r="H49" s="134">
        <v>35.220437733503999</v>
      </c>
      <c r="I49" s="134">
        <v>20.3088414198957</v>
      </c>
      <c r="J49" s="134">
        <v>16.2571474757085</v>
      </c>
      <c r="K49" s="134">
        <v>26.939397274068</v>
      </c>
      <c r="L49" s="134">
        <v>76.866280209782303</v>
      </c>
      <c r="M49" s="134">
        <v>55.621416076443097</v>
      </c>
      <c r="N49" s="134">
        <v>107.86877104583699</v>
      </c>
      <c r="O49" s="505">
        <v>9.52</v>
      </c>
      <c r="P49" s="505">
        <v>4.7</v>
      </c>
      <c r="Q49" s="505">
        <v>14.34</v>
      </c>
      <c r="R49" s="134">
        <v>15.1039424830581</v>
      </c>
      <c r="S49" s="134">
        <v>10.991904564407999</v>
      </c>
      <c r="T49" s="134">
        <v>23.6122750110274</v>
      </c>
      <c r="U49" s="134">
        <v>148.409216907483</v>
      </c>
      <c r="V49" s="134">
        <v>85.691712253671199</v>
      </c>
      <c r="W49" s="134">
        <v>231.73734100662699</v>
      </c>
      <c r="X49" s="134">
        <v>12.4872452334918</v>
      </c>
      <c r="Y49" s="134">
        <v>6.1563456785130004</v>
      </c>
      <c r="Z49" s="134">
        <v>144.75159533760399</v>
      </c>
      <c r="AA49" s="134">
        <v>11.4562042466259</v>
      </c>
      <c r="AB49" s="134">
        <v>9.7216237782224795</v>
      </c>
      <c r="AC49" s="134">
        <v>13.7587054512811</v>
      </c>
    </row>
    <row r="50" spans="1:29">
      <c r="A50" s="131">
        <v>46023</v>
      </c>
      <c r="B50" s="82">
        <f t="shared" si="0"/>
        <v>2026</v>
      </c>
      <c r="C50" s="134">
        <v>36.245464820011399</v>
      </c>
      <c r="D50" s="134">
        <v>31.0840129897352</v>
      </c>
      <c r="E50" s="134">
        <v>42.578872179720598</v>
      </c>
      <c r="F50" s="134">
        <v>38.199522317166398</v>
      </c>
      <c r="G50" s="134">
        <v>32.2930448046408</v>
      </c>
      <c r="H50" s="134">
        <v>45.648518461393401</v>
      </c>
      <c r="I50" s="134">
        <v>24.3760953524949</v>
      </c>
      <c r="J50" s="134">
        <v>18.784803549120898</v>
      </c>
      <c r="K50" s="134">
        <v>34.489188514612202</v>
      </c>
      <c r="L50" s="134">
        <v>106.996797968698</v>
      </c>
      <c r="M50" s="134">
        <v>76.183080028532402</v>
      </c>
      <c r="N50" s="134">
        <v>152.84432857829799</v>
      </c>
      <c r="O50" s="505">
        <v>14.01</v>
      </c>
      <c r="P50" s="505">
        <v>9</v>
      </c>
      <c r="Q50" s="505">
        <v>19.010000000000002</v>
      </c>
      <c r="R50" s="134">
        <v>15.436933139071799</v>
      </c>
      <c r="S50" s="134">
        <v>11.070246344858001</v>
      </c>
      <c r="T50" s="134">
        <v>24.864167211013601</v>
      </c>
      <c r="U50" s="134">
        <v>183.313733922072</v>
      </c>
      <c r="V50" s="134">
        <v>108.797842450225</v>
      </c>
      <c r="W50" s="134">
        <v>281.06083387220599</v>
      </c>
      <c r="X50" s="134">
        <v>14.848748683549699</v>
      </c>
      <c r="Y50" s="134">
        <v>6.6618632221454801</v>
      </c>
      <c r="Z50" s="134" t="s">
        <v>1042</v>
      </c>
      <c r="AA50" s="134">
        <v>12.657643028241401</v>
      </c>
      <c r="AB50" s="134">
        <v>10.6277059809119</v>
      </c>
      <c r="AC50" s="134">
        <v>15.4053792289276</v>
      </c>
    </row>
    <row r="51" spans="1:29">
      <c r="A51" s="131">
        <v>46054</v>
      </c>
      <c r="B51" s="82">
        <f t="shared" si="0"/>
        <v>2026</v>
      </c>
      <c r="C51" s="134">
        <v>32.164998468911499</v>
      </c>
      <c r="D51" s="134">
        <v>27.7270175964026</v>
      </c>
      <c r="E51" s="134">
        <v>37.572526205444198</v>
      </c>
      <c r="F51" s="134">
        <v>33.692026794258801</v>
      </c>
      <c r="G51" s="134">
        <v>28.680217634077799</v>
      </c>
      <c r="H51" s="134">
        <v>39.950745628308901</v>
      </c>
      <c r="I51" s="134">
        <v>22.4383699221138</v>
      </c>
      <c r="J51" s="134">
        <v>17.610710777367402</v>
      </c>
      <c r="K51" s="134">
        <v>30.753600590714601</v>
      </c>
      <c r="L51" s="134">
        <v>95.837588817356604</v>
      </c>
      <c r="M51" s="134">
        <v>68.665253208411897</v>
      </c>
      <c r="N51" s="134">
        <v>135.96463195830799</v>
      </c>
      <c r="O51" s="505">
        <v>15.15</v>
      </c>
      <c r="P51" s="505">
        <v>10.119999999999999</v>
      </c>
      <c r="Q51" s="505">
        <v>20.190000000000001</v>
      </c>
      <c r="R51" s="134">
        <v>13.573338552639701</v>
      </c>
      <c r="S51" s="134">
        <v>10.0292903370506</v>
      </c>
      <c r="T51" s="134">
        <v>20.5997345657333</v>
      </c>
      <c r="U51" s="134">
        <v>154.65751408405001</v>
      </c>
      <c r="V51" s="134">
        <v>87.617525207534896</v>
      </c>
      <c r="W51" s="134">
        <v>244.511196991666</v>
      </c>
      <c r="X51" s="134">
        <v>12.7341554089938</v>
      </c>
      <c r="Y51" s="134">
        <v>6.1641788272381897</v>
      </c>
      <c r="Z51" s="134">
        <v>214.22734983956599</v>
      </c>
      <c r="AA51" s="134">
        <v>11.8020705174869</v>
      </c>
      <c r="AB51" s="134">
        <v>9.9856562594393097</v>
      </c>
      <c r="AC51" s="134">
        <v>14.226268789912201</v>
      </c>
    </row>
    <row r="52" spans="1:29">
      <c r="A52" s="131">
        <v>46082</v>
      </c>
      <c r="B52" s="82">
        <f t="shared" si="0"/>
        <v>2026</v>
      </c>
      <c r="C52" s="134">
        <v>27.8522913625992</v>
      </c>
      <c r="D52" s="134">
        <v>24.163675930624802</v>
      </c>
      <c r="E52" s="134">
        <v>32.307689333697198</v>
      </c>
      <c r="F52" s="134">
        <v>28.5797760966617</v>
      </c>
      <c r="G52" s="134">
        <v>24.548668658176901</v>
      </c>
      <c r="H52" s="134">
        <v>33.549810863693999</v>
      </c>
      <c r="I52" s="134">
        <v>19.702319879086701</v>
      </c>
      <c r="J52" s="134">
        <v>15.8614404341933</v>
      </c>
      <c r="K52" s="134">
        <v>25.897833392935102</v>
      </c>
      <c r="L52" s="134">
        <v>104.724690221055</v>
      </c>
      <c r="M52" s="134">
        <v>74.722496127644504</v>
      </c>
      <c r="N52" s="134">
        <v>149.251864344475</v>
      </c>
      <c r="O52" s="505">
        <v>16.25</v>
      </c>
      <c r="P52" s="505">
        <v>11.22</v>
      </c>
      <c r="Q52" s="505">
        <v>21.29</v>
      </c>
      <c r="R52" s="134">
        <v>13.4543576368938</v>
      </c>
      <c r="S52" s="134">
        <v>9.9426036047835797</v>
      </c>
      <c r="T52" s="134">
        <v>20.414343525384901</v>
      </c>
      <c r="U52" s="134">
        <v>157.63127307469401</v>
      </c>
      <c r="V52" s="134">
        <v>89.5529280805913</v>
      </c>
      <c r="W52" s="134">
        <v>248.75944558417601</v>
      </c>
      <c r="X52" s="134">
        <v>11.7063871029473</v>
      </c>
      <c r="Y52" s="134">
        <v>5.8953105340588303</v>
      </c>
      <c r="Z52" s="134">
        <v>99.288035667720493</v>
      </c>
      <c r="AA52" s="134">
        <v>10.246564911970999</v>
      </c>
      <c r="AB52" s="134">
        <v>8.7877718764469304</v>
      </c>
      <c r="AC52" s="134">
        <v>12.1458960983363</v>
      </c>
    </row>
    <row r="53" spans="1:29">
      <c r="A53" s="131">
        <v>46113</v>
      </c>
      <c r="B53" s="82">
        <f t="shared" si="0"/>
        <v>2026</v>
      </c>
      <c r="C53" s="134">
        <v>24.528487550861701</v>
      </c>
      <c r="D53" s="134">
        <v>21.390652475110102</v>
      </c>
      <c r="E53" s="134">
        <v>28.291995187845298</v>
      </c>
      <c r="F53" s="134">
        <v>25.212564318015801</v>
      </c>
      <c r="G53" s="134">
        <v>21.790197833701399</v>
      </c>
      <c r="H53" s="134">
        <v>29.395446577361898</v>
      </c>
      <c r="I53" s="134">
        <v>17.845451094601401</v>
      </c>
      <c r="J53" s="134">
        <v>14.624166629943799</v>
      </c>
      <c r="K53" s="134">
        <v>22.8160064196408</v>
      </c>
      <c r="L53" s="134">
        <v>85.221335676424701</v>
      </c>
      <c r="M53" s="134">
        <v>61.384284705430503</v>
      </c>
      <c r="N53" s="134">
        <v>120.19905792739</v>
      </c>
      <c r="O53" s="505">
        <v>14.12</v>
      </c>
      <c r="P53" s="505">
        <v>9.09</v>
      </c>
      <c r="Q53" s="505">
        <v>19.16</v>
      </c>
      <c r="R53" s="134">
        <v>12.8168716287447</v>
      </c>
      <c r="S53" s="134">
        <v>9.5505343916081404</v>
      </c>
      <c r="T53" s="134">
        <v>19.144069801517301</v>
      </c>
      <c r="U53" s="134">
        <v>117.177250734933</v>
      </c>
      <c r="V53" s="134">
        <v>60.903701021839503</v>
      </c>
      <c r="W53" s="134">
        <v>195.58595546397601</v>
      </c>
      <c r="X53" s="134">
        <v>9.8102943862480494</v>
      </c>
      <c r="Y53" s="134">
        <v>5.3407951027722502</v>
      </c>
      <c r="Z53" s="134">
        <v>41.757540220430499</v>
      </c>
      <c r="AA53" s="134">
        <v>9.6666354717205696</v>
      </c>
      <c r="AB53" s="134">
        <v>8.3345717002060393</v>
      </c>
      <c r="AC53" s="134">
        <v>11.3843381310051</v>
      </c>
    </row>
    <row r="54" spans="1:29">
      <c r="A54" s="131">
        <v>46143</v>
      </c>
      <c r="B54" s="82">
        <f t="shared" si="0"/>
        <v>2026</v>
      </c>
      <c r="C54" s="134">
        <v>18.217326744929</v>
      </c>
      <c r="D54" s="134">
        <v>16.070453740763298</v>
      </c>
      <c r="E54" s="134">
        <v>20.752479880156599</v>
      </c>
      <c r="F54" s="134">
        <v>19.430576141962199</v>
      </c>
      <c r="G54" s="134">
        <v>16.997898462921601</v>
      </c>
      <c r="H54" s="134">
        <v>22.353438774380201</v>
      </c>
      <c r="I54" s="134">
        <v>12.912355443988799</v>
      </c>
      <c r="J54" s="134">
        <v>11.1144008085701</v>
      </c>
      <c r="K54" s="134">
        <v>15.380363394663</v>
      </c>
      <c r="L54" s="134">
        <v>38.983388987257896</v>
      </c>
      <c r="M54" s="134">
        <v>29.031360807957999</v>
      </c>
      <c r="N54" s="134">
        <v>53.015468054640102</v>
      </c>
      <c r="O54" s="505">
        <v>14.46</v>
      </c>
      <c r="P54" s="505">
        <v>9.43</v>
      </c>
      <c r="Q54" s="505">
        <v>19.5</v>
      </c>
      <c r="R54" s="134">
        <v>12.230796071352</v>
      </c>
      <c r="S54" s="134">
        <v>9.1850444892639604</v>
      </c>
      <c r="T54" s="134">
        <v>18.007290343526801</v>
      </c>
      <c r="U54" s="134">
        <v>60.696638899946002</v>
      </c>
      <c r="V54" s="134">
        <v>24.3982579341688</v>
      </c>
      <c r="W54" s="134">
        <v>117.051890116317</v>
      </c>
      <c r="X54" s="134">
        <v>7.3523910706139102</v>
      </c>
      <c r="Y54" s="134">
        <v>4.4796015253157497</v>
      </c>
      <c r="Z54" s="134">
        <v>18.395777133890601</v>
      </c>
      <c r="AA54" s="134">
        <v>8.0107654725429995</v>
      </c>
      <c r="AB54" s="134">
        <v>7.0174597118704902</v>
      </c>
      <c r="AC54" s="134">
        <v>9.2555704438360493</v>
      </c>
    </row>
    <row r="55" spans="1:29">
      <c r="A55" s="131">
        <v>46174</v>
      </c>
      <c r="B55" s="82">
        <f t="shared" si="0"/>
        <v>2026</v>
      </c>
      <c r="C55" s="134">
        <v>15.413184035026299</v>
      </c>
      <c r="D55" s="134">
        <v>13.6789319271707</v>
      </c>
      <c r="E55" s="134">
        <v>17.444482885014899</v>
      </c>
      <c r="F55" s="134">
        <v>16.301405299284799</v>
      </c>
      <c r="G55" s="134">
        <v>14.369119203533399</v>
      </c>
      <c r="H55" s="134">
        <v>18.598430119698801</v>
      </c>
      <c r="I55" s="134">
        <v>12.033182193299201</v>
      </c>
      <c r="J55" s="134">
        <v>10.452278132016</v>
      </c>
      <c r="K55" s="134">
        <v>14.1585253939433</v>
      </c>
      <c r="L55" s="134">
        <v>28.054403743395099</v>
      </c>
      <c r="M55" s="134">
        <v>21.1660269851794</v>
      </c>
      <c r="N55" s="134">
        <v>37.617347759557703</v>
      </c>
      <c r="O55" s="505">
        <v>12.14</v>
      </c>
      <c r="P55" s="505">
        <v>7.11</v>
      </c>
      <c r="Q55" s="505">
        <v>17.18</v>
      </c>
      <c r="R55" s="134">
        <v>11.8531465567455</v>
      </c>
      <c r="S55" s="134">
        <v>8.9391252185510606</v>
      </c>
      <c r="T55" s="134">
        <v>17.317391468317702</v>
      </c>
      <c r="U55" s="134">
        <v>41.774830028316799</v>
      </c>
      <c r="V55" s="134">
        <v>13.737063551682301</v>
      </c>
      <c r="W55" s="134">
        <v>88.800301600393098</v>
      </c>
      <c r="X55" s="134">
        <v>5.3777221083575997</v>
      </c>
      <c r="Y55" s="134">
        <v>3.6307648267245698</v>
      </c>
      <c r="Z55" s="134">
        <v>9.9280960848322604</v>
      </c>
      <c r="AA55" s="134">
        <v>7.8109317236053899</v>
      </c>
      <c r="AB55" s="134">
        <v>6.8561511689721604</v>
      </c>
      <c r="AC55" s="134">
        <v>9.0031760955722699</v>
      </c>
    </row>
    <row r="56" spans="1:29">
      <c r="A56" s="131">
        <v>46204</v>
      </c>
      <c r="B56" s="82">
        <f t="shared" si="0"/>
        <v>2026</v>
      </c>
      <c r="C56" s="134">
        <v>13.7273662181908</v>
      </c>
      <c r="D56" s="134">
        <v>12.2317120276204</v>
      </c>
      <c r="E56" s="134">
        <v>15.469753436954999</v>
      </c>
      <c r="F56" s="134">
        <v>14.3495387006847</v>
      </c>
      <c r="G56" s="134">
        <v>12.715138988362501</v>
      </c>
      <c r="H56" s="134">
        <v>16.278218990060999</v>
      </c>
      <c r="I56" s="134">
        <v>11.446175225203399</v>
      </c>
      <c r="J56" s="134">
        <v>10.0035746887076</v>
      </c>
      <c r="K56" s="134">
        <v>13.358791481413</v>
      </c>
      <c r="L56" s="134">
        <v>24.6850270548791</v>
      </c>
      <c r="M56" s="134">
        <v>18.715553922816099</v>
      </c>
      <c r="N56" s="134">
        <v>32.9240286347016</v>
      </c>
      <c r="O56" s="505">
        <v>9.7799999999999994</v>
      </c>
      <c r="P56" s="505">
        <v>4.75</v>
      </c>
      <c r="Q56" s="505">
        <v>14.82</v>
      </c>
      <c r="R56" s="134">
        <v>11.8001962718862</v>
      </c>
      <c r="S56" s="134">
        <v>8.8834227990922496</v>
      </c>
      <c r="T56" s="134">
        <v>17.2956881323564</v>
      </c>
      <c r="U56" s="134">
        <v>36.392886408932902</v>
      </c>
      <c r="V56" s="134">
        <v>10.942357770926099</v>
      </c>
      <c r="W56" s="134">
        <v>80.489955167243394</v>
      </c>
      <c r="X56" s="134">
        <v>3.9173020380375299</v>
      </c>
      <c r="Y56" s="134">
        <v>2.8802225130427601</v>
      </c>
      <c r="Z56" s="134">
        <v>6.0018809940548801</v>
      </c>
      <c r="AA56" s="134">
        <v>7.7223188978122703</v>
      </c>
      <c r="AB56" s="134">
        <v>6.7844511674363801</v>
      </c>
      <c r="AC56" s="134">
        <v>8.8915721110787906</v>
      </c>
    </row>
    <row r="57" spans="1:29">
      <c r="A57" s="131">
        <v>46235</v>
      </c>
      <c r="B57" s="82">
        <f t="shared" si="0"/>
        <v>2026</v>
      </c>
      <c r="C57" s="134">
        <v>12.666043518213</v>
      </c>
      <c r="D57" s="134">
        <v>11.3166001947054</v>
      </c>
      <c r="E57" s="134">
        <v>14.2323779473665</v>
      </c>
      <c r="F57" s="134">
        <v>13.2112888504978</v>
      </c>
      <c r="G57" s="134">
        <v>11.7450484672916</v>
      </c>
      <c r="H57" s="134">
        <v>14.933599574501701</v>
      </c>
      <c r="I57" s="134">
        <v>10.743075853776199</v>
      </c>
      <c r="J57" s="134">
        <v>9.4589835880920994</v>
      </c>
      <c r="K57" s="134">
        <v>12.4173851312963</v>
      </c>
      <c r="L57" s="134">
        <v>21.8186452736606</v>
      </c>
      <c r="M57" s="134">
        <v>16.6194983592741</v>
      </c>
      <c r="N57" s="134">
        <v>28.954846354730801</v>
      </c>
      <c r="O57" s="505">
        <v>9.06</v>
      </c>
      <c r="P57" s="505">
        <v>4.03</v>
      </c>
      <c r="Q57" s="505">
        <v>14.1</v>
      </c>
      <c r="R57" s="134">
        <v>11.1642355622485</v>
      </c>
      <c r="S57" s="134">
        <v>8.4858873396827104</v>
      </c>
      <c r="T57" s="134">
        <v>16.082778059540601</v>
      </c>
      <c r="U57" s="134">
        <v>31.319852572907099</v>
      </c>
      <c r="V57" s="134">
        <v>8.4581223807303001</v>
      </c>
      <c r="W57" s="134">
        <v>72.446256227449098</v>
      </c>
      <c r="X57" s="134">
        <v>3.8086581657067402</v>
      </c>
      <c r="Y57" s="134">
        <v>2.81926510122064</v>
      </c>
      <c r="Z57" s="134">
        <v>5.7604834510436396</v>
      </c>
      <c r="AA57" s="134">
        <v>7.3778183001357203</v>
      </c>
      <c r="AB57" s="134">
        <v>6.5046976771499398</v>
      </c>
      <c r="AC57" s="134">
        <v>8.4595326115430094</v>
      </c>
    </row>
    <row r="58" spans="1:29">
      <c r="A58" s="131">
        <v>46266</v>
      </c>
      <c r="B58" s="82">
        <f t="shared" si="0"/>
        <v>2026</v>
      </c>
      <c r="C58" s="134">
        <v>13.4973569462445</v>
      </c>
      <c r="D58" s="134">
        <v>12.0268233386841</v>
      </c>
      <c r="E58" s="134">
        <v>15.2104679792819</v>
      </c>
      <c r="F58" s="134">
        <v>14.250689275631499</v>
      </c>
      <c r="G58" s="134">
        <v>12.6235422103298</v>
      </c>
      <c r="H58" s="134">
        <v>16.171664213617799</v>
      </c>
      <c r="I58" s="134">
        <v>11.164489567025299</v>
      </c>
      <c r="J58" s="134">
        <v>9.7863377158633291</v>
      </c>
      <c r="K58" s="134">
        <v>12.979495975092201</v>
      </c>
      <c r="L58" s="134">
        <v>20.7575723541778</v>
      </c>
      <c r="M58" s="134">
        <v>15.840668421559799</v>
      </c>
      <c r="N58" s="134">
        <v>27.491488627576199</v>
      </c>
      <c r="O58" s="505">
        <v>8.3800000000000008</v>
      </c>
      <c r="P58" s="505">
        <v>3.34</v>
      </c>
      <c r="Q58" s="505">
        <v>13.41</v>
      </c>
      <c r="R58" s="134">
        <v>11.810095622949399</v>
      </c>
      <c r="S58" s="134">
        <v>8.84092467271328</v>
      </c>
      <c r="T58" s="134">
        <v>17.490038097453901</v>
      </c>
      <c r="U58" s="134">
        <v>26.9653882541032</v>
      </c>
      <c r="V58" s="134">
        <v>6.4625233078515896</v>
      </c>
      <c r="W58" s="134">
        <v>65.350347222840398</v>
      </c>
      <c r="X58" s="134">
        <v>5.5161845203209801</v>
      </c>
      <c r="Y58" s="134">
        <v>3.6959358445338499</v>
      </c>
      <c r="Z58" s="134">
        <v>10.3800601987388</v>
      </c>
      <c r="AA58" s="134">
        <v>7.7866146165253198</v>
      </c>
      <c r="AB58" s="134">
        <v>6.83648570326607</v>
      </c>
      <c r="AC58" s="134">
        <v>8.9725304942218003</v>
      </c>
    </row>
    <row r="59" spans="1:29">
      <c r="A59" s="131">
        <v>46296</v>
      </c>
      <c r="B59" s="82">
        <f t="shared" si="0"/>
        <v>2026</v>
      </c>
      <c r="C59" s="134">
        <v>14.6254662115016</v>
      </c>
      <c r="D59" s="134">
        <v>13.003589630299</v>
      </c>
      <c r="E59" s="134">
        <v>16.5204610188479</v>
      </c>
      <c r="F59" s="134">
        <v>15.189780446719899</v>
      </c>
      <c r="G59" s="134">
        <v>13.428500356227</v>
      </c>
      <c r="H59" s="134">
        <v>17.274947888433601</v>
      </c>
      <c r="I59" s="134">
        <v>11.6260732435296</v>
      </c>
      <c r="J59" s="134">
        <v>10.141647143745899</v>
      </c>
      <c r="K59" s="134">
        <v>13.6025578130719</v>
      </c>
      <c r="L59" s="134">
        <v>31.511221393477701</v>
      </c>
      <c r="M59" s="134">
        <v>23.6665788536143</v>
      </c>
      <c r="N59" s="134">
        <v>42.460669191086403</v>
      </c>
      <c r="O59" s="505">
        <v>9.1199999999999992</v>
      </c>
      <c r="P59" s="505">
        <v>4.09</v>
      </c>
      <c r="Q59" s="505">
        <v>14.16</v>
      </c>
      <c r="R59" s="134">
        <v>11.837252956158</v>
      </c>
      <c r="S59" s="134">
        <v>8.8329331259764299</v>
      </c>
      <c r="T59" s="134">
        <v>17.634684946806001</v>
      </c>
      <c r="U59" s="134">
        <v>43.354631602256802</v>
      </c>
      <c r="V59" s="134">
        <v>14.4490489946072</v>
      </c>
      <c r="W59" s="134">
        <v>91.595255134854398</v>
      </c>
      <c r="X59" s="134">
        <v>6.04982307935144</v>
      </c>
      <c r="Y59" s="134">
        <v>3.9385643563516401</v>
      </c>
      <c r="Z59" s="134">
        <v>12.2875588885412</v>
      </c>
      <c r="AA59" s="134">
        <v>7.7374688466945498</v>
      </c>
      <c r="AB59" s="134">
        <v>6.7967099307569203</v>
      </c>
      <c r="AC59" s="134">
        <v>8.9106500802295194</v>
      </c>
    </row>
    <row r="60" spans="1:29">
      <c r="A60" s="131">
        <v>46327</v>
      </c>
      <c r="B60" s="82">
        <f t="shared" si="0"/>
        <v>2026</v>
      </c>
      <c r="C60" s="134">
        <v>19.834132325324902</v>
      </c>
      <c r="D60" s="134">
        <v>17.441115918095001</v>
      </c>
      <c r="E60" s="134">
        <v>22.672148875665801</v>
      </c>
      <c r="F60" s="134">
        <v>20.441080132837602</v>
      </c>
      <c r="G60" s="134">
        <v>17.840814229597701</v>
      </c>
      <c r="H60" s="134">
        <v>23.5754287141832</v>
      </c>
      <c r="I60" s="134">
        <v>14.768718264821301</v>
      </c>
      <c r="J60" s="134">
        <v>12.474426625302099</v>
      </c>
      <c r="K60" s="134">
        <v>18.0598560729158</v>
      </c>
      <c r="L60" s="134">
        <v>56.266838499733502</v>
      </c>
      <c r="M60" s="134">
        <v>41.2668481536288</v>
      </c>
      <c r="N60" s="134">
        <v>77.806291210524904</v>
      </c>
      <c r="O60" s="505">
        <v>8.92</v>
      </c>
      <c r="P60" s="505">
        <v>3.88</v>
      </c>
      <c r="Q60" s="505">
        <v>13.95</v>
      </c>
      <c r="R60" s="134">
        <v>12.1175774078262</v>
      </c>
      <c r="S60" s="134">
        <v>8.9691614620792297</v>
      </c>
      <c r="T60" s="134">
        <v>18.329717853246201</v>
      </c>
      <c r="U60" s="134">
        <v>82.980379138963201</v>
      </c>
      <c r="V60" s="134">
        <v>37.787993171982201</v>
      </c>
      <c r="W60" s="134">
        <v>149.64521716549501</v>
      </c>
      <c r="X60" s="134">
        <v>10.0047201806393</v>
      </c>
      <c r="Y60" s="134">
        <v>5.4015523531262701</v>
      </c>
      <c r="Z60" s="134">
        <v>44.966582198291498</v>
      </c>
      <c r="AA60" s="134">
        <v>8.9945190926446994</v>
      </c>
      <c r="AB60" s="134">
        <v>7.8038089444453496</v>
      </c>
      <c r="AC60" s="134">
        <v>10.512680753575999</v>
      </c>
    </row>
    <row r="61" spans="1:29">
      <c r="A61" s="131">
        <v>46357</v>
      </c>
      <c r="B61" s="82">
        <f t="shared" si="0"/>
        <v>2026</v>
      </c>
      <c r="C61" s="134">
        <v>28.513746441457599</v>
      </c>
      <c r="D61" s="134">
        <v>24.703538196833801</v>
      </c>
      <c r="E61" s="134">
        <v>33.124634966612298</v>
      </c>
      <c r="F61" s="134">
        <v>29.902431607068699</v>
      </c>
      <c r="G61" s="134">
        <v>25.6074813174356</v>
      </c>
      <c r="H61" s="134">
        <v>35.220437733503999</v>
      </c>
      <c r="I61" s="134">
        <v>20.3088414198957</v>
      </c>
      <c r="J61" s="134">
        <v>16.2571474757085</v>
      </c>
      <c r="K61" s="134">
        <v>26.939397274068</v>
      </c>
      <c r="L61" s="134">
        <v>76.866280209782303</v>
      </c>
      <c r="M61" s="134">
        <v>55.621416076443097</v>
      </c>
      <c r="N61" s="134">
        <v>107.86877104583699</v>
      </c>
      <c r="O61" s="505">
        <v>9.52</v>
      </c>
      <c r="P61" s="505">
        <v>4.49</v>
      </c>
      <c r="Q61" s="505">
        <v>14.56</v>
      </c>
      <c r="R61" s="134">
        <v>14.7649603551263</v>
      </c>
      <c r="S61" s="134">
        <v>10.3634282996473</v>
      </c>
      <c r="T61" s="134">
        <v>24.8973663239777</v>
      </c>
      <c r="U61" s="134">
        <v>148.37078965454401</v>
      </c>
      <c r="V61" s="134">
        <v>82.026978965907404</v>
      </c>
      <c r="W61" s="134">
        <v>238.287844307591</v>
      </c>
      <c r="X61" s="134">
        <v>12.4872452334918</v>
      </c>
      <c r="Y61" s="134">
        <v>6.1015580296352798</v>
      </c>
      <c r="Z61" s="134">
        <v>170.822631325603</v>
      </c>
      <c r="AA61" s="134">
        <v>11.4562042466259</v>
      </c>
      <c r="AB61" s="134">
        <v>9.7216237782224795</v>
      </c>
      <c r="AC61" s="134">
        <v>13.7587054512811</v>
      </c>
    </row>
    <row r="62" spans="1:29">
      <c r="C62" s="82" t="str">
        <f>CONCATENATE(C1,"_",$A$63)</f>
        <v>Overall_Forecast_Average_Max</v>
      </c>
      <c r="D62" s="82" t="str">
        <f t="shared" ref="D62:AC62" si="1">CONCATENATE(D1,"_",$A$63)</f>
        <v>Overall_Forecast_Low95_Max</v>
      </c>
      <c r="E62" s="82" t="str">
        <f t="shared" si="1"/>
        <v>Overall_Forecast_High95_Max</v>
      </c>
      <c r="F62" s="82" t="str">
        <f t="shared" si="1"/>
        <v>FPU_RS_Forecast_Average_Max</v>
      </c>
      <c r="G62" s="82" t="str">
        <f t="shared" si="1"/>
        <v>FPU_RS_Forecast_Low95_Max</v>
      </c>
      <c r="H62" s="82" t="str">
        <f t="shared" si="1"/>
        <v>FPU_RS_Forecast_High95_Max</v>
      </c>
      <c r="I62" s="82" t="str">
        <f t="shared" si="1"/>
        <v>FTS_1_Forecast_Average_Max</v>
      </c>
      <c r="J62" s="82" t="str">
        <f t="shared" si="1"/>
        <v>FTS_1_Forecast_Low95_Max</v>
      </c>
      <c r="K62" s="82" t="str">
        <f t="shared" si="1"/>
        <v>FTS_1_Forecast_High95_Max</v>
      </c>
      <c r="L62" s="82" t="str">
        <f t="shared" si="1"/>
        <v>FTS_2_Forecast_Average_Max</v>
      </c>
      <c r="M62" s="82" t="str">
        <f t="shared" si="1"/>
        <v>FTS_2_Forecast_Low95_Max</v>
      </c>
      <c r="N62" s="82" t="str">
        <f t="shared" si="1"/>
        <v>FTS_2_Forecast_High95_Max</v>
      </c>
      <c r="O62" s="506" t="str">
        <f t="shared" si="1"/>
        <v>FortMeade_RS_Forecast_Average_Max</v>
      </c>
      <c r="P62" s="506" t="str">
        <f t="shared" si="1"/>
        <v>FortMeade_RS_Forecast_Low95_Max</v>
      </c>
      <c r="Q62" s="506" t="str">
        <f t="shared" si="1"/>
        <v>FortMeade_RS_Forecast_High95_Max</v>
      </c>
      <c r="R62" s="82" t="str">
        <f t="shared" si="1"/>
        <v>TS_1_Forecast_Average_Max</v>
      </c>
      <c r="S62" s="82" t="str">
        <f t="shared" si="1"/>
        <v>TS_1_Forecast_Low95_Max</v>
      </c>
      <c r="T62" s="82" t="str">
        <f t="shared" si="1"/>
        <v>TS_1_Forecast_High95_Max</v>
      </c>
      <c r="U62" s="82" t="str">
        <f t="shared" si="1"/>
        <v>FTS_2.1_Forecast_Average_Max</v>
      </c>
      <c r="V62" s="82" t="str">
        <f t="shared" si="1"/>
        <v>FTS_2.1_Forecast_Low95_Max</v>
      </c>
      <c r="W62" s="82" t="str">
        <f t="shared" si="1"/>
        <v>FTS_2.1_Forecast_High95_Max</v>
      </c>
      <c r="X62" s="82" t="str">
        <f t="shared" si="1"/>
        <v>RS_GS_Forecast_Average_Max</v>
      </c>
      <c r="Y62" s="82" t="str">
        <f t="shared" si="1"/>
        <v>RS_GS_Forecast_Low95_Max</v>
      </c>
      <c r="Z62" s="82" t="str">
        <f t="shared" si="1"/>
        <v>RS_GS_Forecast_High95_Max</v>
      </c>
      <c r="AA62" s="82" t="str">
        <f t="shared" si="1"/>
        <v>FTS_AB_Forecast_Average_Max</v>
      </c>
      <c r="AB62" s="82" t="str">
        <f t="shared" si="1"/>
        <v>FTS_AB_Forecast_Low95_Max</v>
      </c>
      <c r="AC62" s="82" t="str">
        <f t="shared" si="1"/>
        <v>FTS_AB_Forecast_High95_Max</v>
      </c>
    </row>
    <row r="63" spans="1:29">
      <c r="A63" s="82" t="s">
        <v>1403</v>
      </c>
      <c r="B63" s="82">
        <v>2022</v>
      </c>
      <c r="C63" s="134">
        <f t="shared" ref="C63:N63" si="2">MAX(C2:C13)</f>
        <v>36.245464820011399</v>
      </c>
      <c r="D63" s="134">
        <f t="shared" si="2"/>
        <v>31.0840129897352</v>
      </c>
      <c r="E63" s="134">
        <f t="shared" si="2"/>
        <v>42.578872179720598</v>
      </c>
      <c r="F63" s="134">
        <f t="shared" si="2"/>
        <v>38.199522317166398</v>
      </c>
      <c r="G63" s="134">
        <f t="shared" si="2"/>
        <v>32.2930448046408</v>
      </c>
      <c r="H63" s="134">
        <f t="shared" si="2"/>
        <v>45.648518461393401</v>
      </c>
      <c r="I63" s="134">
        <f t="shared" si="2"/>
        <v>24.3760953524949</v>
      </c>
      <c r="J63" s="134">
        <f t="shared" si="2"/>
        <v>18.784803549120898</v>
      </c>
      <c r="K63" s="134">
        <f t="shared" si="2"/>
        <v>34.489188514612202</v>
      </c>
      <c r="L63" s="134">
        <f t="shared" si="2"/>
        <v>106.996797968698</v>
      </c>
      <c r="M63" s="134">
        <f t="shared" si="2"/>
        <v>76.183080028532402</v>
      </c>
      <c r="N63" s="134">
        <f t="shared" si="2"/>
        <v>152.84432857829799</v>
      </c>
      <c r="O63" s="505">
        <f t="shared" ref="O63:AC63" si="3">MAX(O2:O13)</f>
        <v>16.25</v>
      </c>
      <c r="P63" s="505">
        <f t="shared" si="3"/>
        <v>12.14</v>
      </c>
      <c r="Q63" s="505">
        <f t="shared" si="3"/>
        <v>20.37</v>
      </c>
      <c r="R63" s="134">
        <f t="shared" si="3"/>
        <v>17.683340884379099</v>
      </c>
      <c r="S63" s="134">
        <f t="shared" si="3"/>
        <v>14.5850242029399</v>
      </c>
      <c r="T63" s="134">
        <f t="shared" si="3"/>
        <v>22.326934355111899</v>
      </c>
      <c r="U63" s="134">
        <f t="shared" si="3"/>
        <v>186.05292102106901</v>
      </c>
      <c r="V63" s="134">
        <f t="shared" si="3"/>
        <v>137.568871536627</v>
      </c>
      <c r="W63" s="134">
        <f t="shared" si="3"/>
        <v>243.18077689739101</v>
      </c>
      <c r="X63" s="134">
        <f t="shared" si="3"/>
        <v>14.123130600517401</v>
      </c>
      <c r="Y63" s="134">
        <f t="shared" si="3"/>
        <v>7.1526128929810602</v>
      </c>
      <c r="Z63" s="134">
        <f t="shared" si="3"/>
        <v>111.772840736955</v>
      </c>
      <c r="AA63" s="134">
        <f t="shared" si="3"/>
        <v>12.657643028241401</v>
      </c>
      <c r="AB63" s="134">
        <f t="shared" si="3"/>
        <v>10.6277059809119</v>
      </c>
      <c r="AC63" s="134">
        <f t="shared" si="3"/>
        <v>15.4053792289276</v>
      </c>
    </row>
    <row r="64" spans="1:29">
      <c r="A64" s="82" t="s">
        <v>1403</v>
      </c>
      <c r="B64" s="82">
        <v>2023</v>
      </c>
      <c r="C64" s="134">
        <f t="shared" ref="C64:N64" si="4">MAX(C14:C25)</f>
        <v>36.245464820011399</v>
      </c>
      <c r="D64" s="134">
        <f t="shared" si="4"/>
        <v>31.0840129897352</v>
      </c>
      <c r="E64" s="134">
        <f t="shared" si="4"/>
        <v>42.578872179720598</v>
      </c>
      <c r="F64" s="134">
        <f t="shared" si="4"/>
        <v>38.199522317166398</v>
      </c>
      <c r="G64" s="134">
        <f t="shared" si="4"/>
        <v>32.2930448046408</v>
      </c>
      <c r="H64" s="134">
        <f t="shared" si="4"/>
        <v>45.648518461393401</v>
      </c>
      <c r="I64" s="134">
        <f t="shared" si="4"/>
        <v>24.3760953524949</v>
      </c>
      <c r="J64" s="134">
        <f t="shared" si="4"/>
        <v>18.784803549120898</v>
      </c>
      <c r="K64" s="134">
        <f t="shared" si="4"/>
        <v>34.489188514612202</v>
      </c>
      <c r="L64" s="134">
        <f t="shared" si="4"/>
        <v>106.996797968698</v>
      </c>
      <c r="M64" s="134">
        <f t="shared" si="4"/>
        <v>76.183080028532402</v>
      </c>
      <c r="N64" s="134">
        <f t="shared" si="4"/>
        <v>152.84432857829799</v>
      </c>
      <c r="O64" s="505">
        <f t="shared" ref="O64:AC64" si="5">MAX(O14:O25)</f>
        <v>16.25</v>
      </c>
      <c r="P64" s="505">
        <f t="shared" si="5"/>
        <v>11.89</v>
      </c>
      <c r="Q64" s="505">
        <f t="shared" si="5"/>
        <v>20.62</v>
      </c>
      <c r="R64" s="134">
        <f t="shared" si="5"/>
        <v>16.737800821783299</v>
      </c>
      <c r="S64" s="134">
        <f t="shared" si="5"/>
        <v>13.325217575345899</v>
      </c>
      <c r="T64" s="134">
        <f t="shared" si="5"/>
        <v>22.3064207840814</v>
      </c>
      <c r="U64" s="134">
        <f t="shared" si="5"/>
        <v>184.34487244345999</v>
      </c>
      <c r="V64" s="134">
        <f t="shared" si="5"/>
        <v>125.747170528753</v>
      </c>
      <c r="W64" s="134">
        <f t="shared" si="5"/>
        <v>256.24155625106602</v>
      </c>
      <c r="X64" s="134">
        <f t="shared" si="5"/>
        <v>14.7947734745481</v>
      </c>
      <c r="Y64" s="134">
        <f t="shared" si="5"/>
        <v>6.86091381842642</v>
      </c>
      <c r="Z64" s="134">
        <f t="shared" si="5"/>
        <v>8684.3734228540907</v>
      </c>
      <c r="AA64" s="134">
        <f t="shared" si="5"/>
        <v>12.657643028241401</v>
      </c>
      <c r="AB64" s="134">
        <f t="shared" si="5"/>
        <v>10.6277059809119</v>
      </c>
      <c r="AC64" s="134">
        <f t="shared" si="5"/>
        <v>15.4053792289276</v>
      </c>
    </row>
    <row r="65" spans="1:29">
      <c r="A65" s="82" t="s">
        <v>1404</v>
      </c>
      <c r="B65" s="82">
        <v>2022</v>
      </c>
      <c r="C65" s="274">
        <f t="shared" ref="C65:N65" si="6">INDEX($A$2:$A$13,MATCH(C63,C2:C13,0))</f>
        <v>44562</v>
      </c>
      <c r="D65" s="274">
        <f t="shared" si="6"/>
        <v>44562</v>
      </c>
      <c r="E65" s="274">
        <f t="shared" si="6"/>
        <v>44562</v>
      </c>
      <c r="F65" s="274">
        <f t="shared" si="6"/>
        <v>44562</v>
      </c>
      <c r="G65" s="274">
        <f t="shared" si="6"/>
        <v>44562</v>
      </c>
      <c r="H65" s="274">
        <f t="shared" si="6"/>
        <v>44562</v>
      </c>
      <c r="I65" s="274">
        <f t="shared" si="6"/>
        <v>44562</v>
      </c>
      <c r="J65" s="274">
        <f t="shared" si="6"/>
        <v>44562</v>
      </c>
      <c r="K65" s="274">
        <f t="shared" si="6"/>
        <v>44562</v>
      </c>
      <c r="L65" s="274">
        <f t="shared" si="6"/>
        <v>44562</v>
      </c>
      <c r="M65" s="274">
        <f t="shared" si="6"/>
        <v>44562</v>
      </c>
      <c r="N65" s="274">
        <f t="shared" si="6"/>
        <v>44562</v>
      </c>
      <c r="O65" s="507">
        <f t="shared" ref="O65:AC65" si="7">INDEX($A$2:$A$13,MATCH(O63,O2:O13,0))</f>
        <v>44621</v>
      </c>
      <c r="P65" s="507">
        <f t="shared" si="7"/>
        <v>44621</v>
      </c>
      <c r="Q65" s="507">
        <f t="shared" si="7"/>
        <v>44621</v>
      </c>
      <c r="R65" s="274">
        <f t="shared" si="7"/>
        <v>44562</v>
      </c>
      <c r="S65" s="274">
        <f t="shared" si="7"/>
        <v>44562</v>
      </c>
      <c r="T65" s="274">
        <f t="shared" si="7"/>
        <v>44562</v>
      </c>
      <c r="U65" s="274">
        <f t="shared" si="7"/>
        <v>44562</v>
      </c>
      <c r="V65" s="274">
        <f t="shared" si="7"/>
        <v>44562</v>
      </c>
      <c r="W65" s="274">
        <f t="shared" si="7"/>
        <v>44562</v>
      </c>
      <c r="X65" s="274">
        <f t="shared" si="7"/>
        <v>44562</v>
      </c>
      <c r="Y65" s="274">
        <f t="shared" si="7"/>
        <v>44562</v>
      </c>
      <c r="Z65" s="274">
        <f t="shared" si="7"/>
        <v>44562</v>
      </c>
      <c r="AA65" s="274">
        <f t="shared" si="7"/>
        <v>44562</v>
      </c>
      <c r="AB65" s="274">
        <f t="shared" si="7"/>
        <v>44562</v>
      </c>
      <c r="AC65" s="274">
        <f t="shared" si="7"/>
        <v>44562</v>
      </c>
    </row>
    <row r="66" spans="1:29">
      <c r="A66" s="82" t="s">
        <v>1404</v>
      </c>
      <c r="B66" s="82">
        <v>2023</v>
      </c>
      <c r="C66" s="274">
        <f t="shared" ref="C66:N66" si="8">INDEX($A$14:$A$25,MATCH(C64,C14:C25,0))</f>
        <v>44927</v>
      </c>
      <c r="D66" s="274">
        <f t="shared" si="8"/>
        <v>44927</v>
      </c>
      <c r="E66" s="274">
        <f t="shared" si="8"/>
        <v>44927</v>
      </c>
      <c r="F66" s="274">
        <f t="shared" si="8"/>
        <v>44927</v>
      </c>
      <c r="G66" s="274">
        <f t="shared" si="8"/>
        <v>44927</v>
      </c>
      <c r="H66" s="274">
        <f t="shared" si="8"/>
        <v>44927</v>
      </c>
      <c r="I66" s="274">
        <f t="shared" si="8"/>
        <v>44927</v>
      </c>
      <c r="J66" s="274">
        <f t="shared" si="8"/>
        <v>44927</v>
      </c>
      <c r="K66" s="274">
        <f t="shared" si="8"/>
        <v>44927</v>
      </c>
      <c r="L66" s="274">
        <f t="shared" si="8"/>
        <v>44927</v>
      </c>
      <c r="M66" s="274">
        <f t="shared" si="8"/>
        <v>44927</v>
      </c>
      <c r="N66" s="274">
        <f t="shared" si="8"/>
        <v>44927</v>
      </c>
      <c r="O66" s="507">
        <f t="shared" ref="O66:AC66" si="9">INDEX($A$14:$A$25,MATCH(O64,O14:O25,0))</f>
        <v>44986</v>
      </c>
      <c r="P66" s="507">
        <f t="shared" si="9"/>
        <v>44986</v>
      </c>
      <c r="Q66" s="507">
        <f t="shared" si="9"/>
        <v>44986</v>
      </c>
      <c r="R66" s="274">
        <f t="shared" si="9"/>
        <v>44927</v>
      </c>
      <c r="S66" s="274">
        <f t="shared" si="9"/>
        <v>44927</v>
      </c>
      <c r="T66" s="274">
        <f t="shared" si="9"/>
        <v>44927</v>
      </c>
      <c r="U66" s="274">
        <f t="shared" si="9"/>
        <v>44927</v>
      </c>
      <c r="V66" s="274">
        <f t="shared" si="9"/>
        <v>44927</v>
      </c>
      <c r="W66" s="274">
        <f t="shared" si="9"/>
        <v>44927</v>
      </c>
      <c r="X66" s="274">
        <f t="shared" si="9"/>
        <v>44927</v>
      </c>
      <c r="Y66" s="274">
        <f t="shared" si="9"/>
        <v>44927</v>
      </c>
      <c r="Z66" s="274">
        <f t="shared" si="9"/>
        <v>44927</v>
      </c>
      <c r="AA66" s="274">
        <f t="shared" si="9"/>
        <v>44927</v>
      </c>
      <c r="AB66" s="274">
        <f t="shared" si="9"/>
        <v>44927</v>
      </c>
      <c r="AC66" s="274">
        <f t="shared" si="9"/>
        <v>44927</v>
      </c>
    </row>
  </sheetData>
  <autoFilter ref="A1:AC66" xr:uid="{26CA333F-4527-4763-809B-207BAA24FE36}"/>
  <conditionalFormatting sqref="C2:AC61">
    <cfRule type="cellIs" dxfId="0" priority="1" operator="less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B0D9A-A12C-4F8A-88BE-DE87D157EDF7}">
  <sheetPr codeName="Sheet38">
    <tabColor theme="4" tint="0.39997558519241921"/>
  </sheetPr>
  <dimension ref="A1:AO61"/>
  <sheetViews>
    <sheetView workbookViewId="0"/>
  </sheetViews>
  <sheetFormatPr defaultColWidth="9.140625" defaultRowHeight="12.75"/>
  <cols>
    <col min="1" max="1" width="10.42578125" style="82" bestFit="1" customWidth="1"/>
    <col min="2" max="2" width="10.42578125" style="82" customWidth="1"/>
    <col min="3" max="3" width="22.85546875" style="82" bestFit="1" customWidth="1"/>
    <col min="4" max="4" width="21.42578125" style="82" bestFit="1" customWidth="1"/>
    <col min="5" max="5" width="21.85546875" style="82" bestFit="1" customWidth="1"/>
    <col min="6" max="6" width="20" style="82" bestFit="1" customWidth="1"/>
    <col min="7" max="7" width="18.5703125" style="82" bestFit="1" customWidth="1"/>
    <col min="8" max="8" width="19" style="82" bestFit="1" customWidth="1"/>
    <col min="9" max="9" width="19.7109375" style="82" bestFit="1" customWidth="1"/>
    <col min="10" max="10" width="18.42578125" style="82" bestFit="1" customWidth="1"/>
    <col min="11" max="11" width="18.7109375" style="82" bestFit="1" customWidth="1"/>
    <col min="12" max="12" width="20" style="82" bestFit="1" customWidth="1"/>
    <col min="13" max="13" width="18.5703125" style="82" bestFit="1" customWidth="1"/>
    <col min="14" max="14" width="19" style="82" bestFit="1" customWidth="1"/>
    <col min="15" max="15" width="30.5703125" style="82" bestFit="1" customWidth="1"/>
    <col min="16" max="16" width="29.140625" style="82" bestFit="1" customWidth="1"/>
    <col min="17" max="17" width="29.5703125" style="82" bestFit="1" customWidth="1"/>
    <col min="18" max="18" width="20.5703125" style="82" bestFit="1" customWidth="1"/>
    <col min="19" max="19" width="11" style="82" bestFit="1" customWidth="1"/>
    <col min="20" max="20" width="19.5703125" style="82" bestFit="1" customWidth="1"/>
    <col min="21" max="21" width="20.5703125" style="82" bestFit="1" customWidth="1"/>
    <col min="22" max="22" width="19.28515625" style="82" bestFit="1" customWidth="1"/>
    <col min="23" max="23" width="19.5703125" style="82" bestFit="1" customWidth="1"/>
    <col min="24" max="24" width="22.28515625" style="82" bestFit="1" customWidth="1"/>
    <col min="25" max="25" width="20.85546875" style="82" bestFit="1" customWidth="1"/>
    <col min="26" max="26" width="21.28515625" style="82" bestFit="1" customWidth="1"/>
    <col min="27" max="27" width="20.5703125" style="82" bestFit="1" customWidth="1"/>
    <col min="28" max="28" width="19.28515625" style="82" bestFit="1" customWidth="1"/>
    <col min="29" max="29" width="19.5703125" style="82" bestFit="1" customWidth="1"/>
    <col min="30" max="30" width="22.28515625" style="82" bestFit="1" customWidth="1"/>
    <col min="31" max="31" width="20.85546875" style="82" bestFit="1" customWidth="1"/>
    <col min="32" max="32" width="21.28515625" style="82" bestFit="1" customWidth="1"/>
    <col min="33" max="33" width="20.5703125" style="82" bestFit="1" customWidth="1"/>
    <col min="34" max="34" width="19.28515625" style="82" bestFit="1" customWidth="1"/>
    <col min="35" max="35" width="19.5703125" style="82" bestFit="1" customWidth="1"/>
    <col min="36" max="36" width="21.140625" style="82" bestFit="1" customWidth="1"/>
    <col min="37" max="37" width="19.5703125" style="82" bestFit="1" customWidth="1"/>
    <col min="38" max="38" width="20" style="82" bestFit="1" customWidth="1"/>
    <col min="39" max="39" width="23" style="82" bestFit="1" customWidth="1"/>
    <col min="40" max="40" width="21.5703125" style="82" bestFit="1" customWidth="1"/>
    <col min="41" max="41" width="22" style="82" bestFit="1" customWidth="1"/>
    <col min="42" max="16384" width="9.140625" style="82"/>
  </cols>
  <sheetData>
    <row r="1" spans="1:41">
      <c r="A1" s="130" t="s">
        <v>123</v>
      </c>
      <c r="B1" s="130" t="s">
        <v>128</v>
      </c>
      <c r="C1" s="84" t="s">
        <v>1039</v>
      </c>
      <c r="D1" s="85" t="s">
        <v>1040</v>
      </c>
      <c r="E1" s="86" t="s">
        <v>1041</v>
      </c>
      <c r="F1" s="84" t="s">
        <v>1043</v>
      </c>
      <c r="G1" s="85" t="s">
        <v>1045</v>
      </c>
      <c r="H1" s="86" t="s">
        <v>1046</v>
      </c>
      <c r="I1" s="84" t="s">
        <v>1048</v>
      </c>
      <c r="J1" s="85" t="s">
        <v>1050</v>
      </c>
      <c r="K1" s="86" t="s">
        <v>1052</v>
      </c>
      <c r="L1" s="84" t="s">
        <v>1054</v>
      </c>
      <c r="M1" s="85" t="s">
        <v>1056</v>
      </c>
      <c r="N1" s="86" t="s">
        <v>1058</v>
      </c>
      <c r="O1" s="84" t="s">
        <v>1060</v>
      </c>
      <c r="P1" s="85" t="s">
        <v>1062</v>
      </c>
      <c r="Q1" s="86" t="s">
        <v>1064</v>
      </c>
      <c r="R1" s="84" t="s">
        <v>1065</v>
      </c>
      <c r="S1" s="85" t="s">
        <v>1066</v>
      </c>
      <c r="T1" s="86" t="s">
        <v>1067</v>
      </c>
      <c r="U1" s="84" t="s">
        <v>1068</v>
      </c>
      <c r="V1" s="85" t="s">
        <v>1069</v>
      </c>
      <c r="W1" s="86" t="s">
        <v>1070</v>
      </c>
      <c r="X1" s="84" t="s">
        <v>1071</v>
      </c>
      <c r="Y1" s="85" t="s">
        <v>1072</v>
      </c>
      <c r="Z1" s="86" t="s">
        <v>1073</v>
      </c>
      <c r="AA1" s="84" t="s">
        <v>1074</v>
      </c>
      <c r="AB1" s="85" t="s">
        <v>1075</v>
      </c>
      <c r="AC1" s="86" t="s">
        <v>1076</v>
      </c>
      <c r="AD1" s="84" t="s">
        <v>1077</v>
      </c>
      <c r="AE1" s="85" t="s">
        <v>1078</v>
      </c>
      <c r="AF1" s="86" t="s">
        <v>1079</v>
      </c>
      <c r="AG1" s="84" t="s">
        <v>1080</v>
      </c>
      <c r="AH1" s="85" t="s">
        <v>1081</v>
      </c>
      <c r="AI1" s="86" t="s">
        <v>1082</v>
      </c>
      <c r="AJ1" s="84" t="s">
        <v>1083</v>
      </c>
      <c r="AK1" s="85" t="s">
        <v>1084</v>
      </c>
      <c r="AL1" s="86" t="s">
        <v>1085</v>
      </c>
      <c r="AM1" s="152" t="s">
        <v>1279</v>
      </c>
      <c r="AN1" s="152" t="s">
        <v>1280</v>
      </c>
      <c r="AO1" s="152" t="s">
        <v>1281</v>
      </c>
    </row>
    <row r="2" spans="1:41">
      <c r="A2" s="131">
        <v>44562</v>
      </c>
      <c r="B2" s="82">
        <f>YEAR(A2)</f>
        <v>2022</v>
      </c>
      <c r="C2" s="133">
        <v>7589.7249811247102</v>
      </c>
      <c r="D2" s="133">
        <v>7327.6520705547</v>
      </c>
      <c r="E2" s="133">
        <v>7864.2007851497401</v>
      </c>
      <c r="F2" s="133">
        <v>3077.6458868078398</v>
      </c>
      <c r="G2" s="133">
        <v>3035.96759400774</v>
      </c>
      <c r="H2" s="133">
        <v>3119.7202014831801</v>
      </c>
      <c r="I2" s="133">
        <v>1868.07814050199</v>
      </c>
      <c r="J2" s="133">
        <v>1851.14833402971</v>
      </c>
      <c r="K2" s="133">
        <v>1885.00794697427</v>
      </c>
      <c r="L2" s="133">
        <v>877.40963300714805</v>
      </c>
      <c r="M2" s="133">
        <v>855.52529727749095</v>
      </c>
      <c r="N2" s="133">
        <v>898.761293300489</v>
      </c>
      <c r="O2" s="133">
        <v>22.789027263344199</v>
      </c>
      <c r="P2" s="133">
        <v>19.987291539518601</v>
      </c>
      <c r="Q2" s="133">
        <v>25.5907629871698</v>
      </c>
      <c r="R2" s="133">
        <v>196.62790054795801</v>
      </c>
      <c r="S2" s="133">
        <v>184.92549583853099</v>
      </c>
      <c r="T2" s="133">
        <v>207.671958769866</v>
      </c>
      <c r="U2" s="133">
        <v>96.575738652790307</v>
      </c>
      <c r="V2" s="133">
        <v>91.481993624839703</v>
      </c>
      <c r="W2" s="133">
        <v>102.103924585915</v>
      </c>
      <c r="X2" s="133">
        <v>225.82679129838101</v>
      </c>
      <c r="Y2" s="133">
        <v>219.10208934472101</v>
      </c>
      <c r="Z2" s="133">
        <v>232.66213454966001</v>
      </c>
      <c r="AA2" s="133">
        <v>300.362430711684</v>
      </c>
      <c r="AB2" s="133">
        <v>294.32735461455701</v>
      </c>
      <c r="AC2" s="133">
        <v>306.39538515001999</v>
      </c>
      <c r="AD2" s="133">
        <v>332.921931002485</v>
      </c>
      <c r="AE2" s="133">
        <v>326.90968505818199</v>
      </c>
      <c r="AF2" s="133">
        <v>338.934176946788</v>
      </c>
      <c r="AG2" s="133">
        <v>204.33992718228399</v>
      </c>
      <c r="AH2" s="133">
        <v>199.692197614093</v>
      </c>
      <c r="AI2" s="133">
        <v>208.98765675047599</v>
      </c>
      <c r="AJ2" s="133">
        <v>301.65146699417301</v>
      </c>
      <c r="AK2" s="133">
        <v>298.91597286788198</v>
      </c>
      <c r="AL2" s="133">
        <v>304.38696112046398</v>
      </c>
      <c r="AM2" s="133">
        <v>12.3436057032915</v>
      </c>
      <c r="AN2" s="133">
        <v>9.7003924510478399</v>
      </c>
      <c r="AO2" s="133">
        <v>15.090751283486499</v>
      </c>
    </row>
    <row r="3" spans="1:41">
      <c r="A3" s="131">
        <v>44593</v>
      </c>
      <c r="B3" s="82">
        <f t="shared" ref="B3:B61" si="0">YEAR(A3)</f>
        <v>2022</v>
      </c>
      <c r="C3" s="133">
        <v>7616.1753413439001</v>
      </c>
      <c r="D3" s="133">
        <v>7231.7295195213201</v>
      </c>
      <c r="E3" s="133">
        <v>8027.8120752740697</v>
      </c>
      <c r="F3" s="133">
        <v>3087.8851049274299</v>
      </c>
      <c r="G3" s="133">
        <v>3026.8288648728198</v>
      </c>
      <c r="H3" s="133">
        <v>3149.7921358001799</v>
      </c>
      <c r="I3" s="133">
        <v>1875.1470178658899</v>
      </c>
      <c r="J3" s="133">
        <v>1853.7796992639501</v>
      </c>
      <c r="K3" s="133">
        <v>1896.5143364678299</v>
      </c>
      <c r="L3" s="133">
        <v>875.478157758159</v>
      </c>
      <c r="M3" s="133">
        <v>848.87551419357999</v>
      </c>
      <c r="N3" s="133">
        <v>901.29599544540702</v>
      </c>
      <c r="O3" s="133">
        <v>23.0318931603829</v>
      </c>
      <c r="P3" s="133">
        <v>19.6649244293625</v>
      </c>
      <c r="Q3" s="133">
        <v>26.398861891403399</v>
      </c>
      <c r="R3" s="133">
        <v>199.17834445294099</v>
      </c>
      <c r="S3" s="133">
        <v>186.375413123622</v>
      </c>
      <c r="T3" s="133">
        <v>211.20666118089599</v>
      </c>
      <c r="U3" s="133">
        <v>100.290297232692</v>
      </c>
      <c r="V3" s="133">
        <v>93.736176387899107</v>
      </c>
      <c r="W3" s="133">
        <v>107.55142391686</v>
      </c>
      <c r="X3" s="133">
        <v>226.09179004131801</v>
      </c>
      <c r="Y3" s="133">
        <v>217.92173107987699</v>
      </c>
      <c r="Z3" s="133">
        <v>234.42554991497499</v>
      </c>
      <c r="AA3" s="133">
        <v>303.74264046818797</v>
      </c>
      <c r="AB3" s="133">
        <v>296.888140247546</v>
      </c>
      <c r="AC3" s="133">
        <v>310.59443429800803</v>
      </c>
      <c r="AD3" s="133">
        <v>332.35333807546402</v>
      </c>
      <c r="AE3" s="133">
        <v>324.99662550582599</v>
      </c>
      <c r="AF3" s="133">
        <v>339.71005064510098</v>
      </c>
      <c r="AG3" s="133">
        <v>205.33441807363701</v>
      </c>
      <c r="AH3" s="133">
        <v>199.90165387356899</v>
      </c>
      <c r="AI3" s="133">
        <v>210.767182273705</v>
      </c>
      <c r="AJ3" s="133">
        <v>303.19561832040699</v>
      </c>
      <c r="AK3" s="133">
        <v>300.01054540003798</v>
      </c>
      <c r="AL3" s="133">
        <v>306.380691240776</v>
      </c>
      <c r="AM3" s="133">
        <v>12.655023483830499</v>
      </c>
      <c r="AN3" s="133">
        <v>9.9753510146532705</v>
      </c>
      <c r="AO3" s="133">
        <v>15.4388259767601</v>
      </c>
    </row>
    <row r="4" spans="1:41">
      <c r="A4" s="131">
        <v>44621</v>
      </c>
      <c r="B4" s="82">
        <f t="shared" si="0"/>
        <v>2022</v>
      </c>
      <c r="C4" s="133">
        <v>7639.7998641303002</v>
      </c>
      <c r="D4" s="133">
        <v>7207.8195449431596</v>
      </c>
      <c r="E4" s="133">
        <v>8106.2975218912297</v>
      </c>
      <c r="F4" s="133">
        <v>3098.6448626821998</v>
      </c>
      <c r="G4" s="133">
        <v>3030.3889081904199</v>
      </c>
      <c r="H4" s="133">
        <v>3167.9620854371501</v>
      </c>
      <c r="I4" s="133">
        <v>1878.5104755345401</v>
      </c>
      <c r="J4" s="133">
        <v>1854.9027059739999</v>
      </c>
      <c r="K4" s="133">
        <v>1902.1182450950701</v>
      </c>
      <c r="L4" s="133">
        <v>873.29353982916098</v>
      </c>
      <c r="M4" s="133">
        <v>844.382464474725</v>
      </c>
      <c r="N4" s="133">
        <v>901.27775162852299</v>
      </c>
      <c r="O4" s="133">
        <v>23.0709377716862</v>
      </c>
      <c r="P4" s="133">
        <v>19.4404073325063</v>
      </c>
      <c r="Q4" s="133">
        <v>26.7014682108661</v>
      </c>
      <c r="R4" s="133">
        <v>194.05350566861901</v>
      </c>
      <c r="S4" s="133">
        <v>180.33656215211599</v>
      </c>
      <c r="T4" s="133">
        <v>206.86294061145699</v>
      </c>
      <c r="U4" s="133">
        <v>102.177441962228</v>
      </c>
      <c r="V4" s="133">
        <v>94.914090930559993</v>
      </c>
      <c r="W4" s="133">
        <v>110.301178325846</v>
      </c>
      <c r="X4" s="133">
        <v>226.25769372375899</v>
      </c>
      <c r="Y4" s="133">
        <v>217.47884792257099</v>
      </c>
      <c r="Z4" s="133">
        <v>235.225688541328</v>
      </c>
      <c r="AA4" s="133">
        <v>303.089895364173</v>
      </c>
      <c r="AB4" s="133">
        <v>295.61703305125599</v>
      </c>
      <c r="AC4" s="133">
        <v>310.559534095689</v>
      </c>
      <c r="AD4" s="133">
        <v>333.86469545146298</v>
      </c>
      <c r="AE4" s="133">
        <v>325.57618755497498</v>
      </c>
      <c r="AF4" s="133">
        <v>342.15320334795098</v>
      </c>
      <c r="AG4" s="133">
        <v>205.761282265321</v>
      </c>
      <c r="AH4" s="133">
        <v>199.71638365751201</v>
      </c>
      <c r="AI4" s="133">
        <v>211.80618087312999</v>
      </c>
      <c r="AJ4" s="133">
        <v>302.61179679576298</v>
      </c>
      <c r="AK4" s="133">
        <v>299.033186604479</v>
      </c>
      <c r="AL4" s="133">
        <v>306.19040698704703</v>
      </c>
      <c r="AM4" s="133">
        <v>10.5365755563828</v>
      </c>
      <c r="AN4" s="133">
        <v>7.8476924762135196</v>
      </c>
      <c r="AO4" s="133">
        <v>13.3527691819202</v>
      </c>
    </row>
    <row r="5" spans="1:41">
      <c r="A5" s="131">
        <v>44652</v>
      </c>
      <c r="B5" s="82">
        <f t="shared" si="0"/>
        <v>2022</v>
      </c>
      <c r="C5" s="133">
        <v>7611.2785111422399</v>
      </c>
      <c r="D5" s="133">
        <v>7156.1981877040198</v>
      </c>
      <c r="E5" s="133">
        <v>8104.98695473099</v>
      </c>
      <c r="F5" s="133">
        <v>3093.0822584462999</v>
      </c>
      <c r="G5" s="133">
        <v>3018.54555810798</v>
      </c>
      <c r="H5" s="133">
        <v>3168.88865920233</v>
      </c>
      <c r="I5" s="133">
        <v>1869.2574895574901</v>
      </c>
      <c r="J5" s="133">
        <v>1844.4165388004801</v>
      </c>
      <c r="K5" s="133">
        <v>1894.0984403145001</v>
      </c>
      <c r="L5" s="133">
        <v>855.75844960260304</v>
      </c>
      <c r="M5" s="133">
        <v>824.102129099423</v>
      </c>
      <c r="N5" s="133">
        <v>886.28486981144397</v>
      </c>
      <c r="O5" s="133">
        <v>23.263436047161399</v>
      </c>
      <c r="P5" s="133">
        <v>19.475525088200499</v>
      </c>
      <c r="Q5" s="133">
        <v>27.051347006122398</v>
      </c>
      <c r="R5" s="133">
        <v>183.641702398305</v>
      </c>
      <c r="S5" s="133">
        <v>168.51403750750001</v>
      </c>
      <c r="T5" s="133">
        <v>197.614776328517</v>
      </c>
      <c r="U5" s="133">
        <v>100.988946136851</v>
      </c>
      <c r="V5" s="133">
        <v>93.600078180877503</v>
      </c>
      <c r="W5" s="133">
        <v>109.281796209418</v>
      </c>
      <c r="X5" s="133">
        <v>221.94497513912199</v>
      </c>
      <c r="Y5" s="133">
        <v>212.98569053395801</v>
      </c>
      <c r="Z5" s="133">
        <v>231.10526858577799</v>
      </c>
      <c r="AA5" s="133">
        <v>304.154736356873</v>
      </c>
      <c r="AB5" s="133">
        <v>296.20172400058402</v>
      </c>
      <c r="AC5" s="133">
        <v>312.10411040769998</v>
      </c>
      <c r="AD5" s="133">
        <v>329.15767842147</v>
      </c>
      <c r="AE5" s="133">
        <v>320.07350039448602</v>
      </c>
      <c r="AF5" s="133">
        <v>338.24185644845397</v>
      </c>
      <c r="AG5" s="133">
        <v>204.731120075517</v>
      </c>
      <c r="AH5" s="133">
        <v>198.19061266906601</v>
      </c>
      <c r="AI5" s="133">
        <v>211.27162748196801</v>
      </c>
      <c r="AJ5" s="133">
        <v>303.89642472039901</v>
      </c>
      <c r="AK5" s="133">
        <v>299.96345989799698</v>
      </c>
      <c r="AL5" s="133">
        <v>307.82938954280201</v>
      </c>
      <c r="AM5" s="133">
        <v>11.164118046120301</v>
      </c>
      <c r="AN5" s="133">
        <v>8.3623204019016093</v>
      </c>
      <c r="AO5" s="133">
        <v>14.0962303515005</v>
      </c>
    </row>
    <row r="6" spans="1:41">
      <c r="A6" s="131">
        <v>44682</v>
      </c>
      <c r="B6" s="82">
        <f t="shared" si="0"/>
        <v>2022</v>
      </c>
      <c r="C6" s="133">
        <v>7529.3226234186895</v>
      </c>
      <c r="D6" s="133">
        <v>7057.1996506614496</v>
      </c>
      <c r="E6" s="133">
        <v>8043.6479411536202</v>
      </c>
      <c r="F6" s="133">
        <v>3058.8825409085598</v>
      </c>
      <c r="G6" s="133">
        <v>2979.1153034913</v>
      </c>
      <c r="H6" s="133">
        <v>3140.1222545656901</v>
      </c>
      <c r="I6" s="133">
        <v>1851.7012660484299</v>
      </c>
      <c r="J6" s="133">
        <v>1826.1572271551499</v>
      </c>
      <c r="K6" s="133">
        <v>1877.2453049417099</v>
      </c>
      <c r="L6" s="133">
        <v>823.30122619757003</v>
      </c>
      <c r="M6" s="133">
        <v>788.25580589076606</v>
      </c>
      <c r="N6" s="133">
        <v>856.91468367231005</v>
      </c>
      <c r="O6" s="133">
        <v>23.4462521229473</v>
      </c>
      <c r="P6" s="133">
        <v>19.546018220893199</v>
      </c>
      <c r="Q6" s="133">
        <v>27.346486025001401</v>
      </c>
      <c r="R6" s="133">
        <v>181.12878471910099</v>
      </c>
      <c r="S6" s="133">
        <v>165.21256379345601</v>
      </c>
      <c r="T6" s="133">
        <v>195.755245513478</v>
      </c>
      <c r="U6" s="133">
        <v>101.009331463303</v>
      </c>
      <c r="V6" s="133">
        <v>93.494817273544697</v>
      </c>
      <c r="W6" s="133">
        <v>109.46056508868899</v>
      </c>
      <c r="X6" s="133">
        <v>220.516202564678</v>
      </c>
      <c r="Y6" s="133">
        <v>211.46134561100899</v>
      </c>
      <c r="Z6" s="133">
        <v>229.77779056976499</v>
      </c>
      <c r="AA6" s="133">
        <v>304.36730520496201</v>
      </c>
      <c r="AB6" s="133">
        <v>296.03329609439902</v>
      </c>
      <c r="AC6" s="133">
        <v>312.697321898491</v>
      </c>
      <c r="AD6" s="133">
        <v>327.50504529650999</v>
      </c>
      <c r="AE6" s="133">
        <v>317.69848632117697</v>
      </c>
      <c r="AF6" s="133">
        <v>337.31160427184301</v>
      </c>
      <c r="AG6" s="133">
        <v>203.17929484138301</v>
      </c>
      <c r="AH6" s="133">
        <v>196.22837150188701</v>
      </c>
      <c r="AI6" s="133">
        <v>210.13021818088001</v>
      </c>
      <c r="AJ6" s="133">
        <v>303.19557414214</v>
      </c>
      <c r="AK6" s="133">
        <v>298.93764346077</v>
      </c>
      <c r="AL6" s="133">
        <v>307.45350482351</v>
      </c>
      <c r="AM6" s="133">
        <v>10.2576388580071</v>
      </c>
      <c r="AN6" s="133">
        <v>7.4213654283207404</v>
      </c>
      <c r="AO6" s="133">
        <v>13.2402353411258</v>
      </c>
    </row>
    <row r="7" spans="1:41">
      <c r="A7" s="131">
        <v>44713</v>
      </c>
      <c r="B7" s="82">
        <f t="shared" si="0"/>
        <v>2022</v>
      </c>
      <c r="C7" s="133">
        <v>7466.6825985269697</v>
      </c>
      <c r="D7" s="133">
        <v>6977.7357398497898</v>
      </c>
      <c r="E7" s="133">
        <v>8001.4540373939199</v>
      </c>
      <c r="F7" s="133">
        <v>3022.0824898303499</v>
      </c>
      <c r="G7" s="133">
        <v>2937.6304648620699</v>
      </c>
      <c r="H7" s="133">
        <v>3108.2073452083901</v>
      </c>
      <c r="I7" s="133">
        <v>1852.0499264319401</v>
      </c>
      <c r="J7" s="133">
        <v>1826.0980008931799</v>
      </c>
      <c r="K7" s="133">
        <v>1878.00185197069</v>
      </c>
      <c r="L7" s="133">
        <v>817.873843632226</v>
      </c>
      <c r="M7" s="133">
        <v>780.59127053790405</v>
      </c>
      <c r="N7" s="133">
        <v>853.52956082917603</v>
      </c>
      <c r="O7" s="133">
        <v>23.4525714997215</v>
      </c>
      <c r="P7" s="133">
        <v>19.461457850517899</v>
      </c>
      <c r="Q7" s="133">
        <v>27.443685148925201</v>
      </c>
      <c r="R7" s="133">
        <v>177.09315431446899</v>
      </c>
      <c r="S7" s="133">
        <v>160.21989059894699</v>
      </c>
      <c r="T7" s="133">
        <v>192.49310453980999</v>
      </c>
      <c r="U7" s="133">
        <v>101.618160668748</v>
      </c>
      <c r="V7" s="133">
        <v>93.974626958726304</v>
      </c>
      <c r="W7" s="133">
        <v>110.226377644664</v>
      </c>
      <c r="X7" s="133">
        <v>221.43267583341799</v>
      </c>
      <c r="Y7" s="133">
        <v>212.29668039492699</v>
      </c>
      <c r="Z7" s="133">
        <v>230.77827592948501</v>
      </c>
      <c r="AA7" s="133">
        <v>302.32081532877402</v>
      </c>
      <c r="AB7" s="133">
        <v>293.67962339059397</v>
      </c>
      <c r="AC7" s="133">
        <v>310.95768609972498</v>
      </c>
      <c r="AD7" s="133">
        <v>327.21149990248603</v>
      </c>
      <c r="AE7" s="133">
        <v>316.73423506920898</v>
      </c>
      <c r="AF7" s="133">
        <v>337.68876473576302</v>
      </c>
      <c r="AG7" s="133">
        <v>200.725267371342</v>
      </c>
      <c r="AH7" s="133">
        <v>193.429357771957</v>
      </c>
      <c r="AI7" s="133">
        <v>208.021176970727</v>
      </c>
      <c r="AJ7" s="133">
        <v>303.19533573880801</v>
      </c>
      <c r="AK7" s="133">
        <v>298.63554023018702</v>
      </c>
      <c r="AL7" s="133">
        <v>307.75513124742901</v>
      </c>
      <c r="AM7" s="133">
        <v>10.860680761010499</v>
      </c>
      <c r="AN7" s="133">
        <v>7.9128511135411896</v>
      </c>
      <c r="AO7" s="133">
        <v>13.9575911861525</v>
      </c>
    </row>
    <row r="8" spans="1:41">
      <c r="A8" s="131">
        <v>44743</v>
      </c>
      <c r="B8" s="82">
        <f t="shared" si="0"/>
        <v>2022</v>
      </c>
      <c r="C8" s="133">
        <v>7377.0544575548302</v>
      </c>
      <c r="D8" s="133">
        <v>6875.1719271807897</v>
      </c>
      <c r="E8" s="133">
        <v>7927.9834924534698</v>
      </c>
      <c r="F8" s="133">
        <v>2983.0302611346001</v>
      </c>
      <c r="G8" s="133">
        <v>2894.3604043455098</v>
      </c>
      <c r="H8" s="133">
        <v>3073.5707235507002</v>
      </c>
      <c r="I8" s="133">
        <v>1848.7704197821599</v>
      </c>
      <c r="J8" s="133">
        <v>1822.5796466240799</v>
      </c>
      <c r="K8" s="133">
        <v>1874.9611929402399</v>
      </c>
      <c r="L8" s="133">
        <v>804.56164118209199</v>
      </c>
      <c r="M8" s="133">
        <v>764.69767491712696</v>
      </c>
      <c r="N8" s="133">
        <v>842.54172394736497</v>
      </c>
      <c r="O8" s="133">
        <v>23.113574939334999</v>
      </c>
      <c r="P8" s="133">
        <v>19.0426913897799</v>
      </c>
      <c r="Q8" s="133">
        <v>27.184458488890201</v>
      </c>
      <c r="R8" s="133">
        <v>180.11954129920099</v>
      </c>
      <c r="S8" s="133">
        <v>163.02699575217801</v>
      </c>
      <c r="T8" s="133">
        <v>195.725154258213</v>
      </c>
      <c r="U8" s="133">
        <v>96.442628345630794</v>
      </c>
      <c r="V8" s="133">
        <v>89.3322528626381</v>
      </c>
      <c r="W8" s="133">
        <v>104.430410165246</v>
      </c>
      <c r="X8" s="133">
        <v>213.83579279024099</v>
      </c>
      <c r="Y8" s="133">
        <v>204.844857977815</v>
      </c>
      <c r="Z8" s="133">
        <v>223.03703379349901</v>
      </c>
      <c r="AA8" s="133">
        <v>295.84786697273199</v>
      </c>
      <c r="AB8" s="133">
        <v>286.95501574661</v>
      </c>
      <c r="AC8" s="133">
        <v>304.73604159436002</v>
      </c>
      <c r="AD8" s="133">
        <v>326.888227906297</v>
      </c>
      <c r="AE8" s="133">
        <v>315.78113011606899</v>
      </c>
      <c r="AF8" s="133">
        <v>337.99532569652501</v>
      </c>
      <c r="AG8" s="133">
        <v>199.883168459431</v>
      </c>
      <c r="AH8" s="133">
        <v>192.29419366040901</v>
      </c>
      <c r="AI8" s="133">
        <v>207.472143258454</v>
      </c>
      <c r="AJ8" s="133">
        <v>304.12924817784398</v>
      </c>
      <c r="AK8" s="133">
        <v>299.28636716820398</v>
      </c>
      <c r="AL8" s="133">
        <v>308.97212918748397</v>
      </c>
      <c r="AM8" s="133">
        <v>10.5542175045489</v>
      </c>
      <c r="AN8" s="133">
        <v>7.5467496503211597</v>
      </c>
      <c r="AO8" s="133">
        <v>13.721947664159799</v>
      </c>
    </row>
    <row r="9" spans="1:41">
      <c r="A9" s="131">
        <v>44774</v>
      </c>
      <c r="B9" s="82">
        <f t="shared" si="0"/>
        <v>2022</v>
      </c>
      <c r="C9" s="133">
        <v>7371.9814754908002</v>
      </c>
      <c r="D9" s="133">
        <v>6850.9558111139604</v>
      </c>
      <c r="E9" s="133">
        <v>7946.1040911866503</v>
      </c>
      <c r="F9" s="133">
        <v>2965.63515948964</v>
      </c>
      <c r="G9" s="133">
        <v>2872.6381246675901</v>
      </c>
      <c r="H9" s="133">
        <v>3060.7043083338099</v>
      </c>
      <c r="I9" s="133">
        <v>1845.7993818406301</v>
      </c>
      <c r="J9" s="133">
        <v>1819.46801243604</v>
      </c>
      <c r="K9" s="133">
        <v>1872.1307512452199</v>
      </c>
      <c r="L9" s="133">
        <v>807.67378786243103</v>
      </c>
      <c r="M9" s="133">
        <v>766.12792464651397</v>
      </c>
      <c r="N9" s="133">
        <v>847.18483144631602</v>
      </c>
      <c r="O9" s="133">
        <v>22.944231522773599</v>
      </c>
      <c r="P9" s="133">
        <v>18.799772992632199</v>
      </c>
      <c r="Q9" s="133">
        <v>27.088690052914998</v>
      </c>
      <c r="R9" s="133">
        <v>177.040718428497</v>
      </c>
      <c r="S9" s="133">
        <v>159.089613227352</v>
      </c>
      <c r="T9" s="133">
        <v>193.332278016608</v>
      </c>
      <c r="U9" s="133">
        <v>101.231897864106</v>
      </c>
      <c r="V9" s="133">
        <v>93.583288894526007</v>
      </c>
      <c r="W9" s="133">
        <v>109.850704820722</v>
      </c>
      <c r="X9" s="133">
        <v>223.99504679832401</v>
      </c>
      <c r="Y9" s="133">
        <v>214.75824627426101</v>
      </c>
      <c r="Z9" s="133">
        <v>233.44364942089399</v>
      </c>
      <c r="AA9" s="133">
        <v>300.59137708294298</v>
      </c>
      <c r="AB9" s="133">
        <v>291.49839744084801</v>
      </c>
      <c r="AC9" s="133">
        <v>309.67954442880603</v>
      </c>
      <c r="AD9" s="133">
        <v>325.68174441288602</v>
      </c>
      <c r="AE9" s="133">
        <v>313.978761779438</v>
      </c>
      <c r="AF9" s="133">
        <v>337.38472704633398</v>
      </c>
      <c r="AG9" s="133">
        <v>199.55324928230101</v>
      </c>
      <c r="AH9" s="133">
        <v>191.71337235039101</v>
      </c>
      <c r="AI9" s="133">
        <v>207.393126214212</v>
      </c>
      <c r="AJ9" s="133">
        <v>303.89340768056599</v>
      </c>
      <c r="AK9" s="133">
        <v>298.78309870100099</v>
      </c>
      <c r="AL9" s="133">
        <v>309.003716660132</v>
      </c>
      <c r="AM9" s="133">
        <v>10.8606828500162</v>
      </c>
      <c r="AN9" s="133">
        <v>7.7610855520792503</v>
      </c>
      <c r="AO9" s="133">
        <v>14.1257279759255</v>
      </c>
    </row>
    <row r="10" spans="1:41">
      <c r="A10" s="131">
        <v>44805</v>
      </c>
      <c r="B10" s="82">
        <f t="shared" si="0"/>
        <v>2022</v>
      </c>
      <c r="C10" s="133">
        <v>7417.59563723054</v>
      </c>
      <c r="D10" s="133">
        <v>6873.4670937827796</v>
      </c>
      <c r="E10" s="133">
        <v>8019.5009316223204</v>
      </c>
      <c r="F10" s="133">
        <v>2984.7366746647499</v>
      </c>
      <c r="G10" s="133">
        <v>2886.8455529559301</v>
      </c>
      <c r="H10" s="133">
        <v>3084.91139332394</v>
      </c>
      <c r="I10" s="133">
        <v>1846.2226838225599</v>
      </c>
      <c r="J10" s="133">
        <v>1819.8083044134601</v>
      </c>
      <c r="K10" s="133">
        <v>1872.63706323167</v>
      </c>
      <c r="L10" s="133">
        <v>813.66858483131898</v>
      </c>
      <c r="M10" s="133">
        <v>770.68858383127099</v>
      </c>
      <c r="N10" s="133">
        <v>854.48961112984796</v>
      </c>
      <c r="O10" s="133">
        <v>23.458914943267501</v>
      </c>
      <c r="P10" s="133">
        <v>19.244604135775202</v>
      </c>
      <c r="Q10" s="133">
        <v>27.673225750759698</v>
      </c>
      <c r="R10" s="133">
        <v>177.72300566650301</v>
      </c>
      <c r="S10" s="133">
        <v>159.334462988025</v>
      </c>
      <c r="T10" s="133">
        <v>194.37980144918799</v>
      </c>
      <c r="U10" s="133">
        <v>100.461171800667</v>
      </c>
      <c r="V10" s="133">
        <v>92.889732574336605</v>
      </c>
      <c r="W10" s="133">
        <v>108.990321859072</v>
      </c>
      <c r="X10" s="133">
        <v>223.72090690158601</v>
      </c>
      <c r="Y10" s="133">
        <v>214.48366925504001</v>
      </c>
      <c r="Z10" s="133">
        <v>233.170232496869</v>
      </c>
      <c r="AA10" s="133">
        <v>303.22993291267301</v>
      </c>
      <c r="AB10" s="133">
        <v>293.97214581016402</v>
      </c>
      <c r="AC10" s="133">
        <v>312.48277511103299</v>
      </c>
      <c r="AD10" s="133">
        <v>324.46502322636599</v>
      </c>
      <c r="AE10" s="133">
        <v>312.19508337538599</v>
      </c>
      <c r="AF10" s="133">
        <v>336.73496307734598</v>
      </c>
      <c r="AG10" s="133">
        <v>204.161027085239</v>
      </c>
      <c r="AH10" s="133">
        <v>196.10507485798701</v>
      </c>
      <c r="AI10" s="133">
        <v>212.21697931249099</v>
      </c>
      <c r="AJ10" s="133">
        <v>301.68639395442699</v>
      </c>
      <c r="AK10" s="133">
        <v>296.32197233977797</v>
      </c>
      <c r="AL10" s="133">
        <v>307.05081556907697</v>
      </c>
      <c r="AM10" s="133">
        <v>11.155466642045401</v>
      </c>
      <c r="AN10" s="133">
        <v>7.9658376897680903</v>
      </c>
      <c r="AO10" s="133">
        <v>14.515689212390299</v>
      </c>
    </row>
    <row r="11" spans="1:41">
      <c r="A11" s="131">
        <v>44835</v>
      </c>
      <c r="B11" s="82">
        <f t="shared" si="0"/>
        <v>2022</v>
      </c>
      <c r="C11" s="133">
        <v>7491.2697150017502</v>
      </c>
      <c r="D11" s="133">
        <v>6921.7131219457096</v>
      </c>
      <c r="E11" s="133">
        <v>8123.74955820794</v>
      </c>
      <c r="F11" s="133">
        <v>3024.33961508312</v>
      </c>
      <c r="G11" s="133">
        <v>2921.2295750582298</v>
      </c>
      <c r="H11" s="133">
        <v>3129.9523742759502</v>
      </c>
      <c r="I11" s="133">
        <v>1865.7732209778901</v>
      </c>
      <c r="J11" s="133">
        <v>1839.3097456026101</v>
      </c>
      <c r="K11" s="133">
        <v>1892.2366963531599</v>
      </c>
      <c r="L11" s="133">
        <v>812.27910333013494</v>
      </c>
      <c r="M11" s="133">
        <v>767.52514210482695</v>
      </c>
      <c r="N11" s="133">
        <v>854.69299609867801</v>
      </c>
      <c r="O11" s="133">
        <v>23.288252122891901</v>
      </c>
      <c r="P11" s="133">
        <v>19.006519125905399</v>
      </c>
      <c r="Q11" s="133">
        <v>27.5699851198783</v>
      </c>
      <c r="R11" s="133">
        <v>180.95463499805399</v>
      </c>
      <c r="S11" s="133">
        <v>162.439913195169</v>
      </c>
      <c r="T11" s="133">
        <v>197.74347003791999</v>
      </c>
      <c r="U11" s="133">
        <v>102.08402010919301</v>
      </c>
      <c r="V11" s="133">
        <v>94.329449326097901</v>
      </c>
      <c r="W11" s="133">
        <v>110.828207374995</v>
      </c>
      <c r="X11" s="133">
        <v>225.28325169350799</v>
      </c>
      <c r="Y11" s="133">
        <v>216.00748788289101</v>
      </c>
      <c r="Z11" s="133">
        <v>234.77137940430501</v>
      </c>
      <c r="AA11" s="133">
        <v>307.44800153734701</v>
      </c>
      <c r="AB11" s="133">
        <v>298.05562088029302</v>
      </c>
      <c r="AC11" s="133">
        <v>316.83536229276098</v>
      </c>
      <c r="AD11" s="133">
        <v>326.47853124226299</v>
      </c>
      <c r="AE11" s="133">
        <v>313.66670390514099</v>
      </c>
      <c r="AF11" s="133">
        <v>339.29035857938499</v>
      </c>
      <c r="AG11" s="133">
        <v>208.16791495230501</v>
      </c>
      <c r="AH11" s="133">
        <v>199.92503096585199</v>
      </c>
      <c r="AI11" s="133">
        <v>216.41079893875801</v>
      </c>
      <c r="AJ11" s="133">
        <v>303.10839619011898</v>
      </c>
      <c r="AK11" s="133">
        <v>297.50136661530701</v>
      </c>
      <c r="AL11" s="133">
        <v>308.71542576493101</v>
      </c>
      <c r="AM11" s="133">
        <v>10.22101298532</v>
      </c>
      <c r="AN11" s="133">
        <v>7.0171697369826598</v>
      </c>
      <c r="AO11" s="133">
        <v>13.614153595208499</v>
      </c>
    </row>
    <row r="12" spans="1:41">
      <c r="A12" s="131">
        <v>44866</v>
      </c>
      <c r="B12" s="82">
        <f t="shared" si="0"/>
        <v>2022</v>
      </c>
      <c r="C12" s="133">
        <v>7632.2953196271701</v>
      </c>
      <c r="D12" s="133">
        <v>7030.5861533521002</v>
      </c>
      <c r="E12" s="133">
        <v>8303.2165978204393</v>
      </c>
      <c r="F12" s="133">
        <v>3107.2728618513902</v>
      </c>
      <c r="G12" s="133">
        <v>2997.98208024617</v>
      </c>
      <c r="H12" s="133">
        <v>3219.30246275336</v>
      </c>
      <c r="I12" s="133">
        <v>1880.4453736466901</v>
      </c>
      <c r="J12" s="133">
        <v>1853.9528308802201</v>
      </c>
      <c r="K12" s="133">
        <v>1906.9379164131699</v>
      </c>
      <c r="L12" s="133">
        <v>829.00384412893504</v>
      </c>
      <c r="M12" s="133">
        <v>783.60109901736905</v>
      </c>
      <c r="N12" s="133">
        <v>872.04607155604299</v>
      </c>
      <c r="O12" s="133">
        <v>22.774895253807198</v>
      </c>
      <c r="P12" s="133">
        <v>18.4274732578893</v>
      </c>
      <c r="Q12" s="133">
        <v>27.1223172497251</v>
      </c>
      <c r="R12" s="133">
        <v>182.25156196091999</v>
      </c>
      <c r="S12" s="133">
        <v>163.40699293367501</v>
      </c>
      <c r="T12" s="133">
        <v>199.32251606192801</v>
      </c>
      <c r="U12" s="133">
        <v>105.08506558104</v>
      </c>
      <c r="V12" s="133">
        <v>96.993983611462795</v>
      </c>
      <c r="W12" s="133">
        <v>114.224563724585</v>
      </c>
      <c r="X12" s="133">
        <v>229.891023057241</v>
      </c>
      <c r="Y12" s="133">
        <v>220.51011513470101</v>
      </c>
      <c r="Z12" s="133">
        <v>239.484739184864</v>
      </c>
      <c r="AA12" s="133">
        <v>309.42330644531802</v>
      </c>
      <c r="AB12" s="133">
        <v>299.91893644147399</v>
      </c>
      <c r="AC12" s="133">
        <v>318.922568945938</v>
      </c>
      <c r="AD12" s="133">
        <v>328.73586175300301</v>
      </c>
      <c r="AE12" s="133">
        <v>315.404154562918</v>
      </c>
      <c r="AF12" s="133">
        <v>342.06756894308802</v>
      </c>
      <c r="AG12" s="133">
        <v>209.11491969622901</v>
      </c>
      <c r="AH12" s="133">
        <v>200.709742019316</v>
      </c>
      <c r="AI12" s="133">
        <v>217.520097373141</v>
      </c>
      <c r="AJ12" s="133">
        <v>303.32461951575999</v>
      </c>
      <c r="AK12" s="133">
        <v>297.48505257583099</v>
      </c>
      <c r="AL12" s="133">
        <v>309.16418645568803</v>
      </c>
      <c r="AM12" s="133">
        <v>10.860682921245701</v>
      </c>
      <c r="AN12" s="133">
        <v>7.5477025933936597</v>
      </c>
      <c r="AO12" s="133">
        <v>14.3637033520926</v>
      </c>
    </row>
    <row r="13" spans="1:41">
      <c r="A13" s="131">
        <v>44896</v>
      </c>
      <c r="B13" s="82">
        <f t="shared" si="0"/>
        <v>2022</v>
      </c>
      <c r="C13" s="133">
        <v>7721.2212954234201</v>
      </c>
      <c r="D13" s="133">
        <v>7092.47001383525</v>
      </c>
      <c r="E13" s="133">
        <v>8424.9582962388304</v>
      </c>
      <c r="F13" s="133">
        <v>3149.1022761423301</v>
      </c>
      <c r="G13" s="133">
        <v>3034.6875140249899</v>
      </c>
      <c r="H13" s="133">
        <v>3266.4812785180202</v>
      </c>
      <c r="I13" s="133">
        <v>1889.0602986679701</v>
      </c>
      <c r="J13" s="133">
        <v>1862.5505360914101</v>
      </c>
      <c r="K13" s="133">
        <v>1915.57006124452</v>
      </c>
      <c r="L13" s="133">
        <v>850.79409266304901</v>
      </c>
      <c r="M13" s="133">
        <v>805.11032105774996</v>
      </c>
      <c r="N13" s="133">
        <v>894.14698855119798</v>
      </c>
      <c r="O13" s="133">
        <v>23.117501211769799</v>
      </c>
      <c r="P13" s="133">
        <v>18.705736015209901</v>
      </c>
      <c r="Q13" s="133">
        <v>27.529266408329701</v>
      </c>
      <c r="R13" s="133">
        <v>196.42422163570899</v>
      </c>
      <c r="S13" s="133">
        <v>178.65152122503599</v>
      </c>
      <c r="T13" s="133">
        <v>212.717244331774</v>
      </c>
      <c r="U13" s="133">
        <v>106.12613315006899</v>
      </c>
      <c r="V13" s="133">
        <v>97.918915060730498</v>
      </c>
      <c r="W13" s="133">
        <v>115.40210665485201</v>
      </c>
      <c r="X13" s="133">
        <v>233.14342824188299</v>
      </c>
      <c r="Y13" s="133">
        <v>223.68925819352901</v>
      </c>
      <c r="Z13" s="133">
        <v>242.81069766824899</v>
      </c>
      <c r="AA13" s="133">
        <v>310.63815730206801</v>
      </c>
      <c r="AB13" s="133">
        <v>301.04082577479602</v>
      </c>
      <c r="AC13" s="133">
        <v>320.230301298955</v>
      </c>
      <c r="AD13" s="133">
        <v>331.64025521830399</v>
      </c>
      <c r="AE13" s="133">
        <v>317.80818962174601</v>
      </c>
      <c r="AF13" s="133">
        <v>345.47232081486197</v>
      </c>
      <c r="AG13" s="133">
        <v>209.459312743494</v>
      </c>
      <c r="AH13" s="133">
        <v>200.91284257437201</v>
      </c>
      <c r="AI13" s="133">
        <v>218.00578291261601</v>
      </c>
      <c r="AJ13" s="133">
        <v>302.37080705308102</v>
      </c>
      <c r="AK13" s="133">
        <v>296.30761454096302</v>
      </c>
      <c r="AL13" s="133">
        <v>308.43399956519897</v>
      </c>
      <c r="AM13" s="133">
        <v>12.02334608512</v>
      </c>
      <c r="AN13" s="133">
        <v>8.5722734996674692</v>
      </c>
      <c r="AO13" s="133">
        <v>15.659764967342999</v>
      </c>
    </row>
    <row r="14" spans="1:41">
      <c r="A14" s="131">
        <v>44927</v>
      </c>
      <c r="B14" s="82">
        <f t="shared" si="0"/>
        <v>2023</v>
      </c>
      <c r="C14" s="133">
        <v>7763.8505277513696</v>
      </c>
      <c r="D14" s="133">
        <v>7103.2604448141301</v>
      </c>
      <c r="E14" s="133">
        <v>8507.2000781199604</v>
      </c>
      <c r="F14" s="133">
        <v>3173.9878009307599</v>
      </c>
      <c r="G14" s="133">
        <v>3052.50437129688</v>
      </c>
      <c r="H14" s="133">
        <v>3298.7914668806002</v>
      </c>
      <c r="I14" s="133">
        <v>1895.0959884043</v>
      </c>
      <c r="J14" s="133">
        <v>1867.87672784814</v>
      </c>
      <c r="K14" s="133">
        <v>1922.3152489604699</v>
      </c>
      <c r="L14" s="133">
        <v>856.49090843834995</v>
      </c>
      <c r="M14" s="133">
        <v>809.34944777982901</v>
      </c>
      <c r="N14" s="133">
        <v>901.16986869534696</v>
      </c>
      <c r="O14" s="133">
        <v>23.0814686291254</v>
      </c>
      <c r="P14" s="133">
        <v>18.5016468420027</v>
      </c>
      <c r="Q14" s="133">
        <v>27.6612904162481</v>
      </c>
      <c r="R14" s="133">
        <v>193.56186011825699</v>
      </c>
      <c r="S14" s="133">
        <v>174.11678836303801</v>
      </c>
      <c r="T14" s="133">
        <v>211.224481666824</v>
      </c>
      <c r="U14" s="133">
        <v>107.458918825041</v>
      </c>
      <c r="V14" s="133">
        <v>99.034086768911095</v>
      </c>
      <c r="W14" s="133">
        <v>116.99796056588799</v>
      </c>
      <c r="X14" s="133">
        <v>232.13405912816799</v>
      </c>
      <c r="Y14" s="133">
        <v>222.394735654497</v>
      </c>
      <c r="Z14" s="133">
        <v>242.10069307547801</v>
      </c>
      <c r="AA14" s="133">
        <v>310.72327872173099</v>
      </c>
      <c r="AB14" s="133">
        <v>300.43800091947799</v>
      </c>
      <c r="AC14" s="133">
        <v>321.002600362782</v>
      </c>
      <c r="AD14" s="133">
        <v>334.05737291160699</v>
      </c>
      <c r="AE14" s="133">
        <v>319.48863963919098</v>
      </c>
      <c r="AF14" s="133">
        <v>348.62610618402402</v>
      </c>
      <c r="AG14" s="133">
        <v>209.79144692342601</v>
      </c>
      <c r="AH14" s="133">
        <v>200.880926287721</v>
      </c>
      <c r="AI14" s="133">
        <v>218.70196755913199</v>
      </c>
      <c r="AJ14" s="133">
        <v>322.39174216325</v>
      </c>
      <c r="AK14" s="133">
        <v>315.30000565110601</v>
      </c>
      <c r="AL14" s="133">
        <v>329.48347867539502</v>
      </c>
      <c r="AM14" s="133">
        <v>11.552876144071901</v>
      </c>
      <c r="AN14" s="133">
        <v>7.8272987385289499</v>
      </c>
      <c r="AO14" s="133">
        <v>15.5054997616249</v>
      </c>
    </row>
    <row r="15" spans="1:41">
      <c r="A15" s="131">
        <v>44958</v>
      </c>
      <c r="B15" s="82">
        <f t="shared" si="0"/>
        <v>2023</v>
      </c>
      <c r="C15" s="133">
        <v>7777.6899510386202</v>
      </c>
      <c r="D15" s="133">
        <v>7089.0233421586099</v>
      </c>
      <c r="E15" s="133">
        <v>8556.5986469958898</v>
      </c>
      <c r="F15" s="133">
        <v>3175.0592624400701</v>
      </c>
      <c r="G15" s="133">
        <v>3047.2989793598399</v>
      </c>
      <c r="H15" s="133">
        <v>3306.4956846176301</v>
      </c>
      <c r="I15" s="133">
        <v>1899.5501784155699</v>
      </c>
      <c r="J15" s="133">
        <v>1871.9188388779901</v>
      </c>
      <c r="K15" s="133">
        <v>1927.18151795315</v>
      </c>
      <c r="L15" s="133">
        <v>857.20061992196997</v>
      </c>
      <c r="M15" s="133">
        <v>808.48862712746802</v>
      </c>
      <c r="N15" s="133">
        <v>903.28969556393497</v>
      </c>
      <c r="O15" s="133">
        <v>23.123101342364802</v>
      </c>
      <c r="P15" s="133">
        <v>18.420258166267899</v>
      </c>
      <c r="Q15" s="133">
        <v>27.8259445184618</v>
      </c>
      <c r="R15" s="133">
        <v>194.15215734472301</v>
      </c>
      <c r="S15" s="133">
        <v>174.01107314015599</v>
      </c>
      <c r="T15" s="133">
        <v>212.391903295698</v>
      </c>
      <c r="U15" s="133">
        <v>109.60393335484601</v>
      </c>
      <c r="V15" s="133">
        <v>100.895239501467</v>
      </c>
      <c r="W15" s="133">
        <v>119.481961618748</v>
      </c>
      <c r="X15" s="133">
        <v>232.52852104881299</v>
      </c>
      <c r="Y15" s="133">
        <v>222.635938637121</v>
      </c>
      <c r="Z15" s="133">
        <v>242.65530361938099</v>
      </c>
      <c r="AA15" s="133">
        <v>313.942740758713</v>
      </c>
      <c r="AB15" s="133">
        <v>303.37083373941903</v>
      </c>
      <c r="AC15" s="133">
        <v>324.508419573114</v>
      </c>
      <c r="AD15" s="133">
        <v>333.30592755504</v>
      </c>
      <c r="AE15" s="133">
        <v>318.11243013635499</v>
      </c>
      <c r="AF15" s="133">
        <v>348.49942497372501</v>
      </c>
      <c r="AG15" s="133">
        <v>210.71345513293701</v>
      </c>
      <c r="AH15" s="133">
        <v>201.57717088525601</v>
      </c>
      <c r="AI15" s="133">
        <v>219.84973938061901</v>
      </c>
      <c r="AJ15" s="133">
        <v>323.93589348948399</v>
      </c>
      <c r="AK15" s="133">
        <v>316.29205673117701</v>
      </c>
      <c r="AL15" s="133">
        <v>331.57973024779102</v>
      </c>
      <c r="AM15" s="133">
        <v>12.511528586526</v>
      </c>
      <c r="AN15" s="133">
        <v>8.6414840373614403</v>
      </c>
      <c r="AO15" s="133">
        <v>16.606949610722801</v>
      </c>
    </row>
    <row r="16" spans="1:41">
      <c r="A16" s="131">
        <v>44986</v>
      </c>
      <c r="B16" s="82">
        <f t="shared" si="0"/>
        <v>2023</v>
      </c>
      <c r="C16" s="133">
        <v>7796.0752180699601</v>
      </c>
      <c r="D16" s="133">
        <v>7082.9980109210201</v>
      </c>
      <c r="E16" s="133">
        <v>8606.0952282946491</v>
      </c>
      <c r="F16" s="133">
        <v>3186.02913407182</v>
      </c>
      <c r="G16" s="133">
        <v>3052.8332206627902</v>
      </c>
      <c r="H16" s="133">
        <v>3323.2113767497699</v>
      </c>
      <c r="I16" s="133">
        <v>1903.94720498993</v>
      </c>
      <c r="J16" s="133">
        <v>1876.0744093169401</v>
      </c>
      <c r="K16" s="133">
        <v>1931.8200006629199</v>
      </c>
      <c r="L16" s="133">
        <v>853.12969776529303</v>
      </c>
      <c r="M16" s="133">
        <v>802.65317656664195</v>
      </c>
      <c r="N16" s="133">
        <v>900.78232261648805</v>
      </c>
      <c r="O16" s="133">
        <v>23.129813361417401</v>
      </c>
      <c r="P16" s="133">
        <v>18.325725200283099</v>
      </c>
      <c r="Q16" s="133">
        <v>27.933901522551601</v>
      </c>
      <c r="R16" s="133">
        <v>188.14260367703099</v>
      </c>
      <c r="S16" s="133">
        <v>166.64369037263901</v>
      </c>
      <c r="T16" s="133">
        <v>207.42521483175599</v>
      </c>
      <c r="U16" s="133">
        <v>110.169266033249</v>
      </c>
      <c r="V16" s="133">
        <v>101.375887669096</v>
      </c>
      <c r="W16" s="133">
        <v>120.149435171429</v>
      </c>
      <c r="X16" s="133">
        <v>232.78391040016299</v>
      </c>
      <c r="Y16" s="133">
        <v>222.81695808590899</v>
      </c>
      <c r="Z16" s="133">
        <v>242.988372983434</v>
      </c>
      <c r="AA16" s="133">
        <v>313.344284904429</v>
      </c>
      <c r="AB16" s="133">
        <v>302.53637888826597</v>
      </c>
      <c r="AC16" s="133">
        <v>324.145669143757</v>
      </c>
      <c r="AD16" s="133">
        <v>334.233516003798</v>
      </c>
      <c r="AE16" s="133">
        <v>318.45681428874701</v>
      </c>
      <c r="AF16" s="133">
        <v>350.01021771884899</v>
      </c>
      <c r="AG16" s="133">
        <v>211.07201579932399</v>
      </c>
      <c r="AH16" s="133">
        <v>201.73990493848399</v>
      </c>
      <c r="AI16" s="133">
        <v>220.404126660164</v>
      </c>
      <c r="AJ16" s="133">
        <v>323.35207196483998</v>
      </c>
      <c r="AK16" s="133">
        <v>315.19341067651499</v>
      </c>
      <c r="AL16" s="133">
        <v>331.51073325316401</v>
      </c>
      <c r="AM16" s="133">
        <v>10.115213490263899</v>
      </c>
      <c r="AN16" s="133">
        <v>6.3084679723766897</v>
      </c>
      <c r="AO16" s="133">
        <v>14.197116067207499</v>
      </c>
    </row>
    <row r="17" spans="1:41">
      <c r="A17" s="131">
        <v>45017</v>
      </c>
      <c r="B17" s="82">
        <f t="shared" si="0"/>
        <v>2023</v>
      </c>
      <c r="C17" s="133">
        <v>7766.7884112076199</v>
      </c>
      <c r="D17" s="133">
        <v>7037.2429864396599</v>
      </c>
      <c r="E17" s="133">
        <v>8598.5621206021806</v>
      </c>
      <c r="F17" s="133">
        <v>3180.35793266269</v>
      </c>
      <c r="G17" s="133">
        <v>3042.4054862315202</v>
      </c>
      <c r="H17" s="133">
        <v>3322.5989682135801</v>
      </c>
      <c r="I17" s="133">
        <v>1892.0550364368501</v>
      </c>
      <c r="J17" s="133">
        <v>1864.04005749064</v>
      </c>
      <c r="K17" s="133">
        <v>1920.0700153830501</v>
      </c>
      <c r="L17" s="133">
        <v>840.70343407495398</v>
      </c>
      <c r="M17" s="133">
        <v>787.93035873833196</v>
      </c>
      <c r="N17" s="133">
        <v>890.35423373571496</v>
      </c>
      <c r="O17" s="133">
        <v>23.162787557533001</v>
      </c>
      <c r="P17" s="133">
        <v>18.268867130557499</v>
      </c>
      <c r="Q17" s="133">
        <v>28.0567079845084</v>
      </c>
      <c r="R17" s="133">
        <v>181.04295677171999</v>
      </c>
      <c r="S17" s="133">
        <v>157.931878346362</v>
      </c>
      <c r="T17" s="133">
        <v>201.52095529010501</v>
      </c>
      <c r="U17" s="133">
        <v>107.743890789291</v>
      </c>
      <c r="V17" s="133">
        <v>99.222461962138595</v>
      </c>
      <c r="W17" s="133">
        <v>117.40353101993099</v>
      </c>
      <c r="X17" s="133">
        <v>228.463310209139</v>
      </c>
      <c r="Y17" s="133">
        <v>218.566055795208</v>
      </c>
      <c r="Z17" s="133">
        <v>238.59926147984999</v>
      </c>
      <c r="AA17" s="133">
        <v>313.82801521989899</v>
      </c>
      <c r="AB17" s="133">
        <v>302.827009555465</v>
      </c>
      <c r="AC17" s="133">
        <v>324.82227441903802</v>
      </c>
      <c r="AD17" s="133">
        <v>330.20998929860502</v>
      </c>
      <c r="AE17" s="133">
        <v>313.87472653426403</v>
      </c>
      <c r="AF17" s="133">
        <v>346.54525206294699</v>
      </c>
      <c r="AG17" s="133">
        <v>209.977488281837</v>
      </c>
      <c r="AH17" s="133">
        <v>200.47494825564601</v>
      </c>
      <c r="AI17" s="133">
        <v>219.48002830802699</v>
      </c>
      <c r="AJ17" s="133">
        <v>324.63669988947601</v>
      </c>
      <c r="AK17" s="133">
        <v>315.99382608225397</v>
      </c>
      <c r="AL17" s="133">
        <v>333.279573696699</v>
      </c>
      <c r="AM17" s="133">
        <v>11.1889578456436</v>
      </c>
      <c r="AN17" s="133">
        <v>7.2032090162226803</v>
      </c>
      <c r="AO17" s="133">
        <v>15.4457147020343</v>
      </c>
    </row>
    <row r="18" spans="1:41">
      <c r="A18" s="131">
        <v>45047</v>
      </c>
      <c r="B18" s="82">
        <f t="shared" si="0"/>
        <v>2023</v>
      </c>
      <c r="C18" s="133">
        <v>7682.6380112921497</v>
      </c>
      <c r="D18" s="133">
        <v>6944.2448099499697</v>
      </c>
      <c r="E18" s="133">
        <v>8527.2456216527607</v>
      </c>
      <c r="F18" s="133">
        <v>3145.4892219879798</v>
      </c>
      <c r="G18" s="133">
        <v>3003.8885393546102</v>
      </c>
      <c r="H18" s="133">
        <v>3291.6638117934199</v>
      </c>
      <c r="I18" s="133">
        <v>1872.3122806914701</v>
      </c>
      <c r="J18" s="133">
        <v>1844.21333710423</v>
      </c>
      <c r="K18" s="133">
        <v>1900.4112242787101</v>
      </c>
      <c r="L18" s="133">
        <v>810.25220230847401</v>
      </c>
      <c r="M18" s="133">
        <v>753.82659955772897</v>
      </c>
      <c r="N18" s="133">
        <v>862.99661424014698</v>
      </c>
      <c r="O18" s="133">
        <v>23.194097321435901</v>
      </c>
      <c r="P18" s="133">
        <v>18.216769435092001</v>
      </c>
      <c r="Q18" s="133">
        <v>28.171425207779698</v>
      </c>
      <c r="R18" s="133">
        <v>176.295503172797</v>
      </c>
      <c r="S18" s="133">
        <v>151.805069461443</v>
      </c>
      <c r="T18" s="133">
        <v>197.77640581386001</v>
      </c>
      <c r="U18" s="133">
        <v>106.99255212288401</v>
      </c>
      <c r="V18" s="133">
        <v>98.553068583452202</v>
      </c>
      <c r="W18" s="133">
        <v>116.555902823967</v>
      </c>
      <c r="X18" s="133">
        <v>227.05297232678501</v>
      </c>
      <c r="Y18" s="133">
        <v>217.173918682585</v>
      </c>
      <c r="Z18" s="133">
        <v>237.17134833973401</v>
      </c>
      <c r="AA18" s="133">
        <v>314.49852217229102</v>
      </c>
      <c r="AB18" s="133">
        <v>303.33860255464498</v>
      </c>
      <c r="AC18" s="133">
        <v>325.65151382419202</v>
      </c>
      <c r="AD18" s="133">
        <v>328.97097320139898</v>
      </c>
      <c r="AE18" s="133">
        <v>312.096509220972</v>
      </c>
      <c r="AF18" s="133">
        <v>345.84543718182499</v>
      </c>
      <c r="AG18" s="133">
        <v>208.365008851748</v>
      </c>
      <c r="AH18" s="133">
        <v>198.71374222695599</v>
      </c>
      <c r="AI18" s="133">
        <v>218.01627547654101</v>
      </c>
      <c r="AJ18" s="133">
        <v>323.935849311217</v>
      </c>
      <c r="AK18" s="133">
        <v>314.83448780441302</v>
      </c>
      <c r="AL18" s="133">
        <v>333.03721081802098</v>
      </c>
      <c r="AM18" s="133">
        <v>10.3245689245399</v>
      </c>
      <c r="AN18" s="133">
        <v>6.3117837509573098</v>
      </c>
      <c r="AO18" s="133">
        <v>14.638074493368</v>
      </c>
    </row>
    <row r="19" spans="1:41">
      <c r="A19" s="131">
        <v>45078</v>
      </c>
      <c r="B19" s="82">
        <f t="shared" si="0"/>
        <v>2023</v>
      </c>
      <c r="C19" s="133">
        <v>7618.3257317552798</v>
      </c>
      <c r="D19" s="133">
        <v>6869.63640667868</v>
      </c>
      <c r="E19" s="133">
        <v>8477.49049162132</v>
      </c>
      <c r="F19" s="133">
        <v>3107.9667446476201</v>
      </c>
      <c r="G19" s="133">
        <v>2963.0392350376401</v>
      </c>
      <c r="H19" s="133">
        <v>3257.7491027768101</v>
      </c>
      <c r="I19" s="133">
        <v>1873.1884151120901</v>
      </c>
      <c r="J19" s="133">
        <v>1845.03980484114</v>
      </c>
      <c r="K19" s="133">
        <v>1901.3370253830401</v>
      </c>
      <c r="L19" s="133">
        <v>806.17694399724098</v>
      </c>
      <c r="M19" s="133">
        <v>747.94360989140102</v>
      </c>
      <c r="N19" s="133">
        <v>860.47855836647102</v>
      </c>
      <c r="O19" s="133">
        <v>23.195183662825698</v>
      </c>
      <c r="P19" s="133">
        <v>18.138345075836899</v>
      </c>
      <c r="Q19" s="133">
        <v>28.252022249814502</v>
      </c>
      <c r="R19" s="133">
        <v>172.87006303293199</v>
      </c>
      <c r="S19" s="133">
        <v>147.147538497959</v>
      </c>
      <c r="T19" s="133">
        <v>195.232690404154</v>
      </c>
      <c r="U19" s="133">
        <v>107.10283247526201</v>
      </c>
      <c r="V19" s="133">
        <v>98.648254556318193</v>
      </c>
      <c r="W19" s="133">
        <v>116.684253265864</v>
      </c>
      <c r="X19" s="133">
        <v>228.01264309291901</v>
      </c>
      <c r="Y19" s="133">
        <v>218.10329757999699</v>
      </c>
      <c r="Z19" s="133">
        <v>238.16176064817401</v>
      </c>
      <c r="AA19" s="133">
        <v>311.82656383171002</v>
      </c>
      <c r="AB19" s="133">
        <v>300.53325921006802</v>
      </c>
      <c r="AC19" s="133">
        <v>323.11271312579697</v>
      </c>
      <c r="AD19" s="133">
        <v>326.76009821211397</v>
      </c>
      <c r="AE19" s="133">
        <v>309.36334031721202</v>
      </c>
      <c r="AF19" s="133">
        <v>344.15685610701502</v>
      </c>
      <c r="AG19" s="133">
        <v>205.853824343604</v>
      </c>
      <c r="AH19" s="133">
        <v>196.07248660057601</v>
      </c>
      <c r="AI19" s="133">
        <v>215.63516208663299</v>
      </c>
      <c r="AJ19" s="133">
        <v>323.93561090788501</v>
      </c>
      <c r="AK19" s="133">
        <v>314.39777599069902</v>
      </c>
      <c r="AL19" s="133">
        <v>333.473445825071</v>
      </c>
      <c r="AM19" s="133">
        <v>10.8043790565671</v>
      </c>
      <c r="AN19" s="133">
        <v>6.6603905183424601</v>
      </c>
      <c r="AO19" s="133">
        <v>15.254333171477199</v>
      </c>
    </row>
    <row r="20" spans="1:41">
      <c r="A20" s="131">
        <v>45108</v>
      </c>
      <c r="B20" s="82">
        <f t="shared" si="0"/>
        <v>2023</v>
      </c>
      <c r="C20" s="133">
        <v>7526.3125047871799</v>
      </c>
      <c r="D20" s="133">
        <v>6771.7955753449396</v>
      </c>
      <c r="E20" s="133">
        <v>8394.7399217215407</v>
      </c>
      <c r="F20" s="133">
        <v>3068.14492024325</v>
      </c>
      <c r="G20" s="133">
        <v>2920.1912377364301</v>
      </c>
      <c r="H20" s="133">
        <v>3221.2298774801998</v>
      </c>
      <c r="I20" s="133">
        <v>1874.16081794819</v>
      </c>
      <c r="J20" s="133">
        <v>1845.9828002663601</v>
      </c>
      <c r="K20" s="133">
        <v>1902.33883563001</v>
      </c>
      <c r="L20" s="133">
        <v>792.29733869655001</v>
      </c>
      <c r="M20" s="133">
        <v>731.46462162219302</v>
      </c>
      <c r="N20" s="133">
        <v>848.78157150207096</v>
      </c>
      <c r="O20" s="133">
        <v>23.137142963942601</v>
      </c>
      <c r="P20" s="133">
        <v>18.0033621126524</v>
      </c>
      <c r="Q20" s="133">
        <v>28.270923815232798</v>
      </c>
      <c r="R20" s="133">
        <v>176.262869367739</v>
      </c>
      <c r="S20" s="133">
        <v>150.48306048298701</v>
      </c>
      <c r="T20" s="133">
        <v>198.726272589784</v>
      </c>
      <c r="U20" s="133">
        <v>101.148511318364</v>
      </c>
      <c r="V20" s="133">
        <v>93.370794205323804</v>
      </c>
      <c r="W20" s="133">
        <v>109.93253963002201</v>
      </c>
      <c r="X20" s="133">
        <v>220.31230498699301</v>
      </c>
      <c r="Y20" s="133">
        <v>210.584668158515</v>
      </c>
      <c r="Z20" s="133">
        <v>230.27917031659101</v>
      </c>
      <c r="AA20" s="133">
        <v>304.63389920817502</v>
      </c>
      <c r="AB20" s="133">
        <v>293.22676534334198</v>
      </c>
      <c r="AC20" s="133">
        <v>316.03356045514499</v>
      </c>
      <c r="AD20" s="133">
        <v>325.77080818135801</v>
      </c>
      <c r="AE20" s="133">
        <v>307.86703332614599</v>
      </c>
      <c r="AF20" s="133">
        <v>343.67458303657003</v>
      </c>
      <c r="AG20" s="133">
        <v>204.95786391472501</v>
      </c>
      <c r="AH20" s="133">
        <v>195.06257071152399</v>
      </c>
      <c r="AI20" s="133">
        <v>214.85315711792501</v>
      </c>
      <c r="AJ20" s="133">
        <v>324.86952334692103</v>
      </c>
      <c r="AK20" s="133">
        <v>314.914333316718</v>
      </c>
      <c r="AL20" s="133">
        <v>334.824713377124</v>
      </c>
      <c r="AM20" s="133">
        <v>10.4165473158497</v>
      </c>
      <c r="AN20" s="133">
        <v>6.2155245252143203</v>
      </c>
      <c r="AO20" s="133">
        <v>14.9458063793817</v>
      </c>
    </row>
    <row r="21" spans="1:41">
      <c r="A21" s="131">
        <v>45139</v>
      </c>
      <c r="B21" s="82">
        <f t="shared" si="0"/>
        <v>2023</v>
      </c>
      <c r="C21" s="133">
        <v>7521.1047966852802</v>
      </c>
      <c r="D21" s="133">
        <v>6750.2959675780503</v>
      </c>
      <c r="E21" s="133">
        <v>8411.2792565024902</v>
      </c>
      <c r="F21" s="133">
        <v>3050.4060228444901</v>
      </c>
      <c r="G21" s="133">
        <v>2898.86969867278</v>
      </c>
      <c r="H21" s="133">
        <v>3207.3621354531301</v>
      </c>
      <c r="I21" s="133">
        <v>1867.1443950415401</v>
      </c>
      <c r="J21" s="133">
        <v>1838.9489553757201</v>
      </c>
      <c r="K21" s="133">
        <v>1895.3398347073601</v>
      </c>
      <c r="L21" s="133">
        <v>792.42737938329799</v>
      </c>
      <c r="M21" s="133">
        <v>730.13984189085295</v>
      </c>
      <c r="N21" s="133">
        <v>850.16389061603695</v>
      </c>
      <c r="O21" s="133">
        <v>23.1081492365524</v>
      </c>
      <c r="P21" s="133">
        <v>17.8992759780865</v>
      </c>
      <c r="Q21" s="133">
        <v>28.3170224950183</v>
      </c>
      <c r="R21" s="133">
        <v>174.190833792023</v>
      </c>
      <c r="S21" s="133">
        <v>147.41609248706399</v>
      </c>
      <c r="T21" s="133">
        <v>197.36635869679</v>
      </c>
      <c r="U21" s="133">
        <v>106.016710128852</v>
      </c>
      <c r="V21" s="133">
        <v>97.685495339156205</v>
      </c>
      <c r="W21" s="133">
        <v>115.452673163448</v>
      </c>
      <c r="X21" s="133">
        <v>230.64967661480799</v>
      </c>
      <c r="Y21" s="133">
        <v>220.672305866946</v>
      </c>
      <c r="Z21" s="133">
        <v>240.86731629816799</v>
      </c>
      <c r="AA21" s="133">
        <v>309.54143019718202</v>
      </c>
      <c r="AB21" s="133">
        <v>298.04700780568197</v>
      </c>
      <c r="AC21" s="133">
        <v>321.02838545220601</v>
      </c>
      <c r="AD21" s="133">
        <v>325.36234460853598</v>
      </c>
      <c r="AE21" s="133">
        <v>306.965531745205</v>
      </c>
      <c r="AF21" s="133">
        <v>343.75915747186599</v>
      </c>
      <c r="AG21" s="133">
        <v>204.577188730871</v>
      </c>
      <c r="AH21" s="133">
        <v>194.581920117728</v>
      </c>
      <c r="AI21" s="133">
        <v>214.57245734401499</v>
      </c>
      <c r="AJ21" s="133">
        <v>324.63368284964298</v>
      </c>
      <c r="AK21" s="133">
        <v>314.27794423922001</v>
      </c>
      <c r="AL21" s="133">
        <v>334.98942146006698</v>
      </c>
      <c r="AM21" s="133">
        <v>10.804379704225701</v>
      </c>
      <c r="AN21" s="133">
        <v>6.4824553634963902</v>
      </c>
      <c r="AO21" s="133">
        <v>15.460875289596901</v>
      </c>
    </row>
    <row r="22" spans="1:41">
      <c r="A22" s="131">
        <v>45170</v>
      </c>
      <c r="B22" s="82">
        <f t="shared" si="0"/>
        <v>2023</v>
      </c>
      <c r="C22" s="133">
        <v>7567.9314025845097</v>
      </c>
      <c r="D22" s="133">
        <v>6774.2888579968103</v>
      </c>
      <c r="E22" s="133">
        <v>8487.7861699638797</v>
      </c>
      <c r="F22" s="133">
        <v>3069.8850260721701</v>
      </c>
      <c r="G22" s="133">
        <v>2913.58938917047</v>
      </c>
      <c r="H22" s="133">
        <v>3231.9147780006501</v>
      </c>
      <c r="I22" s="133">
        <v>1866.4471581667001</v>
      </c>
      <c r="J22" s="133">
        <v>1838.2413936058899</v>
      </c>
      <c r="K22" s="133">
        <v>1894.65292272751</v>
      </c>
      <c r="L22" s="133">
        <v>796.13041567976495</v>
      </c>
      <c r="M22" s="133">
        <v>732.72887079390705</v>
      </c>
      <c r="N22" s="133">
        <v>854.84280680286702</v>
      </c>
      <c r="O22" s="133">
        <v>23.196274141447901</v>
      </c>
      <c r="P22" s="133">
        <v>17.9137578151106</v>
      </c>
      <c r="Q22" s="133">
        <v>28.478790467785199</v>
      </c>
      <c r="R22" s="133">
        <v>170.64967762199299</v>
      </c>
      <c r="S22" s="133">
        <v>142.57236620919301</v>
      </c>
      <c r="T22" s="133">
        <v>194.719911961311</v>
      </c>
      <c r="U22" s="133">
        <v>104.995501975927</v>
      </c>
      <c r="V22" s="133">
        <v>96.781277876321695</v>
      </c>
      <c r="W22" s="133">
        <v>114.293472550003</v>
      </c>
      <c r="X22" s="133">
        <v>230.38066883031999</v>
      </c>
      <c r="Y22" s="133">
        <v>220.40887827123899</v>
      </c>
      <c r="Z22" s="133">
        <v>240.59274343162301</v>
      </c>
      <c r="AA22" s="133">
        <v>311.91728388180002</v>
      </c>
      <c r="AB22" s="133">
        <v>300.34918287693102</v>
      </c>
      <c r="AC22" s="133">
        <v>323.47787932202101</v>
      </c>
      <c r="AD22" s="133">
        <v>324.44843287401301</v>
      </c>
      <c r="AE22" s="133">
        <v>305.57145747261097</v>
      </c>
      <c r="AF22" s="133">
        <v>343.32540827541601</v>
      </c>
      <c r="AG22" s="133">
        <v>209.13713698196</v>
      </c>
      <c r="AH22" s="133">
        <v>199.05406429501801</v>
      </c>
      <c r="AI22" s="133">
        <v>219.22020966890301</v>
      </c>
      <c r="AJ22" s="133">
        <v>322.42666912350398</v>
      </c>
      <c r="AK22" s="133">
        <v>311.68530813909598</v>
      </c>
      <c r="AL22" s="133">
        <v>333.16803010791301</v>
      </c>
      <c r="AM22" s="133">
        <v>10.8956240085889</v>
      </c>
      <c r="AN22" s="133">
        <v>6.4798644144048199</v>
      </c>
      <c r="AO22" s="133">
        <v>15.658312430980899</v>
      </c>
    </row>
    <row r="23" spans="1:41">
      <c r="A23" s="131">
        <v>45200</v>
      </c>
      <c r="B23" s="82">
        <f t="shared" si="0"/>
        <v>2023</v>
      </c>
      <c r="C23" s="133">
        <v>7643.5687097194595</v>
      </c>
      <c r="D23" s="133">
        <v>6823.2672178944304</v>
      </c>
      <c r="E23" s="133">
        <v>8597.8657248349791</v>
      </c>
      <c r="F23" s="133">
        <v>3110.26825715825</v>
      </c>
      <c r="G23" s="133">
        <v>2948.5256545767902</v>
      </c>
      <c r="H23" s="133">
        <v>3278.0766712177601</v>
      </c>
      <c r="I23" s="133">
        <v>1885.37557105679</v>
      </c>
      <c r="J23" s="133">
        <v>1857.16368636421</v>
      </c>
      <c r="K23" s="133">
        <v>1913.5874557493601</v>
      </c>
      <c r="L23" s="133">
        <v>793.44541436654299</v>
      </c>
      <c r="M23" s="133">
        <v>728.40435366770998</v>
      </c>
      <c r="N23" s="133">
        <v>853.54491439739797</v>
      </c>
      <c r="O23" s="133">
        <v>23.167053600081498</v>
      </c>
      <c r="P23" s="133">
        <v>17.8121118244683</v>
      </c>
      <c r="Q23" s="133">
        <v>28.521995375694701</v>
      </c>
      <c r="R23" s="133">
        <v>175.63417935103899</v>
      </c>
      <c r="S23" s="133">
        <v>147.89575843555701</v>
      </c>
      <c r="T23" s="133">
        <v>199.55368084055601</v>
      </c>
      <c r="U23" s="133">
        <v>106.586148868382</v>
      </c>
      <c r="V23" s="133">
        <v>98.189947601222002</v>
      </c>
      <c r="W23" s="133">
        <v>116.09876263493101</v>
      </c>
      <c r="X23" s="133">
        <v>231.97470805959401</v>
      </c>
      <c r="Y23" s="133">
        <v>221.96471861233499</v>
      </c>
      <c r="Z23" s="133">
        <v>242.225144239331</v>
      </c>
      <c r="AA23" s="133">
        <v>316.598043638901</v>
      </c>
      <c r="AB23" s="133">
        <v>304.970409882571</v>
      </c>
      <c r="AC23" s="133">
        <v>328.21820647858902</v>
      </c>
      <c r="AD23" s="133">
        <v>325.214244933511</v>
      </c>
      <c r="AE23" s="133">
        <v>305.86902163184101</v>
      </c>
      <c r="AF23" s="133">
        <v>344.55946823518099</v>
      </c>
      <c r="AG23" s="133">
        <v>213.098953020534</v>
      </c>
      <c r="AH23" s="133">
        <v>202.93870660381799</v>
      </c>
      <c r="AI23" s="133">
        <v>223.25919943724901</v>
      </c>
      <c r="AJ23" s="133">
        <v>323.84867135919598</v>
      </c>
      <c r="AK23" s="133">
        <v>312.73506036063498</v>
      </c>
      <c r="AL23" s="133">
        <v>334.96228235775698</v>
      </c>
      <c r="AM23" s="133">
        <v>9.7187580249225203</v>
      </c>
      <c r="AN23" s="133">
        <v>5.3300757627623101</v>
      </c>
      <c r="AO23" s="133">
        <v>14.4977418260994</v>
      </c>
    </row>
    <row r="24" spans="1:41">
      <c r="A24" s="131">
        <v>45231</v>
      </c>
      <c r="B24" s="82">
        <f t="shared" si="0"/>
        <v>2023</v>
      </c>
      <c r="C24" s="133">
        <v>7788.3691801126597</v>
      </c>
      <c r="D24" s="133">
        <v>6931.5212777066699</v>
      </c>
      <c r="E24" s="133">
        <v>8789.2893432108704</v>
      </c>
      <c r="F24" s="133">
        <v>3194.8254570868598</v>
      </c>
      <c r="G24" s="133">
        <v>3026.0325141877902</v>
      </c>
      <c r="H24" s="133">
        <v>3370.05358276997</v>
      </c>
      <c r="I24" s="133">
        <v>1900.78627369984</v>
      </c>
      <c r="J24" s="133">
        <v>1872.5707608385301</v>
      </c>
      <c r="K24" s="133">
        <v>1929.0017865611601</v>
      </c>
      <c r="L24" s="133">
        <v>807.74590226932003</v>
      </c>
      <c r="M24" s="133">
        <v>742.60453818865199</v>
      </c>
      <c r="N24" s="133">
        <v>868.012649557072</v>
      </c>
      <c r="O24" s="133">
        <v>23.0791567378796</v>
      </c>
      <c r="P24" s="133">
        <v>17.652866202302999</v>
      </c>
      <c r="Q24" s="133">
        <v>28.505447273456198</v>
      </c>
      <c r="R24" s="133">
        <v>177.422898407541</v>
      </c>
      <c r="S24" s="133">
        <v>149.42704921545001</v>
      </c>
      <c r="T24" s="133">
        <v>201.56742179813199</v>
      </c>
      <c r="U24" s="133">
        <v>109.681368568634</v>
      </c>
      <c r="V24" s="133">
        <v>100.927844510786</v>
      </c>
      <c r="W24" s="133">
        <v>119.616164889891</v>
      </c>
      <c r="X24" s="133">
        <v>236.66066842525001</v>
      </c>
      <c r="Y24" s="133">
        <v>226.54001557420401</v>
      </c>
      <c r="Z24" s="133">
        <v>247.02219470606499</v>
      </c>
      <c r="AA24" s="133">
        <v>317.70746455798701</v>
      </c>
      <c r="AB24" s="133">
        <v>306.028403250385</v>
      </c>
      <c r="AC24" s="133">
        <v>329.37901503761401</v>
      </c>
      <c r="AD24" s="133">
        <v>328.15413635602698</v>
      </c>
      <c r="AE24" s="133">
        <v>308.35173332261797</v>
      </c>
      <c r="AF24" s="133">
        <v>347.95653938943701</v>
      </c>
      <c r="AG24" s="133">
        <v>214.00348465640701</v>
      </c>
      <c r="AH24" s="133">
        <v>203.775375522763</v>
      </c>
      <c r="AI24" s="133">
        <v>224.23159379005</v>
      </c>
      <c r="AJ24" s="133">
        <v>324.06489468483699</v>
      </c>
      <c r="AK24" s="133">
        <v>312.59110441931</v>
      </c>
      <c r="AL24" s="133">
        <v>335.53868495036301</v>
      </c>
      <c r="AM24" s="133">
        <v>10.804379726309101</v>
      </c>
      <c r="AN24" s="133">
        <v>6.2305620924708398</v>
      </c>
      <c r="AO24" s="133">
        <v>15.755815645634</v>
      </c>
    </row>
    <row r="25" spans="1:41">
      <c r="A25" s="131">
        <v>45261</v>
      </c>
      <c r="B25" s="82">
        <f t="shared" si="0"/>
        <v>2023</v>
      </c>
      <c r="C25" s="133">
        <v>7879.6867600366804</v>
      </c>
      <c r="D25" s="133">
        <v>6993.4249619173097</v>
      </c>
      <c r="E25" s="133">
        <v>8918.8680303102592</v>
      </c>
      <c r="F25" s="133">
        <v>3237.4689011396599</v>
      </c>
      <c r="G25" s="133">
        <v>3063.1677952075302</v>
      </c>
      <c r="H25" s="133">
        <v>3418.5465945506298</v>
      </c>
      <c r="I25" s="133">
        <v>1907.9405150278101</v>
      </c>
      <c r="J25" s="133">
        <v>1879.7228511450601</v>
      </c>
      <c r="K25" s="133">
        <v>1936.1581789105701</v>
      </c>
      <c r="L25" s="133">
        <v>834.23843974318697</v>
      </c>
      <c r="M25" s="133">
        <v>770.05920171619903</v>
      </c>
      <c r="N25" s="133">
        <v>893.82153382035199</v>
      </c>
      <c r="O25" s="133">
        <v>23.137817915350901</v>
      </c>
      <c r="P25" s="133">
        <v>17.641163876950401</v>
      </c>
      <c r="Q25" s="133">
        <v>28.6344719537515</v>
      </c>
      <c r="R25" s="133">
        <v>191.504831837826</v>
      </c>
      <c r="S25" s="133">
        <v>165.38048186054201</v>
      </c>
      <c r="T25" s="133">
        <v>214.470476281613</v>
      </c>
      <c r="U25" s="133">
        <v>110.713889102954</v>
      </c>
      <c r="V25" s="133">
        <v>101.842269990144</v>
      </c>
      <c r="W25" s="133">
        <v>120.78820689927301</v>
      </c>
      <c r="X25" s="133">
        <v>239.967855777838</v>
      </c>
      <c r="Y25" s="133">
        <v>229.76979030188301</v>
      </c>
      <c r="Z25" s="133">
        <v>250.407086871552</v>
      </c>
      <c r="AA25" s="133">
        <v>319.73073475369301</v>
      </c>
      <c r="AB25" s="133">
        <v>308.00951611928502</v>
      </c>
      <c r="AC25" s="133">
        <v>331.44443610818701</v>
      </c>
      <c r="AD25" s="133">
        <v>331.82892486811198</v>
      </c>
      <c r="AE25" s="133">
        <v>311.579657199363</v>
      </c>
      <c r="AF25" s="133">
        <v>352.07819253686199</v>
      </c>
      <c r="AG25" s="133">
        <v>214.30785348083</v>
      </c>
      <c r="AH25" s="133">
        <v>204.02005858458401</v>
      </c>
      <c r="AI25" s="133">
        <v>224.595648377076</v>
      </c>
      <c r="AJ25" s="133">
        <v>323.11108222215802</v>
      </c>
      <c r="AK25" s="133">
        <v>311.28808020544301</v>
      </c>
      <c r="AL25" s="133">
        <v>334.93408423887303</v>
      </c>
      <c r="AM25" s="133">
        <v>11.162618200370099</v>
      </c>
      <c r="AN25" s="133">
        <v>6.4751810884014498</v>
      </c>
      <c r="AO25" s="133">
        <v>16.233498283458999</v>
      </c>
    </row>
    <row r="26" spans="1:41">
      <c r="A26" s="131">
        <v>45292</v>
      </c>
      <c r="B26" s="82">
        <f t="shared" si="0"/>
        <v>2024</v>
      </c>
      <c r="C26" s="133">
        <v>7923.4655512774198</v>
      </c>
      <c r="D26" s="133">
        <v>7006.7437255471796</v>
      </c>
      <c r="E26" s="133">
        <v>9003.7001498877999</v>
      </c>
      <c r="F26" s="133">
        <v>3262.8371423014501</v>
      </c>
      <c r="G26" s="133">
        <v>3081.7402923048598</v>
      </c>
      <c r="H26" s="133">
        <v>3451.20120521224</v>
      </c>
      <c r="I26" s="133">
        <v>1913.7500700559101</v>
      </c>
      <c r="J26" s="133">
        <v>1884.2246727325901</v>
      </c>
      <c r="K26" s="133">
        <v>1943.2754673792299</v>
      </c>
      <c r="L26" s="133">
        <v>840.27701416448497</v>
      </c>
      <c r="M26" s="133">
        <v>773.56726970810905</v>
      </c>
      <c r="N26" s="133">
        <v>902.06718357763395</v>
      </c>
      <c r="O26" s="133">
        <v>23.131648470908601</v>
      </c>
      <c r="P26" s="133">
        <v>17.552028692157801</v>
      </c>
      <c r="Q26" s="133">
        <v>28.711268249659501</v>
      </c>
      <c r="R26" s="133">
        <v>188.44240832320801</v>
      </c>
      <c r="S26" s="133">
        <v>159.01341171924901</v>
      </c>
      <c r="T26" s="133">
        <v>213.85959587719</v>
      </c>
      <c r="U26" s="133">
        <v>112.07744481916799</v>
      </c>
      <c r="V26" s="133">
        <v>102.987260757683</v>
      </c>
      <c r="W26" s="133">
        <v>122.417011580433</v>
      </c>
      <c r="X26" s="133">
        <v>238.944752283957</v>
      </c>
      <c r="Y26" s="133">
        <v>228.488692724321</v>
      </c>
      <c r="Z26" s="133">
        <v>249.65560001747801</v>
      </c>
      <c r="AA26" s="133">
        <v>319.44259378600498</v>
      </c>
      <c r="AB26" s="133">
        <v>307.05482369331401</v>
      </c>
      <c r="AC26" s="133">
        <v>331.82195982554703</v>
      </c>
      <c r="AD26" s="133">
        <v>333.87393965227199</v>
      </c>
      <c r="AE26" s="133">
        <v>312.63930447259798</v>
      </c>
      <c r="AF26" s="133">
        <v>355.10857483194599</v>
      </c>
      <c r="AG26" s="133">
        <v>214.60227112699201</v>
      </c>
      <c r="AH26" s="133">
        <v>204.10140039054801</v>
      </c>
      <c r="AI26" s="133">
        <v>225.10314186343601</v>
      </c>
      <c r="AJ26" s="133">
        <v>343.132017332327</v>
      </c>
      <c r="AK26" s="133">
        <v>330.33415873493902</v>
      </c>
      <c r="AL26" s="133">
        <v>355.92987592971502</v>
      </c>
      <c r="AM26" s="133">
        <v>11.1185538384743</v>
      </c>
      <c r="AN26" s="133">
        <v>6.0896315239261698</v>
      </c>
      <c r="AO26" s="133">
        <v>16.595557709160801</v>
      </c>
    </row>
    <row r="27" spans="1:41">
      <c r="A27" s="131">
        <v>45323</v>
      </c>
      <c r="B27" s="82">
        <f t="shared" si="0"/>
        <v>2024</v>
      </c>
      <c r="C27" s="133">
        <v>7937.6786012340299</v>
      </c>
      <c r="D27" s="133">
        <v>6995.2699371689696</v>
      </c>
      <c r="E27" s="133">
        <v>9053.3883071375403</v>
      </c>
      <c r="F27" s="133">
        <v>3263.9293613488999</v>
      </c>
      <c r="G27" s="133">
        <v>3077.0373912937298</v>
      </c>
      <c r="H27" s="133">
        <v>3458.56839641531</v>
      </c>
      <c r="I27" s="133">
        <v>1917.40425123717</v>
      </c>
      <c r="J27" s="133">
        <v>1887.1301276496499</v>
      </c>
      <c r="K27" s="133">
        <v>1947.6783748246901</v>
      </c>
      <c r="L27" s="133">
        <v>840.28752383225196</v>
      </c>
      <c r="M27" s="133">
        <v>771.29406821129396</v>
      </c>
      <c r="N27" s="133">
        <v>904.03116622527102</v>
      </c>
      <c r="O27" s="133">
        <v>23.138776866525198</v>
      </c>
      <c r="P27" s="133">
        <v>17.4819994116747</v>
      </c>
      <c r="Q27" s="133">
        <v>28.7955543213757</v>
      </c>
      <c r="R27" s="133">
        <v>189.302260346997</v>
      </c>
      <c r="S27" s="133">
        <v>158.745811677029</v>
      </c>
      <c r="T27" s="133">
        <v>215.57035079444</v>
      </c>
      <c r="U27" s="133">
        <v>114.320553602648</v>
      </c>
      <c r="V27" s="133">
        <v>104.930421210177</v>
      </c>
      <c r="W27" s="133">
        <v>125.020005962889</v>
      </c>
      <c r="X27" s="133">
        <v>239.347010007927</v>
      </c>
      <c r="Y27" s="133">
        <v>228.748712130207</v>
      </c>
      <c r="Z27" s="133">
        <v>250.20671176415701</v>
      </c>
      <c r="AA27" s="133">
        <v>323.19309531879202</v>
      </c>
      <c r="AB27" s="133">
        <v>310.556779881853</v>
      </c>
      <c r="AC27" s="133">
        <v>335.820767574797</v>
      </c>
      <c r="AD27" s="133">
        <v>333.16800027446902</v>
      </c>
      <c r="AE27" s="133">
        <v>311.16721305040198</v>
      </c>
      <c r="AF27" s="133">
        <v>355.16878749853498</v>
      </c>
      <c r="AG27" s="133">
        <v>215.488737436658</v>
      </c>
      <c r="AH27" s="133">
        <v>204.86230942536099</v>
      </c>
      <c r="AI27" s="133">
        <v>226.115165447956</v>
      </c>
      <c r="AJ27" s="133">
        <v>344.67616865856098</v>
      </c>
      <c r="AK27" s="133">
        <v>331.24578835932999</v>
      </c>
      <c r="AL27" s="133">
        <v>358.10654895779197</v>
      </c>
      <c r="AM27" s="133">
        <v>11.5037343522374</v>
      </c>
      <c r="AN27" s="133">
        <v>6.3392530693960598</v>
      </c>
      <c r="AO27" s="133">
        <v>17.1244136847594</v>
      </c>
    </row>
    <row r="28" spans="1:41">
      <c r="A28" s="131">
        <v>45352</v>
      </c>
      <c r="B28" s="82">
        <f t="shared" si="0"/>
        <v>2024</v>
      </c>
      <c r="C28" s="133">
        <v>7956.5605430174101</v>
      </c>
      <c r="D28" s="133">
        <v>6990.9438999824497</v>
      </c>
      <c r="E28" s="133">
        <v>9104.4277821415308</v>
      </c>
      <c r="F28" s="133">
        <v>3275.1116300897002</v>
      </c>
      <c r="G28" s="133">
        <v>3082.8718839286698</v>
      </c>
      <c r="H28" s="133">
        <v>3475.5287100883202</v>
      </c>
      <c r="I28" s="133">
        <v>1921.8541152108701</v>
      </c>
      <c r="J28" s="133">
        <v>1891.14467056185</v>
      </c>
      <c r="K28" s="133">
        <v>1952.5635598598899</v>
      </c>
      <c r="L28" s="133">
        <v>836.62351563278003</v>
      </c>
      <c r="M28" s="133">
        <v>765.380195664594</v>
      </c>
      <c r="N28" s="133">
        <v>902.25919466026403</v>
      </c>
      <c r="O28" s="133">
        <v>23.139926118218298</v>
      </c>
      <c r="P28" s="133">
        <v>17.409444755577201</v>
      </c>
      <c r="Q28" s="133">
        <v>28.870407480859399</v>
      </c>
      <c r="R28" s="133">
        <v>183.47448664055199</v>
      </c>
      <c r="S28" s="133">
        <v>150.75081754772401</v>
      </c>
      <c r="T28" s="133">
        <v>211.18735284541401</v>
      </c>
      <c r="U28" s="133">
        <v>114.892737251247</v>
      </c>
      <c r="V28" s="133">
        <v>105.416934121029</v>
      </c>
      <c r="W28" s="133">
        <v>125.695976688651</v>
      </c>
      <c r="X28" s="133">
        <v>239.60751534966801</v>
      </c>
      <c r="Y28" s="133">
        <v>228.93988396264001</v>
      </c>
      <c r="Z28" s="133">
        <v>250.539729934409</v>
      </c>
      <c r="AA28" s="133">
        <v>322.26922627160599</v>
      </c>
      <c r="AB28" s="133">
        <v>309.42578072925699</v>
      </c>
      <c r="AC28" s="133">
        <v>335.10371738878302</v>
      </c>
      <c r="AD28" s="133">
        <v>334.24086966596502</v>
      </c>
      <c r="AE28" s="133">
        <v>311.53762214036601</v>
      </c>
      <c r="AF28" s="133">
        <v>356.94411719156398</v>
      </c>
      <c r="AG28" s="133">
        <v>215.81380545357999</v>
      </c>
      <c r="AH28" s="133">
        <v>205.07717851616999</v>
      </c>
      <c r="AI28" s="133">
        <v>226.55043239099001</v>
      </c>
      <c r="AJ28" s="133">
        <v>344.09234713391697</v>
      </c>
      <c r="AK28" s="133">
        <v>330.057923551697</v>
      </c>
      <c r="AL28" s="133">
        <v>358.126770716137</v>
      </c>
      <c r="AM28" s="133">
        <v>10.143903524715601</v>
      </c>
      <c r="AN28" s="133">
        <v>5.00182929351487</v>
      </c>
      <c r="AO28" s="133">
        <v>15.810004422043299</v>
      </c>
    </row>
    <row r="29" spans="1:41">
      <c r="A29" s="131">
        <v>45383</v>
      </c>
      <c r="B29" s="82">
        <f t="shared" si="0"/>
        <v>2024</v>
      </c>
      <c r="C29" s="133">
        <v>7926.4827321113498</v>
      </c>
      <c r="D29" s="133">
        <v>6947.0759834693799</v>
      </c>
      <c r="E29" s="133">
        <v>9094.7376310884592</v>
      </c>
      <c r="F29" s="133">
        <v>3269.33065172234</v>
      </c>
      <c r="G29" s="133">
        <v>3072.56540464003</v>
      </c>
      <c r="H29" s="133">
        <v>3474.6872370751598</v>
      </c>
      <c r="I29" s="133">
        <v>1914.6737325028701</v>
      </c>
      <c r="J29" s="133">
        <v>1883.7090639560399</v>
      </c>
      <c r="K29" s="133">
        <v>1945.6384010497</v>
      </c>
      <c r="L29" s="133">
        <v>822.48178030373504</v>
      </c>
      <c r="M29" s="133">
        <v>747.98053957243599</v>
      </c>
      <c r="N29" s="133">
        <v>890.77405381180495</v>
      </c>
      <c r="O29" s="133">
        <v>23.1455719770026</v>
      </c>
      <c r="P29" s="133">
        <v>17.343606640421001</v>
      </c>
      <c r="Q29" s="133">
        <v>28.947537313584199</v>
      </c>
      <c r="R29" s="133">
        <v>178.16650965804399</v>
      </c>
      <c r="S29" s="133">
        <v>143.22143670949799</v>
      </c>
      <c r="T29" s="133">
        <v>207.30262680355099</v>
      </c>
      <c r="U29" s="133">
        <v>112.29107576813</v>
      </c>
      <c r="V29" s="133">
        <v>103.11846224553599</v>
      </c>
      <c r="W29" s="133">
        <v>122.73465847521901</v>
      </c>
      <c r="X29" s="133">
        <v>235.21897207547499</v>
      </c>
      <c r="Y29" s="133">
        <v>224.629331381443</v>
      </c>
      <c r="Z29" s="133">
        <v>246.07428043922701</v>
      </c>
      <c r="AA29" s="133">
        <v>323.35914765086699</v>
      </c>
      <c r="AB29" s="133">
        <v>310.34613386917903</v>
      </c>
      <c r="AC29" s="133">
        <v>336.36299999902798</v>
      </c>
      <c r="AD29" s="133">
        <v>330.04724463419399</v>
      </c>
      <c r="AE29" s="133">
        <v>306.67124106628103</v>
      </c>
      <c r="AF29" s="133">
        <v>353.423248202107</v>
      </c>
      <c r="AG29" s="133">
        <v>214.687716382741</v>
      </c>
      <c r="AH29" s="133">
        <v>203.85424543630401</v>
      </c>
      <c r="AI29" s="133">
        <v>225.52118732917901</v>
      </c>
      <c r="AJ29" s="133">
        <v>345.37697505855402</v>
      </c>
      <c r="AK29" s="133">
        <v>330.76345475753101</v>
      </c>
      <c r="AL29" s="133">
        <v>359.99049535957602</v>
      </c>
      <c r="AM29" s="133">
        <v>10.6607693909682</v>
      </c>
      <c r="AN29" s="133">
        <v>5.34557523869048</v>
      </c>
      <c r="AO29" s="133">
        <v>16.507006061548498</v>
      </c>
    </row>
    <row r="30" spans="1:41">
      <c r="A30" s="131">
        <v>45413</v>
      </c>
      <c r="B30" s="82">
        <f t="shared" si="0"/>
        <v>2024</v>
      </c>
      <c r="C30" s="133">
        <v>7840.0647371025198</v>
      </c>
      <c r="D30" s="133">
        <v>6856.5447869525697</v>
      </c>
      <c r="E30" s="133">
        <v>9016.6875074640193</v>
      </c>
      <c r="F30" s="133">
        <v>3233.7856657889702</v>
      </c>
      <c r="G30" s="133">
        <v>3033.9159621946601</v>
      </c>
      <c r="H30" s="133">
        <v>3442.62800352354</v>
      </c>
      <c r="I30" s="133">
        <v>1900.8436358190299</v>
      </c>
      <c r="J30" s="133">
        <v>1869.72862658346</v>
      </c>
      <c r="K30" s="133">
        <v>1931.9586450545901</v>
      </c>
      <c r="L30" s="133">
        <v>790.63430897322496</v>
      </c>
      <c r="M30" s="133">
        <v>710.84515083948997</v>
      </c>
      <c r="N30" s="133">
        <v>863.07892944856098</v>
      </c>
      <c r="O30" s="133">
        <v>23.150932846795801</v>
      </c>
      <c r="P30" s="133">
        <v>17.279040234473499</v>
      </c>
      <c r="Q30" s="133">
        <v>29.022825459118099</v>
      </c>
      <c r="R30" s="133">
        <v>173.33073871273501</v>
      </c>
      <c r="S30" s="133">
        <v>136.111239422983</v>
      </c>
      <c r="T30" s="133">
        <v>203.86511800060899</v>
      </c>
      <c r="U30" s="133">
        <v>111.477517622186</v>
      </c>
      <c r="V30" s="133">
        <v>102.39754167742301</v>
      </c>
      <c r="W30" s="133">
        <v>121.81151129762</v>
      </c>
      <c r="X30" s="133">
        <v>233.78659301504999</v>
      </c>
      <c r="Y30" s="133">
        <v>223.21822879661499</v>
      </c>
      <c r="Z30" s="133">
        <v>244.62120728812701</v>
      </c>
      <c r="AA30" s="133">
        <v>323.73834147001401</v>
      </c>
      <c r="AB30" s="133">
        <v>310.58468532663602</v>
      </c>
      <c r="AC30" s="133">
        <v>336.88264805666</v>
      </c>
      <c r="AD30" s="133">
        <v>328.70529282335298</v>
      </c>
      <c r="AE30" s="133">
        <v>304.67734528940099</v>
      </c>
      <c r="AF30" s="133">
        <v>352.733240357304</v>
      </c>
      <c r="AG30" s="133">
        <v>213.045495153605</v>
      </c>
      <c r="AH30" s="133">
        <v>202.12682858454301</v>
      </c>
      <c r="AI30" s="133">
        <v>223.964161722667</v>
      </c>
      <c r="AJ30" s="133">
        <v>344.67612448029399</v>
      </c>
      <c r="AK30" s="133">
        <v>329.505596938655</v>
      </c>
      <c r="AL30" s="133">
        <v>359.84665202193298</v>
      </c>
      <c r="AM30" s="133">
        <v>10.1262901263832</v>
      </c>
      <c r="AN30" s="133">
        <v>4.7632833518520599</v>
      </c>
      <c r="AO30" s="133">
        <v>16.065496713585201</v>
      </c>
    </row>
    <row r="31" spans="1:41">
      <c r="A31" s="131">
        <v>45444</v>
      </c>
      <c r="B31" s="82">
        <f t="shared" si="0"/>
        <v>2024</v>
      </c>
      <c r="C31" s="133">
        <v>7774.0246810095696</v>
      </c>
      <c r="D31" s="133">
        <v>6783.9123640699399</v>
      </c>
      <c r="E31" s="133">
        <v>8962.0898624532092</v>
      </c>
      <c r="F31" s="133">
        <v>3195.5328706291498</v>
      </c>
      <c r="G31" s="133">
        <v>2992.8660634856001</v>
      </c>
      <c r="H31" s="133">
        <v>3407.5466784629698</v>
      </c>
      <c r="I31" s="133">
        <v>1898.70382004413</v>
      </c>
      <c r="J31" s="133">
        <v>1867.5000117167201</v>
      </c>
      <c r="K31" s="133">
        <v>1929.9076283715301</v>
      </c>
      <c r="L31" s="133">
        <v>786.07317391772597</v>
      </c>
      <c r="M31" s="133">
        <v>703.82707085177606</v>
      </c>
      <c r="N31" s="133">
        <v>860.49428789837202</v>
      </c>
      <c r="O31" s="133">
        <v>23.151118853371699</v>
      </c>
      <c r="P31" s="133">
        <v>17.2104904372856</v>
      </c>
      <c r="Q31" s="133">
        <v>29.091747269457802</v>
      </c>
      <c r="R31" s="133">
        <v>169.554430633035</v>
      </c>
      <c r="S31" s="133">
        <v>130.19994522283599</v>
      </c>
      <c r="T31" s="133">
        <v>201.35929761289299</v>
      </c>
      <c r="U31" s="133">
        <v>111.58432808310501</v>
      </c>
      <c r="V31" s="133">
        <v>102.489524478562</v>
      </c>
      <c r="W31" s="133">
        <v>121.936160836337</v>
      </c>
      <c r="X31" s="133">
        <v>234.76196785930199</v>
      </c>
      <c r="Y31" s="133">
        <v>224.16259452315001</v>
      </c>
      <c r="Z31" s="133">
        <v>245.628034912309</v>
      </c>
      <c r="AA31" s="133">
        <v>321.47756007589402</v>
      </c>
      <c r="AB31" s="133">
        <v>308.205415571495</v>
      </c>
      <c r="AC31" s="133">
        <v>334.74011890447701</v>
      </c>
      <c r="AD31" s="133">
        <v>326.97157829186102</v>
      </c>
      <c r="AE31" s="133">
        <v>302.30937388578599</v>
      </c>
      <c r="AF31" s="133">
        <v>351.63378269793702</v>
      </c>
      <c r="AG31" s="133">
        <v>210.50628367857601</v>
      </c>
      <c r="AH31" s="133">
        <v>199.51260857857201</v>
      </c>
      <c r="AI31" s="133">
        <v>221.499958778581</v>
      </c>
      <c r="AJ31" s="133">
        <v>344.675886076962</v>
      </c>
      <c r="AK31" s="133">
        <v>328.96809068120899</v>
      </c>
      <c r="AL31" s="133">
        <v>360.38368147271598</v>
      </c>
      <c r="AM31" s="133">
        <v>10.4528140337249</v>
      </c>
      <c r="AN31" s="133">
        <v>4.9413662047814997</v>
      </c>
      <c r="AO31" s="133">
        <v>16.553230784041499</v>
      </c>
    </row>
    <row r="32" spans="1:41">
      <c r="A32" s="131">
        <v>45474</v>
      </c>
      <c r="B32" s="82">
        <f t="shared" si="0"/>
        <v>2024</v>
      </c>
      <c r="C32" s="133">
        <v>7679.54743357385</v>
      </c>
      <c r="D32" s="133">
        <v>6688.2635611698497</v>
      </c>
      <c r="E32" s="133">
        <v>8872.2351073995706</v>
      </c>
      <c r="F32" s="133">
        <v>3154.9330115475</v>
      </c>
      <c r="G32" s="133">
        <v>2949.7598433785201</v>
      </c>
      <c r="H32" s="133">
        <v>3369.8205262022202</v>
      </c>
      <c r="I32" s="133">
        <v>1897.72477032391</v>
      </c>
      <c r="J32" s="133">
        <v>1866.46842969211</v>
      </c>
      <c r="K32" s="133">
        <v>1928.9811109557099</v>
      </c>
      <c r="L32" s="133">
        <v>771.93136739341003</v>
      </c>
      <c r="M32" s="133">
        <v>686.04866611889395</v>
      </c>
      <c r="N32" s="133">
        <v>849.17269754299298</v>
      </c>
      <c r="O32" s="133">
        <v>23.141181114374501</v>
      </c>
      <c r="P32" s="133">
        <v>17.132801281641999</v>
      </c>
      <c r="Q32" s="133">
        <v>29.149560947106998</v>
      </c>
      <c r="R32" s="133">
        <v>171.66681604669799</v>
      </c>
      <c r="S32" s="133">
        <v>131.90846321811</v>
      </c>
      <c r="T32" s="133">
        <v>203.81200951327099</v>
      </c>
      <c r="U32" s="133">
        <v>105.253514907341</v>
      </c>
      <c r="V32" s="133">
        <v>96.901341936540305</v>
      </c>
      <c r="W32" s="133">
        <v>114.725501385336</v>
      </c>
      <c r="X32" s="133">
        <v>226.93783523731301</v>
      </c>
      <c r="Y32" s="133">
        <v>216.53079034394699</v>
      </c>
      <c r="Z32" s="133">
        <v>237.61095350049399</v>
      </c>
      <c r="AA32" s="133">
        <v>314.61258773787301</v>
      </c>
      <c r="AB32" s="133">
        <v>301.23824492277902</v>
      </c>
      <c r="AC32" s="133">
        <v>327.97698432709399</v>
      </c>
      <c r="AD32" s="133">
        <v>326.14803830797001</v>
      </c>
      <c r="AE32" s="133">
        <v>300.86759124215598</v>
      </c>
      <c r="AF32" s="133">
        <v>351.42848537378302</v>
      </c>
      <c r="AG32" s="133">
        <v>209.58391224236399</v>
      </c>
      <c r="AH32" s="133">
        <v>198.524158899388</v>
      </c>
      <c r="AI32" s="133">
        <v>220.64366558533999</v>
      </c>
      <c r="AJ32" s="133">
        <v>345.60979851599802</v>
      </c>
      <c r="AK32" s="133">
        <v>329.38251388491898</v>
      </c>
      <c r="AL32" s="133">
        <v>361.83708314707798</v>
      </c>
      <c r="AM32" s="133">
        <v>10.242505135931699</v>
      </c>
      <c r="AN32" s="133">
        <v>4.6519883791317396</v>
      </c>
      <c r="AO32" s="133">
        <v>16.4561923112059</v>
      </c>
    </row>
    <row r="33" spans="1:41">
      <c r="A33" s="131">
        <v>45505</v>
      </c>
      <c r="B33" s="82">
        <f t="shared" si="0"/>
        <v>2024</v>
      </c>
      <c r="C33" s="133">
        <v>7674.2005496723796</v>
      </c>
      <c r="D33" s="133">
        <v>6667.59174999682</v>
      </c>
      <c r="E33" s="133">
        <v>8889.3149668305596</v>
      </c>
      <c r="F33" s="133">
        <v>3136.8465376900499</v>
      </c>
      <c r="G33" s="133">
        <v>2928.29509373982</v>
      </c>
      <c r="H33" s="133">
        <v>3355.5034897331102</v>
      </c>
      <c r="I33" s="133">
        <v>1890.31740123688</v>
      </c>
      <c r="J33" s="133">
        <v>1859.02995440011</v>
      </c>
      <c r="K33" s="133">
        <v>1921.6048480736499</v>
      </c>
      <c r="L33" s="133">
        <v>772.87596237703497</v>
      </c>
      <c r="M33" s="133">
        <v>685.20147801218695</v>
      </c>
      <c r="N33" s="133">
        <v>851.57175296349499</v>
      </c>
      <c r="O33" s="133">
        <v>23.136216803181998</v>
      </c>
      <c r="P33" s="133">
        <v>17.0609477216572</v>
      </c>
      <c r="Q33" s="133">
        <v>29.2114858847068</v>
      </c>
      <c r="R33" s="133">
        <v>170.17436161192299</v>
      </c>
      <c r="S33" s="133">
        <v>128.929239013814</v>
      </c>
      <c r="T33" s="133">
        <v>203.214361535704</v>
      </c>
      <c r="U33" s="133">
        <v>110.417387686567</v>
      </c>
      <c r="V33" s="133">
        <v>101.459718813999</v>
      </c>
      <c r="W33" s="133">
        <v>120.6065582893</v>
      </c>
      <c r="X33" s="133">
        <v>237.441451829226</v>
      </c>
      <c r="Y33" s="133">
        <v>226.770944415706</v>
      </c>
      <c r="Z33" s="133">
        <v>248.37916294069001</v>
      </c>
      <c r="AA33" s="133">
        <v>319.99786684123802</v>
      </c>
      <c r="AB33" s="133">
        <v>306.54687598126401</v>
      </c>
      <c r="AC33" s="133">
        <v>333.43896644136902</v>
      </c>
      <c r="AD33" s="133">
        <v>325.54097374783601</v>
      </c>
      <c r="AE33" s="133">
        <v>299.657071379402</v>
      </c>
      <c r="AF33" s="133">
        <v>351.42487611627098</v>
      </c>
      <c r="AG33" s="133">
        <v>209.178348838847</v>
      </c>
      <c r="AH33" s="133">
        <v>198.06036266462201</v>
      </c>
      <c r="AI33" s="133">
        <v>220.296335013071</v>
      </c>
      <c r="AJ33" s="133">
        <v>345.37395801871997</v>
      </c>
      <c r="AK33" s="133">
        <v>328.64330660279302</v>
      </c>
      <c r="AL33" s="133">
        <v>362.10460943464801</v>
      </c>
      <c r="AM33" s="133">
        <v>10.4528148498961</v>
      </c>
      <c r="AN33" s="133">
        <v>4.7318957145222296</v>
      </c>
      <c r="AO33" s="133">
        <v>16.813585787828099</v>
      </c>
    </row>
    <row r="34" spans="1:41">
      <c r="A34" s="131">
        <v>45536</v>
      </c>
      <c r="B34" s="82">
        <f t="shared" si="0"/>
        <v>2024</v>
      </c>
      <c r="C34" s="133">
        <v>7722.2796793224197</v>
      </c>
      <c r="D34" s="133">
        <v>6691.5801562964298</v>
      </c>
      <c r="E34" s="133">
        <v>8971.0125272982605</v>
      </c>
      <c r="F34" s="133">
        <v>3156.7071798265001</v>
      </c>
      <c r="G34" s="133">
        <v>2943.0950935933902</v>
      </c>
      <c r="H34" s="133">
        <v>3380.8636242000598</v>
      </c>
      <c r="I34" s="133">
        <v>1890.2611863725101</v>
      </c>
      <c r="J34" s="133">
        <v>1858.95531040127</v>
      </c>
      <c r="K34" s="133">
        <v>1921.56706234375</v>
      </c>
      <c r="L34" s="133">
        <v>777.31532144654</v>
      </c>
      <c r="M34" s="133">
        <v>688.34193111588195</v>
      </c>
      <c r="N34" s="133">
        <v>857.10246901867799</v>
      </c>
      <c r="O34" s="133">
        <v>23.151305568336799</v>
      </c>
      <c r="P34" s="133">
        <v>17.009933185120101</v>
      </c>
      <c r="Q34" s="133">
        <v>29.292677951553401</v>
      </c>
      <c r="R34" s="133">
        <v>167.25170858582501</v>
      </c>
      <c r="S34" s="133">
        <v>123.997271467956</v>
      </c>
      <c r="T34" s="133">
        <v>201.42283909501299</v>
      </c>
      <c r="U34" s="133">
        <v>109.328839370107</v>
      </c>
      <c r="V34" s="133">
        <v>100.49986611687901</v>
      </c>
      <c r="W34" s="133">
        <v>119.36534032807199</v>
      </c>
      <c r="X34" s="133">
        <v>237.16828350606499</v>
      </c>
      <c r="Y34" s="133">
        <v>226.503773381652</v>
      </c>
      <c r="Z34" s="133">
        <v>248.10000844903999</v>
      </c>
      <c r="AA34" s="133">
        <v>321.89883759677298</v>
      </c>
      <c r="AB34" s="133">
        <v>308.38207976920302</v>
      </c>
      <c r="AC34" s="133">
        <v>335.405666187821</v>
      </c>
      <c r="AD34" s="133">
        <v>324.55170267129398</v>
      </c>
      <c r="AE34" s="133">
        <v>298.07810263112202</v>
      </c>
      <c r="AF34" s="133">
        <v>351.02530271146702</v>
      </c>
      <c r="AG34" s="133">
        <v>213.71484385809899</v>
      </c>
      <c r="AH34" s="133">
        <v>202.54553098666699</v>
      </c>
      <c r="AI34" s="133">
        <v>224.88415672952999</v>
      </c>
      <c r="AJ34" s="133">
        <v>343.166944292582</v>
      </c>
      <c r="AK34" s="133">
        <v>325.94763457632098</v>
      </c>
      <c r="AL34" s="133">
        <v>360.386254008842</v>
      </c>
      <c r="AM34" s="133">
        <v>10.567825433160399</v>
      </c>
      <c r="AN34" s="133">
        <v>4.7305597938052504</v>
      </c>
      <c r="AO34" s="133">
        <v>17.065388992418001</v>
      </c>
    </row>
    <row r="35" spans="1:41">
      <c r="A35" s="131">
        <v>45566</v>
      </c>
      <c r="B35" s="82">
        <f t="shared" si="0"/>
        <v>2024</v>
      </c>
      <c r="C35" s="133">
        <v>7799.9452788038197</v>
      </c>
      <c r="D35" s="133">
        <v>6740.0661965254503</v>
      </c>
      <c r="E35" s="133">
        <v>9088.9536681808404</v>
      </c>
      <c r="F35" s="133">
        <v>3197.8792561088499</v>
      </c>
      <c r="G35" s="133">
        <v>2978.2266210676999</v>
      </c>
      <c r="H35" s="133">
        <v>3428.5457209705401</v>
      </c>
      <c r="I35" s="133">
        <v>1908.0333265680799</v>
      </c>
      <c r="J35" s="133">
        <v>1876.71652857408</v>
      </c>
      <c r="K35" s="133">
        <v>1939.3501245620701</v>
      </c>
      <c r="L35" s="133">
        <v>774.90276445699806</v>
      </c>
      <c r="M35" s="133">
        <v>683.77715686212002</v>
      </c>
      <c r="N35" s="133">
        <v>856.38687214827803</v>
      </c>
      <c r="O35" s="133">
        <v>23.146302421386501</v>
      </c>
      <c r="P35" s="133">
        <v>16.939561687053299</v>
      </c>
      <c r="Q35" s="133">
        <v>29.3530431557197</v>
      </c>
      <c r="R35" s="133">
        <v>171.91243619066401</v>
      </c>
      <c r="S35" s="133">
        <v>129.22880424397599</v>
      </c>
      <c r="T35" s="133">
        <v>205.931783060957</v>
      </c>
      <c r="U35" s="133">
        <v>111.015967565034</v>
      </c>
      <c r="V35" s="133">
        <v>101.987876314473</v>
      </c>
      <c r="W35" s="133">
        <v>121.288669370036</v>
      </c>
      <c r="X35" s="133">
        <v>238.78772278882701</v>
      </c>
      <c r="Y35" s="133">
        <v>228.082931256412</v>
      </c>
      <c r="Z35" s="133">
        <v>249.75990512904801</v>
      </c>
      <c r="AA35" s="133">
        <v>327.00713337586399</v>
      </c>
      <c r="AB35" s="133">
        <v>313.43819895522</v>
      </c>
      <c r="AC35" s="133">
        <v>340.56621804772601</v>
      </c>
      <c r="AD35" s="133">
        <v>325.62802533637199</v>
      </c>
      <c r="AE35" s="133">
        <v>298.577580979304</v>
      </c>
      <c r="AF35" s="133">
        <v>352.67846969343998</v>
      </c>
      <c r="AG35" s="133">
        <v>217.65455891512099</v>
      </c>
      <c r="AH35" s="133">
        <v>206.440010296899</v>
      </c>
      <c r="AI35" s="133">
        <v>228.869107533343</v>
      </c>
      <c r="AJ35" s="133">
        <v>344.58894652827303</v>
      </c>
      <c r="AK35" s="133">
        <v>326.89446836677502</v>
      </c>
      <c r="AL35" s="133">
        <v>362.28342468977098</v>
      </c>
      <c r="AM35" s="133">
        <v>9.9274362163997907</v>
      </c>
      <c r="AN35" s="133">
        <v>4.0803132785715697</v>
      </c>
      <c r="AO35" s="133">
        <v>16.491254929132801</v>
      </c>
    </row>
    <row r="36" spans="1:41">
      <c r="A36" s="131">
        <v>45597</v>
      </c>
      <c r="B36" s="82">
        <f t="shared" si="0"/>
        <v>2024</v>
      </c>
      <c r="C36" s="133">
        <v>7948.6462830085802</v>
      </c>
      <c r="D36" s="133">
        <v>6846.7925555246002</v>
      </c>
      <c r="E36" s="133">
        <v>9294.5625986138493</v>
      </c>
      <c r="F36" s="133">
        <v>3284.0781043260199</v>
      </c>
      <c r="G36" s="133">
        <v>3056.1990703636702</v>
      </c>
      <c r="H36" s="133">
        <v>3523.5062098240801</v>
      </c>
      <c r="I36" s="133">
        <v>1923.6055693872299</v>
      </c>
      <c r="J36" s="133">
        <v>1892.2822972219001</v>
      </c>
      <c r="K36" s="133">
        <v>1954.92884155256</v>
      </c>
      <c r="L36" s="133">
        <v>790.28962241393594</v>
      </c>
      <c r="M36" s="133">
        <v>699.401590393829</v>
      </c>
      <c r="N36" s="133">
        <v>871.75333277160701</v>
      </c>
      <c r="O36" s="133">
        <v>23.131252702374201</v>
      </c>
      <c r="P36" s="133">
        <v>16.859841632105301</v>
      </c>
      <c r="Q36" s="133">
        <v>29.402663772642999</v>
      </c>
      <c r="R36" s="133">
        <v>174.18466849290701</v>
      </c>
      <c r="S36" s="133">
        <v>131.28412320237001</v>
      </c>
      <c r="T36" s="133">
        <v>208.43533936486401</v>
      </c>
      <c r="U36" s="133">
        <v>114.304218184969</v>
      </c>
      <c r="V36" s="133">
        <v>104.884402830677</v>
      </c>
      <c r="W36" s="133">
        <v>125.042438394084</v>
      </c>
      <c r="X36" s="133">
        <v>243.54771204915801</v>
      </c>
      <c r="Y36" s="133">
        <v>232.72610514316</v>
      </c>
      <c r="Z36" s="133">
        <v>254.63717696907699</v>
      </c>
      <c r="AA36" s="133">
        <v>328.15783492662899</v>
      </c>
      <c r="AB36" s="133">
        <v>314.54306406705098</v>
      </c>
      <c r="AC36" s="133">
        <v>341.76272415146201</v>
      </c>
      <c r="AD36" s="133">
        <v>328.39804973241098</v>
      </c>
      <c r="AE36" s="133">
        <v>300.78280701274502</v>
      </c>
      <c r="AF36" s="133">
        <v>356.013292452077</v>
      </c>
      <c r="AG36" s="133">
        <v>218.53826385261499</v>
      </c>
      <c r="AH36" s="133">
        <v>207.28386162917599</v>
      </c>
      <c r="AI36" s="133">
        <v>229.792666076053</v>
      </c>
      <c r="AJ36" s="133">
        <v>344.80516985391398</v>
      </c>
      <c r="AK36" s="133">
        <v>326.64795399599802</v>
      </c>
      <c r="AL36" s="133">
        <v>362.96238571183</v>
      </c>
      <c r="AM36" s="133">
        <v>10.4528148777254</v>
      </c>
      <c r="AN36" s="133">
        <v>4.4351551045221296</v>
      </c>
      <c r="AO36" s="133">
        <v>17.187145191299098</v>
      </c>
    </row>
    <row r="37" spans="1:41">
      <c r="A37" s="131">
        <v>45627</v>
      </c>
      <c r="B37" s="82">
        <f t="shared" si="0"/>
        <v>2024</v>
      </c>
      <c r="C37" s="133">
        <v>8042.4354655955103</v>
      </c>
      <c r="D37" s="133">
        <v>6907.8065729075697</v>
      </c>
      <c r="E37" s="133">
        <v>9433.8480424671106</v>
      </c>
      <c r="F37" s="133">
        <v>3327.5443938046101</v>
      </c>
      <c r="G37" s="133">
        <v>3093.4941665954402</v>
      </c>
      <c r="H37" s="133">
        <v>3573.6269338950101</v>
      </c>
      <c r="I37" s="133">
        <v>1929.58508588071</v>
      </c>
      <c r="J37" s="133">
        <v>1898.25797563172</v>
      </c>
      <c r="K37" s="133">
        <v>1960.9121961296901</v>
      </c>
      <c r="L37" s="133">
        <v>816.24847649276796</v>
      </c>
      <c r="M37" s="133">
        <v>726.93743036510398</v>
      </c>
      <c r="N37" s="133">
        <v>896.70852261472999</v>
      </c>
      <c r="O37" s="133">
        <v>23.141296681544802</v>
      </c>
      <c r="P37" s="133">
        <v>16.805884389636699</v>
      </c>
      <c r="Q37" s="133">
        <v>29.476708973452801</v>
      </c>
      <c r="R37" s="133">
        <v>187.79146718097101</v>
      </c>
      <c r="S37" s="133">
        <v>148.035535584146</v>
      </c>
      <c r="T37" s="133">
        <v>220.49249479068101</v>
      </c>
      <c r="U37" s="133">
        <v>115.400943417855</v>
      </c>
      <c r="V37" s="133">
        <v>105.851560355994</v>
      </c>
      <c r="W37" s="133">
        <v>126.29314515273801</v>
      </c>
      <c r="X37" s="133">
        <v>246.906744109865</v>
      </c>
      <c r="Y37" s="133">
        <v>236.003412708269</v>
      </c>
      <c r="Z37" s="133">
        <v>258.078253964174</v>
      </c>
      <c r="AA37" s="133">
        <v>329.42087528127502</v>
      </c>
      <c r="AB37" s="133">
        <v>315.76807681471598</v>
      </c>
      <c r="AC37" s="133">
        <v>343.06377493285402</v>
      </c>
      <c r="AD37" s="133">
        <v>331.88111218232098</v>
      </c>
      <c r="AE37" s="133">
        <v>303.71238848374202</v>
      </c>
      <c r="AF37" s="133">
        <v>360.04983588090101</v>
      </c>
      <c r="AG37" s="133">
        <v>218.82300679008901</v>
      </c>
      <c r="AH37" s="133">
        <v>207.53351595735001</v>
      </c>
      <c r="AI37" s="133">
        <v>230.11249762282699</v>
      </c>
      <c r="AJ37" s="133">
        <v>343.85135739123501</v>
      </c>
      <c r="AK37" s="133">
        <v>325.24290721358199</v>
      </c>
      <c r="AL37" s="133">
        <v>362.45980756888798</v>
      </c>
      <c r="AM37" s="133">
        <v>10.9046515403871</v>
      </c>
      <c r="AN37" s="133">
        <v>4.7291490966825602</v>
      </c>
      <c r="AO37" s="133">
        <v>17.800667320858398</v>
      </c>
    </row>
    <row r="38" spans="1:41">
      <c r="A38" s="131">
        <v>45658</v>
      </c>
      <c r="B38" s="82">
        <f t="shared" si="0"/>
        <v>2025</v>
      </c>
      <c r="C38" s="133">
        <v>8087.40237193555</v>
      </c>
      <c r="D38" s="133">
        <v>6921.8500430635104</v>
      </c>
      <c r="E38" s="133">
        <v>9523.7326086874691</v>
      </c>
      <c r="F38" s="133">
        <v>3353.40056214691</v>
      </c>
      <c r="G38" s="133">
        <v>3112.3282626333698</v>
      </c>
      <c r="H38" s="133">
        <v>3607.1540648505402</v>
      </c>
      <c r="I38" s="133">
        <v>1936.4140730050899</v>
      </c>
      <c r="J38" s="133">
        <v>1903.5162477264801</v>
      </c>
      <c r="K38" s="133">
        <v>1969.3118982837</v>
      </c>
      <c r="L38" s="133">
        <v>822.35808056823396</v>
      </c>
      <c r="M38" s="133">
        <v>730.84930197583606</v>
      </c>
      <c r="N38" s="133">
        <v>904.65796026419002</v>
      </c>
      <c r="O38" s="133">
        <v>23.140240348017699</v>
      </c>
      <c r="P38" s="133">
        <v>16.739482534416599</v>
      </c>
      <c r="Q38" s="133">
        <v>29.540998161618901</v>
      </c>
      <c r="R38" s="133">
        <v>184.89030319147301</v>
      </c>
      <c r="S38" s="133">
        <v>141.25842789083001</v>
      </c>
      <c r="T38" s="133">
        <v>220.034380543265</v>
      </c>
      <c r="U38" s="133">
        <v>116.850607690834</v>
      </c>
      <c r="V38" s="133">
        <v>107.064665232298</v>
      </c>
      <c r="W38" s="133">
        <v>128.03158611883501</v>
      </c>
      <c r="X38" s="133">
        <v>245.86767696588299</v>
      </c>
      <c r="Y38" s="133">
        <v>234.717767142897</v>
      </c>
      <c r="Z38" s="133">
        <v>257.29940576785901</v>
      </c>
      <c r="AA38" s="133">
        <v>329.43651504791899</v>
      </c>
      <c r="AB38" s="133">
        <v>315.047827006624</v>
      </c>
      <c r="AC38" s="133">
        <v>343.81420901229399</v>
      </c>
      <c r="AD38" s="133">
        <v>334.01873117751802</v>
      </c>
      <c r="AE38" s="133">
        <v>304.89367947021998</v>
      </c>
      <c r="AF38" s="133">
        <v>363.14378288481498</v>
      </c>
      <c r="AG38" s="133">
        <v>219.09893012517301</v>
      </c>
      <c r="AH38" s="133">
        <v>207.650667239131</v>
      </c>
      <c r="AI38" s="133">
        <v>230.547193011215</v>
      </c>
      <c r="AJ38" s="133">
        <v>363.87229250140399</v>
      </c>
      <c r="AK38" s="133">
        <v>344.28330898732497</v>
      </c>
      <c r="AL38" s="133">
        <v>383.46127601548301</v>
      </c>
      <c r="AM38" s="133">
        <v>10.7533637366385</v>
      </c>
      <c r="AN38" s="133">
        <v>4.3985314993591498</v>
      </c>
      <c r="AO38" s="133">
        <v>17.890440022115101</v>
      </c>
    </row>
    <row r="39" spans="1:41">
      <c r="A39" s="131">
        <v>45689</v>
      </c>
      <c r="B39" s="82">
        <f t="shared" si="0"/>
        <v>2025</v>
      </c>
      <c r="C39" s="133">
        <v>8102.00159440689</v>
      </c>
      <c r="D39" s="133">
        <v>6911.4616666435204</v>
      </c>
      <c r="E39" s="133">
        <v>9575.8277504365597</v>
      </c>
      <c r="F39" s="133">
        <v>3354.5137625258899</v>
      </c>
      <c r="G39" s="133">
        <v>3107.6992874468501</v>
      </c>
      <c r="H39" s="133">
        <v>3614.6328953788602</v>
      </c>
      <c r="I39" s="133">
        <v>1941.3554306091301</v>
      </c>
      <c r="J39" s="133">
        <v>1907.5607431006699</v>
      </c>
      <c r="K39" s="133">
        <v>1975.1501181176</v>
      </c>
      <c r="L39" s="133">
        <v>822.55859437363301</v>
      </c>
      <c r="M39" s="133">
        <v>728.66107091782806</v>
      </c>
      <c r="N39" s="133">
        <v>906.78524645050595</v>
      </c>
      <c r="O39" s="133">
        <v>23.141460873431299</v>
      </c>
      <c r="P39" s="133">
        <v>16.6766807621994</v>
      </c>
      <c r="Q39" s="133">
        <v>29.606240984663199</v>
      </c>
      <c r="R39" s="133">
        <v>186.13598092416601</v>
      </c>
      <c r="S39" s="133">
        <v>141.24563831226601</v>
      </c>
      <c r="T39" s="133">
        <v>222.133095422504</v>
      </c>
      <c r="U39" s="133">
        <v>119.237484698579</v>
      </c>
      <c r="V39" s="133">
        <v>109.124007804877</v>
      </c>
      <c r="W39" s="133">
        <v>130.813775317107</v>
      </c>
      <c r="X39" s="133">
        <v>246.27624490008</v>
      </c>
      <c r="Y39" s="133">
        <v>234.98808030105599</v>
      </c>
      <c r="Z39" s="133">
        <v>257.852860423702</v>
      </c>
      <c r="AA39" s="133">
        <v>332.92425214665502</v>
      </c>
      <c r="AB39" s="133">
        <v>318.267874021267</v>
      </c>
      <c r="AC39" s="133">
        <v>347.56934282760898</v>
      </c>
      <c r="AD39" s="133">
        <v>333.30146685395999</v>
      </c>
      <c r="AE39" s="133">
        <v>303.37999069377901</v>
      </c>
      <c r="AF39" s="133">
        <v>363.22294301414098</v>
      </c>
      <c r="AG39" s="133">
        <v>219.96796845601</v>
      </c>
      <c r="AH39" s="133">
        <v>208.42980810260801</v>
      </c>
      <c r="AI39" s="133">
        <v>231.50612880941199</v>
      </c>
      <c r="AJ39" s="133">
        <v>365.41644382763798</v>
      </c>
      <c r="AK39" s="133">
        <v>345.12473895772303</v>
      </c>
      <c r="AL39" s="133">
        <v>385.70814869755299</v>
      </c>
      <c r="AM39" s="133">
        <v>11.152324095034899</v>
      </c>
      <c r="AN39" s="133">
        <v>4.6377995120393303</v>
      </c>
      <c r="AO39" s="133">
        <v>18.4570456559645</v>
      </c>
    </row>
    <row r="40" spans="1:41">
      <c r="A40" s="131">
        <v>45717</v>
      </c>
      <c r="B40" s="82">
        <f t="shared" si="0"/>
        <v>2025</v>
      </c>
      <c r="C40" s="133">
        <v>8121.3968994777497</v>
      </c>
      <c r="D40" s="133">
        <v>6907.6642039281896</v>
      </c>
      <c r="E40" s="133">
        <v>9630.0471273193107</v>
      </c>
      <c r="F40" s="133">
        <v>3365.91071697593</v>
      </c>
      <c r="G40" s="133">
        <v>3113.5531504692699</v>
      </c>
      <c r="H40" s="133">
        <v>3632.1444809853401</v>
      </c>
      <c r="I40" s="133">
        <v>1945.4755464371101</v>
      </c>
      <c r="J40" s="133">
        <v>1911.16015224378</v>
      </c>
      <c r="K40" s="133">
        <v>1979.79094063044</v>
      </c>
      <c r="L40" s="133">
        <v>818.68509415935102</v>
      </c>
      <c r="M40" s="133">
        <v>722.13818073386301</v>
      </c>
      <c r="N40" s="133">
        <v>904.99073683367305</v>
      </c>
      <c r="O40" s="133">
        <v>23.141657648559502</v>
      </c>
      <c r="P40" s="133">
        <v>16.613839385633199</v>
      </c>
      <c r="Q40" s="133">
        <v>29.669475911485801</v>
      </c>
      <c r="R40" s="133">
        <v>180.15864186942801</v>
      </c>
      <c r="S40" s="133">
        <v>131.885689933175</v>
      </c>
      <c r="T40" s="133">
        <v>217.992438676452</v>
      </c>
      <c r="U40" s="133">
        <v>119.846203931055</v>
      </c>
      <c r="V40" s="133">
        <v>109.639608528715</v>
      </c>
      <c r="W40" s="133">
        <v>131.535980109972</v>
      </c>
      <c r="X40" s="133">
        <v>246.54083508339599</v>
      </c>
      <c r="Y40" s="133">
        <v>235.185092497586</v>
      </c>
      <c r="Z40" s="133">
        <v>258.18821626403297</v>
      </c>
      <c r="AA40" s="133">
        <v>332.19248822381599</v>
      </c>
      <c r="AB40" s="133">
        <v>317.31291503350599</v>
      </c>
      <c r="AC40" s="133">
        <v>347.06040196303599</v>
      </c>
      <c r="AD40" s="133">
        <v>334.33818058327199</v>
      </c>
      <c r="AE40" s="133">
        <v>303.66957315507898</v>
      </c>
      <c r="AF40" s="133">
        <v>365.00678801146501</v>
      </c>
      <c r="AG40" s="133">
        <v>220.27661334450201</v>
      </c>
      <c r="AH40" s="133">
        <v>208.65926764142401</v>
      </c>
      <c r="AI40" s="133">
        <v>231.89395904758001</v>
      </c>
      <c r="AJ40" s="133">
        <v>364.83262230299403</v>
      </c>
      <c r="AK40" s="133">
        <v>343.86173062093599</v>
      </c>
      <c r="AL40" s="133">
        <v>385.80351398505201</v>
      </c>
      <c r="AM40" s="133">
        <v>10.028153044920099</v>
      </c>
      <c r="AN40" s="133">
        <v>3.5736581436043702</v>
      </c>
      <c r="AO40" s="133">
        <v>17.370217351177601</v>
      </c>
    </row>
    <row r="41" spans="1:41">
      <c r="A41" s="131">
        <v>45748</v>
      </c>
      <c r="B41" s="82">
        <f t="shared" si="0"/>
        <v>2025</v>
      </c>
      <c r="C41" s="133">
        <v>8090.5015122490704</v>
      </c>
      <c r="D41" s="133">
        <v>6864.7073774745804</v>
      </c>
      <c r="E41" s="133">
        <v>9619.26223073035</v>
      </c>
      <c r="F41" s="133">
        <v>3360.01877909222</v>
      </c>
      <c r="G41" s="133">
        <v>3103.1274275792898</v>
      </c>
      <c r="H41" s="133">
        <v>3631.3303967237998</v>
      </c>
      <c r="I41" s="133">
        <v>1935.8480344290101</v>
      </c>
      <c r="J41" s="133">
        <v>1901.2275970871401</v>
      </c>
      <c r="K41" s="133">
        <v>1970.4684717708799</v>
      </c>
      <c r="L41" s="133">
        <v>804.61890856975697</v>
      </c>
      <c r="M41" s="133">
        <v>703.99397362239995</v>
      </c>
      <c r="N41" s="133">
        <v>893.98936046721303</v>
      </c>
      <c r="O41" s="133">
        <v>23.142624333689898</v>
      </c>
      <c r="P41" s="133">
        <v>16.552562796504201</v>
      </c>
      <c r="Q41" s="133">
        <v>29.732685870875599</v>
      </c>
      <c r="R41" s="133">
        <v>172.24894740289099</v>
      </c>
      <c r="S41" s="133">
        <v>119.36553089915201</v>
      </c>
      <c r="T41" s="133">
        <v>212.347776483801</v>
      </c>
      <c r="U41" s="133">
        <v>117.07624213799799</v>
      </c>
      <c r="V41" s="133">
        <v>107.203183449302</v>
      </c>
      <c r="W41" s="133">
        <v>128.36795150751101</v>
      </c>
      <c r="X41" s="133">
        <v>242.08343705034099</v>
      </c>
      <c r="Y41" s="133">
        <v>230.81216290364901</v>
      </c>
      <c r="Z41" s="133">
        <v>253.64739979762001</v>
      </c>
      <c r="AA41" s="133">
        <v>333.079091728435</v>
      </c>
      <c r="AB41" s="133">
        <v>318.01638763830198</v>
      </c>
      <c r="AC41" s="133">
        <v>348.12987941815101</v>
      </c>
      <c r="AD41" s="133">
        <v>330.186887446642</v>
      </c>
      <c r="AE41" s="133">
        <v>298.79549866262897</v>
      </c>
      <c r="AF41" s="133">
        <v>361.57827623065401</v>
      </c>
      <c r="AG41" s="133">
        <v>219.13504805866</v>
      </c>
      <c r="AH41" s="133">
        <v>207.44790340333199</v>
      </c>
      <c r="AI41" s="133">
        <v>230.82219271398799</v>
      </c>
      <c r="AJ41" s="133">
        <v>366.11725022763102</v>
      </c>
      <c r="AK41" s="133">
        <v>344.48848906677102</v>
      </c>
      <c r="AL41" s="133">
        <v>387.74601138848999</v>
      </c>
      <c r="AM41" s="133">
        <v>10.505082307115501</v>
      </c>
      <c r="AN41" s="133">
        <v>3.8663864122213498</v>
      </c>
      <c r="AO41" s="133">
        <v>18.034854071183599</v>
      </c>
    </row>
    <row r="42" spans="1:41">
      <c r="A42" s="131">
        <v>45778</v>
      </c>
      <c r="B42" s="82">
        <f t="shared" si="0"/>
        <v>2025</v>
      </c>
      <c r="C42" s="133">
        <v>8001.7399223789398</v>
      </c>
      <c r="D42" s="133">
        <v>6775.7241836426001</v>
      </c>
      <c r="E42" s="133">
        <v>9535.0452276371198</v>
      </c>
      <c r="F42" s="133">
        <v>3323.79021862838</v>
      </c>
      <c r="G42" s="133">
        <v>3064.1396372458198</v>
      </c>
      <c r="H42" s="133">
        <v>3598.3514304949799</v>
      </c>
      <c r="I42" s="133">
        <v>1918.62688592226</v>
      </c>
      <c r="J42" s="133">
        <v>1883.82684275559</v>
      </c>
      <c r="K42" s="133">
        <v>1953.4269290889199</v>
      </c>
      <c r="L42" s="133">
        <v>772.22052052131403</v>
      </c>
      <c r="M42" s="133">
        <v>664.48343422011897</v>
      </c>
      <c r="N42" s="133">
        <v>866.66736312262196</v>
      </c>
      <c r="O42" s="133">
        <v>23.143542222942401</v>
      </c>
      <c r="P42" s="133">
        <v>16.491923325906299</v>
      </c>
      <c r="Q42" s="133">
        <v>29.795161119978498</v>
      </c>
      <c r="R42" s="133">
        <v>167.87019349897099</v>
      </c>
      <c r="S42" s="133">
        <v>111.394246037115</v>
      </c>
      <c r="T42" s="133">
        <v>209.648439777238</v>
      </c>
      <c r="U42" s="133">
        <v>116.210310018657</v>
      </c>
      <c r="V42" s="133">
        <v>106.439207831506</v>
      </c>
      <c r="W42" s="133">
        <v>127.380675991505</v>
      </c>
      <c r="X42" s="133">
        <v>240.62846084842499</v>
      </c>
      <c r="Y42" s="133">
        <v>229.380726019593</v>
      </c>
      <c r="Z42" s="133">
        <v>252.169455752635</v>
      </c>
      <c r="AA42" s="133">
        <v>333.52762730554701</v>
      </c>
      <c r="AB42" s="133">
        <v>318.31308292915003</v>
      </c>
      <c r="AC42" s="133">
        <v>348.73003018253399</v>
      </c>
      <c r="AD42" s="133">
        <v>328.87055295916599</v>
      </c>
      <c r="AE42" s="133">
        <v>296.774179510735</v>
      </c>
      <c r="AF42" s="133">
        <v>360.96692640759699</v>
      </c>
      <c r="AG42" s="133">
        <v>217.47824293146499</v>
      </c>
      <c r="AH42" s="133">
        <v>205.72954065878901</v>
      </c>
      <c r="AI42" s="133">
        <v>229.226945204142</v>
      </c>
      <c r="AJ42" s="133">
        <v>365.41639964937099</v>
      </c>
      <c r="AK42" s="133">
        <v>343.14919684420602</v>
      </c>
      <c r="AL42" s="133">
        <v>387.68360245453698</v>
      </c>
      <c r="AM42" s="133">
        <v>10.084705729192001</v>
      </c>
      <c r="AN42" s="133">
        <v>3.4117417944145001</v>
      </c>
      <c r="AO42" s="133">
        <v>17.709899540325601</v>
      </c>
    </row>
    <row r="43" spans="1:41">
      <c r="A43" s="131">
        <v>45809</v>
      </c>
      <c r="B43" s="82">
        <f t="shared" si="0"/>
        <v>2025</v>
      </c>
      <c r="C43" s="133">
        <v>7933.9143585894799</v>
      </c>
      <c r="D43" s="133">
        <v>6704.2869728563201</v>
      </c>
      <c r="E43" s="133">
        <v>9476.1843486657308</v>
      </c>
      <c r="F43" s="133">
        <v>3284.79919544125</v>
      </c>
      <c r="G43" s="133">
        <v>3022.71464992958</v>
      </c>
      <c r="H43" s="133">
        <v>3562.2745805356399</v>
      </c>
      <c r="I43" s="133">
        <v>1918.3841805549901</v>
      </c>
      <c r="J43" s="133">
        <v>1883.47808053988</v>
      </c>
      <c r="K43" s="133">
        <v>1953.2902805701001</v>
      </c>
      <c r="L43" s="133">
        <v>767.65248570206404</v>
      </c>
      <c r="M43" s="133">
        <v>656.945792401782</v>
      </c>
      <c r="N43" s="133">
        <v>864.294202153382</v>
      </c>
      <c r="O43" s="133">
        <v>23.143574071029398</v>
      </c>
      <c r="P43" s="133">
        <v>16.431018152443102</v>
      </c>
      <c r="Q43" s="133">
        <v>29.856129989615599</v>
      </c>
      <c r="R43" s="133">
        <v>163.98763453570501</v>
      </c>
      <c r="S43" s="133">
        <v>103.815584800137</v>
      </c>
      <c r="T43" s="133">
        <v>207.38030624193101</v>
      </c>
      <c r="U43" s="133">
        <v>116.323751299964</v>
      </c>
      <c r="V43" s="133">
        <v>106.536517083023</v>
      </c>
      <c r="W43" s="133">
        <v>127.51363939726799</v>
      </c>
      <c r="X43" s="133">
        <v>241.61923864214501</v>
      </c>
      <c r="Y43" s="133">
        <v>230.33948662593599</v>
      </c>
      <c r="Z43" s="133">
        <v>253.19270348678</v>
      </c>
      <c r="AA43" s="133">
        <v>331.19062112867601</v>
      </c>
      <c r="AB43" s="133">
        <v>315.84787687997999</v>
      </c>
      <c r="AC43" s="133">
        <v>346.52093129472701</v>
      </c>
      <c r="AD43" s="133">
        <v>327.01808883812203</v>
      </c>
      <c r="AE43" s="133">
        <v>294.23224094146502</v>
      </c>
      <c r="AF43" s="133">
        <v>359.80393673477897</v>
      </c>
      <c r="AG43" s="133">
        <v>214.92528842672701</v>
      </c>
      <c r="AH43" s="133">
        <v>203.122277741483</v>
      </c>
      <c r="AI43" s="133">
        <v>226.72829911197201</v>
      </c>
      <c r="AJ43" s="133">
        <v>365.416161246039</v>
      </c>
      <c r="AK43" s="133">
        <v>342.52831879247401</v>
      </c>
      <c r="AL43" s="133">
        <v>388.304003699605</v>
      </c>
      <c r="AM43" s="133">
        <v>10.327549270537499</v>
      </c>
      <c r="AN43" s="133">
        <v>3.5108461078054298</v>
      </c>
      <c r="AO43" s="133">
        <v>18.113740354038701</v>
      </c>
    </row>
    <row r="44" spans="1:41">
      <c r="A44" s="131">
        <v>45839</v>
      </c>
      <c r="B44" s="82">
        <f t="shared" si="0"/>
        <v>2025</v>
      </c>
      <c r="C44" s="133">
        <v>7836.8910255596502</v>
      </c>
      <c r="D44" s="133">
        <v>6610.1185509408497</v>
      </c>
      <c r="E44" s="133">
        <v>9379.5093958247908</v>
      </c>
      <c r="F44" s="133">
        <v>3243.41284269376</v>
      </c>
      <c r="G44" s="133">
        <v>2979.2019288045399</v>
      </c>
      <c r="H44" s="133">
        <v>3523.4846411314802</v>
      </c>
      <c r="I44" s="133">
        <v>1917.5200178259599</v>
      </c>
      <c r="J44" s="133">
        <v>1882.5511856696401</v>
      </c>
      <c r="K44" s="133">
        <v>1952.48884998228</v>
      </c>
      <c r="L44" s="133">
        <v>753.13842723706296</v>
      </c>
      <c r="M44" s="133">
        <v>637.67716212033599</v>
      </c>
      <c r="N44" s="133">
        <v>853.11459115432001</v>
      </c>
      <c r="O44" s="133">
        <v>23.141872529278</v>
      </c>
      <c r="P44" s="133">
        <v>16.3689579827786</v>
      </c>
      <c r="Q44" s="133">
        <v>29.914787075777401</v>
      </c>
      <c r="R44" s="133">
        <v>167.115538875184</v>
      </c>
      <c r="S44" s="133">
        <v>107.13472212370399</v>
      </c>
      <c r="T44" s="133">
        <v>210.66024015380199</v>
      </c>
      <c r="U44" s="133">
        <v>109.593914163861</v>
      </c>
      <c r="V44" s="133">
        <v>100.620926655971</v>
      </c>
      <c r="W44" s="133">
        <v>119.813482673042</v>
      </c>
      <c r="X44" s="133">
        <v>233.67074849016399</v>
      </c>
      <c r="Y44" s="133">
        <v>222.59334027183701</v>
      </c>
      <c r="Z44" s="133">
        <v>245.04118124195699</v>
      </c>
      <c r="AA44" s="133">
        <v>324.32549754874401</v>
      </c>
      <c r="AB44" s="133">
        <v>308.87201713886299</v>
      </c>
      <c r="AC44" s="133">
        <v>339.76609675674302</v>
      </c>
      <c r="AD44" s="133">
        <v>326.15329910331002</v>
      </c>
      <c r="AE44" s="133">
        <v>292.692263176594</v>
      </c>
      <c r="AF44" s="133">
        <v>359.61433503002598</v>
      </c>
      <c r="AG44" s="133">
        <v>213.98996634694601</v>
      </c>
      <c r="AH44" s="133">
        <v>202.13903459479499</v>
      </c>
      <c r="AI44" s="133">
        <v>225.84089809909801</v>
      </c>
      <c r="AJ44" s="133">
        <v>366.35007368507502</v>
      </c>
      <c r="AK44" s="133">
        <v>342.857982599092</v>
      </c>
      <c r="AL44" s="133">
        <v>389.84216477105798</v>
      </c>
      <c r="AM44" s="133">
        <v>10.1479288379608</v>
      </c>
      <c r="AN44" s="133">
        <v>3.2632478911452498</v>
      </c>
      <c r="AO44" s="133">
        <v>18.049045134230902</v>
      </c>
    </row>
    <row r="45" spans="1:41">
      <c r="A45" s="131">
        <v>45870</v>
      </c>
      <c r="B45" s="82">
        <f t="shared" si="0"/>
        <v>2025</v>
      </c>
      <c r="C45" s="133">
        <v>7831.4003399716403</v>
      </c>
      <c r="D45" s="133">
        <v>6589.7247967124304</v>
      </c>
      <c r="E45" s="133">
        <v>9397.9381364555393</v>
      </c>
      <c r="F45" s="133">
        <v>3224.9750026781599</v>
      </c>
      <c r="G45" s="133">
        <v>2957.4658543186601</v>
      </c>
      <c r="H45" s="133">
        <v>3508.8545692308999</v>
      </c>
      <c r="I45" s="133">
        <v>1911.5290396407199</v>
      </c>
      <c r="J45" s="133">
        <v>1876.5230649493899</v>
      </c>
      <c r="K45" s="133">
        <v>1946.53501433205</v>
      </c>
      <c r="L45" s="133">
        <v>753.89012759365403</v>
      </c>
      <c r="M45" s="133">
        <v>636.35090087479705</v>
      </c>
      <c r="N45" s="133">
        <v>855.42967251684104</v>
      </c>
      <c r="O45" s="133">
        <v>23.141022538876499</v>
      </c>
      <c r="P45" s="133">
        <v>16.3082988239955</v>
      </c>
      <c r="Q45" s="133">
        <v>29.973746253757501</v>
      </c>
      <c r="R45" s="133">
        <v>164.79777944244401</v>
      </c>
      <c r="S45" s="133">
        <v>101.881467206485</v>
      </c>
      <c r="T45" s="133">
        <v>209.61200161254101</v>
      </c>
      <c r="U45" s="133">
        <v>115.082154371915</v>
      </c>
      <c r="V45" s="133">
        <v>105.44550936987601</v>
      </c>
      <c r="W45" s="133">
        <v>126.092357856482</v>
      </c>
      <c r="X45" s="133">
        <v>244.34087993770501</v>
      </c>
      <c r="Y45" s="133">
        <v>232.98679212812701</v>
      </c>
      <c r="Z45" s="133">
        <v>255.98921397722901</v>
      </c>
      <c r="AA45" s="133">
        <v>329.39200499774103</v>
      </c>
      <c r="AB45" s="133">
        <v>313.855506524075</v>
      </c>
      <c r="AC45" s="133">
        <v>344.91568375624701</v>
      </c>
      <c r="AD45" s="133">
        <v>325.59565981583398</v>
      </c>
      <c r="AE45" s="133">
        <v>291.472812421274</v>
      </c>
      <c r="AF45" s="133">
        <v>359.718507210393</v>
      </c>
      <c r="AG45" s="133">
        <v>213.57219899914699</v>
      </c>
      <c r="AH45" s="133">
        <v>201.67898324895799</v>
      </c>
      <c r="AI45" s="133">
        <v>225.46541474933599</v>
      </c>
      <c r="AJ45" s="133">
        <v>366.11423318779799</v>
      </c>
      <c r="AK45" s="133">
        <v>342.033050596301</v>
      </c>
      <c r="AL45" s="133">
        <v>390.19541577929402</v>
      </c>
      <c r="AM45" s="133">
        <v>10.3275497141325</v>
      </c>
      <c r="AN45" s="133">
        <v>3.3127872106097001</v>
      </c>
      <c r="AO45" s="133">
        <v>18.3796219305903</v>
      </c>
    </row>
    <row r="46" spans="1:41">
      <c r="A46" s="131">
        <v>45901</v>
      </c>
      <c r="B46" s="82">
        <f t="shared" si="0"/>
        <v>2025</v>
      </c>
      <c r="C46" s="133">
        <v>7880.7736607318502</v>
      </c>
      <c r="D46" s="133">
        <v>6613.2601298518703</v>
      </c>
      <c r="E46" s="133">
        <v>9485.9549429509698</v>
      </c>
      <c r="F46" s="133">
        <v>3245.2214444538799</v>
      </c>
      <c r="G46" s="133">
        <v>2972.2313974040999</v>
      </c>
      <c r="H46" s="133">
        <v>3535.16801815296</v>
      </c>
      <c r="I46" s="133">
        <v>1911.3565769684701</v>
      </c>
      <c r="J46" s="133">
        <v>1876.3285980385899</v>
      </c>
      <c r="K46" s="133">
        <v>1946.3845558983501</v>
      </c>
      <c r="L46" s="133">
        <v>758.26900166463997</v>
      </c>
      <c r="M46" s="133">
        <v>639.36637298728203</v>
      </c>
      <c r="N46" s="133">
        <v>860.90428202606802</v>
      </c>
      <c r="O46" s="133">
        <v>23.143606040406802</v>
      </c>
      <c r="P46" s="133">
        <v>16.251600963139399</v>
      </c>
      <c r="Q46" s="133">
        <v>30.0356111176742</v>
      </c>
      <c r="R46" s="133">
        <v>162.44666075279801</v>
      </c>
      <c r="S46" s="133">
        <v>96.374503381916796</v>
      </c>
      <c r="T46" s="133">
        <v>208.543114662362</v>
      </c>
      <c r="U46" s="133">
        <v>113.92448164063499</v>
      </c>
      <c r="V46" s="133">
        <v>104.429008412252</v>
      </c>
      <c r="W46" s="133">
        <v>124.766228932198</v>
      </c>
      <c r="X46" s="133">
        <v>244.063425713567</v>
      </c>
      <c r="Y46" s="133">
        <v>232.71570066496199</v>
      </c>
      <c r="Z46" s="133">
        <v>255.70540585881099</v>
      </c>
      <c r="AA46" s="133">
        <v>331.64305125033798</v>
      </c>
      <c r="AB46" s="133">
        <v>316.03573456982599</v>
      </c>
      <c r="AC46" s="133">
        <v>347.23751888783301</v>
      </c>
      <c r="AD46" s="133">
        <v>324.62514320812397</v>
      </c>
      <c r="AE46" s="133">
        <v>289.85308264946599</v>
      </c>
      <c r="AF46" s="133">
        <v>359.39720376678298</v>
      </c>
      <c r="AG46" s="133">
        <v>218.09719372072999</v>
      </c>
      <c r="AH46" s="133">
        <v>206.16667681392801</v>
      </c>
      <c r="AI46" s="133">
        <v>230.027710627533</v>
      </c>
      <c r="AJ46" s="133">
        <v>363.907219461659</v>
      </c>
      <c r="AK46" s="133">
        <v>339.25101605525703</v>
      </c>
      <c r="AL46" s="133">
        <v>388.56342286806102</v>
      </c>
      <c r="AM46" s="133">
        <v>10.390031779564</v>
      </c>
      <c r="AN46" s="133">
        <v>3.26776279980291</v>
      </c>
      <c r="AO46" s="133">
        <v>18.578918479405001</v>
      </c>
    </row>
    <row r="47" spans="1:41">
      <c r="A47" s="131">
        <v>45931</v>
      </c>
      <c r="B47" s="82">
        <f t="shared" si="0"/>
        <v>2025</v>
      </c>
      <c r="C47" s="133">
        <v>7960.53519962475</v>
      </c>
      <c r="D47" s="133">
        <v>6660.8709312064502</v>
      </c>
      <c r="E47" s="133">
        <v>9613.0672064414903</v>
      </c>
      <c r="F47" s="133">
        <v>3287.1909407511098</v>
      </c>
      <c r="G47" s="133">
        <v>3007.4537000436899</v>
      </c>
      <c r="H47" s="133">
        <v>3584.51875270454</v>
      </c>
      <c r="I47" s="133">
        <v>1930.09058195327</v>
      </c>
      <c r="J47" s="133">
        <v>1895.0495626262</v>
      </c>
      <c r="K47" s="133">
        <v>1965.13160128033</v>
      </c>
      <c r="L47" s="133">
        <v>755.70550197674197</v>
      </c>
      <c r="M47" s="133">
        <v>634.17609798309297</v>
      </c>
      <c r="N47" s="133">
        <v>860.23493594278898</v>
      </c>
      <c r="O47" s="133">
        <v>23.1427494005383</v>
      </c>
      <c r="P47" s="133">
        <v>16.191973291952198</v>
      </c>
      <c r="Q47" s="133">
        <v>30.0935255091245</v>
      </c>
      <c r="R47" s="133">
        <v>167.10995822696401</v>
      </c>
      <c r="S47" s="133">
        <v>102.51024425995899</v>
      </c>
      <c r="T47" s="133">
        <v>212.94026102203</v>
      </c>
      <c r="U47" s="133">
        <v>115.718732233829</v>
      </c>
      <c r="V47" s="133">
        <v>106.004805871663</v>
      </c>
      <c r="W47" s="133">
        <v>126.82114656414799</v>
      </c>
      <c r="X47" s="133">
        <v>245.70825012116799</v>
      </c>
      <c r="Y47" s="133">
        <v>234.31823372608201</v>
      </c>
      <c r="Z47" s="133">
        <v>257.39271140433402</v>
      </c>
      <c r="AA47" s="133">
        <v>336.38767928435601</v>
      </c>
      <c r="AB47" s="133">
        <v>320.72373431327202</v>
      </c>
      <c r="AC47" s="133">
        <v>352.038864341742</v>
      </c>
      <c r="AD47" s="133">
        <v>325.62418996661302</v>
      </c>
      <c r="AE47" s="133">
        <v>290.21481800406701</v>
      </c>
      <c r="AF47" s="133">
        <v>361.03356192915999</v>
      </c>
      <c r="AG47" s="133">
        <v>222.026071556326</v>
      </c>
      <c r="AH47" s="133">
        <v>210.06266515862899</v>
      </c>
      <c r="AI47" s="133">
        <v>233.98947795402299</v>
      </c>
      <c r="AJ47" s="133">
        <v>365.32922169735002</v>
      </c>
      <c r="AK47" s="133">
        <v>340.111105633085</v>
      </c>
      <c r="AL47" s="133">
        <v>390.54733776161601</v>
      </c>
      <c r="AM47" s="133">
        <v>9.8432951848054095</v>
      </c>
      <c r="AN47" s="133">
        <v>2.7330954257697999</v>
      </c>
      <c r="AO47" s="133">
        <v>18.0999759954429</v>
      </c>
    </row>
    <row r="48" spans="1:41">
      <c r="A48" s="131">
        <v>45962</v>
      </c>
      <c r="B48" s="82">
        <f t="shared" si="0"/>
        <v>2025</v>
      </c>
      <c r="C48" s="133">
        <v>8113.2674195312702</v>
      </c>
      <c r="D48" s="133">
        <v>6765.7710101773901</v>
      </c>
      <c r="E48" s="133">
        <v>9834.6860543033508</v>
      </c>
      <c r="F48" s="133">
        <v>3375.0491741012602</v>
      </c>
      <c r="G48" s="133">
        <v>3085.7910564580998</v>
      </c>
      <c r="H48" s="133">
        <v>3682.6342951864799</v>
      </c>
      <c r="I48" s="133">
        <v>1945.34307033913</v>
      </c>
      <c r="J48" s="133">
        <v>1910.29432129065</v>
      </c>
      <c r="K48" s="133">
        <v>1980.39181938762</v>
      </c>
      <c r="L48" s="133">
        <v>771.27515275967005</v>
      </c>
      <c r="M48" s="133">
        <v>650.59047077920104</v>
      </c>
      <c r="N48" s="133">
        <v>875.47964010698001</v>
      </c>
      <c r="O48" s="133">
        <v>23.140172584497101</v>
      </c>
      <c r="P48" s="133">
        <v>16.131120792706401</v>
      </c>
      <c r="Q48" s="133">
        <v>30.149224376287901</v>
      </c>
      <c r="R48" s="133">
        <v>168.982122793651</v>
      </c>
      <c r="S48" s="133">
        <v>104.05160409010399</v>
      </c>
      <c r="T48" s="133">
        <v>215.13626682322001</v>
      </c>
      <c r="U48" s="133">
        <v>119.218219749076</v>
      </c>
      <c r="V48" s="133">
        <v>109.074138443845</v>
      </c>
      <c r="W48" s="133">
        <v>130.83489633890699</v>
      </c>
      <c r="X48" s="133">
        <v>250.54239926375701</v>
      </c>
      <c r="Y48" s="133">
        <v>239.029669263578</v>
      </c>
      <c r="Z48" s="133">
        <v>262.35008138331398</v>
      </c>
      <c r="AA48" s="133">
        <v>337.73237642048502</v>
      </c>
      <c r="AB48" s="133">
        <v>322.01899755573299</v>
      </c>
      <c r="AC48" s="133">
        <v>353.43296583092098</v>
      </c>
      <c r="AD48" s="133">
        <v>328.43648869478398</v>
      </c>
      <c r="AE48" s="133">
        <v>292.40107391642499</v>
      </c>
      <c r="AF48" s="133">
        <v>364.47190347314302</v>
      </c>
      <c r="AG48" s="133">
        <v>222.899564117441</v>
      </c>
      <c r="AH48" s="133">
        <v>210.907180831353</v>
      </c>
      <c r="AI48" s="133">
        <v>234.891947403529</v>
      </c>
      <c r="AJ48" s="133">
        <v>365.54544502299098</v>
      </c>
      <c r="AK48" s="133">
        <v>339.77766690295101</v>
      </c>
      <c r="AL48" s="133">
        <v>391.313223143031</v>
      </c>
      <c r="AM48" s="133">
        <v>10.3275497292579</v>
      </c>
      <c r="AN48" s="133">
        <v>3.0305558817953799</v>
      </c>
      <c r="AO48" s="133">
        <v>18.764593302622998</v>
      </c>
    </row>
    <row r="49" spans="1:41">
      <c r="A49" s="131">
        <v>45992</v>
      </c>
      <c r="B49" s="82">
        <f t="shared" si="0"/>
        <v>2025</v>
      </c>
      <c r="C49" s="133">
        <v>8209.6114103977598</v>
      </c>
      <c r="D49" s="133">
        <v>6825.5988892284604</v>
      </c>
      <c r="E49" s="133">
        <v>9985.0812645869992</v>
      </c>
      <c r="F49" s="133">
        <v>3419.3471453263001</v>
      </c>
      <c r="G49" s="133">
        <v>3123.1600944267002</v>
      </c>
      <c r="H49" s="133">
        <v>3734.5137617087898</v>
      </c>
      <c r="I49" s="133">
        <v>1952.53554900279</v>
      </c>
      <c r="J49" s="133">
        <v>1917.48221759332</v>
      </c>
      <c r="K49" s="133">
        <v>1987.5888804122601</v>
      </c>
      <c r="L49" s="133">
        <v>798.14600457686504</v>
      </c>
      <c r="M49" s="133">
        <v>680.28985188262504</v>
      </c>
      <c r="N49" s="133">
        <v>900.71170419819805</v>
      </c>
      <c r="O49" s="133">
        <v>23.141892316714401</v>
      </c>
      <c r="P49" s="133">
        <v>16.075046775751201</v>
      </c>
      <c r="Q49" s="133">
        <v>30.208737857677502</v>
      </c>
      <c r="R49" s="133">
        <v>183.64465728155801</v>
      </c>
      <c r="S49" s="133">
        <v>125.265792700883</v>
      </c>
      <c r="T49" s="133">
        <v>227.507304633215</v>
      </c>
      <c r="U49" s="133">
        <v>120.38608067464401</v>
      </c>
      <c r="V49" s="133">
        <v>110.099498085717</v>
      </c>
      <c r="W49" s="133">
        <v>132.17314707580601</v>
      </c>
      <c r="X49" s="133">
        <v>253.953366507509</v>
      </c>
      <c r="Y49" s="133">
        <v>242.35478016146001</v>
      </c>
      <c r="Z49" s="133">
        <v>265.847253247065</v>
      </c>
      <c r="AA49" s="133">
        <v>339.24887926060899</v>
      </c>
      <c r="AB49" s="133">
        <v>323.49456612880499</v>
      </c>
      <c r="AC49" s="133">
        <v>354.99039368436098</v>
      </c>
      <c r="AD49" s="133">
        <v>331.96726547394701</v>
      </c>
      <c r="AE49" s="133">
        <v>295.31649512592202</v>
      </c>
      <c r="AF49" s="133">
        <v>368.61803582197098</v>
      </c>
      <c r="AG49" s="133">
        <v>223.174683496699</v>
      </c>
      <c r="AH49" s="133">
        <v>211.15679972200701</v>
      </c>
      <c r="AI49" s="133">
        <v>235.192567271391</v>
      </c>
      <c r="AJ49" s="133">
        <v>364.59163256031201</v>
      </c>
      <c r="AK49" s="133">
        <v>338.28567504767801</v>
      </c>
      <c r="AL49" s="133">
        <v>390.897590072946</v>
      </c>
      <c r="AM49" s="133">
        <v>10.5727158952994</v>
      </c>
      <c r="AN49" s="133">
        <v>3.1374882994786701</v>
      </c>
      <c r="AO49" s="133">
        <v>19.161910650586801</v>
      </c>
    </row>
    <row r="50" spans="1:41">
      <c r="A50" s="131">
        <v>46023</v>
      </c>
      <c r="B50" s="82">
        <f t="shared" si="0"/>
        <v>2026</v>
      </c>
      <c r="C50" s="133">
        <v>8255.8065379079999</v>
      </c>
      <c r="D50" s="133">
        <v>6839.7211633950501</v>
      </c>
      <c r="E50" s="133">
        <v>10081.417144278899</v>
      </c>
      <c r="F50" s="133">
        <v>3445.6964638270902</v>
      </c>
      <c r="G50" s="133">
        <v>3142.0925641170902</v>
      </c>
      <c r="H50" s="133">
        <v>3769.1119106850401</v>
      </c>
      <c r="I50" s="133">
        <v>1958.73694067934</v>
      </c>
      <c r="J50" s="133">
        <v>1922.68906901269</v>
      </c>
      <c r="K50" s="133">
        <v>1994.7848123460001</v>
      </c>
      <c r="L50" s="133">
        <v>804.409363075393</v>
      </c>
      <c r="M50" s="133">
        <v>684.34764379351498</v>
      </c>
      <c r="N50" s="133">
        <v>908.74582846218402</v>
      </c>
      <c r="O50" s="133">
        <v>23.141711451066602</v>
      </c>
      <c r="P50" s="133">
        <v>16.017236487136199</v>
      </c>
      <c r="Q50" s="133">
        <v>30.266186414997001</v>
      </c>
      <c r="R50" s="133">
        <v>180.54348691318901</v>
      </c>
      <c r="S50" s="133">
        <v>117.380792984102</v>
      </c>
      <c r="T50" s="133">
        <v>226.746718248066</v>
      </c>
      <c r="U50" s="133">
        <v>121.930320173594</v>
      </c>
      <c r="V50" s="133">
        <v>111.38691531660299</v>
      </c>
      <c r="W50" s="133">
        <v>134.032821970909</v>
      </c>
      <c r="X50" s="133">
        <v>252.89826915630701</v>
      </c>
      <c r="Y50" s="133">
        <v>241.062771979535</v>
      </c>
      <c r="Z50" s="133">
        <v>265.04273235465803</v>
      </c>
      <c r="AA50" s="133">
        <v>339.18272208100001</v>
      </c>
      <c r="AB50" s="133">
        <v>322.87870714549803</v>
      </c>
      <c r="AC50" s="133">
        <v>355.47302693396301</v>
      </c>
      <c r="AD50" s="133">
        <v>334.08183831795498</v>
      </c>
      <c r="AE50" s="133">
        <v>296.43274159986402</v>
      </c>
      <c r="AF50" s="133">
        <v>371.73093503604503</v>
      </c>
      <c r="AG50" s="133">
        <v>223.44153814205799</v>
      </c>
      <c r="AH50" s="133">
        <v>211.28967221929599</v>
      </c>
      <c r="AI50" s="133">
        <v>235.59340406482099</v>
      </c>
      <c r="AJ50" s="133">
        <v>384.61256767048098</v>
      </c>
      <c r="AK50" s="133">
        <v>357.301581395673</v>
      </c>
      <c r="AL50" s="133">
        <v>411.92355394529</v>
      </c>
      <c r="AM50" s="133">
        <v>10.513026549574899</v>
      </c>
      <c r="AN50" s="133">
        <v>2.92585541021263</v>
      </c>
      <c r="AO50" s="133">
        <v>19.322008705251999</v>
      </c>
    </row>
    <row r="51" spans="1:41">
      <c r="A51" s="131">
        <v>46054</v>
      </c>
      <c r="B51" s="82">
        <f t="shared" si="0"/>
        <v>2026</v>
      </c>
      <c r="C51" s="133">
        <v>8270.8049836418904</v>
      </c>
      <c r="D51" s="133">
        <v>6829.7925273208002</v>
      </c>
      <c r="E51" s="133">
        <v>10137.042677978499</v>
      </c>
      <c r="F51" s="133">
        <v>3446.83086985304</v>
      </c>
      <c r="G51" s="133">
        <v>3137.3948602211699</v>
      </c>
      <c r="H51" s="133">
        <v>3776.86571502887</v>
      </c>
      <c r="I51" s="133">
        <v>1963.03224323926</v>
      </c>
      <c r="J51" s="133">
        <v>1926.40743261478</v>
      </c>
      <c r="K51" s="133">
        <v>1999.65705386374</v>
      </c>
      <c r="L51" s="133">
        <v>804.56382435611897</v>
      </c>
      <c r="M51" s="133">
        <v>681.790891865194</v>
      </c>
      <c r="N51" s="133">
        <v>910.93851823525404</v>
      </c>
      <c r="O51" s="133">
        <v>23.141920429683601</v>
      </c>
      <c r="P51" s="133">
        <v>15.960379971697</v>
      </c>
      <c r="Q51" s="133">
        <v>30.323460887670201</v>
      </c>
      <c r="R51" s="133">
        <v>181.46924813671001</v>
      </c>
      <c r="S51" s="133">
        <v>116.758938293494</v>
      </c>
      <c r="T51" s="133">
        <v>228.53876733256399</v>
      </c>
      <c r="U51" s="133">
        <v>124.474242676831</v>
      </c>
      <c r="V51" s="133">
        <v>113.572438634771</v>
      </c>
      <c r="W51" s="133">
        <v>137.01197612025501</v>
      </c>
      <c r="X51" s="133">
        <v>253.313144328584</v>
      </c>
      <c r="Y51" s="133">
        <v>241.34265857884</v>
      </c>
      <c r="Z51" s="133">
        <v>265.59924754525099</v>
      </c>
      <c r="AA51" s="133">
        <v>342.69612560661602</v>
      </c>
      <c r="AB51" s="133">
        <v>326.179795851633</v>
      </c>
      <c r="AC51" s="133">
        <v>359.19853012764202</v>
      </c>
      <c r="AD51" s="133">
        <v>333.36739240199603</v>
      </c>
      <c r="AE51" s="133">
        <v>294.86843281894699</v>
      </c>
      <c r="AF51" s="133">
        <v>371.86635198504598</v>
      </c>
      <c r="AG51" s="133">
        <v>224.30203065943701</v>
      </c>
      <c r="AH51" s="133">
        <v>212.076097573803</v>
      </c>
      <c r="AI51" s="133">
        <v>236.52796374507</v>
      </c>
      <c r="AJ51" s="133">
        <v>386.15671899671497</v>
      </c>
      <c r="AK51" s="133">
        <v>358.07949106620703</v>
      </c>
      <c r="AL51" s="133">
        <v>414.23394692722297</v>
      </c>
      <c r="AM51" s="133">
        <v>10.749359538938201</v>
      </c>
      <c r="AN51" s="133">
        <v>3.0193002832812699</v>
      </c>
      <c r="AO51" s="133">
        <v>19.717857602116201</v>
      </c>
    </row>
    <row r="52" spans="1:41">
      <c r="A52" s="131">
        <v>46082</v>
      </c>
      <c r="B52" s="82">
        <f t="shared" si="0"/>
        <v>2026</v>
      </c>
      <c r="C52" s="133">
        <v>8290.7310126013508</v>
      </c>
      <c r="D52" s="133">
        <v>6826.0827393429699</v>
      </c>
      <c r="E52" s="133">
        <v>10195.412407194</v>
      </c>
      <c r="F52" s="133">
        <v>3458.44480394834</v>
      </c>
      <c r="G52" s="133">
        <v>3143.17145018869</v>
      </c>
      <c r="H52" s="133">
        <v>3795.0518277579399</v>
      </c>
      <c r="I52" s="133">
        <v>1967.3611532713401</v>
      </c>
      <c r="J52" s="133">
        <v>1930.3985120115999</v>
      </c>
      <c r="K52" s="133">
        <v>2004.32379453109</v>
      </c>
      <c r="L52" s="133">
        <v>800.63794282584297</v>
      </c>
      <c r="M52" s="133">
        <v>674.68685914260004</v>
      </c>
      <c r="N52" s="133">
        <v>909.30845914839006</v>
      </c>
      <c r="O52" s="133">
        <v>23.1419541215623</v>
      </c>
      <c r="P52" s="133">
        <v>15.9038528999025</v>
      </c>
      <c r="Q52" s="133">
        <v>30.3800553432221</v>
      </c>
      <c r="R52" s="133">
        <v>175.273660077399</v>
      </c>
      <c r="S52" s="133">
        <v>104.97636022065301</v>
      </c>
      <c r="T52" s="133">
        <v>224.54882918721501</v>
      </c>
      <c r="U52" s="133">
        <v>125.123264964824</v>
      </c>
      <c r="V52" s="133">
        <v>114.119945749134</v>
      </c>
      <c r="W52" s="133">
        <v>137.78548952102699</v>
      </c>
      <c r="X52" s="133">
        <v>253.58181656378801</v>
      </c>
      <c r="Y52" s="133">
        <v>241.54518259724099</v>
      </c>
      <c r="Z52" s="133">
        <v>265.93726556949599</v>
      </c>
      <c r="AA52" s="133">
        <v>341.93640774874098</v>
      </c>
      <c r="AB52" s="133">
        <v>325.24127077276199</v>
      </c>
      <c r="AC52" s="133">
        <v>358.61728474247099</v>
      </c>
      <c r="AD52" s="133">
        <v>334.41310408990699</v>
      </c>
      <c r="AE52" s="133">
        <v>295.11001031691399</v>
      </c>
      <c r="AF52" s="133">
        <v>373.71619786290103</v>
      </c>
      <c r="AG52" s="133">
        <v>224.602622463095</v>
      </c>
      <c r="AH52" s="133">
        <v>212.31134914010499</v>
      </c>
      <c r="AI52" s="133">
        <v>236.89389578608601</v>
      </c>
      <c r="AJ52" s="133">
        <v>385.57289747207102</v>
      </c>
      <c r="AK52" s="133">
        <v>356.74979067872499</v>
      </c>
      <c r="AL52" s="133">
        <v>414.39600426541699</v>
      </c>
      <c r="AM52" s="133">
        <v>10.000783722802399</v>
      </c>
      <c r="AN52" s="133">
        <v>2.3272694652420798</v>
      </c>
      <c r="AO52" s="133">
        <v>19.027574714651401</v>
      </c>
    </row>
    <row r="53" spans="1:41">
      <c r="A53" s="131">
        <v>46113</v>
      </c>
      <c r="B53" s="82">
        <f t="shared" si="0"/>
        <v>2026</v>
      </c>
      <c r="C53" s="133">
        <v>8258.9904069141503</v>
      </c>
      <c r="D53" s="133">
        <v>6783.6784733198901</v>
      </c>
      <c r="E53" s="133">
        <v>10183.9780420471</v>
      </c>
      <c r="F53" s="133">
        <v>3452.4407212337801</v>
      </c>
      <c r="G53" s="133">
        <v>3132.5464832472198</v>
      </c>
      <c r="H53" s="133">
        <v>3794.3614861534002</v>
      </c>
      <c r="I53" s="133">
        <v>1958.05407159672</v>
      </c>
      <c r="J53" s="133">
        <v>1920.89257151688</v>
      </c>
      <c r="K53" s="133">
        <v>1995.2155716765701</v>
      </c>
      <c r="L53" s="133">
        <v>786.14480986103695</v>
      </c>
      <c r="M53" s="133">
        <v>654.92694108959097</v>
      </c>
      <c r="N53" s="133">
        <v>898.39867468608702</v>
      </c>
      <c r="O53" s="133">
        <v>23.142119637592799</v>
      </c>
      <c r="P53" s="133">
        <v>15.847925867429501</v>
      </c>
      <c r="Q53" s="133">
        <v>30.436313407756099</v>
      </c>
      <c r="R53" s="133">
        <v>168.485032121827</v>
      </c>
      <c r="S53" s="133">
        <v>91.060893088932701</v>
      </c>
      <c r="T53" s="133">
        <v>220.18833389216101</v>
      </c>
      <c r="U53" s="133">
        <v>122.17069990442801</v>
      </c>
      <c r="V53" s="133">
        <v>111.53465738939801</v>
      </c>
      <c r="W53" s="133">
        <v>134.391824839278</v>
      </c>
      <c r="X53" s="133">
        <v>249.05538374781599</v>
      </c>
      <c r="Y53" s="133">
        <v>237.109328583782</v>
      </c>
      <c r="Z53" s="133">
        <v>261.32127102327598</v>
      </c>
      <c r="AA53" s="133">
        <v>342.79683269667902</v>
      </c>
      <c r="AB53" s="133">
        <v>325.95475477953403</v>
      </c>
      <c r="AC53" s="133">
        <v>359.62443493958398</v>
      </c>
      <c r="AD53" s="133">
        <v>330.25127593284299</v>
      </c>
      <c r="AE53" s="133">
        <v>290.16648956405299</v>
      </c>
      <c r="AF53" s="133">
        <v>370.336062301634</v>
      </c>
      <c r="AG53" s="133">
        <v>223.45346841163899</v>
      </c>
      <c r="AH53" s="133">
        <v>211.10452712201501</v>
      </c>
      <c r="AI53" s="133">
        <v>235.802409701263</v>
      </c>
      <c r="AJ53" s="133">
        <v>386.85752539670801</v>
      </c>
      <c r="AK53" s="133">
        <v>357.30736055487398</v>
      </c>
      <c r="AL53" s="133">
        <v>416.40769023854102</v>
      </c>
      <c r="AM53" s="133">
        <v>10.301362939179199</v>
      </c>
      <c r="AN53" s="133">
        <v>2.4633116523765999</v>
      </c>
      <c r="AO53" s="133">
        <v>19.504137374544399</v>
      </c>
    </row>
    <row r="54" spans="1:41">
      <c r="A54" s="131">
        <v>46143</v>
      </c>
      <c r="B54" s="82">
        <f t="shared" si="0"/>
        <v>2026</v>
      </c>
      <c r="C54" s="133">
        <v>8167.80616960516</v>
      </c>
      <c r="D54" s="133">
        <v>6695.9147510728299</v>
      </c>
      <c r="E54" s="133">
        <v>10093.498556807401</v>
      </c>
      <c r="F54" s="133">
        <v>3415.5212699210001</v>
      </c>
      <c r="G54" s="133">
        <v>3093.1595850018498</v>
      </c>
      <c r="H54" s="133">
        <v>3760.5216559360601</v>
      </c>
      <c r="I54" s="133">
        <v>1941.45237797908</v>
      </c>
      <c r="J54" s="133">
        <v>1904.17346994323</v>
      </c>
      <c r="K54" s="133">
        <v>1978.73128601494</v>
      </c>
      <c r="L54" s="133">
        <v>752.90243121565095</v>
      </c>
      <c r="M54" s="133">
        <v>612.00354340588694</v>
      </c>
      <c r="N54" s="133">
        <v>871.30835049422797</v>
      </c>
      <c r="O54" s="133">
        <v>23.142276798782799</v>
      </c>
      <c r="P54" s="133">
        <v>15.792434584359301</v>
      </c>
      <c r="Q54" s="133">
        <v>30.492119013206398</v>
      </c>
      <c r="R54" s="133">
        <v>163.53401455440999</v>
      </c>
      <c r="S54" s="133">
        <v>79.129866072640993</v>
      </c>
      <c r="T54" s="133">
        <v>217.315122624807</v>
      </c>
      <c r="U54" s="133">
        <v>121.248129572621</v>
      </c>
      <c r="V54" s="133">
        <v>110.724375251403</v>
      </c>
      <c r="W54" s="133">
        <v>133.334778663652</v>
      </c>
      <c r="X54" s="133">
        <v>247.577747836078</v>
      </c>
      <c r="Y54" s="133">
        <v>235.65735226790699</v>
      </c>
      <c r="Z54" s="133">
        <v>259.818536700366</v>
      </c>
      <c r="AA54" s="133">
        <v>343.27950517463898</v>
      </c>
      <c r="AB54" s="133">
        <v>326.31519274669301</v>
      </c>
      <c r="AC54" s="133">
        <v>360.22915169899397</v>
      </c>
      <c r="AD54" s="133">
        <v>328.92856613369702</v>
      </c>
      <c r="AE54" s="133">
        <v>288.07851210300998</v>
      </c>
      <c r="AF54" s="133">
        <v>369.77862016438399</v>
      </c>
      <c r="AG54" s="133">
        <v>221.78951206664999</v>
      </c>
      <c r="AH54" s="133">
        <v>209.38965876658801</v>
      </c>
      <c r="AI54" s="133">
        <v>234.18936536671299</v>
      </c>
      <c r="AJ54" s="133">
        <v>386.15667481844798</v>
      </c>
      <c r="AK54" s="133">
        <v>355.89691607621</v>
      </c>
      <c r="AL54" s="133">
        <v>416.41643356068698</v>
      </c>
      <c r="AM54" s="133">
        <v>10.013097509016101</v>
      </c>
      <c r="AN54" s="133">
        <v>2.1457183971073102</v>
      </c>
      <c r="AO54" s="133">
        <v>19.319966383376201</v>
      </c>
    </row>
    <row r="55" spans="1:41">
      <c r="A55" s="131">
        <v>46174</v>
      </c>
      <c r="B55" s="82">
        <f t="shared" si="0"/>
        <v>2026</v>
      </c>
      <c r="C55" s="133">
        <v>8098.1350551018304</v>
      </c>
      <c r="D55" s="133">
        <v>6625.3891785966598</v>
      </c>
      <c r="E55" s="133">
        <v>10030.410062606201</v>
      </c>
      <c r="F55" s="133">
        <v>3375.7840899610601</v>
      </c>
      <c r="G55" s="133">
        <v>3051.3096488927299</v>
      </c>
      <c r="H55" s="133">
        <v>3723.49527533937</v>
      </c>
      <c r="I55" s="133">
        <v>1940.7800871212601</v>
      </c>
      <c r="J55" s="133">
        <v>1903.4317389534301</v>
      </c>
      <c r="K55" s="133">
        <v>1978.12843528909</v>
      </c>
      <c r="L55" s="133">
        <v>748.189082725503</v>
      </c>
      <c r="M55" s="133">
        <v>603.57785506520395</v>
      </c>
      <c r="N55" s="133">
        <v>869.06278985587005</v>
      </c>
      <c r="O55" s="133">
        <v>23.142282251819001</v>
      </c>
      <c r="P55" s="133">
        <v>15.7372184442325</v>
      </c>
      <c r="Q55" s="133">
        <v>30.547346059405399</v>
      </c>
      <c r="R55" s="133">
        <v>159.61378704311801</v>
      </c>
      <c r="S55" s="133">
        <v>67.935055397464495</v>
      </c>
      <c r="T55" s="133">
        <v>215.26420167036301</v>
      </c>
      <c r="U55" s="133">
        <v>121.368974055537</v>
      </c>
      <c r="V55" s="133">
        <v>110.827608111749</v>
      </c>
      <c r="W55" s="133">
        <v>133.47706569662</v>
      </c>
      <c r="X55" s="133">
        <v>248.58396282661701</v>
      </c>
      <c r="Y55" s="133">
        <v>236.630552967591</v>
      </c>
      <c r="Z55" s="133">
        <v>260.85822782752399</v>
      </c>
      <c r="AA55" s="133">
        <v>340.89181463394698</v>
      </c>
      <c r="AB55" s="133">
        <v>323.82334767914301</v>
      </c>
      <c r="AC55" s="133">
        <v>357.94533106187703</v>
      </c>
      <c r="AD55" s="133">
        <v>327.10565489112201</v>
      </c>
      <c r="AE55" s="133">
        <v>285.50475117658101</v>
      </c>
      <c r="AF55" s="133">
        <v>368.706558605662</v>
      </c>
      <c r="AG55" s="133">
        <v>219.229818664108</v>
      </c>
      <c r="AH55" s="133">
        <v>206.78501137957301</v>
      </c>
      <c r="AI55" s="133">
        <v>231.67462594864301</v>
      </c>
      <c r="AJ55" s="133">
        <v>386.15643641511701</v>
      </c>
      <c r="AK55" s="133">
        <v>355.20334681008001</v>
      </c>
      <c r="AL55" s="133">
        <v>417.109526020153</v>
      </c>
      <c r="AM55" s="133">
        <v>10.184989088563199</v>
      </c>
      <c r="AN55" s="133">
        <v>2.1838083242149402</v>
      </c>
      <c r="AO55" s="133">
        <v>19.649779843386099</v>
      </c>
    </row>
    <row r="56" spans="1:41">
      <c r="A56" s="131">
        <v>46204</v>
      </c>
      <c r="B56" s="82">
        <f t="shared" si="0"/>
        <v>2026</v>
      </c>
      <c r="C56" s="133">
        <v>7998.4802957104603</v>
      </c>
      <c r="D56" s="133">
        <v>6532.4488010679597</v>
      </c>
      <c r="E56" s="133">
        <v>9926.6563573600306</v>
      </c>
      <c r="F56" s="133">
        <v>3333.60276466088</v>
      </c>
      <c r="G56" s="133">
        <v>3007.34999948524</v>
      </c>
      <c r="H56" s="133">
        <v>3683.6763031915598</v>
      </c>
      <c r="I56" s="133">
        <v>1940.3931691647399</v>
      </c>
      <c r="J56" s="133">
        <v>1903.0037089223499</v>
      </c>
      <c r="K56" s="133">
        <v>1977.7826294071399</v>
      </c>
      <c r="L56" s="133">
        <v>733.29699751914995</v>
      </c>
      <c r="M56" s="133">
        <v>582.34665162455997</v>
      </c>
      <c r="N56" s="133">
        <v>858.09329368403996</v>
      </c>
      <c r="O56" s="133">
        <v>23.141990913483902</v>
      </c>
      <c r="P56" s="133">
        <v>15.682118968148499</v>
      </c>
      <c r="Q56" s="133">
        <v>30.601862858819398</v>
      </c>
      <c r="R56" s="133">
        <v>162.491207112225</v>
      </c>
      <c r="S56" s="133">
        <v>71.896522494113796</v>
      </c>
      <c r="T56" s="133">
        <v>218.26221730862699</v>
      </c>
      <c r="U56" s="133">
        <v>114.206169680881</v>
      </c>
      <c r="V56" s="133">
        <v>104.558628737429</v>
      </c>
      <c r="W56" s="133">
        <v>125.242675365224</v>
      </c>
      <c r="X56" s="133">
        <v>240.510799522935</v>
      </c>
      <c r="Y56" s="133">
        <v>228.76935849087999</v>
      </c>
      <c r="Z56" s="133">
        <v>252.57234095405499</v>
      </c>
      <c r="AA56" s="133">
        <v>333.955806792879</v>
      </c>
      <c r="AB56" s="133">
        <v>316.79604946199902</v>
      </c>
      <c r="AC56" s="133">
        <v>351.100139405508</v>
      </c>
      <c r="AD56" s="133">
        <v>326.25113086653499</v>
      </c>
      <c r="AE56" s="133">
        <v>283.91277142290699</v>
      </c>
      <c r="AF56" s="133">
        <v>368.58949031016402</v>
      </c>
      <c r="AG56" s="133">
        <v>218.28814623325101</v>
      </c>
      <c r="AH56" s="133">
        <v>205.80364686354</v>
      </c>
      <c r="AI56" s="133">
        <v>230.772645602962</v>
      </c>
      <c r="AJ56" s="133">
        <v>387.09034885415201</v>
      </c>
      <c r="AK56" s="133">
        <v>355.45912198802699</v>
      </c>
      <c r="AL56" s="133">
        <v>418.721575720278</v>
      </c>
      <c r="AM56" s="133">
        <v>10.0671244826028</v>
      </c>
      <c r="AN56" s="133">
        <v>2.0031783746922298</v>
      </c>
      <c r="AO56" s="133">
        <v>19.652613641435401</v>
      </c>
    </row>
    <row r="57" spans="1:41">
      <c r="A57" s="131">
        <v>46235</v>
      </c>
      <c r="B57" s="82">
        <f t="shared" si="0"/>
        <v>2026</v>
      </c>
      <c r="C57" s="133">
        <v>7992.8409982836802</v>
      </c>
      <c r="D57" s="133">
        <v>6512.1211853357599</v>
      </c>
      <c r="E57" s="133">
        <v>9946.9344199353709</v>
      </c>
      <c r="F57" s="133">
        <v>3314.8097598479299</v>
      </c>
      <c r="G57" s="133">
        <v>2985.3024985736702</v>
      </c>
      <c r="H57" s="133">
        <v>3668.7815049651999</v>
      </c>
      <c r="I57" s="133">
        <v>1933.5520367787201</v>
      </c>
      <c r="J57" s="133">
        <v>1896.1382213826701</v>
      </c>
      <c r="K57" s="133">
        <v>1970.9658521747799</v>
      </c>
      <c r="L57" s="133">
        <v>734.12691292496197</v>
      </c>
      <c r="M57" s="133">
        <v>580.75558971083797</v>
      </c>
      <c r="N57" s="133">
        <v>860.58725581210501</v>
      </c>
      <c r="O57" s="133">
        <v>23.141845377949299</v>
      </c>
      <c r="P57" s="133">
        <v>15.6275675845473</v>
      </c>
      <c r="Q57" s="133">
        <v>30.6561231713514</v>
      </c>
      <c r="R57" s="133">
        <v>160.52365190834001</v>
      </c>
      <c r="S57" s="133">
        <v>64.553846932462406</v>
      </c>
      <c r="T57" s="133">
        <v>217.64481258902501</v>
      </c>
      <c r="U57" s="133">
        <v>120.04650608516</v>
      </c>
      <c r="V57" s="133">
        <v>109.67066833819899</v>
      </c>
      <c r="W57" s="133">
        <v>131.95586955902499</v>
      </c>
      <c r="X57" s="133">
        <v>251.34786139257699</v>
      </c>
      <c r="Y57" s="133">
        <v>239.317015649181</v>
      </c>
      <c r="Z57" s="133">
        <v>263.70011875292801</v>
      </c>
      <c r="AA57" s="133">
        <v>339.09052253686002</v>
      </c>
      <c r="AB57" s="133">
        <v>321.864662045861</v>
      </c>
      <c r="AC57" s="133">
        <v>356.30107461518901</v>
      </c>
      <c r="AD57" s="133">
        <v>325.68119124958798</v>
      </c>
      <c r="AE57" s="133">
        <v>282.61802184747398</v>
      </c>
      <c r="AF57" s="133">
        <v>368.74436065170198</v>
      </c>
      <c r="AG57" s="133">
        <v>217.86439467854399</v>
      </c>
      <c r="AH57" s="133">
        <v>205.34485692697399</v>
      </c>
      <c r="AI57" s="133">
        <v>230.38393243011299</v>
      </c>
      <c r="AJ57" s="133">
        <v>386.85450835687499</v>
      </c>
      <c r="AK57" s="133">
        <v>354.55938070555197</v>
      </c>
      <c r="AL57" s="133">
        <v>419.149636008198</v>
      </c>
      <c r="AM57" s="133">
        <v>10.1849894672132</v>
      </c>
      <c r="AN57" s="133">
        <v>2.0024791568965998</v>
      </c>
      <c r="AO57" s="133">
        <v>19.918815532738599</v>
      </c>
    </row>
    <row r="58" spans="1:41">
      <c r="A58" s="131">
        <v>46266</v>
      </c>
      <c r="B58" s="82">
        <f t="shared" si="0"/>
        <v>2026</v>
      </c>
      <c r="C58" s="133">
        <v>8043.5518387279199</v>
      </c>
      <c r="D58" s="133">
        <v>6535.01765417978</v>
      </c>
      <c r="E58" s="133">
        <v>10042.235416777001</v>
      </c>
      <c r="F58" s="133">
        <v>3335.44617180761</v>
      </c>
      <c r="G58" s="133">
        <v>2999.9870623687798</v>
      </c>
      <c r="H58" s="133">
        <v>3696.1269293448499</v>
      </c>
      <c r="I58" s="133">
        <v>1933.2760979595901</v>
      </c>
      <c r="J58" s="133">
        <v>1895.8478492025999</v>
      </c>
      <c r="K58" s="133">
        <v>1970.7043467165799</v>
      </c>
      <c r="L58" s="133">
        <v>738.66884207108603</v>
      </c>
      <c r="M58" s="133">
        <v>583.90399989367904</v>
      </c>
      <c r="N58" s="133">
        <v>866.211473491986</v>
      </c>
      <c r="O58" s="133">
        <v>23.142287725622499</v>
      </c>
      <c r="P58" s="133">
        <v>15.5739965517608</v>
      </c>
      <c r="Q58" s="133">
        <v>30.710578899484201</v>
      </c>
      <c r="R58" s="133">
        <v>157.40294540999901</v>
      </c>
      <c r="S58" s="133">
        <v>53.054978835727901</v>
      </c>
      <c r="T58" s="133">
        <v>216.18835669706101</v>
      </c>
      <c r="U58" s="133">
        <v>118.813832076493</v>
      </c>
      <c r="V58" s="133">
        <v>108.59303268254</v>
      </c>
      <c r="W58" s="133">
        <v>130.53706355638101</v>
      </c>
      <c r="X58" s="133">
        <v>251.06610921037401</v>
      </c>
      <c r="Y58" s="133">
        <v>239.04197495871</v>
      </c>
      <c r="Z58" s="133">
        <v>263.41166175872002</v>
      </c>
      <c r="AA58" s="133">
        <v>341.25269168148202</v>
      </c>
      <c r="AB58" s="133">
        <v>323.96974704078298</v>
      </c>
      <c r="AC58" s="133">
        <v>358.520323918727</v>
      </c>
      <c r="AD58" s="133">
        <v>324.70600726963499</v>
      </c>
      <c r="AE58" s="133">
        <v>280.93003143870601</v>
      </c>
      <c r="AF58" s="133">
        <v>368.481983100565</v>
      </c>
      <c r="AG58" s="133">
        <v>222.38375022649899</v>
      </c>
      <c r="AH58" s="133">
        <v>209.83329585338899</v>
      </c>
      <c r="AI58" s="133">
        <v>234.93420459960799</v>
      </c>
      <c r="AJ58" s="133">
        <v>384.64749463073599</v>
      </c>
      <c r="AK58" s="133">
        <v>351.70184200441503</v>
      </c>
      <c r="AL58" s="133">
        <v>417.59314725705599</v>
      </c>
      <c r="AM58" s="133">
        <v>10.238319984628401</v>
      </c>
      <c r="AN58" s="133">
        <v>1.95442326623757</v>
      </c>
      <c r="AO58" s="133">
        <v>20.111007743550999</v>
      </c>
    </row>
    <row r="59" spans="1:41">
      <c r="A59" s="131">
        <v>46296</v>
      </c>
      <c r="B59" s="82">
        <f t="shared" si="0"/>
        <v>2026</v>
      </c>
      <c r="C59" s="133">
        <v>8125.47966802069</v>
      </c>
      <c r="D59" s="133">
        <v>6581.5859697938204</v>
      </c>
      <c r="E59" s="133">
        <v>10179.752391149501</v>
      </c>
      <c r="F59" s="133">
        <v>3378.22168310505</v>
      </c>
      <c r="G59" s="133">
        <v>3035.25113820059</v>
      </c>
      <c r="H59" s="133">
        <v>3747.2408997831399</v>
      </c>
      <c r="I59" s="133">
        <v>1951.6862101587301</v>
      </c>
      <c r="J59" s="133">
        <v>1914.2494060901199</v>
      </c>
      <c r="K59" s="133">
        <v>1989.12301422733</v>
      </c>
      <c r="L59" s="133">
        <v>736.06119510494796</v>
      </c>
      <c r="M59" s="133">
        <v>578.03111031325795</v>
      </c>
      <c r="N59" s="133">
        <v>865.71080142798405</v>
      </c>
      <c r="O59" s="133">
        <v>23.142141051564799</v>
      </c>
      <c r="P59" s="133">
        <v>15.520220000796501</v>
      </c>
      <c r="Q59" s="133">
        <v>30.764062102333</v>
      </c>
      <c r="R59" s="133">
        <v>162.43060688984301</v>
      </c>
      <c r="S59" s="133">
        <v>63.782903930116099</v>
      </c>
      <c r="T59" s="133">
        <v>220.68067355871699</v>
      </c>
      <c r="U59" s="133">
        <v>120.724487180399</v>
      </c>
      <c r="V59" s="133">
        <v>110.263719447263</v>
      </c>
      <c r="W59" s="133">
        <v>132.735811147406</v>
      </c>
      <c r="X59" s="133">
        <v>252.73638070239701</v>
      </c>
      <c r="Y59" s="133">
        <v>240.668019638386</v>
      </c>
      <c r="Z59" s="133">
        <v>265.126363384223</v>
      </c>
      <c r="AA59" s="133">
        <v>346.10427180168301</v>
      </c>
      <c r="AB59" s="133">
        <v>328.77643878310198</v>
      </c>
      <c r="AC59" s="133">
        <v>363.416928531221</v>
      </c>
      <c r="AD59" s="133">
        <v>325.72428546702503</v>
      </c>
      <c r="AE59" s="133">
        <v>281.24692611268</v>
      </c>
      <c r="AF59" s="133">
        <v>370.20164482137</v>
      </c>
      <c r="AG59" s="133">
        <v>226.307314028055</v>
      </c>
      <c r="AH59" s="133">
        <v>213.72959922262999</v>
      </c>
      <c r="AI59" s="133">
        <v>238.88502883348099</v>
      </c>
      <c r="AJ59" s="133">
        <v>386.06949686642702</v>
      </c>
      <c r="AK59" s="133">
        <v>352.48591778478198</v>
      </c>
      <c r="AL59" s="133">
        <v>419.653075948072</v>
      </c>
      <c r="AM59" s="133">
        <v>9.8792239616340893</v>
      </c>
      <c r="AN59" s="133">
        <v>1.6043017298068201</v>
      </c>
      <c r="AO59" s="133">
        <v>19.836402111584501</v>
      </c>
    </row>
    <row r="60" spans="1:41">
      <c r="A60" s="131">
        <v>46327</v>
      </c>
      <c r="B60" s="82">
        <f t="shared" si="0"/>
        <v>2026</v>
      </c>
      <c r="C60" s="133">
        <v>8282.3790329569802</v>
      </c>
      <c r="D60" s="133">
        <v>6684.5097528229498</v>
      </c>
      <c r="E60" s="133">
        <v>10419.2957725098</v>
      </c>
      <c r="F60" s="133">
        <v>3467.75707989692</v>
      </c>
      <c r="G60" s="133">
        <v>3113.8929441823998</v>
      </c>
      <c r="H60" s="133">
        <v>3848.6455719966698</v>
      </c>
      <c r="I60" s="133">
        <v>1967.1097745705699</v>
      </c>
      <c r="J60" s="133">
        <v>1929.6678987439</v>
      </c>
      <c r="K60" s="133">
        <v>2004.5516503972301</v>
      </c>
      <c r="L60" s="133">
        <v>752.09109764152197</v>
      </c>
      <c r="M60" s="133">
        <v>595.85081482720898</v>
      </c>
      <c r="N60" s="133">
        <v>881.04868542101497</v>
      </c>
      <c r="O60" s="133">
        <v>23.141699848582501</v>
      </c>
      <c r="P60" s="133">
        <v>15.4665240496401</v>
      </c>
      <c r="Q60" s="133">
        <v>30.816875647524899</v>
      </c>
      <c r="R60" s="133">
        <v>164.58337567157</v>
      </c>
      <c r="S60" s="133">
        <v>66.5076628930792</v>
      </c>
      <c r="T60" s="133">
        <v>223.05362559308199</v>
      </c>
      <c r="U60" s="133">
        <v>124.45366804574201</v>
      </c>
      <c r="V60" s="133">
        <v>113.51994051837499</v>
      </c>
      <c r="W60" s="133">
        <v>137.03395413478299</v>
      </c>
      <c r="X60" s="133">
        <v>257.64487181223399</v>
      </c>
      <c r="Y60" s="133">
        <v>245.448121080059</v>
      </c>
      <c r="Z60" s="133">
        <v>270.163790609133</v>
      </c>
      <c r="AA60" s="133">
        <v>347.32547156353002</v>
      </c>
      <c r="AB60" s="133">
        <v>329.957594753813</v>
      </c>
      <c r="AC60" s="133">
        <v>364.67815546633898</v>
      </c>
      <c r="AD60" s="133">
        <v>328.52606350030698</v>
      </c>
      <c r="AE60" s="133">
        <v>283.35820971794601</v>
      </c>
      <c r="AF60" s="133">
        <v>373.69391728266697</v>
      </c>
      <c r="AG60" s="133">
        <v>227.17579894804501</v>
      </c>
      <c r="AH60" s="133">
        <v>214.57407230273</v>
      </c>
      <c r="AI60" s="133">
        <v>239.77752559336</v>
      </c>
      <c r="AJ60" s="133">
        <v>386.28572019206803</v>
      </c>
      <c r="AK60" s="133">
        <v>352.07610837182102</v>
      </c>
      <c r="AL60" s="133">
        <v>420.495332012316</v>
      </c>
      <c r="AM60" s="133">
        <v>10.1849894801241</v>
      </c>
      <c r="AN60" s="133">
        <v>1.7441852366362101</v>
      </c>
      <c r="AO60" s="133">
        <v>20.310758304438401</v>
      </c>
    </row>
    <row r="61" spans="1:41">
      <c r="A61" s="131">
        <v>46357</v>
      </c>
      <c r="B61" s="82">
        <f t="shared" si="0"/>
        <v>2026</v>
      </c>
      <c r="C61" s="133">
        <v>8381.36439493957</v>
      </c>
      <c r="D61" s="133">
        <v>6743.01794522195</v>
      </c>
      <c r="E61" s="133">
        <v>10582.210535799801</v>
      </c>
      <c r="F61" s="133">
        <v>3512.8955897218102</v>
      </c>
      <c r="G61" s="133">
        <v>3151.2935009478101</v>
      </c>
      <c r="H61" s="133">
        <v>3902.3730447032799</v>
      </c>
      <c r="I61" s="133">
        <v>1973.81317539273</v>
      </c>
      <c r="J61" s="133">
        <v>1936.36829270464</v>
      </c>
      <c r="K61" s="133">
        <v>2011.2580580808201</v>
      </c>
      <c r="L61" s="133">
        <v>779.54523354741002</v>
      </c>
      <c r="M61" s="133">
        <v>627.84608434405004</v>
      </c>
      <c r="N61" s="133">
        <v>906.19735296574697</v>
      </c>
      <c r="O61" s="133">
        <v>23.1419943014929</v>
      </c>
      <c r="P61" s="133">
        <v>15.413930946287699</v>
      </c>
      <c r="Q61" s="133">
        <v>30.870057656698101</v>
      </c>
      <c r="R61" s="133">
        <v>179.30165083561599</v>
      </c>
      <c r="S61" s="133">
        <v>95.607242468845797</v>
      </c>
      <c r="T61" s="133">
        <v>234.85759181015601</v>
      </c>
      <c r="U61" s="133">
        <v>125.69895813351199</v>
      </c>
      <c r="V61" s="133">
        <v>114.60830424220001</v>
      </c>
      <c r="W61" s="133">
        <v>138.46807476917201</v>
      </c>
      <c r="X61" s="133">
        <v>261.10790079099701</v>
      </c>
      <c r="Y61" s="133">
        <v>248.82131797876301</v>
      </c>
      <c r="Z61" s="133">
        <v>273.71702721745402</v>
      </c>
      <c r="AA61" s="133">
        <v>348.88034167244399</v>
      </c>
      <c r="AB61" s="133">
        <v>331.47949296416499</v>
      </c>
      <c r="AC61" s="133">
        <v>366.26600770077499</v>
      </c>
      <c r="AD61" s="133">
        <v>332.04496574770201</v>
      </c>
      <c r="AE61" s="133">
        <v>286.19701077244503</v>
      </c>
      <c r="AF61" s="133">
        <v>377.89292072295802</v>
      </c>
      <c r="AG61" s="133">
        <v>227.446199413301</v>
      </c>
      <c r="AH61" s="133">
        <v>214.823352735452</v>
      </c>
      <c r="AI61" s="133">
        <v>240.06904609115099</v>
      </c>
      <c r="AJ61" s="133">
        <v>385.331907729389</v>
      </c>
      <c r="AK61" s="133">
        <v>350.50751544680998</v>
      </c>
      <c r="AL61" s="133">
        <v>420.15630001196803</v>
      </c>
      <c r="AM61" s="133">
        <v>10.3942039797675</v>
      </c>
      <c r="AN61" s="133">
        <v>1.8146397886119201</v>
      </c>
      <c r="AO61" s="133">
        <v>20.674784590340401</v>
      </c>
    </row>
  </sheetData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B956B-0370-41BE-BB22-D0F5F0EDBE4F}">
  <sheetPr codeName="Sheet39">
    <tabColor theme="4" tint="0.39997558519241921"/>
  </sheetPr>
  <dimension ref="A1:AO66"/>
  <sheetViews>
    <sheetView workbookViewId="0"/>
  </sheetViews>
  <sheetFormatPr defaultColWidth="9.140625" defaultRowHeight="12.75"/>
  <cols>
    <col min="1" max="1" width="10.42578125" style="82" bestFit="1" customWidth="1"/>
    <col min="2" max="2" width="10.42578125" style="82" customWidth="1"/>
    <col min="3" max="3" width="22.85546875" style="82" bestFit="1" customWidth="1"/>
    <col min="4" max="4" width="21.42578125" style="82" bestFit="1" customWidth="1"/>
    <col min="5" max="5" width="21.85546875" style="82" bestFit="1" customWidth="1"/>
    <col min="6" max="6" width="20" style="82" bestFit="1" customWidth="1"/>
    <col min="7" max="7" width="18.5703125" style="82" bestFit="1" customWidth="1"/>
    <col min="8" max="8" width="19" style="82" bestFit="1" customWidth="1"/>
    <col min="9" max="9" width="19.7109375" style="82" bestFit="1" customWidth="1"/>
    <col min="10" max="10" width="18.42578125" style="82" bestFit="1" customWidth="1"/>
    <col min="11" max="11" width="18.7109375" style="82" bestFit="1" customWidth="1"/>
    <col min="12" max="12" width="20" style="82" bestFit="1" customWidth="1"/>
    <col min="13" max="13" width="18.5703125" style="82" bestFit="1" customWidth="1"/>
    <col min="14" max="14" width="19" style="82" bestFit="1" customWidth="1"/>
    <col min="15" max="15" width="30.5703125" style="82" bestFit="1" customWidth="1"/>
    <col min="16" max="16" width="29.140625" style="82" bestFit="1" customWidth="1"/>
    <col min="17" max="17" width="29.5703125" style="82" bestFit="1" customWidth="1"/>
    <col min="18" max="18" width="20.5703125" style="82" bestFit="1" customWidth="1"/>
    <col min="19" max="19" width="11" style="82" bestFit="1" customWidth="1"/>
    <col min="20" max="20" width="19.5703125" style="82" bestFit="1" customWidth="1"/>
    <col min="21" max="21" width="20.5703125" style="82" bestFit="1" customWidth="1"/>
    <col min="22" max="22" width="19.28515625" style="82" bestFit="1" customWidth="1"/>
    <col min="23" max="23" width="19.5703125" style="82" bestFit="1" customWidth="1"/>
    <col min="24" max="24" width="22.28515625" style="82" bestFit="1" customWidth="1"/>
    <col min="25" max="25" width="20.85546875" style="82" bestFit="1" customWidth="1"/>
    <col min="26" max="26" width="21.28515625" style="82" bestFit="1" customWidth="1"/>
    <col min="27" max="27" width="20.5703125" style="82" bestFit="1" customWidth="1"/>
    <col min="28" max="28" width="19.28515625" style="82" bestFit="1" customWidth="1"/>
    <col min="29" max="29" width="19.5703125" style="82" bestFit="1" customWidth="1"/>
    <col min="30" max="30" width="22.28515625" style="82" bestFit="1" customWidth="1"/>
    <col min="31" max="31" width="20.85546875" style="82" bestFit="1" customWidth="1"/>
    <col min="32" max="32" width="21.28515625" style="82" bestFit="1" customWidth="1"/>
    <col min="33" max="33" width="20.5703125" style="82" bestFit="1" customWidth="1"/>
    <col min="34" max="34" width="19.28515625" style="82" bestFit="1" customWidth="1"/>
    <col min="35" max="35" width="19.5703125" style="82" bestFit="1" customWidth="1"/>
    <col min="36" max="36" width="21.140625" style="82" bestFit="1" customWidth="1"/>
    <col min="37" max="37" width="19.5703125" style="82" bestFit="1" customWidth="1"/>
    <col min="38" max="38" width="20" style="82" bestFit="1" customWidth="1"/>
    <col min="39" max="39" width="23" style="82" bestFit="1" customWidth="1"/>
    <col min="40" max="40" width="21.5703125" style="82" bestFit="1" customWidth="1"/>
    <col min="41" max="41" width="22" style="82" bestFit="1" customWidth="1"/>
    <col min="42" max="16384" width="9.140625" style="82"/>
  </cols>
  <sheetData>
    <row r="1" spans="1:41">
      <c r="A1" s="130" t="s">
        <v>123</v>
      </c>
      <c r="B1" s="130" t="s">
        <v>128</v>
      </c>
      <c r="C1" s="84" t="s">
        <v>1039</v>
      </c>
      <c r="D1" s="85" t="s">
        <v>1040</v>
      </c>
      <c r="E1" s="86" t="s">
        <v>1041</v>
      </c>
      <c r="F1" s="84" t="s">
        <v>1043</v>
      </c>
      <c r="G1" s="85" t="s">
        <v>1045</v>
      </c>
      <c r="H1" s="86" t="s">
        <v>1046</v>
      </c>
      <c r="I1" s="84" t="s">
        <v>1048</v>
      </c>
      <c r="J1" s="85" t="s">
        <v>1050</v>
      </c>
      <c r="K1" s="86" t="s">
        <v>1052</v>
      </c>
      <c r="L1" s="84" t="s">
        <v>1054</v>
      </c>
      <c r="M1" s="85" t="s">
        <v>1056</v>
      </c>
      <c r="N1" s="86" t="s">
        <v>1058</v>
      </c>
      <c r="O1" s="84" t="s">
        <v>1060</v>
      </c>
      <c r="P1" s="85" t="s">
        <v>1062</v>
      </c>
      <c r="Q1" s="86" t="s">
        <v>1064</v>
      </c>
      <c r="R1" s="84" t="s">
        <v>1065</v>
      </c>
      <c r="S1" s="85" t="s">
        <v>1066</v>
      </c>
      <c r="T1" s="86" t="s">
        <v>1067</v>
      </c>
      <c r="U1" s="84" t="s">
        <v>1068</v>
      </c>
      <c r="V1" s="85" t="s">
        <v>1069</v>
      </c>
      <c r="W1" s="86" t="s">
        <v>1070</v>
      </c>
      <c r="X1" s="84" t="s">
        <v>1071</v>
      </c>
      <c r="Y1" s="85" t="s">
        <v>1072</v>
      </c>
      <c r="Z1" s="86" t="s">
        <v>1073</v>
      </c>
      <c r="AA1" s="84" t="s">
        <v>1074</v>
      </c>
      <c r="AB1" s="85" t="s">
        <v>1075</v>
      </c>
      <c r="AC1" s="86" t="s">
        <v>1076</v>
      </c>
      <c r="AD1" s="84" t="s">
        <v>1077</v>
      </c>
      <c r="AE1" s="85" t="s">
        <v>1078</v>
      </c>
      <c r="AF1" s="86" t="s">
        <v>1079</v>
      </c>
      <c r="AG1" s="84" t="s">
        <v>1080</v>
      </c>
      <c r="AH1" s="85" t="s">
        <v>1081</v>
      </c>
      <c r="AI1" s="86" t="s">
        <v>1082</v>
      </c>
      <c r="AJ1" s="84" t="s">
        <v>1083</v>
      </c>
      <c r="AK1" s="85" t="s">
        <v>1084</v>
      </c>
      <c r="AL1" s="86" t="s">
        <v>1085</v>
      </c>
      <c r="AM1" s="84" t="s">
        <v>1279</v>
      </c>
      <c r="AN1" s="85" t="s">
        <v>1280</v>
      </c>
      <c r="AO1" s="86" t="s">
        <v>1281</v>
      </c>
    </row>
    <row r="2" spans="1:41">
      <c r="A2" s="131">
        <v>44562</v>
      </c>
      <c r="B2" s="82">
        <f>YEAR(A2)</f>
        <v>2022</v>
      </c>
      <c r="C2" s="132">
        <v>1639.6</v>
      </c>
      <c r="D2" s="132">
        <v>1551.8</v>
      </c>
      <c r="E2" s="132">
        <v>1722.9</v>
      </c>
      <c r="F2" s="132">
        <v>440.2</v>
      </c>
      <c r="G2" s="132">
        <v>401.7</v>
      </c>
      <c r="H2" s="132">
        <v>477.2</v>
      </c>
      <c r="I2" s="132">
        <v>2130.9</v>
      </c>
      <c r="J2" s="132">
        <v>1941.9</v>
      </c>
      <c r="K2" s="132">
        <v>2313.1999999999998</v>
      </c>
      <c r="L2" s="132">
        <v>335.6</v>
      </c>
      <c r="M2" s="132">
        <v>314</v>
      </c>
      <c r="N2" s="132">
        <v>356.8</v>
      </c>
      <c r="O2" s="132">
        <v>423.7</v>
      </c>
      <c r="P2" s="132">
        <v>311.5</v>
      </c>
      <c r="Q2" s="132">
        <v>577.20000000000005</v>
      </c>
      <c r="R2" s="132">
        <v>34.4</v>
      </c>
      <c r="S2" s="132">
        <v>19.2</v>
      </c>
      <c r="T2" s="132">
        <v>62.7</v>
      </c>
      <c r="U2" s="132">
        <v>78.3</v>
      </c>
      <c r="V2" s="132">
        <v>61.1</v>
      </c>
      <c r="W2" s="132">
        <v>108.1</v>
      </c>
      <c r="X2" s="132">
        <v>186.6</v>
      </c>
      <c r="Y2" s="132">
        <v>157.69999999999999</v>
      </c>
      <c r="Z2" s="132">
        <v>215.4</v>
      </c>
      <c r="AA2" s="132">
        <v>358.1</v>
      </c>
      <c r="AB2" s="132">
        <v>311.8</v>
      </c>
      <c r="AC2" s="132">
        <v>410.1</v>
      </c>
      <c r="AD2" s="132">
        <v>728.4</v>
      </c>
      <c r="AE2" s="132">
        <v>649.9</v>
      </c>
      <c r="AF2" s="132">
        <v>799.2</v>
      </c>
      <c r="AG2" s="132">
        <v>1568.7</v>
      </c>
      <c r="AH2" s="132">
        <v>1364.5</v>
      </c>
      <c r="AI2" s="132">
        <v>1749.3</v>
      </c>
      <c r="AJ2" s="132">
        <v>13.291485434393101</v>
      </c>
      <c r="AK2" s="132">
        <v>8.4739810960405908</v>
      </c>
      <c r="AL2" s="132">
        <v>28.675988930451201</v>
      </c>
      <c r="AM2" s="132">
        <v>8.4</v>
      </c>
      <c r="AN2" s="132">
        <v>5.6</v>
      </c>
      <c r="AO2" s="132">
        <v>15.6</v>
      </c>
    </row>
    <row r="3" spans="1:41">
      <c r="A3" s="131">
        <v>44593</v>
      </c>
      <c r="B3" s="82">
        <f t="shared" ref="B3:B61" si="0">YEAR(A3)</f>
        <v>2022</v>
      </c>
      <c r="C3" s="132">
        <v>1537.3</v>
      </c>
      <c r="D3" s="132">
        <v>1432.7</v>
      </c>
      <c r="E3" s="132">
        <v>1635.2</v>
      </c>
      <c r="F3" s="132">
        <v>405.5</v>
      </c>
      <c r="G3" s="132">
        <v>359.7</v>
      </c>
      <c r="H3" s="132">
        <v>448.9</v>
      </c>
      <c r="I3" s="132">
        <v>1957.2</v>
      </c>
      <c r="J3" s="132">
        <v>1720.6</v>
      </c>
      <c r="K3" s="132">
        <v>2182.4</v>
      </c>
      <c r="L3" s="132">
        <v>315.89999999999998</v>
      </c>
      <c r="M3" s="132">
        <v>291.10000000000002</v>
      </c>
      <c r="N3" s="132">
        <v>340.1</v>
      </c>
      <c r="O3" s="132">
        <v>401.3</v>
      </c>
      <c r="P3" s="132">
        <v>291.39999999999998</v>
      </c>
      <c r="Q3" s="132">
        <v>553.70000000000005</v>
      </c>
      <c r="R3" s="132">
        <v>33.4</v>
      </c>
      <c r="S3" s="132">
        <v>18</v>
      </c>
      <c r="T3" s="132">
        <v>63.3</v>
      </c>
      <c r="U3" s="132">
        <v>75.7</v>
      </c>
      <c r="V3" s="132">
        <v>58.7</v>
      </c>
      <c r="W3" s="132">
        <v>105.2</v>
      </c>
      <c r="X3" s="132">
        <v>185</v>
      </c>
      <c r="Y3" s="132">
        <v>156.19999999999999</v>
      </c>
      <c r="Z3" s="132">
        <v>213.9</v>
      </c>
      <c r="AA3" s="132">
        <v>352.4</v>
      </c>
      <c r="AB3" s="132">
        <v>306.7</v>
      </c>
      <c r="AC3" s="132">
        <v>403.6</v>
      </c>
      <c r="AD3" s="132">
        <v>687.3</v>
      </c>
      <c r="AE3" s="132">
        <v>602.9</v>
      </c>
      <c r="AF3" s="132">
        <v>762.4</v>
      </c>
      <c r="AG3" s="132">
        <v>1410</v>
      </c>
      <c r="AH3" s="132">
        <v>1178.5999999999999</v>
      </c>
      <c r="AI3" s="132">
        <v>1608.5</v>
      </c>
      <c r="AJ3" s="132">
        <v>12.243749800066899</v>
      </c>
      <c r="AK3" s="132">
        <v>7.5055737283931601</v>
      </c>
      <c r="AL3" s="132">
        <v>29.980765597722201</v>
      </c>
      <c r="AM3" s="132">
        <v>7.4</v>
      </c>
      <c r="AN3" s="132">
        <v>5.0999999999999996</v>
      </c>
      <c r="AO3" s="132">
        <v>13.4</v>
      </c>
    </row>
    <row r="4" spans="1:41">
      <c r="A4" s="131">
        <v>44621</v>
      </c>
      <c r="B4" s="82">
        <f t="shared" si="0"/>
        <v>2022</v>
      </c>
      <c r="C4" s="132">
        <v>1560.5</v>
      </c>
      <c r="D4" s="132">
        <v>1453.1</v>
      </c>
      <c r="E4" s="132">
        <v>1661.1</v>
      </c>
      <c r="F4" s="132">
        <v>367.4</v>
      </c>
      <c r="G4" s="132">
        <v>317.60000000000002</v>
      </c>
      <c r="H4" s="132">
        <v>414.1</v>
      </c>
      <c r="I4" s="132">
        <v>1908.4</v>
      </c>
      <c r="J4" s="132">
        <v>1653.1</v>
      </c>
      <c r="K4" s="132">
        <v>2150.3000000000002</v>
      </c>
      <c r="L4" s="132">
        <v>310.2</v>
      </c>
      <c r="M4" s="132">
        <v>284.10000000000002</v>
      </c>
      <c r="N4" s="132">
        <v>335.7</v>
      </c>
      <c r="O4" s="132">
        <v>344.4</v>
      </c>
      <c r="P4" s="132">
        <v>250.4</v>
      </c>
      <c r="Q4" s="132">
        <v>474.8</v>
      </c>
      <c r="R4" s="132">
        <v>32.1</v>
      </c>
      <c r="S4" s="132">
        <v>16.8</v>
      </c>
      <c r="T4" s="132">
        <v>62.9</v>
      </c>
      <c r="U4" s="132">
        <v>70.2</v>
      </c>
      <c r="V4" s="132">
        <v>54.9</v>
      </c>
      <c r="W4" s="132">
        <v>96.3</v>
      </c>
      <c r="X4" s="132">
        <v>172</v>
      </c>
      <c r="Y4" s="132">
        <v>143.1</v>
      </c>
      <c r="Z4" s="132">
        <v>200.9</v>
      </c>
      <c r="AA4" s="132">
        <v>335.9</v>
      </c>
      <c r="AB4" s="132">
        <v>292.10000000000002</v>
      </c>
      <c r="AC4" s="132">
        <v>385.2</v>
      </c>
      <c r="AD4" s="132">
        <v>658.4</v>
      </c>
      <c r="AE4" s="132">
        <v>569.4</v>
      </c>
      <c r="AF4" s="132">
        <v>736.8</v>
      </c>
      <c r="AG4" s="132">
        <v>1300.5999999999999</v>
      </c>
      <c r="AH4" s="132">
        <v>1045.2</v>
      </c>
      <c r="AI4" s="132">
        <v>1513.5</v>
      </c>
      <c r="AJ4" s="132">
        <v>12.1742871553735</v>
      </c>
      <c r="AK4" s="132">
        <v>7.2845885493949698</v>
      </c>
      <c r="AL4" s="132">
        <v>32.569019771805799</v>
      </c>
      <c r="AM4" s="132">
        <v>7.6</v>
      </c>
      <c r="AN4" s="132">
        <v>5.0999999999999996</v>
      </c>
      <c r="AO4" s="132">
        <v>14.1</v>
      </c>
    </row>
    <row r="5" spans="1:41">
      <c r="A5" s="131">
        <v>44652</v>
      </c>
      <c r="B5" s="82">
        <f t="shared" si="0"/>
        <v>2022</v>
      </c>
      <c r="C5" s="132">
        <v>1465</v>
      </c>
      <c r="D5" s="132">
        <v>1346.5</v>
      </c>
      <c r="E5" s="132">
        <v>1574.6</v>
      </c>
      <c r="F5" s="132">
        <v>335.8</v>
      </c>
      <c r="G5" s="132">
        <v>283.10000000000002</v>
      </c>
      <c r="H5" s="132">
        <v>384.7</v>
      </c>
      <c r="I5" s="132">
        <v>1794.2</v>
      </c>
      <c r="J5" s="132">
        <v>1524.5</v>
      </c>
      <c r="K5" s="132">
        <v>2048</v>
      </c>
      <c r="L5" s="132">
        <v>292.39999999999998</v>
      </c>
      <c r="M5" s="132">
        <v>264.8</v>
      </c>
      <c r="N5" s="132">
        <v>319.39999999999998</v>
      </c>
      <c r="O5" s="132">
        <v>301.5</v>
      </c>
      <c r="P5" s="132">
        <v>219.3</v>
      </c>
      <c r="Q5" s="132">
        <v>415.3</v>
      </c>
      <c r="R5" s="132">
        <v>32</v>
      </c>
      <c r="S5" s="132">
        <v>16.2</v>
      </c>
      <c r="T5" s="132">
        <v>65</v>
      </c>
      <c r="U5" s="132">
        <v>61</v>
      </c>
      <c r="V5" s="132">
        <v>48.8</v>
      </c>
      <c r="W5" s="132">
        <v>80.5</v>
      </c>
      <c r="X5" s="132">
        <v>154.69999999999999</v>
      </c>
      <c r="Y5" s="132">
        <v>125.8</v>
      </c>
      <c r="Z5" s="132">
        <v>183.5</v>
      </c>
      <c r="AA5" s="132">
        <v>315.8</v>
      </c>
      <c r="AB5" s="132">
        <v>274.2</v>
      </c>
      <c r="AC5" s="132">
        <v>362.6</v>
      </c>
      <c r="AD5" s="132">
        <v>620.29999999999995</v>
      </c>
      <c r="AE5" s="132">
        <v>524.6</v>
      </c>
      <c r="AF5" s="132">
        <v>703.1</v>
      </c>
      <c r="AG5" s="132">
        <v>1168.5999999999999</v>
      </c>
      <c r="AH5" s="132">
        <v>875.5</v>
      </c>
      <c r="AI5" s="132">
        <v>1401.6</v>
      </c>
      <c r="AJ5" s="132">
        <v>12.0189884530099</v>
      </c>
      <c r="AK5" s="132">
        <v>7.1491934269491102</v>
      </c>
      <c r="AL5" s="132">
        <v>32.904795297804398</v>
      </c>
      <c r="AM5" s="132">
        <v>7.2</v>
      </c>
      <c r="AN5" s="132">
        <v>4.9000000000000004</v>
      </c>
      <c r="AO5" s="132">
        <v>12.8</v>
      </c>
    </row>
    <row r="6" spans="1:41">
      <c r="A6" s="131">
        <v>44682</v>
      </c>
      <c r="B6" s="82">
        <f t="shared" si="0"/>
        <v>2022</v>
      </c>
      <c r="C6" s="132">
        <v>1438.3</v>
      </c>
      <c r="D6" s="132">
        <v>1314.2</v>
      </c>
      <c r="E6" s="132">
        <v>1552.5</v>
      </c>
      <c r="F6" s="132">
        <v>306.5</v>
      </c>
      <c r="G6" s="132">
        <v>251</v>
      </c>
      <c r="H6" s="132">
        <v>357.5</v>
      </c>
      <c r="I6" s="132">
        <v>1699.4</v>
      </c>
      <c r="J6" s="132">
        <v>1419.7</v>
      </c>
      <c r="K6" s="132">
        <v>1961.1</v>
      </c>
      <c r="L6" s="132">
        <v>278.39999999999998</v>
      </c>
      <c r="M6" s="132">
        <v>249.3</v>
      </c>
      <c r="N6" s="132">
        <v>306.8</v>
      </c>
      <c r="O6" s="132">
        <v>244.6</v>
      </c>
      <c r="P6" s="132">
        <v>178.1</v>
      </c>
      <c r="Q6" s="132">
        <v>336.5</v>
      </c>
      <c r="R6" s="132">
        <v>29.6</v>
      </c>
      <c r="S6" s="132">
        <v>14.6</v>
      </c>
      <c r="T6" s="132">
        <v>62</v>
      </c>
      <c r="U6" s="132">
        <v>51.5</v>
      </c>
      <c r="V6" s="132">
        <v>42.4</v>
      </c>
      <c r="W6" s="132">
        <v>65.3</v>
      </c>
      <c r="X6" s="132">
        <v>148.69999999999999</v>
      </c>
      <c r="Y6" s="132">
        <v>119.9</v>
      </c>
      <c r="Z6" s="132">
        <v>177.6</v>
      </c>
      <c r="AA6" s="132">
        <v>299.89999999999998</v>
      </c>
      <c r="AB6" s="132">
        <v>260.10000000000002</v>
      </c>
      <c r="AC6" s="132">
        <v>344.7</v>
      </c>
      <c r="AD6" s="132">
        <v>561.70000000000005</v>
      </c>
      <c r="AE6" s="132">
        <v>453.6</v>
      </c>
      <c r="AF6" s="132">
        <v>652.1</v>
      </c>
      <c r="AG6" s="132">
        <v>1045.9000000000001</v>
      </c>
      <c r="AH6" s="132">
        <v>703.4</v>
      </c>
      <c r="AI6" s="132">
        <v>1301.0999999999999</v>
      </c>
      <c r="AJ6" s="132">
        <v>13.612088122059401</v>
      </c>
      <c r="AK6" s="132">
        <v>7.6962748808305603</v>
      </c>
      <c r="AL6" s="132">
        <v>46.748738562899902</v>
      </c>
      <c r="AM6" s="132">
        <v>7.3</v>
      </c>
      <c r="AN6" s="132">
        <v>5</v>
      </c>
      <c r="AO6" s="132">
        <v>13.3</v>
      </c>
    </row>
    <row r="7" spans="1:41">
      <c r="A7" s="131">
        <v>44713</v>
      </c>
      <c r="B7" s="82">
        <f t="shared" si="0"/>
        <v>2022</v>
      </c>
      <c r="C7" s="132">
        <v>1404.7</v>
      </c>
      <c r="D7" s="132">
        <v>1274.3</v>
      </c>
      <c r="E7" s="132">
        <v>1524</v>
      </c>
      <c r="F7" s="132">
        <v>291.60000000000002</v>
      </c>
      <c r="G7" s="132">
        <v>234.5</v>
      </c>
      <c r="H7" s="132">
        <v>343.8</v>
      </c>
      <c r="I7" s="132">
        <v>1622.5</v>
      </c>
      <c r="J7" s="132">
        <v>1335.3</v>
      </c>
      <c r="K7" s="132">
        <v>1890</v>
      </c>
      <c r="L7" s="132">
        <v>273.7</v>
      </c>
      <c r="M7" s="132">
        <v>243.3</v>
      </c>
      <c r="N7" s="132">
        <v>303.2</v>
      </c>
      <c r="O7" s="132">
        <v>193.9</v>
      </c>
      <c r="P7" s="132">
        <v>141.4</v>
      </c>
      <c r="Q7" s="132">
        <v>266.39999999999998</v>
      </c>
      <c r="R7" s="132">
        <v>29.7</v>
      </c>
      <c r="S7" s="132">
        <v>14.2</v>
      </c>
      <c r="T7" s="132">
        <v>64.099999999999994</v>
      </c>
      <c r="U7" s="132">
        <v>51.2</v>
      </c>
      <c r="V7" s="132">
        <v>42.1</v>
      </c>
      <c r="W7" s="132">
        <v>64.900000000000006</v>
      </c>
      <c r="X7" s="132">
        <v>138.69999999999999</v>
      </c>
      <c r="Y7" s="132">
        <v>109.8</v>
      </c>
      <c r="Z7" s="132">
        <v>167.6</v>
      </c>
      <c r="AA7" s="132">
        <v>295.5</v>
      </c>
      <c r="AB7" s="132">
        <v>256.10000000000002</v>
      </c>
      <c r="AC7" s="132">
        <v>339.7</v>
      </c>
      <c r="AD7" s="132">
        <v>567.1</v>
      </c>
      <c r="AE7" s="132">
        <v>460.3</v>
      </c>
      <c r="AF7" s="132">
        <v>656.9</v>
      </c>
      <c r="AG7" s="132">
        <v>1124</v>
      </c>
      <c r="AH7" s="132">
        <v>815</v>
      </c>
      <c r="AI7" s="132">
        <v>1364.7</v>
      </c>
      <c r="AJ7" s="132">
        <v>12.7158668343919</v>
      </c>
      <c r="AK7" s="132">
        <v>7.3667505351661999</v>
      </c>
      <c r="AL7" s="132">
        <v>38.892964385981898</v>
      </c>
      <c r="AM7" s="132">
        <v>6.7</v>
      </c>
      <c r="AN7" s="132">
        <v>4.7</v>
      </c>
      <c r="AO7" s="132">
        <v>11.5</v>
      </c>
    </row>
    <row r="8" spans="1:41">
      <c r="A8" s="131">
        <v>44743</v>
      </c>
      <c r="B8" s="82">
        <f t="shared" si="0"/>
        <v>2022</v>
      </c>
      <c r="C8" s="132">
        <v>1399.6</v>
      </c>
      <c r="D8" s="132">
        <v>1265.7</v>
      </c>
      <c r="E8" s="132">
        <v>1521.8</v>
      </c>
      <c r="F8" s="132">
        <v>293.60000000000002</v>
      </c>
      <c r="G8" s="132">
        <v>236.7</v>
      </c>
      <c r="H8" s="132">
        <v>345.6</v>
      </c>
      <c r="I8" s="132">
        <v>1671.9</v>
      </c>
      <c r="J8" s="132">
        <v>1388.1</v>
      </c>
      <c r="K8" s="132">
        <v>1936.9</v>
      </c>
      <c r="L8" s="132">
        <v>268.2</v>
      </c>
      <c r="M8" s="132">
        <v>236.6</v>
      </c>
      <c r="N8" s="132">
        <v>298.89999999999998</v>
      </c>
      <c r="O8" s="132">
        <v>164.4</v>
      </c>
      <c r="P8" s="132">
        <v>120</v>
      </c>
      <c r="Q8" s="132">
        <v>225.7</v>
      </c>
      <c r="R8" s="132">
        <v>29.7</v>
      </c>
      <c r="S8" s="132">
        <v>13.8</v>
      </c>
      <c r="T8" s="132">
        <v>66.2</v>
      </c>
      <c r="U8" s="132">
        <v>51.4</v>
      </c>
      <c r="V8" s="132">
        <v>42.2</v>
      </c>
      <c r="W8" s="132">
        <v>65.3</v>
      </c>
      <c r="X8" s="132">
        <v>134.9</v>
      </c>
      <c r="Y8" s="132">
        <v>106</v>
      </c>
      <c r="Z8" s="132">
        <v>163.69999999999999</v>
      </c>
      <c r="AA8" s="132">
        <v>291.89999999999998</v>
      </c>
      <c r="AB8" s="132">
        <v>253</v>
      </c>
      <c r="AC8" s="132">
        <v>335.7</v>
      </c>
      <c r="AD8" s="132">
        <v>555.5</v>
      </c>
      <c r="AE8" s="132">
        <v>445.8</v>
      </c>
      <c r="AF8" s="132">
        <v>646.9</v>
      </c>
      <c r="AG8" s="132">
        <v>1116.9000000000001</v>
      </c>
      <c r="AH8" s="132">
        <v>805.2</v>
      </c>
      <c r="AI8" s="132">
        <v>1358.8</v>
      </c>
      <c r="AJ8" s="132">
        <v>11.8077420978452</v>
      </c>
      <c r="AK8" s="132">
        <v>7.0194564424520802</v>
      </c>
      <c r="AL8" s="132">
        <v>32.400890873785798</v>
      </c>
      <c r="AM8" s="132">
        <v>7.1</v>
      </c>
      <c r="AN8" s="132">
        <v>4.9000000000000004</v>
      </c>
      <c r="AO8" s="132">
        <v>12.8</v>
      </c>
    </row>
    <row r="9" spans="1:41">
      <c r="A9" s="131">
        <v>44774</v>
      </c>
      <c r="B9" s="82">
        <f t="shared" si="0"/>
        <v>2022</v>
      </c>
      <c r="C9" s="132">
        <v>1398.9</v>
      </c>
      <c r="D9" s="132">
        <v>1262</v>
      </c>
      <c r="E9" s="132">
        <v>1523.6</v>
      </c>
      <c r="F9" s="132">
        <v>284.3</v>
      </c>
      <c r="G9" s="132">
        <v>226.4</v>
      </c>
      <c r="H9" s="132">
        <v>337.1</v>
      </c>
      <c r="I9" s="132">
        <v>1613.8</v>
      </c>
      <c r="J9" s="132">
        <v>1324.9</v>
      </c>
      <c r="K9" s="132">
        <v>1882.6</v>
      </c>
      <c r="L9" s="132">
        <v>268.3</v>
      </c>
      <c r="M9" s="132">
        <v>235.6</v>
      </c>
      <c r="N9" s="132">
        <v>299.89999999999998</v>
      </c>
      <c r="O9" s="132">
        <v>155.1</v>
      </c>
      <c r="P9" s="132">
        <v>113.2</v>
      </c>
      <c r="Q9" s="132">
        <v>212.8</v>
      </c>
      <c r="R9" s="132">
        <v>29.3</v>
      </c>
      <c r="S9" s="132">
        <v>13.3</v>
      </c>
      <c r="T9" s="132">
        <v>67.2</v>
      </c>
      <c r="U9" s="132">
        <v>51.8</v>
      </c>
      <c r="V9" s="132">
        <v>42.5</v>
      </c>
      <c r="W9" s="132">
        <v>66</v>
      </c>
      <c r="X9" s="132">
        <v>128.9</v>
      </c>
      <c r="Y9" s="132">
        <v>100</v>
      </c>
      <c r="Z9" s="132">
        <v>157.80000000000001</v>
      </c>
      <c r="AA9" s="132">
        <v>290</v>
      </c>
      <c r="AB9" s="132">
        <v>251.3</v>
      </c>
      <c r="AC9" s="132">
        <v>333.6</v>
      </c>
      <c r="AD9" s="132">
        <v>542.4</v>
      </c>
      <c r="AE9" s="132">
        <v>429.3</v>
      </c>
      <c r="AF9" s="132">
        <v>635.6</v>
      </c>
      <c r="AG9" s="132">
        <v>1062.3</v>
      </c>
      <c r="AH9" s="132">
        <v>727.6</v>
      </c>
      <c r="AI9" s="132">
        <v>1314.4</v>
      </c>
      <c r="AJ9" s="132">
        <v>11.485410884911801</v>
      </c>
      <c r="AK9" s="132">
        <v>6.8823227647283103</v>
      </c>
      <c r="AL9" s="132">
        <v>30.556392338667301</v>
      </c>
      <c r="AM9" s="132">
        <v>6.6</v>
      </c>
      <c r="AN9" s="132">
        <v>4.5999999999999996</v>
      </c>
      <c r="AO9" s="132">
        <v>11.3</v>
      </c>
    </row>
    <row r="10" spans="1:41">
      <c r="A10" s="131">
        <v>44805</v>
      </c>
      <c r="B10" s="82">
        <f t="shared" si="0"/>
        <v>2022</v>
      </c>
      <c r="C10" s="132">
        <v>1371.9</v>
      </c>
      <c r="D10" s="132">
        <v>1229.0999999999999</v>
      </c>
      <c r="E10" s="132">
        <v>1501.3</v>
      </c>
      <c r="F10" s="132">
        <v>291.5</v>
      </c>
      <c r="G10" s="132">
        <v>234.4</v>
      </c>
      <c r="H10" s="132">
        <v>343.7</v>
      </c>
      <c r="I10" s="132">
        <v>1637</v>
      </c>
      <c r="J10" s="132">
        <v>1349.9</v>
      </c>
      <c r="K10" s="132">
        <v>1904.4</v>
      </c>
      <c r="L10" s="132">
        <v>274.8</v>
      </c>
      <c r="M10" s="132">
        <v>241.4</v>
      </c>
      <c r="N10" s="132">
        <v>307.2</v>
      </c>
      <c r="O10" s="132">
        <v>171</v>
      </c>
      <c r="P10" s="132">
        <v>124.8</v>
      </c>
      <c r="Q10" s="132">
        <v>234.7</v>
      </c>
      <c r="R10" s="132">
        <v>29.6</v>
      </c>
      <c r="S10" s="132">
        <v>13.1</v>
      </c>
      <c r="T10" s="132">
        <v>69.900000000000006</v>
      </c>
      <c r="U10" s="132">
        <v>51.9</v>
      </c>
      <c r="V10" s="132">
        <v>42.5</v>
      </c>
      <c r="W10" s="132">
        <v>66.099999999999994</v>
      </c>
      <c r="X10" s="132">
        <v>147.69999999999999</v>
      </c>
      <c r="Y10" s="132">
        <v>118.9</v>
      </c>
      <c r="Z10" s="132">
        <v>176.6</v>
      </c>
      <c r="AA10" s="132">
        <v>308.39999999999998</v>
      </c>
      <c r="AB10" s="132">
        <v>267.7</v>
      </c>
      <c r="AC10" s="132">
        <v>354.3</v>
      </c>
      <c r="AD10" s="132">
        <v>552.79999999999995</v>
      </c>
      <c r="AE10" s="132">
        <v>442.4</v>
      </c>
      <c r="AF10" s="132">
        <v>644.6</v>
      </c>
      <c r="AG10" s="132">
        <v>1098.8</v>
      </c>
      <c r="AH10" s="132">
        <v>779.9</v>
      </c>
      <c r="AI10" s="132">
        <v>1344</v>
      </c>
      <c r="AJ10" s="132">
        <v>11.4275263298701</v>
      </c>
      <c r="AK10" s="132">
        <v>6.8447017294816304</v>
      </c>
      <c r="AL10" s="132">
        <v>30.452333734844999</v>
      </c>
      <c r="AM10" s="132">
        <v>6.9</v>
      </c>
      <c r="AN10" s="132">
        <v>4.7</v>
      </c>
      <c r="AO10" s="132">
        <v>12.2</v>
      </c>
    </row>
    <row r="11" spans="1:41">
      <c r="A11" s="131">
        <v>44835</v>
      </c>
      <c r="B11" s="82">
        <f t="shared" si="0"/>
        <v>2022</v>
      </c>
      <c r="C11" s="132">
        <v>1450</v>
      </c>
      <c r="D11" s="132">
        <v>1313</v>
      </c>
      <c r="E11" s="132">
        <v>1575.2</v>
      </c>
      <c r="F11" s="132">
        <v>294.2</v>
      </c>
      <c r="G11" s="132">
        <v>237.3</v>
      </c>
      <c r="H11" s="132">
        <v>346.1</v>
      </c>
      <c r="I11" s="132">
        <v>1665.8</v>
      </c>
      <c r="J11" s="132">
        <v>1381.1</v>
      </c>
      <c r="K11" s="132">
        <v>1931.6</v>
      </c>
      <c r="L11" s="132">
        <v>282</v>
      </c>
      <c r="M11" s="132">
        <v>247.8</v>
      </c>
      <c r="N11" s="132">
        <v>315.10000000000002</v>
      </c>
      <c r="O11" s="132">
        <v>187.6</v>
      </c>
      <c r="P11" s="132">
        <v>136.80000000000001</v>
      </c>
      <c r="Q11" s="132">
        <v>257.60000000000002</v>
      </c>
      <c r="R11" s="132">
        <v>31.4</v>
      </c>
      <c r="S11" s="132">
        <v>13.5</v>
      </c>
      <c r="T11" s="132">
        <v>76.400000000000006</v>
      </c>
      <c r="U11" s="132">
        <v>51.2</v>
      </c>
      <c r="V11" s="132">
        <v>42.1</v>
      </c>
      <c r="W11" s="132">
        <v>65.099999999999994</v>
      </c>
      <c r="X11" s="132">
        <v>147.30000000000001</v>
      </c>
      <c r="Y11" s="132">
        <v>118.4</v>
      </c>
      <c r="Z11" s="132">
        <v>176.2</v>
      </c>
      <c r="AA11" s="132">
        <v>301.39999999999998</v>
      </c>
      <c r="AB11" s="132">
        <v>261.39999999999998</v>
      </c>
      <c r="AC11" s="132">
        <v>346.4</v>
      </c>
      <c r="AD11" s="132">
        <v>545</v>
      </c>
      <c r="AE11" s="132">
        <v>432.6</v>
      </c>
      <c r="AF11" s="132">
        <v>637.9</v>
      </c>
      <c r="AG11" s="132">
        <v>1066.5</v>
      </c>
      <c r="AH11" s="132">
        <v>733.8</v>
      </c>
      <c r="AI11" s="132">
        <v>1317.8</v>
      </c>
      <c r="AJ11" s="132">
        <v>11.5655408821215</v>
      </c>
      <c r="AK11" s="132">
        <v>6.8808272324226998</v>
      </c>
      <c r="AL11" s="132">
        <v>31.638749003780902</v>
      </c>
      <c r="AM11" s="132">
        <v>7.4</v>
      </c>
      <c r="AN11" s="132">
        <v>5</v>
      </c>
      <c r="AO11" s="132">
        <v>13.8</v>
      </c>
    </row>
    <row r="12" spans="1:41">
      <c r="A12" s="131">
        <v>44866</v>
      </c>
      <c r="B12" s="82">
        <f t="shared" si="0"/>
        <v>2022</v>
      </c>
      <c r="C12" s="132">
        <v>1492.2</v>
      </c>
      <c r="D12" s="132">
        <v>1356.8</v>
      </c>
      <c r="E12" s="132">
        <v>1616.3</v>
      </c>
      <c r="F12" s="132">
        <v>331.5</v>
      </c>
      <c r="G12" s="132">
        <v>278.3</v>
      </c>
      <c r="H12" s="132">
        <v>380.9</v>
      </c>
      <c r="I12" s="132">
        <v>1793.2</v>
      </c>
      <c r="J12" s="132">
        <v>1518.1</v>
      </c>
      <c r="K12" s="132">
        <v>2051.8000000000002</v>
      </c>
      <c r="L12" s="132">
        <v>302.39999999999998</v>
      </c>
      <c r="M12" s="132">
        <v>268</v>
      </c>
      <c r="N12" s="132">
        <v>335.9</v>
      </c>
      <c r="O12" s="132">
        <v>279.3</v>
      </c>
      <c r="P12" s="132">
        <v>203.3</v>
      </c>
      <c r="Q12" s="132">
        <v>384.5</v>
      </c>
      <c r="R12" s="132">
        <v>30.1</v>
      </c>
      <c r="S12" s="132">
        <v>12.6</v>
      </c>
      <c r="T12" s="132">
        <v>75</v>
      </c>
      <c r="U12" s="132">
        <v>58.2</v>
      </c>
      <c r="V12" s="132">
        <v>46.8</v>
      </c>
      <c r="W12" s="132">
        <v>76.5</v>
      </c>
      <c r="X12" s="132">
        <v>154.69999999999999</v>
      </c>
      <c r="Y12" s="132">
        <v>125.8</v>
      </c>
      <c r="Z12" s="132">
        <v>183.5</v>
      </c>
      <c r="AA12" s="132">
        <v>331.4</v>
      </c>
      <c r="AB12" s="132">
        <v>288.10000000000002</v>
      </c>
      <c r="AC12" s="132">
        <v>380.1</v>
      </c>
      <c r="AD12" s="132">
        <v>606.1</v>
      </c>
      <c r="AE12" s="132">
        <v>507.4</v>
      </c>
      <c r="AF12" s="132">
        <v>690.8</v>
      </c>
      <c r="AG12" s="132">
        <v>1251.0999999999999</v>
      </c>
      <c r="AH12" s="132">
        <v>982.9</v>
      </c>
      <c r="AI12" s="132">
        <v>1471.1</v>
      </c>
      <c r="AJ12" s="132">
        <v>12.2325062173904</v>
      </c>
      <c r="AK12" s="132">
        <v>7.1078330088067698</v>
      </c>
      <c r="AL12" s="132">
        <v>36.923979191723397</v>
      </c>
      <c r="AM12" s="132">
        <v>6.9</v>
      </c>
      <c r="AN12" s="132">
        <v>4.7</v>
      </c>
      <c r="AO12" s="132">
        <v>12.2</v>
      </c>
    </row>
    <row r="13" spans="1:41">
      <c r="A13" s="131">
        <v>44896</v>
      </c>
      <c r="B13" s="82">
        <f t="shared" si="0"/>
        <v>2022</v>
      </c>
      <c r="C13" s="132">
        <v>1578.7</v>
      </c>
      <c r="D13" s="132">
        <v>1449.1</v>
      </c>
      <c r="E13" s="132">
        <v>1698.5</v>
      </c>
      <c r="F13" s="132">
        <v>393</v>
      </c>
      <c r="G13" s="132">
        <v>344.5</v>
      </c>
      <c r="H13" s="132">
        <v>438.9</v>
      </c>
      <c r="I13" s="132">
        <v>1953.1</v>
      </c>
      <c r="J13" s="132">
        <v>1688.7</v>
      </c>
      <c r="K13" s="132">
        <v>2203.5</v>
      </c>
      <c r="L13" s="132">
        <v>327.5</v>
      </c>
      <c r="M13" s="132">
        <v>292.89999999999998</v>
      </c>
      <c r="N13" s="132">
        <v>361.2</v>
      </c>
      <c r="O13" s="132">
        <v>396.8</v>
      </c>
      <c r="P13" s="132">
        <v>288.2</v>
      </c>
      <c r="Q13" s="132">
        <v>547.29999999999995</v>
      </c>
      <c r="R13" s="132">
        <v>34.700000000000003</v>
      </c>
      <c r="S13" s="132">
        <v>14.1</v>
      </c>
      <c r="T13" s="132">
        <v>89.6</v>
      </c>
      <c r="U13" s="132">
        <v>69</v>
      </c>
      <c r="V13" s="132">
        <v>53.7</v>
      </c>
      <c r="W13" s="132">
        <v>95.5</v>
      </c>
      <c r="X13" s="132">
        <v>176.8</v>
      </c>
      <c r="Y13" s="132">
        <v>147.9</v>
      </c>
      <c r="Z13" s="132">
        <v>205.6</v>
      </c>
      <c r="AA13" s="132">
        <v>358.4</v>
      </c>
      <c r="AB13" s="132">
        <v>312</v>
      </c>
      <c r="AC13" s="132">
        <v>410.3</v>
      </c>
      <c r="AD13" s="132">
        <v>661</v>
      </c>
      <c r="AE13" s="132">
        <v>571.79999999999995</v>
      </c>
      <c r="AF13" s="132">
        <v>739.5</v>
      </c>
      <c r="AG13" s="132">
        <v>1581.3</v>
      </c>
      <c r="AH13" s="132">
        <v>1378.9</v>
      </c>
      <c r="AI13" s="132">
        <v>1760.5</v>
      </c>
      <c r="AJ13" s="132">
        <v>12.268214150754099</v>
      </c>
      <c r="AK13" s="132">
        <v>7.1039695582956597</v>
      </c>
      <c r="AL13" s="132">
        <v>37.605148012560697</v>
      </c>
      <c r="AM13" s="132">
        <v>7.5</v>
      </c>
      <c r="AN13" s="132">
        <v>5</v>
      </c>
      <c r="AO13" s="132">
        <v>14.2</v>
      </c>
    </row>
    <row r="14" spans="1:41">
      <c r="A14" s="131">
        <v>44927</v>
      </c>
      <c r="B14" s="82">
        <f t="shared" si="0"/>
        <v>2023</v>
      </c>
      <c r="C14" s="132">
        <v>1665</v>
      </c>
      <c r="D14" s="132">
        <v>1536.8</v>
      </c>
      <c r="E14" s="132">
        <v>1783.9</v>
      </c>
      <c r="F14" s="132">
        <v>440.9</v>
      </c>
      <c r="G14" s="132">
        <v>392.2</v>
      </c>
      <c r="H14" s="132">
        <v>487.1</v>
      </c>
      <c r="I14" s="132">
        <v>2139.1999999999998</v>
      </c>
      <c r="J14" s="132">
        <v>1870.7</v>
      </c>
      <c r="K14" s="132">
        <v>2394.4</v>
      </c>
      <c r="L14" s="132">
        <v>351.5</v>
      </c>
      <c r="M14" s="132">
        <v>315.3</v>
      </c>
      <c r="N14" s="132">
        <v>386.9</v>
      </c>
      <c r="O14" s="132">
        <v>425.3</v>
      </c>
      <c r="P14" s="132">
        <v>304.5</v>
      </c>
      <c r="Q14" s="132">
        <v>595.20000000000005</v>
      </c>
      <c r="R14" s="132">
        <v>32.9</v>
      </c>
      <c r="S14" s="132">
        <v>12.5</v>
      </c>
      <c r="T14" s="132">
        <v>91.5</v>
      </c>
      <c r="U14" s="132">
        <v>77.900000000000006</v>
      </c>
      <c r="V14" s="132">
        <v>58.7</v>
      </c>
      <c r="W14" s="132">
        <v>113.8</v>
      </c>
      <c r="X14" s="132">
        <v>187.1</v>
      </c>
      <c r="Y14" s="132">
        <v>158.19999999999999</v>
      </c>
      <c r="Z14" s="132">
        <v>216</v>
      </c>
      <c r="AA14" s="132">
        <v>360</v>
      </c>
      <c r="AB14" s="132">
        <v>313.10000000000002</v>
      </c>
      <c r="AC14" s="132">
        <v>412.7</v>
      </c>
      <c r="AD14" s="132">
        <v>717.4</v>
      </c>
      <c r="AE14" s="132">
        <v>636.1</v>
      </c>
      <c r="AF14" s="132">
        <v>790.4</v>
      </c>
      <c r="AG14" s="132">
        <v>1575.1</v>
      </c>
      <c r="AH14" s="132">
        <v>1360.4</v>
      </c>
      <c r="AI14" s="132">
        <v>1763.8</v>
      </c>
      <c r="AJ14" s="132">
        <v>12.2314392039172</v>
      </c>
      <c r="AK14" s="132">
        <v>7.0143289317674498</v>
      </c>
      <c r="AL14" s="132">
        <v>39.199093318471398</v>
      </c>
      <c r="AM14" s="132">
        <v>8.1</v>
      </c>
      <c r="AN14" s="132">
        <v>5.2</v>
      </c>
      <c r="AO14" s="132">
        <v>17.3</v>
      </c>
    </row>
    <row r="15" spans="1:41">
      <c r="A15" s="131">
        <v>44958</v>
      </c>
      <c r="B15" s="82">
        <f t="shared" si="0"/>
        <v>2023</v>
      </c>
      <c r="C15" s="132">
        <v>1565.9</v>
      </c>
      <c r="D15" s="132">
        <v>1425</v>
      </c>
      <c r="E15" s="132">
        <v>1695</v>
      </c>
      <c r="F15" s="132">
        <v>402.6</v>
      </c>
      <c r="G15" s="132">
        <v>350.7</v>
      </c>
      <c r="H15" s="132">
        <v>451.4</v>
      </c>
      <c r="I15" s="132">
        <v>1966.8</v>
      </c>
      <c r="J15" s="132">
        <v>1681.3</v>
      </c>
      <c r="K15" s="132">
        <v>2236</v>
      </c>
      <c r="L15" s="132">
        <v>333.8</v>
      </c>
      <c r="M15" s="132">
        <v>295.60000000000002</v>
      </c>
      <c r="N15" s="132">
        <v>370.9</v>
      </c>
      <c r="O15" s="132">
        <v>401.3</v>
      </c>
      <c r="P15" s="132">
        <v>287.10000000000002</v>
      </c>
      <c r="Q15" s="132">
        <v>562.1</v>
      </c>
      <c r="R15" s="132">
        <v>32.700000000000003</v>
      </c>
      <c r="S15" s="132">
        <v>12</v>
      </c>
      <c r="T15" s="132">
        <v>94.3</v>
      </c>
      <c r="U15" s="132">
        <v>74.900000000000006</v>
      </c>
      <c r="V15" s="132">
        <v>56.9</v>
      </c>
      <c r="W15" s="132">
        <v>107.8</v>
      </c>
      <c r="X15" s="132">
        <v>178.7</v>
      </c>
      <c r="Y15" s="132">
        <v>149.80000000000001</v>
      </c>
      <c r="Z15" s="132">
        <v>207.6</v>
      </c>
      <c r="AA15" s="132">
        <v>342.4</v>
      </c>
      <c r="AB15" s="132">
        <v>297.39999999999998</v>
      </c>
      <c r="AC15" s="132">
        <v>392.9</v>
      </c>
      <c r="AD15" s="132">
        <v>670.7</v>
      </c>
      <c r="AE15" s="132">
        <v>582.9</v>
      </c>
      <c r="AF15" s="132">
        <v>748.2</v>
      </c>
      <c r="AG15" s="132">
        <v>1372</v>
      </c>
      <c r="AH15" s="132">
        <v>1119</v>
      </c>
      <c r="AI15" s="132">
        <v>1585.1</v>
      </c>
      <c r="AJ15" s="132">
        <v>12.071177932027</v>
      </c>
      <c r="AK15" s="132">
        <v>6.9105826828287702</v>
      </c>
      <c r="AL15" s="132">
        <v>38.999724939290502</v>
      </c>
      <c r="AM15" s="132">
        <v>7.2</v>
      </c>
      <c r="AN15" s="132">
        <v>4.8</v>
      </c>
      <c r="AO15" s="132">
        <v>14.1</v>
      </c>
    </row>
    <row r="16" spans="1:41">
      <c r="A16" s="131">
        <v>44986</v>
      </c>
      <c r="B16" s="82">
        <f t="shared" si="0"/>
        <v>2023</v>
      </c>
      <c r="C16" s="132">
        <v>1589.1</v>
      </c>
      <c r="D16" s="132">
        <v>1447.5</v>
      </c>
      <c r="E16" s="132">
        <v>1719.2</v>
      </c>
      <c r="F16" s="132">
        <v>367.3</v>
      </c>
      <c r="G16" s="132">
        <v>312.60000000000002</v>
      </c>
      <c r="H16" s="132">
        <v>418.4</v>
      </c>
      <c r="I16" s="132">
        <v>1915.8</v>
      </c>
      <c r="J16" s="132">
        <v>1624</v>
      </c>
      <c r="K16" s="132">
        <v>2190.3000000000002</v>
      </c>
      <c r="L16" s="132">
        <v>328.2</v>
      </c>
      <c r="M16" s="132">
        <v>288.60000000000002</v>
      </c>
      <c r="N16" s="132">
        <v>366.6</v>
      </c>
      <c r="O16" s="132">
        <v>344.4</v>
      </c>
      <c r="P16" s="132">
        <v>246.6</v>
      </c>
      <c r="Q16" s="132">
        <v>482</v>
      </c>
      <c r="R16" s="132">
        <v>32.299999999999997</v>
      </c>
      <c r="S16" s="132">
        <v>11.5</v>
      </c>
      <c r="T16" s="132">
        <v>96.7</v>
      </c>
      <c r="U16" s="132">
        <v>69.2</v>
      </c>
      <c r="V16" s="132">
        <v>53.5</v>
      </c>
      <c r="W16" s="132">
        <v>97</v>
      </c>
      <c r="X16" s="132">
        <v>166.8</v>
      </c>
      <c r="Y16" s="132">
        <v>137.9</v>
      </c>
      <c r="Z16" s="132">
        <v>195.7</v>
      </c>
      <c r="AA16" s="132">
        <v>332.2</v>
      </c>
      <c r="AB16" s="132">
        <v>288.39999999999998</v>
      </c>
      <c r="AC16" s="132">
        <v>381.5</v>
      </c>
      <c r="AD16" s="132">
        <v>649.6</v>
      </c>
      <c r="AE16" s="132">
        <v>558.5</v>
      </c>
      <c r="AF16" s="132">
        <v>729.4</v>
      </c>
      <c r="AG16" s="132">
        <v>1299.9000000000001</v>
      </c>
      <c r="AH16" s="132">
        <v>1029.3</v>
      </c>
      <c r="AI16" s="132">
        <v>1523.1</v>
      </c>
      <c r="AJ16" s="132">
        <v>12.059782211556699</v>
      </c>
      <c r="AK16" s="132">
        <v>6.8720209675268604</v>
      </c>
      <c r="AL16" s="132">
        <v>39.843319987645003</v>
      </c>
      <c r="AM16" s="132">
        <v>7.2</v>
      </c>
      <c r="AN16" s="132">
        <v>4.7</v>
      </c>
      <c r="AO16" s="132">
        <v>14</v>
      </c>
    </row>
    <row r="17" spans="1:41">
      <c r="A17" s="131">
        <v>45017</v>
      </c>
      <c r="B17" s="82">
        <f t="shared" si="0"/>
        <v>2023</v>
      </c>
      <c r="C17" s="132">
        <v>1495.6</v>
      </c>
      <c r="D17" s="132">
        <v>1340.9</v>
      </c>
      <c r="E17" s="132">
        <v>1635.7</v>
      </c>
      <c r="F17" s="132">
        <v>328.4</v>
      </c>
      <c r="G17" s="132">
        <v>270.10000000000002</v>
      </c>
      <c r="H17" s="132">
        <v>382</v>
      </c>
      <c r="I17" s="132">
        <v>1772.6</v>
      </c>
      <c r="J17" s="132">
        <v>1468.6</v>
      </c>
      <c r="K17" s="132">
        <v>2056.3000000000002</v>
      </c>
      <c r="L17" s="132">
        <v>310.60000000000002</v>
      </c>
      <c r="M17" s="132">
        <v>269.3</v>
      </c>
      <c r="N17" s="132">
        <v>350.6</v>
      </c>
      <c r="O17" s="132">
        <v>301.5</v>
      </c>
      <c r="P17" s="132">
        <v>216.1</v>
      </c>
      <c r="Q17" s="132">
        <v>421.6</v>
      </c>
      <c r="R17" s="132">
        <v>32.299999999999997</v>
      </c>
      <c r="S17" s="132">
        <v>11.2</v>
      </c>
      <c r="T17" s="132">
        <v>100.2</v>
      </c>
      <c r="U17" s="132">
        <v>60.1</v>
      </c>
      <c r="V17" s="132">
        <v>47.7</v>
      </c>
      <c r="W17" s="132">
        <v>80.400000000000006</v>
      </c>
      <c r="X17" s="132">
        <v>160.69999999999999</v>
      </c>
      <c r="Y17" s="132">
        <v>131.9</v>
      </c>
      <c r="Z17" s="132">
        <v>189.6</v>
      </c>
      <c r="AA17" s="132">
        <v>322.89999999999998</v>
      </c>
      <c r="AB17" s="132">
        <v>280.10000000000002</v>
      </c>
      <c r="AC17" s="132">
        <v>371</v>
      </c>
      <c r="AD17" s="132">
        <v>622.1</v>
      </c>
      <c r="AE17" s="132">
        <v>526.20000000000005</v>
      </c>
      <c r="AF17" s="132">
        <v>705</v>
      </c>
      <c r="AG17" s="132">
        <v>1240.8</v>
      </c>
      <c r="AH17" s="132">
        <v>953.6</v>
      </c>
      <c r="AI17" s="132">
        <v>1473</v>
      </c>
      <c r="AJ17" s="132">
        <v>12.033928274188399</v>
      </c>
      <c r="AK17" s="132">
        <v>6.8367235980721199</v>
      </c>
      <c r="AL17" s="132">
        <v>40.347564047978302</v>
      </c>
      <c r="AM17" s="132">
        <v>7</v>
      </c>
      <c r="AN17" s="132">
        <v>4.5999999999999996</v>
      </c>
      <c r="AO17" s="132">
        <v>13.4</v>
      </c>
    </row>
    <row r="18" spans="1:41">
      <c r="A18" s="131">
        <v>45047</v>
      </c>
      <c r="B18" s="82">
        <f t="shared" si="0"/>
        <v>2023</v>
      </c>
      <c r="C18" s="132">
        <v>1469.5</v>
      </c>
      <c r="D18" s="132">
        <v>1308.7</v>
      </c>
      <c r="E18" s="132">
        <v>1614.4</v>
      </c>
      <c r="F18" s="132">
        <v>300.39999999999998</v>
      </c>
      <c r="G18" s="132">
        <v>239.2</v>
      </c>
      <c r="H18" s="132">
        <v>356.2</v>
      </c>
      <c r="I18" s="132">
        <v>1673.9</v>
      </c>
      <c r="J18" s="132">
        <v>1360.9</v>
      </c>
      <c r="K18" s="132">
        <v>1964.2</v>
      </c>
      <c r="L18" s="132">
        <v>296.89999999999998</v>
      </c>
      <c r="M18" s="132">
        <v>253.9</v>
      </c>
      <c r="N18" s="132">
        <v>338.4</v>
      </c>
      <c r="O18" s="132">
        <v>244.6</v>
      </c>
      <c r="P18" s="132">
        <v>175.5</v>
      </c>
      <c r="Q18" s="132">
        <v>341.6</v>
      </c>
      <c r="R18" s="132">
        <v>31.6</v>
      </c>
      <c r="S18" s="132">
        <v>10.6</v>
      </c>
      <c r="T18" s="132">
        <v>101.5</v>
      </c>
      <c r="U18" s="132">
        <v>50.8</v>
      </c>
      <c r="V18" s="132">
        <v>41.5</v>
      </c>
      <c r="W18" s="132">
        <v>64.900000000000006</v>
      </c>
      <c r="X18" s="132">
        <v>145.4</v>
      </c>
      <c r="Y18" s="132">
        <v>116.5</v>
      </c>
      <c r="Z18" s="132">
        <v>174.2</v>
      </c>
      <c r="AA18" s="132">
        <v>300</v>
      </c>
      <c r="AB18" s="132">
        <v>259.89999999999998</v>
      </c>
      <c r="AC18" s="132">
        <v>345.3</v>
      </c>
      <c r="AD18" s="132">
        <v>558.20000000000005</v>
      </c>
      <c r="AE18" s="132">
        <v>449</v>
      </c>
      <c r="AF18" s="132">
        <v>649.4</v>
      </c>
      <c r="AG18" s="132">
        <v>1052.7</v>
      </c>
      <c r="AH18" s="132">
        <v>691.4</v>
      </c>
      <c r="AI18" s="132">
        <v>1318.4</v>
      </c>
      <c r="AJ18" s="132">
        <v>12.276501681782801</v>
      </c>
      <c r="AK18" s="132">
        <v>6.8989342325404301</v>
      </c>
      <c r="AL18" s="132">
        <v>43.508897631287198</v>
      </c>
      <c r="AM18" s="132">
        <v>7.1</v>
      </c>
      <c r="AN18" s="132">
        <v>4.7</v>
      </c>
      <c r="AO18" s="132">
        <v>13.8</v>
      </c>
    </row>
    <row r="19" spans="1:41">
      <c r="A19" s="131">
        <v>45078</v>
      </c>
      <c r="B19" s="82">
        <f t="shared" si="0"/>
        <v>2023</v>
      </c>
      <c r="C19" s="132">
        <v>1436.6</v>
      </c>
      <c r="D19" s="132">
        <v>1268.5</v>
      </c>
      <c r="E19" s="132">
        <v>1587</v>
      </c>
      <c r="F19" s="132">
        <v>285.2</v>
      </c>
      <c r="G19" s="132">
        <v>222.1</v>
      </c>
      <c r="H19" s="132">
        <v>342.2</v>
      </c>
      <c r="I19" s="132">
        <v>1601.5</v>
      </c>
      <c r="J19" s="132">
        <v>1281.5999999999999</v>
      </c>
      <c r="K19" s="132">
        <v>1896.8</v>
      </c>
      <c r="L19" s="132">
        <v>292.2</v>
      </c>
      <c r="M19" s="132">
        <v>247.9</v>
      </c>
      <c r="N19" s="132">
        <v>334.9</v>
      </c>
      <c r="O19" s="132">
        <v>193.9</v>
      </c>
      <c r="P19" s="132">
        <v>139.30000000000001</v>
      </c>
      <c r="Q19" s="132">
        <v>270.39999999999998</v>
      </c>
      <c r="R19" s="132">
        <v>31.6</v>
      </c>
      <c r="S19" s="132">
        <v>10.3</v>
      </c>
      <c r="T19" s="132">
        <v>105</v>
      </c>
      <c r="U19" s="132">
        <v>50.4</v>
      </c>
      <c r="V19" s="132">
        <v>41.3</v>
      </c>
      <c r="W19" s="132">
        <v>64.3</v>
      </c>
      <c r="X19" s="132">
        <v>135.6</v>
      </c>
      <c r="Y19" s="132">
        <v>106.7</v>
      </c>
      <c r="Z19" s="132">
        <v>164.5</v>
      </c>
      <c r="AA19" s="132">
        <v>296.10000000000002</v>
      </c>
      <c r="AB19" s="132">
        <v>256.39999999999998</v>
      </c>
      <c r="AC19" s="132">
        <v>340.9</v>
      </c>
      <c r="AD19" s="132">
        <v>565.1</v>
      </c>
      <c r="AE19" s="132">
        <v>457.5</v>
      </c>
      <c r="AF19" s="132">
        <v>655.29999999999995</v>
      </c>
      <c r="AG19" s="132">
        <v>1137.5999999999999</v>
      </c>
      <c r="AH19" s="132">
        <v>814.8</v>
      </c>
      <c r="AI19" s="132">
        <v>1387.2</v>
      </c>
      <c r="AJ19" s="132">
        <v>12.1459979451802</v>
      </c>
      <c r="AK19" s="132">
        <v>6.8355563288061196</v>
      </c>
      <c r="AL19" s="132">
        <v>42.719731923485597</v>
      </c>
      <c r="AM19" s="132">
        <v>6.9</v>
      </c>
      <c r="AN19" s="132">
        <v>4.5999999999999996</v>
      </c>
      <c r="AO19" s="132">
        <v>13.1</v>
      </c>
    </row>
    <row r="20" spans="1:41">
      <c r="A20" s="131">
        <v>45108</v>
      </c>
      <c r="B20" s="82">
        <f t="shared" si="0"/>
        <v>2023</v>
      </c>
      <c r="C20" s="132">
        <v>1431.7</v>
      </c>
      <c r="D20" s="132">
        <v>1259.8</v>
      </c>
      <c r="E20" s="132">
        <v>1585</v>
      </c>
      <c r="F20" s="132">
        <v>295.39999999999998</v>
      </c>
      <c r="G20" s="132">
        <v>233.6</v>
      </c>
      <c r="H20" s="132">
        <v>351.6</v>
      </c>
      <c r="I20" s="132">
        <v>1676</v>
      </c>
      <c r="J20" s="132">
        <v>1362.9</v>
      </c>
      <c r="K20" s="132">
        <v>1966.4</v>
      </c>
      <c r="L20" s="132">
        <v>286.8</v>
      </c>
      <c r="M20" s="132">
        <v>241.2</v>
      </c>
      <c r="N20" s="132">
        <v>330.7</v>
      </c>
      <c r="O20" s="132">
        <v>164.4</v>
      </c>
      <c r="P20" s="132">
        <v>118.3</v>
      </c>
      <c r="Q20" s="132">
        <v>229.1</v>
      </c>
      <c r="R20" s="132">
        <v>31.7</v>
      </c>
      <c r="S20" s="132">
        <v>10</v>
      </c>
      <c r="T20" s="132">
        <v>108.7</v>
      </c>
      <c r="U20" s="132">
        <v>50.6</v>
      </c>
      <c r="V20" s="132">
        <v>41.4</v>
      </c>
      <c r="W20" s="132">
        <v>64.599999999999994</v>
      </c>
      <c r="X20" s="132">
        <v>134.4</v>
      </c>
      <c r="Y20" s="132">
        <v>105.6</v>
      </c>
      <c r="Z20" s="132">
        <v>163.30000000000001</v>
      </c>
      <c r="AA20" s="132">
        <v>297.5</v>
      </c>
      <c r="AB20" s="132">
        <v>257.60000000000002</v>
      </c>
      <c r="AC20" s="132">
        <v>342.4</v>
      </c>
      <c r="AD20" s="132">
        <v>556.6</v>
      </c>
      <c r="AE20" s="132">
        <v>446.9</v>
      </c>
      <c r="AF20" s="132">
        <v>647.9</v>
      </c>
      <c r="AG20" s="132">
        <v>1135.3</v>
      </c>
      <c r="AH20" s="132">
        <v>811.6</v>
      </c>
      <c r="AI20" s="132">
        <v>1385.3</v>
      </c>
      <c r="AJ20" s="132">
        <v>11.9979004914237</v>
      </c>
      <c r="AK20" s="132">
        <v>6.7665951404931901</v>
      </c>
      <c r="AL20" s="132">
        <v>41.736920756596099</v>
      </c>
      <c r="AM20" s="132">
        <v>7</v>
      </c>
      <c r="AN20" s="132">
        <v>4.5999999999999996</v>
      </c>
      <c r="AO20" s="132">
        <v>13.6</v>
      </c>
    </row>
    <row r="21" spans="1:41">
      <c r="A21" s="131">
        <v>45139</v>
      </c>
      <c r="B21" s="82">
        <f t="shared" si="0"/>
        <v>2023</v>
      </c>
      <c r="C21" s="132">
        <v>1431</v>
      </c>
      <c r="D21" s="132">
        <v>1255.9000000000001</v>
      </c>
      <c r="E21" s="132">
        <v>1586.8</v>
      </c>
      <c r="F21" s="132">
        <v>280.5</v>
      </c>
      <c r="G21" s="132">
        <v>216.8</v>
      </c>
      <c r="H21" s="132">
        <v>337.9</v>
      </c>
      <c r="I21" s="132">
        <v>1593.6</v>
      </c>
      <c r="J21" s="132">
        <v>1272.7</v>
      </c>
      <c r="K21" s="132">
        <v>1889.5</v>
      </c>
      <c r="L21" s="132">
        <v>286.89999999999998</v>
      </c>
      <c r="M21" s="132">
        <v>240.2</v>
      </c>
      <c r="N21" s="132">
        <v>331.8</v>
      </c>
      <c r="O21" s="132">
        <v>155.1</v>
      </c>
      <c r="P21" s="132">
        <v>111.6</v>
      </c>
      <c r="Q21" s="132">
        <v>216</v>
      </c>
      <c r="R21" s="132">
        <v>31.5</v>
      </c>
      <c r="S21" s="132">
        <v>9.6999999999999993</v>
      </c>
      <c r="T21" s="132">
        <v>111.8</v>
      </c>
      <c r="U21" s="132">
        <v>50.9</v>
      </c>
      <c r="V21" s="132">
        <v>41.6</v>
      </c>
      <c r="W21" s="132">
        <v>65.099999999999994</v>
      </c>
      <c r="X21" s="132">
        <v>129.19999999999999</v>
      </c>
      <c r="Y21" s="132">
        <v>100.3</v>
      </c>
      <c r="Z21" s="132">
        <v>158</v>
      </c>
      <c r="AA21" s="132">
        <v>290.5</v>
      </c>
      <c r="AB21" s="132">
        <v>251.4</v>
      </c>
      <c r="AC21" s="132">
        <v>334.5</v>
      </c>
      <c r="AD21" s="132">
        <v>542.20000000000005</v>
      </c>
      <c r="AE21" s="132">
        <v>428.9</v>
      </c>
      <c r="AF21" s="132">
        <v>635.70000000000005</v>
      </c>
      <c r="AG21" s="132">
        <v>1079</v>
      </c>
      <c r="AH21" s="132">
        <v>730.9</v>
      </c>
      <c r="AI21" s="132">
        <v>1339.6</v>
      </c>
      <c r="AJ21" s="132">
        <v>11.9409256758467</v>
      </c>
      <c r="AK21" s="132">
        <v>6.7286453363455498</v>
      </c>
      <c r="AL21" s="132">
        <v>41.724129717606203</v>
      </c>
      <c r="AM21" s="132">
        <v>6.8</v>
      </c>
      <c r="AN21" s="132">
        <v>4.5</v>
      </c>
      <c r="AO21" s="132">
        <v>12.9</v>
      </c>
    </row>
    <row r="22" spans="1:41">
      <c r="A22" s="131">
        <v>45170</v>
      </c>
      <c r="B22" s="82">
        <f t="shared" si="0"/>
        <v>2023</v>
      </c>
      <c r="C22" s="132">
        <v>1404.6</v>
      </c>
      <c r="D22" s="132">
        <v>1222.7</v>
      </c>
      <c r="E22" s="132">
        <v>1565.5</v>
      </c>
      <c r="F22" s="132">
        <v>289.8</v>
      </c>
      <c r="G22" s="132">
        <v>227.3</v>
      </c>
      <c r="H22" s="132">
        <v>346.4</v>
      </c>
      <c r="I22" s="132">
        <v>1639.8</v>
      </c>
      <c r="J22" s="132">
        <v>1323.3</v>
      </c>
      <c r="K22" s="132">
        <v>1932.7</v>
      </c>
      <c r="L22" s="132">
        <v>293.3</v>
      </c>
      <c r="M22" s="132">
        <v>245.9</v>
      </c>
      <c r="N22" s="132">
        <v>339</v>
      </c>
      <c r="O22" s="132">
        <v>171</v>
      </c>
      <c r="P22" s="132">
        <v>122.9</v>
      </c>
      <c r="Q22" s="132">
        <v>238.2</v>
      </c>
      <c r="R22" s="132">
        <v>31.6</v>
      </c>
      <c r="S22" s="132">
        <v>9.5</v>
      </c>
      <c r="T22" s="132">
        <v>115.7</v>
      </c>
      <c r="U22" s="132">
        <v>50.9</v>
      </c>
      <c r="V22" s="132">
        <v>41.6</v>
      </c>
      <c r="W22" s="132">
        <v>65.2</v>
      </c>
      <c r="X22" s="132">
        <v>143.6</v>
      </c>
      <c r="Y22" s="132">
        <v>114.7</v>
      </c>
      <c r="Z22" s="132">
        <v>172.5</v>
      </c>
      <c r="AA22" s="132">
        <v>312</v>
      </c>
      <c r="AB22" s="132">
        <v>270.5</v>
      </c>
      <c r="AC22" s="132">
        <v>358.8</v>
      </c>
      <c r="AD22" s="132">
        <v>555.5</v>
      </c>
      <c r="AE22" s="132">
        <v>445.6</v>
      </c>
      <c r="AF22" s="132">
        <v>647.1</v>
      </c>
      <c r="AG22" s="132">
        <v>1101.5999999999999</v>
      </c>
      <c r="AH22" s="132">
        <v>763.8</v>
      </c>
      <c r="AI22" s="132">
        <v>1357.8</v>
      </c>
      <c r="AJ22" s="132">
        <v>11.930427292933301</v>
      </c>
      <c r="AK22" s="132">
        <v>6.7066213870553701</v>
      </c>
      <c r="AL22" s="132">
        <v>42.2108042191268</v>
      </c>
      <c r="AM22" s="132">
        <v>7</v>
      </c>
      <c r="AN22" s="132">
        <v>4.5999999999999996</v>
      </c>
      <c r="AO22" s="132">
        <v>13.8</v>
      </c>
    </row>
    <row r="23" spans="1:41">
      <c r="A23" s="131">
        <v>45200</v>
      </c>
      <c r="B23" s="82">
        <f t="shared" si="0"/>
        <v>2023</v>
      </c>
      <c r="C23" s="132">
        <v>1481</v>
      </c>
      <c r="D23" s="132">
        <v>1306.9000000000001</v>
      </c>
      <c r="E23" s="132">
        <v>1636.7</v>
      </c>
      <c r="F23" s="132">
        <v>292.60000000000002</v>
      </c>
      <c r="G23" s="132">
        <v>230.5</v>
      </c>
      <c r="H23" s="132">
        <v>349</v>
      </c>
      <c r="I23" s="132">
        <v>1656.2</v>
      </c>
      <c r="J23" s="132">
        <v>1341.2</v>
      </c>
      <c r="K23" s="132">
        <v>1948</v>
      </c>
      <c r="L23" s="132">
        <v>300.39999999999998</v>
      </c>
      <c r="M23" s="132">
        <v>252.2</v>
      </c>
      <c r="N23" s="132">
        <v>346.7</v>
      </c>
      <c r="O23" s="132">
        <v>187.6</v>
      </c>
      <c r="P23" s="132">
        <v>134.80000000000001</v>
      </c>
      <c r="Q23" s="132">
        <v>261.5</v>
      </c>
      <c r="R23" s="132">
        <v>32.1</v>
      </c>
      <c r="S23" s="132">
        <v>9.3000000000000007</v>
      </c>
      <c r="T23" s="132">
        <v>121.4</v>
      </c>
      <c r="U23" s="132">
        <v>50.3</v>
      </c>
      <c r="V23" s="132">
        <v>41.2</v>
      </c>
      <c r="W23" s="132">
        <v>64.099999999999994</v>
      </c>
      <c r="X23" s="132">
        <v>141.80000000000001</v>
      </c>
      <c r="Y23" s="132">
        <v>113</v>
      </c>
      <c r="Z23" s="132">
        <v>170.7</v>
      </c>
      <c r="AA23" s="132">
        <v>302.7</v>
      </c>
      <c r="AB23" s="132">
        <v>262.3</v>
      </c>
      <c r="AC23" s="132">
        <v>348.4</v>
      </c>
      <c r="AD23" s="132">
        <v>546.5</v>
      </c>
      <c r="AE23" s="132">
        <v>434.3</v>
      </c>
      <c r="AF23" s="132">
        <v>639.29999999999995</v>
      </c>
      <c r="AG23" s="132">
        <v>1067.8</v>
      </c>
      <c r="AH23" s="132">
        <v>714.2</v>
      </c>
      <c r="AI23" s="132">
        <v>1330.6</v>
      </c>
      <c r="AJ23" s="132">
        <v>11.955322341360199</v>
      </c>
      <c r="AK23" s="132">
        <v>6.6966210381474998</v>
      </c>
      <c r="AL23" s="132">
        <v>43.106659836627898</v>
      </c>
      <c r="AM23" s="132">
        <v>7.3</v>
      </c>
      <c r="AN23" s="132">
        <v>4.7</v>
      </c>
      <c r="AO23" s="132">
        <v>14.7</v>
      </c>
    </row>
    <row r="24" spans="1:41">
      <c r="A24" s="131">
        <v>45231</v>
      </c>
      <c r="B24" s="82">
        <f t="shared" si="0"/>
        <v>2023</v>
      </c>
      <c r="C24" s="132">
        <v>1522.3</v>
      </c>
      <c r="D24" s="132">
        <v>1350.8</v>
      </c>
      <c r="E24" s="132">
        <v>1676.3</v>
      </c>
      <c r="F24" s="132">
        <v>328.6</v>
      </c>
      <c r="G24" s="132">
        <v>270.3</v>
      </c>
      <c r="H24" s="132">
        <v>382.2</v>
      </c>
      <c r="I24" s="132">
        <v>1768</v>
      </c>
      <c r="J24" s="132">
        <v>1462.6</v>
      </c>
      <c r="K24" s="132">
        <v>2052.8000000000002</v>
      </c>
      <c r="L24" s="132">
        <v>320.5</v>
      </c>
      <c r="M24" s="132">
        <v>272.2</v>
      </c>
      <c r="N24" s="132">
        <v>367.1</v>
      </c>
      <c r="O24" s="132">
        <v>279.3</v>
      </c>
      <c r="P24" s="132">
        <v>200.3</v>
      </c>
      <c r="Q24" s="132">
        <v>390.4</v>
      </c>
      <c r="R24" s="132">
        <v>31.8</v>
      </c>
      <c r="S24" s="132">
        <v>9</v>
      </c>
      <c r="T24" s="132">
        <v>123.6</v>
      </c>
      <c r="U24" s="132">
        <v>57</v>
      </c>
      <c r="V24" s="132">
        <v>45.7</v>
      </c>
      <c r="W24" s="132">
        <v>75.099999999999994</v>
      </c>
      <c r="X24" s="132">
        <v>146.1</v>
      </c>
      <c r="Y24" s="132">
        <v>117.3</v>
      </c>
      <c r="Z24" s="132">
        <v>175</v>
      </c>
      <c r="AA24" s="132">
        <v>322.5</v>
      </c>
      <c r="AB24" s="132">
        <v>279.8</v>
      </c>
      <c r="AC24" s="132">
        <v>370.5</v>
      </c>
      <c r="AD24" s="132">
        <v>601.79999999999995</v>
      </c>
      <c r="AE24" s="132">
        <v>502.1</v>
      </c>
      <c r="AF24" s="132">
        <v>687.2</v>
      </c>
      <c r="AG24" s="132">
        <v>1241.4000000000001</v>
      </c>
      <c r="AH24" s="132">
        <v>954.4</v>
      </c>
      <c r="AI24" s="132">
        <v>1473.5</v>
      </c>
      <c r="AJ24" s="132">
        <v>12.069340319613501</v>
      </c>
      <c r="AK24" s="132">
        <v>6.71607392424308</v>
      </c>
      <c r="AL24" s="132">
        <v>45.1081054060814</v>
      </c>
      <c r="AM24" s="132">
        <v>6.8</v>
      </c>
      <c r="AN24" s="132">
        <v>4.5</v>
      </c>
      <c r="AO24" s="132">
        <v>13.2</v>
      </c>
    </row>
    <row r="25" spans="1:41">
      <c r="A25" s="131">
        <v>45261</v>
      </c>
      <c r="B25" s="82">
        <f t="shared" si="0"/>
        <v>2023</v>
      </c>
      <c r="C25" s="132">
        <v>1607.2</v>
      </c>
      <c r="D25" s="132">
        <v>1443.3</v>
      </c>
      <c r="E25" s="132">
        <v>1755.9</v>
      </c>
      <c r="F25" s="132">
        <v>390.1</v>
      </c>
      <c r="G25" s="132">
        <v>337</v>
      </c>
      <c r="H25" s="132">
        <v>439.9</v>
      </c>
      <c r="I25" s="132">
        <v>1922.3</v>
      </c>
      <c r="J25" s="132">
        <v>1628.7</v>
      </c>
      <c r="K25" s="132">
        <v>2198.4</v>
      </c>
      <c r="L25" s="132">
        <v>345.2</v>
      </c>
      <c r="M25" s="132">
        <v>296.89999999999998</v>
      </c>
      <c r="N25" s="132">
        <v>391.9</v>
      </c>
      <c r="O25" s="132">
        <v>396.8</v>
      </c>
      <c r="P25" s="132">
        <v>283.89999999999998</v>
      </c>
      <c r="Q25" s="132">
        <v>555.6</v>
      </c>
      <c r="R25" s="132">
        <v>33</v>
      </c>
      <c r="S25" s="132">
        <v>9.1</v>
      </c>
      <c r="T25" s="132">
        <v>132.80000000000001</v>
      </c>
      <c r="U25" s="132">
        <v>67.3</v>
      </c>
      <c r="V25" s="132">
        <v>52.2</v>
      </c>
      <c r="W25" s="132">
        <v>93.4</v>
      </c>
      <c r="X25" s="132">
        <v>175.8</v>
      </c>
      <c r="Y25" s="132">
        <v>146.9</v>
      </c>
      <c r="Z25" s="132">
        <v>204.6</v>
      </c>
      <c r="AA25" s="132">
        <v>367.2</v>
      </c>
      <c r="AB25" s="132">
        <v>319.5</v>
      </c>
      <c r="AC25" s="132">
        <v>420.8</v>
      </c>
      <c r="AD25" s="132">
        <v>669.2</v>
      </c>
      <c r="AE25" s="132">
        <v>581.20000000000005</v>
      </c>
      <c r="AF25" s="132">
        <v>746.9</v>
      </c>
      <c r="AG25" s="132">
        <v>1576.3</v>
      </c>
      <c r="AH25" s="132">
        <v>1361.8</v>
      </c>
      <c r="AI25" s="132">
        <v>1764.9</v>
      </c>
      <c r="AJ25" s="132">
        <v>12.075167073571199</v>
      </c>
      <c r="AK25" s="132">
        <v>6.69986149455824</v>
      </c>
      <c r="AL25" s="132">
        <v>45.868508448289298</v>
      </c>
      <c r="AM25" s="132">
        <v>7</v>
      </c>
      <c r="AN25" s="132">
        <v>4.5999999999999996</v>
      </c>
      <c r="AO25" s="132">
        <v>13.9</v>
      </c>
    </row>
    <row r="26" spans="1:41">
      <c r="A26" s="131">
        <v>45292</v>
      </c>
      <c r="B26" s="82">
        <f t="shared" si="0"/>
        <v>2024</v>
      </c>
      <c r="C26" s="132">
        <v>1692</v>
      </c>
      <c r="D26" s="132">
        <v>1531.6</v>
      </c>
      <c r="E26" s="132">
        <v>1838.4</v>
      </c>
      <c r="F26" s="132">
        <v>441.3</v>
      </c>
      <c r="G26" s="132">
        <v>387.8</v>
      </c>
      <c r="H26" s="132">
        <v>491.8</v>
      </c>
      <c r="I26" s="132">
        <v>2116.5</v>
      </c>
      <c r="J26" s="132">
        <v>1817.6</v>
      </c>
      <c r="K26" s="132">
        <v>2398.8000000000002</v>
      </c>
      <c r="L26" s="132">
        <v>369</v>
      </c>
      <c r="M26" s="132">
        <v>319.39999999999998</v>
      </c>
      <c r="N26" s="132">
        <v>417</v>
      </c>
      <c r="O26" s="132">
        <v>425.3</v>
      </c>
      <c r="P26" s="132">
        <v>300.10000000000002</v>
      </c>
      <c r="Q26" s="132">
        <v>603.9</v>
      </c>
      <c r="R26" s="132">
        <v>32.5</v>
      </c>
      <c r="S26" s="132">
        <v>8.6999999999999993</v>
      </c>
      <c r="T26" s="132">
        <v>136</v>
      </c>
      <c r="U26" s="132">
        <v>75.7</v>
      </c>
      <c r="V26" s="132">
        <v>57.1</v>
      </c>
      <c r="W26" s="132">
        <v>110.7</v>
      </c>
      <c r="X26" s="132">
        <v>184.1</v>
      </c>
      <c r="Y26" s="132">
        <v>154</v>
      </c>
      <c r="Z26" s="132">
        <v>214.1</v>
      </c>
      <c r="AA26" s="132">
        <v>360</v>
      </c>
      <c r="AB26" s="132">
        <v>310.5</v>
      </c>
      <c r="AC26" s="132">
        <v>416</v>
      </c>
      <c r="AD26" s="132">
        <v>718.1</v>
      </c>
      <c r="AE26" s="132">
        <v>636</v>
      </c>
      <c r="AF26" s="132">
        <v>791.8</v>
      </c>
      <c r="AG26" s="132">
        <v>1575</v>
      </c>
      <c r="AH26" s="132">
        <v>1325.9</v>
      </c>
      <c r="AI26" s="132">
        <v>1789.8</v>
      </c>
      <c r="AJ26" s="132">
        <v>12.069165791516401</v>
      </c>
      <c r="AK26" s="132">
        <v>6.6734225716392102</v>
      </c>
      <c r="AL26" s="132">
        <v>46.759070335515197</v>
      </c>
      <c r="AM26" s="132">
        <v>7.1</v>
      </c>
      <c r="AN26" s="132">
        <v>4.5999999999999996</v>
      </c>
      <c r="AO26" s="132">
        <v>14.7</v>
      </c>
    </row>
    <row r="27" spans="1:41">
      <c r="A27" s="131">
        <v>45323</v>
      </c>
      <c r="B27" s="82">
        <f t="shared" si="0"/>
        <v>2024</v>
      </c>
      <c r="C27" s="132">
        <v>1594.5</v>
      </c>
      <c r="D27" s="132">
        <v>1419.4</v>
      </c>
      <c r="E27" s="132">
        <v>1752.3</v>
      </c>
      <c r="F27" s="132">
        <v>399.4</v>
      </c>
      <c r="G27" s="132">
        <v>342</v>
      </c>
      <c r="H27" s="132">
        <v>453.1</v>
      </c>
      <c r="I27" s="132">
        <v>1948.1</v>
      </c>
      <c r="J27" s="132">
        <v>1629.7</v>
      </c>
      <c r="K27" s="132">
        <v>2246.3000000000002</v>
      </c>
      <c r="L27" s="132">
        <v>351.4</v>
      </c>
      <c r="M27" s="132">
        <v>299.7</v>
      </c>
      <c r="N27" s="132">
        <v>401.3</v>
      </c>
      <c r="O27" s="132">
        <v>401.3</v>
      </c>
      <c r="P27" s="132">
        <v>283</v>
      </c>
      <c r="Q27" s="132">
        <v>570.4</v>
      </c>
      <c r="R27" s="132">
        <v>32.5</v>
      </c>
      <c r="S27" s="132">
        <v>8.4</v>
      </c>
      <c r="T27" s="132">
        <v>140.19999999999999</v>
      </c>
      <c r="U27" s="132">
        <v>72.8</v>
      </c>
      <c r="V27" s="132">
        <v>55.3</v>
      </c>
      <c r="W27" s="132">
        <v>104.9</v>
      </c>
      <c r="X27" s="132">
        <v>177.7</v>
      </c>
      <c r="Y27" s="132">
        <v>147.69999999999999</v>
      </c>
      <c r="Z27" s="132">
        <v>207.8</v>
      </c>
      <c r="AA27" s="132">
        <v>342.4</v>
      </c>
      <c r="AB27" s="132">
        <v>294.89999999999998</v>
      </c>
      <c r="AC27" s="132">
        <v>396</v>
      </c>
      <c r="AD27" s="132">
        <v>672</v>
      </c>
      <c r="AE27" s="132">
        <v>583.4</v>
      </c>
      <c r="AF27" s="132">
        <v>750.2</v>
      </c>
      <c r="AG27" s="132">
        <v>1381.7</v>
      </c>
      <c r="AH27" s="132">
        <v>1089.2</v>
      </c>
      <c r="AI27" s="132">
        <v>1622.3</v>
      </c>
      <c r="AJ27" s="132">
        <v>12.042675407349799</v>
      </c>
      <c r="AK27" s="132">
        <v>6.6431290346319196</v>
      </c>
      <c r="AL27" s="132">
        <v>47.298294800024301</v>
      </c>
      <c r="AM27" s="132">
        <v>7.1</v>
      </c>
      <c r="AN27" s="132">
        <v>4.5</v>
      </c>
      <c r="AO27" s="132">
        <v>15</v>
      </c>
    </row>
    <row r="28" spans="1:41">
      <c r="A28" s="131">
        <v>45352</v>
      </c>
      <c r="B28" s="82">
        <f t="shared" si="0"/>
        <v>2024</v>
      </c>
      <c r="C28" s="132">
        <v>1617.4</v>
      </c>
      <c r="D28" s="132">
        <v>1441.9</v>
      </c>
      <c r="E28" s="132">
        <v>1775.7</v>
      </c>
      <c r="F28" s="132">
        <v>365.5</v>
      </c>
      <c r="G28" s="132">
        <v>304.89999999999998</v>
      </c>
      <c r="H28" s="132">
        <v>421.6</v>
      </c>
      <c r="I28" s="132">
        <v>1914.6</v>
      </c>
      <c r="J28" s="132">
        <v>1590.1</v>
      </c>
      <c r="K28" s="132">
        <v>2217.6999999999998</v>
      </c>
      <c r="L28" s="132">
        <v>345.9</v>
      </c>
      <c r="M28" s="132">
        <v>292.7</v>
      </c>
      <c r="N28" s="132">
        <v>397.1</v>
      </c>
      <c r="O28" s="132">
        <v>344.4</v>
      </c>
      <c r="P28" s="132">
        <v>243.1</v>
      </c>
      <c r="Q28" s="132">
        <v>489</v>
      </c>
      <c r="R28" s="132">
        <v>32.4</v>
      </c>
      <c r="S28" s="132">
        <v>8.1999999999999993</v>
      </c>
      <c r="T28" s="132">
        <v>144.1</v>
      </c>
      <c r="U28" s="132">
        <v>67.5</v>
      </c>
      <c r="V28" s="132">
        <v>52.1</v>
      </c>
      <c r="W28" s="132">
        <v>94.6</v>
      </c>
      <c r="X28" s="132">
        <v>165.5</v>
      </c>
      <c r="Y28" s="132">
        <v>135.4</v>
      </c>
      <c r="Z28" s="132">
        <v>195.5</v>
      </c>
      <c r="AA28" s="132">
        <v>332.2</v>
      </c>
      <c r="AB28" s="132">
        <v>286</v>
      </c>
      <c r="AC28" s="132">
        <v>384.5</v>
      </c>
      <c r="AD28" s="132">
        <v>650.20000000000005</v>
      </c>
      <c r="AE28" s="132">
        <v>558.20000000000005</v>
      </c>
      <c r="AF28" s="132">
        <v>730.8</v>
      </c>
      <c r="AG28" s="132">
        <v>1302.2</v>
      </c>
      <c r="AH28" s="132">
        <v>986.4</v>
      </c>
      <c r="AI28" s="132">
        <v>1555.1</v>
      </c>
      <c r="AJ28" s="132">
        <v>12.0407705554377</v>
      </c>
      <c r="AK28" s="132">
        <v>6.6224280563674203</v>
      </c>
      <c r="AL28" s="132">
        <v>48.125345772780001</v>
      </c>
      <c r="AM28" s="132">
        <v>7.1</v>
      </c>
      <c r="AN28" s="132">
        <v>4.5</v>
      </c>
      <c r="AO28" s="132">
        <v>15.2</v>
      </c>
    </row>
    <row r="29" spans="1:41">
      <c r="A29" s="131">
        <v>45383</v>
      </c>
      <c r="B29" s="82">
        <f t="shared" si="0"/>
        <v>2024</v>
      </c>
      <c r="C29" s="132">
        <v>1525.6</v>
      </c>
      <c r="D29" s="132">
        <v>1334.8</v>
      </c>
      <c r="E29" s="132">
        <v>1695.1</v>
      </c>
      <c r="F29" s="132">
        <v>342.4</v>
      </c>
      <c r="G29" s="132">
        <v>279.5</v>
      </c>
      <c r="H29" s="132">
        <v>400.1</v>
      </c>
      <c r="I29" s="132">
        <v>1821.8</v>
      </c>
      <c r="J29" s="132">
        <v>1488</v>
      </c>
      <c r="K29" s="132">
        <v>2131.9</v>
      </c>
      <c r="L29" s="132">
        <v>328.6</v>
      </c>
      <c r="M29" s="132">
        <v>273.5</v>
      </c>
      <c r="N29" s="132">
        <v>381.6</v>
      </c>
      <c r="O29" s="132">
        <v>301.5</v>
      </c>
      <c r="P29" s="132">
        <v>213</v>
      </c>
      <c r="Q29" s="132">
        <v>427.7</v>
      </c>
      <c r="R29" s="132">
        <v>32.4</v>
      </c>
      <c r="S29" s="132">
        <v>8</v>
      </c>
      <c r="T29" s="132">
        <v>148.6</v>
      </c>
      <c r="U29" s="132">
        <v>58.7</v>
      </c>
      <c r="V29" s="132">
        <v>46.6</v>
      </c>
      <c r="W29" s="132">
        <v>78.599999999999994</v>
      </c>
      <c r="X29" s="132">
        <v>156.1</v>
      </c>
      <c r="Y29" s="132">
        <v>126</v>
      </c>
      <c r="Z29" s="132">
        <v>186.1</v>
      </c>
      <c r="AA29" s="132">
        <v>322.89999999999998</v>
      </c>
      <c r="AB29" s="132">
        <v>277.7</v>
      </c>
      <c r="AC29" s="132">
        <v>374</v>
      </c>
      <c r="AD29" s="132">
        <v>621.70000000000005</v>
      </c>
      <c r="AE29" s="132">
        <v>524.70000000000005</v>
      </c>
      <c r="AF29" s="132">
        <v>705.5</v>
      </c>
      <c r="AG29" s="132">
        <v>1239.4000000000001</v>
      </c>
      <c r="AH29" s="132">
        <v>901.9</v>
      </c>
      <c r="AI29" s="132">
        <v>1502.9</v>
      </c>
      <c r="AJ29" s="132">
        <v>12.036438365835799</v>
      </c>
      <c r="AK29" s="132">
        <v>6.6021349788516801</v>
      </c>
      <c r="AL29" s="132">
        <v>48.897717376657603</v>
      </c>
      <c r="AM29" s="132">
        <v>7.1</v>
      </c>
      <c r="AN29" s="132">
        <v>4.5</v>
      </c>
      <c r="AO29" s="132">
        <v>15.3</v>
      </c>
    </row>
    <row r="30" spans="1:41">
      <c r="A30" s="131">
        <v>45413</v>
      </c>
      <c r="B30" s="82">
        <f t="shared" si="0"/>
        <v>2024</v>
      </c>
      <c r="C30" s="132">
        <v>1500</v>
      </c>
      <c r="D30" s="132">
        <v>1302.2</v>
      </c>
      <c r="E30" s="132">
        <v>1674.6</v>
      </c>
      <c r="F30" s="132">
        <v>311.10000000000002</v>
      </c>
      <c r="G30" s="132">
        <v>244.8</v>
      </c>
      <c r="H30" s="132">
        <v>371.3</v>
      </c>
      <c r="I30" s="132">
        <v>1710.5</v>
      </c>
      <c r="J30" s="132">
        <v>1365.7</v>
      </c>
      <c r="K30" s="132">
        <v>2028.5</v>
      </c>
      <c r="L30" s="132">
        <v>315.10000000000002</v>
      </c>
      <c r="M30" s="132">
        <v>258.10000000000002</v>
      </c>
      <c r="N30" s="132">
        <v>369.6</v>
      </c>
      <c r="O30" s="132">
        <v>244.6</v>
      </c>
      <c r="P30" s="132">
        <v>173</v>
      </c>
      <c r="Q30" s="132">
        <v>346.5</v>
      </c>
      <c r="R30" s="132">
        <v>32.200000000000003</v>
      </c>
      <c r="S30" s="132">
        <v>7.7</v>
      </c>
      <c r="T30" s="132">
        <v>152.30000000000001</v>
      </c>
      <c r="U30" s="132">
        <v>49.8</v>
      </c>
      <c r="V30" s="132">
        <v>40.6</v>
      </c>
      <c r="W30" s="132">
        <v>63.7</v>
      </c>
      <c r="X30" s="132">
        <v>143.5</v>
      </c>
      <c r="Y30" s="132">
        <v>113.5</v>
      </c>
      <c r="Z30" s="132">
        <v>173.6</v>
      </c>
      <c r="AA30" s="132">
        <v>300</v>
      </c>
      <c r="AB30" s="132">
        <v>257.60000000000002</v>
      </c>
      <c r="AC30" s="132">
        <v>348.1</v>
      </c>
      <c r="AD30" s="132">
        <v>558.4</v>
      </c>
      <c r="AE30" s="132">
        <v>447.9</v>
      </c>
      <c r="AF30" s="132">
        <v>650.4</v>
      </c>
      <c r="AG30" s="132">
        <v>1058.8</v>
      </c>
      <c r="AH30" s="132">
        <v>631.20000000000005</v>
      </c>
      <c r="AI30" s="132">
        <v>1357.9</v>
      </c>
      <c r="AJ30" s="132">
        <v>12.0765155743129</v>
      </c>
      <c r="AK30" s="132">
        <v>6.5970747704919699</v>
      </c>
      <c r="AL30" s="132">
        <v>50.308761842963101</v>
      </c>
      <c r="AM30" s="132">
        <v>7.1</v>
      </c>
      <c r="AN30" s="132">
        <v>4.5</v>
      </c>
      <c r="AO30" s="132">
        <v>15.4</v>
      </c>
    </row>
    <row r="31" spans="1:41">
      <c r="A31" s="131">
        <v>45444</v>
      </c>
      <c r="B31" s="82">
        <f t="shared" si="0"/>
        <v>2024</v>
      </c>
      <c r="C31" s="132">
        <v>1467.8</v>
      </c>
      <c r="D31" s="132">
        <v>1261.7</v>
      </c>
      <c r="E31" s="132">
        <v>1648.4</v>
      </c>
      <c r="F31" s="132">
        <v>291.10000000000002</v>
      </c>
      <c r="G31" s="132">
        <v>222.1</v>
      </c>
      <c r="H31" s="132">
        <v>352.9</v>
      </c>
      <c r="I31" s="132">
        <v>1619.7</v>
      </c>
      <c r="J31" s="132">
        <v>1265.4000000000001</v>
      </c>
      <c r="K31" s="132">
        <v>1944.4</v>
      </c>
      <c r="L31" s="132">
        <v>310.5</v>
      </c>
      <c r="M31" s="132">
        <v>252</v>
      </c>
      <c r="N31" s="132">
        <v>366.3</v>
      </c>
      <c r="O31" s="132">
        <v>193.9</v>
      </c>
      <c r="P31" s="132">
        <v>137.4</v>
      </c>
      <c r="Q31" s="132">
        <v>274.3</v>
      </c>
      <c r="R31" s="132">
        <v>32.200000000000003</v>
      </c>
      <c r="S31" s="132">
        <v>7.5</v>
      </c>
      <c r="T31" s="132">
        <v>156.9</v>
      </c>
      <c r="U31" s="132">
        <v>49.4</v>
      </c>
      <c r="V31" s="132">
        <v>40.4</v>
      </c>
      <c r="W31" s="132">
        <v>63.1</v>
      </c>
      <c r="X31" s="132">
        <v>133.69999999999999</v>
      </c>
      <c r="Y31" s="132">
        <v>103.6</v>
      </c>
      <c r="Z31" s="132">
        <v>163.69999999999999</v>
      </c>
      <c r="AA31" s="132">
        <v>296.10000000000002</v>
      </c>
      <c r="AB31" s="132">
        <v>254.2</v>
      </c>
      <c r="AC31" s="132">
        <v>343.7</v>
      </c>
      <c r="AD31" s="132">
        <v>565.20000000000005</v>
      </c>
      <c r="AE31" s="132">
        <v>456.3</v>
      </c>
      <c r="AF31" s="132">
        <v>656.3</v>
      </c>
      <c r="AG31" s="132">
        <v>1137.8</v>
      </c>
      <c r="AH31" s="132">
        <v>756.2</v>
      </c>
      <c r="AI31" s="132">
        <v>1420.3</v>
      </c>
      <c r="AJ31" s="132">
        <v>12.0551116514365</v>
      </c>
      <c r="AK31" s="132">
        <v>6.5726639141694303</v>
      </c>
      <c r="AL31" s="132">
        <v>50.831268086424998</v>
      </c>
      <c r="AM31" s="132">
        <v>7.1</v>
      </c>
      <c r="AN31" s="132">
        <v>4.5</v>
      </c>
      <c r="AO31" s="132">
        <v>15.4</v>
      </c>
    </row>
    <row r="32" spans="1:41">
      <c r="A32" s="131">
        <v>45474</v>
      </c>
      <c r="B32" s="82">
        <f t="shared" si="0"/>
        <v>2024</v>
      </c>
      <c r="C32" s="132">
        <v>1463</v>
      </c>
      <c r="D32" s="132">
        <v>1252.8</v>
      </c>
      <c r="E32" s="132">
        <v>1646.5</v>
      </c>
      <c r="F32" s="132">
        <v>298.8</v>
      </c>
      <c r="G32" s="132">
        <v>230.9</v>
      </c>
      <c r="H32" s="132">
        <v>360</v>
      </c>
      <c r="I32" s="132">
        <v>1691.6</v>
      </c>
      <c r="J32" s="132">
        <v>1344.5</v>
      </c>
      <c r="K32" s="132">
        <v>2011.2</v>
      </c>
      <c r="L32" s="132">
        <v>305.10000000000002</v>
      </c>
      <c r="M32" s="132">
        <v>245.2</v>
      </c>
      <c r="N32" s="132">
        <v>362.3</v>
      </c>
      <c r="O32" s="132">
        <v>164.4</v>
      </c>
      <c r="P32" s="132">
        <v>116.6</v>
      </c>
      <c r="Q32" s="132">
        <v>232.4</v>
      </c>
      <c r="R32" s="132">
        <v>32.200000000000003</v>
      </c>
      <c r="S32" s="132">
        <v>7.4</v>
      </c>
      <c r="T32" s="132">
        <v>161.6</v>
      </c>
      <c r="U32" s="132">
        <v>49.6</v>
      </c>
      <c r="V32" s="132">
        <v>40.5</v>
      </c>
      <c r="W32" s="132">
        <v>63.4</v>
      </c>
      <c r="X32" s="132">
        <v>131.69999999999999</v>
      </c>
      <c r="Y32" s="132">
        <v>101.6</v>
      </c>
      <c r="Z32" s="132">
        <v>161.69999999999999</v>
      </c>
      <c r="AA32" s="132">
        <v>297.5</v>
      </c>
      <c r="AB32" s="132">
        <v>255.4</v>
      </c>
      <c r="AC32" s="132">
        <v>345.3</v>
      </c>
      <c r="AD32" s="132">
        <v>556.4</v>
      </c>
      <c r="AE32" s="132">
        <v>445.3</v>
      </c>
      <c r="AF32" s="132">
        <v>648.70000000000005</v>
      </c>
      <c r="AG32" s="132">
        <v>1134.2</v>
      </c>
      <c r="AH32" s="132">
        <v>750.8</v>
      </c>
      <c r="AI32" s="132">
        <v>1417.4</v>
      </c>
      <c r="AJ32" s="132">
        <v>12.0303768057189</v>
      </c>
      <c r="AK32" s="132">
        <v>6.5474522923243503</v>
      </c>
      <c r="AL32" s="132">
        <v>51.305645280170403</v>
      </c>
      <c r="AM32" s="132">
        <v>7.1</v>
      </c>
      <c r="AN32" s="132">
        <v>4.5</v>
      </c>
      <c r="AO32" s="132">
        <v>15.5</v>
      </c>
    </row>
    <row r="33" spans="1:41">
      <c r="A33" s="131">
        <v>45505</v>
      </c>
      <c r="B33" s="82">
        <f t="shared" si="0"/>
        <v>2024</v>
      </c>
      <c r="C33" s="132">
        <v>1462.3</v>
      </c>
      <c r="D33" s="132">
        <v>1248.8</v>
      </c>
      <c r="E33" s="132">
        <v>1648.4</v>
      </c>
      <c r="F33" s="132">
        <v>283.5</v>
      </c>
      <c r="G33" s="132">
        <v>213.5</v>
      </c>
      <c r="H33" s="132">
        <v>346</v>
      </c>
      <c r="I33" s="132">
        <v>1603.7</v>
      </c>
      <c r="J33" s="132">
        <v>1247.4000000000001</v>
      </c>
      <c r="K33" s="132">
        <v>1929.7</v>
      </c>
      <c r="L33" s="132">
        <v>305.2</v>
      </c>
      <c r="M33" s="132">
        <v>244.1</v>
      </c>
      <c r="N33" s="132">
        <v>363.4</v>
      </c>
      <c r="O33" s="132">
        <v>155.1</v>
      </c>
      <c r="P33" s="132">
        <v>110</v>
      </c>
      <c r="Q33" s="132">
        <v>219.1</v>
      </c>
      <c r="R33" s="132">
        <v>32.200000000000003</v>
      </c>
      <c r="S33" s="132">
        <v>7.2</v>
      </c>
      <c r="T33" s="132">
        <v>166.1</v>
      </c>
      <c r="U33" s="132">
        <v>49.9</v>
      </c>
      <c r="V33" s="132">
        <v>40.700000000000003</v>
      </c>
      <c r="W33" s="132">
        <v>63.9</v>
      </c>
      <c r="X33" s="132">
        <v>126.2</v>
      </c>
      <c r="Y33" s="132">
        <v>96.2</v>
      </c>
      <c r="Z33" s="132">
        <v>156.30000000000001</v>
      </c>
      <c r="AA33" s="132">
        <v>290.5</v>
      </c>
      <c r="AB33" s="132">
        <v>249.2</v>
      </c>
      <c r="AC33" s="132">
        <v>337.3</v>
      </c>
      <c r="AD33" s="132">
        <v>542.20000000000005</v>
      </c>
      <c r="AE33" s="132">
        <v>427.4</v>
      </c>
      <c r="AF33" s="132">
        <v>636.6</v>
      </c>
      <c r="AG33" s="132">
        <v>1077.7</v>
      </c>
      <c r="AH33" s="132">
        <v>662.3</v>
      </c>
      <c r="AI33" s="132">
        <v>1372.6</v>
      </c>
      <c r="AJ33" s="132">
        <v>12.0207320354593</v>
      </c>
      <c r="AK33" s="132">
        <v>6.5272224489635802</v>
      </c>
      <c r="AL33" s="132">
        <v>52.025309813509601</v>
      </c>
      <c r="AM33" s="132">
        <v>7.1</v>
      </c>
      <c r="AN33" s="132">
        <v>4.5</v>
      </c>
      <c r="AO33" s="132">
        <v>15.6</v>
      </c>
    </row>
    <row r="34" spans="1:41">
      <c r="A34" s="131">
        <v>45536</v>
      </c>
      <c r="B34" s="82">
        <f t="shared" si="0"/>
        <v>2024</v>
      </c>
      <c r="C34" s="132">
        <v>1436.5</v>
      </c>
      <c r="D34" s="132">
        <v>1215.2</v>
      </c>
      <c r="E34" s="132">
        <v>1628</v>
      </c>
      <c r="F34" s="132">
        <v>294.3</v>
      </c>
      <c r="G34" s="132">
        <v>225.8</v>
      </c>
      <c r="H34" s="132">
        <v>355.9</v>
      </c>
      <c r="I34" s="132">
        <v>1657.6</v>
      </c>
      <c r="J34" s="132">
        <v>1307</v>
      </c>
      <c r="K34" s="132">
        <v>1979.7</v>
      </c>
      <c r="L34" s="132">
        <v>311.60000000000002</v>
      </c>
      <c r="M34" s="132">
        <v>249.7</v>
      </c>
      <c r="N34" s="132">
        <v>370.5</v>
      </c>
      <c r="O34" s="132">
        <v>171</v>
      </c>
      <c r="P34" s="132">
        <v>121.2</v>
      </c>
      <c r="Q34" s="132">
        <v>241.6</v>
      </c>
      <c r="R34" s="132">
        <v>32.200000000000003</v>
      </c>
      <c r="S34" s="132">
        <v>7</v>
      </c>
      <c r="T34" s="132">
        <v>171</v>
      </c>
      <c r="U34" s="132">
        <v>49.9</v>
      </c>
      <c r="V34" s="132">
        <v>40.700000000000003</v>
      </c>
      <c r="W34" s="132">
        <v>64</v>
      </c>
      <c r="X34" s="132">
        <v>142</v>
      </c>
      <c r="Y34" s="132">
        <v>111.9</v>
      </c>
      <c r="Z34" s="132">
        <v>172</v>
      </c>
      <c r="AA34" s="132">
        <v>312</v>
      </c>
      <c r="AB34" s="132">
        <v>268.2</v>
      </c>
      <c r="AC34" s="132">
        <v>361.7</v>
      </c>
      <c r="AD34" s="132">
        <v>555.20000000000005</v>
      </c>
      <c r="AE34" s="132">
        <v>443.9</v>
      </c>
      <c r="AF34" s="132">
        <v>647.70000000000005</v>
      </c>
      <c r="AG34" s="132">
        <v>1101.8</v>
      </c>
      <c r="AH34" s="132">
        <v>700.9</v>
      </c>
      <c r="AI34" s="132">
        <v>1391.6</v>
      </c>
      <c r="AJ34" s="132">
        <v>12.018946921324799</v>
      </c>
      <c r="AK34" s="132">
        <v>6.5096534482048902</v>
      </c>
      <c r="AL34" s="132">
        <v>52.8900974608135</v>
      </c>
      <c r="AM34" s="132">
        <v>7.1</v>
      </c>
      <c r="AN34" s="132">
        <v>4.5</v>
      </c>
      <c r="AO34" s="132">
        <v>15.7</v>
      </c>
    </row>
    <row r="35" spans="1:41">
      <c r="A35" s="131">
        <v>45566</v>
      </c>
      <c r="B35" s="82">
        <f t="shared" si="0"/>
        <v>2024</v>
      </c>
      <c r="C35" s="132">
        <v>1511.3</v>
      </c>
      <c r="D35" s="132">
        <v>1299.8</v>
      </c>
      <c r="E35" s="132">
        <v>1696.6</v>
      </c>
      <c r="F35" s="132">
        <v>295.60000000000002</v>
      </c>
      <c r="G35" s="132">
        <v>227.3</v>
      </c>
      <c r="H35" s="132">
        <v>357.1</v>
      </c>
      <c r="I35" s="132">
        <v>1673.4</v>
      </c>
      <c r="J35" s="132">
        <v>1324.3</v>
      </c>
      <c r="K35" s="132">
        <v>1994.4</v>
      </c>
      <c r="L35" s="132">
        <v>318.5</v>
      </c>
      <c r="M35" s="132">
        <v>255.9</v>
      </c>
      <c r="N35" s="132">
        <v>378.1</v>
      </c>
      <c r="O35" s="132">
        <v>187.6</v>
      </c>
      <c r="P35" s="132">
        <v>132.9</v>
      </c>
      <c r="Q35" s="132">
        <v>265.3</v>
      </c>
      <c r="R35" s="132">
        <v>32.299999999999997</v>
      </c>
      <c r="S35" s="132">
        <v>6.9</v>
      </c>
      <c r="T35" s="132">
        <v>176.7</v>
      </c>
      <c r="U35" s="132">
        <v>49.3</v>
      </c>
      <c r="V35" s="132">
        <v>40.299999999999997</v>
      </c>
      <c r="W35" s="132">
        <v>63</v>
      </c>
      <c r="X35" s="132">
        <v>140.6</v>
      </c>
      <c r="Y35" s="132">
        <v>110.6</v>
      </c>
      <c r="Z35" s="132">
        <v>170.7</v>
      </c>
      <c r="AA35" s="132">
        <v>302.7</v>
      </c>
      <c r="AB35" s="132">
        <v>260</v>
      </c>
      <c r="AC35" s="132">
        <v>351.2</v>
      </c>
      <c r="AD35" s="132">
        <v>546.29999999999995</v>
      </c>
      <c r="AE35" s="132">
        <v>432.7</v>
      </c>
      <c r="AF35" s="132">
        <v>640.1</v>
      </c>
      <c r="AG35" s="132">
        <v>1071.7</v>
      </c>
      <c r="AH35" s="132">
        <v>652.5</v>
      </c>
      <c r="AI35" s="132">
        <v>1367.9</v>
      </c>
      <c r="AJ35" s="132">
        <v>12.0231759760219</v>
      </c>
      <c r="AK35" s="132">
        <v>6.4941333127187804</v>
      </c>
      <c r="AL35" s="132">
        <v>53.881254439061699</v>
      </c>
      <c r="AM35" s="132">
        <v>7.1</v>
      </c>
      <c r="AN35" s="132">
        <v>4.5</v>
      </c>
      <c r="AO35" s="132">
        <v>15.8</v>
      </c>
    </row>
    <row r="36" spans="1:41">
      <c r="A36" s="131">
        <v>45597</v>
      </c>
      <c r="B36" s="82">
        <f t="shared" si="0"/>
        <v>2024</v>
      </c>
      <c r="C36" s="132">
        <v>1551.8</v>
      </c>
      <c r="D36" s="132">
        <v>1343.7</v>
      </c>
      <c r="E36" s="132">
        <v>1735.1</v>
      </c>
      <c r="F36" s="132">
        <v>330.6</v>
      </c>
      <c r="G36" s="132">
        <v>266.5</v>
      </c>
      <c r="H36" s="132">
        <v>389.2</v>
      </c>
      <c r="I36" s="132">
        <v>1784.1</v>
      </c>
      <c r="J36" s="132">
        <v>1445.7</v>
      </c>
      <c r="K36" s="132">
        <v>2097.6</v>
      </c>
      <c r="L36" s="132">
        <v>338.4</v>
      </c>
      <c r="M36" s="132">
        <v>275.8</v>
      </c>
      <c r="N36" s="132">
        <v>398.2</v>
      </c>
      <c r="O36" s="132">
        <v>279.3</v>
      </c>
      <c r="P36" s="132">
        <v>197.4</v>
      </c>
      <c r="Q36" s="132">
        <v>396</v>
      </c>
      <c r="R36" s="132">
        <v>32.200000000000003</v>
      </c>
      <c r="S36" s="132">
        <v>6.7</v>
      </c>
      <c r="T36" s="132">
        <v>181</v>
      </c>
      <c r="U36" s="132">
        <v>55.7</v>
      </c>
      <c r="V36" s="132">
        <v>44.6</v>
      </c>
      <c r="W36" s="132">
        <v>73.599999999999994</v>
      </c>
      <c r="X36" s="132">
        <v>145.80000000000001</v>
      </c>
      <c r="Y36" s="132">
        <v>115.8</v>
      </c>
      <c r="Z36" s="132">
        <v>175.9</v>
      </c>
      <c r="AA36" s="132">
        <v>322.5</v>
      </c>
      <c r="AB36" s="132">
        <v>277.39999999999998</v>
      </c>
      <c r="AC36" s="132">
        <v>373.6</v>
      </c>
      <c r="AD36" s="132">
        <v>602.20000000000005</v>
      </c>
      <c r="AE36" s="132">
        <v>501.4</v>
      </c>
      <c r="AF36" s="132">
        <v>688.4</v>
      </c>
      <c r="AG36" s="132">
        <v>1246.7</v>
      </c>
      <c r="AH36" s="132">
        <v>911.9</v>
      </c>
      <c r="AI36" s="132">
        <v>1508.9</v>
      </c>
      <c r="AJ36" s="132">
        <v>12.042368433597501</v>
      </c>
      <c r="AK36" s="132">
        <v>6.4833902293003396</v>
      </c>
      <c r="AL36" s="132">
        <v>55.171755031322597</v>
      </c>
      <c r="AM36" s="132">
        <v>7.1</v>
      </c>
      <c r="AN36" s="132">
        <v>4.5</v>
      </c>
      <c r="AO36" s="132">
        <v>15.9</v>
      </c>
    </row>
    <row r="37" spans="1:41">
      <c r="A37" s="131">
        <v>45627</v>
      </c>
      <c r="B37" s="82">
        <f t="shared" si="0"/>
        <v>2024</v>
      </c>
      <c r="C37" s="132">
        <v>1635.2</v>
      </c>
      <c r="D37" s="132">
        <v>1436.5</v>
      </c>
      <c r="E37" s="132">
        <v>1812.1</v>
      </c>
      <c r="F37" s="132">
        <v>392</v>
      </c>
      <c r="G37" s="132">
        <v>333.6</v>
      </c>
      <c r="H37" s="132">
        <v>446.5</v>
      </c>
      <c r="I37" s="132">
        <v>1932.5</v>
      </c>
      <c r="J37" s="132">
        <v>1606.7</v>
      </c>
      <c r="K37" s="132">
        <v>2236.9</v>
      </c>
      <c r="L37" s="132">
        <v>362.8</v>
      </c>
      <c r="M37" s="132">
        <v>300.39999999999998</v>
      </c>
      <c r="N37" s="132">
        <v>422.6</v>
      </c>
      <c r="O37" s="132">
        <v>396.8</v>
      </c>
      <c r="P37" s="132">
        <v>279.89999999999998</v>
      </c>
      <c r="Q37" s="132">
        <v>563.79999999999995</v>
      </c>
      <c r="R37" s="132">
        <v>32.6</v>
      </c>
      <c r="S37" s="132">
        <v>6.6</v>
      </c>
      <c r="T37" s="132">
        <v>188.2</v>
      </c>
      <c r="U37" s="132">
        <v>65.5</v>
      </c>
      <c r="V37" s="132">
        <v>50.9</v>
      </c>
      <c r="W37" s="132">
        <v>91</v>
      </c>
      <c r="X37" s="132">
        <v>173.2</v>
      </c>
      <c r="Y37" s="132">
        <v>143.19999999999999</v>
      </c>
      <c r="Z37" s="132">
        <v>203.3</v>
      </c>
      <c r="AA37" s="132">
        <v>367.2</v>
      </c>
      <c r="AB37" s="132">
        <v>316.89999999999998</v>
      </c>
      <c r="AC37" s="132">
        <v>424.1</v>
      </c>
      <c r="AD37" s="132">
        <v>668.4</v>
      </c>
      <c r="AE37" s="132">
        <v>579.20000000000005</v>
      </c>
      <c r="AF37" s="132">
        <v>747</v>
      </c>
      <c r="AG37" s="132">
        <v>1581.2</v>
      </c>
      <c r="AH37" s="132">
        <v>1333.2</v>
      </c>
      <c r="AI37" s="132">
        <v>1795.2</v>
      </c>
      <c r="AJ37" s="132">
        <v>12.043341540402</v>
      </c>
      <c r="AK37" s="132">
        <v>6.4671647836572301</v>
      </c>
      <c r="AL37" s="132">
        <v>56.174449080577297</v>
      </c>
      <c r="AM37" s="132">
        <v>7.1</v>
      </c>
      <c r="AN37" s="132">
        <v>4.5</v>
      </c>
      <c r="AO37" s="132">
        <v>16</v>
      </c>
    </row>
    <row r="38" spans="1:41">
      <c r="A38" s="131">
        <v>45658</v>
      </c>
      <c r="B38" s="82">
        <f t="shared" si="0"/>
        <v>2025</v>
      </c>
      <c r="C38" s="132">
        <v>1718.6</v>
      </c>
      <c r="D38" s="132">
        <v>1525.3</v>
      </c>
      <c r="E38" s="132">
        <v>1892.2</v>
      </c>
      <c r="F38" s="132">
        <v>440.9</v>
      </c>
      <c r="G38" s="132">
        <v>381</v>
      </c>
      <c r="H38" s="132">
        <v>497.1</v>
      </c>
      <c r="I38" s="132">
        <v>2127.1</v>
      </c>
      <c r="J38" s="132">
        <v>1793.4</v>
      </c>
      <c r="K38" s="132">
        <v>2440.4</v>
      </c>
      <c r="L38" s="132">
        <v>386.2</v>
      </c>
      <c r="M38" s="132">
        <v>322.8</v>
      </c>
      <c r="N38" s="132">
        <v>447.2</v>
      </c>
      <c r="O38" s="132">
        <v>425.3</v>
      </c>
      <c r="P38" s="132">
        <v>296</v>
      </c>
      <c r="Q38" s="132">
        <v>612.4</v>
      </c>
      <c r="R38" s="132">
        <v>32.4</v>
      </c>
      <c r="S38" s="132">
        <v>6.4</v>
      </c>
      <c r="T38" s="132">
        <v>193</v>
      </c>
      <c r="U38" s="132">
        <v>73.5</v>
      </c>
      <c r="V38" s="132">
        <v>55.5</v>
      </c>
      <c r="W38" s="132">
        <v>107.4</v>
      </c>
      <c r="X38" s="132">
        <v>182.1</v>
      </c>
      <c r="Y38" s="132">
        <v>151.5</v>
      </c>
      <c r="Z38" s="132">
        <v>212.7</v>
      </c>
      <c r="AA38" s="132">
        <v>360</v>
      </c>
      <c r="AB38" s="132">
        <v>308.10000000000002</v>
      </c>
      <c r="AC38" s="132">
        <v>419.2</v>
      </c>
      <c r="AD38" s="132">
        <v>718</v>
      </c>
      <c r="AE38" s="132">
        <v>635.1</v>
      </c>
      <c r="AF38" s="132">
        <v>792.4</v>
      </c>
      <c r="AG38" s="132">
        <v>1573.9</v>
      </c>
      <c r="AH38" s="132">
        <v>1298.0999999999999</v>
      </c>
      <c r="AI38" s="132">
        <v>1808</v>
      </c>
      <c r="AJ38" s="132">
        <v>12.042339274777801</v>
      </c>
      <c r="AK38" s="132">
        <v>6.4495812951694296</v>
      </c>
      <c r="AL38" s="132">
        <v>57.2267971223147</v>
      </c>
      <c r="AM38" s="132">
        <v>7.1</v>
      </c>
      <c r="AN38" s="132">
        <v>4.5</v>
      </c>
      <c r="AO38" s="132">
        <v>16.100000000000001</v>
      </c>
    </row>
    <row r="39" spans="1:41">
      <c r="A39" s="131">
        <v>45689</v>
      </c>
      <c r="B39" s="82">
        <f t="shared" si="0"/>
        <v>2025</v>
      </c>
      <c r="C39" s="132">
        <v>1622.7</v>
      </c>
      <c r="D39" s="132">
        <v>1412.6</v>
      </c>
      <c r="E39" s="132">
        <v>1808.6</v>
      </c>
      <c r="F39" s="132">
        <v>402</v>
      </c>
      <c r="G39" s="132">
        <v>337.6</v>
      </c>
      <c r="H39" s="132">
        <v>461.7</v>
      </c>
      <c r="I39" s="132">
        <v>1956.2</v>
      </c>
      <c r="J39" s="132">
        <v>1599.4</v>
      </c>
      <c r="K39" s="132">
        <v>2287.8000000000002</v>
      </c>
      <c r="L39" s="132">
        <v>368.9</v>
      </c>
      <c r="M39" s="132">
        <v>303.2</v>
      </c>
      <c r="N39" s="132">
        <v>431.8</v>
      </c>
      <c r="O39" s="132">
        <v>401.3</v>
      </c>
      <c r="P39" s="132">
        <v>279.2</v>
      </c>
      <c r="Q39" s="132">
        <v>578.4</v>
      </c>
      <c r="R39" s="132">
        <v>32.4</v>
      </c>
      <c r="S39" s="132">
        <v>6.3</v>
      </c>
      <c r="T39" s="132">
        <v>198.2</v>
      </c>
      <c r="U39" s="132">
        <v>70.8</v>
      </c>
      <c r="V39" s="132">
        <v>53.8</v>
      </c>
      <c r="W39" s="132">
        <v>101.9</v>
      </c>
      <c r="X39" s="132">
        <v>175.2</v>
      </c>
      <c r="Y39" s="132">
        <v>144.6</v>
      </c>
      <c r="Z39" s="132">
        <v>205.8</v>
      </c>
      <c r="AA39" s="132">
        <v>342.4</v>
      </c>
      <c r="AB39" s="132">
        <v>292.60000000000002</v>
      </c>
      <c r="AC39" s="132">
        <v>399.1</v>
      </c>
      <c r="AD39" s="132">
        <v>671.8</v>
      </c>
      <c r="AE39" s="132">
        <v>582.29999999999995</v>
      </c>
      <c r="AF39" s="132">
        <v>750.8</v>
      </c>
      <c r="AG39" s="132">
        <v>1382.4</v>
      </c>
      <c r="AH39" s="132">
        <v>1058</v>
      </c>
      <c r="AI39" s="132">
        <v>1644.1</v>
      </c>
      <c r="AJ39" s="132">
        <v>12.0379057167267</v>
      </c>
      <c r="AK39" s="132">
        <v>6.4314616775493096</v>
      </c>
      <c r="AL39" s="132">
        <v>58.221215819459701</v>
      </c>
      <c r="AM39" s="132">
        <v>7.1</v>
      </c>
      <c r="AN39" s="132">
        <v>4.4000000000000004</v>
      </c>
      <c r="AO39" s="132">
        <v>16.2</v>
      </c>
    </row>
    <row r="40" spans="1:41">
      <c r="A40" s="131">
        <v>45717</v>
      </c>
      <c r="B40" s="82">
        <f t="shared" si="0"/>
        <v>2025</v>
      </c>
      <c r="C40" s="132">
        <v>1645.2</v>
      </c>
      <c r="D40" s="132">
        <v>1435.1</v>
      </c>
      <c r="E40" s="132">
        <v>1831.4</v>
      </c>
      <c r="F40" s="132">
        <v>366.6</v>
      </c>
      <c r="G40" s="132">
        <v>298.5</v>
      </c>
      <c r="H40" s="132">
        <v>429.1</v>
      </c>
      <c r="I40" s="132">
        <v>1913.5</v>
      </c>
      <c r="J40" s="132">
        <v>1548.7</v>
      </c>
      <c r="K40" s="132">
        <v>2251.5</v>
      </c>
      <c r="L40" s="132">
        <v>363.4</v>
      </c>
      <c r="M40" s="132">
        <v>296.10000000000002</v>
      </c>
      <c r="N40" s="132">
        <v>427.8</v>
      </c>
      <c r="O40" s="132">
        <v>344.4</v>
      </c>
      <c r="P40" s="132">
        <v>239.8</v>
      </c>
      <c r="Q40" s="132">
        <v>495.9</v>
      </c>
      <c r="R40" s="132">
        <v>32.4</v>
      </c>
      <c r="S40" s="132">
        <v>6.1</v>
      </c>
      <c r="T40" s="132">
        <v>203.4</v>
      </c>
      <c r="U40" s="132">
        <v>65.7</v>
      </c>
      <c r="V40" s="132">
        <v>50.8</v>
      </c>
      <c r="W40" s="132">
        <v>92.1</v>
      </c>
      <c r="X40" s="132">
        <v>163</v>
      </c>
      <c r="Y40" s="132">
        <v>132.4</v>
      </c>
      <c r="Z40" s="132">
        <v>193.6</v>
      </c>
      <c r="AA40" s="132">
        <v>332.2</v>
      </c>
      <c r="AB40" s="132">
        <v>283.7</v>
      </c>
      <c r="AC40" s="132">
        <v>387.5</v>
      </c>
      <c r="AD40" s="132">
        <v>650.20000000000005</v>
      </c>
      <c r="AE40" s="132">
        <v>557.1</v>
      </c>
      <c r="AF40" s="132">
        <v>731.4</v>
      </c>
      <c r="AG40" s="132">
        <v>1300.8</v>
      </c>
      <c r="AH40" s="132">
        <v>948.8</v>
      </c>
      <c r="AI40" s="132">
        <v>1576</v>
      </c>
      <c r="AJ40" s="132">
        <v>12.0375863171784</v>
      </c>
      <c r="AK40" s="132">
        <v>6.4149570986847699</v>
      </c>
      <c r="AL40" s="132">
        <v>59.315211167618699</v>
      </c>
      <c r="AM40" s="132">
        <v>7.1</v>
      </c>
      <c r="AN40" s="132">
        <v>4.4000000000000004</v>
      </c>
      <c r="AO40" s="132">
        <v>16.2</v>
      </c>
    </row>
    <row r="41" spans="1:41">
      <c r="A41" s="131">
        <v>45748</v>
      </c>
      <c r="B41" s="82">
        <f t="shared" si="0"/>
        <v>2025</v>
      </c>
      <c r="C41" s="132">
        <v>1555</v>
      </c>
      <c r="D41" s="132">
        <v>1327.3</v>
      </c>
      <c r="E41" s="132">
        <v>1753.4</v>
      </c>
      <c r="F41" s="132">
        <v>336.2</v>
      </c>
      <c r="G41" s="132">
        <v>264.60000000000002</v>
      </c>
      <c r="H41" s="132">
        <v>401.2</v>
      </c>
      <c r="I41" s="132">
        <v>1799.7</v>
      </c>
      <c r="J41" s="132">
        <v>1421.9</v>
      </c>
      <c r="K41" s="132">
        <v>2147</v>
      </c>
      <c r="L41" s="132">
        <v>346.4</v>
      </c>
      <c r="M41" s="132">
        <v>276.89999999999998</v>
      </c>
      <c r="N41" s="132">
        <v>412.5</v>
      </c>
      <c r="O41" s="132">
        <v>301.5</v>
      </c>
      <c r="P41" s="132">
        <v>210.1</v>
      </c>
      <c r="Q41" s="132">
        <v>433.7</v>
      </c>
      <c r="R41" s="132">
        <v>32.4</v>
      </c>
      <c r="S41" s="132">
        <v>6</v>
      </c>
      <c r="T41" s="132">
        <v>208.9</v>
      </c>
      <c r="U41" s="132">
        <v>57.4</v>
      </c>
      <c r="V41" s="132">
        <v>45.5</v>
      </c>
      <c r="W41" s="132">
        <v>76.900000000000006</v>
      </c>
      <c r="X41" s="132">
        <v>154.6</v>
      </c>
      <c r="Y41" s="132">
        <v>124</v>
      </c>
      <c r="Z41" s="132">
        <v>185.2</v>
      </c>
      <c r="AA41" s="132">
        <v>322.89999999999998</v>
      </c>
      <c r="AB41" s="132">
        <v>275.5</v>
      </c>
      <c r="AC41" s="132">
        <v>376.9</v>
      </c>
      <c r="AD41" s="132">
        <v>621.79999999999995</v>
      </c>
      <c r="AE41" s="132">
        <v>523.70000000000005</v>
      </c>
      <c r="AF41" s="132">
        <v>706.3</v>
      </c>
      <c r="AG41" s="132">
        <v>1226.9000000000001</v>
      </c>
      <c r="AH41" s="132">
        <v>844.7</v>
      </c>
      <c r="AI41" s="132">
        <v>1515.7</v>
      </c>
      <c r="AJ41" s="132">
        <v>12.0368596117441</v>
      </c>
      <c r="AK41" s="132">
        <v>6.3986304711710202</v>
      </c>
      <c r="AL41" s="132">
        <v>60.424500183619699</v>
      </c>
      <c r="AM41" s="132">
        <v>7.1</v>
      </c>
      <c r="AN41" s="132">
        <v>4.4000000000000004</v>
      </c>
      <c r="AO41" s="132">
        <v>16.3</v>
      </c>
    </row>
    <row r="42" spans="1:41">
      <c r="A42" s="131">
        <v>45778</v>
      </c>
      <c r="B42" s="82">
        <f t="shared" si="0"/>
        <v>2025</v>
      </c>
      <c r="C42" s="132">
        <v>1529.9</v>
      </c>
      <c r="D42" s="132">
        <v>1294.4000000000001</v>
      </c>
      <c r="E42" s="132">
        <v>1733.7</v>
      </c>
      <c r="F42" s="132">
        <v>306.5</v>
      </c>
      <c r="G42" s="132">
        <v>230.9</v>
      </c>
      <c r="H42" s="132">
        <v>374</v>
      </c>
      <c r="I42" s="132">
        <v>1696.2</v>
      </c>
      <c r="J42" s="132">
        <v>1306.4000000000001</v>
      </c>
      <c r="K42" s="132">
        <v>2051.8000000000002</v>
      </c>
      <c r="L42" s="132">
        <v>333</v>
      </c>
      <c r="M42" s="132">
        <v>261.39999999999998</v>
      </c>
      <c r="N42" s="132">
        <v>400.9</v>
      </c>
      <c r="O42" s="132">
        <v>244.6</v>
      </c>
      <c r="P42" s="132">
        <v>170.7</v>
      </c>
      <c r="Q42" s="132">
        <v>351.3</v>
      </c>
      <c r="R42" s="132">
        <v>32.299999999999997</v>
      </c>
      <c r="S42" s="132">
        <v>5.9</v>
      </c>
      <c r="T42" s="132">
        <v>214.1</v>
      </c>
      <c r="U42" s="132">
        <v>48.8</v>
      </c>
      <c r="V42" s="132">
        <v>39.799999999999997</v>
      </c>
      <c r="W42" s="132">
        <v>62.5</v>
      </c>
      <c r="X42" s="132">
        <v>141.19999999999999</v>
      </c>
      <c r="Y42" s="132">
        <v>110.6</v>
      </c>
      <c r="Z42" s="132">
        <v>171.8</v>
      </c>
      <c r="AA42" s="132">
        <v>300</v>
      </c>
      <c r="AB42" s="132">
        <v>255.5</v>
      </c>
      <c r="AC42" s="132">
        <v>350.8</v>
      </c>
      <c r="AD42" s="132">
        <v>558.4</v>
      </c>
      <c r="AE42" s="132">
        <v>446.7</v>
      </c>
      <c r="AF42" s="132">
        <v>651.20000000000005</v>
      </c>
      <c r="AG42" s="132">
        <v>1053.4000000000001</v>
      </c>
      <c r="AH42" s="132">
        <v>563.79999999999995</v>
      </c>
      <c r="AI42" s="132">
        <v>1379</v>
      </c>
      <c r="AJ42" s="132">
        <v>12.0435666431882</v>
      </c>
      <c r="AK42" s="132">
        <v>6.3848250747382096</v>
      </c>
      <c r="AL42" s="132">
        <v>61.723353456646997</v>
      </c>
      <c r="AM42" s="132">
        <v>7.1</v>
      </c>
      <c r="AN42" s="132">
        <v>4.4000000000000004</v>
      </c>
      <c r="AO42" s="132">
        <v>16.399999999999999</v>
      </c>
    </row>
    <row r="43" spans="1:41">
      <c r="A43" s="131">
        <v>45809</v>
      </c>
      <c r="B43" s="82">
        <f t="shared" si="0"/>
        <v>2025</v>
      </c>
      <c r="C43" s="132">
        <v>1498.4</v>
      </c>
      <c r="D43" s="132">
        <v>1253.5999999999999</v>
      </c>
      <c r="E43" s="132">
        <v>1708.5</v>
      </c>
      <c r="F43" s="132">
        <v>289.39999999999998</v>
      </c>
      <c r="G43" s="132">
        <v>211.1</v>
      </c>
      <c r="H43" s="132">
        <v>358.5</v>
      </c>
      <c r="I43" s="132">
        <v>1614.5</v>
      </c>
      <c r="J43" s="132">
        <v>1214.5999999999999</v>
      </c>
      <c r="K43" s="132">
        <v>1976.8</v>
      </c>
      <c r="L43" s="132">
        <v>328.4</v>
      </c>
      <c r="M43" s="132">
        <v>255.3</v>
      </c>
      <c r="N43" s="132">
        <v>397.7</v>
      </c>
      <c r="O43" s="132">
        <v>193.9</v>
      </c>
      <c r="P43" s="132">
        <v>135.5</v>
      </c>
      <c r="Q43" s="132">
        <v>278.10000000000002</v>
      </c>
      <c r="R43" s="132">
        <v>32.299999999999997</v>
      </c>
      <c r="S43" s="132">
        <v>5.8</v>
      </c>
      <c r="T43" s="132">
        <v>219.8</v>
      </c>
      <c r="U43" s="132">
        <v>48.4</v>
      </c>
      <c r="V43" s="132">
        <v>39.6</v>
      </c>
      <c r="W43" s="132">
        <v>62</v>
      </c>
      <c r="X43" s="132">
        <v>131.4</v>
      </c>
      <c r="Y43" s="132">
        <v>100.8</v>
      </c>
      <c r="Z43" s="132">
        <v>162</v>
      </c>
      <c r="AA43" s="132">
        <v>296.10000000000002</v>
      </c>
      <c r="AB43" s="132">
        <v>252.1</v>
      </c>
      <c r="AC43" s="132">
        <v>346.4</v>
      </c>
      <c r="AD43" s="132">
        <v>565.20000000000005</v>
      </c>
      <c r="AE43" s="132">
        <v>455.1</v>
      </c>
      <c r="AF43" s="132">
        <v>657.1</v>
      </c>
      <c r="AG43" s="132">
        <v>1135.0999999999999</v>
      </c>
      <c r="AH43" s="132">
        <v>704.7</v>
      </c>
      <c r="AI43" s="132">
        <v>1442.3</v>
      </c>
      <c r="AJ43" s="132">
        <v>12.039989025119</v>
      </c>
      <c r="AK43" s="132">
        <v>6.3680886647294104</v>
      </c>
      <c r="AL43" s="132">
        <v>62.831834166630102</v>
      </c>
      <c r="AM43" s="132">
        <v>7.1</v>
      </c>
      <c r="AN43" s="132">
        <v>4.4000000000000004</v>
      </c>
      <c r="AO43" s="132">
        <v>16.5</v>
      </c>
    </row>
    <row r="44" spans="1:41">
      <c r="A44" s="131">
        <v>45839</v>
      </c>
      <c r="B44" s="82">
        <f t="shared" si="0"/>
        <v>2025</v>
      </c>
      <c r="C44" s="132">
        <v>1493.7</v>
      </c>
      <c r="D44" s="132">
        <v>1244.4000000000001</v>
      </c>
      <c r="E44" s="132">
        <v>1706.9</v>
      </c>
      <c r="F44" s="132">
        <v>296.39999999999998</v>
      </c>
      <c r="G44" s="132">
        <v>219.2</v>
      </c>
      <c r="H44" s="132">
        <v>364.8</v>
      </c>
      <c r="I44" s="132">
        <v>1682</v>
      </c>
      <c r="J44" s="132">
        <v>1290</v>
      </c>
      <c r="K44" s="132">
        <v>2039.1</v>
      </c>
      <c r="L44" s="132">
        <v>323.2</v>
      </c>
      <c r="M44" s="132">
        <v>248.5</v>
      </c>
      <c r="N44" s="132">
        <v>393.8</v>
      </c>
      <c r="O44" s="132">
        <v>164.4</v>
      </c>
      <c r="P44" s="132">
        <v>115.1</v>
      </c>
      <c r="Q44" s="132">
        <v>235.6</v>
      </c>
      <c r="R44" s="132">
        <v>32.299999999999997</v>
      </c>
      <c r="S44" s="132">
        <v>5.6</v>
      </c>
      <c r="T44" s="132">
        <v>225.5</v>
      </c>
      <c r="U44" s="132">
        <v>48.6</v>
      </c>
      <c r="V44" s="132">
        <v>39.700000000000003</v>
      </c>
      <c r="W44" s="132">
        <v>62.3</v>
      </c>
      <c r="X44" s="132">
        <v>129.6</v>
      </c>
      <c r="Y44" s="132">
        <v>99</v>
      </c>
      <c r="Z44" s="132">
        <v>160.19999999999999</v>
      </c>
      <c r="AA44" s="132">
        <v>297.5</v>
      </c>
      <c r="AB44" s="132">
        <v>253.3</v>
      </c>
      <c r="AC44" s="132">
        <v>348</v>
      </c>
      <c r="AD44" s="132">
        <v>556.4</v>
      </c>
      <c r="AE44" s="132">
        <v>444.2</v>
      </c>
      <c r="AF44" s="132">
        <v>649.5</v>
      </c>
      <c r="AG44" s="132">
        <v>1131.5</v>
      </c>
      <c r="AH44" s="132">
        <v>698.8</v>
      </c>
      <c r="AI44" s="132">
        <v>1439.5</v>
      </c>
      <c r="AJ44" s="132">
        <v>12.035842117714401</v>
      </c>
      <c r="AK44" s="132">
        <v>6.3513441395916104</v>
      </c>
      <c r="AL44" s="132">
        <v>63.958799378920297</v>
      </c>
      <c r="AM44" s="132">
        <v>7.1</v>
      </c>
      <c r="AN44" s="132">
        <v>4.4000000000000004</v>
      </c>
      <c r="AO44" s="132">
        <v>16.600000000000001</v>
      </c>
    </row>
    <row r="45" spans="1:41">
      <c r="A45" s="131">
        <v>45870</v>
      </c>
      <c r="B45" s="82">
        <f t="shared" si="0"/>
        <v>2025</v>
      </c>
      <c r="C45" s="132">
        <v>1493</v>
      </c>
      <c r="D45" s="132">
        <v>1240.3</v>
      </c>
      <c r="E45" s="132">
        <v>1708.8</v>
      </c>
      <c r="F45" s="132">
        <v>282.8</v>
      </c>
      <c r="G45" s="132">
        <v>203.4</v>
      </c>
      <c r="H45" s="132">
        <v>352.5</v>
      </c>
      <c r="I45" s="132">
        <v>1602.8</v>
      </c>
      <c r="J45" s="132">
        <v>1201.0999999999999</v>
      </c>
      <c r="K45" s="132">
        <v>1966.2</v>
      </c>
      <c r="L45" s="132">
        <v>323.3</v>
      </c>
      <c r="M45" s="132">
        <v>247.3</v>
      </c>
      <c r="N45" s="132">
        <v>395</v>
      </c>
      <c r="O45" s="132">
        <v>155.1</v>
      </c>
      <c r="P45" s="132">
        <v>108.6</v>
      </c>
      <c r="Q45" s="132">
        <v>222.1</v>
      </c>
      <c r="R45" s="132">
        <v>32.299999999999997</v>
      </c>
      <c r="S45" s="132">
        <v>5.5</v>
      </c>
      <c r="T45" s="132">
        <v>231.2</v>
      </c>
      <c r="U45" s="132">
        <v>48.9</v>
      </c>
      <c r="V45" s="132">
        <v>39.9</v>
      </c>
      <c r="W45" s="132">
        <v>62.7</v>
      </c>
      <c r="X45" s="132">
        <v>124.2</v>
      </c>
      <c r="Y45" s="132">
        <v>93.6</v>
      </c>
      <c r="Z45" s="132">
        <v>154.80000000000001</v>
      </c>
      <c r="AA45" s="132">
        <v>290.5</v>
      </c>
      <c r="AB45" s="132">
        <v>247.2</v>
      </c>
      <c r="AC45" s="132">
        <v>339.9</v>
      </c>
      <c r="AD45" s="132">
        <v>542.20000000000005</v>
      </c>
      <c r="AE45" s="132">
        <v>426.2</v>
      </c>
      <c r="AF45" s="132">
        <v>637.4</v>
      </c>
      <c r="AG45" s="132">
        <v>1075.4000000000001</v>
      </c>
      <c r="AH45" s="132">
        <v>603.9</v>
      </c>
      <c r="AI45" s="132">
        <v>1395.9</v>
      </c>
      <c r="AJ45" s="132">
        <v>12.0342214737655</v>
      </c>
      <c r="AK45" s="132">
        <v>6.3355057040839799</v>
      </c>
      <c r="AL45" s="132">
        <v>65.1808447721628</v>
      </c>
      <c r="AM45" s="132">
        <v>7.1</v>
      </c>
      <c r="AN45" s="132">
        <v>4.4000000000000004</v>
      </c>
      <c r="AO45" s="132">
        <v>16.7</v>
      </c>
    </row>
    <row r="46" spans="1:41">
      <c r="A46" s="131">
        <v>45901</v>
      </c>
      <c r="B46" s="82">
        <f t="shared" si="0"/>
        <v>2025</v>
      </c>
      <c r="C46" s="132">
        <v>1467.7</v>
      </c>
      <c r="D46" s="132">
        <v>1206.3</v>
      </c>
      <c r="E46" s="132">
        <v>1689.2</v>
      </c>
      <c r="F46" s="132">
        <v>292.2</v>
      </c>
      <c r="G46" s="132">
        <v>214.4</v>
      </c>
      <c r="H46" s="132">
        <v>361</v>
      </c>
      <c r="I46" s="132">
        <v>1647.1</v>
      </c>
      <c r="J46" s="132">
        <v>1250.9000000000001</v>
      </c>
      <c r="K46" s="132">
        <v>2007</v>
      </c>
      <c r="L46" s="132">
        <v>329.5</v>
      </c>
      <c r="M46" s="132">
        <v>252.8</v>
      </c>
      <c r="N46" s="132">
        <v>402</v>
      </c>
      <c r="O46" s="132">
        <v>171</v>
      </c>
      <c r="P46" s="132">
        <v>119.6</v>
      </c>
      <c r="Q46" s="132">
        <v>245</v>
      </c>
      <c r="R46" s="132">
        <v>32.299999999999997</v>
      </c>
      <c r="S46" s="132">
        <v>5.4</v>
      </c>
      <c r="T46" s="132">
        <v>237.2</v>
      </c>
      <c r="U46" s="132">
        <v>48.9</v>
      </c>
      <c r="V46" s="132">
        <v>39.9</v>
      </c>
      <c r="W46" s="132">
        <v>62.8</v>
      </c>
      <c r="X46" s="132">
        <v>139.6</v>
      </c>
      <c r="Y46" s="132">
        <v>109</v>
      </c>
      <c r="Z46" s="132">
        <v>170.2</v>
      </c>
      <c r="AA46" s="132">
        <v>312</v>
      </c>
      <c r="AB46" s="132">
        <v>266</v>
      </c>
      <c r="AC46" s="132">
        <v>364.5</v>
      </c>
      <c r="AD46" s="132">
        <v>555.29999999999995</v>
      </c>
      <c r="AE46" s="132">
        <v>442.7</v>
      </c>
      <c r="AF46" s="132">
        <v>648.6</v>
      </c>
      <c r="AG46" s="132">
        <v>1101.0999999999999</v>
      </c>
      <c r="AH46" s="132">
        <v>648.6</v>
      </c>
      <c r="AI46" s="132">
        <v>1415.7</v>
      </c>
      <c r="AJ46" s="132">
        <v>12.033921289430101</v>
      </c>
      <c r="AK46" s="132">
        <v>6.3202058045963501</v>
      </c>
      <c r="AL46" s="132">
        <v>66.475386422350496</v>
      </c>
      <c r="AM46" s="132">
        <v>7.1</v>
      </c>
      <c r="AN46" s="132">
        <v>4.4000000000000004</v>
      </c>
      <c r="AO46" s="132">
        <v>16.8</v>
      </c>
    </row>
    <row r="47" spans="1:41">
      <c r="A47" s="131">
        <v>45931</v>
      </c>
      <c r="B47" s="82">
        <f t="shared" si="0"/>
        <v>2025</v>
      </c>
      <c r="C47" s="132">
        <v>1541</v>
      </c>
      <c r="D47" s="132">
        <v>1291.2</v>
      </c>
      <c r="E47" s="132">
        <v>1755.6</v>
      </c>
      <c r="F47" s="132">
        <v>294.3</v>
      </c>
      <c r="G47" s="132">
        <v>216.8</v>
      </c>
      <c r="H47" s="132">
        <v>363</v>
      </c>
      <c r="I47" s="132">
        <v>1666.1</v>
      </c>
      <c r="J47" s="132">
        <v>1272.0999999999999</v>
      </c>
      <c r="K47" s="132">
        <v>2024.5</v>
      </c>
      <c r="L47" s="132">
        <v>336.4</v>
      </c>
      <c r="M47" s="132">
        <v>258.89999999999998</v>
      </c>
      <c r="N47" s="132">
        <v>409.6</v>
      </c>
      <c r="O47" s="132">
        <v>187.6</v>
      </c>
      <c r="P47" s="132">
        <v>131.1</v>
      </c>
      <c r="Q47" s="132">
        <v>269</v>
      </c>
      <c r="R47" s="132">
        <v>32.4</v>
      </c>
      <c r="S47" s="132">
        <v>5.3</v>
      </c>
      <c r="T47" s="132">
        <v>243.5</v>
      </c>
      <c r="U47" s="132">
        <v>48.3</v>
      </c>
      <c r="V47" s="132">
        <v>39.5</v>
      </c>
      <c r="W47" s="132">
        <v>61.8</v>
      </c>
      <c r="X47" s="132">
        <v>138.1</v>
      </c>
      <c r="Y47" s="132">
        <v>107.5</v>
      </c>
      <c r="Z47" s="132">
        <v>168.7</v>
      </c>
      <c r="AA47" s="132">
        <v>302.7</v>
      </c>
      <c r="AB47" s="132">
        <v>257.89999999999998</v>
      </c>
      <c r="AC47" s="132">
        <v>353.9</v>
      </c>
      <c r="AD47" s="132">
        <v>546.29999999999995</v>
      </c>
      <c r="AE47" s="132">
        <v>431.5</v>
      </c>
      <c r="AF47" s="132">
        <v>640.9</v>
      </c>
      <c r="AG47" s="132">
        <v>1068.8</v>
      </c>
      <c r="AH47" s="132">
        <v>592.1</v>
      </c>
      <c r="AI47" s="132">
        <v>1390.8</v>
      </c>
      <c r="AJ47" s="132">
        <v>12.034632331919999</v>
      </c>
      <c r="AK47" s="132">
        <v>6.3053459570297496</v>
      </c>
      <c r="AL47" s="132">
        <v>67.839946357602798</v>
      </c>
      <c r="AM47" s="132">
        <v>7.1</v>
      </c>
      <c r="AN47" s="132">
        <v>4.4000000000000004</v>
      </c>
      <c r="AO47" s="132">
        <v>16.899999999999999</v>
      </c>
    </row>
    <row r="48" spans="1:41">
      <c r="A48" s="131">
        <v>45962</v>
      </c>
      <c r="B48" s="82">
        <f t="shared" si="0"/>
        <v>2025</v>
      </c>
      <c r="C48" s="132">
        <v>1580.7</v>
      </c>
      <c r="D48" s="132">
        <v>1335.3</v>
      </c>
      <c r="E48" s="132">
        <v>1792.8</v>
      </c>
      <c r="F48" s="132">
        <v>330.2</v>
      </c>
      <c r="G48" s="132">
        <v>257.8</v>
      </c>
      <c r="H48" s="132">
        <v>395.7</v>
      </c>
      <c r="I48" s="132">
        <v>1781</v>
      </c>
      <c r="J48" s="132">
        <v>1399.8</v>
      </c>
      <c r="K48" s="132">
        <v>2130.9</v>
      </c>
      <c r="L48" s="132">
        <v>356</v>
      </c>
      <c r="M48" s="132">
        <v>278.7</v>
      </c>
      <c r="N48" s="132">
        <v>429.4</v>
      </c>
      <c r="O48" s="132">
        <v>279.3</v>
      </c>
      <c r="P48" s="132">
        <v>194.7</v>
      </c>
      <c r="Q48" s="132">
        <v>401.5</v>
      </c>
      <c r="R48" s="132">
        <v>32.4</v>
      </c>
      <c r="S48" s="132">
        <v>5.2</v>
      </c>
      <c r="T48" s="132">
        <v>249.3</v>
      </c>
      <c r="U48" s="132">
        <v>54.5</v>
      </c>
      <c r="V48" s="132">
        <v>43.6</v>
      </c>
      <c r="W48" s="132">
        <v>72</v>
      </c>
      <c r="X48" s="132">
        <v>143</v>
      </c>
      <c r="Y48" s="132">
        <v>112.4</v>
      </c>
      <c r="Z48" s="132">
        <v>173.6</v>
      </c>
      <c r="AA48" s="132">
        <v>322.5</v>
      </c>
      <c r="AB48" s="132">
        <v>275.2</v>
      </c>
      <c r="AC48" s="132">
        <v>376.4</v>
      </c>
      <c r="AD48" s="132">
        <v>602.20000000000005</v>
      </c>
      <c r="AE48" s="132">
        <v>500.3</v>
      </c>
      <c r="AF48" s="132">
        <v>689.1</v>
      </c>
      <c r="AG48" s="132">
        <v>1245</v>
      </c>
      <c r="AH48" s="132">
        <v>870.7</v>
      </c>
      <c r="AI48" s="132">
        <v>1530.3</v>
      </c>
      <c r="AJ48" s="132">
        <v>12.037854249737901</v>
      </c>
      <c r="AK48" s="132">
        <v>6.2913567026862198</v>
      </c>
      <c r="AL48" s="132">
        <v>69.321645274039696</v>
      </c>
      <c r="AM48" s="132">
        <v>7.1</v>
      </c>
      <c r="AN48" s="132">
        <v>4.4000000000000004</v>
      </c>
      <c r="AO48" s="132">
        <v>17</v>
      </c>
    </row>
    <row r="49" spans="1:41">
      <c r="A49" s="131">
        <v>45992</v>
      </c>
      <c r="B49" s="82">
        <f t="shared" si="0"/>
        <v>2025</v>
      </c>
      <c r="C49" s="132">
        <v>1662.7</v>
      </c>
      <c r="D49" s="132">
        <v>1428.5</v>
      </c>
      <c r="E49" s="132">
        <v>1867.7</v>
      </c>
      <c r="F49" s="132">
        <v>391.7</v>
      </c>
      <c r="G49" s="132">
        <v>325.89999999999998</v>
      </c>
      <c r="H49" s="132">
        <v>452.6</v>
      </c>
      <c r="I49" s="132">
        <v>1934</v>
      </c>
      <c r="J49" s="132">
        <v>1567.7</v>
      </c>
      <c r="K49" s="132">
        <v>2273.5</v>
      </c>
      <c r="L49" s="132">
        <v>380.1</v>
      </c>
      <c r="M49" s="132">
        <v>303.10000000000002</v>
      </c>
      <c r="N49" s="132">
        <v>453.4</v>
      </c>
      <c r="O49" s="132">
        <v>396.8</v>
      </c>
      <c r="P49" s="132">
        <v>276</v>
      </c>
      <c r="Q49" s="132">
        <v>571.70000000000005</v>
      </c>
      <c r="R49" s="132">
        <v>32.4</v>
      </c>
      <c r="S49" s="132">
        <v>5.0999999999999996</v>
      </c>
      <c r="T49" s="132">
        <v>256.3</v>
      </c>
      <c r="U49" s="132">
        <v>63.9</v>
      </c>
      <c r="V49" s="132">
        <v>49.6</v>
      </c>
      <c r="W49" s="132">
        <v>88.7</v>
      </c>
      <c r="X49" s="132">
        <v>171.1</v>
      </c>
      <c r="Y49" s="132">
        <v>140.5</v>
      </c>
      <c r="Z49" s="132">
        <v>201.7</v>
      </c>
      <c r="AA49" s="132">
        <v>367.2</v>
      </c>
      <c r="AB49" s="132">
        <v>314.39999999999998</v>
      </c>
      <c r="AC49" s="132">
        <v>427.3</v>
      </c>
      <c r="AD49" s="132">
        <v>668.5</v>
      </c>
      <c r="AE49" s="132">
        <v>578.4</v>
      </c>
      <c r="AF49" s="132">
        <v>747.8</v>
      </c>
      <c r="AG49" s="132">
        <v>1578.8</v>
      </c>
      <c r="AH49" s="132">
        <v>1304.2</v>
      </c>
      <c r="AI49" s="132">
        <v>1812.3</v>
      </c>
      <c r="AJ49" s="132">
        <v>12.038017392959</v>
      </c>
      <c r="AK49" s="132">
        <v>6.2766095176475902</v>
      </c>
      <c r="AL49" s="132">
        <v>70.770274287765702</v>
      </c>
      <c r="AM49" s="132">
        <v>7.1</v>
      </c>
      <c r="AN49" s="132">
        <v>4.4000000000000004</v>
      </c>
      <c r="AO49" s="132">
        <v>17.100000000000001</v>
      </c>
    </row>
    <row r="50" spans="1:41">
      <c r="A50" s="131">
        <v>46023</v>
      </c>
      <c r="B50" s="82">
        <f t="shared" si="0"/>
        <v>2026</v>
      </c>
      <c r="C50" s="132">
        <v>1744.7</v>
      </c>
      <c r="D50" s="132">
        <v>1517.8</v>
      </c>
      <c r="E50" s="132">
        <v>1945.4</v>
      </c>
      <c r="F50" s="132">
        <v>441</v>
      </c>
      <c r="G50" s="132">
        <v>375.9</v>
      </c>
      <c r="H50" s="132">
        <v>501.8</v>
      </c>
      <c r="I50" s="132">
        <v>2126.5</v>
      </c>
      <c r="J50" s="132">
        <v>1760.1</v>
      </c>
      <c r="K50" s="132">
        <v>2468.4</v>
      </c>
      <c r="L50" s="132">
        <v>403.3</v>
      </c>
      <c r="M50" s="132">
        <v>325.5</v>
      </c>
      <c r="N50" s="132">
        <v>477.6</v>
      </c>
      <c r="O50" s="132">
        <v>425.3</v>
      </c>
      <c r="P50" s="132">
        <v>292.10000000000002</v>
      </c>
      <c r="Q50" s="132">
        <v>620.70000000000005</v>
      </c>
      <c r="R50" s="132">
        <v>32.4</v>
      </c>
      <c r="S50" s="132">
        <v>5</v>
      </c>
      <c r="T50" s="132">
        <v>262.39999999999998</v>
      </c>
      <c r="U50" s="132">
        <v>71.5</v>
      </c>
      <c r="V50" s="132">
        <v>54</v>
      </c>
      <c r="W50" s="132">
        <v>104.3</v>
      </c>
      <c r="X50" s="132">
        <v>179.8</v>
      </c>
      <c r="Y50" s="132">
        <v>148.6</v>
      </c>
      <c r="Z50" s="132">
        <v>211.1</v>
      </c>
      <c r="AA50" s="132">
        <v>360</v>
      </c>
      <c r="AB50" s="132">
        <v>305.8</v>
      </c>
      <c r="AC50" s="132">
        <v>422.2</v>
      </c>
      <c r="AD50" s="132">
        <v>718</v>
      </c>
      <c r="AE50" s="132">
        <v>634.20000000000005</v>
      </c>
      <c r="AF50" s="132">
        <v>793</v>
      </c>
      <c r="AG50" s="132">
        <v>1574.6</v>
      </c>
      <c r="AH50" s="132">
        <v>1275.8</v>
      </c>
      <c r="AI50" s="132">
        <v>1825.2</v>
      </c>
      <c r="AJ50" s="132">
        <v>12.0378493608842</v>
      </c>
      <c r="AK50" s="132">
        <v>6.2617658325724896</v>
      </c>
      <c r="AL50" s="132">
        <v>72.274465037966195</v>
      </c>
      <c r="AM50" s="132">
        <v>7.1</v>
      </c>
      <c r="AN50" s="132">
        <v>4.4000000000000004</v>
      </c>
      <c r="AO50" s="132">
        <v>17.2</v>
      </c>
    </row>
    <row r="51" spans="1:41">
      <c r="A51" s="131">
        <v>46054</v>
      </c>
      <c r="B51" s="82">
        <f t="shared" si="0"/>
        <v>2026</v>
      </c>
      <c r="C51" s="132">
        <v>1650.4</v>
      </c>
      <c r="D51" s="132">
        <v>1404.4</v>
      </c>
      <c r="E51" s="132">
        <v>1864.3</v>
      </c>
      <c r="F51" s="132">
        <v>401.3</v>
      </c>
      <c r="G51" s="132">
        <v>331.7</v>
      </c>
      <c r="H51" s="132">
        <v>465.5</v>
      </c>
      <c r="I51" s="132">
        <v>1956.1</v>
      </c>
      <c r="J51" s="132">
        <v>1567.6</v>
      </c>
      <c r="K51" s="132">
        <v>2314.8000000000002</v>
      </c>
      <c r="L51" s="132">
        <v>386.2</v>
      </c>
      <c r="M51" s="132">
        <v>305.8</v>
      </c>
      <c r="N51" s="132">
        <v>462.5</v>
      </c>
      <c r="O51" s="132">
        <v>401.3</v>
      </c>
      <c r="P51" s="132">
        <v>275.5</v>
      </c>
      <c r="Q51" s="132">
        <v>586.20000000000005</v>
      </c>
      <c r="R51" s="132">
        <v>32.4</v>
      </c>
      <c r="S51" s="132">
        <v>4.9000000000000004</v>
      </c>
      <c r="T51" s="132">
        <v>268.8</v>
      </c>
      <c r="U51" s="132">
        <v>68.900000000000006</v>
      </c>
      <c r="V51" s="132">
        <v>52.4</v>
      </c>
      <c r="W51" s="132">
        <v>99.1</v>
      </c>
      <c r="X51" s="132">
        <v>173.1</v>
      </c>
      <c r="Y51" s="132">
        <v>141.80000000000001</v>
      </c>
      <c r="Z51" s="132">
        <v>204.3</v>
      </c>
      <c r="AA51" s="132">
        <v>342.4</v>
      </c>
      <c r="AB51" s="132">
        <v>290.39999999999998</v>
      </c>
      <c r="AC51" s="132">
        <v>402</v>
      </c>
      <c r="AD51" s="132">
        <v>671.8</v>
      </c>
      <c r="AE51" s="132">
        <v>581.4</v>
      </c>
      <c r="AF51" s="132">
        <v>751.5</v>
      </c>
      <c r="AG51" s="132">
        <v>1380.1</v>
      </c>
      <c r="AH51" s="132">
        <v>1026.0999999999999</v>
      </c>
      <c r="AI51" s="132">
        <v>1660.3</v>
      </c>
      <c r="AJ51" s="132">
        <v>12.0371057996056</v>
      </c>
      <c r="AK51" s="132">
        <v>6.2469402008244703</v>
      </c>
      <c r="AL51" s="132">
        <v>73.809763433202406</v>
      </c>
      <c r="AM51" s="132">
        <v>7.1</v>
      </c>
      <c r="AN51" s="132">
        <v>4.4000000000000004</v>
      </c>
      <c r="AO51" s="132">
        <v>17.3</v>
      </c>
    </row>
    <row r="52" spans="1:41">
      <c r="A52" s="131">
        <v>46082</v>
      </c>
      <c r="B52" s="82">
        <f t="shared" si="0"/>
        <v>2026</v>
      </c>
      <c r="C52" s="132">
        <v>1672.5</v>
      </c>
      <c r="D52" s="132">
        <v>1426.9</v>
      </c>
      <c r="E52" s="132">
        <v>1886.5</v>
      </c>
      <c r="F52" s="132">
        <v>366.4</v>
      </c>
      <c r="G52" s="132">
        <v>293</v>
      </c>
      <c r="H52" s="132">
        <v>433.4</v>
      </c>
      <c r="I52" s="132">
        <v>1914.4</v>
      </c>
      <c r="J52" s="132">
        <v>1518.7</v>
      </c>
      <c r="K52" s="132">
        <v>2278.6999999999998</v>
      </c>
      <c r="L52" s="132">
        <v>380.8</v>
      </c>
      <c r="M52" s="132">
        <v>298.7</v>
      </c>
      <c r="N52" s="132">
        <v>458.6</v>
      </c>
      <c r="O52" s="132">
        <v>344.4</v>
      </c>
      <c r="P52" s="132">
        <v>236.7</v>
      </c>
      <c r="Q52" s="132">
        <v>502.6</v>
      </c>
      <c r="R52" s="132">
        <v>32.4</v>
      </c>
      <c r="S52" s="132">
        <v>4.8</v>
      </c>
      <c r="T52" s="132">
        <v>275.2</v>
      </c>
      <c r="U52" s="132">
        <v>64.099999999999994</v>
      </c>
      <c r="V52" s="132">
        <v>49.5</v>
      </c>
      <c r="W52" s="132">
        <v>89.8</v>
      </c>
      <c r="X52" s="132">
        <v>160.9</v>
      </c>
      <c r="Y52" s="132">
        <v>129.6</v>
      </c>
      <c r="Z52" s="132">
        <v>192.2</v>
      </c>
      <c r="AA52" s="132">
        <v>332.2</v>
      </c>
      <c r="AB52" s="132">
        <v>281.5</v>
      </c>
      <c r="AC52" s="132">
        <v>390.3</v>
      </c>
      <c r="AD52" s="132">
        <v>650.20000000000005</v>
      </c>
      <c r="AE52" s="132">
        <v>556.20000000000005</v>
      </c>
      <c r="AF52" s="132">
        <v>732.2</v>
      </c>
      <c r="AG52" s="132">
        <v>1301.3</v>
      </c>
      <c r="AH52" s="132">
        <v>917.3</v>
      </c>
      <c r="AI52" s="132">
        <v>1595.3</v>
      </c>
      <c r="AJ52" s="132">
        <v>12.0370522157192</v>
      </c>
      <c r="AK52" s="132">
        <v>6.2324742128953599</v>
      </c>
      <c r="AL52" s="132">
        <v>75.419870123935794</v>
      </c>
      <c r="AM52" s="132">
        <v>7.1</v>
      </c>
      <c r="AN52" s="132">
        <v>4.4000000000000004</v>
      </c>
      <c r="AO52" s="132">
        <v>17.399999999999999</v>
      </c>
    </row>
    <row r="53" spans="1:41">
      <c r="A53" s="131">
        <v>46113</v>
      </c>
      <c r="B53" s="82">
        <f t="shared" si="0"/>
        <v>2026</v>
      </c>
      <c r="C53" s="132">
        <v>1583.9</v>
      </c>
      <c r="D53" s="132">
        <v>1318.4</v>
      </c>
      <c r="E53" s="132">
        <v>1810.9</v>
      </c>
      <c r="F53" s="132">
        <v>336.2</v>
      </c>
      <c r="G53" s="132">
        <v>258.89999999999998</v>
      </c>
      <c r="H53" s="132">
        <v>405.7</v>
      </c>
      <c r="I53" s="132">
        <v>1800.5</v>
      </c>
      <c r="J53" s="132">
        <v>1391.2</v>
      </c>
      <c r="K53" s="132">
        <v>2174.1999999999998</v>
      </c>
      <c r="L53" s="132">
        <v>363.9</v>
      </c>
      <c r="M53" s="132">
        <v>279.39999999999998</v>
      </c>
      <c r="N53" s="132">
        <v>443.7</v>
      </c>
      <c r="O53" s="132">
        <v>301.5</v>
      </c>
      <c r="P53" s="132">
        <v>207.4</v>
      </c>
      <c r="Q53" s="132">
        <v>439.5</v>
      </c>
      <c r="R53" s="132">
        <v>32.4</v>
      </c>
      <c r="S53" s="132">
        <v>4.7</v>
      </c>
      <c r="T53" s="132">
        <v>281.8</v>
      </c>
      <c r="U53" s="132">
        <v>56.1</v>
      </c>
      <c r="V53" s="132">
        <v>44.5</v>
      </c>
      <c r="W53" s="132">
        <v>75.2</v>
      </c>
      <c r="X53" s="132">
        <v>152.19999999999999</v>
      </c>
      <c r="Y53" s="132">
        <v>120.9</v>
      </c>
      <c r="Z53" s="132">
        <v>183.4</v>
      </c>
      <c r="AA53" s="132">
        <v>322.89999999999998</v>
      </c>
      <c r="AB53" s="132">
        <v>273.39999999999998</v>
      </c>
      <c r="AC53" s="132">
        <v>379.6</v>
      </c>
      <c r="AD53" s="132">
        <v>621.79999999999995</v>
      </c>
      <c r="AE53" s="132">
        <v>522.70000000000005</v>
      </c>
      <c r="AF53" s="132">
        <v>707.1</v>
      </c>
      <c r="AG53" s="132">
        <v>1235.5999999999999</v>
      </c>
      <c r="AH53" s="132">
        <v>821.5</v>
      </c>
      <c r="AI53" s="132">
        <v>1542.2</v>
      </c>
      <c r="AJ53" s="132">
        <v>12.0369302920124</v>
      </c>
      <c r="AK53" s="132">
        <v>6.2181388440707197</v>
      </c>
      <c r="AL53" s="132">
        <v>77.085371250098305</v>
      </c>
      <c r="AM53" s="132">
        <v>7.1</v>
      </c>
      <c r="AN53" s="132">
        <v>4.3</v>
      </c>
      <c r="AO53" s="132">
        <v>17.5</v>
      </c>
    </row>
    <row r="54" spans="1:41">
      <c r="A54" s="131">
        <v>46143</v>
      </c>
      <c r="B54" s="82">
        <f t="shared" si="0"/>
        <v>2026</v>
      </c>
      <c r="C54" s="132">
        <v>1559.3</v>
      </c>
      <c r="D54" s="132">
        <v>1285.0999999999999</v>
      </c>
      <c r="E54" s="132">
        <v>1792</v>
      </c>
      <c r="F54" s="132">
        <v>306.39999999999998</v>
      </c>
      <c r="G54" s="132">
        <v>224.8</v>
      </c>
      <c r="H54" s="132">
        <v>378.6</v>
      </c>
      <c r="I54" s="132">
        <v>1695.6</v>
      </c>
      <c r="J54" s="132">
        <v>1273.3</v>
      </c>
      <c r="K54" s="132">
        <v>2078</v>
      </c>
      <c r="L54" s="132">
        <v>350.7</v>
      </c>
      <c r="M54" s="132">
        <v>263.89999999999998</v>
      </c>
      <c r="N54" s="132">
        <v>432.3</v>
      </c>
      <c r="O54" s="132">
        <v>244.6</v>
      </c>
      <c r="P54" s="132">
        <v>168.5</v>
      </c>
      <c r="Q54" s="132">
        <v>356.1</v>
      </c>
      <c r="R54" s="132">
        <v>32.4</v>
      </c>
      <c r="S54" s="132">
        <v>4.5999999999999996</v>
      </c>
      <c r="T54" s="132">
        <v>288.39999999999998</v>
      </c>
      <c r="U54" s="132">
        <v>47.8</v>
      </c>
      <c r="V54" s="132">
        <v>39</v>
      </c>
      <c r="W54" s="132">
        <v>61.4</v>
      </c>
      <c r="X54" s="132">
        <v>139</v>
      </c>
      <c r="Y54" s="132">
        <v>107.7</v>
      </c>
      <c r="Z54" s="132">
        <v>170.3</v>
      </c>
      <c r="AA54" s="132">
        <v>300</v>
      </c>
      <c r="AB54" s="132">
        <v>253.6</v>
      </c>
      <c r="AC54" s="132">
        <v>353.4</v>
      </c>
      <c r="AD54" s="132">
        <v>558.4</v>
      </c>
      <c r="AE54" s="132">
        <v>445.5</v>
      </c>
      <c r="AF54" s="132">
        <v>652</v>
      </c>
      <c r="AG54" s="132">
        <v>1055.9000000000001</v>
      </c>
      <c r="AH54" s="132">
        <v>513</v>
      </c>
      <c r="AI54" s="132">
        <v>1402.4</v>
      </c>
      <c r="AJ54" s="132">
        <v>12.0380551289041</v>
      </c>
      <c r="AK54" s="132">
        <v>6.20430496756219</v>
      </c>
      <c r="AL54" s="132">
        <v>78.855825802689395</v>
      </c>
      <c r="AM54" s="132">
        <v>7.1</v>
      </c>
      <c r="AN54" s="132">
        <v>4.3</v>
      </c>
      <c r="AO54" s="132">
        <v>17.600000000000001</v>
      </c>
    </row>
    <row r="55" spans="1:41">
      <c r="A55" s="131">
        <v>46174</v>
      </c>
      <c r="B55" s="82">
        <f t="shared" si="0"/>
        <v>2026</v>
      </c>
      <c r="C55" s="132">
        <v>1528.4</v>
      </c>
      <c r="D55" s="132">
        <v>1243.8</v>
      </c>
      <c r="E55" s="132">
        <v>1767.7</v>
      </c>
      <c r="F55" s="132">
        <v>288.8</v>
      </c>
      <c r="G55" s="132">
        <v>204.2</v>
      </c>
      <c r="H55" s="132">
        <v>362.8</v>
      </c>
      <c r="I55" s="132">
        <v>1613.2</v>
      </c>
      <c r="J55" s="132">
        <v>1179.7</v>
      </c>
      <c r="K55" s="132">
        <v>2002.6</v>
      </c>
      <c r="L55" s="132">
        <v>346.2</v>
      </c>
      <c r="M55" s="132">
        <v>257.8</v>
      </c>
      <c r="N55" s="132">
        <v>429.3</v>
      </c>
      <c r="O55" s="132">
        <v>193.9</v>
      </c>
      <c r="P55" s="132">
        <v>133.80000000000001</v>
      </c>
      <c r="Q55" s="132">
        <v>281.8</v>
      </c>
      <c r="R55" s="132">
        <v>32.4</v>
      </c>
      <c r="S55" s="132">
        <v>4.5999999999999996</v>
      </c>
      <c r="T55" s="132">
        <v>295.2</v>
      </c>
      <c r="U55" s="132">
        <v>47.5</v>
      </c>
      <c r="V55" s="132">
        <v>38.799999999999997</v>
      </c>
      <c r="W55" s="132">
        <v>60.9</v>
      </c>
      <c r="X55" s="132">
        <v>129.19999999999999</v>
      </c>
      <c r="Y55" s="132">
        <v>97.9</v>
      </c>
      <c r="Z55" s="132">
        <v>160.5</v>
      </c>
      <c r="AA55" s="132">
        <v>296.10000000000002</v>
      </c>
      <c r="AB55" s="132">
        <v>250.2</v>
      </c>
      <c r="AC55" s="132">
        <v>348.9</v>
      </c>
      <c r="AD55" s="132">
        <v>565.20000000000005</v>
      </c>
      <c r="AE55" s="132">
        <v>454</v>
      </c>
      <c r="AF55" s="132">
        <v>657.9</v>
      </c>
      <c r="AG55" s="132">
        <v>1136.8</v>
      </c>
      <c r="AH55" s="132">
        <v>663.8</v>
      </c>
      <c r="AI55" s="132">
        <v>1464.3</v>
      </c>
      <c r="AJ55" s="132">
        <v>12.0374552495283</v>
      </c>
      <c r="AK55" s="132">
        <v>6.1901057949152101</v>
      </c>
      <c r="AL55" s="132">
        <v>80.632753358876798</v>
      </c>
      <c r="AM55" s="132">
        <v>7.1</v>
      </c>
      <c r="AN55" s="132">
        <v>4.3</v>
      </c>
      <c r="AO55" s="132">
        <v>17.7</v>
      </c>
    </row>
    <row r="56" spans="1:41">
      <c r="A56" s="131">
        <v>46204</v>
      </c>
      <c r="B56" s="82">
        <f t="shared" si="0"/>
        <v>2026</v>
      </c>
      <c r="C56" s="132">
        <v>1523.7</v>
      </c>
      <c r="D56" s="132">
        <v>1234.5</v>
      </c>
      <c r="E56" s="132">
        <v>1766.2</v>
      </c>
      <c r="F56" s="132">
        <v>296.89999999999998</v>
      </c>
      <c r="G56" s="132">
        <v>213.7</v>
      </c>
      <c r="H56" s="132">
        <v>370.1</v>
      </c>
      <c r="I56" s="132">
        <v>1683.7</v>
      </c>
      <c r="J56" s="132">
        <v>1259.4000000000001</v>
      </c>
      <c r="K56" s="132">
        <v>2067.3000000000002</v>
      </c>
      <c r="L56" s="132">
        <v>341</v>
      </c>
      <c r="M56" s="132">
        <v>250.9</v>
      </c>
      <c r="N56" s="132">
        <v>425.5</v>
      </c>
      <c r="O56" s="132">
        <v>164.4</v>
      </c>
      <c r="P56" s="132">
        <v>113.6</v>
      </c>
      <c r="Q56" s="132">
        <v>238.7</v>
      </c>
      <c r="R56" s="132">
        <v>32.4</v>
      </c>
      <c r="S56" s="132">
        <v>4.5</v>
      </c>
      <c r="T56" s="132">
        <v>302.10000000000002</v>
      </c>
      <c r="U56" s="132">
        <v>47.6</v>
      </c>
      <c r="V56" s="132">
        <v>38.9</v>
      </c>
      <c r="W56" s="132">
        <v>61.1</v>
      </c>
      <c r="X56" s="132">
        <v>127.4</v>
      </c>
      <c r="Y56" s="132">
        <v>96.1</v>
      </c>
      <c r="Z56" s="132">
        <v>158.69999999999999</v>
      </c>
      <c r="AA56" s="132">
        <v>297.5</v>
      </c>
      <c r="AB56" s="132">
        <v>251.4</v>
      </c>
      <c r="AC56" s="132">
        <v>350.5</v>
      </c>
      <c r="AD56" s="132">
        <v>556.4</v>
      </c>
      <c r="AE56" s="132">
        <v>443</v>
      </c>
      <c r="AF56" s="132">
        <v>650.29999999999995</v>
      </c>
      <c r="AG56" s="132">
        <v>1133.5</v>
      </c>
      <c r="AH56" s="132">
        <v>658</v>
      </c>
      <c r="AI56" s="132">
        <v>1461.7</v>
      </c>
      <c r="AJ56" s="132">
        <v>12.0367595614102</v>
      </c>
      <c r="AK56" s="132">
        <v>6.1760039565729903</v>
      </c>
      <c r="AL56" s="132">
        <v>82.474989184599806</v>
      </c>
      <c r="AM56" s="132">
        <v>7.1</v>
      </c>
      <c r="AN56" s="132">
        <v>4.3</v>
      </c>
      <c r="AO56" s="132">
        <v>17.8</v>
      </c>
    </row>
    <row r="57" spans="1:41">
      <c r="A57" s="131">
        <v>46235</v>
      </c>
      <c r="B57" s="82">
        <f t="shared" si="0"/>
        <v>2026</v>
      </c>
      <c r="C57" s="132">
        <v>1523.1</v>
      </c>
      <c r="D57" s="132">
        <v>1230.0999999999999</v>
      </c>
      <c r="E57" s="132">
        <v>1768.2</v>
      </c>
      <c r="F57" s="132">
        <v>282.39999999999998</v>
      </c>
      <c r="G57" s="132">
        <v>196.6</v>
      </c>
      <c r="H57" s="132">
        <v>357.1</v>
      </c>
      <c r="I57" s="132">
        <v>1600.9</v>
      </c>
      <c r="J57" s="132">
        <v>1165.5</v>
      </c>
      <c r="K57" s="132">
        <v>1991.6</v>
      </c>
      <c r="L57" s="132">
        <v>341.1</v>
      </c>
      <c r="M57" s="132">
        <v>249.6</v>
      </c>
      <c r="N57" s="132">
        <v>426.8</v>
      </c>
      <c r="O57" s="132">
        <v>155.1</v>
      </c>
      <c r="P57" s="132">
        <v>107.1</v>
      </c>
      <c r="Q57" s="132">
        <v>225.1</v>
      </c>
      <c r="R57" s="132">
        <v>32.4</v>
      </c>
      <c r="S57" s="132">
        <v>4.4000000000000004</v>
      </c>
      <c r="T57" s="132">
        <v>309.10000000000002</v>
      </c>
      <c r="U57" s="132">
        <v>47.9</v>
      </c>
      <c r="V57" s="132">
        <v>39.1</v>
      </c>
      <c r="W57" s="132">
        <v>61.6</v>
      </c>
      <c r="X57" s="132">
        <v>122</v>
      </c>
      <c r="Y57" s="132">
        <v>90.7</v>
      </c>
      <c r="Z57" s="132">
        <v>153.19999999999999</v>
      </c>
      <c r="AA57" s="132">
        <v>290.5</v>
      </c>
      <c r="AB57" s="132">
        <v>245.3</v>
      </c>
      <c r="AC57" s="132">
        <v>342.5</v>
      </c>
      <c r="AD57" s="132">
        <v>542.20000000000005</v>
      </c>
      <c r="AE57" s="132">
        <v>425</v>
      </c>
      <c r="AF57" s="132">
        <v>638.20000000000005</v>
      </c>
      <c r="AG57" s="132">
        <v>1077.2</v>
      </c>
      <c r="AH57" s="132">
        <v>555.5</v>
      </c>
      <c r="AI57" s="132">
        <v>1418.5</v>
      </c>
      <c r="AJ57" s="132">
        <v>12.0364875780266</v>
      </c>
      <c r="AK57" s="132">
        <v>6.1621433549355498</v>
      </c>
      <c r="AL57" s="132">
        <v>84.407119833854395</v>
      </c>
      <c r="AM57" s="132">
        <v>7.1</v>
      </c>
      <c r="AN57" s="132">
        <v>4.3</v>
      </c>
      <c r="AO57" s="132">
        <v>17.899999999999999</v>
      </c>
    </row>
    <row r="58" spans="1:41">
      <c r="A58" s="131">
        <v>46266</v>
      </c>
      <c r="B58" s="82">
        <f t="shared" si="0"/>
        <v>2026</v>
      </c>
      <c r="C58" s="132">
        <v>1498.3</v>
      </c>
      <c r="D58" s="132">
        <v>1195.5999999999999</v>
      </c>
      <c r="E58" s="132">
        <v>1749.4</v>
      </c>
      <c r="F58" s="132">
        <v>292.2</v>
      </c>
      <c r="G58" s="132">
        <v>208.2</v>
      </c>
      <c r="H58" s="132">
        <v>365.9</v>
      </c>
      <c r="I58" s="132">
        <v>1648.8</v>
      </c>
      <c r="J58" s="132">
        <v>1219.9000000000001</v>
      </c>
      <c r="K58" s="132">
        <v>2035.4</v>
      </c>
      <c r="L58" s="132">
        <v>347.3</v>
      </c>
      <c r="M58" s="132">
        <v>255</v>
      </c>
      <c r="N58" s="132">
        <v>433.7</v>
      </c>
      <c r="O58" s="132">
        <v>171</v>
      </c>
      <c r="P58" s="132">
        <v>118</v>
      </c>
      <c r="Q58" s="132">
        <v>248.2</v>
      </c>
      <c r="R58" s="132">
        <v>32.4</v>
      </c>
      <c r="S58" s="132">
        <v>4.3</v>
      </c>
      <c r="T58" s="132">
        <v>316.2</v>
      </c>
      <c r="U58" s="132">
        <v>48</v>
      </c>
      <c r="V58" s="132">
        <v>39.1</v>
      </c>
      <c r="W58" s="132">
        <v>61.6</v>
      </c>
      <c r="X58" s="132">
        <v>137.4</v>
      </c>
      <c r="Y58" s="132">
        <v>106.2</v>
      </c>
      <c r="Z58" s="132">
        <v>168.7</v>
      </c>
      <c r="AA58" s="132">
        <v>312</v>
      </c>
      <c r="AB58" s="132">
        <v>264</v>
      </c>
      <c r="AC58" s="132">
        <v>367.2</v>
      </c>
      <c r="AD58" s="132">
        <v>555.29999999999995</v>
      </c>
      <c r="AE58" s="132">
        <v>441.5</v>
      </c>
      <c r="AF58" s="132">
        <v>649.4</v>
      </c>
      <c r="AG58" s="132">
        <v>1101.5</v>
      </c>
      <c r="AH58" s="132">
        <v>601.29999999999995</v>
      </c>
      <c r="AI58" s="132">
        <v>1437.1</v>
      </c>
      <c r="AJ58" s="132">
        <v>12.0364371934534</v>
      </c>
      <c r="AK58" s="132">
        <v>6.1484641016741701</v>
      </c>
      <c r="AL58" s="132">
        <v>86.427299509584003</v>
      </c>
      <c r="AM58" s="132">
        <v>7.1</v>
      </c>
      <c r="AN58" s="132">
        <v>4.3</v>
      </c>
      <c r="AO58" s="132">
        <v>18</v>
      </c>
    </row>
    <row r="59" spans="1:41">
      <c r="A59" s="131">
        <v>46296</v>
      </c>
      <c r="B59" s="82">
        <f t="shared" si="0"/>
        <v>2026</v>
      </c>
      <c r="C59" s="132">
        <v>1570.1</v>
      </c>
      <c r="D59" s="132">
        <v>1281.0999999999999</v>
      </c>
      <c r="E59" s="132">
        <v>1813.7</v>
      </c>
      <c r="F59" s="132">
        <v>294.3</v>
      </c>
      <c r="G59" s="132">
        <v>210.6</v>
      </c>
      <c r="H59" s="132">
        <v>367.7</v>
      </c>
      <c r="I59" s="132">
        <v>1666.1</v>
      </c>
      <c r="J59" s="132">
        <v>1239.5</v>
      </c>
      <c r="K59" s="132">
        <v>2051.3000000000002</v>
      </c>
      <c r="L59" s="132">
        <v>354</v>
      </c>
      <c r="M59" s="132">
        <v>261</v>
      </c>
      <c r="N59" s="132">
        <v>441.2</v>
      </c>
      <c r="O59" s="132">
        <v>187.6</v>
      </c>
      <c r="P59" s="132">
        <v>129.4</v>
      </c>
      <c r="Q59" s="132">
        <v>272.5</v>
      </c>
      <c r="R59" s="132">
        <v>32.4</v>
      </c>
      <c r="S59" s="132">
        <v>4.2</v>
      </c>
      <c r="T59" s="132">
        <v>323.5</v>
      </c>
      <c r="U59" s="132">
        <v>47.4</v>
      </c>
      <c r="V59" s="132">
        <v>38.700000000000003</v>
      </c>
      <c r="W59" s="132">
        <v>60.7</v>
      </c>
      <c r="X59" s="132">
        <v>136</v>
      </c>
      <c r="Y59" s="132">
        <v>104.7</v>
      </c>
      <c r="Z59" s="132">
        <v>167.3</v>
      </c>
      <c r="AA59" s="132">
        <v>302.7</v>
      </c>
      <c r="AB59" s="132">
        <v>255.9</v>
      </c>
      <c r="AC59" s="132">
        <v>356.6</v>
      </c>
      <c r="AD59" s="132">
        <v>546.29999999999995</v>
      </c>
      <c r="AE59" s="132">
        <v>430.2</v>
      </c>
      <c r="AF59" s="132">
        <v>641.70000000000005</v>
      </c>
      <c r="AG59" s="132">
        <v>1070</v>
      </c>
      <c r="AH59" s="132">
        <v>541.4</v>
      </c>
      <c r="AI59" s="132">
        <v>1413.1</v>
      </c>
      <c r="AJ59" s="132">
        <v>12.036556535475</v>
      </c>
      <c r="AK59" s="132">
        <v>6.1349490775022399</v>
      </c>
      <c r="AL59" s="132">
        <v>88.5393999650111</v>
      </c>
      <c r="AM59" s="132">
        <v>7.1</v>
      </c>
      <c r="AN59" s="132">
        <v>4.3</v>
      </c>
      <c r="AO59" s="132">
        <v>18.100000000000001</v>
      </c>
    </row>
    <row r="60" spans="1:41">
      <c r="A60" s="131">
        <v>46327</v>
      </c>
      <c r="B60" s="82">
        <f t="shared" si="0"/>
        <v>2026</v>
      </c>
      <c r="C60" s="132">
        <v>1609.2</v>
      </c>
      <c r="D60" s="132">
        <v>1325.4</v>
      </c>
      <c r="E60" s="132">
        <v>1849.9</v>
      </c>
      <c r="F60" s="132">
        <v>329.9</v>
      </c>
      <c r="G60" s="132">
        <v>251.8</v>
      </c>
      <c r="H60" s="132">
        <v>400</v>
      </c>
      <c r="I60" s="132">
        <v>1779</v>
      </c>
      <c r="J60" s="132">
        <v>1366.2</v>
      </c>
      <c r="K60" s="132">
        <v>2155.1999999999998</v>
      </c>
      <c r="L60" s="132">
        <v>373.4</v>
      </c>
      <c r="M60" s="132">
        <v>280.7</v>
      </c>
      <c r="N60" s="132">
        <v>460.7</v>
      </c>
      <c r="O60" s="132">
        <v>279.3</v>
      </c>
      <c r="P60" s="132">
        <v>192.2</v>
      </c>
      <c r="Q60" s="132">
        <v>406.9</v>
      </c>
      <c r="R60" s="132">
        <v>32.4</v>
      </c>
      <c r="S60" s="132">
        <v>4.2</v>
      </c>
      <c r="T60" s="132">
        <v>330.8</v>
      </c>
      <c r="U60" s="132">
        <v>53.4</v>
      </c>
      <c r="V60" s="132">
        <v>42.7</v>
      </c>
      <c r="W60" s="132">
        <v>70.599999999999994</v>
      </c>
      <c r="X60" s="132">
        <v>141</v>
      </c>
      <c r="Y60" s="132">
        <v>109.7</v>
      </c>
      <c r="Z60" s="132">
        <v>172.3</v>
      </c>
      <c r="AA60" s="132">
        <v>322.5</v>
      </c>
      <c r="AB60" s="132">
        <v>273.10000000000002</v>
      </c>
      <c r="AC60" s="132">
        <v>379.2</v>
      </c>
      <c r="AD60" s="132">
        <v>602.20000000000005</v>
      </c>
      <c r="AE60" s="132">
        <v>499.2</v>
      </c>
      <c r="AF60" s="132">
        <v>689.9</v>
      </c>
      <c r="AG60" s="132">
        <v>1245.0999999999999</v>
      </c>
      <c r="AH60" s="132">
        <v>835.8</v>
      </c>
      <c r="AI60" s="132">
        <v>1549.9</v>
      </c>
      <c r="AJ60" s="132">
        <v>12.0370971654269</v>
      </c>
      <c r="AK60" s="132">
        <v>6.12166543879919</v>
      </c>
      <c r="AL60" s="132">
        <v>90.761524964579493</v>
      </c>
      <c r="AM60" s="132">
        <v>7.1</v>
      </c>
      <c r="AN60" s="132">
        <v>4.3</v>
      </c>
      <c r="AO60" s="132">
        <v>18.2</v>
      </c>
    </row>
    <row r="61" spans="1:41">
      <c r="A61" s="131">
        <v>46357</v>
      </c>
      <c r="B61" s="82">
        <f t="shared" si="0"/>
        <v>2026</v>
      </c>
      <c r="C61" s="132">
        <v>1689.7</v>
      </c>
      <c r="D61" s="132">
        <v>1419.1</v>
      </c>
      <c r="E61" s="132">
        <v>1922.6</v>
      </c>
      <c r="F61" s="132">
        <v>391.4</v>
      </c>
      <c r="G61" s="132">
        <v>320.39999999999998</v>
      </c>
      <c r="H61" s="132">
        <v>456.6</v>
      </c>
      <c r="I61" s="132">
        <v>1930.8</v>
      </c>
      <c r="J61" s="132">
        <v>1534.2</v>
      </c>
      <c r="K61" s="132">
        <v>2296</v>
      </c>
      <c r="L61" s="132">
        <v>397.2</v>
      </c>
      <c r="M61" s="132">
        <v>304.89999999999998</v>
      </c>
      <c r="N61" s="132">
        <v>484.4</v>
      </c>
      <c r="O61" s="132">
        <v>396.8</v>
      </c>
      <c r="P61" s="132">
        <v>272.39999999999998</v>
      </c>
      <c r="Q61" s="132">
        <v>579.4</v>
      </c>
      <c r="R61" s="132">
        <v>32.4</v>
      </c>
      <c r="S61" s="132">
        <v>4.0999999999999996</v>
      </c>
      <c r="T61" s="132">
        <v>338.5</v>
      </c>
      <c r="U61" s="132">
        <v>62.3</v>
      </c>
      <c r="V61" s="132">
        <v>48.4</v>
      </c>
      <c r="W61" s="132">
        <v>86.5</v>
      </c>
      <c r="X61" s="132">
        <v>168.9</v>
      </c>
      <c r="Y61" s="132">
        <v>137.6</v>
      </c>
      <c r="Z61" s="132">
        <v>200.1</v>
      </c>
      <c r="AA61" s="132">
        <v>367.2</v>
      </c>
      <c r="AB61" s="132">
        <v>312</v>
      </c>
      <c r="AC61" s="132">
        <v>430.4</v>
      </c>
      <c r="AD61" s="132">
        <v>668.5</v>
      </c>
      <c r="AE61" s="132">
        <v>577.5</v>
      </c>
      <c r="AF61" s="132">
        <v>748.5</v>
      </c>
      <c r="AG61" s="132">
        <v>1579.5</v>
      </c>
      <c r="AH61" s="132">
        <v>1281.8</v>
      </c>
      <c r="AI61" s="132">
        <v>1829.4</v>
      </c>
      <c r="AJ61" s="132">
        <v>12.0371245343757</v>
      </c>
      <c r="AK61" s="132">
        <v>6.1083523485086202</v>
      </c>
      <c r="AL61" s="132">
        <v>93.056888619975197</v>
      </c>
      <c r="AM61" s="132">
        <v>7.1</v>
      </c>
      <c r="AN61" s="132">
        <v>4.3</v>
      </c>
      <c r="AO61" s="132">
        <v>18.3</v>
      </c>
    </row>
    <row r="62" spans="1:41">
      <c r="C62" s="82" t="str">
        <f>CONCATENATE(C1,"_",$A$63)</f>
        <v>Overall_Forecast_Average_Max</v>
      </c>
      <c r="D62" s="82" t="str">
        <f t="shared" ref="D62:AL62" si="1">CONCATENATE(D1,"_",$A$63)</f>
        <v>Overall_Forecast_Low95_Max</v>
      </c>
      <c r="E62" s="82" t="str">
        <f t="shared" si="1"/>
        <v>Overall_Forecast_High95_Max</v>
      </c>
      <c r="F62" s="82" t="str">
        <f t="shared" si="1"/>
        <v>GS2_Forecast_Average_Max</v>
      </c>
      <c r="G62" s="82" t="str">
        <f t="shared" si="1"/>
        <v>GS2_Forecast_Low95_Max</v>
      </c>
      <c r="H62" s="82" t="str">
        <f t="shared" si="1"/>
        <v>GS2_Forecast_High95_Max</v>
      </c>
      <c r="I62" s="82" t="str">
        <f t="shared" si="1"/>
        <v>LVS_Forecast_Average_Max</v>
      </c>
      <c r="J62" s="82" t="str">
        <f t="shared" si="1"/>
        <v>LVS_Forecast_Low95_Max</v>
      </c>
      <c r="K62" s="82" t="str">
        <f t="shared" si="1"/>
        <v>LVS_Forecast_High95_Max</v>
      </c>
      <c r="L62" s="82" t="str">
        <f t="shared" si="1"/>
        <v>GS1_Forecast_Average_Max</v>
      </c>
      <c r="M62" s="82" t="str">
        <f t="shared" si="1"/>
        <v>GS1_Forecast_Low95_Max</v>
      </c>
      <c r="N62" s="82" t="str">
        <f t="shared" si="1"/>
        <v>GS1_Forecast_High95_Max</v>
      </c>
      <c r="O62" s="82" t="str">
        <f t="shared" si="1"/>
        <v>GS1_FortMeade_Forecast_Average_Max</v>
      </c>
      <c r="P62" s="82" t="str">
        <f t="shared" si="1"/>
        <v>GS1_FortMeade_Forecast_Low95_Max</v>
      </c>
      <c r="Q62" s="82" t="str">
        <f t="shared" si="1"/>
        <v>GS1_FortMeade_Forecast_High95_Max</v>
      </c>
      <c r="R62" s="82" t="str">
        <f t="shared" si="1"/>
        <v>FTS1_Forecast_Average_Max</v>
      </c>
      <c r="S62" s="82" t="str">
        <f t="shared" si="1"/>
        <v>FTS1_Forecast_Low95_Max</v>
      </c>
      <c r="T62" s="82" t="str">
        <f t="shared" si="1"/>
        <v>FTS1_Forecast_High95_Max</v>
      </c>
      <c r="U62" s="82" t="str">
        <f t="shared" si="1"/>
        <v>FTS2_Forecast_Average_Max</v>
      </c>
      <c r="V62" s="82" t="str">
        <f t="shared" si="1"/>
        <v>FTS2_Forecast_Low95_Max</v>
      </c>
      <c r="W62" s="82" t="str">
        <f t="shared" si="1"/>
        <v>FTS2_Forecast_High95_Max</v>
      </c>
      <c r="X62" s="82" t="str">
        <f t="shared" si="1"/>
        <v>FTS2.1_Forecast_Average_Max</v>
      </c>
      <c r="Y62" s="82" t="str">
        <f t="shared" si="1"/>
        <v>FTS2.1_Forecast_Low95_Max</v>
      </c>
      <c r="Z62" s="82" t="str">
        <f t="shared" si="1"/>
        <v>FTS2.1_Forecast_High95_Max</v>
      </c>
      <c r="AA62" s="82" t="str">
        <f t="shared" si="1"/>
        <v>FTS3_Forecast_Average_Max</v>
      </c>
      <c r="AB62" s="82" t="str">
        <f t="shared" si="1"/>
        <v>FTS3_Forecast_Low95_Max</v>
      </c>
      <c r="AC62" s="82" t="str">
        <f t="shared" si="1"/>
        <v>FTS3_Forecast_High95_Max</v>
      </c>
      <c r="AD62" s="82" t="str">
        <f t="shared" si="1"/>
        <v>FTS3.1_Forecast_Average_Max</v>
      </c>
      <c r="AE62" s="82" t="str">
        <f t="shared" si="1"/>
        <v>FTS3.1_Forecast_Low95_Max</v>
      </c>
      <c r="AF62" s="82" t="str">
        <f t="shared" si="1"/>
        <v>FTS3.1_Forecast_High95_Max</v>
      </c>
      <c r="AG62" s="82" t="str">
        <f t="shared" si="1"/>
        <v>FTS4_Forecast_Average_Max</v>
      </c>
      <c r="AH62" s="82" t="str">
        <f t="shared" si="1"/>
        <v>FTS4_Forecast_Low95_Max</v>
      </c>
      <c r="AI62" s="82" t="str">
        <f t="shared" si="1"/>
        <v>FTS4_Forecast_High95_Max</v>
      </c>
      <c r="AJ62" s="82" t="str">
        <f t="shared" si="1"/>
        <v>CSGS_Forecast_Average_Max</v>
      </c>
      <c r="AK62" s="82" t="str">
        <f t="shared" si="1"/>
        <v>CSGS_Forecast_Low95_Max</v>
      </c>
      <c r="AL62" s="82" t="str">
        <f t="shared" si="1"/>
        <v>CSGS_Forecast_High95_Max</v>
      </c>
      <c r="AM62" s="82" t="str">
        <f>CONCATENATE(AM1,"_",$A$63)</f>
        <v>FTS_AB_C_Forecast_Average_Max</v>
      </c>
      <c r="AN62" s="82" t="str">
        <f>CONCATENATE(AN1,"_",$A$63)</f>
        <v>FTS_AB_C_Forecast_Low95_Max</v>
      </c>
      <c r="AO62" s="82" t="str">
        <f>CONCATENATE(AO1,"_",$A$63)</f>
        <v>FTS_AB_C_Forecast_High95_Max</v>
      </c>
    </row>
    <row r="63" spans="1:41">
      <c r="A63" s="82" t="s">
        <v>1403</v>
      </c>
      <c r="B63" s="82">
        <v>2022</v>
      </c>
      <c r="C63" s="134">
        <f t="shared" ref="C63:K63" si="2">MAX(C2:C13)</f>
        <v>1639.6</v>
      </c>
      <c r="D63" s="134">
        <f t="shared" si="2"/>
        <v>1551.8</v>
      </c>
      <c r="E63" s="134">
        <f t="shared" si="2"/>
        <v>1722.9</v>
      </c>
      <c r="F63" s="134">
        <f t="shared" si="2"/>
        <v>440.2</v>
      </c>
      <c r="G63" s="134">
        <f t="shared" si="2"/>
        <v>401.7</v>
      </c>
      <c r="H63" s="134">
        <f t="shared" si="2"/>
        <v>477.2</v>
      </c>
      <c r="I63" s="134">
        <f t="shared" si="2"/>
        <v>2130.9</v>
      </c>
      <c r="J63" s="134">
        <f t="shared" si="2"/>
        <v>1941.9</v>
      </c>
      <c r="K63" s="134">
        <f t="shared" si="2"/>
        <v>2313.1999999999998</v>
      </c>
      <c r="L63" s="134">
        <f t="shared" ref="L63:AC63" si="3">MAX(L2:L13)</f>
        <v>335.6</v>
      </c>
      <c r="M63" s="134">
        <f t="shared" si="3"/>
        <v>314</v>
      </c>
      <c r="N63" s="134">
        <f t="shared" si="3"/>
        <v>361.2</v>
      </c>
      <c r="O63" s="134">
        <f t="shared" si="3"/>
        <v>423.7</v>
      </c>
      <c r="P63" s="134">
        <f t="shared" si="3"/>
        <v>311.5</v>
      </c>
      <c r="Q63" s="134">
        <f t="shared" si="3"/>
        <v>577.20000000000005</v>
      </c>
      <c r="R63" s="134">
        <f t="shared" si="3"/>
        <v>34.700000000000003</v>
      </c>
      <c r="S63" s="134">
        <f t="shared" si="3"/>
        <v>19.2</v>
      </c>
      <c r="T63" s="134">
        <f t="shared" si="3"/>
        <v>89.6</v>
      </c>
      <c r="U63" s="134">
        <f t="shared" si="3"/>
        <v>78.3</v>
      </c>
      <c r="V63" s="134">
        <f t="shared" si="3"/>
        <v>61.1</v>
      </c>
      <c r="W63" s="134">
        <f t="shared" si="3"/>
        <v>108.1</v>
      </c>
      <c r="X63" s="134">
        <f t="shared" si="3"/>
        <v>186.6</v>
      </c>
      <c r="Y63" s="134">
        <f t="shared" si="3"/>
        <v>157.69999999999999</v>
      </c>
      <c r="Z63" s="134">
        <f t="shared" si="3"/>
        <v>215.4</v>
      </c>
      <c r="AA63" s="134">
        <f t="shared" si="3"/>
        <v>358.4</v>
      </c>
      <c r="AB63" s="134">
        <f t="shared" si="3"/>
        <v>312</v>
      </c>
      <c r="AC63" s="134">
        <f t="shared" si="3"/>
        <v>410.3</v>
      </c>
      <c r="AD63" s="134">
        <f t="shared" ref="AD63:AL63" si="4">MAX(AD2:AD13)</f>
        <v>728.4</v>
      </c>
      <c r="AE63" s="134">
        <f t="shared" si="4"/>
        <v>649.9</v>
      </c>
      <c r="AF63" s="134">
        <f t="shared" si="4"/>
        <v>799.2</v>
      </c>
      <c r="AG63" s="134">
        <f t="shared" si="4"/>
        <v>1581.3</v>
      </c>
      <c r="AH63" s="134">
        <f t="shared" si="4"/>
        <v>1378.9</v>
      </c>
      <c r="AI63" s="134">
        <f t="shared" si="4"/>
        <v>1760.5</v>
      </c>
      <c r="AJ63" s="134">
        <f t="shared" si="4"/>
        <v>13.612088122059401</v>
      </c>
      <c r="AK63" s="134">
        <f t="shared" si="4"/>
        <v>8.4739810960405908</v>
      </c>
      <c r="AL63" s="134">
        <f t="shared" si="4"/>
        <v>46.748738562899902</v>
      </c>
      <c r="AM63" s="134">
        <f>MAX(AM2:AM13)</f>
        <v>8.4</v>
      </c>
      <c r="AN63" s="134">
        <f>MAX(AN2:AN13)</f>
        <v>5.6</v>
      </c>
      <c r="AO63" s="134">
        <f>MAX(AO2:AO13)</f>
        <v>15.6</v>
      </c>
    </row>
    <row r="64" spans="1:41">
      <c r="A64" s="82" t="s">
        <v>1403</v>
      </c>
      <c r="B64" s="82">
        <v>2023</v>
      </c>
      <c r="C64" s="134">
        <f t="shared" ref="C64:K64" si="5">MAX(C14:C25)</f>
        <v>1665</v>
      </c>
      <c r="D64" s="134">
        <f t="shared" si="5"/>
        <v>1536.8</v>
      </c>
      <c r="E64" s="134">
        <f t="shared" si="5"/>
        <v>1783.9</v>
      </c>
      <c r="F64" s="134">
        <f t="shared" si="5"/>
        <v>440.9</v>
      </c>
      <c r="G64" s="134">
        <f t="shared" si="5"/>
        <v>392.2</v>
      </c>
      <c r="H64" s="134">
        <f t="shared" si="5"/>
        <v>487.1</v>
      </c>
      <c r="I64" s="134">
        <f t="shared" si="5"/>
        <v>2139.1999999999998</v>
      </c>
      <c r="J64" s="134">
        <f t="shared" si="5"/>
        <v>1870.7</v>
      </c>
      <c r="K64" s="134">
        <f t="shared" si="5"/>
        <v>2394.4</v>
      </c>
      <c r="L64" s="134">
        <f t="shared" ref="L64:AC64" si="6">MAX(L14:L25)</f>
        <v>351.5</v>
      </c>
      <c r="M64" s="134">
        <f t="shared" si="6"/>
        <v>315.3</v>
      </c>
      <c r="N64" s="134">
        <f t="shared" si="6"/>
        <v>391.9</v>
      </c>
      <c r="O64" s="134">
        <f t="shared" si="6"/>
        <v>425.3</v>
      </c>
      <c r="P64" s="134">
        <f t="shared" si="6"/>
        <v>304.5</v>
      </c>
      <c r="Q64" s="134">
        <f t="shared" si="6"/>
        <v>595.20000000000005</v>
      </c>
      <c r="R64" s="134">
        <f t="shared" si="6"/>
        <v>33</v>
      </c>
      <c r="S64" s="134">
        <f t="shared" si="6"/>
        <v>12.5</v>
      </c>
      <c r="T64" s="134">
        <f t="shared" si="6"/>
        <v>132.80000000000001</v>
      </c>
      <c r="U64" s="134">
        <f t="shared" si="6"/>
        <v>77.900000000000006</v>
      </c>
      <c r="V64" s="134">
        <f t="shared" si="6"/>
        <v>58.7</v>
      </c>
      <c r="W64" s="134">
        <f t="shared" si="6"/>
        <v>113.8</v>
      </c>
      <c r="X64" s="134">
        <f t="shared" si="6"/>
        <v>187.1</v>
      </c>
      <c r="Y64" s="134">
        <f t="shared" si="6"/>
        <v>158.19999999999999</v>
      </c>
      <c r="Z64" s="134">
        <f t="shared" si="6"/>
        <v>216</v>
      </c>
      <c r="AA64" s="134">
        <f t="shared" si="6"/>
        <v>367.2</v>
      </c>
      <c r="AB64" s="134">
        <f t="shared" si="6"/>
        <v>319.5</v>
      </c>
      <c r="AC64" s="134">
        <f t="shared" si="6"/>
        <v>420.8</v>
      </c>
      <c r="AD64" s="134">
        <f t="shared" ref="AD64:AL64" si="7">MAX(AD14:AD25)</f>
        <v>717.4</v>
      </c>
      <c r="AE64" s="134">
        <f t="shared" si="7"/>
        <v>636.1</v>
      </c>
      <c r="AF64" s="134">
        <f t="shared" si="7"/>
        <v>790.4</v>
      </c>
      <c r="AG64" s="134">
        <f t="shared" si="7"/>
        <v>1576.3</v>
      </c>
      <c r="AH64" s="134">
        <f t="shared" si="7"/>
        <v>1361.8</v>
      </c>
      <c r="AI64" s="134">
        <f t="shared" si="7"/>
        <v>1764.9</v>
      </c>
      <c r="AJ64" s="134">
        <f t="shared" si="7"/>
        <v>12.276501681782801</v>
      </c>
      <c r="AK64" s="134">
        <f t="shared" si="7"/>
        <v>7.0143289317674498</v>
      </c>
      <c r="AL64" s="134">
        <f t="shared" si="7"/>
        <v>45.868508448289298</v>
      </c>
      <c r="AM64" s="134">
        <f>MAX(AM14:AM25)</f>
        <v>8.1</v>
      </c>
      <c r="AN64" s="134">
        <f>MAX(AN14:AN25)</f>
        <v>5.2</v>
      </c>
      <c r="AO64" s="134">
        <f>MAX(AO14:AO25)</f>
        <v>17.3</v>
      </c>
    </row>
    <row r="65" spans="1:41">
      <c r="A65" s="82" t="s">
        <v>1404</v>
      </c>
      <c r="B65" s="82">
        <v>2022</v>
      </c>
      <c r="C65" s="274">
        <f t="shared" ref="C65:K65" si="8">INDEX($A$2:$A$13,MATCH(C63,C2:C13,0))</f>
        <v>44562</v>
      </c>
      <c r="D65" s="274">
        <f t="shared" si="8"/>
        <v>44562</v>
      </c>
      <c r="E65" s="274">
        <f t="shared" si="8"/>
        <v>44562</v>
      </c>
      <c r="F65" s="274">
        <f t="shared" si="8"/>
        <v>44562</v>
      </c>
      <c r="G65" s="274">
        <f t="shared" si="8"/>
        <v>44562</v>
      </c>
      <c r="H65" s="274">
        <f t="shared" si="8"/>
        <v>44562</v>
      </c>
      <c r="I65" s="274">
        <f t="shared" si="8"/>
        <v>44562</v>
      </c>
      <c r="J65" s="274">
        <f t="shared" si="8"/>
        <v>44562</v>
      </c>
      <c r="K65" s="274">
        <f t="shared" si="8"/>
        <v>44562</v>
      </c>
      <c r="L65" s="274">
        <f t="shared" ref="L65:AC65" si="9">INDEX($A$2:$A$13,MATCH(L63,L2:L13,0))</f>
        <v>44562</v>
      </c>
      <c r="M65" s="274">
        <f t="shared" si="9"/>
        <v>44562</v>
      </c>
      <c r="N65" s="274">
        <f t="shared" si="9"/>
        <v>44896</v>
      </c>
      <c r="O65" s="274">
        <f t="shared" si="9"/>
        <v>44562</v>
      </c>
      <c r="P65" s="274">
        <f t="shared" si="9"/>
        <v>44562</v>
      </c>
      <c r="Q65" s="274">
        <f t="shared" si="9"/>
        <v>44562</v>
      </c>
      <c r="R65" s="274">
        <f t="shared" si="9"/>
        <v>44896</v>
      </c>
      <c r="S65" s="274">
        <f t="shared" si="9"/>
        <v>44562</v>
      </c>
      <c r="T65" s="274">
        <f t="shared" si="9"/>
        <v>44896</v>
      </c>
      <c r="U65" s="274">
        <f t="shared" si="9"/>
        <v>44562</v>
      </c>
      <c r="V65" s="274">
        <f t="shared" si="9"/>
        <v>44562</v>
      </c>
      <c r="W65" s="274">
        <f t="shared" si="9"/>
        <v>44562</v>
      </c>
      <c r="X65" s="274">
        <f t="shared" si="9"/>
        <v>44562</v>
      </c>
      <c r="Y65" s="274">
        <f t="shared" si="9"/>
        <v>44562</v>
      </c>
      <c r="Z65" s="274">
        <f t="shared" si="9"/>
        <v>44562</v>
      </c>
      <c r="AA65" s="274">
        <f t="shared" si="9"/>
        <v>44896</v>
      </c>
      <c r="AB65" s="274">
        <f t="shared" si="9"/>
        <v>44896</v>
      </c>
      <c r="AC65" s="274">
        <f t="shared" si="9"/>
        <v>44896</v>
      </c>
      <c r="AD65" s="274">
        <f t="shared" ref="AD65:AL65" si="10">INDEX($A$2:$A$13,MATCH(AD63,AD2:AD13,0))</f>
        <v>44562</v>
      </c>
      <c r="AE65" s="274">
        <f t="shared" si="10"/>
        <v>44562</v>
      </c>
      <c r="AF65" s="274">
        <f t="shared" si="10"/>
        <v>44562</v>
      </c>
      <c r="AG65" s="274">
        <f t="shared" si="10"/>
        <v>44896</v>
      </c>
      <c r="AH65" s="274">
        <f t="shared" si="10"/>
        <v>44896</v>
      </c>
      <c r="AI65" s="274">
        <f t="shared" si="10"/>
        <v>44896</v>
      </c>
      <c r="AJ65" s="274">
        <f t="shared" si="10"/>
        <v>44682</v>
      </c>
      <c r="AK65" s="274">
        <f t="shared" si="10"/>
        <v>44562</v>
      </c>
      <c r="AL65" s="274">
        <f t="shared" si="10"/>
        <v>44682</v>
      </c>
      <c r="AM65" s="274">
        <f>INDEX($A$2:$A$13,MATCH(AM63,AM2:AM13,0))</f>
        <v>44562</v>
      </c>
      <c r="AN65" s="274">
        <f>INDEX($A$2:$A$13,MATCH(AN63,AN2:AN13,0))</f>
        <v>44562</v>
      </c>
      <c r="AO65" s="274">
        <f>INDEX($A$2:$A$13,MATCH(AO63,AO2:AO13,0))</f>
        <v>44562</v>
      </c>
    </row>
    <row r="66" spans="1:41">
      <c r="A66" s="82" t="s">
        <v>1404</v>
      </c>
      <c r="B66" s="82">
        <v>2023</v>
      </c>
      <c r="C66" s="274">
        <f t="shared" ref="C66:K66" si="11">INDEX($A$14:$A$25,MATCH(C64,C14:C25,0))</f>
        <v>44927</v>
      </c>
      <c r="D66" s="274">
        <f t="shared" si="11"/>
        <v>44927</v>
      </c>
      <c r="E66" s="274">
        <f t="shared" si="11"/>
        <v>44927</v>
      </c>
      <c r="F66" s="274">
        <f t="shared" si="11"/>
        <v>44927</v>
      </c>
      <c r="G66" s="274">
        <f t="shared" si="11"/>
        <v>44927</v>
      </c>
      <c r="H66" s="274">
        <f t="shared" si="11"/>
        <v>44927</v>
      </c>
      <c r="I66" s="274">
        <f t="shared" si="11"/>
        <v>44927</v>
      </c>
      <c r="J66" s="274">
        <f t="shared" si="11"/>
        <v>44927</v>
      </c>
      <c r="K66" s="274">
        <f t="shared" si="11"/>
        <v>44927</v>
      </c>
      <c r="L66" s="274">
        <f t="shared" ref="L66:AC66" si="12">INDEX($A$14:$A$25,MATCH(L64,L14:L25,0))</f>
        <v>44927</v>
      </c>
      <c r="M66" s="274">
        <f t="shared" si="12"/>
        <v>44927</v>
      </c>
      <c r="N66" s="274">
        <f t="shared" si="12"/>
        <v>45261</v>
      </c>
      <c r="O66" s="274">
        <f t="shared" si="12"/>
        <v>44927</v>
      </c>
      <c r="P66" s="274">
        <f t="shared" si="12"/>
        <v>44927</v>
      </c>
      <c r="Q66" s="274">
        <f t="shared" si="12"/>
        <v>44927</v>
      </c>
      <c r="R66" s="274">
        <f t="shared" si="12"/>
        <v>45261</v>
      </c>
      <c r="S66" s="274">
        <f t="shared" si="12"/>
        <v>44927</v>
      </c>
      <c r="T66" s="274">
        <f t="shared" si="12"/>
        <v>45261</v>
      </c>
      <c r="U66" s="274">
        <f t="shared" si="12"/>
        <v>44927</v>
      </c>
      <c r="V66" s="274">
        <f t="shared" si="12"/>
        <v>44927</v>
      </c>
      <c r="W66" s="274">
        <f t="shared" si="12"/>
        <v>44927</v>
      </c>
      <c r="X66" s="274">
        <f t="shared" si="12"/>
        <v>44927</v>
      </c>
      <c r="Y66" s="274">
        <f t="shared" si="12"/>
        <v>44927</v>
      </c>
      <c r="Z66" s="274">
        <f t="shared" si="12"/>
        <v>44927</v>
      </c>
      <c r="AA66" s="274">
        <f t="shared" si="12"/>
        <v>45261</v>
      </c>
      <c r="AB66" s="274">
        <f t="shared" si="12"/>
        <v>45261</v>
      </c>
      <c r="AC66" s="274">
        <f t="shared" si="12"/>
        <v>45261</v>
      </c>
      <c r="AD66" s="274">
        <f t="shared" ref="AD66:AL66" si="13">INDEX($A$14:$A$25,MATCH(AD64,AD14:AD25,0))</f>
        <v>44927</v>
      </c>
      <c r="AE66" s="274">
        <f t="shared" si="13"/>
        <v>44927</v>
      </c>
      <c r="AF66" s="274">
        <f t="shared" si="13"/>
        <v>44927</v>
      </c>
      <c r="AG66" s="274">
        <f t="shared" si="13"/>
        <v>45261</v>
      </c>
      <c r="AH66" s="274">
        <f t="shared" si="13"/>
        <v>45261</v>
      </c>
      <c r="AI66" s="274">
        <f t="shared" si="13"/>
        <v>45261</v>
      </c>
      <c r="AJ66" s="274">
        <f t="shared" si="13"/>
        <v>45047</v>
      </c>
      <c r="AK66" s="274">
        <f t="shared" si="13"/>
        <v>44927</v>
      </c>
      <c r="AL66" s="274">
        <f t="shared" si="13"/>
        <v>45261</v>
      </c>
      <c r="AM66" s="274">
        <f>INDEX($A$14:$A$25,MATCH(AM64,AM14:AM25,0))</f>
        <v>44927</v>
      </c>
      <c r="AN66" s="274">
        <f>INDEX($A$14:$A$25,MATCH(AN64,AN14:AN25,0))</f>
        <v>44927</v>
      </c>
      <c r="AO66" s="274">
        <f>INDEX($A$14:$A$25,MATCH(AO64,AO14:AO25,0))</f>
        <v>44927</v>
      </c>
    </row>
  </sheetData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F29B6-F467-4AAD-B7D4-68085A4146ED}">
  <sheetPr codeName="Sheet40">
    <tabColor theme="0" tint="-0.34998626667073579"/>
  </sheetPr>
  <dimension ref="A1"/>
  <sheetViews>
    <sheetView workbookViewId="0"/>
  </sheetViews>
  <sheetFormatPr defaultColWidth="8.85546875" defaultRowHeight="12.75"/>
  <cols>
    <col min="1" max="16384" width="8.85546875" style="71"/>
  </cols>
  <sheetData/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8F0D0-4579-4FE9-A11C-F902A1F6D7BB}">
  <sheetPr codeName="Sheet2">
    <tabColor theme="0" tint="-0.34998626667073579"/>
  </sheetPr>
  <dimension ref="A1:AO94"/>
  <sheetViews>
    <sheetView topLeftCell="G1" workbookViewId="0">
      <selection activeCell="Q2" sqref="Q2"/>
    </sheetView>
  </sheetViews>
  <sheetFormatPr defaultColWidth="9.140625" defaultRowHeight="12.75"/>
  <cols>
    <col min="1" max="1" width="10" style="576" customWidth="1"/>
    <col min="2" max="2" width="5.42578125" style="576" customWidth="1"/>
    <col min="3" max="3" width="11.42578125" style="576" customWidth="1"/>
    <col min="4" max="4" width="9.5703125" style="576" customWidth="1"/>
    <col min="5" max="5" width="10.28515625" style="576" customWidth="1"/>
    <col min="6" max="6" width="2.5703125" style="576" customWidth="1"/>
    <col min="7" max="7" width="10" style="576" bestFit="1" customWidth="1"/>
    <col min="8" max="8" width="5.42578125" style="576" bestFit="1" customWidth="1"/>
    <col min="9" max="9" width="11.42578125" style="576" bestFit="1" customWidth="1"/>
    <col min="10" max="10" width="9.5703125" style="576" bestFit="1" customWidth="1"/>
    <col min="11" max="11" width="11.42578125" style="577" bestFit="1" customWidth="1"/>
    <col min="12" max="12" width="2.5703125" style="576" customWidth="1"/>
    <col min="13" max="13" width="10" style="576" customWidth="1"/>
    <col min="14" max="14" width="5.42578125" style="576" customWidth="1"/>
    <col min="15" max="15" width="11.42578125" style="576" customWidth="1"/>
    <col min="16" max="16" width="9.5703125" style="576" customWidth="1"/>
    <col min="17" max="17" width="10.28515625" style="576" customWidth="1"/>
    <col min="18" max="18" width="9.140625" style="576" customWidth="1"/>
    <col min="19" max="19" width="9.140625" style="74" customWidth="1"/>
    <col min="20" max="20" width="8.85546875" style="74" customWidth="1"/>
    <col min="21" max="22" width="9.140625" style="74" customWidth="1"/>
    <col min="23" max="23" width="10.140625" style="74" customWidth="1"/>
    <col min="24" max="24" width="9.140625" style="576"/>
    <col min="25" max="25" width="12" style="578" bestFit="1" customWidth="1"/>
    <col min="26" max="27" width="11.140625" style="576" customWidth="1"/>
    <col min="28" max="28" width="11" style="576" bestFit="1" customWidth="1"/>
    <col min="29" max="29" width="12.42578125" style="576" bestFit="1" customWidth="1"/>
    <col min="30" max="30" width="9.140625" style="576"/>
    <col min="31" max="31" width="9.42578125" style="576" bestFit="1" customWidth="1"/>
    <col min="32" max="32" width="9.140625" style="576"/>
    <col min="33" max="16384" width="9.140625" style="129"/>
  </cols>
  <sheetData>
    <row r="1" spans="1:29">
      <c r="A1" s="575" t="s">
        <v>124</v>
      </c>
      <c r="C1" s="575"/>
      <c r="D1" s="575"/>
      <c r="E1" s="575"/>
      <c r="F1" s="575"/>
      <c r="L1" s="575"/>
    </row>
    <row r="2" spans="1:29">
      <c r="A2" s="579"/>
      <c r="C2" s="579"/>
      <c r="D2" s="579"/>
      <c r="E2" s="579"/>
      <c r="F2" s="579"/>
      <c r="L2" s="579"/>
      <c r="N2" s="580"/>
    </row>
    <row r="3" spans="1:29" ht="25.5">
      <c r="A3" s="688" t="s">
        <v>125</v>
      </c>
      <c r="B3" s="688"/>
      <c r="C3" s="688"/>
      <c r="D3" s="688"/>
      <c r="E3" s="688"/>
      <c r="G3" s="688" t="s">
        <v>126</v>
      </c>
      <c r="H3" s="688"/>
      <c r="I3" s="688"/>
      <c r="J3" s="688"/>
      <c r="K3" s="689"/>
      <c r="M3" s="688" t="s">
        <v>127</v>
      </c>
      <c r="N3" s="688"/>
      <c r="O3" s="688"/>
      <c r="P3" s="688"/>
      <c r="Q3" s="688"/>
      <c r="S3" s="688" t="s">
        <v>974</v>
      </c>
      <c r="T3" s="688"/>
      <c r="U3" s="688"/>
      <c r="V3" s="688"/>
      <c r="W3" s="688"/>
      <c r="Y3" s="581" t="s">
        <v>1459</v>
      </c>
      <c r="Z3" s="582"/>
      <c r="AA3" s="582" t="s">
        <v>1462</v>
      </c>
      <c r="AB3" s="582" t="s">
        <v>1463</v>
      </c>
      <c r="AC3" s="576" t="s">
        <v>1464</v>
      </c>
    </row>
    <row r="4" spans="1:29" ht="13.5" thickBot="1">
      <c r="A4" s="583" t="s">
        <v>11</v>
      </c>
      <c r="B4" s="584" t="s">
        <v>128</v>
      </c>
      <c r="C4" s="583" t="s">
        <v>129</v>
      </c>
      <c r="D4" s="583" t="s">
        <v>130</v>
      </c>
      <c r="E4" s="583" t="s">
        <v>131</v>
      </c>
      <c r="G4" s="583" t="s">
        <v>11</v>
      </c>
      <c r="H4" s="584" t="s">
        <v>128</v>
      </c>
      <c r="I4" s="583" t="s">
        <v>129</v>
      </c>
      <c r="J4" s="583" t="s">
        <v>130</v>
      </c>
      <c r="K4" s="585" t="s">
        <v>131</v>
      </c>
      <c r="M4" s="583" t="s">
        <v>11</v>
      </c>
      <c r="N4" s="584" t="s">
        <v>128</v>
      </c>
      <c r="O4" s="583" t="s">
        <v>129</v>
      </c>
      <c r="P4" s="583" t="s">
        <v>130</v>
      </c>
      <c r="Q4" s="583" t="s">
        <v>131</v>
      </c>
      <c r="S4" s="583" t="s">
        <v>11</v>
      </c>
      <c r="T4" s="584" t="s">
        <v>128</v>
      </c>
      <c r="U4" s="583" t="s">
        <v>129</v>
      </c>
      <c r="V4" s="583" t="s">
        <v>130</v>
      </c>
      <c r="W4" s="583" t="s">
        <v>131</v>
      </c>
      <c r="Y4" s="586">
        <v>2021</v>
      </c>
      <c r="Z4" s="587"/>
      <c r="AA4" s="587">
        <v>2021</v>
      </c>
      <c r="AB4" s="587">
        <v>2021</v>
      </c>
      <c r="AC4" s="587">
        <v>2021</v>
      </c>
    </row>
    <row r="5" spans="1:29">
      <c r="A5" s="588" t="str">
        <f>'Input 7_NG Rates'!$B$227</f>
        <v>FMRES</v>
      </c>
      <c r="B5" s="576">
        <v>2020</v>
      </c>
      <c r="C5" s="576" t="s">
        <v>112</v>
      </c>
      <c r="D5" s="576" t="s">
        <v>132</v>
      </c>
      <c r="E5" s="577">
        <v>0.24864549</v>
      </c>
      <c r="G5" s="588" t="str">
        <f>'Input 7_NG Rates'!$B$227</f>
        <v>FMRES</v>
      </c>
      <c r="H5" s="576">
        <v>2021</v>
      </c>
      <c r="I5" s="576" t="s">
        <v>112</v>
      </c>
      <c r="J5" s="576" t="s">
        <v>996</v>
      </c>
      <c r="K5" s="589">
        <v>0.16325419999999999</v>
      </c>
      <c r="M5" s="588" t="str">
        <f>'Input 7_NG Rates'!$B$227</f>
        <v>FMRES</v>
      </c>
      <c r="N5" s="576">
        <v>2022</v>
      </c>
      <c r="O5" s="576" t="s">
        <v>112</v>
      </c>
      <c r="P5" s="576" t="s">
        <v>132</v>
      </c>
      <c r="Q5" s="577">
        <v>0.15245262000000001</v>
      </c>
      <c r="S5" s="588" t="str">
        <f>'Input 7_NG Rates'!$B$227</f>
        <v>FMRES</v>
      </c>
      <c r="T5" s="576">
        <v>2019</v>
      </c>
      <c r="U5" s="576" t="s">
        <v>112</v>
      </c>
      <c r="V5" s="576" t="s">
        <v>132</v>
      </c>
      <c r="W5" s="577">
        <v>0.29381699</v>
      </c>
      <c r="Y5" s="578">
        <v>7.6420000000000002E-2</v>
      </c>
      <c r="AC5" s="576">
        <f t="shared" ref="AC5:AC17" si="0">AA5+AB5</f>
        <v>0</v>
      </c>
    </row>
    <row r="6" spans="1:29">
      <c r="A6" s="588" t="str">
        <f>'Input 7_NG Rates'!$B$215</f>
        <v>FMCS1</v>
      </c>
      <c r="B6" s="576">
        <v>2020</v>
      </c>
      <c r="C6" s="576" t="s">
        <v>100</v>
      </c>
      <c r="D6" s="576" t="s">
        <v>132</v>
      </c>
      <c r="E6" s="577">
        <v>7.7049709999999993E-2</v>
      </c>
      <c r="G6" s="588" t="str">
        <f>'Input 7_NG Rates'!$B$215</f>
        <v>FMCS1</v>
      </c>
      <c r="H6" s="576">
        <v>2021</v>
      </c>
      <c r="I6" s="576" t="s">
        <v>100</v>
      </c>
      <c r="J6" s="576" t="s">
        <v>996</v>
      </c>
      <c r="K6" s="589">
        <v>1.9593889999999999E-2</v>
      </c>
      <c r="M6" s="588" t="str">
        <f>'Input 7_NG Rates'!$B$215</f>
        <v>FMCS1</v>
      </c>
      <c r="N6" s="576">
        <v>2022</v>
      </c>
      <c r="O6" s="576" t="s">
        <v>100</v>
      </c>
      <c r="P6" s="576" t="s">
        <v>132</v>
      </c>
      <c r="Q6" s="577">
        <v>1.456288E-2</v>
      </c>
      <c r="S6" s="588" t="str">
        <f>'Input 7_NG Rates'!$B$215</f>
        <v>FMCS1</v>
      </c>
      <c r="T6" s="576">
        <v>2019</v>
      </c>
      <c r="U6" s="576" t="s">
        <v>100</v>
      </c>
      <c r="V6" s="576" t="s">
        <v>132</v>
      </c>
      <c r="W6" s="577">
        <v>8.8832330000000001E-2</v>
      </c>
      <c r="Y6" s="578">
        <v>4.8050000000000002E-2</v>
      </c>
      <c r="AC6" s="576">
        <f t="shared" si="0"/>
        <v>0</v>
      </c>
    </row>
    <row r="7" spans="1:29">
      <c r="B7" s="576">
        <v>2020</v>
      </c>
      <c r="C7" s="576" t="s">
        <v>133</v>
      </c>
      <c r="D7" s="576" t="s">
        <v>132</v>
      </c>
      <c r="E7" s="577">
        <v>7.7049709999999993E-2</v>
      </c>
      <c r="H7" s="576">
        <v>2021</v>
      </c>
      <c r="I7" s="576" t="s">
        <v>133</v>
      </c>
      <c r="J7" s="576" t="s">
        <v>996</v>
      </c>
      <c r="K7" s="589">
        <v>1.9593889999999999E-2</v>
      </c>
      <c r="N7" s="576">
        <v>2022</v>
      </c>
      <c r="O7" s="576" t="s">
        <v>133</v>
      </c>
      <c r="P7" s="576" t="s">
        <v>132</v>
      </c>
      <c r="Q7" s="577">
        <v>1.456288E-2</v>
      </c>
      <c r="S7" s="576"/>
      <c r="T7" s="576">
        <v>2019</v>
      </c>
      <c r="U7" s="576" t="s">
        <v>133</v>
      </c>
      <c r="V7" s="576" t="s">
        <v>132</v>
      </c>
      <c r="W7" s="577">
        <v>8.8832330000000001E-2</v>
      </c>
      <c r="Y7" s="578">
        <v>3.5490000000000001E-2</v>
      </c>
      <c r="AC7" s="576">
        <f t="shared" si="0"/>
        <v>0</v>
      </c>
    </row>
    <row r="8" spans="1:29">
      <c r="A8" s="588" t="str">
        <f>'Input 7_NG Rates'!$B$217</f>
        <v>FMCT1</v>
      </c>
      <c r="B8" s="576">
        <v>2020</v>
      </c>
      <c r="C8" s="576" t="s">
        <v>134</v>
      </c>
      <c r="D8" s="576" t="s">
        <v>132</v>
      </c>
      <c r="E8" s="577">
        <v>7.7049709999999993E-2</v>
      </c>
      <c r="G8" s="588" t="str">
        <f>'Input 7_NG Rates'!$B$217</f>
        <v>FMCT1</v>
      </c>
      <c r="H8" s="576">
        <v>2021</v>
      </c>
      <c r="I8" s="576" t="s">
        <v>134</v>
      </c>
      <c r="J8" s="576" t="s">
        <v>996</v>
      </c>
      <c r="K8" s="589">
        <v>1.9593889999999999E-2</v>
      </c>
      <c r="M8" s="588" t="str">
        <f>'Input 7_NG Rates'!$B$217</f>
        <v>FMCT1</v>
      </c>
      <c r="N8" s="576">
        <v>2022</v>
      </c>
      <c r="O8" s="576" t="s">
        <v>134</v>
      </c>
      <c r="P8" s="576" t="s">
        <v>132</v>
      </c>
      <c r="Q8" s="577">
        <v>1.456288E-2</v>
      </c>
      <c r="S8" s="588" t="str">
        <f>'Input 7_NG Rates'!$B$217</f>
        <v>FMCT1</v>
      </c>
      <c r="T8" s="576">
        <v>2019</v>
      </c>
      <c r="U8" s="576" t="s">
        <v>134</v>
      </c>
      <c r="V8" s="576" t="s">
        <v>132</v>
      </c>
      <c r="W8" s="577">
        <v>8.8832330000000001E-2</v>
      </c>
      <c r="AC8" s="576">
        <f t="shared" si="0"/>
        <v>0</v>
      </c>
    </row>
    <row r="9" spans="1:29">
      <c r="B9" s="576">
        <v>2020</v>
      </c>
      <c r="C9" s="576" t="s">
        <v>135</v>
      </c>
      <c r="D9" s="576" t="s">
        <v>132</v>
      </c>
      <c r="E9" s="577">
        <v>7.7049709999999993E-2</v>
      </c>
      <c r="H9" s="576">
        <v>2021</v>
      </c>
      <c r="I9" s="576" t="s">
        <v>135</v>
      </c>
      <c r="J9" s="576" t="s">
        <v>996</v>
      </c>
      <c r="K9" s="589">
        <v>1.9593889999999999E-2</v>
      </c>
      <c r="N9" s="576">
        <v>2022</v>
      </c>
      <c r="O9" s="576" t="s">
        <v>135</v>
      </c>
      <c r="P9" s="576" t="s">
        <v>132</v>
      </c>
      <c r="Q9" s="577">
        <v>1.456288E-2</v>
      </c>
      <c r="S9" s="576"/>
      <c r="T9" s="576">
        <v>2019</v>
      </c>
      <c r="U9" s="576" t="s">
        <v>135</v>
      </c>
      <c r="V9" s="576" t="s">
        <v>132</v>
      </c>
      <c r="W9" s="577">
        <v>8.8832330000000001E-2</v>
      </c>
      <c r="AC9" s="576">
        <f t="shared" si="0"/>
        <v>0</v>
      </c>
    </row>
    <row r="10" spans="1:29">
      <c r="A10" s="588" t="str">
        <f>'Input 7_NG Rates'!$B$221</f>
        <v>FMLV1</v>
      </c>
      <c r="B10" s="576">
        <v>2020</v>
      </c>
      <c r="C10" s="576" t="s">
        <v>101</v>
      </c>
      <c r="D10" s="576" t="s">
        <v>132</v>
      </c>
      <c r="E10" s="577">
        <v>0</v>
      </c>
      <c r="G10" s="588" t="str">
        <f>'Input 7_NG Rates'!$B$221</f>
        <v>FMLV1</v>
      </c>
      <c r="H10" s="576">
        <v>2021</v>
      </c>
      <c r="I10" s="576" t="s">
        <v>101</v>
      </c>
      <c r="J10" s="576" t="s">
        <v>996</v>
      </c>
      <c r="K10" s="589">
        <v>0</v>
      </c>
      <c r="M10" s="588" t="str">
        <f>'Input 7_NG Rates'!$B$221</f>
        <v>FMLV1</v>
      </c>
      <c r="N10" s="576">
        <v>2022</v>
      </c>
      <c r="O10" s="576" t="s">
        <v>101</v>
      </c>
      <c r="P10" s="576" t="s">
        <v>132</v>
      </c>
      <c r="Q10" s="577">
        <v>0</v>
      </c>
      <c r="S10" s="588" t="str">
        <f>'Input 7_NG Rates'!$B$221</f>
        <v>FMLV1</v>
      </c>
      <c r="T10" s="576">
        <v>2019</v>
      </c>
      <c r="U10" s="576" t="s">
        <v>101</v>
      </c>
      <c r="V10" s="576" t="s">
        <v>132</v>
      </c>
      <c r="W10" s="577">
        <v>0</v>
      </c>
      <c r="Y10" s="578">
        <v>2.9649999999999999E-2</v>
      </c>
      <c r="AC10" s="576">
        <f t="shared" si="0"/>
        <v>0</v>
      </c>
    </row>
    <row r="11" spans="1:29">
      <c r="A11" s="588" t="str">
        <f>'Input 7_NG Rates'!$B$220</f>
        <v>FMLT1</v>
      </c>
      <c r="B11" s="576">
        <v>2020</v>
      </c>
      <c r="C11" s="576" t="s">
        <v>136</v>
      </c>
      <c r="D11" s="576" t="s">
        <v>132</v>
      </c>
      <c r="E11" s="577">
        <v>0</v>
      </c>
      <c r="G11" s="588" t="str">
        <f>'Input 7_NG Rates'!$B$220</f>
        <v>FMLT1</v>
      </c>
      <c r="H11" s="576">
        <v>2021</v>
      </c>
      <c r="I11" s="576" t="s">
        <v>136</v>
      </c>
      <c r="J11" s="576" t="s">
        <v>996</v>
      </c>
      <c r="K11" s="589">
        <v>0</v>
      </c>
      <c r="M11" s="588" t="str">
        <f>'Input 7_NG Rates'!$B$220</f>
        <v>FMLT1</v>
      </c>
      <c r="N11" s="576">
        <v>2022</v>
      </c>
      <c r="O11" s="576" t="s">
        <v>136</v>
      </c>
      <c r="P11" s="576" t="s">
        <v>132</v>
      </c>
      <c r="Q11" s="577">
        <v>0</v>
      </c>
      <c r="S11" s="588" t="str">
        <f>'Input 7_NG Rates'!$B$220</f>
        <v>FMLT1</v>
      </c>
      <c r="T11" s="576">
        <v>2019</v>
      </c>
      <c r="U11" s="576" t="s">
        <v>136</v>
      </c>
      <c r="V11" s="576" t="s">
        <v>132</v>
      </c>
      <c r="W11" s="577">
        <v>0</v>
      </c>
      <c r="Y11" s="578">
        <v>2.9649999999999999E-2</v>
      </c>
      <c r="AB11" s="576">
        <v>0.1052</v>
      </c>
      <c r="AC11" s="576">
        <f t="shared" si="0"/>
        <v>0.1052</v>
      </c>
    </row>
    <row r="12" spans="1:29">
      <c r="B12" s="576">
        <v>2020</v>
      </c>
      <c r="C12" s="576" t="s">
        <v>137</v>
      </c>
      <c r="D12" s="576" t="s">
        <v>132</v>
      </c>
      <c r="E12" s="577">
        <v>0</v>
      </c>
      <c r="H12" s="576">
        <v>2021</v>
      </c>
      <c r="I12" s="576" t="s">
        <v>137</v>
      </c>
      <c r="J12" s="576" t="s">
        <v>996</v>
      </c>
      <c r="K12" s="589">
        <v>0</v>
      </c>
      <c r="N12" s="576">
        <v>2022</v>
      </c>
      <c r="O12" s="576" t="s">
        <v>137</v>
      </c>
      <c r="P12" s="576" t="s">
        <v>132</v>
      </c>
      <c r="Q12" s="577">
        <v>0</v>
      </c>
      <c r="S12" s="576"/>
      <c r="T12" s="576">
        <v>2019</v>
      </c>
      <c r="U12" s="576" t="s">
        <v>137</v>
      </c>
      <c r="V12" s="576" t="s">
        <v>132</v>
      </c>
      <c r="W12" s="577">
        <v>0</v>
      </c>
      <c r="AC12" s="576">
        <f t="shared" si="0"/>
        <v>0</v>
      </c>
    </row>
    <row r="13" spans="1:29">
      <c r="B13" s="576">
        <v>2020</v>
      </c>
      <c r="C13" s="576" t="s">
        <v>138</v>
      </c>
      <c r="D13" s="576" t="s">
        <v>132</v>
      </c>
      <c r="E13" s="577">
        <v>0</v>
      </c>
      <c r="H13" s="576">
        <v>2021</v>
      </c>
      <c r="I13" s="576" t="s">
        <v>138</v>
      </c>
      <c r="J13" s="576" t="s">
        <v>996</v>
      </c>
      <c r="K13" s="589">
        <v>0</v>
      </c>
      <c r="N13" s="576">
        <v>2022</v>
      </c>
      <c r="O13" s="576" t="s">
        <v>138</v>
      </c>
      <c r="P13" s="576" t="s">
        <v>132</v>
      </c>
      <c r="Q13" s="577">
        <v>0</v>
      </c>
      <c r="S13" s="576"/>
      <c r="T13" s="576">
        <v>2019</v>
      </c>
      <c r="U13" s="576" t="s">
        <v>138</v>
      </c>
      <c r="V13" s="576" t="s">
        <v>132</v>
      </c>
      <c r="W13" s="577">
        <v>0</v>
      </c>
      <c r="AC13" s="576">
        <f t="shared" si="0"/>
        <v>0</v>
      </c>
    </row>
    <row r="14" spans="1:29">
      <c r="B14" s="576">
        <v>2020</v>
      </c>
      <c r="C14" s="576" t="s">
        <v>139</v>
      </c>
      <c r="D14" s="576" t="s">
        <v>132</v>
      </c>
      <c r="E14" s="577">
        <v>0</v>
      </c>
      <c r="H14" s="576">
        <v>2021</v>
      </c>
      <c r="I14" s="576" t="s">
        <v>139</v>
      </c>
      <c r="J14" s="576" t="s">
        <v>996</v>
      </c>
      <c r="K14" s="589">
        <v>0</v>
      </c>
      <c r="N14" s="576">
        <v>2022</v>
      </c>
      <c r="O14" s="576" t="s">
        <v>139</v>
      </c>
      <c r="P14" s="576" t="s">
        <v>132</v>
      </c>
      <c r="Q14" s="577">
        <v>0</v>
      </c>
      <c r="S14" s="576"/>
      <c r="T14" s="576">
        <v>2019</v>
      </c>
      <c r="U14" s="576" t="s">
        <v>139</v>
      </c>
      <c r="V14" s="576" t="s">
        <v>132</v>
      </c>
      <c r="W14" s="577">
        <v>0</v>
      </c>
      <c r="AC14" s="576">
        <f t="shared" si="0"/>
        <v>0</v>
      </c>
    </row>
    <row r="15" spans="1:29">
      <c r="B15" s="576">
        <v>2020</v>
      </c>
      <c r="C15" s="576" t="s">
        <v>140</v>
      </c>
      <c r="D15" s="576" t="s">
        <v>132</v>
      </c>
      <c r="E15" s="577">
        <v>0</v>
      </c>
      <c r="H15" s="576">
        <v>2021</v>
      </c>
      <c r="I15" s="576" t="s">
        <v>140</v>
      </c>
      <c r="J15" s="576" t="s">
        <v>996</v>
      </c>
      <c r="K15" s="589">
        <v>0</v>
      </c>
      <c r="N15" s="576">
        <v>2022</v>
      </c>
      <c r="O15" s="576" t="s">
        <v>140</v>
      </c>
      <c r="P15" s="576" t="s">
        <v>132</v>
      </c>
      <c r="Q15" s="577">
        <v>0</v>
      </c>
      <c r="S15" s="576"/>
      <c r="T15" s="576">
        <v>2019</v>
      </c>
      <c r="U15" s="576" t="s">
        <v>140</v>
      </c>
      <c r="V15" s="576" t="s">
        <v>132</v>
      </c>
      <c r="W15" s="577">
        <v>0</v>
      </c>
      <c r="AC15" s="576">
        <f t="shared" si="0"/>
        <v>0</v>
      </c>
    </row>
    <row r="16" spans="1:29">
      <c r="A16" s="588" t="str">
        <f>'Input 7_NG Rates'!$B$238</f>
        <v>GCNGV</v>
      </c>
      <c r="B16" s="576">
        <v>2020</v>
      </c>
      <c r="C16" s="576" t="s">
        <v>110</v>
      </c>
      <c r="D16" s="576" t="s">
        <v>132</v>
      </c>
      <c r="E16" s="577">
        <v>0</v>
      </c>
      <c r="G16" s="588" t="str">
        <f>'Input 7_NG Rates'!$B$238</f>
        <v>GCNGV</v>
      </c>
      <c r="H16" s="576">
        <v>2021</v>
      </c>
      <c r="I16" s="576" t="s">
        <v>110</v>
      </c>
      <c r="J16" s="576" t="s">
        <v>996</v>
      </c>
      <c r="K16" s="589">
        <v>0</v>
      </c>
      <c r="M16" s="588" t="str">
        <f>'Input 7_NG Rates'!$B$238</f>
        <v>GCNGV</v>
      </c>
      <c r="N16" s="576">
        <v>2022</v>
      </c>
      <c r="O16" s="576" t="s">
        <v>110</v>
      </c>
      <c r="P16" s="576" t="s">
        <v>132</v>
      </c>
      <c r="Q16" s="577">
        <v>0</v>
      </c>
      <c r="S16" s="588" t="str">
        <f>'Input 7_NG Rates'!$B$238</f>
        <v>GCNGV</v>
      </c>
      <c r="T16" s="576">
        <v>2019</v>
      </c>
      <c r="U16" s="576" t="s">
        <v>110</v>
      </c>
      <c r="V16" s="576" t="s">
        <v>132</v>
      </c>
      <c r="W16" s="577">
        <v>0</v>
      </c>
      <c r="AC16" s="576">
        <f t="shared" si="0"/>
        <v>0</v>
      </c>
    </row>
    <row r="17" spans="1:29">
      <c r="A17" s="588" t="str">
        <f>'Input 7_NG Rates'!$B$286</f>
        <v>GTNGV</v>
      </c>
      <c r="B17" s="576">
        <v>2020</v>
      </c>
      <c r="C17" s="576" t="s">
        <v>141</v>
      </c>
      <c r="D17" s="576" t="s">
        <v>132</v>
      </c>
      <c r="E17" s="577">
        <v>0</v>
      </c>
      <c r="G17" s="588" t="str">
        <f>'Input 7_NG Rates'!$B$286</f>
        <v>GTNGV</v>
      </c>
      <c r="H17" s="576">
        <v>2021</v>
      </c>
      <c r="I17" s="576" t="s">
        <v>141</v>
      </c>
      <c r="J17" s="576" t="s">
        <v>996</v>
      </c>
      <c r="K17" s="589">
        <v>0</v>
      </c>
      <c r="M17" s="588" t="str">
        <f>'Input 7_NG Rates'!$B$286</f>
        <v>GTNGV</v>
      </c>
      <c r="N17" s="576">
        <v>2022</v>
      </c>
      <c r="O17" s="576" t="s">
        <v>141</v>
      </c>
      <c r="P17" s="576" t="s">
        <v>132</v>
      </c>
      <c r="Q17" s="577">
        <v>0</v>
      </c>
      <c r="S17" s="588" t="str">
        <f>'Input 7_NG Rates'!$B$286</f>
        <v>GTNGV</v>
      </c>
      <c r="T17" s="576">
        <v>2019</v>
      </c>
      <c r="U17" s="576" t="s">
        <v>141</v>
      </c>
      <c r="V17" s="576" t="s">
        <v>132</v>
      </c>
      <c r="W17" s="577">
        <v>0</v>
      </c>
      <c r="AC17" s="576">
        <f t="shared" si="0"/>
        <v>0</v>
      </c>
    </row>
    <row r="18" spans="1:29">
      <c r="A18" s="588" t="str">
        <f>'Input 7_NG Rates'!$B$280</f>
        <v>GRS31</v>
      </c>
      <c r="B18" s="576">
        <v>2020</v>
      </c>
      <c r="C18" s="576" t="s">
        <v>112</v>
      </c>
      <c r="D18" s="576" t="s">
        <v>15</v>
      </c>
      <c r="E18" s="577">
        <v>0.22311856999999999</v>
      </c>
      <c r="G18" s="588" t="str">
        <f>'Input 7_NG Rates'!$B$280</f>
        <v>GRS31</v>
      </c>
      <c r="H18" s="576">
        <v>2021</v>
      </c>
      <c r="I18" s="576" t="s">
        <v>112</v>
      </c>
      <c r="J18" s="60" t="s">
        <v>15</v>
      </c>
      <c r="K18" s="577">
        <v>0.22416679073864304</v>
      </c>
      <c r="M18" s="588" t="str">
        <f>'Input 7_NG Rates'!$B$280</f>
        <v>GRS31</v>
      </c>
      <c r="N18" s="576">
        <v>2022</v>
      </c>
      <c r="O18" s="576" t="s">
        <v>112</v>
      </c>
      <c r="P18" s="576" t="s">
        <v>15</v>
      </c>
      <c r="Q18" s="577">
        <v>0.31641503077805899</v>
      </c>
      <c r="S18" s="588" t="str">
        <f>'Input 7_NG Rates'!$B$280</f>
        <v>GRS31</v>
      </c>
      <c r="T18" s="576">
        <v>2019</v>
      </c>
      <c r="U18" s="576" t="s">
        <v>112</v>
      </c>
      <c r="V18" s="576" t="s">
        <v>15</v>
      </c>
      <c r="W18" s="577">
        <v>0.21355929000000001</v>
      </c>
      <c r="Y18" s="578">
        <v>7.6420000000000002E-2</v>
      </c>
      <c r="AA18" s="74">
        <v>0.99587000000000003</v>
      </c>
      <c r="AB18" s="578"/>
      <c r="AC18" s="576">
        <f>AA18+AB18</f>
        <v>0.99587000000000003</v>
      </c>
    </row>
    <row r="19" spans="1:29">
      <c r="A19" s="588" t="str">
        <f>'Input 7_NG Rates'!$B$245</f>
        <v>GCS11</v>
      </c>
      <c r="B19" s="576">
        <v>2020</v>
      </c>
      <c r="C19" s="576" t="s">
        <v>100</v>
      </c>
      <c r="D19" s="576" t="s">
        <v>15</v>
      </c>
      <c r="E19" s="577">
        <v>0.14188168000000001</v>
      </c>
      <c r="G19" s="588" t="str">
        <f>'Input 7_NG Rates'!$B$245</f>
        <v>GCS11</v>
      </c>
      <c r="H19" s="576">
        <v>2021</v>
      </c>
      <c r="I19" s="576" t="s">
        <v>100</v>
      </c>
      <c r="J19" s="60" t="s">
        <v>15</v>
      </c>
      <c r="K19" s="577">
        <v>0.15179948367288987</v>
      </c>
      <c r="M19" s="588" t="str">
        <f>'Input 7_NG Rates'!$B$245</f>
        <v>GCS11</v>
      </c>
      <c r="N19" s="576">
        <v>2022</v>
      </c>
      <c r="O19" s="576" t="s">
        <v>100</v>
      </c>
      <c r="P19" s="576" t="s">
        <v>15</v>
      </c>
      <c r="Q19" s="577">
        <v>0.22966025637609164</v>
      </c>
      <c r="S19" s="588" t="str">
        <f>'Input 7_NG Rates'!$B$245</f>
        <v>GCS11</v>
      </c>
      <c r="T19" s="576">
        <v>2019</v>
      </c>
      <c r="U19" s="576" t="s">
        <v>100</v>
      </c>
      <c r="V19" s="576" t="s">
        <v>15</v>
      </c>
      <c r="W19" s="577">
        <v>0.13672065999999999</v>
      </c>
      <c r="Y19" s="578">
        <v>4.8050000000000002E-2</v>
      </c>
      <c r="AA19" s="74">
        <v>0.99587000000000003</v>
      </c>
      <c r="AB19" s="578"/>
      <c r="AC19" s="576">
        <f t="shared" ref="AC19:AC30" si="1">AA19+AB19</f>
        <v>0.99587000000000003</v>
      </c>
    </row>
    <row r="20" spans="1:29">
      <c r="A20" s="588" t="str">
        <f>'Input 7_NG Rates'!$B$246</f>
        <v>GCS41</v>
      </c>
      <c r="B20" s="576">
        <v>2020</v>
      </c>
      <c r="C20" s="576" t="s">
        <v>133</v>
      </c>
      <c r="D20" s="576" t="s">
        <v>15</v>
      </c>
      <c r="E20" s="577">
        <v>0.14188168000000001</v>
      </c>
      <c r="G20" s="588" t="str">
        <f>'Input 7_NG Rates'!$B$246</f>
        <v>GCS41</v>
      </c>
      <c r="H20" s="576">
        <v>2021</v>
      </c>
      <c r="I20" s="576" t="s">
        <v>133</v>
      </c>
      <c r="J20" s="60" t="s">
        <v>15</v>
      </c>
      <c r="K20" s="577">
        <v>0.15179948367288987</v>
      </c>
      <c r="M20" s="588" t="str">
        <f>'Input 7_NG Rates'!$B$246</f>
        <v>GCS41</v>
      </c>
      <c r="N20" s="576">
        <v>2022</v>
      </c>
      <c r="O20" s="576" t="s">
        <v>133</v>
      </c>
      <c r="P20" s="576" t="s">
        <v>15</v>
      </c>
      <c r="Q20" s="577">
        <v>0.22966025637609164</v>
      </c>
      <c r="S20" s="588" t="str">
        <f>'Input 7_NG Rates'!$B$246</f>
        <v>GCS41</v>
      </c>
      <c r="T20" s="576">
        <v>2019</v>
      </c>
      <c r="U20" s="576" t="s">
        <v>133</v>
      </c>
      <c r="V20" s="576" t="s">
        <v>15</v>
      </c>
      <c r="W20" s="577">
        <v>0.13672065999999999</v>
      </c>
      <c r="Y20" s="578">
        <v>3.5490000000000001E-2</v>
      </c>
      <c r="AA20" s="74">
        <v>0.99587000000000003</v>
      </c>
      <c r="AB20" s="578"/>
      <c r="AC20" s="576">
        <f t="shared" si="1"/>
        <v>0.99587000000000003</v>
      </c>
    </row>
    <row r="21" spans="1:29">
      <c r="A21" s="588" t="str">
        <f>'Input 7_NG Rates'!$B$240</f>
        <v>GCPT1</v>
      </c>
      <c r="B21" s="576">
        <v>2020</v>
      </c>
      <c r="C21" s="576" t="s">
        <v>134</v>
      </c>
      <c r="D21" s="576" t="s">
        <v>15</v>
      </c>
      <c r="E21" s="577">
        <v>0.14188168000000001</v>
      </c>
      <c r="G21" s="588" t="str">
        <f>'Input 7_NG Rates'!$B$240</f>
        <v>GCPT1</v>
      </c>
      <c r="H21" s="576">
        <v>2021</v>
      </c>
      <c r="I21" s="576" t="s">
        <v>134</v>
      </c>
      <c r="J21" s="60" t="s">
        <v>15</v>
      </c>
      <c r="K21" s="577">
        <v>0.15179948367288987</v>
      </c>
      <c r="M21" s="588" t="str">
        <f>'Input 7_NG Rates'!$B$240</f>
        <v>GCPT1</v>
      </c>
      <c r="N21" s="576">
        <v>2022</v>
      </c>
      <c r="O21" s="576" t="s">
        <v>134</v>
      </c>
      <c r="P21" s="576" t="s">
        <v>15</v>
      </c>
      <c r="Q21" s="577">
        <v>0.22966025637609164</v>
      </c>
      <c r="S21" s="588" t="str">
        <f>'Input 7_NG Rates'!$B$240</f>
        <v>GCPT1</v>
      </c>
      <c r="T21" s="576">
        <v>2019</v>
      </c>
      <c r="U21" s="576" t="s">
        <v>134</v>
      </c>
      <c r="V21" s="576" t="s">
        <v>15</v>
      </c>
      <c r="W21" s="577">
        <v>0.13672065999999999</v>
      </c>
      <c r="Y21" s="578">
        <f>Y19</f>
        <v>4.8050000000000002E-2</v>
      </c>
      <c r="AA21" s="74"/>
      <c r="AB21" s="578">
        <v>0.11600000000000001</v>
      </c>
      <c r="AC21" s="590">
        <f>AA21+AB21</f>
        <v>0.11600000000000001</v>
      </c>
    </row>
    <row r="22" spans="1:29">
      <c r="A22" s="588" t="str">
        <f>'Input 7_NG Rates'!$B$252</f>
        <v>GCT96</v>
      </c>
      <c r="B22" s="576">
        <v>2020</v>
      </c>
      <c r="C22" s="576" t="s">
        <v>135</v>
      </c>
      <c r="D22" s="576" t="s">
        <v>15</v>
      </c>
      <c r="E22" s="577">
        <v>0.14188168000000001</v>
      </c>
      <c r="G22" s="588" t="str">
        <f>'Input 7_NG Rates'!$B$252</f>
        <v>GCT96</v>
      </c>
      <c r="H22" s="576">
        <v>2021</v>
      </c>
      <c r="I22" s="576" t="s">
        <v>135</v>
      </c>
      <c r="J22" s="60" t="s">
        <v>15</v>
      </c>
      <c r="K22" s="577">
        <v>0.15179948367288987</v>
      </c>
      <c r="M22" s="588" t="str">
        <f>'Input 7_NG Rates'!$B$252</f>
        <v>GCT96</v>
      </c>
      <c r="N22" s="576">
        <v>2022</v>
      </c>
      <c r="O22" s="576" t="s">
        <v>135</v>
      </c>
      <c r="P22" s="576" t="s">
        <v>15</v>
      </c>
      <c r="Q22" s="577">
        <v>0.22966025637609164</v>
      </c>
      <c r="S22" s="588" t="str">
        <f>'Input 7_NG Rates'!$B$252</f>
        <v>GCT96</v>
      </c>
      <c r="T22" s="576">
        <v>2019</v>
      </c>
      <c r="U22" s="576" t="s">
        <v>135</v>
      </c>
      <c r="V22" s="576" t="s">
        <v>15</v>
      </c>
      <c r="W22" s="577">
        <v>0.13672065999999999</v>
      </c>
      <c r="Y22" s="578">
        <f>Y20</f>
        <v>3.5490000000000001E-2</v>
      </c>
      <c r="AA22" s="74"/>
      <c r="AB22" s="578">
        <v>0.10929999999999999</v>
      </c>
      <c r="AC22" s="590">
        <f>AA22+AB22</f>
        <v>0.10929999999999999</v>
      </c>
    </row>
    <row r="23" spans="1:29">
      <c r="A23" s="588" t="str">
        <f>'Input 7_NG Rates'!$B$277</f>
        <v>GLV51</v>
      </c>
      <c r="B23" s="576">
        <v>2020</v>
      </c>
      <c r="C23" s="576" t="s">
        <v>101</v>
      </c>
      <c r="D23" s="576" t="s">
        <v>15</v>
      </c>
      <c r="E23" s="577">
        <v>9.2689030000000006E-2</v>
      </c>
      <c r="G23" s="588" t="str">
        <f>'Input 7_NG Rates'!$B$277</f>
        <v>GLV51</v>
      </c>
      <c r="H23" s="576">
        <v>2021</v>
      </c>
      <c r="I23" s="576" t="s">
        <v>101</v>
      </c>
      <c r="J23" s="60" t="s">
        <v>15</v>
      </c>
      <c r="K23" s="577">
        <v>0.10220922550548883</v>
      </c>
      <c r="M23" s="588" t="str">
        <f>'Input 7_NG Rates'!$B$277</f>
        <v>GLV51</v>
      </c>
      <c r="N23" s="576">
        <v>2022</v>
      </c>
      <c r="O23" s="576" t="s">
        <v>101</v>
      </c>
      <c r="P23" s="576" t="s">
        <v>15</v>
      </c>
      <c r="Q23" s="577">
        <v>0.16008413609229116</v>
      </c>
      <c r="S23" s="588" t="str">
        <f>'Input 7_NG Rates'!$B$277</f>
        <v>GLV51</v>
      </c>
      <c r="T23" s="576">
        <v>2019</v>
      </c>
      <c r="U23" s="576" t="s">
        <v>101</v>
      </c>
      <c r="V23" s="576" t="s">
        <v>15</v>
      </c>
      <c r="W23" s="577">
        <v>8.6055580000000007E-2</v>
      </c>
      <c r="Y23" s="578">
        <v>2.9649999999999999E-2</v>
      </c>
      <c r="AA23" s="74">
        <v>0.99587000000000003</v>
      </c>
      <c r="AB23" s="578"/>
      <c r="AC23" s="576">
        <f t="shared" si="1"/>
        <v>0.99587000000000003</v>
      </c>
    </row>
    <row r="24" spans="1:29">
      <c r="A24" s="588" t="str">
        <f>'Input 7_NG Rates'!$B$267</f>
        <v>GLP91</v>
      </c>
      <c r="B24" s="576">
        <v>2020</v>
      </c>
      <c r="C24" s="576" t="s">
        <v>102</v>
      </c>
      <c r="D24" s="576" t="s">
        <v>15</v>
      </c>
      <c r="E24" s="577">
        <v>9.2689030000000006E-2</v>
      </c>
      <c r="G24" s="588" t="str">
        <f>'Input 7_NG Rates'!$B$267</f>
        <v>GLP91</v>
      </c>
      <c r="H24" s="576">
        <v>2021</v>
      </c>
      <c r="I24" s="576" t="s">
        <v>102</v>
      </c>
      <c r="J24" s="60" t="s">
        <v>15</v>
      </c>
      <c r="K24" s="577">
        <v>0.10220922550548883</v>
      </c>
      <c r="M24" s="588" t="str">
        <f>'Input 7_NG Rates'!$B$267</f>
        <v>GLP91</v>
      </c>
      <c r="N24" s="576">
        <v>2022</v>
      </c>
      <c r="O24" s="576" t="s">
        <v>102</v>
      </c>
      <c r="P24" s="576" t="s">
        <v>15</v>
      </c>
      <c r="Q24" s="577">
        <v>0.16008413609229116</v>
      </c>
      <c r="S24" s="588" t="str">
        <f>'Input 7_NG Rates'!$B$267</f>
        <v>GLP91</v>
      </c>
      <c r="T24" s="576">
        <v>2019</v>
      </c>
      <c r="U24" s="576" t="s">
        <v>102</v>
      </c>
      <c r="V24" s="576" t="s">
        <v>15</v>
      </c>
      <c r="W24" s="577">
        <v>8.6055580000000007E-2</v>
      </c>
      <c r="Y24" s="578">
        <v>2.9649999999999999E-2</v>
      </c>
      <c r="AA24" s="74"/>
      <c r="AB24" s="578">
        <v>0.1052</v>
      </c>
      <c r="AC24" s="576">
        <f t="shared" si="1"/>
        <v>0.1052</v>
      </c>
    </row>
    <row r="25" spans="1:29">
      <c r="A25" s="588" t="str">
        <f>'Input 7_NG Rates'!$B$265</f>
        <v>GIS61</v>
      </c>
      <c r="B25" s="576">
        <v>2020</v>
      </c>
      <c r="C25" s="576" t="s">
        <v>137</v>
      </c>
      <c r="D25" s="576" t="s">
        <v>15</v>
      </c>
      <c r="E25" s="577">
        <v>5.8636769999999998E-2</v>
      </c>
      <c r="G25" s="588" t="str">
        <f>'Input 7_NG Rates'!$B$265</f>
        <v>GIS61</v>
      </c>
      <c r="H25" s="576">
        <v>2021</v>
      </c>
      <c r="I25" s="576" t="s">
        <v>137</v>
      </c>
      <c r="J25" s="60" t="s">
        <v>15</v>
      </c>
      <c r="K25" s="577">
        <v>6.114420386821167E-2</v>
      </c>
      <c r="M25" s="588" t="str">
        <f>'Input 7_NG Rates'!$B$265</f>
        <v>GIS61</v>
      </c>
      <c r="N25" s="576">
        <v>2022</v>
      </c>
      <c r="O25" s="576" t="s">
        <v>137</v>
      </c>
      <c r="P25" s="576" t="s">
        <v>15</v>
      </c>
      <c r="Q25" s="577">
        <v>9.5357945146999218E-2</v>
      </c>
      <c r="S25" s="588" t="str">
        <f>'Input 7_NG Rates'!$B$265</f>
        <v>GIS61</v>
      </c>
      <c r="T25" s="576">
        <v>2019</v>
      </c>
      <c r="U25" s="576" t="s">
        <v>137</v>
      </c>
      <c r="V25" s="576" t="s">
        <v>15</v>
      </c>
      <c r="W25" s="577">
        <v>5.8298780000000001E-2</v>
      </c>
      <c r="AA25" s="74">
        <v>0.99587000000000003</v>
      </c>
      <c r="AB25" s="578"/>
      <c r="AC25" s="576">
        <f t="shared" si="1"/>
        <v>0.99587000000000003</v>
      </c>
    </row>
    <row r="26" spans="1:29">
      <c r="A26" s="588" t="str">
        <f>'Input 7_NG Rates'!$B$266</f>
        <v>GIT92</v>
      </c>
      <c r="B26" s="576">
        <v>2020</v>
      </c>
      <c r="C26" s="576" t="s">
        <v>138</v>
      </c>
      <c r="D26" s="576" t="s">
        <v>15</v>
      </c>
      <c r="E26" s="577">
        <v>5.8636769999999998E-2</v>
      </c>
      <c r="G26" s="588" t="str">
        <f>'Input 7_NG Rates'!$B$266</f>
        <v>GIT92</v>
      </c>
      <c r="H26" s="576">
        <v>2021</v>
      </c>
      <c r="I26" s="576" t="s">
        <v>138</v>
      </c>
      <c r="J26" s="60" t="s">
        <v>15</v>
      </c>
      <c r="K26" s="577">
        <v>6.114420386821167E-2</v>
      </c>
      <c r="M26" s="588" t="str">
        <f>'Input 7_NG Rates'!$B$266</f>
        <v>GIT92</v>
      </c>
      <c r="N26" s="576">
        <v>2022</v>
      </c>
      <c r="O26" s="576" t="s">
        <v>138</v>
      </c>
      <c r="P26" s="576" t="s">
        <v>15</v>
      </c>
      <c r="Q26" s="577">
        <v>9.5357945146999218E-2</v>
      </c>
      <c r="S26" s="588" t="str">
        <f>'Input 7_NG Rates'!$B$266</f>
        <v>GIT92</v>
      </c>
      <c r="T26" s="576">
        <v>2019</v>
      </c>
      <c r="U26" s="576" t="s">
        <v>138</v>
      </c>
      <c r="V26" s="576" t="s">
        <v>15</v>
      </c>
      <c r="W26" s="577">
        <v>5.8298780000000001E-2</v>
      </c>
      <c r="AA26" s="74"/>
      <c r="AB26" s="578"/>
      <c r="AC26" s="576">
        <f t="shared" si="1"/>
        <v>0</v>
      </c>
    </row>
    <row r="27" spans="1:29">
      <c r="A27" s="588" t="str">
        <f>'Input 7_NG Rates'!$B$330</f>
        <v>LITEG</v>
      </c>
      <c r="B27" s="576">
        <v>2020</v>
      </c>
      <c r="C27" s="576" t="s">
        <v>139</v>
      </c>
      <c r="D27" s="576" t="s">
        <v>15</v>
      </c>
      <c r="E27" s="577">
        <v>0.49288294999999999</v>
      </c>
      <c r="G27" s="588" t="str">
        <f>'Input 7_NG Rates'!$B$330</f>
        <v>LITEG</v>
      </c>
      <c r="H27" s="576">
        <v>2021</v>
      </c>
      <c r="I27" s="576" t="s">
        <v>139</v>
      </c>
      <c r="J27" s="60" t="s">
        <v>15</v>
      </c>
      <c r="K27" s="577">
        <v>0.80045814687627426</v>
      </c>
      <c r="M27" s="588" t="str">
        <f>'Input 7_NG Rates'!$B$330</f>
        <v>LITEG</v>
      </c>
      <c r="N27" s="576">
        <v>2022</v>
      </c>
      <c r="O27" s="576" t="s">
        <v>139</v>
      </c>
      <c r="P27" s="576" t="s">
        <v>15</v>
      </c>
      <c r="Q27" s="577">
        <v>1.1405050038569271</v>
      </c>
      <c r="S27" s="588" t="str">
        <f>'Input 7_NG Rates'!$B$330</f>
        <v>LITEG</v>
      </c>
      <c r="T27" s="576">
        <v>2019</v>
      </c>
      <c r="U27" s="576" t="s">
        <v>139</v>
      </c>
      <c r="V27" s="576" t="s">
        <v>15</v>
      </c>
      <c r="W27" s="577">
        <v>0.37468551999999999</v>
      </c>
      <c r="AA27" s="74">
        <v>0.99587000000000003</v>
      </c>
      <c r="AB27" s="578"/>
      <c r="AC27" s="576">
        <f t="shared" si="1"/>
        <v>0.99587000000000003</v>
      </c>
    </row>
    <row r="28" spans="1:29">
      <c r="A28" s="588" t="str">
        <f>'Input 7_NG Rates'!$B$321</f>
        <v>LA3MX</v>
      </c>
      <c r="B28" s="576">
        <v>2020</v>
      </c>
      <c r="C28" s="576" t="s">
        <v>140</v>
      </c>
      <c r="D28" s="576" t="s">
        <v>15</v>
      </c>
      <c r="E28" s="577">
        <v>0.49288294999999999</v>
      </c>
      <c r="G28" s="588" t="str">
        <f>'Input 7_NG Rates'!$B$321</f>
        <v>LA3MX</v>
      </c>
      <c r="H28" s="576">
        <v>2021</v>
      </c>
      <c r="I28" s="576" t="s">
        <v>140</v>
      </c>
      <c r="J28" s="60" t="s">
        <v>15</v>
      </c>
      <c r="K28" s="577">
        <v>0.80045814687627426</v>
      </c>
      <c r="M28" s="588" t="str">
        <f>'Input 7_NG Rates'!$B$321</f>
        <v>LA3MX</v>
      </c>
      <c r="N28" s="576">
        <v>2022</v>
      </c>
      <c r="O28" s="576" t="s">
        <v>140</v>
      </c>
      <c r="P28" s="576" t="s">
        <v>15</v>
      </c>
      <c r="Q28" s="577">
        <v>1.1405050038569271</v>
      </c>
      <c r="S28" s="588" t="str">
        <f>'Input 7_NG Rates'!$B$321</f>
        <v>LA3MX</v>
      </c>
      <c r="T28" s="576">
        <v>2019</v>
      </c>
      <c r="U28" s="576" t="s">
        <v>140</v>
      </c>
      <c r="V28" s="576" t="s">
        <v>15</v>
      </c>
      <c r="W28" s="577">
        <v>0.37468551999999999</v>
      </c>
      <c r="AA28" s="74"/>
      <c r="AB28" s="578"/>
      <c r="AC28" s="576">
        <f t="shared" si="1"/>
        <v>0</v>
      </c>
    </row>
    <row r="29" spans="1:29">
      <c r="A29" s="588" t="str">
        <f>'Input 7_NG Rates'!$B$238</f>
        <v>GCNGV</v>
      </c>
      <c r="B29" s="576">
        <v>2020</v>
      </c>
      <c r="C29" s="576" t="s">
        <v>110</v>
      </c>
      <c r="D29" s="576" t="s">
        <v>15</v>
      </c>
      <c r="E29" s="577">
        <v>0.14188168000000001</v>
      </c>
      <c r="G29" s="588" t="str">
        <f>'Input 7_NG Rates'!$B$238</f>
        <v>GCNGV</v>
      </c>
      <c r="H29" s="576">
        <v>2021</v>
      </c>
      <c r="I29" s="576" t="s">
        <v>110</v>
      </c>
      <c r="J29" s="60" t="s">
        <v>15</v>
      </c>
      <c r="K29" s="577">
        <v>0.15179948367288987</v>
      </c>
      <c r="M29" s="588" t="str">
        <f>'Input 7_NG Rates'!$B$238</f>
        <v>GCNGV</v>
      </c>
      <c r="N29" s="576">
        <v>2022</v>
      </c>
      <c r="O29" s="576" t="s">
        <v>110</v>
      </c>
      <c r="P29" s="576" t="s">
        <v>15</v>
      </c>
      <c r="Q29" s="577">
        <v>0.22966025637609164</v>
      </c>
      <c r="S29" s="588" t="str">
        <f>'Input 7_NG Rates'!$B$238</f>
        <v>GCNGV</v>
      </c>
      <c r="T29" s="576">
        <v>2019</v>
      </c>
      <c r="U29" s="576" t="s">
        <v>110</v>
      </c>
      <c r="V29" s="576" t="s">
        <v>15</v>
      </c>
      <c r="W29" s="577">
        <v>0.13672065999999999</v>
      </c>
      <c r="Y29" s="578">
        <v>1.278E-2</v>
      </c>
      <c r="AA29" s="74">
        <v>0.99587000000000003</v>
      </c>
      <c r="AB29" s="578"/>
      <c r="AC29" s="576">
        <f t="shared" si="1"/>
        <v>0.99587000000000003</v>
      </c>
    </row>
    <row r="30" spans="1:29">
      <c r="A30" s="588" t="str">
        <f>'Input 7_NG Rates'!$B$286</f>
        <v>GTNGV</v>
      </c>
      <c r="B30" s="576">
        <v>2020</v>
      </c>
      <c r="C30" s="576" t="s">
        <v>141</v>
      </c>
      <c r="D30" s="576" t="s">
        <v>15</v>
      </c>
      <c r="E30" s="577">
        <v>0.14188168000000001</v>
      </c>
      <c r="G30" s="588" t="str">
        <f>'Input 7_NG Rates'!$B$286</f>
        <v>GTNGV</v>
      </c>
      <c r="H30" s="576">
        <v>2021</v>
      </c>
      <c r="I30" s="576" t="s">
        <v>141</v>
      </c>
      <c r="J30" s="60" t="s">
        <v>15</v>
      </c>
      <c r="K30" s="577">
        <v>0.15179948367288987</v>
      </c>
      <c r="M30" s="588" t="str">
        <f>'Input 7_NG Rates'!$B$286</f>
        <v>GTNGV</v>
      </c>
      <c r="N30" s="576">
        <v>2022</v>
      </c>
      <c r="O30" s="576" t="s">
        <v>141</v>
      </c>
      <c r="P30" s="576" t="s">
        <v>15</v>
      </c>
      <c r="Q30" s="577">
        <v>0.22966025637609164</v>
      </c>
      <c r="S30" s="588" t="str">
        <f>'Input 7_NG Rates'!$B$286</f>
        <v>GTNGV</v>
      </c>
      <c r="T30" s="576">
        <v>2019</v>
      </c>
      <c r="U30" s="576" t="s">
        <v>141</v>
      </c>
      <c r="V30" s="576" t="s">
        <v>15</v>
      </c>
      <c r="W30" s="577">
        <v>0.13672065999999999</v>
      </c>
      <c r="Y30" s="578">
        <v>1.278E-2</v>
      </c>
      <c r="AA30" s="74"/>
      <c r="AB30" s="578"/>
      <c r="AC30" s="576">
        <f t="shared" si="1"/>
        <v>0</v>
      </c>
    </row>
    <row r="31" spans="1:29">
      <c r="A31" s="588" t="str">
        <f>'Input 7_NG Rates'!$B$92</f>
        <v>CC801</v>
      </c>
      <c r="B31" s="576">
        <v>2020</v>
      </c>
      <c r="C31" s="576" t="s">
        <v>114</v>
      </c>
      <c r="D31" s="576" t="s">
        <v>17</v>
      </c>
      <c r="E31" s="577">
        <v>0.58634442643274198</v>
      </c>
      <c r="G31" s="588" t="str">
        <f>'Input 7_NG Rates'!$B$92</f>
        <v>CC801</v>
      </c>
      <c r="H31" s="576">
        <v>2021</v>
      </c>
      <c r="I31" s="576" t="s">
        <v>114</v>
      </c>
      <c r="J31" s="576" t="s">
        <v>17</v>
      </c>
      <c r="K31" s="589">
        <v>0.74443089478927815</v>
      </c>
      <c r="M31" s="588" t="str">
        <f>'Input 7_NG Rates'!$B$92</f>
        <v>CC801</v>
      </c>
      <c r="N31" s="576">
        <v>2022</v>
      </c>
      <c r="O31" s="576" t="s">
        <v>114</v>
      </c>
      <c r="P31" s="576" t="s">
        <v>17</v>
      </c>
      <c r="Q31" s="577">
        <v>0.71306794058936973</v>
      </c>
      <c r="S31" s="588" t="str">
        <f>'Input 7_NG Rates'!$B$92</f>
        <v>CC801</v>
      </c>
      <c r="T31" s="576">
        <v>2019</v>
      </c>
      <c r="U31" s="576" t="s">
        <v>114</v>
      </c>
      <c r="V31" s="576" t="s">
        <v>17</v>
      </c>
      <c r="W31" s="577">
        <v>0.70422677534534572</v>
      </c>
      <c r="Y31" s="591">
        <v>0.18991</v>
      </c>
      <c r="AA31" s="592">
        <v>-1.174E-2</v>
      </c>
      <c r="AB31" s="593">
        <v>0.109</v>
      </c>
      <c r="AC31" s="593">
        <f>AA31+AB31</f>
        <v>9.7259999999999999E-2</v>
      </c>
    </row>
    <row r="32" spans="1:29">
      <c r="A32" s="588" t="str">
        <f>'Input 7_NG Rates'!$B$96</f>
        <v>CC805</v>
      </c>
      <c r="B32" s="576">
        <v>2020</v>
      </c>
      <c r="C32" s="576" t="s">
        <v>115</v>
      </c>
      <c r="D32" s="576" t="s">
        <v>17</v>
      </c>
      <c r="E32" s="577">
        <v>0.17923401595321942</v>
      </c>
      <c r="G32" s="588" t="str">
        <f>'Input 7_NG Rates'!$B$96</f>
        <v>CC805</v>
      </c>
      <c r="H32" s="576">
        <v>2021</v>
      </c>
      <c r="I32" s="576" t="s">
        <v>115</v>
      </c>
      <c r="J32" s="576" t="s">
        <v>17</v>
      </c>
      <c r="K32" s="589">
        <v>0.21666922997208923</v>
      </c>
      <c r="M32" s="588" t="str">
        <f>'Input 7_NG Rates'!$B$96</f>
        <v>CC805</v>
      </c>
      <c r="N32" s="576">
        <v>2022</v>
      </c>
      <c r="O32" s="576" t="s">
        <v>115</v>
      </c>
      <c r="P32" s="576" t="s">
        <v>17</v>
      </c>
      <c r="Q32" s="577">
        <v>0.21507505878709715</v>
      </c>
      <c r="S32" s="588" t="str">
        <f>'Input 7_NG Rates'!$B$96</f>
        <v>CC805</v>
      </c>
      <c r="T32" s="576">
        <v>2019</v>
      </c>
      <c r="U32" s="576" t="s">
        <v>115</v>
      </c>
      <c r="V32" s="576" t="s">
        <v>17</v>
      </c>
      <c r="W32" s="577">
        <v>0.21885750277291932</v>
      </c>
      <c r="Y32" s="591">
        <v>0.14315</v>
      </c>
      <c r="AA32" s="592">
        <v>-8.8500000000000002E-3</v>
      </c>
      <c r="AB32" s="593">
        <v>0.1082</v>
      </c>
      <c r="AC32" s="593">
        <f t="shared" ref="AC32:AC54" si="2">AA32+AB32</f>
        <v>9.9350000000000008E-2</v>
      </c>
    </row>
    <row r="33" spans="1:29">
      <c r="A33" s="588" t="str">
        <f>'Input 7_NG Rates'!$B$185</f>
        <v>CR810</v>
      </c>
      <c r="B33" s="576">
        <v>2020</v>
      </c>
      <c r="C33" s="576" t="s">
        <v>116</v>
      </c>
      <c r="D33" s="576" t="s">
        <v>17</v>
      </c>
      <c r="E33" s="577">
        <v>0.1058534222800154</v>
      </c>
      <c r="G33" s="588" t="str">
        <f>'Input 7_NG Rates'!$B$185</f>
        <v>CR810</v>
      </c>
      <c r="H33" s="576">
        <v>2021</v>
      </c>
      <c r="I33" s="576" t="s">
        <v>116</v>
      </c>
      <c r="J33" s="576" t="s">
        <v>17</v>
      </c>
      <c r="K33" s="589">
        <v>0.11567247339772106</v>
      </c>
      <c r="M33" s="588" t="str">
        <f>'Input 7_NG Rates'!$B$185</f>
        <v>CR810</v>
      </c>
      <c r="N33" s="576">
        <v>2022</v>
      </c>
      <c r="O33" s="576" t="s">
        <v>116</v>
      </c>
      <c r="P33" s="576" t="s">
        <v>17</v>
      </c>
      <c r="Q33" s="577">
        <v>0.11404962043139606</v>
      </c>
      <c r="S33" s="588" t="str">
        <f>'Input 7_NG Rates'!$B$185</f>
        <v>CR810</v>
      </c>
      <c r="T33" s="576">
        <v>2019</v>
      </c>
      <c r="U33" s="576" t="s">
        <v>116</v>
      </c>
      <c r="V33" s="576" t="s">
        <v>17</v>
      </c>
      <c r="W33" s="577">
        <v>0.13593325290390534</v>
      </c>
      <c r="Y33" s="591">
        <v>0.12747</v>
      </c>
      <c r="AA33" s="592">
        <v>-7.8799999999999999E-3</v>
      </c>
      <c r="AB33" s="593">
        <v>0.11749999999999999</v>
      </c>
      <c r="AC33" s="593">
        <f t="shared" si="2"/>
        <v>0.10962</v>
      </c>
    </row>
    <row r="34" spans="1:29">
      <c r="A34" s="588" t="str">
        <f>'Input 7_NG Rates'!$B$191</f>
        <v>CR821</v>
      </c>
      <c r="B34" s="576">
        <v>2020</v>
      </c>
      <c r="C34" s="576" t="s">
        <v>117</v>
      </c>
      <c r="D34" s="576" t="s">
        <v>17</v>
      </c>
      <c r="E34" s="577">
        <v>0.11969377126060995</v>
      </c>
      <c r="G34" s="588" t="str">
        <f>'Input 7_NG Rates'!$B$191</f>
        <v>CR821</v>
      </c>
      <c r="H34" s="576">
        <v>2021</v>
      </c>
      <c r="I34" s="576" t="s">
        <v>117</v>
      </c>
      <c r="J34" s="576" t="s">
        <v>17</v>
      </c>
      <c r="K34" s="589">
        <v>0.13790724594372689</v>
      </c>
      <c r="M34" s="588" t="str">
        <f>'Input 7_NG Rates'!$B$191</f>
        <v>CR821</v>
      </c>
      <c r="N34" s="576">
        <v>2022</v>
      </c>
      <c r="O34" s="576" t="s">
        <v>117</v>
      </c>
      <c r="P34" s="576" t="s">
        <v>17</v>
      </c>
      <c r="Q34" s="577">
        <v>0.15536151745991103</v>
      </c>
      <c r="S34" s="588" t="str">
        <f>'Input 7_NG Rates'!$B$191</f>
        <v>CR821</v>
      </c>
      <c r="T34" s="576">
        <v>2019</v>
      </c>
      <c r="U34" s="576" t="s">
        <v>117</v>
      </c>
      <c r="V34" s="576" t="s">
        <v>17</v>
      </c>
      <c r="W34" s="577">
        <v>0.14606758801564301</v>
      </c>
      <c r="Y34" s="591">
        <v>6.5640000000000004E-2</v>
      </c>
      <c r="AA34" s="592">
        <v>-4.0600000000000002E-3</v>
      </c>
      <c r="AB34" s="593">
        <v>0.13600000000000001</v>
      </c>
      <c r="AC34" s="593">
        <f t="shared" si="2"/>
        <v>0.13194</v>
      </c>
    </row>
    <row r="35" spans="1:29">
      <c r="A35" s="588" t="str">
        <f>'Input 7_NG Rates'!$B$193</f>
        <v>CR825</v>
      </c>
      <c r="B35" s="576">
        <v>2020</v>
      </c>
      <c r="C35" s="576" t="s">
        <v>118</v>
      </c>
      <c r="D35" s="576" t="s">
        <v>17</v>
      </c>
      <c r="E35" s="577">
        <v>0.11818151816571434</v>
      </c>
      <c r="G35" s="588" t="str">
        <f>'Input 7_NG Rates'!$B$193</f>
        <v>CR825</v>
      </c>
      <c r="H35" s="576">
        <v>2021</v>
      </c>
      <c r="I35" s="576" t="s">
        <v>118</v>
      </c>
      <c r="J35" s="576" t="s">
        <v>17</v>
      </c>
      <c r="K35" s="589">
        <v>0.14624196951007992</v>
      </c>
      <c r="M35" s="588" t="str">
        <f>'Input 7_NG Rates'!$B$193</f>
        <v>CR825</v>
      </c>
      <c r="N35" s="576">
        <v>2022</v>
      </c>
      <c r="O35" s="576" t="s">
        <v>118</v>
      </c>
      <c r="P35" s="576" t="s">
        <v>17</v>
      </c>
      <c r="Q35" s="577">
        <v>0.15931656327918942</v>
      </c>
      <c r="S35" s="588" t="str">
        <f>'Input 7_NG Rates'!$B$193</f>
        <v>CR825</v>
      </c>
      <c r="T35" s="576">
        <v>2019</v>
      </c>
      <c r="U35" s="576" t="s">
        <v>118</v>
      </c>
      <c r="V35" s="576" t="s">
        <v>17</v>
      </c>
      <c r="W35" s="577">
        <v>0.13887809060581052</v>
      </c>
      <c r="Y35" s="591">
        <v>4.827E-2</v>
      </c>
      <c r="AA35" s="592">
        <v>-2.98E-3</v>
      </c>
      <c r="AB35" s="593">
        <v>0.12740000000000001</v>
      </c>
      <c r="AC35" s="593">
        <f t="shared" si="2"/>
        <v>0.12442000000000002</v>
      </c>
    </row>
    <row r="36" spans="1:29">
      <c r="A36" s="588" t="str">
        <f>'Input 7_NG Rates'!$B$177</f>
        <v>CR245</v>
      </c>
      <c r="B36" s="576">
        <v>2020</v>
      </c>
      <c r="C36" s="576" t="s">
        <v>119</v>
      </c>
      <c r="D36" s="576" t="s">
        <v>17</v>
      </c>
      <c r="E36" s="577">
        <v>4.9360945001053473E-2</v>
      </c>
      <c r="G36" s="588" t="str">
        <f>'Input 7_NG Rates'!$B$177</f>
        <v>CR245</v>
      </c>
      <c r="H36" s="576">
        <v>2021</v>
      </c>
      <c r="I36" s="576" t="s">
        <v>119</v>
      </c>
      <c r="J36" s="576" t="s">
        <v>17</v>
      </c>
      <c r="K36" s="589">
        <v>6.0567597862095243E-2</v>
      </c>
      <c r="M36" s="588" t="str">
        <f>'Input 7_NG Rates'!$B$177</f>
        <v>CR245</v>
      </c>
      <c r="N36" s="576">
        <v>2022</v>
      </c>
      <c r="O36" s="576" t="s">
        <v>119</v>
      </c>
      <c r="P36" s="576" t="s">
        <v>17</v>
      </c>
      <c r="Q36" s="577">
        <v>5.9482510201230215E-2</v>
      </c>
      <c r="S36" s="588" t="str">
        <f>'Input 7_NG Rates'!$B$177</f>
        <v>CR245</v>
      </c>
      <c r="T36" s="576">
        <v>2019</v>
      </c>
      <c r="U36" s="576" t="s">
        <v>119</v>
      </c>
      <c r="V36" s="576" t="s">
        <v>17</v>
      </c>
      <c r="W36" s="577">
        <v>6.5800848386803001E-2</v>
      </c>
      <c r="Y36" s="591">
        <v>4.3409999999999997E-2</v>
      </c>
      <c r="AA36" s="592">
        <v>-2.6800000000000001E-3</v>
      </c>
      <c r="AB36" s="593">
        <v>0.1033</v>
      </c>
      <c r="AC36" s="593">
        <f t="shared" si="2"/>
        <v>0.10062</v>
      </c>
    </row>
    <row r="37" spans="1:29">
      <c r="A37" s="588" t="str">
        <f>'Input 7_NG Rates'!$B$110</f>
        <v>CC824</v>
      </c>
      <c r="B37" s="576">
        <v>2020</v>
      </c>
      <c r="C37" s="576" t="s">
        <v>120</v>
      </c>
      <c r="D37" s="576" t="s">
        <v>17</v>
      </c>
      <c r="E37" s="577">
        <v>5.9003930679597277E-2</v>
      </c>
      <c r="G37" s="588" t="str">
        <f>'Input 7_NG Rates'!$B$110</f>
        <v>CC824</v>
      </c>
      <c r="H37" s="576">
        <v>2021</v>
      </c>
      <c r="I37" s="576" t="s">
        <v>120</v>
      </c>
      <c r="J37" s="576" t="s">
        <v>17</v>
      </c>
      <c r="K37" s="589">
        <v>7.4686924084199621E-2</v>
      </c>
      <c r="M37" s="588" t="str">
        <f>'Input 7_NG Rates'!$B$110</f>
        <v>CC824</v>
      </c>
      <c r="N37" s="576">
        <v>2022</v>
      </c>
      <c r="O37" s="576" t="s">
        <v>120</v>
      </c>
      <c r="P37" s="576" t="s">
        <v>17</v>
      </c>
      <c r="Q37" s="577">
        <v>7.5527437722006402E-2</v>
      </c>
      <c r="S37" s="588" t="str">
        <f>'Input 7_NG Rates'!$B$110</f>
        <v>CC824</v>
      </c>
      <c r="T37" s="576">
        <v>2019</v>
      </c>
      <c r="U37" s="576" t="s">
        <v>120</v>
      </c>
      <c r="V37" s="576" t="s">
        <v>17</v>
      </c>
      <c r="W37" s="577">
        <v>7.3374156864387308E-2</v>
      </c>
      <c r="Y37" s="591">
        <v>3.1710000000000002E-2</v>
      </c>
      <c r="AA37" s="592">
        <v>-1.9599999999999999E-3</v>
      </c>
      <c r="AB37" s="593">
        <v>0.1101</v>
      </c>
      <c r="AC37" s="593">
        <f t="shared" si="2"/>
        <v>0.10814</v>
      </c>
    </row>
    <row r="38" spans="1:29">
      <c r="A38" s="588" t="str">
        <f>'Input 7_NG Rates'!$B$84</f>
        <v>CC601</v>
      </c>
      <c r="B38" s="576">
        <v>2020</v>
      </c>
      <c r="C38" s="576" t="s">
        <v>121</v>
      </c>
      <c r="D38" s="576" t="s">
        <v>17</v>
      </c>
      <c r="E38" s="577">
        <v>6.6320444444951152E-2</v>
      </c>
      <c r="G38" s="588" t="str">
        <f>'Input 7_NG Rates'!$B$84</f>
        <v>CC601</v>
      </c>
      <c r="H38" s="576">
        <v>2021</v>
      </c>
      <c r="I38" s="576" t="s">
        <v>121</v>
      </c>
      <c r="J38" s="576" t="s">
        <v>17</v>
      </c>
      <c r="K38" s="589">
        <v>7.9037986774523256E-2</v>
      </c>
      <c r="M38" s="588" t="str">
        <f>'Input 7_NG Rates'!$B$84</f>
        <v>CC601</v>
      </c>
      <c r="N38" s="576">
        <v>2022</v>
      </c>
      <c r="O38" s="576" t="s">
        <v>121</v>
      </c>
      <c r="P38" s="576" t="s">
        <v>17</v>
      </c>
      <c r="Q38" s="577">
        <v>8.3812136707528503E-2</v>
      </c>
      <c r="S38" s="588" t="str">
        <f>'Input 7_NG Rates'!$B$84</f>
        <v>CC601</v>
      </c>
      <c r="T38" s="576">
        <v>2019</v>
      </c>
      <c r="U38" s="576" t="s">
        <v>121</v>
      </c>
      <c r="V38" s="576" t="s">
        <v>17</v>
      </c>
      <c r="W38" s="577">
        <v>8.3818438405564771E-2</v>
      </c>
      <c r="Y38" s="591">
        <v>2.6509999999999999E-2</v>
      </c>
      <c r="AA38" s="592">
        <v>-1.64E-3</v>
      </c>
      <c r="AB38" s="593">
        <v>0.1076</v>
      </c>
      <c r="AC38" s="593">
        <f t="shared" si="2"/>
        <v>0.10596</v>
      </c>
    </row>
    <row r="39" spans="1:29">
      <c r="A39" s="588" t="str">
        <f>'Input 7_NG Rates'!$B$86</f>
        <v>CC602</v>
      </c>
      <c r="B39" s="576">
        <v>2020</v>
      </c>
      <c r="C39" s="576" t="s">
        <v>142</v>
      </c>
      <c r="D39" s="576" t="s">
        <v>17</v>
      </c>
      <c r="E39" s="577">
        <v>7.4112581788835785E-2</v>
      </c>
      <c r="G39" s="588" t="str">
        <f>'Input 7_NG Rates'!$B$86</f>
        <v>CC602</v>
      </c>
      <c r="H39" s="576">
        <v>2021</v>
      </c>
      <c r="I39" s="576" t="s">
        <v>142</v>
      </c>
      <c r="J39" s="576" t="s">
        <v>17</v>
      </c>
      <c r="K39" s="589">
        <v>9.3676777028921868E-2</v>
      </c>
      <c r="M39" s="588" t="str">
        <f>'Input 7_NG Rates'!$B$86</f>
        <v>CC602</v>
      </c>
      <c r="N39" s="576">
        <v>2022</v>
      </c>
      <c r="O39" s="576" t="s">
        <v>142</v>
      </c>
      <c r="P39" s="576" t="s">
        <v>17</v>
      </c>
      <c r="Q39" s="577">
        <v>8.9870459575119993E-2</v>
      </c>
      <c r="S39" s="588" t="str">
        <f>'Input 7_NG Rates'!$B$86</f>
        <v>CC602</v>
      </c>
      <c r="T39" s="576">
        <v>2019</v>
      </c>
      <c r="U39" s="576" t="s">
        <v>142</v>
      </c>
      <c r="V39" s="576" t="s">
        <v>17</v>
      </c>
      <c r="W39" s="577">
        <v>8.8366674361442299E-2</v>
      </c>
      <c r="Y39" s="591">
        <v>2.2849999999999999E-2</v>
      </c>
      <c r="AA39" s="592">
        <v>-1.41E-3</v>
      </c>
      <c r="AB39" s="593">
        <v>0.1008</v>
      </c>
      <c r="AC39" s="593">
        <f t="shared" si="2"/>
        <v>9.9390000000000006E-2</v>
      </c>
    </row>
    <row r="40" spans="1:29">
      <c r="A40" s="588" t="str">
        <f>'Input 7_NG Rates'!$B$88</f>
        <v>CC603</v>
      </c>
      <c r="B40" s="576">
        <v>2020</v>
      </c>
      <c r="C40" s="576" t="s">
        <v>143</v>
      </c>
      <c r="D40" s="576" t="s">
        <v>17</v>
      </c>
      <c r="E40" s="577">
        <v>5.245525849418918E-2</v>
      </c>
      <c r="G40" s="588" t="str">
        <f>'Input 7_NG Rates'!$B$88</f>
        <v>CC603</v>
      </c>
      <c r="H40" s="576">
        <v>2021</v>
      </c>
      <c r="I40" s="576" t="s">
        <v>143</v>
      </c>
      <c r="J40" s="576" t="s">
        <v>17</v>
      </c>
      <c r="K40" s="589">
        <v>6.3871322341516837E-2</v>
      </c>
      <c r="M40" s="588" t="str">
        <f>'Input 7_NG Rates'!$B$88</f>
        <v>CC603</v>
      </c>
      <c r="N40" s="576">
        <v>2022</v>
      </c>
      <c r="O40" s="576" t="s">
        <v>143</v>
      </c>
      <c r="P40" s="576" t="s">
        <v>17</v>
      </c>
      <c r="Q40" s="577">
        <v>5.7679834456277446E-2</v>
      </c>
      <c r="S40" s="588" t="str">
        <f>'Input 7_NG Rates'!$B$88</f>
        <v>CC603</v>
      </c>
      <c r="T40" s="576">
        <v>2019</v>
      </c>
      <c r="U40" s="576" t="s">
        <v>143</v>
      </c>
      <c r="V40" s="576" t="s">
        <v>17</v>
      </c>
      <c r="W40" s="577">
        <v>6.6655618494668251E-2</v>
      </c>
      <c r="Y40" s="591">
        <v>1.9279999999999999E-2</v>
      </c>
      <c r="AA40" s="592">
        <v>-1.1900000000000001E-3</v>
      </c>
      <c r="AB40" s="593">
        <v>0.10290000000000001</v>
      </c>
      <c r="AC40" s="593">
        <f t="shared" si="2"/>
        <v>0.10171000000000001</v>
      </c>
    </row>
    <row r="41" spans="1:29">
      <c r="A41" s="588" t="str">
        <f>'Input 7_NG Rates'!$B$90</f>
        <v>CC605</v>
      </c>
      <c r="B41" s="576">
        <v>2020</v>
      </c>
      <c r="C41" s="576" t="s">
        <v>144</v>
      </c>
      <c r="D41" s="576" t="s">
        <v>17</v>
      </c>
      <c r="E41" s="577">
        <v>7.0425450643500545E-2</v>
      </c>
      <c r="G41" s="588" t="str">
        <f>'Input 7_NG Rates'!$B$90</f>
        <v>CC605</v>
      </c>
      <c r="H41" s="576">
        <v>2021</v>
      </c>
      <c r="I41" s="576" t="s">
        <v>144</v>
      </c>
      <c r="J41" s="576" t="s">
        <v>17</v>
      </c>
      <c r="K41" s="589">
        <v>7.8964769977720145E-2</v>
      </c>
      <c r="M41" s="588" t="str">
        <f>'Input 7_NG Rates'!$B$90</f>
        <v>CC605</v>
      </c>
      <c r="N41" s="576">
        <v>2022</v>
      </c>
      <c r="O41" s="576" t="s">
        <v>144</v>
      </c>
      <c r="P41" s="576" t="s">
        <v>17</v>
      </c>
      <c r="Q41" s="577">
        <v>7.7164592015172812E-2</v>
      </c>
      <c r="S41" s="588" t="str">
        <f>'Input 7_NG Rates'!$B$90</f>
        <v>CC605</v>
      </c>
      <c r="T41" s="576">
        <v>2019</v>
      </c>
      <c r="U41" s="576" t="s">
        <v>144</v>
      </c>
      <c r="V41" s="576" t="s">
        <v>17</v>
      </c>
      <c r="W41" s="577">
        <v>9.0560809719555213E-2</v>
      </c>
      <c r="Y41" s="591">
        <v>1.295E-2</v>
      </c>
      <c r="AA41" s="592">
        <v>-8.0000000000000004E-4</v>
      </c>
      <c r="AB41" s="593">
        <v>0.10100000000000001</v>
      </c>
      <c r="AC41" s="593">
        <f t="shared" si="2"/>
        <v>0.10020000000000001</v>
      </c>
    </row>
    <row r="42" spans="1:29">
      <c r="A42" s="588" t="str">
        <f>'Input 7_NG Rates'!$B$82</f>
        <v>CC506</v>
      </c>
      <c r="B42" s="576">
        <v>2020</v>
      </c>
      <c r="C42" s="576" t="s">
        <v>145</v>
      </c>
      <c r="D42" s="576" t="s">
        <v>17</v>
      </c>
      <c r="E42" s="577">
        <v>6.897895900886028E-2</v>
      </c>
      <c r="G42" s="588" t="str">
        <f>'Input 7_NG Rates'!$B$82</f>
        <v>CC506</v>
      </c>
      <c r="H42" s="576">
        <v>2021</v>
      </c>
      <c r="I42" s="576" t="s">
        <v>145</v>
      </c>
      <c r="J42" s="576" t="s">
        <v>17</v>
      </c>
      <c r="K42" s="589">
        <v>8.4722000490383712E-2</v>
      </c>
      <c r="M42" s="588" t="str">
        <f>'Input 7_NG Rates'!$B$82</f>
        <v>CC506</v>
      </c>
      <c r="N42" s="576">
        <v>2022</v>
      </c>
      <c r="O42" s="576" t="s">
        <v>145</v>
      </c>
      <c r="P42" s="576" t="s">
        <v>17</v>
      </c>
      <c r="Q42" s="577">
        <v>8.318121182206456E-2</v>
      </c>
      <c r="S42" s="588" t="str">
        <f>'Input 7_NG Rates'!$B$82</f>
        <v>CC506</v>
      </c>
      <c r="T42" s="576">
        <v>2019</v>
      </c>
      <c r="U42" s="576" t="s">
        <v>145</v>
      </c>
      <c r="V42" s="576" t="s">
        <v>17</v>
      </c>
      <c r="W42" s="577">
        <v>8.2687632337207967E-2</v>
      </c>
      <c r="Y42" s="591">
        <v>1.175E-2</v>
      </c>
      <c r="AA42" s="592">
        <v>-7.2999999999999996E-4</v>
      </c>
      <c r="AB42" s="593">
        <v>0.1138</v>
      </c>
      <c r="AC42" s="593">
        <f t="shared" si="2"/>
        <v>0.11307</v>
      </c>
    </row>
    <row r="43" spans="1:29">
      <c r="A43" s="588" t="str">
        <f>'Input 7_NG Rates'!$B$118</f>
        <v>CC905</v>
      </c>
      <c r="B43" s="576">
        <v>2020</v>
      </c>
      <c r="C43" s="576" t="s">
        <v>146</v>
      </c>
      <c r="D43" s="576" t="s">
        <v>17</v>
      </c>
      <c r="E43" s="577">
        <v>0.14575006470817894</v>
      </c>
      <c r="G43" s="588" t="str">
        <f>'Input 7_NG Rates'!$B$118</f>
        <v>CC905</v>
      </c>
      <c r="H43" s="576">
        <v>2021</v>
      </c>
      <c r="I43" s="576" t="s">
        <v>146</v>
      </c>
      <c r="J43" s="576" t="s">
        <v>17</v>
      </c>
      <c r="K43" s="589">
        <v>0.17979350106674624</v>
      </c>
      <c r="M43" s="588" t="str">
        <f>'Input 7_NG Rates'!$B$118</f>
        <v>CC905</v>
      </c>
      <c r="N43" s="576">
        <v>2022</v>
      </c>
      <c r="O43" s="576" t="s">
        <v>146</v>
      </c>
      <c r="P43" s="576" t="s">
        <v>17</v>
      </c>
      <c r="Q43" s="577">
        <v>0.12900185778008666</v>
      </c>
      <c r="S43" s="588" t="str">
        <f>'Input 7_NG Rates'!$B$118</f>
        <v>CC905</v>
      </c>
      <c r="T43" s="576">
        <v>2019</v>
      </c>
      <c r="U43" s="576" t="s">
        <v>146</v>
      </c>
      <c r="V43" s="576" t="s">
        <v>17</v>
      </c>
      <c r="W43" s="577">
        <v>0.15897015240324225</v>
      </c>
      <c r="Y43" s="591">
        <v>9.8099999999999993E-3</v>
      </c>
      <c r="AA43" s="592">
        <v>-6.0999999999999997E-4</v>
      </c>
      <c r="AB43" s="593">
        <v>9.8599999999999993E-2</v>
      </c>
      <c r="AC43" s="593">
        <f t="shared" si="2"/>
        <v>9.7989999999999994E-2</v>
      </c>
    </row>
    <row r="44" spans="1:29">
      <c r="A44" s="588" t="str">
        <f>'Input 7_NG Rates'!$B$120</f>
        <v>CC910</v>
      </c>
      <c r="B44" s="576">
        <v>2020</v>
      </c>
      <c r="C44" s="576" t="s">
        <v>147</v>
      </c>
      <c r="D44" s="576" t="s">
        <v>17</v>
      </c>
      <c r="E44" s="577">
        <v>8.7653642522188199E-2</v>
      </c>
      <c r="G44" s="588" t="str">
        <f>'Input 7_NG Rates'!$B$120</f>
        <v>CC910</v>
      </c>
      <c r="H44" s="576">
        <v>2021</v>
      </c>
      <c r="I44" s="576" t="s">
        <v>147</v>
      </c>
      <c r="J44" s="576" t="s">
        <v>17</v>
      </c>
      <c r="K44" s="589">
        <v>0.10788515345072508</v>
      </c>
      <c r="M44" s="588" t="str">
        <f>'Input 7_NG Rates'!$B$120</f>
        <v>CC910</v>
      </c>
      <c r="N44" s="576">
        <v>2022</v>
      </c>
      <c r="O44" s="576" t="s">
        <v>147</v>
      </c>
      <c r="P44" s="576" t="s">
        <v>17</v>
      </c>
      <c r="Q44" s="577">
        <v>7.3926982278500225E-2</v>
      </c>
      <c r="S44" s="588" t="str">
        <f>'Input 7_NG Rates'!$B$120</f>
        <v>CC910</v>
      </c>
      <c r="T44" s="576">
        <v>2019</v>
      </c>
      <c r="U44" s="576" t="s">
        <v>147</v>
      </c>
      <c r="V44" s="576" t="s">
        <v>17</v>
      </c>
      <c r="W44" s="577">
        <v>0.11276407864246986</v>
      </c>
      <c r="Y44" s="591">
        <v>9.3600000000000003E-3</v>
      </c>
      <c r="AA44" s="592">
        <v>-5.8E-4</v>
      </c>
      <c r="AB44" s="593">
        <v>9.8100000000000007E-2</v>
      </c>
      <c r="AC44" s="593">
        <f t="shared" si="2"/>
        <v>9.7520000000000009E-2</v>
      </c>
    </row>
    <row r="45" spans="1:29">
      <c r="A45" s="588" t="str">
        <f>'Input 7_NG Rates'!$B$140</f>
        <v>CI107</v>
      </c>
      <c r="B45" s="576">
        <v>2020</v>
      </c>
      <c r="C45" s="576" t="s">
        <v>148</v>
      </c>
      <c r="D45" s="576" t="s">
        <v>17</v>
      </c>
      <c r="E45" s="577">
        <v>9.581361556192812E-2</v>
      </c>
      <c r="G45" s="588" t="str">
        <f>'Input 7_NG Rates'!$B$140</f>
        <v>CI107</v>
      </c>
      <c r="H45" s="576">
        <v>2021</v>
      </c>
      <c r="I45" s="576" t="s">
        <v>148</v>
      </c>
      <c r="J45" s="576" t="s">
        <v>17</v>
      </c>
      <c r="K45" s="589">
        <v>0.14365914764254772</v>
      </c>
      <c r="M45" s="588" t="str">
        <f>'Input 7_NG Rates'!$B$140</f>
        <v>CI107</v>
      </c>
      <c r="N45" s="576">
        <v>2022</v>
      </c>
      <c r="O45" s="576" t="s">
        <v>148</v>
      </c>
      <c r="P45" s="576" t="s">
        <v>17</v>
      </c>
      <c r="Q45" s="577">
        <v>5.3284671119368465E-2</v>
      </c>
      <c r="S45" s="588" t="str">
        <f>'Input 7_NG Rates'!$B$140</f>
        <v>CI107</v>
      </c>
      <c r="T45" s="576">
        <v>2019</v>
      </c>
      <c r="U45" s="576" t="s">
        <v>148</v>
      </c>
      <c r="V45" s="576" t="s">
        <v>17</v>
      </c>
      <c r="W45" s="577">
        <v>0.15044436097819944</v>
      </c>
      <c r="Y45" s="591">
        <v>7.3699999999999998E-3</v>
      </c>
      <c r="AA45" s="592">
        <v>-4.6000000000000001E-4</v>
      </c>
      <c r="AB45" s="593">
        <v>0.1014</v>
      </c>
      <c r="AC45" s="593">
        <f t="shared" si="2"/>
        <v>0.10094</v>
      </c>
    </row>
    <row r="46" spans="1:29">
      <c r="A46" s="588" t="str">
        <f>'Input 7_NG Rates'!$B$142</f>
        <v>CI108</v>
      </c>
      <c r="B46" s="576">
        <v>2020</v>
      </c>
      <c r="C46" s="576" t="s">
        <v>149</v>
      </c>
      <c r="D46" s="576" t="s">
        <v>17</v>
      </c>
      <c r="E46" s="577">
        <v>2.9701704315002197E-2</v>
      </c>
      <c r="G46" s="588" t="str">
        <f>'Input 7_NG Rates'!$B$142</f>
        <v>CI108</v>
      </c>
      <c r="H46" s="576">
        <v>2021</v>
      </c>
      <c r="I46" s="576" t="s">
        <v>149</v>
      </c>
      <c r="J46" s="576" t="s">
        <v>17</v>
      </c>
      <c r="K46" s="589">
        <v>3.3261070730913146E-2</v>
      </c>
      <c r="M46" s="588" t="str">
        <f>'Input 7_NG Rates'!$B$142</f>
        <v>CI108</v>
      </c>
      <c r="N46" s="576">
        <v>2022</v>
      </c>
      <c r="O46" s="576" t="s">
        <v>149</v>
      </c>
      <c r="P46" s="576" t="s">
        <v>17</v>
      </c>
      <c r="Q46" s="577">
        <v>3.7083710955678299E-2</v>
      </c>
      <c r="S46" s="588" t="str">
        <f>'Input 7_NG Rates'!$B$142</f>
        <v>CI108</v>
      </c>
      <c r="T46" s="576">
        <v>2019</v>
      </c>
      <c r="U46" s="576" t="s">
        <v>149</v>
      </c>
      <c r="V46" s="576" t="s">
        <v>17</v>
      </c>
      <c r="W46" s="577">
        <v>3.7526759088287232E-2</v>
      </c>
      <c r="Y46" s="591">
        <v>6.5100000000000002E-3</v>
      </c>
      <c r="AA46" s="592">
        <v>-4.0000000000000002E-4</v>
      </c>
      <c r="AB46" s="593">
        <v>8.8499999999999995E-2</v>
      </c>
      <c r="AC46" s="593">
        <f t="shared" si="2"/>
        <v>8.8099999999999998E-2</v>
      </c>
    </row>
    <row r="47" spans="1:29">
      <c r="A47" s="588" t="str">
        <f>'Input 7_NG Rates'!$B$76</f>
        <v>CCNGV</v>
      </c>
      <c r="B47" s="576">
        <v>2020</v>
      </c>
      <c r="C47" s="576" t="s">
        <v>150</v>
      </c>
      <c r="D47" s="576" t="s">
        <v>17</v>
      </c>
      <c r="E47" s="577">
        <v>9.581361556192812E-2</v>
      </c>
      <c r="G47" s="588" t="str">
        <f>'Input 7_NG Rates'!$B$76</f>
        <v>CCNGV</v>
      </c>
      <c r="H47" s="576">
        <v>2021</v>
      </c>
      <c r="I47" s="576" t="s">
        <v>150</v>
      </c>
      <c r="J47" s="576" t="s">
        <v>17</v>
      </c>
      <c r="K47" s="589">
        <v>0.14365482126169521</v>
      </c>
      <c r="M47" s="588" t="str">
        <f>'Input 7_NG Rates'!$B$76</f>
        <v>CCNGV</v>
      </c>
      <c r="N47" s="576">
        <v>2022</v>
      </c>
      <c r="O47" s="576" t="s">
        <v>150</v>
      </c>
      <c r="P47" s="576" t="s">
        <v>17</v>
      </c>
      <c r="Q47" s="577">
        <v>5.3289113129361639E-2</v>
      </c>
      <c r="S47" s="588" t="str">
        <f>'Input 7_NG Rates'!$B$76</f>
        <v>CCNGV</v>
      </c>
      <c r="T47" s="576">
        <v>2019</v>
      </c>
      <c r="U47" s="576" t="s">
        <v>150</v>
      </c>
      <c r="V47" s="576" t="s">
        <v>17</v>
      </c>
      <c r="W47" s="577">
        <v>0.15044436097819944</v>
      </c>
      <c r="Y47" s="591"/>
      <c r="AA47" s="592"/>
      <c r="AC47" s="593">
        <f t="shared" si="2"/>
        <v>0</v>
      </c>
    </row>
    <row r="48" spans="1:29">
      <c r="A48" s="588" t="str">
        <f>'Input 7_NG Rates'!$B$94</f>
        <v>CC804</v>
      </c>
      <c r="B48" s="576">
        <v>2020</v>
      </c>
      <c r="C48" s="576" t="str">
        <f>"Exp. "&amp;C31</f>
        <v>Exp. FTS-A</v>
      </c>
      <c r="D48" s="576" t="s">
        <v>17</v>
      </c>
      <c r="E48" s="577">
        <v>3.6242182012131359</v>
      </c>
      <c r="G48" s="588" t="str">
        <f>'Input 7_NG Rates'!$B$94</f>
        <v>CC804</v>
      </c>
      <c r="H48" s="576">
        <v>2021</v>
      </c>
      <c r="I48" s="576" t="str">
        <f>"Exp. "&amp;I31</f>
        <v>Exp. FTS-A</v>
      </c>
      <c r="J48" s="576" t="s">
        <v>17</v>
      </c>
      <c r="K48" s="589">
        <v>4.4097465211810016</v>
      </c>
      <c r="M48" s="588" t="str">
        <f>'Input 7_NG Rates'!$B$94</f>
        <v>CC804</v>
      </c>
      <c r="N48" s="576">
        <v>2022</v>
      </c>
      <c r="O48" s="576" t="str">
        <f t="shared" ref="O48:O54" si="3">"Exp. "&amp;O31</f>
        <v>Exp. FTS-A</v>
      </c>
      <c r="P48" s="576" t="s">
        <v>17</v>
      </c>
      <c r="Q48" s="577">
        <v>4.5047340666856659</v>
      </c>
      <c r="S48" s="588" t="str">
        <f>'Input 7_NG Rates'!$B$94</f>
        <v>CC804</v>
      </c>
      <c r="T48" s="576">
        <v>2019</v>
      </c>
      <c r="U48" s="576" t="str">
        <f>"Exp. "&amp;U31</f>
        <v>Exp. FTS-A</v>
      </c>
      <c r="V48" s="576" t="s">
        <v>17</v>
      </c>
      <c r="W48" s="577">
        <v>4.1902612772397099</v>
      </c>
      <c r="Y48" s="591">
        <v>1.1599999999999999</v>
      </c>
      <c r="AA48" s="592">
        <v>-7.0000000000000007E-2</v>
      </c>
      <c r="AB48" s="576">
        <v>0.93740000000000001</v>
      </c>
      <c r="AC48" s="593">
        <f t="shared" si="2"/>
        <v>0.86739999999999995</v>
      </c>
    </row>
    <row r="49" spans="1:41">
      <c r="A49" s="588" t="str">
        <f>'Input 7_NG Rates'!$B$100</f>
        <v>CC810</v>
      </c>
      <c r="B49" s="576">
        <v>2020</v>
      </c>
      <c r="C49" s="576" t="str">
        <f t="shared" ref="C49:C54" si="4">"Exp. "&amp;C32</f>
        <v>Exp. FTS-B</v>
      </c>
      <c r="D49" s="576" t="s">
        <v>17</v>
      </c>
      <c r="E49" s="577">
        <v>1.8519460740635136</v>
      </c>
      <c r="G49" s="588" t="str">
        <f>'Input 7_NG Rates'!$B$100</f>
        <v>CC810</v>
      </c>
      <c r="H49" s="576">
        <v>2021</v>
      </c>
      <c r="I49" s="576" t="str">
        <f t="shared" ref="I49:I54" si="5">"Exp. "&amp;I32</f>
        <v>Exp. FTS-B</v>
      </c>
      <c r="J49" s="576" t="s">
        <v>17</v>
      </c>
      <c r="K49" s="589">
        <v>2.2359572357282396</v>
      </c>
      <c r="M49" s="588" t="str">
        <f>'Input 7_NG Rates'!$B$100</f>
        <v>CC810</v>
      </c>
      <c r="N49" s="576">
        <v>2022</v>
      </c>
      <c r="O49" s="576" t="str">
        <f t="shared" si="3"/>
        <v>Exp. FTS-B</v>
      </c>
      <c r="P49" s="576" t="s">
        <v>17</v>
      </c>
      <c r="Q49" s="577">
        <v>2.2776068164618546</v>
      </c>
      <c r="S49" s="588" t="str">
        <f>'Input 7_NG Rates'!$B$100</f>
        <v>CC810</v>
      </c>
      <c r="T49" s="576">
        <v>2019</v>
      </c>
      <c r="U49" s="576" t="str">
        <f t="shared" ref="U49:U54" si="6">"Exp. "&amp;U32</f>
        <v>Exp. FTS-B</v>
      </c>
      <c r="V49" s="576" t="s">
        <v>17</v>
      </c>
      <c r="W49" s="577">
        <v>2.2203326152529685</v>
      </c>
      <c r="Y49" s="591">
        <v>1.52</v>
      </c>
      <c r="AA49" s="592">
        <v>-0.09</v>
      </c>
      <c r="AB49" s="576">
        <v>1.6440999999999999</v>
      </c>
      <c r="AC49" s="593">
        <f t="shared" si="2"/>
        <v>1.5540999999999998</v>
      </c>
    </row>
    <row r="50" spans="1:41">
      <c r="A50" s="588" t="str">
        <f>'Input 7_NG Rates'!$B$189</f>
        <v>CR817</v>
      </c>
      <c r="B50" s="576">
        <v>2020</v>
      </c>
      <c r="C50" s="576" t="str">
        <f t="shared" si="4"/>
        <v>Exp. FTS-1</v>
      </c>
      <c r="D50" s="576" t="s">
        <v>17</v>
      </c>
      <c r="E50" s="577">
        <v>1.5641870874980781</v>
      </c>
      <c r="G50" s="588" t="str">
        <f>'Input 7_NG Rates'!$B$189</f>
        <v>CR817</v>
      </c>
      <c r="H50" s="576">
        <v>2021</v>
      </c>
      <c r="I50" s="576" t="str">
        <f t="shared" si="5"/>
        <v>Exp. FTS-1</v>
      </c>
      <c r="J50" s="576" t="s">
        <v>17</v>
      </c>
      <c r="K50" s="589">
        <v>1.6959081534193776</v>
      </c>
      <c r="M50" s="588" t="str">
        <f>'Input 7_NG Rates'!$B$189</f>
        <v>CR817</v>
      </c>
      <c r="N50" s="576">
        <v>2022</v>
      </c>
      <c r="O50" s="576" t="str">
        <f t="shared" si="3"/>
        <v>Exp. FTS-1</v>
      </c>
      <c r="P50" s="576" t="s">
        <v>17</v>
      </c>
      <c r="Q50" s="577">
        <v>1.6945385294117647</v>
      </c>
      <c r="S50" s="588" t="str">
        <f>'Input 7_NG Rates'!$B$189</f>
        <v>CR817</v>
      </c>
      <c r="T50" s="576">
        <v>2019</v>
      </c>
      <c r="U50" s="576" t="str">
        <f t="shared" si="6"/>
        <v>Exp. FTS-1</v>
      </c>
      <c r="V50" s="576" t="s">
        <v>17</v>
      </c>
      <c r="W50" s="577">
        <v>2.0417396150061764</v>
      </c>
      <c r="Y50" s="591">
        <v>1.9</v>
      </c>
      <c r="AA50" s="592">
        <v>-0.12</v>
      </c>
      <c r="AB50" s="576">
        <v>2.5385</v>
      </c>
      <c r="AC50" s="593">
        <f t="shared" si="2"/>
        <v>2.4184999999999999</v>
      </c>
    </row>
    <row r="51" spans="1:41">
      <c r="A51" s="588" t="str">
        <f>'Input 7_NG Rates'!$B$199</f>
        <v>CR839</v>
      </c>
      <c r="B51" s="576">
        <v>2020</v>
      </c>
      <c r="C51" s="576" t="str">
        <f t="shared" si="4"/>
        <v>Exp. FTS-2</v>
      </c>
      <c r="D51" s="576" t="s">
        <v>17</v>
      </c>
      <c r="E51" s="577">
        <v>6.9341151781059951</v>
      </c>
      <c r="G51" s="588" t="str">
        <f>'Input 7_NG Rates'!$B$199</f>
        <v>CR839</v>
      </c>
      <c r="H51" s="576">
        <v>2021</v>
      </c>
      <c r="I51" s="576" t="str">
        <f t="shared" si="5"/>
        <v>Exp. FTS-2</v>
      </c>
      <c r="J51" s="576" t="s">
        <v>17</v>
      </c>
      <c r="K51" s="589">
        <v>7.9429790322580649</v>
      </c>
      <c r="M51" s="588" t="str">
        <f>'Input 7_NG Rates'!$B$199</f>
        <v>CR839</v>
      </c>
      <c r="N51" s="576">
        <v>2022</v>
      </c>
      <c r="O51" s="576" t="str">
        <f t="shared" si="3"/>
        <v>Exp. FTS-2</v>
      </c>
      <c r="P51" s="576" t="s">
        <v>17</v>
      </c>
      <c r="Q51" s="577">
        <v>8.1701213783429978</v>
      </c>
      <c r="S51" s="588" t="str">
        <f>'Input 7_NG Rates'!$B$199</f>
        <v>CR839</v>
      </c>
      <c r="T51" s="576">
        <v>2019</v>
      </c>
      <c r="U51" s="576" t="str">
        <f t="shared" si="6"/>
        <v>Exp. FTS-2</v>
      </c>
      <c r="V51" s="576" t="s">
        <v>17</v>
      </c>
      <c r="W51" s="577">
        <v>8.549042675273089</v>
      </c>
      <c r="Y51" s="591">
        <v>3.88</v>
      </c>
      <c r="AA51" s="592">
        <v>-0.24</v>
      </c>
      <c r="AB51" s="576">
        <v>5.9572000000000003</v>
      </c>
      <c r="AC51" s="593">
        <f t="shared" si="2"/>
        <v>5.7172000000000001</v>
      </c>
    </row>
    <row r="52" spans="1:41">
      <c r="A52" s="588" t="str">
        <f>'Input 7_NG Rates'!$B$195</f>
        <v>CR827</v>
      </c>
      <c r="B52" s="576">
        <v>2020</v>
      </c>
      <c r="C52" s="576" t="str">
        <f t="shared" si="4"/>
        <v>Exp. FTS-2.1</v>
      </c>
      <c r="D52" s="576" t="s">
        <v>17</v>
      </c>
      <c r="E52" s="577">
        <v>13.588597474120084</v>
      </c>
      <c r="G52" s="588" t="str">
        <f>'Input 7_NG Rates'!$B$195</f>
        <v>CR827</v>
      </c>
      <c r="H52" s="576">
        <v>2021</v>
      </c>
      <c r="I52" s="576" t="str">
        <f t="shared" si="5"/>
        <v>Exp. FTS-2.1</v>
      </c>
      <c r="J52" s="576" t="s">
        <v>17</v>
      </c>
      <c r="K52" s="589">
        <v>16.260971386253182</v>
      </c>
      <c r="M52" s="588" t="str">
        <f>'Input 7_NG Rates'!$B$195</f>
        <v>CR827</v>
      </c>
      <c r="N52" s="576">
        <v>2022</v>
      </c>
      <c r="O52" s="576" t="str">
        <f t="shared" si="3"/>
        <v>Exp. FTS-2.1</v>
      </c>
      <c r="P52" s="576" t="s">
        <v>17</v>
      </c>
      <c r="Q52" s="577">
        <v>16.58015396677051</v>
      </c>
      <c r="S52" s="588" t="str">
        <f>'Input 7_NG Rates'!$B$195</f>
        <v>CR827</v>
      </c>
      <c r="T52" s="576">
        <v>2019</v>
      </c>
      <c r="U52" s="576" t="str">
        <f t="shared" si="6"/>
        <v>Exp. FTS-2.1</v>
      </c>
      <c r="V52" s="576" t="s">
        <v>17</v>
      </c>
      <c r="W52" s="577">
        <v>15.900014759124089</v>
      </c>
      <c r="Y52" s="591">
        <v>5.51</v>
      </c>
      <c r="AA52" s="592">
        <v>-0.34</v>
      </c>
      <c r="AB52" s="576">
        <v>19.433399999999999</v>
      </c>
      <c r="AC52" s="593">
        <f t="shared" si="2"/>
        <v>19.093399999999999</v>
      </c>
    </row>
    <row r="53" spans="1:41">
      <c r="A53" s="588" t="str">
        <f>'Input 7_NG Rates'!$B$197</f>
        <v>CR828</v>
      </c>
      <c r="B53" s="576">
        <v>2020</v>
      </c>
      <c r="C53" s="576" t="str">
        <f t="shared" si="4"/>
        <v>Exp. FTS-3</v>
      </c>
      <c r="D53" s="576" t="s">
        <v>17</v>
      </c>
      <c r="E53" s="577">
        <v>15.576348329758714</v>
      </c>
      <c r="G53" s="588" t="str">
        <f>'Input 7_NG Rates'!$B$197</f>
        <v>CR828</v>
      </c>
      <c r="H53" s="576">
        <v>2021</v>
      </c>
      <c r="I53" s="576" t="str">
        <f t="shared" si="5"/>
        <v>Exp. FTS-3</v>
      </c>
      <c r="J53" s="576" t="s">
        <v>17</v>
      </c>
      <c r="K53" s="589">
        <v>17.657355122636687</v>
      </c>
      <c r="M53" s="588" t="str">
        <f>'Input 7_NG Rates'!$B$197</f>
        <v>CR828</v>
      </c>
      <c r="N53" s="576">
        <v>2022</v>
      </c>
      <c r="O53" s="576" t="str">
        <f t="shared" si="3"/>
        <v>Exp. FTS-3</v>
      </c>
      <c r="P53" s="576" t="s">
        <v>17</v>
      </c>
      <c r="Q53" s="577">
        <v>18.005272486624204</v>
      </c>
      <c r="S53" s="588" t="str">
        <f>'Input 7_NG Rates'!$B$197</f>
        <v>CR828</v>
      </c>
      <c r="T53" s="576">
        <v>2019</v>
      </c>
      <c r="U53" s="576" t="str">
        <f t="shared" si="6"/>
        <v>Exp. FTS-3</v>
      </c>
      <c r="V53" s="576" t="s">
        <v>17</v>
      </c>
      <c r="W53" s="577">
        <v>19.963445676605506</v>
      </c>
      <c r="Y53" s="591">
        <v>13.35</v>
      </c>
      <c r="AA53" s="592">
        <v>-0.83</v>
      </c>
      <c r="AB53" s="576">
        <v>23.142399999999999</v>
      </c>
      <c r="AC53" s="593">
        <f t="shared" si="2"/>
        <v>22.3124</v>
      </c>
    </row>
    <row r="54" spans="1:41">
      <c r="A54" s="588" t="str">
        <f>'Input 7_NG Rates'!$B$112</f>
        <v>CC826</v>
      </c>
      <c r="B54" s="576">
        <v>2020</v>
      </c>
      <c r="C54" s="576" t="str">
        <f t="shared" si="4"/>
        <v>Exp. FTS-3.1</v>
      </c>
      <c r="D54" s="576" t="s">
        <v>17</v>
      </c>
      <c r="E54" s="577">
        <v>35.767823581161849</v>
      </c>
      <c r="G54" s="588" t="str">
        <f>'Input 7_NG Rates'!$B$112</f>
        <v>CC826</v>
      </c>
      <c r="H54" s="576">
        <v>2021</v>
      </c>
      <c r="I54" s="576" t="str">
        <f t="shared" si="5"/>
        <v>Exp. FTS-3.1</v>
      </c>
      <c r="J54" s="576" t="s">
        <v>17</v>
      </c>
      <c r="K54" s="589">
        <v>42.915289937304081</v>
      </c>
      <c r="M54" s="588" t="str">
        <f>'Input 7_NG Rates'!$B$112</f>
        <v>CC826</v>
      </c>
      <c r="N54" s="576">
        <v>2022</v>
      </c>
      <c r="O54" s="576" t="str">
        <f t="shared" si="3"/>
        <v>Exp. FTS-3.1</v>
      </c>
      <c r="P54" s="576" t="s">
        <v>17</v>
      </c>
      <c r="Q54" s="577">
        <v>43.361405125089355</v>
      </c>
      <c r="S54" s="588" t="str">
        <f>'Input 7_NG Rates'!$B$112</f>
        <v>CC826</v>
      </c>
      <c r="T54" s="576">
        <v>2019</v>
      </c>
      <c r="U54" s="576" t="str">
        <f t="shared" si="6"/>
        <v>Exp. FTS-3.1</v>
      </c>
      <c r="V54" s="576" t="s">
        <v>17</v>
      </c>
      <c r="W54" s="577">
        <v>43.365282355501812</v>
      </c>
      <c r="Y54" s="591">
        <v>18.57</v>
      </c>
      <c r="AA54" s="592">
        <v>-1.1499999999999999</v>
      </c>
      <c r="AB54" s="576">
        <v>69.689099999999996</v>
      </c>
      <c r="AC54" s="593">
        <f t="shared" si="2"/>
        <v>68.539099999999991</v>
      </c>
      <c r="AE54" s="590"/>
    </row>
    <row r="61" spans="1:41">
      <c r="G61" s="191" t="s">
        <v>922</v>
      </c>
      <c r="J61" s="55" t="s">
        <v>12</v>
      </c>
      <c r="K61" s="55"/>
      <c r="Y61" s="578">
        <v>7.3660000000000003E-2</v>
      </c>
      <c r="AB61" s="576">
        <v>0.1053</v>
      </c>
      <c r="AC61" s="593">
        <f t="shared" ref="AC61:AC63" si="7">AA61+AB61</f>
        <v>0.1053</v>
      </c>
      <c r="AD61" s="261"/>
      <c r="AE61" s="261"/>
      <c r="AF61" s="261"/>
      <c r="AG61"/>
      <c r="AH61"/>
      <c r="AI61"/>
      <c r="AJ61"/>
    </row>
    <row r="62" spans="1:41">
      <c r="G62" s="191" t="s">
        <v>925</v>
      </c>
      <c r="J62" s="55" t="s">
        <v>12</v>
      </c>
      <c r="K62" s="55"/>
      <c r="Y62" s="578">
        <v>1.021E-2</v>
      </c>
      <c r="AB62" s="576">
        <v>9.8199999999999996E-2</v>
      </c>
      <c r="AC62" s="593">
        <f t="shared" si="7"/>
        <v>9.8199999999999996E-2</v>
      </c>
      <c r="AD62" s="261"/>
      <c r="AE62" s="261"/>
      <c r="AF62" s="261"/>
      <c r="AG62"/>
      <c r="AH62"/>
      <c r="AI62"/>
      <c r="AJ62"/>
    </row>
    <row r="63" spans="1:41">
      <c r="G63" s="191" t="s">
        <v>930</v>
      </c>
      <c r="J63" s="55" t="s">
        <v>12</v>
      </c>
      <c r="K63" s="55"/>
      <c r="Y63" s="578">
        <v>1.7270000000000001E-2</v>
      </c>
      <c r="AB63" s="576">
        <v>9.35E-2</v>
      </c>
      <c r="AC63" s="593">
        <f t="shared" si="7"/>
        <v>9.35E-2</v>
      </c>
      <c r="AD63" s="594"/>
      <c r="AE63" s="261"/>
      <c r="AF63" s="261"/>
      <c r="AG63"/>
      <c r="AH63" s="523"/>
      <c r="AI63"/>
      <c r="AJ63"/>
      <c r="AK63" s="523"/>
      <c r="AO63" s="522"/>
    </row>
    <row r="64" spans="1:41">
      <c r="G64" s="191" t="s">
        <v>935</v>
      </c>
      <c r="J64" s="55" t="s">
        <v>12</v>
      </c>
      <c r="K64" s="55"/>
      <c r="AC64" s="595"/>
      <c r="AD64" s="596"/>
      <c r="AE64" s="261"/>
      <c r="AF64" s="261"/>
      <c r="AG64"/>
      <c r="AH64"/>
      <c r="AI64"/>
      <c r="AJ64"/>
      <c r="AK64"/>
    </row>
    <row r="65" spans="7:41">
      <c r="G65" s="191" t="s">
        <v>913</v>
      </c>
      <c r="J65" s="55" t="s">
        <v>12</v>
      </c>
      <c r="K65" s="55"/>
      <c r="AC65" s="597"/>
      <c r="AD65" s="598"/>
      <c r="AE65" s="261"/>
      <c r="AF65" s="261"/>
      <c r="AG65"/>
      <c r="AH65" s="524"/>
      <c r="AI65"/>
      <c r="AJ65"/>
      <c r="AK65" s="524"/>
      <c r="AO65" s="522"/>
    </row>
    <row r="66" spans="7:41">
      <c r="AC66" s="595"/>
      <c r="AD66" s="599"/>
      <c r="AE66" s="261"/>
      <c r="AF66" s="261"/>
      <c r="AG66"/>
      <c r="AH66"/>
      <c r="AI66"/>
      <c r="AJ66"/>
      <c r="AK66"/>
    </row>
    <row r="67" spans="7:41">
      <c r="AC67" s="597"/>
      <c r="AD67" s="598"/>
      <c r="AE67" s="261"/>
      <c r="AF67" s="261"/>
      <c r="AG67"/>
      <c r="AH67" s="524"/>
      <c r="AI67"/>
      <c r="AJ67"/>
      <c r="AK67" s="524"/>
      <c r="AO67" s="522"/>
    </row>
    <row r="68" spans="7:41">
      <c r="AC68" s="595"/>
      <c r="AD68" s="599"/>
      <c r="AE68" s="261"/>
      <c r="AF68" s="261"/>
      <c r="AG68"/>
      <c r="AH68"/>
      <c r="AI68"/>
      <c r="AJ68"/>
      <c r="AK68"/>
    </row>
    <row r="69" spans="7:41">
      <c r="AC69" s="597"/>
      <c r="AD69" s="598"/>
      <c r="AE69" s="261"/>
      <c r="AF69" s="261"/>
      <c r="AG69"/>
      <c r="AH69" s="524"/>
      <c r="AI69"/>
      <c r="AJ69"/>
      <c r="AK69" s="524"/>
      <c r="AO69" s="522"/>
    </row>
    <row r="70" spans="7:41">
      <c r="AC70" s="595"/>
      <c r="AD70" s="599"/>
      <c r="AE70" s="261"/>
      <c r="AF70" s="261"/>
      <c r="AG70"/>
      <c r="AH70"/>
      <c r="AI70"/>
      <c r="AJ70"/>
      <c r="AK70"/>
    </row>
    <row r="71" spans="7:41">
      <c r="AC71" s="597"/>
      <c r="AD71" s="598"/>
      <c r="AE71" s="261"/>
      <c r="AF71" s="261"/>
      <c r="AG71"/>
      <c r="AH71" s="524"/>
      <c r="AI71"/>
      <c r="AJ71"/>
      <c r="AK71" s="524"/>
      <c r="AO71" s="522"/>
    </row>
    <row r="72" spans="7:41">
      <c r="AC72" s="595"/>
      <c r="AD72" s="599"/>
      <c r="AE72" s="261"/>
      <c r="AF72" s="261"/>
      <c r="AG72"/>
      <c r="AH72"/>
      <c r="AI72"/>
      <c r="AJ72"/>
      <c r="AK72"/>
    </row>
    <row r="73" spans="7:41">
      <c r="AC73" s="597"/>
      <c r="AD73" s="598"/>
      <c r="AE73" s="261"/>
      <c r="AF73" s="261"/>
      <c r="AG73"/>
      <c r="AH73" s="524"/>
      <c r="AI73"/>
      <c r="AJ73"/>
      <c r="AK73" s="524"/>
      <c r="AO73" s="522"/>
    </row>
    <row r="74" spans="7:41">
      <c r="AC74" s="595"/>
      <c r="AD74" s="599"/>
      <c r="AE74" s="261"/>
      <c r="AF74" s="261"/>
      <c r="AG74"/>
      <c r="AH74"/>
      <c r="AI74"/>
      <c r="AJ74"/>
      <c r="AK74"/>
    </row>
    <row r="75" spans="7:41">
      <c r="AC75" s="597"/>
      <c r="AD75" s="598"/>
      <c r="AE75" s="261"/>
      <c r="AF75" s="261"/>
      <c r="AG75"/>
      <c r="AH75" s="524"/>
      <c r="AI75"/>
      <c r="AJ75"/>
      <c r="AK75" s="524"/>
      <c r="AO75" s="522"/>
    </row>
    <row r="76" spans="7:41">
      <c r="AC76" s="595"/>
      <c r="AD76" s="599"/>
      <c r="AE76" s="261"/>
      <c r="AF76" s="261"/>
      <c r="AG76"/>
      <c r="AH76"/>
      <c r="AI76"/>
      <c r="AJ76"/>
      <c r="AK76"/>
    </row>
    <row r="77" spans="7:41">
      <c r="AC77" s="597"/>
      <c r="AD77" s="598"/>
      <c r="AE77" s="261"/>
      <c r="AF77" s="261"/>
      <c r="AG77"/>
      <c r="AH77" s="524"/>
      <c r="AI77"/>
      <c r="AJ77"/>
      <c r="AK77" s="524"/>
      <c r="AO77" s="522"/>
    </row>
    <row r="78" spans="7:41">
      <c r="AC78" s="595"/>
      <c r="AD78" s="599"/>
      <c r="AE78" s="261"/>
      <c r="AF78" s="261"/>
      <c r="AG78"/>
      <c r="AH78"/>
      <c r="AI78"/>
      <c r="AJ78"/>
      <c r="AK78"/>
    </row>
    <row r="79" spans="7:41">
      <c r="AC79" s="597"/>
      <c r="AD79" s="598"/>
      <c r="AE79" s="261"/>
      <c r="AF79" s="261"/>
      <c r="AG79"/>
      <c r="AH79" s="524"/>
      <c r="AI79"/>
      <c r="AJ79"/>
      <c r="AK79" s="524"/>
      <c r="AO79" s="522"/>
    </row>
    <row r="80" spans="7:41">
      <c r="AC80" s="595"/>
      <c r="AD80" s="599"/>
      <c r="AE80" s="261"/>
      <c r="AF80" s="261"/>
      <c r="AG80"/>
      <c r="AH80"/>
      <c r="AI80"/>
      <c r="AJ80"/>
      <c r="AK80"/>
    </row>
    <row r="81" spans="29:41">
      <c r="AC81" s="597"/>
      <c r="AD81" s="598"/>
      <c r="AE81" s="261"/>
      <c r="AF81" s="261"/>
      <c r="AG81"/>
      <c r="AH81" s="524"/>
      <c r="AI81"/>
      <c r="AJ81"/>
      <c r="AK81" s="524"/>
      <c r="AO81" s="522"/>
    </row>
    <row r="82" spans="29:41">
      <c r="AC82" s="595"/>
      <c r="AD82" s="599"/>
      <c r="AE82" s="261"/>
      <c r="AF82" s="261"/>
      <c r="AG82"/>
      <c r="AH82"/>
      <c r="AI82"/>
      <c r="AJ82"/>
      <c r="AK82"/>
    </row>
    <row r="83" spans="29:41">
      <c r="AC83" s="597"/>
      <c r="AD83" s="598"/>
      <c r="AE83" s="261"/>
      <c r="AF83" s="261"/>
      <c r="AG83"/>
      <c r="AH83" s="524"/>
      <c r="AI83"/>
      <c r="AJ83"/>
      <c r="AK83" s="524"/>
      <c r="AO83" s="522"/>
    </row>
    <row r="84" spans="29:41">
      <c r="AC84" s="595"/>
      <c r="AD84" s="599"/>
      <c r="AE84" s="261"/>
      <c r="AF84" s="261"/>
      <c r="AG84"/>
      <c r="AH84"/>
      <c r="AI84"/>
      <c r="AJ84"/>
      <c r="AK84"/>
    </row>
    <row r="85" spans="29:41">
      <c r="AC85" s="597"/>
      <c r="AD85" s="598"/>
      <c r="AE85" s="261"/>
      <c r="AF85" s="261"/>
      <c r="AG85"/>
      <c r="AH85" s="524"/>
      <c r="AI85"/>
      <c r="AJ85"/>
      <c r="AK85" s="524"/>
      <c r="AO85" s="522"/>
    </row>
    <row r="86" spans="29:41">
      <c r="AC86" s="595"/>
      <c r="AD86" s="599"/>
      <c r="AE86" s="261"/>
      <c r="AF86" s="261"/>
      <c r="AG86"/>
      <c r="AH86"/>
      <c r="AI86"/>
      <c r="AJ86"/>
      <c r="AK86"/>
    </row>
    <row r="87" spans="29:41">
      <c r="AC87" s="597"/>
      <c r="AD87" s="598"/>
      <c r="AE87" s="261"/>
      <c r="AF87" s="261"/>
      <c r="AG87"/>
      <c r="AH87" s="524"/>
      <c r="AI87"/>
      <c r="AJ87"/>
      <c r="AK87" s="524"/>
      <c r="AO87" s="522"/>
    </row>
    <row r="88" spans="29:41">
      <c r="AC88" s="595"/>
      <c r="AD88" s="599"/>
      <c r="AE88" s="261"/>
      <c r="AF88" s="261"/>
      <c r="AG88"/>
      <c r="AH88"/>
      <c r="AI88"/>
      <c r="AJ88"/>
      <c r="AK88"/>
    </row>
    <row r="89" spans="29:41">
      <c r="AC89" s="597"/>
      <c r="AD89" s="598"/>
      <c r="AE89" s="261"/>
      <c r="AF89" s="261"/>
      <c r="AG89"/>
      <c r="AH89" s="524"/>
      <c r="AI89"/>
      <c r="AJ89"/>
      <c r="AK89" s="524"/>
      <c r="AO89" s="522"/>
    </row>
    <row r="90" spans="29:41">
      <c r="AC90" s="595"/>
      <c r="AD90" s="599"/>
      <c r="AE90" s="261"/>
      <c r="AF90" s="261"/>
      <c r="AG90"/>
      <c r="AH90"/>
      <c r="AI90"/>
      <c r="AJ90"/>
      <c r="AK90"/>
    </row>
    <row r="91" spans="29:41">
      <c r="AC91" s="597"/>
      <c r="AD91" s="598"/>
      <c r="AE91" s="261"/>
      <c r="AF91" s="261"/>
      <c r="AG91"/>
      <c r="AH91" s="524"/>
      <c r="AI91"/>
      <c r="AJ91"/>
      <c r="AK91" s="524"/>
      <c r="AO91" s="522"/>
    </row>
    <row r="92" spans="29:41">
      <c r="AC92" s="597"/>
      <c r="AD92" s="599"/>
      <c r="AE92" s="261"/>
      <c r="AF92" s="261"/>
      <c r="AG92"/>
      <c r="AH92"/>
      <c r="AI92"/>
      <c r="AJ92"/>
      <c r="AK92"/>
    </row>
    <row r="93" spans="29:41">
      <c r="AC93" s="597"/>
      <c r="AD93" s="598"/>
      <c r="AE93" s="261"/>
      <c r="AF93" s="261"/>
      <c r="AG93"/>
      <c r="AH93" s="524"/>
      <c r="AI93"/>
      <c r="AJ93"/>
      <c r="AK93" s="524"/>
      <c r="AO93" s="522"/>
    </row>
    <row r="94" spans="29:41">
      <c r="AD94" s="598"/>
      <c r="AE94" s="261"/>
      <c r="AF94" s="261"/>
      <c r="AG94"/>
      <c r="AH94"/>
      <c r="AI94"/>
      <c r="AJ94"/>
      <c r="AK94"/>
    </row>
  </sheetData>
  <autoFilter ref="A4:AC54" xr:uid="{2E08F0D0-4579-4FE9-A11C-F902A1F6D7BB}"/>
  <mergeCells count="4">
    <mergeCell ref="A3:E3"/>
    <mergeCell ref="M3:Q3"/>
    <mergeCell ref="G3:K3"/>
    <mergeCell ref="S3:W3"/>
  </mergeCells>
  <pageMargins left="0.7" right="0.7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8E883-C535-4447-87C3-E3E2871AF3A3}">
  <sheetPr>
    <tabColor theme="0" tint="-0.34998626667073579"/>
  </sheetPr>
  <dimension ref="A1:W258"/>
  <sheetViews>
    <sheetView workbookViewId="0"/>
  </sheetViews>
  <sheetFormatPr defaultColWidth="10" defaultRowHeight="11.25"/>
  <cols>
    <col min="1" max="1" width="3.85546875" style="204" bestFit="1" customWidth="1"/>
    <col min="2" max="2" width="31.42578125" style="204" bestFit="1" customWidth="1"/>
    <col min="3" max="3" width="11.5703125" style="204" bestFit="1" customWidth="1"/>
    <col min="4" max="4" width="7.7109375" style="204" bestFit="1" customWidth="1"/>
    <col min="5" max="7" width="7.140625" style="204" customWidth="1"/>
    <col min="8" max="8" width="7.85546875" style="204" customWidth="1"/>
    <col min="9" max="14" width="7.140625" style="204" customWidth="1"/>
    <col min="15" max="15" width="8.140625" style="204" customWidth="1"/>
    <col min="16" max="17" width="10" style="204"/>
    <col min="18" max="18" width="10" style="210"/>
    <col min="19" max="19" width="17.28515625" style="204" bestFit="1" customWidth="1"/>
    <col min="20" max="20" width="10" style="237"/>
    <col min="21" max="16384" width="10" style="204"/>
  </cols>
  <sheetData>
    <row r="1" spans="1:23" ht="12" thickBot="1">
      <c r="B1" s="205" t="s">
        <v>248</v>
      </c>
      <c r="C1" s="263">
        <v>1</v>
      </c>
      <c r="D1" s="263">
        <v>2</v>
      </c>
      <c r="E1" s="263">
        <v>3</v>
      </c>
      <c r="F1" s="263">
        <v>4</v>
      </c>
      <c r="G1" s="263">
        <v>5</v>
      </c>
      <c r="H1" s="263">
        <v>6</v>
      </c>
      <c r="I1" s="263">
        <v>7</v>
      </c>
      <c r="J1" s="263">
        <v>8</v>
      </c>
      <c r="K1" s="263">
        <v>9</v>
      </c>
      <c r="L1" s="263">
        <v>10</v>
      </c>
      <c r="M1" s="263">
        <v>11</v>
      </c>
      <c r="N1" s="263">
        <v>12</v>
      </c>
      <c r="O1" s="206" t="s">
        <v>156</v>
      </c>
      <c r="R1" s="207" t="s">
        <v>249</v>
      </c>
      <c r="S1" s="204" t="s">
        <v>11</v>
      </c>
      <c r="U1" s="204" t="s">
        <v>1418</v>
      </c>
    </row>
    <row r="2" spans="1:23" ht="12" thickBot="1">
      <c r="A2" s="204">
        <v>2</v>
      </c>
      <c r="B2" s="208" t="s">
        <v>250</v>
      </c>
      <c r="C2" s="209">
        <f>C14+C59+C60+C61</f>
        <v>697</v>
      </c>
      <c r="D2" s="209">
        <f t="shared" ref="D2:N2" si="0">D14+D59+D60+D61</f>
        <v>697</v>
      </c>
      <c r="E2" s="209">
        <f t="shared" si="0"/>
        <v>699</v>
      </c>
      <c r="F2" s="209">
        <f t="shared" si="0"/>
        <v>697</v>
      </c>
      <c r="G2" s="209">
        <f t="shared" si="0"/>
        <v>697</v>
      </c>
      <c r="H2" s="209">
        <f t="shared" si="0"/>
        <v>693</v>
      </c>
      <c r="I2" s="209">
        <f t="shared" si="0"/>
        <v>695</v>
      </c>
      <c r="J2" s="209">
        <f t="shared" si="0"/>
        <v>699</v>
      </c>
      <c r="K2" s="209">
        <f>K14+K59+K60+K61</f>
        <v>697</v>
      </c>
      <c r="L2" s="209">
        <f t="shared" si="0"/>
        <v>694</v>
      </c>
      <c r="M2" s="209">
        <f t="shared" si="0"/>
        <v>698</v>
      </c>
      <c r="N2" s="209">
        <f t="shared" si="0"/>
        <v>694</v>
      </c>
      <c r="O2" s="210"/>
      <c r="Q2" s="211"/>
      <c r="R2" s="207" t="s">
        <v>251</v>
      </c>
      <c r="S2" s="211"/>
    </row>
    <row r="3" spans="1:23">
      <c r="A3" s="204">
        <f t="shared" ref="A3:A66" si="1">+A2+1</f>
        <v>3</v>
      </c>
      <c r="B3" s="212" t="s">
        <v>158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Q3" s="206"/>
      <c r="R3" s="209"/>
      <c r="S3" s="206"/>
    </row>
    <row r="4" spans="1:23">
      <c r="A4" s="204">
        <f t="shared" si="1"/>
        <v>4</v>
      </c>
      <c r="B4" s="213" t="s">
        <v>114</v>
      </c>
      <c r="C4" s="214">
        <v>1215</v>
      </c>
      <c r="D4" s="214">
        <v>1225</v>
      </c>
      <c r="E4" s="214">
        <v>1228</v>
      </c>
      <c r="F4" s="214">
        <v>1175</v>
      </c>
      <c r="G4" s="214">
        <v>1162</v>
      </c>
      <c r="H4" s="214">
        <v>1144</v>
      </c>
      <c r="I4" s="214">
        <v>1149</v>
      </c>
      <c r="J4" s="214">
        <v>1150</v>
      </c>
      <c r="K4" s="214">
        <v>1145</v>
      </c>
      <c r="L4" s="214">
        <v>1145</v>
      </c>
      <c r="M4" s="214">
        <v>1145</v>
      </c>
      <c r="N4" s="214">
        <v>1158</v>
      </c>
      <c r="O4" s="210">
        <f>AVERAGE(C4:N4)</f>
        <v>1170.0833333333333</v>
      </c>
      <c r="Q4" s="204" t="s">
        <v>17</v>
      </c>
      <c r="R4" s="210">
        <f>+SUM(C4:N4)</f>
        <v>14041</v>
      </c>
      <c r="S4" s="215" t="str">
        <f t="shared" ref="S4:S10" si="2">CONCATENATE(Q4," - ",B4," R")</f>
        <v>CFG - FTS-A R</v>
      </c>
      <c r="T4" s="238"/>
      <c r="U4" s="204" t="s">
        <v>8</v>
      </c>
    </row>
    <row r="5" spans="1:23">
      <c r="A5" s="204">
        <f t="shared" si="1"/>
        <v>5</v>
      </c>
      <c r="B5" s="213" t="s">
        <v>115</v>
      </c>
      <c r="C5" s="214">
        <v>2264</v>
      </c>
      <c r="D5" s="214">
        <v>2277</v>
      </c>
      <c r="E5" s="214">
        <v>2272</v>
      </c>
      <c r="F5" s="214">
        <v>2288</v>
      </c>
      <c r="G5" s="214">
        <v>2273</v>
      </c>
      <c r="H5" s="214">
        <v>2262</v>
      </c>
      <c r="I5" s="214">
        <v>2270</v>
      </c>
      <c r="J5" s="214">
        <v>2261</v>
      </c>
      <c r="K5" s="214">
        <v>2261</v>
      </c>
      <c r="L5" s="214">
        <v>2249</v>
      </c>
      <c r="M5" s="214">
        <v>2265</v>
      </c>
      <c r="N5" s="214">
        <v>2268</v>
      </c>
      <c r="O5" s="210">
        <f t="shared" ref="O5:O10" si="3">AVERAGE(C5:N5)</f>
        <v>2267.5</v>
      </c>
      <c r="Q5" s="204" t="s">
        <v>17</v>
      </c>
      <c r="R5" s="210">
        <f t="shared" ref="R5:R15" si="4">+SUM(C5:N5)</f>
        <v>27210</v>
      </c>
      <c r="S5" s="215" t="str">
        <f t="shared" si="2"/>
        <v>CFG - FTS-B R</v>
      </c>
      <c r="T5" s="210"/>
      <c r="U5" s="204" t="s">
        <v>8</v>
      </c>
    </row>
    <row r="6" spans="1:23">
      <c r="A6" s="204">
        <f t="shared" si="1"/>
        <v>6</v>
      </c>
      <c r="B6" s="213" t="s">
        <v>116</v>
      </c>
      <c r="C6" s="214">
        <v>11148</v>
      </c>
      <c r="D6" s="214">
        <v>11209</v>
      </c>
      <c r="E6" s="214">
        <v>11302</v>
      </c>
      <c r="F6" s="214">
        <v>11410</v>
      </c>
      <c r="G6" s="214">
        <v>11438</v>
      </c>
      <c r="H6" s="214">
        <v>11483</v>
      </c>
      <c r="I6" s="214">
        <v>11522</v>
      </c>
      <c r="J6" s="214">
        <v>11555</v>
      </c>
      <c r="K6" s="214">
        <v>11626</v>
      </c>
      <c r="L6" s="214">
        <v>11672</v>
      </c>
      <c r="M6" s="214">
        <v>11800</v>
      </c>
      <c r="N6" s="214">
        <v>11887</v>
      </c>
      <c r="O6" s="210">
        <f t="shared" si="3"/>
        <v>11504.333333333334</v>
      </c>
      <c r="Q6" s="204" t="s">
        <v>17</v>
      </c>
      <c r="R6" s="210">
        <f t="shared" si="4"/>
        <v>138052</v>
      </c>
      <c r="S6" s="215" t="str">
        <f t="shared" si="2"/>
        <v>CFG - FTS-1 R</v>
      </c>
      <c r="U6" s="204" t="s">
        <v>8</v>
      </c>
    </row>
    <row r="7" spans="1:23">
      <c r="A7" s="204">
        <f t="shared" si="1"/>
        <v>7</v>
      </c>
      <c r="B7" s="213" t="s">
        <v>117</v>
      </c>
      <c r="C7" s="214">
        <v>689</v>
      </c>
      <c r="D7" s="214">
        <v>688</v>
      </c>
      <c r="E7" s="214">
        <v>689</v>
      </c>
      <c r="F7" s="214">
        <v>728</v>
      </c>
      <c r="G7" s="214">
        <v>721</v>
      </c>
      <c r="H7" s="214">
        <v>721</v>
      </c>
      <c r="I7" s="214">
        <v>728</v>
      </c>
      <c r="J7" s="214">
        <v>717</v>
      </c>
      <c r="K7" s="214">
        <v>721</v>
      </c>
      <c r="L7" s="214">
        <v>719</v>
      </c>
      <c r="M7" s="214">
        <v>726</v>
      </c>
      <c r="N7" s="214">
        <v>724</v>
      </c>
      <c r="O7" s="210">
        <f t="shared" si="3"/>
        <v>714.25</v>
      </c>
      <c r="Q7" s="204" t="s">
        <v>17</v>
      </c>
      <c r="R7" s="210">
        <f t="shared" si="4"/>
        <v>8571</v>
      </c>
      <c r="S7" s="215" t="str">
        <f t="shared" si="2"/>
        <v>CFG - FTS-2 R</v>
      </c>
      <c r="U7" s="204" t="s">
        <v>8</v>
      </c>
    </row>
    <row r="8" spans="1:23">
      <c r="A8" s="204">
        <f t="shared" si="1"/>
        <v>8</v>
      </c>
      <c r="B8" s="213" t="s">
        <v>118</v>
      </c>
      <c r="C8" s="214">
        <v>516</v>
      </c>
      <c r="D8" s="214">
        <v>515</v>
      </c>
      <c r="E8" s="214">
        <v>512</v>
      </c>
      <c r="F8" s="214">
        <v>488</v>
      </c>
      <c r="G8" s="214">
        <v>481</v>
      </c>
      <c r="H8" s="214">
        <v>482</v>
      </c>
      <c r="I8" s="214">
        <v>485</v>
      </c>
      <c r="J8" s="214">
        <v>482</v>
      </c>
      <c r="K8" s="214">
        <v>484</v>
      </c>
      <c r="L8" s="214">
        <v>483</v>
      </c>
      <c r="M8" s="214">
        <v>484</v>
      </c>
      <c r="N8" s="214">
        <v>484</v>
      </c>
      <c r="O8" s="210">
        <f t="shared" si="3"/>
        <v>491.33333333333331</v>
      </c>
      <c r="Q8" s="204" t="s">
        <v>17</v>
      </c>
      <c r="R8" s="210">
        <f t="shared" si="4"/>
        <v>5896</v>
      </c>
      <c r="S8" s="216" t="str">
        <f t="shared" si="2"/>
        <v>CFG - FTS-2.1 R</v>
      </c>
      <c r="T8" s="238"/>
      <c r="U8" s="204" t="s">
        <v>8</v>
      </c>
      <c r="W8" s="217"/>
    </row>
    <row r="9" spans="1:23">
      <c r="A9" s="204">
        <f t="shared" si="1"/>
        <v>9</v>
      </c>
      <c r="B9" s="218" t="s">
        <v>119</v>
      </c>
      <c r="C9" s="214">
        <v>13</v>
      </c>
      <c r="D9" s="214">
        <v>13</v>
      </c>
      <c r="E9" s="214">
        <v>13</v>
      </c>
      <c r="F9" s="214">
        <v>16</v>
      </c>
      <c r="G9" s="214">
        <v>16</v>
      </c>
      <c r="H9" s="214">
        <v>16</v>
      </c>
      <c r="I9" s="214">
        <v>16</v>
      </c>
      <c r="J9" s="214">
        <v>16</v>
      </c>
      <c r="K9" s="214">
        <v>16</v>
      </c>
      <c r="L9" s="214">
        <v>16</v>
      </c>
      <c r="M9" s="214">
        <v>16</v>
      </c>
      <c r="N9" s="214">
        <v>16</v>
      </c>
      <c r="O9" s="210">
        <f t="shared" si="3"/>
        <v>15.25</v>
      </c>
      <c r="Q9" s="204" t="s">
        <v>17</v>
      </c>
      <c r="R9" s="210">
        <f t="shared" si="4"/>
        <v>183</v>
      </c>
      <c r="S9" s="215" t="str">
        <f t="shared" si="2"/>
        <v>CFG - FTS-3 R</v>
      </c>
      <c r="T9" s="210"/>
      <c r="U9" s="204" t="s">
        <v>8</v>
      </c>
    </row>
    <row r="10" spans="1:23">
      <c r="A10" s="204">
        <f t="shared" si="1"/>
        <v>10</v>
      </c>
      <c r="B10" s="218" t="s">
        <v>120</v>
      </c>
      <c r="C10" s="214">
        <v>0</v>
      </c>
      <c r="D10" s="214">
        <v>0</v>
      </c>
      <c r="E10" s="214">
        <v>0</v>
      </c>
      <c r="F10" s="214">
        <v>0</v>
      </c>
      <c r="G10" s="214">
        <v>0</v>
      </c>
      <c r="H10" s="214">
        <v>0</v>
      </c>
      <c r="I10" s="214">
        <v>0</v>
      </c>
      <c r="J10" s="214">
        <v>0</v>
      </c>
      <c r="K10" s="214"/>
      <c r="L10" s="214"/>
      <c r="M10" s="214"/>
      <c r="N10" s="214"/>
      <c r="O10" s="210">
        <f t="shared" si="3"/>
        <v>0</v>
      </c>
      <c r="Q10" s="204" t="s">
        <v>17</v>
      </c>
      <c r="R10" s="210">
        <f t="shared" si="4"/>
        <v>0</v>
      </c>
      <c r="S10" s="215" t="str">
        <f t="shared" si="2"/>
        <v>CFG - FTS-3.1 R</v>
      </c>
      <c r="U10" s="204" t="s">
        <v>8</v>
      </c>
    </row>
    <row r="11" spans="1:23">
      <c r="A11" s="204">
        <f t="shared" si="1"/>
        <v>11</v>
      </c>
      <c r="B11" s="218" t="s">
        <v>161</v>
      </c>
      <c r="C11" s="214">
        <v>53499</v>
      </c>
      <c r="D11" s="214">
        <v>53510</v>
      </c>
      <c r="E11" s="214">
        <v>53765</v>
      </c>
      <c r="F11" s="214">
        <v>53838</v>
      </c>
      <c r="G11" s="214">
        <v>53847</v>
      </c>
      <c r="H11" s="214">
        <v>54011</v>
      </c>
      <c r="I11" s="214">
        <v>53950</v>
      </c>
      <c r="J11" s="214">
        <v>54098</v>
      </c>
      <c r="K11" s="214">
        <v>54159</v>
      </c>
      <c r="L11" s="214">
        <v>54187</v>
      </c>
      <c r="M11" s="214">
        <v>54500</v>
      </c>
      <c r="N11" s="214">
        <v>54681</v>
      </c>
      <c r="O11" s="210">
        <f>AVERAGE(C11:N11)</f>
        <v>54003.75</v>
      </c>
      <c r="Q11" s="204" t="s">
        <v>16</v>
      </c>
      <c r="R11" s="210">
        <f t="shared" si="4"/>
        <v>648045</v>
      </c>
      <c r="S11" s="215" t="str">
        <f>CONCATENATE(Q11," - ",B11)</f>
        <v>FPU - FPU - RS</v>
      </c>
      <c r="T11" s="238"/>
      <c r="U11" s="204" t="s">
        <v>8</v>
      </c>
      <c r="W11" s="217"/>
    </row>
    <row r="12" spans="1:23">
      <c r="A12" s="204">
        <f t="shared" si="1"/>
        <v>12</v>
      </c>
      <c r="B12" s="218" t="s">
        <v>163</v>
      </c>
      <c r="C12" s="214">
        <v>434</v>
      </c>
      <c r="D12" s="214">
        <v>431</v>
      </c>
      <c r="E12" s="214">
        <v>440</v>
      </c>
      <c r="F12" s="214">
        <v>444</v>
      </c>
      <c r="G12" s="214">
        <v>441</v>
      </c>
      <c r="H12" s="214">
        <v>448</v>
      </c>
      <c r="I12" s="214">
        <v>453</v>
      </c>
      <c r="J12" s="214">
        <v>459</v>
      </c>
      <c r="K12" s="214">
        <v>478</v>
      </c>
      <c r="L12" s="214">
        <v>490</v>
      </c>
      <c r="M12" s="214">
        <v>495</v>
      </c>
      <c r="N12" s="214">
        <v>505</v>
      </c>
      <c r="O12" s="210">
        <f>AVERAGE(C12:N12)</f>
        <v>459.83333333333331</v>
      </c>
      <c r="Q12" s="204" t="s">
        <v>16</v>
      </c>
      <c r="R12" s="210">
        <f t="shared" si="4"/>
        <v>5518</v>
      </c>
      <c r="S12" s="215" t="str">
        <f>CONCATENATE(Q12," - ",B12)</f>
        <v>FPU - FPU - RS-GS</v>
      </c>
      <c r="T12" s="210"/>
      <c r="U12" s="204" t="s">
        <v>8</v>
      </c>
    </row>
    <row r="13" spans="1:23">
      <c r="A13" s="204">
        <f t="shared" si="1"/>
        <v>13</v>
      </c>
      <c r="B13" s="218" t="s">
        <v>111</v>
      </c>
      <c r="C13" s="214">
        <v>582</v>
      </c>
      <c r="D13" s="214">
        <v>581</v>
      </c>
      <c r="E13" s="214">
        <v>584</v>
      </c>
      <c r="F13" s="214">
        <v>577</v>
      </c>
      <c r="G13" s="214">
        <v>565</v>
      </c>
      <c r="H13" s="214">
        <v>561</v>
      </c>
      <c r="I13" s="214">
        <v>561</v>
      </c>
      <c r="J13" s="214">
        <v>557</v>
      </c>
      <c r="K13" s="214">
        <v>560</v>
      </c>
      <c r="L13" s="214">
        <v>558</v>
      </c>
      <c r="M13" s="214">
        <v>560</v>
      </c>
      <c r="N13" s="214">
        <v>560</v>
      </c>
      <c r="O13" s="210">
        <f>AVERAGE(C13:N13)</f>
        <v>567.16666666666663</v>
      </c>
      <c r="Q13" s="204" t="s">
        <v>14</v>
      </c>
      <c r="R13" s="210">
        <f t="shared" si="4"/>
        <v>6806</v>
      </c>
      <c r="S13" s="215" t="str">
        <f>CONCATENATE(Q13," - ",B13)</f>
        <v>FT - FT-RS</v>
      </c>
      <c r="T13" s="210"/>
      <c r="U13" s="204" t="s">
        <v>8</v>
      </c>
      <c r="W13" s="217"/>
    </row>
    <row r="14" spans="1:23">
      <c r="A14" s="204">
        <f t="shared" si="1"/>
        <v>14</v>
      </c>
      <c r="B14" s="218" t="s">
        <v>105</v>
      </c>
      <c r="C14" s="214">
        <v>671</v>
      </c>
      <c r="D14" s="214">
        <v>671</v>
      </c>
      <c r="E14" s="214">
        <v>673</v>
      </c>
      <c r="F14" s="214">
        <v>670</v>
      </c>
      <c r="G14" s="214">
        <v>671</v>
      </c>
      <c r="H14" s="214">
        <v>667</v>
      </c>
      <c r="I14" s="214">
        <v>669</v>
      </c>
      <c r="J14" s="214">
        <v>673</v>
      </c>
      <c r="K14" s="214">
        <v>671</v>
      </c>
      <c r="L14" s="214">
        <v>668</v>
      </c>
      <c r="M14" s="214">
        <v>672</v>
      </c>
      <c r="N14" s="214">
        <v>668</v>
      </c>
      <c r="O14" s="210">
        <f>AVERAGE(C14:N14)</f>
        <v>670.33333333333337</v>
      </c>
      <c r="Q14" s="204" t="s">
        <v>13</v>
      </c>
      <c r="R14" s="210">
        <f t="shared" si="4"/>
        <v>8044</v>
      </c>
      <c r="S14" s="215" t="str">
        <f>CONCATENATE(Q14," - ",B14)</f>
        <v>IGC - IGC - TS1</v>
      </c>
      <c r="U14" s="204" t="s">
        <v>8</v>
      </c>
      <c r="W14" s="217"/>
    </row>
    <row r="15" spans="1:23">
      <c r="A15" s="204">
        <f t="shared" si="1"/>
        <v>15</v>
      </c>
      <c r="B15" s="219" t="s">
        <v>166</v>
      </c>
      <c r="C15" s="220">
        <f>SUM(C4:C14)</f>
        <v>71031</v>
      </c>
      <c r="D15" s="220">
        <f t="shared" ref="D15:N15" si="5">SUM(D4:D14)</f>
        <v>71120</v>
      </c>
      <c r="E15" s="220">
        <f t="shared" si="5"/>
        <v>71478</v>
      </c>
      <c r="F15" s="220">
        <f t="shared" si="5"/>
        <v>71634</v>
      </c>
      <c r="G15" s="220">
        <f t="shared" si="5"/>
        <v>71615</v>
      </c>
      <c r="H15" s="220">
        <f t="shared" si="5"/>
        <v>71795</v>
      </c>
      <c r="I15" s="220">
        <f t="shared" si="5"/>
        <v>71803</v>
      </c>
      <c r="J15" s="220">
        <f t="shared" si="5"/>
        <v>71968</v>
      </c>
      <c r="K15" s="220">
        <f t="shared" si="5"/>
        <v>72121</v>
      </c>
      <c r="L15" s="220">
        <f t="shared" si="5"/>
        <v>72187</v>
      </c>
      <c r="M15" s="220">
        <f t="shared" si="5"/>
        <v>72663</v>
      </c>
      <c r="N15" s="220">
        <f t="shared" si="5"/>
        <v>72951</v>
      </c>
      <c r="O15" s="220">
        <f>+SUM(O4:O14)</f>
        <v>71863.833333333328</v>
      </c>
      <c r="R15" s="210">
        <f t="shared" si="4"/>
        <v>862366</v>
      </c>
      <c r="T15" s="238"/>
      <c r="W15" s="217"/>
    </row>
    <row r="16" spans="1:23">
      <c r="A16" s="204">
        <f t="shared" si="1"/>
        <v>16</v>
      </c>
      <c r="B16" s="212" t="s">
        <v>167</v>
      </c>
      <c r="C16" s="210"/>
      <c r="D16" s="221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T16" s="238"/>
    </row>
    <row r="17" spans="1:21">
      <c r="A17" s="204">
        <f t="shared" si="1"/>
        <v>17</v>
      </c>
      <c r="B17" s="213" t="s">
        <v>114</v>
      </c>
      <c r="C17" s="214">
        <v>34</v>
      </c>
      <c r="D17" s="214">
        <v>35</v>
      </c>
      <c r="E17" s="214">
        <v>35</v>
      </c>
      <c r="F17" s="214">
        <v>33</v>
      </c>
      <c r="G17" s="214">
        <v>29</v>
      </c>
      <c r="H17" s="214">
        <v>29</v>
      </c>
      <c r="I17" s="214">
        <v>30</v>
      </c>
      <c r="J17" s="214">
        <v>29</v>
      </c>
      <c r="K17" s="214">
        <v>28</v>
      </c>
      <c r="L17" s="214">
        <v>31</v>
      </c>
      <c r="M17" s="214">
        <v>32</v>
      </c>
      <c r="N17" s="214">
        <v>33</v>
      </c>
      <c r="O17" s="210">
        <f t="shared" ref="O17:O24" si="6">AVERAGE(C17:N17)</f>
        <v>31.5</v>
      </c>
      <c r="Q17" s="204" t="s">
        <v>17</v>
      </c>
      <c r="R17" s="210">
        <f t="shared" ref="R17:R24" si="7">+SUM(C17:N17)</f>
        <v>378</v>
      </c>
      <c r="S17" s="204" t="str">
        <f>CONCATENATE(Q17," - ",B17," - ",T17)</f>
        <v>CFG - FTS-A - Fixed R</v>
      </c>
      <c r="T17" s="237" t="s">
        <v>168</v>
      </c>
      <c r="U17" s="204" t="s">
        <v>8</v>
      </c>
    </row>
    <row r="18" spans="1:21">
      <c r="A18" s="204">
        <f t="shared" si="1"/>
        <v>18</v>
      </c>
      <c r="B18" s="213" t="s">
        <v>115</v>
      </c>
      <c r="C18" s="214">
        <v>66</v>
      </c>
      <c r="D18" s="214">
        <v>65</v>
      </c>
      <c r="E18" s="214">
        <v>66</v>
      </c>
      <c r="F18" s="214">
        <v>65</v>
      </c>
      <c r="G18" s="214">
        <v>62</v>
      </c>
      <c r="H18" s="214">
        <v>63</v>
      </c>
      <c r="I18" s="214">
        <v>59</v>
      </c>
      <c r="J18" s="214">
        <v>60</v>
      </c>
      <c r="K18" s="214">
        <v>60</v>
      </c>
      <c r="L18" s="214">
        <v>61</v>
      </c>
      <c r="M18" s="214">
        <v>59</v>
      </c>
      <c r="N18" s="214">
        <v>59</v>
      </c>
      <c r="O18" s="210">
        <f t="shared" si="6"/>
        <v>62.083333333333336</v>
      </c>
      <c r="Q18" s="204" t="s">
        <v>17</v>
      </c>
      <c r="R18" s="210">
        <f t="shared" si="7"/>
        <v>745</v>
      </c>
      <c r="S18" s="204" t="str">
        <f t="shared" ref="S18:S23" si="8">CONCATENATE(Q18," - ",B18," - ",T18)</f>
        <v>CFG - FTS-B - Fixed R</v>
      </c>
      <c r="T18" s="237" t="s">
        <v>168</v>
      </c>
      <c r="U18" s="204" t="s">
        <v>8</v>
      </c>
    </row>
    <row r="19" spans="1:21">
      <c r="A19" s="204">
        <f t="shared" si="1"/>
        <v>19</v>
      </c>
      <c r="B19" s="213" t="s">
        <v>116</v>
      </c>
      <c r="C19" s="214">
        <v>168</v>
      </c>
      <c r="D19" s="214">
        <v>169</v>
      </c>
      <c r="E19" s="214">
        <v>170</v>
      </c>
      <c r="F19" s="214">
        <v>167</v>
      </c>
      <c r="G19" s="214">
        <v>168</v>
      </c>
      <c r="H19" s="214">
        <v>167</v>
      </c>
      <c r="I19" s="214">
        <v>168</v>
      </c>
      <c r="J19" s="214">
        <v>165</v>
      </c>
      <c r="K19" s="214">
        <v>164</v>
      </c>
      <c r="L19" s="214">
        <v>163</v>
      </c>
      <c r="M19" s="214">
        <v>164</v>
      </c>
      <c r="N19" s="214">
        <v>164</v>
      </c>
      <c r="O19" s="210">
        <f t="shared" si="6"/>
        <v>166.41666666666666</v>
      </c>
      <c r="Q19" s="204" t="s">
        <v>17</v>
      </c>
      <c r="R19" s="210">
        <f t="shared" si="7"/>
        <v>1997</v>
      </c>
      <c r="S19" s="204" t="str">
        <f t="shared" si="8"/>
        <v>CFG - FTS-1 - Fixed R</v>
      </c>
      <c r="T19" s="237" t="s">
        <v>168</v>
      </c>
      <c r="U19" s="204" t="s">
        <v>8</v>
      </c>
    </row>
    <row r="20" spans="1:21">
      <c r="A20" s="204">
        <f t="shared" si="1"/>
        <v>20</v>
      </c>
      <c r="B20" s="213" t="s">
        <v>117</v>
      </c>
      <c r="C20" s="214">
        <v>17</v>
      </c>
      <c r="D20" s="214">
        <v>16</v>
      </c>
      <c r="E20" s="214">
        <v>16</v>
      </c>
      <c r="F20" s="214">
        <v>20</v>
      </c>
      <c r="G20" s="214">
        <v>20</v>
      </c>
      <c r="H20" s="214">
        <v>19</v>
      </c>
      <c r="I20" s="214">
        <v>19</v>
      </c>
      <c r="J20" s="214">
        <v>19</v>
      </c>
      <c r="K20" s="214">
        <v>19</v>
      </c>
      <c r="L20" s="214">
        <v>19</v>
      </c>
      <c r="M20" s="214">
        <v>20</v>
      </c>
      <c r="N20" s="214">
        <v>20</v>
      </c>
      <c r="O20" s="210">
        <f t="shared" si="6"/>
        <v>18.666666666666668</v>
      </c>
      <c r="Q20" s="204" t="s">
        <v>17</v>
      </c>
      <c r="R20" s="210">
        <f t="shared" si="7"/>
        <v>224</v>
      </c>
      <c r="S20" s="204" t="str">
        <f t="shared" si="8"/>
        <v>CFG - FTS-2 - Fixed R</v>
      </c>
      <c r="T20" s="237" t="s">
        <v>168</v>
      </c>
      <c r="U20" s="204" t="s">
        <v>8</v>
      </c>
    </row>
    <row r="21" spans="1:21">
      <c r="A21" s="204">
        <f t="shared" si="1"/>
        <v>21</v>
      </c>
      <c r="B21" s="213" t="s">
        <v>118</v>
      </c>
      <c r="C21" s="214">
        <v>8</v>
      </c>
      <c r="D21" s="214">
        <v>8</v>
      </c>
      <c r="E21" s="214">
        <v>8</v>
      </c>
      <c r="F21" s="214">
        <v>9</v>
      </c>
      <c r="G21" s="214">
        <v>9</v>
      </c>
      <c r="H21" s="214">
        <v>9</v>
      </c>
      <c r="I21" s="214">
        <v>9</v>
      </c>
      <c r="J21" s="214">
        <v>9</v>
      </c>
      <c r="K21" s="214">
        <v>9</v>
      </c>
      <c r="L21" s="214">
        <v>10</v>
      </c>
      <c r="M21" s="214">
        <v>9</v>
      </c>
      <c r="N21" s="214">
        <v>9</v>
      </c>
      <c r="O21" s="210">
        <f t="shared" si="6"/>
        <v>8.8333333333333339</v>
      </c>
      <c r="Q21" s="204" t="s">
        <v>17</v>
      </c>
      <c r="R21" s="210">
        <f t="shared" si="7"/>
        <v>106</v>
      </c>
      <c r="S21" s="204" t="str">
        <f t="shared" si="8"/>
        <v>CFG - FTS-2.1 - Fixed R</v>
      </c>
      <c r="T21" s="237" t="s">
        <v>168</v>
      </c>
      <c r="U21" s="204" t="s">
        <v>8</v>
      </c>
    </row>
    <row r="22" spans="1:21">
      <c r="A22" s="204">
        <f t="shared" si="1"/>
        <v>22</v>
      </c>
      <c r="B22" s="218" t="s">
        <v>119</v>
      </c>
      <c r="C22" s="214">
        <v>0</v>
      </c>
      <c r="D22" s="214">
        <v>0</v>
      </c>
      <c r="E22" s="214">
        <v>0</v>
      </c>
      <c r="F22" s="214">
        <v>0</v>
      </c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0</v>
      </c>
      <c r="M22" s="214"/>
      <c r="N22" s="214"/>
      <c r="O22" s="210">
        <f t="shared" si="6"/>
        <v>0</v>
      </c>
      <c r="Q22" s="204" t="s">
        <v>17</v>
      </c>
      <c r="R22" s="210">
        <f t="shared" si="7"/>
        <v>0</v>
      </c>
      <c r="S22" s="204" t="str">
        <f t="shared" si="8"/>
        <v>CFG - FTS-3 - Fixed R</v>
      </c>
      <c r="T22" s="237" t="s">
        <v>168</v>
      </c>
      <c r="U22" s="204" t="s">
        <v>8</v>
      </c>
    </row>
    <row r="23" spans="1:21" ht="12.75" customHeight="1">
      <c r="A23" s="204">
        <f t="shared" si="1"/>
        <v>23</v>
      </c>
      <c r="B23" s="218" t="s">
        <v>120</v>
      </c>
      <c r="C23" s="214">
        <v>0</v>
      </c>
      <c r="D23" s="214">
        <v>0</v>
      </c>
      <c r="E23" s="214">
        <v>0</v>
      </c>
      <c r="F23" s="214">
        <v>0</v>
      </c>
      <c r="G23" s="214">
        <v>0</v>
      </c>
      <c r="H23" s="214">
        <v>0</v>
      </c>
      <c r="I23" s="214">
        <v>0</v>
      </c>
      <c r="J23" s="214">
        <v>0</v>
      </c>
      <c r="K23" s="214">
        <v>0</v>
      </c>
      <c r="L23" s="214">
        <v>0</v>
      </c>
      <c r="M23" s="214"/>
      <c r="N23" s="214"/>
      <c r="O23" s="222">
        <f t="shared" si="6"/>
        <v>0</v>
      </c>
      <c r="Q23" s="204" t="s">
        <v>17</v>
      </c>
      <c r="R23" s="210">
        <f t="shared" si="7"/>
        <v>0</v>
      </c>
      <c r="S23" s="204" t="str">
        <f t="shared" si="8"/>
        <v>CFG - FTS-3.1 - Fixed R</v>
      </c>
      <c r="T23" s="237" t="s">
        <v>168</v>
      </c>
      <c r="U23" s="204" t="s">
        <v>8</v>
      </c>
    </row>
    <row r="24" spans="1:21">
      <c r="A24" s="204">
        <f t="shared" si="1"/>
        <v>24</v>
      </c>
      <c r="B24" s="219" t="s">
        <v>169</v>
      </c>
      <c r="C24" s="220">
        <f t="shared" ref="C24:N24" si="9">SUM(C17:C23)</f>
        <v>293</v>
      </c>
      <c r="D24" s="220">
        <f t="shared" si="9"/>
        <v>293</v>
      </c>
      <c r="E24" s="220">
        <f t="shared" si="9"/>
        <v>295</v>
      </c>
      <c r="F24" s="220">
        <f t="shared" si="9"/>
        <v>294</v>
      </c>
      <c r="G24" s="220">
        <f t="shared" si="9"/>
        <v>288</v>
      </c>
      <c r="H24" s="220">
        <f t="shared" si="9"/>
        <v>287</v>
      </c>
      <c r="I24" s="220">
        <f t="shared" si="9"/>
        <v>285</v>
      </c>
      <c r="J24" s="220">
        <f t="shared" si="9"/>
        <v>282</v>
      </c>
      <c r="K24" s="220">
        <f t="shared" si="9"/>
        <v>280</v>
      </c>
      <c r="L24" s="220">
        <f t="shared" si="9"/>
        <v>284</v>
      </c>
      <c r="M24" s="220">
        <f t="shared" si="9"/>
        <v>284</v>
      </c>
      <c r="N24" s="220">
        <f t="shared" si="9"/>
        <v>285</v>
      </c>
      <c r="O24" s="210">
        <f t="shared" si="6"/>
        <v>287.5</v>
      </c>
      <c r="R24" s="210">
        <f t="shared" si="7"/>
        <v>3450</v>
      </c>
    </row>
    <row r="25" spans="1:21">
      <c r="A25" s="204">
        <f t="shared" si="1"/>
        <v>25</v>
      </c>
      <c r="B25" s="223" t="s">
        <v>170</v>
      </c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R25" s="204"/>
    </row>
    <row r="26" spans="1:21">
      <c r="A26" s="204">
        <f t="shared" si="1"/>
        <v>26</v>
      </c>
      <c r="B26" s="213" t="s">
        <v>114</v>
      </c>
      <c r="C26" s="214">
        <v>13</v>
      </c>
      <c r="D26" s="214">
        <v>12</v>
      </c>
      <c r="E26" s="214">
        <v>12</v>
      </c>
      <c r="F26" s="214">
        <v>12</v>
      </c>
      <c r="G26" s="214">
        <v>12</v>
      </c>
      <c r="H26" s="214">
        <v>12</v>
      </c>
      <c r="I26" s="214">
        <v>12</v>
      </c>
      <c r="J26" s="214">
        <v>12</v>
      </c>
      <c r="K26" s="214">
        <v>12</v>
      </c>
      <c r="L26" s="214">
        <v>12</v>
      </c>
      <c r="M26" s="214">
        <v>12</v>
      </c>
      <c r="N26" s="214">
        <v>12</v>
      </c>
      <c r="O26" s="210">
        <f t="shared" ref="O26:O62" si="10">AVERAGE(C26:N26)</f>
        <v>12.083333333333334</v>
      </c>
      <c r="Q26" s="204" t="s">
        <v>17</v>
      </c>
      <c r="R26" s="210">
        <f t="shared" ref="R26:R62" si="11">+SUM(C26:N26)</f>
        <v>145</v>
      </c>
      <c r="S26" s="236" t="str">
        <f t="shared" ref="S26:S32" si="12">CONCATENATE(Q26," - ",B26," NR")</f>
        <v>CFG - FTS-A NR</v>
      </c>
      <c r="U26" s="204" t="s">
        <v>1245</v>
      </c>
    </row>
    <row r="27" spans="1:21">
      <c r="A27" s="204">
        <f t="shared" si="1"/>
        <v>27</v>
      </c>
      <c r="B27" s="213" t="s">
        <v>115</v>
      </c>
      <c r="C27" s="214">
        <v>8</v>
      </c>
      <c r="D27" s="214">
        <v>8</v>
      </c>
      <c r="E27" s="214">
        <v>8</v>
      </c>
      <c r="F27" s="214">
        <v>8</v>
      </c>
      <c r="G27" s="214">
        <v>8</v>
      </c>
      <c r="H27" s="214">
        <v>7</v>
      </c>
      <c r="I27" s="214">
        <v>7</v>
      </c>
      <c r="J27" s="214">
        <v>7</v>
      </c>
      <c r="K27" s="214">
        <v>7</v>
      </c>
      <c r="L27" s="214">
        <v>7</v>
      </c>
      <c r="M27" s="214">
        <v>7</v>
      </c>
      <c r="N27" s="214">
        <v>7</v>
      </c>
      <c r="O27" s="210">
        <f t="shared" si="10"/>
        <v>7.416666666666667</v>
      </c>
      <c r="Q27" s="204" t="s">
        <v>17</v>
      </c>
      <c r="R27" s="210">
        <f t="shared" si="11"/>
        <v>89</v>
      </c>
      <c r="S27" s="236" t="str">
        <f t="shared" si="12"/>
        <v>CFG - FTS-B NR</v>
      </c>
      <c r="T27" s="210"/>
      <c r="U27" s="204" t="s">
        <v>1245</v>
      </c>
    </row>
    <row r="28" spans="1:21">
      <c r="A28" s="204">
        <f t="shared" si="1"/>
        <v>28</v>
      </c>
      <c r="B28" s="213" t="s">
        <v>116</v>
      </c>
      <c r="C28" s="214">
        <v>242</v>
      </c>
      <c r="D28" s="214">
        <v>241</v>
      </c>
      <c r="E28" s="214">
        <v>240</v>
      </c>
      <c r="F28" s="214">
        <v>237</v>
      </c>
      <c r="G28" s="214">
        <v>236</v>
      </c>
      <c r="H28" s="214">
        <v>235</v>
      </c>
      <c r="I28" s="214">
        <v>232</v>
      </c>
      <c r="J28" s="214">
        <v>231</v>
      </c>
      <c r="K28" s="214">
        <v>230</v>
      </c>
      <c r="L28" s="214">
        <v>230</v>
      </c>
      <c r="M28" s="214">
        <v>230</v>
      </c>
      <c r="N28" s="214">
        <v>245</v>
      </c>
      <c r="O28" s="210">
        <f t="shared" si="10"/>
        <v>235.75</v>
      </c>
      <c r="Q28" s="204" t="s">
        <v>17</v>
      </c>
      <c r="R28" s="210">
        <f t="shared" si="11"/>
        <v>2829</v>
      </c>
      <c r="S28" s="236" t="str">
        <f t="shared" si="12"/>
        <v>CFG - FTS-1 NR</v>
      </c>
      <c r="T28" s="210"/>
      <c r="U28" s="204" t="s">
        <v>1245</v>
      </c>
    </row>
    <row r="29" spans="1:21">
      <c r="A29" s="204">
        <f t="shared" si="1"/>
        <v>29</v>
      </c>
      <c r="B29" s="213" t="s">
        <v>117</v>
      </c>
      <c r="C29" s="214">
        <v>92</v>
      </c>
      <c r="D29" s="214">
        <v>92</v>
      </c>
      <c r="E29" s="214">
        <v>91</v>
      </c>
      <c r="F29" s="214">
        <v>93</v>
      </c>
      <c r="G29" s="214">
        <v>94</v>
      </c>
      <c r="H29" s="214">
        <v>95</v>
      </c>
      <c r="I29" s="214">
        <v>92</v>
      </c>
      <c r="J29" s="214">
        <v>92</v>
      </c>
      <c r="K29" s="214">
        <v>92</v>
      </c>
      <c r="L29" s="214">
        <v>92</v>
      </c>
      <c r="M29" s="214">
        <v>92</v>
      </c>
      <c r="N29" s="214">
        <v>97</v>
      </c>
      <c r="O29" s="210">
        <f t="shared" si="10"/>
        <v>92.833333333333329</v>
      </c>
      <c r="Q29" s="204" t="s">
        <v>17</v>
      </c>
      <c r="R29" s="210">
        <f t="shared" si="11"/>
        <v>1114</v>
      </c>
      <c r="S29" s="236" t="str">
        <f t="shared" si="12"/>
        <v>CFG - FTS-2 NR</v>
      </c>
      <c r="T29" s="210"/>
      <c r="U29" s="204" t="s">
        <v>1245</v>
      </c>
    </row>
    <row r="30" spans="1:21">
      <c r="A30" s="204">
        <f t="shared" si="1"/>
        <v>30</v>
      </c>
      <c r="B30" s="213" t="s">
        <v>118</v>
      </c>
      <c r="C30" s="214">
        <v>201</v>
      </c>
      <c r="D30" s="214">
        <v>201</v>
      </c>
      <c r="E30" s="214">
        <v>201</v>
      </c>
      <c r="F30" s="214">
        <v>194</v>
      </c>
      <c r="G30" s="214">
        <v>197</v>
      </c>
      <c r="H30" s="214">
        <v>195</v>
      </c>
      <c r="I30" s="214">
        <v>194</v>
      </c>
      <c r="J30" s="214">
        <v>197</v>
      </c>
      <c r="K30" s="214">
        <v>197</v>
      </c>
      <c r="L30" s="214">
        <v>195</v>
      </c>
      <c r="M30" s="214">
        <v>197</v>
      </c>
      <c r="N30" s="214">
        <v>216</v>
      </c>
      <c r="O30" s="210">
        <f t="shared" si="10"/>
        <v>198.75</v>
      </c>
      <c r="Q30" s="204" t="s">
        <v>17</v>
      </c>
      <c r="R30" s="210">
        <f t="shared" si="11"/>
        <v>2385</v>
      </c>
      <c r="S30" s="236" t="str">
        <f t="shared" si="12"/>
        <v>CFG - FTS-2.1 NR</v>
      </c>
      <c r="T30" s="210"/>
      <c r="U30" s="204" t="s">
        <v>1245</v>
      </c>
    </row>
    <row r="31" spans="1:21">
      <c r="A31" s="204">
        <f t="shared" si="1"/>
        <v>31</v>
      </c>
      <c r="B31" s="218" t="s">
        <v>119</v>
      </c>
      <c r="C31" s="214">
        <v>246</v>
      </c>
      <c r="D31" s="214">
        <v>247</v>
      </c>
      <c r="E31" s="214">
        <v>249</v>
      </c>
      <c r="F31" s="214">
        <v>255</v>
      </c>
      <c r="G31" s="214">
        <v>257</v>
      </c>
      <c r="H31" s="214">
        <v>257</v>
      </c>
      <c r="I31" s="214">
        <v>254</v>
      </c>
      <c r="J31" s="214">
        <v>253</v>
      </c>
      <c r="K31" s="214">
        <v>258</v>
      </c>
      <c r="L31" s="214">
        <v>262</v>
      </c>
      <c r="M31" s="214">
        <v>265</v>
      </c>
      <c r="N31" s="214">
        <v>292</v>
      </c>
      <c r="O31" s="210">
        <f t="shared" si="10"/>
        <v>257.91666666666669</v>
      </c>
      <c r="Q31" s="204" t="s">
        <v>17</v>
      </c>
      <c r="R31" s="210">
        <f t="shared" si="11"/>
        <v>3095</v>
      </c>
      <c r="S31" s="236" t="str">
        <f t="shared" si="12"/>
        <v>CFG - FTS-3 NR</v>
      </c>
      <c r="T31" s="238"/>
      <c r="U31" s="204" t="s">
        <v>1245</v>
      </c>
    </row>
    <row r="32" spans="1:21">
      <c r="A32" s="204">
        <f t="shared" si="1"/>
        <v>32</v>
      </c>
      <c r="B32" s="218" t="s">
        <v>120</v>
      </c>
      <c r="C32" s="214">
        <v>324</v>
      </c>
      <c r="D32" s="214">
        <v>327</v>
      </c>
      <c r="E32" s="214">
        <v>325</v>
      </c>
      <c r="F32" s="214">
        <v>335</v>
      </c>
      <c r="G32" s="214">
        <v>334</v>
      </c>
      <c r="H32" s="214">
        <v>330</v>
      </c>
      <c r="I32" s="214">
        <v>329</v>
      </c>
      <c r="J32" s="214">
        <v>327</v>
      </c>
      <c r="K32" s="214">
        <v>325</v>
      </c>
      <c r="L32" s="214">
        <v>328</v>
      </c>
      <c r="M32" s="214">
        <v>331</v>
      </c>
      <c r="N32" s="214">
        <v>335</v>
      </c>
      <c r="O32" s="210">
        <f t="shared" si="10"/>
        <v>329.16666666666669</v>
      </c>
      <c r="Q32" s="204" t="s">
        <v>17</v>
      </c>
      <c r="R32" s="210">
        <f t="shared" si="11"/>
        <v>3950</v>
      </c>
      <c r="S32" s="236" t="str">
        <f t="shared" si="12"/>
        <v>CFG - FTS-3.1 NR</v>
      </c>
      <c r="U32" s="204" t="s">
        <v>1245</v>
      </c>
    </row>
    <row r="33" spans="1:21">
      <c r="A33" s="204">
        <f t="shared" si="1"/>
        <v>33</v>
      </c>
      <c r="B33" s="218" t="s">
        <v>121</v>
      </c>
      <c r="C33" s="214">
        <v>197</v>
      </c>
      <c r="D33" s="214">
        <v>197</v>
      </c>
      <c r="E33" s="214">
        <v>200</v>
      </c>
      <c r="F33" s="214">
        <v>204</v>
      </c>
      <c r="G33" s="214">
        <v>204</v>
      </c>
      <c r="H33" s="214">
        <v>205</v>
      </c>
      <c r="I33" s="214">
        <v>205</v>
      </c>
      <c r="J33" s="214">
        <v>205</v>
      </c>
      <c r="K33" s="214">
        <v>206</v>
      </c>
      <c r="L33" s="214">
        <v>204</v>
      </c>
      <c r="M33" s="214">
        <v>205</v>
      </c>
      <c r="N33" s="214">
        <v>208</v>
      </c>
      <c r="O33" s="210">
        <f t="shared" si="10"/>
        <v>203.33333333333334</v>
      </c>
      <c r="Q33" s="204" t="s">
        <v>17</v>
      </c>
      <c r="R33" s="210">
        <f t="shared" si="11"/>
        <v>2440</v>
      </c>
      <c r="S33" s="236" t="str">
        <f t="shared" ref="S33:S61" si="13">CONCATENATE(Q33," - ",B33)</f>
        <v>CFG - FTS-4</v>
      </c>
      <c r="U33" s="204" t="s">
        <v>1245</v>
      </c>
    </row>
    <row r="34" spans="1:21">
      <c r="A34" s="204">
        <f t="shared" si="1"/>
        <v>34</v>
      </c>
      <c r="B34" s="218" t="s">
        <v>142</v>
      </c>
      <c r="C34" s="214">
        <v>35</v>
      </c>
      <c r="D34" s="214">
        <v>37</v>
      </c>
      <c r="E34" s="214">
        <v>37</v>
      </c>
      <c r="F34" s="214">
        <v>33</v>
      </c>
      <c r="G34" s="214">
        <v>33</v>
      </c>
      <c r="H34" s="214">
        <v>33</v>
      </c>
      <c r="I34" s="214">
        <v>33</v>
      </c>
      <c r="J34" s="214">
        <v>34</v>
      </c>
      <c r="K34" s="214">
        <v>34</v>
      </c>
      <c r="L34" s="214">
        <v>34</v>
      </c>
      <c r="M34" s="214">
        <v>34</v>
      </c>
      <c r="N34" s="214">
        <v>34</v>
      </c>
      <c r="O34" s="210">
        <f t="shared" si="10"/>
        <v>34.25</v>
      </c>
      <c r="Q34" s="204" t="s">
        <v>17</v>
      </c>
      <c r="R34" s="210">
        <f t="shared" si="11"/>
        <v>411</v>
      </c>
      <c r="S34" s="236" t="str">
        <f t="shared" si="13"/>
        <v>CFG - FTS-5</v>
      </c>
      <c r="U34" s="204" t="s">
        <v>1245</v>
      </c>
    </row>
    <row r="35" spans="1:21">
      <c r="A35" s="204">
        <f t="shared" si="1"/>
        <v>35</v>
      </c>
      <c r="B35" s="218" t="s">
        <v>143</v>
      </c>
      <c r="C35" s="214">
        <v>23</v>
      </c>
      <c r="D35" s="214">
        <v>24</v>
      </c>
      <c r="E35" s="214">
        <v>25</v>
      </c>
      <c r="F35" s="214">
        <v>26</v>
      </c>
      <c r="G35" s="214">
        <v>26</v>
      </c>
      <c r="H35" s="214">
        <v>26</v>
      </c>
      <c r="I35" s="214">
        <v>26</v>
      </c>
      <c r="J35" s="214">
        <v>26</v>
      </c>
      <c r="K35" s="214">
        <v>26</v>
      </c>
      <c r="L35" s="214">
        <v>27</v>
      </c>
      <c r="M35" s="214">
        <v>27</v>
      </c>
      <c r="N35" s="214">
        <v>26</v>
      </c>
      <c r="O35" s="210">
        <f t="shared" si="10"/>
        <v>25.666666666666668</v>
      </c>
      <c r="Q35" s="204" t="s">
        <v>17</v>
      </c>
      <c r="R35" s="210">
        <f t="shared" si="11"/>
        <v>308</v>
      </c>
      <c r="S35" s="236" t="str">
        <f t="shared" si="13"/>
        <v>CFG - FTS-6</v>
      </c>
      <c r="U35" s="204" t="s">
        <v>1245</v>
      </c>
    </row>
    <row r="36" spans="1:21">
      <c r="A36" s="204">
        <f t="shared" si="1"/>
        <v>36</v>
      </c>
      <c r="B36" s="218" t="s">
        <v>144</v>
      </c>
      <c r="C36" s="214">
        <v>23</v>
      </c>
      <c r="D36" s="214">
        <v>22</v>
      </c>
      <c r="E36" s="214">
        <v>22</v>
      </c>
      <c r="F36" s="214">
        <v>21</v>
      </c>
      <c r="G36" s="214">
        <v>21</v>
      </c>
      <c r="H36" s="214">
        <v>23</v>
      </c>
      <c r="I36" s="214">
        <v>22</v>
      </c>
      <c r="J36" s="214">
        <v>22</v>
      </c>
      <c r="K36" s="214">
        <v>22</v>
      </c>
      <c r="L36" s="214">
        <v>22</v>
      </c>
      <c r="M36" s="214">
        <v>22</v>
      </c>
      <c r="N36" s="214">
        <v>22</v>
      </c>
      <c r="O36" s="210">
        <f t="shared" si="10"/>
        <v>22</v>
      </c>
      <c r="Q36" s="204" t="s">
        <v>17</v>
      </c>
      <c r="R36" s="210">
        <f t="shared" si="11"/>
        <v>264</v>
      </c>
      <c r="S36" s="236" t="str">
        <f t="shared" si="13"/>
        <v>CFG - FTS-7</v>
      </c>
      <c r="U36" s="204" t="s">
        <v>1245</v>
      </c>
    </row>
    <row r="37" spans="1:21">
      <c r="A37" s="204">
        <f t="shared" si="1"/>
        <v>37</v>
      </c>
      <c r="B37" s="218" t="s">
        <v>145</v>
      </c>
      <c r="C37" s="214">
        <v>16</v>
      </c>
      <c r="D37" s="214">
        <v>16</v>
      </c>
      <c r="E37" s="214">
        <v>16</v>
      </c>
      <c r="F37" s="214">
        <v>18</v>
      </c>
      <c r="G37" s="214">
        <v>18</v>
      </c>
      <c r="H37" s="214">
        <v>18</v>
      </c>
      <c r="I37" s="214">
        <v>18</v>
      </c>
      <c r="J37" s="214">
        <v>18</v>
      </c>
      <c r="K37" s="214">
        <v>18</v>
      </c>
      <c r="L37" s="214">
        <v>18</v>
      </c>
      <c r="M37" s="214">
        <v>17</v>
      </c>
      <c r="N37" s="214">
        <v>18</v>
      </c>
      <c r="O37" s="210">
        <f t="shared" si="10"/>
        <v>17.416666666666668</v>
      </c>
      <c r="Q37" s="204" t="s">
        <v>17</v>
      </c>
      <c r="R37" s="210">
        <f t="shared" si="11"/>
        <v>209</v>
      </c>
      <c r="S37" s="236" t="str">
        <f t="shared" si="13"/>
        <v>CFG - FTS-8</v>
      </c>
      <c r="U37" s="204" t="s">
        <v>1245</v>
      </c>
    </row>
    <row r="38" spans="1:21">
      <c r="A38" s="204">
        <f t="shared" si="1"/>
        <v>38</v>
      </c>
      <c r="B38" s="218" t="s">
        <v>146</v>
      </c>
      <c r="C38" s="214">
        <v>8</v>
      </c>
      <c r="D38" s="214">
        <v>8</v>
      </c>
      <c r="E38" s="214">
        <v>8</v>
      </c>
      <c r="F38" s="214">
        <v>7</v>
      </c>
      <c r="G38" s="214">
        <v>7</v>
      </c>
      <c r="H38" s="214">
        <v>7</v>
      </c>
      <c r="I38" s="214">
        <v>7</v>
      </c>
      <c r="J38" s="214">
        <v>7</v>
      </c>
      <c r="K38" s="214">
        <v>7</v>
      </c>
      <c r="L38" s="214">
        <v>7</v>
      </c>
      <c r="M38" s="214">
        <v>7</v>
      </c>
      <c r="N38" s="214">
        <v>7</v>
      </c>
      <c r="O38" s="210">
        <f t="shared" si="10"/>
        <v>7.25</v>
      </c>
      <c r="Q38" s="204" t="s">
        <v>17</v>
      </c>
      <c r="R38" s="210">
        <f t="shared" si="11"/>
        <v>87</v>
      </c>
      <c r="S38" s="236" t="str">
        <f t="shared" si="13"/>
        <v>CFG - FTS-9</v>
      </c>
      <c r="U38" s="204" t="s">
        <v>1245</v>
      </c>
    </row>
    <row r="39" spans="1:21">
      <c r="A39" s="204">
        <f t="shared" si="1"/>
        <v>39</v>
      </c>
      <c r="B39" s="218" t="s">
        <v>147</v>
      </c>
      <c r="C39" s="214">
        <v>2</v>
      </c>
      <c r="D39" s="214">
        <v>2</v>
      </c>
      <c r="E39" s="214">
        <v>2</v>
      </c>
      <c r="F39" s="214">
        <v>3</v>
      </c>
      <c r="G39" s="214">
        <v>3</v>
      </c>
      <c r="H39" s="214">
        <v>3</v>
      </c>
      <c r="I39" s="214">
        <v>3</v>
      </c>
      <c r="J39" s="214">
        <v>3</v>
      </c>
      <c r="K39" s="214">
        <v>3</v>
      </c>
      <c r="L39" s="214">
        <v>3</v>
      </c>
      <c r="M39" s="214">
        <v>3</v>
      </c>
      <c r="N39" s="214">
        <v>3</v>
      </c>
      <c r="O39" s="210">
        <f t="shared" si="10"/>
        <v>2.75</v>
      </c>
      <c r="Q39" s="204" t="s">
        <v>17</v>
      </c>
      <c r="R39" s="210">
        <f t="shared" si="11"/>
        <v>33</v>
      </c>
      <c r="S39" s="236" t="str">
        <f t="shared" si="13"/>
        <v>CFG - FTS-10</v>
      </c>
      <c r="U39" s="204" t="s">
        <v>1245</v>
      </c>
    </row>
    <row r="40" spans="1:21">
      <c r="A40" s="204">
        <f t="shared" si="1"/>
        <v>40</v>
      </c>
      <c r="B40" s="218" t="s">
        <v>148</v>
      </c>
      <c r="C40" s="214">
        <v>1</v>
      </c>
      <c r="D40" s="214">
        <v>1</v>
      </c>
      <c r="E40" s="214">
        <v>1</v>
      </c>
      <c r="F40" s="214">
        <v>2</v>
      </c>
      <c r="G40" s="214">
        <v>2</v>
      </c>
      <c r="H40" s="214">
        <v>2</v>
      </c>
      <c r="I40" s="214">
        <v>2</v>
      </c>
      <c r="J40" s="214">
        <v>2</v>
      </c>
      <c r="K40" s="214">
        <v>2</v>
      </c>
      <c r="L40" s="214">
        <v>2</v>
      </c>
      <c r="M40" s="214">
        <v>2</v>
      </c>
      <c r="N40" s="214">
        <v>2</v>
      </c>
      <c r="O40" s="210">
        <f t="shared" si="10"/>
        <v>1.75</v>
      </c>
      <c r="Q40" s="204" t="s">
        <v>17</v>
      </c>
      <c r="R40" s="210">
        <f t="shared" si="11"/>
        <v>21</v>
      </c>
      <c r="S40" s="236" t="str">
        <f t="shared" si="13"/>
        <v>CFG - FTS-11</v>
      </c>
      <c r="U40" s="204" t="s">
        <v>1245</v>
      </c>
    </row>
    <row r="41" spans="1:21">
      <c r="A41" s="204">
        <f t="shared" si="1"/>
        <v>41</v>
      </c>
      <c r="B41" s="218" t="s">
        <v>149</v>
      </c>
      <c r="C41" s="214">
        <v>5</v>
      </c>
      <c r="D41" s="214">
        <v>5</v>
      </c>
      <c r="E41" s="214">
        <v>5</v>
      </c>
      <c r="F41" s="214">
        <v>4</v>
      </c>
      <c r="G41" s="214">
        <v>4</v>
      </c>
      <c r="H41" s="214">
        <v>4</v>
      </c>
      <c r="I41" s="214">
        <v>4</v>
      </c>
      <c r="J41" s="214">
        <v>4</v>
      </c>
      <c r="K41" s="214">
        <v>4</v>
      </c>
      <c r="L41" s="214">
        <v>4</v>
      </c>
      <c r="M41" s="214">
        <v>4</v>
      </c>
      <c r="N41" s="214">
        <v>4</v>
      </c>
      <c r="O41" s="210">
        <f t="shared" si="10"/>
        <v>4.25</v>
      </c>
      <c r="Q41" s="204" t="s">
        <v>17</v>
      </c>
      <c r="R41" s="210">
        <f t="shared" si="11"/>
        <v>51</v>
      </c>
      <c r="S41" s="236" t="str">
        <f t="shared" si="13"/>
        <v>CFG - FTS-12</v>
      </c>
      <c r="U41" s="204" t="s">
        <v>1245</v>
      </c>
    </row>
    <row r="42" spans="1:21">
      <c r="A42" s="204">
        <f t="shared" si="1"/>
        <v>42</v>
      </c>
      <c r="B42" s="218" t="s">
        <v>975</v>
      </c>
      <c r="C42" s="214">
        <v>0</v>
      </c>
      <c r="D42" s="214">
        <v>0</v>
      </c>
      <c r="E42" s="214">
        <v>0</v>
      </c>
      <c r="F42" s="214">
        <v>0</v>
      </c>
      <c r="G42" s="214">
        <v>0</v>
      </c>
      <c r="H42" s="214">
        <v>0</v>
      </c>
      <c r="I42" s="214">
        <v>0</v>
      </c>
      <c r="J42" s="214"/>
      <c r="K42" s="214"/>
      <c r="L42" s="214"/>
      <c r="M42" s="214"/>
      <c r="N42" s="214"/>
      <c r="O42" s="210">
        <f t="shared" si="10"/>
        <v>0</v>
      </c>
      <c r="Q42" s="204" t="s">
        <v>17</v>
      </c>
      <c r="R42" s="210">
        <f t="shared" si="11"/>
        <v>0</v>
      </c>
      <c r="S42" s="236" t="str">
        <f t="shared" si="13"/>
        <v>CFG - FTS-13</v>
      </c>
      <c r="U42" s="204" t="s">
        <v>1245</v>
      </c>
    </row>
    <row r="43" spans="1:21">
      <c r="A43" s="204">
        <f t="shared" si="1"/>
        <v>43</v>
      </c>
      <c r="B43" s="218" t="s">
        <v>113</v>
      </c>
      <c r="C43" s="214">
        <v>924</v>
      </c>
      <c r="D43" s="214">
        <v>914</v>
      </c>
      <c r="E43" s="214">
        <v>911</v>
      </c>
      <c r="F43" s="214">
        <v>918</v>
      </c>
      <c r="G43" s="214">
        <v>905</v>
      </c>
      <c r="H43" s="214">
        <v>900</v>
      </c>
      <c r="I43" s="214">
        <v>903</v>
      </c>
      <c r="J43" s="214">
        <v>894</v>
      </c>
      <c r="K43" s="214">
        <v>894</v>
      </c>
      <c r="L43" s="214">
        <v>884</v>
      </c>
      <c r="M43" s="214">
        <v>890</v>
      </c>
      <c r="N43" s="214">
        <v>891</v>
      </c>
      <c r="O43" s="210">
        <f t="shared" si="10"/>
        <v>902.33333333333337</v>
      </c>
      <c r="Q43" s="204" t="s">
        <v>16</v>
      </c>
      <c r="R43" s="210">
        <f t="shared" si="11"/>
        <v>10828</v>
      </c>
      <c r="S43" s="236" t="str">
        <f t="shared" si="13"/>
        <v>FPU - FPU - GS - 1</v>
      </c>
      <c r="U43" s="204" t="s">
        <v>1245</v>
      </c>
    </row>
    <row r="44" spans="1:21">
      <c r="A44" s="204">
        <f t="shared" si="1"/>
        <v>44</v>
      </c>
      <c r="B44" s="218" t="s">
        <v>173</v>
      </c>
      <c r="C44" s="214">
        <v>342</v>
      </c>
      <c r="D44" s="214">
        <v>357</v>
      </c>
      <c r="E44" s="214">
        <v>357</v>
      </c>
      <c r="F44" s="214">
        <v>345</v>
      </c>
      <c r="G44" s="214">
        <v>348</v>
      </c>
      <c r="H44" s="214">
        <v>365</v>
      </c>
      <c r="I44" s="214">
        <v>367</v>
      </c>
      <c r="J44" s="214">
        <v>364</v>
      </c>
      <c r="K44" s="214">
        <v>367</v>
      </c>
      <c r="L44" s="214">
        <v>359</v>
      </c>
      <c r="M44" s="214">
        <v>361</v>
      </c>
      <c r="N44" s="214">
        <v>369</v>
      </c>
      <c r="O44" s="210">
        <f t="shared" si="10"/>
        <v>358.41666666666669</v>
      </c>
      <c r="Q44" s="204" t="s">
        <v>16</v>
      </c>
      <c r="R44" s="210">
        <f t="shared" si="11"/>
        <v>4301</v>
      </c>
      <c r="S44" s="236" t="str">
        <f t="shared" si="13"/>
        <v>FPU - FPU - GSTS - 1</v>
      </c>
      <c r="T44" s="210"/>
      <c r="U44" s="204" t="s">
        <v>1245</v>
      </c>
    </row>
    <row r="45" spans="1:21">
      <c r="A45" s="204">
        <f t="shared" si="1"/>
        <v>45</v>
      </c>
      <c r="B45" s="218" t="s">
        <v>175</v>
      </c>
      <c r="C45" s="214">
        <v>2048</v>
      </c>
      <c r="D45" s="214">
        <v>2044</v>
      </c>
      <c r="E45" s="214">
        <v>2056</v>
      </c>
      <c r="F45" s="214">
        <v>2059</v>
      </c>
      <c r="G45" s="214">
        <v>2066</v>
      </c>
      <c r="H45" s="214">
        <v>2052</v>
      </c>
      <c r="I45" s="214">
        <v>2053</v>
      </c>
      <c r="J45" s="214">
        <v>2062</v>
      </c>
      <c r="K45" s="214">
        <v>2065</v>
      </c>
      <c r="L45" s="214">
        <v>2023</v>
      </c>
      <c r="M45" s="214">
        <v>2032</v>
      </c>
      <c r="N45" s="214">
        <v>2033</v>
      </c>
      <c r="O45" s="210">
        <f t="shared" si="10"/>
        <v>2049.4166666666665</v>
      </c>
      <c r="Q45" s="204" t="s">
        <v>16</v>
      </c>
      <c r="R45" s="210">
        <f t="shared" si="11"/>
        <v>24593</v>
      </c>
      <c r="S45" s="236" t="str">
        <f t="shared" si="13"/>
        <v>FPU - FPU - GS - 2</v>
      </c>
      <c r="T45" s="238"/>
      <c r="U45" s="204" t="s">
        <v>1245</v>
      </c>
    </row>
    <row r="46" spans="1:21">
      <c r="A46" s="204">
        <f t="shared" si="1"/>
        <v>46</v>
      </c>
      <c r="B46" s="218" t="s">
        <v>176</v>
      </c>
      <c r="C46" s="214">
        <v>656</v>
      </c>
      <c r="D46" s="214">
        <v>656</v>
      </c>
      <c r="E46" s="214">
        <v>666</v>
      </c>
      <c r="F46" s="214">
        <v>681</v>
      </c>
      <c r="G46" s="214">
        <v>685</v>
      </c>
      <c r="H46" s="214">
        <v>686</v>
      </c>
      <c r="I46" s="214">
        <v>687</v>
      </c>
      <c r="J46" s="214">
        <v>690</v>
      </c>
      <c r="K46" s="214">
        <v>740</v>
      </c>
      <c r="L46" s="214">
        <v>753</v>
      </c>
      <c r="M46" s="214">
        <v>771</v>
      </c>
      <c r="N46" s="214">
        <v>774</v>
      </c>
      <c r="O46" s="210">
        <f t="shared" si="10"/>
        <v>703.75</v>
      </c>
      <c r="Q46" s="204" t="s">
        <v>16</v>
      </c>
      <c r="R46" s="210">
        <f t="shared" si="11"/>
        <v>8445</v>
      </c>
      <c r="S46" s="236" t="str">
        <f t="shared" si="13"/>
        <v>FPU - FPU - GSTS - 2</v>
      </c>
      <c r="U46" s="204" t="s">
        <v>1245</v>
      </c>
    </row>
    <row r="47" spans="1:21">
      <c r="A47" s="204">
        <f t="shared" si="1"/>
        <v>47</v>
      </c>
      <c r="B47" s="218" t="s">
        <v>177</v>
      </c>
      <c r="C47" s="214">
        <v>209</v>
      </c>
      <c r="D47" s="214">
        <v>209</v>
      </c>
      <c r="E47" s="214">
        <v>212</v>
      </c>
      <c r="F47" s="214">
        <v>212</v>
      </c>
      <c r="G47" s="214">
        <v>215</v>
      </c>
      <c r="H47" s="214">
        <v>215</v>
      </c>
      <c r="I47" s="214">
        <v>220</v>
      </c>
      <c r="J47" s="214">
        <v>220</v>
      </c>
      <c r="K47" s="214">
        <v>223</v>
      </c>
      <c r="L47" s="214">
        <v>237</v>
      </c>
      <c r="M47" s="214">
        <v>231</v>
      </c>
      <c r="N47" s="214">
        <v>229</v>
      </c>
      <c r="O47" s="210">
        <f t="shared" si="10"/>
        <v>219.33333333333334</v>
      </c>
      <c r="Q47" s="204" t="s">
        <v>16</v>
      </c>
      <c r="R47" s="210">
        <f t="shared" si="11"/>
        <v>2632</v>
      </c>
      <c r="S47" s="236" t="str">
        <f t="shared" si="13"/>
        <v>FPU - FPU - CS - GS</v>
      </c>
      <c r="U47" s="204" t="s">
        <v>1245</v>
      </c>
    </row>
    <row r="48" spans="1:21">
      <c r="A48" s="204">
        <f t="shared" si="1"/>
        <v>48</v>
      </c>
      <c r="B48" s="218" t="s">
        <v>178</v>
      </c>
      <c r="C48" s="214">
        <v>676</v>
      </c>
      <c r="D48" s="214">
        <v>677</v>
      </c>
      <c r="E48" s="214">
        <v>675</v>
      </c>
      <c r="F48" s="214">
        <v>676</v>
      </c>
      <c r="G48" s="214">
        <v>673</v>
      </c>
      <c r="H48" s="214">
        <v>668</v>
      </c>
      <c r="I48" s="214">
        <v>652</v>
      </c>
      <c r="J48" s="214">
        <v>665</v>
      </c>
      <c r="K48" s="214">
        <v>665</v>
      </c>
      <c r="L48" s="214">
        <v>669</v>
      </c>
      <c r="M48" s="214">
        <v>685</v>
      </c>
      <c r="N48" s="214">
        <v>672</v>
      </c>
      <c r="O48" s="210">
        <f t="shared" si="10"/>
        <v>671.08333333333337</v>
      </c>
      <c r="Q48" s="204" t="s">
        <v>16</v>
      </c>
      <c r="R48" s="210">
        <f t="shared" si="11"/>
        <v>8053</v>
      </c>
      <c r="S48" s="236" t="str">
        <f t="shared" si="13"/>
        <v>FPU - FPU - LVS</v>
      </c>
      <c r="U48" s="204" t="s">
        <v>1245</v>
      </c>
    </row>
    <row r="49" spans="1:21">
      <c r="A49" s="204">
        <f t="shared" si="1"/>
        <v>49</v>
      </c>
      <c r="B49" s="218" t="s">
        <v>180</v>
      </c>
      <c r="C49" s="214">
        <v>0</v>
      </c>
      <c r="D49" s="214">
        <v>0</v>
      </c>
      <c r="E49" s="214">
        <v>0</v>
      </c>
      <c r="F49" s="214">
        <v>0</v>
      </c>
      <c r="G49" s="214">
        <v>0</v>
      </c>
      <c r="H49" s="214">
        <v>0</v>
      </c>
      <c r="I49" s="214">
        <v>0</v>
      </c>
      <c r="J49" s="214">
        <v>0</v>
      </c>
      <c r="K49" s="214">
        <v>0</v>
      </c>
      <c r="L49" s="214"/>
      <c r="M49" s="214">
        <v>0</v>
      </c>
      <c r="N49" s="214">
        <v>0</v>
      </c>
      <c r="O49" s="210">
        <f t="shared" si="10"/>
        <v>0</v>
      </c>
      <c r="Q49" s="204" t="s">
        <v>16</v>
      </c>
      <c r="R49" s="210">
        <f t="shared" si="11"/>
        <v>0</v>
      </c>
      <c r="S49" s="236" t="str">
        <f t="shared" si="13"/>
        <v>FPU - FPU - LVTS &lt;50k</v>
      </c>
      <c r="U49" s="204" t="s">
        <v>1245</v>
      </c>
    </row>
    <row r="50" spans="1:21">
      <c r="A50" s="204">
        <f t="shared" si="1"/>
        <v>50</v>
      </c>
      <c r="B50" s="218" t="s">
        <v>181</v>
      </c>
      <c r="C50" s="214">
        <v>1195</v>
      </c>
      <c r="D50" s="214">
        <v>1198</v>
      </c>
      <c r="E50" s="214">
        <v>1205</v>
      </c>
      <c r="F50" s="214">
        <v>1209</v>
      </c>
      <c r="G50" s="214">
        <v>1203</v>
      </c>
      <c r="H50" s="214">
        <v>1213</v>
      </c>
      <c r="I50" s="214">
        <v>1219</v>
      </c>
      <c r="J50" s="214">
        <v>1217</v>
      </c>
      <c r="K50" s="214">
        <v>1211</v>
      </c>
      <c r="L50" s="214">
        <v>1203</v>
      </c>
      <c r="M50" s="214">
        <v>1205</v>
      </c>
      <c r="N50" s="214">
        <v>1219</v>
      </c>
      <c r="O50" s="210">
        <f t="shared" si="10"/>
        <v>1208.0833333333333</v>
      </c>
      <c r="Q50" s="204" t="s">
        <v>16</v>
      </c>
      <c r="R50" s="210">
        <f t="shared" si="11"/>
        <v>14497</v>
      </c>
      <c r="S50" s="236" t="str">
        <f t="shared" si="13"/>
        <v>FPU - FPU - LVTS &gt;50k</v>
      </c>
      <c r="U50" s="204" t="s">
        <v>1245</v>
      </c>
    </row>
    <row r="51" spans="1:21">
      <c r="A51" s="204">
        <f t="shared" si="1"/>
        <v>51</v>
      </c>
      <c r="B51" s="218" t="s">
        <v>183</v>
      </c>
      <c r="C51" s="214">
        <v>0</v>
      </c>
      <c r="D51" s="214">
        <v>0</v>
      </c>
      <c r="E51" s="214">
        <v>0</v>
      </c>
      <c r="F51" s="214"/>
      <c r="G51" s="214">
        <v>0</v>
      </c>
      <c r="H51" s="214"/>
      <c r="I51" s="214">
        <v>0</v>
      </c>
      <c r="J51" s="214">
        <v>0</v>
      </c>
      <c r="K51" s="214">
        <v>0</v>
      </c>
      <c r="L51" s="214"/>
      <c r="M51" s="214">
        <v>0</v>
      </c>
      <c r="N51" s="214">
        <v>0</v>
      </c>
      <c r="O51" s="210">
        <f t="shared" si="10"/>
        <v>0</v>
      </c>
      <c r="Q51" s="204" t="s">
        <v>16</v>
      </c>
      <c r="R51" s="210">
        <f t="shared" si="11"/>
        <v>0</v>
      </c>
      <c r="S51" s="236" t="str">
        <f t="shared" si="13"/>
        <v>FPU - FPU - IS</v>
      </c>
      <c r="U51" s="204" t="s">
        <v>1245</v>
      </c>
    </row>
    <row r="52" spans="1:21">
      <c r="A52" s="204">
        <f t="shared" si="1"/>
        <v>52</v>
      </c>
      <c r="B52" s="218" t="s">
        <v>184</v>
      </c>
      <c r="C52" s="214">
        <v>17</v>
      </c>
      <c r="D52" s="214">
        <v>17</v>
      </c>
      <c r="E52" s="214">
        <v>17</v>
      </c>
      <c r="F52" s="214">
        <v>17</v>
      </c>
      <c r="G52" s="214">
        <v>17</v>
      </c>
      <c r="H52" s="214">
        <v>17</v>
      </c>
      <c r="I52" s="214">
        <v>17</v>
      </c>
      <c r="J52" s="214">
        <v>17</v>
      </c>
      <c r="K52" s="214">
        <v>18</v>
      </c>
      <c r="L52" s="214">
        <v>18</v>
      </c>
      <c r="M52" s="214">
        <v>18</v>
      </c>
      <c r="N52" s="214">
        <v>17</v>
      </c>
      <c r="O52" s="210">
        <f t="shared" si="10"/>
        <v>17.25</v>
      </c>
      <c r="Q52" s="204" t="s">
        <v>16</v>
      </c>
      <c r="R52" s="210">
        <f t="shared" si="11"/>
        <v>207</v>
      </c>
      <c r="S52" s="236" t="str">
        <f t="shared" si="13"/>
        <v>FPU - FPU - ITS</v>
      </c>
      <c r="U52" s="204" t="s">
        <v>1245</v>
      </c>
    </row>
    <row r="53" spans="1:21">
      <c r="A53" s="204">
        <f t="shared" si="1"/>
        <v>53</v>
      </c>
      <c r="B53" s="218" t="s">
        <v>186</v>
      </c>
      <c r="C53" s="214">
        <v>53</v>
      </c>
      <c r="D53" s="214">
        <v>51</v>
      </c>
      <c r="E53" s="214">
        <v>51</v>
      </c>
      <c r="F53" s="214">
        <v>52</v>
      </c>
      <c r="G53" s="214">
        <v>50</v>
      </c>
      <c r="H53" s="214">
        <v>50</v>
      </c>
      <c r="I53" s="214">
        <v>50</v>
      </c>
      <c r="J53" s="214">
        <v>50</v>
      </c>
      <c r="K53" s="214">
        <v>49</v>
      </c>
      <c r="L53" s="214">
        <v>48</v>
      </c>
      <c r="M53" s="214">
        <v>44</v>
      </c>
      <c r="N53" s="214">
        <v>40</v>
      </c>
      <c r="O53" s="210">
        <f t="shared" si="10"/>
        <v>49</v>
      </c>
      <c r="Q53" s="204" t="s">
        <v>16</v>
      </c>
      <c r="R53" s="210">
        <f t="shared" si="11"/>
        <v>588</v>
      </c>
      <c r="S53" s="236" t="str">
        <f t="shared" si="13"/>
        <v>FPU - FPU - GLS</v>
      </c>
      <c r="U53" s="204" t="s">
        <v>1245</v>
      </c>
    </row>
    <row r="54" spans="1:21">
      <c r="A54" s="204">
        <f t="shared" si="1"/>
        <v>54</v>
      </c>
      <c r="B54" s="218" t="s">
        <v>188</v>
      </c>
      <c r="C54" s="214">
        <v>0</v>
      </c>
      <c r="D54" s="214">
        <v>0</v>
      </c>
      <c r="E54" s="214">
        <v>0</v>
      </c>
      <c r="F54" s="214">
        <v>0</v>
      </c>
      <c r="G54" s="214">
        <v>0</v>
      </c>
      <c r="H54" s="214">
        <v>0</v>
      </c>
      <c r="I54" s="214">
        <v>0</v>
      </c>
      <c r="J54" s="214">
        <v>0</v>
      </c>
      <c r="K54" s="214">
        <v>0</v>
      </c>
      <c r="L54" s="214"/>
      <c r="M54" s="214">
        <v>0</v>
      </c>
      <c r="N54" s="214">
        <v>0</v>
      </c>
      <c r="O54" s="210">
        <f t="shared" si="10"/>
        <v>0</v>
      </c>
      <c r="Q54" s="204" t="s">
        <v>16</v>
      </c>
      <c r="R54" s="210">
        <f t="shared" si="11"/>
        <v>0</v>
      </c>
      <c r="S54" s="236" t="str">
        <f t="shared" si="13"/>
        <v>FPU - FPU-NGVS</v>
      </c>
      <c r="U54" s="204" t="s">
        <v>1245</v>
      </c>
    </row>
    <row r="55" spans="1:21">
      <c r="A55" s="204">
        <f t="shared" si="1"/>
        <v>55</v>
      </c>
      <c r="B55" s="218" t="s">
        <v>189</v>
      </c>
      <c r="C55" s="214">
        <v>2</v>
      </c>
      <c r="D55" s="214">
        <v>2</v>
      </c>
      <c r="E55" s="214">
        <v>2</v>
      </c>
      <c r="F55" s="214">
        <v>2</v>
      </c>
      <c r="G55" s="214">
        <v>2</v>
      </c>
      <c r="H55" s="214">
        <v>2</v>
      </c>
      <c r="I55" s="214">
        <v>2</v>
      </c>
      <c r="J55" s="214">
        <v>2</v>
      </c>
      <c r="K55" s="214">
        <v>2</v>
      </c>
      <c r="L55" s="214">
        <v>2</v>
      </c>
      <c r="M55" s="214">
        <v>2</v>
      </c>
      <c r="N55" s="214">
        <v>2</v>
      </c>
      <c r="O55" s="210">
        <f t="shared" si="10"/>
        <v>2</v>
      </c>
      <c r="Q55" s="204" t="s">
        <v>16</v>
      </c>
      <c r="R55" s="210">
        <f t="shared" si="11"/>
        <v>24</v>
      </c>
      <c r="S55" s="236" t="str">
        <f t="shared" si="13"/>
        <v>FPU - FPU- NGVTS</v>
      </c>
      <c r="U55" s="204" t="s">
        <v>1245</v>
      </c>
    </row>
    <row r="56" spans="1:21">
      <c r="A56" s="204">
        <f t="shared" si="1"/>
        <v>56</v>
      </c>
      <c r="B56" s="218" t="s">
        <v>190</v>
      </c>
      <c r="C56" s="214">
        <v>4</v>
      </c>
      <c r="D56" s="214">
        <v>4</v>
      </c>
      <c r="E56" s="214">
        <v>4</v>
      </c>
      <c r="F56" s="214">
        <v>4</v>
      </c>
      <c r="G56" s="214">
        <v>4</v>
      </c>
      <c r="H56" s="214">
        <v>4</v>
      </c>
      <c r="I56" s="214">
        <v>4</v>
      </c>
      <c r="J56" s="214">
        <v>4</v>
      </c>
      <c r="K56" s="214">
        <v>4</v>
      </c>
      <c r="L56" s="214">
        <v>4</v>
      </c>
      <c r="M56" s="214">
        <v>4</v>
      </c>
      <c r="N56" s="214">
        <v>4</v>
      </c>
      <c r="O56" s="210">
        <f t="shared" si="10"/>
        <v>4</v>
      </c>
      <c r="Q56" s="204" t="s">
        <v>14</v>
      </c>
      <c r="R56" s="210">
        <f t="shared" si="11"/>
        <v>48</v>
      </c>
      <c r="S56" s="236" t="str">
        <f t="shared" si="13"/>
        <v>FT - FT-Comm PA</v>
      </c>
      <c r="U56" s="204" t="s">
        <v>1245</v>
      </c>
    </row>
    <row r="57" spans="1:21">
      <c r="A57" s="204">
        <f t="shared" si="1"/>
        <v>57</v>
      </c>
      <c r="B57" s="218" t="s">
        <v>192</v>
      </c>
      <c r="C57" s="214">
        <v>15</v>
      </c>
      <c r="D57" s="214">
        <v>14</v>
      </c>
      <c r="E57" s="214">
        <v>17</v>
      </c>
      <c r="F57" s="214">
        <v>17</v>
      </c>
      <c r="G57" s="214">
        <v>17</v>
      </c>
      <c r="H57" s="214">
        <v>16</v>
      </c>
      <c r="I57" s="214">
        <v>16</v>
      </c>
      <c r="J57" s="214">
        <v>16</v>
      </c>
      <c r="K57" s="214">
        <v>16</v>
      </c>
      <c r="L57" s="214">
        <v>16</v>
      </c>
      <c r="M57" s="214">
        <v>16</v>
      </c>
      <c r="N57" s="214">
        <v>16</v>
      </c>
      <c r="O57" s="210">
        <f t="shared" si="10"/>
        <v>16</v>
      </c>
      <c r="Q57" s="204" t="s">
        <v>14</v>
      </c>
      <c r="R57" s="210">
        <f t="shared" si="11"/>
        <v>192</v>
      </c>
      <c r="S57" s="236" t="str">
        <f t="shared" si="13"/>
        <v>FT - FT-Comm Small</v>
      </c>
      <c r="U57" s="204" t="s">
        <v>1245</v>
      </c>
    </row>
    <row r="58" spans="1:21">
      <c r="A58" s="204">
        <f t="shared" si="1"/>
        <v>58</v>
      </c>
      <c r="B58" s="218" t="s">
        <v>194</v>
      </c>
      <c r="C58" s="214">
        <v>7</v>
      </c>
      <c r="D58" s="214">
        <v>7</v>
      </c>
      <c r="E58" s="214">
        <v>7</v>
      </c>
      <c r="F58" s="214">
        <v>7</v>
      </c>
      <c r="G58" s="214">
        <v>7</v>
      </c>
      <c r="H58" s="214">
        <v>7</v>
      </c>
      <c r="I58" s="214">
        <v>7</v>
      </c>
      <c r="J58" s="214">
        <v>7</v>
      </c>
      <c r="K58" s="214">
        <v>7</v>
      </c>
      <c r="L58" s="214">
        <v>7</v>
      </c>
      <c r="M58" s="214">
        <v>7</v>
      </c>
      <c r="N58" s="214">
        <v>7</v>
      </c>
      <c r="O58" s="210">
        <f t="shared" si="10"/>
        <v>7</v>
      </c>
      <c r="Q58" s="204" t="s">
        <v>14</v>
      </c>
      <c r="R58" s="210">
        <f t="shared" si="11"/>
        <v>84</v>
      </c>
      <c r="S58" s="236" t="str">
        <f t="shared" si="13"/>
        <v>FT - FT-Transportation</v>
      </c>
      <c r="U58" s="204" t="s">
        <v>1245</v>
      </c>
    </row>
    <row r="59" spans="1:21">
      <c r="A59" s="204">
        <f t="shared" si="1"/>
        <v>59</v>
      </c>
      <c r="B59" s="213" t="s">
        <v>107</v>
      </c>
      <c r="C59" s="214">
        <v>23</v>
      </c>
      <c r="D59" s="214">
        <v>23</v>
      </c>
      <c r="E59" s="214">
        <v>23</v>
      </c>
      <c r="F59" s="214">
        <v>24</v>
      </c>
      <c r="G59" s="214">
        <v>23</v>
      </c>
      <c r="H59" s="214">
        <v>23</v>
      </c>
      <c r="I59" s="214">
        <v>23</v>
      </c>
      <c r="J59" s="214">
        <v>23</v>
      </c>
      <c r="K59" s="214">
        <v>23</v>
      </c>
      <c r="L59" s="214">
        <v>23</v>
      </c>
      <c r="M59" s="214">
        <v>23</v>
      </c>
      <c r="N59" s="214">
        <v>23</v>
      </c>
      <c r="O59" s="210">
        <f t="shared" si="10"/>
        <v>23.083333333333332</v>
      </c>
      <c r="Q59" s="204" t="s">
        <v>13</v>
      </c>
      <c r="R59" s="210">
        <f t="shared" si="11"/>
        <v>277</v>
      </c>
      <c r="S59" s="236" t="str">
        <f t="shared" si="13"/>
        <v>IGC - IGC - TS2</v>
      </c>
      <c r="U59" s="204" t="s">
        <v>1245</v>
      </c>
    </row>
    <row r="60" spans="1:21">
      <c r="A60" s="204">
        <f t="shared" si="1"/>
        <v>60</v>
      </c>
      <c r="B60" s="213" t="s">
        <v>108</v>
      </c>
      <c r="C60" s="214">
        <v>1</v>
      </c>
      <c r="D60" s="214">
        <v>1</v>
      </c>
      <c r="E60" s="214">
        <v>1</v>
      </c>
      <c r="F60" s="214">
        <v>1</v>
      </c>
      <c r="G60" s="214">
        <v>1</v>
      </c>
      <c r="H60" s="214">
        <v>1</v>
      </c>
      <c r="I60" s="214">
        <v>1</v>
      </c>
      <c r="J60" s="214">
        <v>1</v>
      </c>
      <c r="K60" s="214">
        <v>1</v>
      </c>
      <c r="L60" s="214">
        <v>1</v>
      </c>
      <c r="M60" s="214">
        <v>1</v>
      </c>
      <c r="N60" s="214">
        <v>1</v>
      </c>
      <c r="O60" s="210">
        <f t="shared" si="10"/>
        <v>1</v>
      </c>
      <c r="Q60" s="204" t="s">
        <v>13</v>
      </c>
      <c r="R60" s="210">
        <f t="shared" si="11"/>
        <v>12</v>
      </c>
      <c r="S60" s="236" t="str">
        <f t="shared" si="13"/>
        <v>IGC - IGC - TS3</v>
      </c>
      <c r="U60" s="204" t="s">
        <v>1245</v>
      </c>
    </row>
    <row r="61" spans="1:21">
      <c r="A61" s="204">
        <f t="shared" si="1"/>
        <v>61</v>
      </c>
      <c r="B61" s="224" t="s">
        <v>109</v>
      </c>
      <c r="C61" s="214">
        <v>2</v>
      </c>
      <c r="D61" s="214">
        <v>2</v>
      </c>
      <c r="E61" s="214">
        <v>2</v>
      </c>
      <c r="F61" s="214">
        <v>2</v>
      </c>
      <c r="G61" s="214">
        <v>2</v>
      </c>
      <c r="H61" s="214">
        <v>2</v>
      </c>
      <c r="I61" s="214">
        <v>2</v>
      </c>
      <c r="J61" s="214">
        <v>2</v>
      </c>
      <c r="K61" s="214">
        <v>2</v>
      </c>
      <c r="L61" s="214">
        <v>2</v>
      </c>
      <c r="M61" s="214">
        <v>2</v>
      </c>
      <c r="N61" s="214">
        <v>2</v>
      </c>
      <c r="O61" s="222">
        <f t="shared" si="10"/>
        <v>2</v>
      </c>
      <c r="Q61" s="204" t="s">
        <v>13</v>
      </c>
      <c r="R61" s="210">
        <f t="shared" si="11"/>
        <v>24</v>
      </c>
      <c r="S61" s="236" t="str">
        <f t="shared" si="13"/>
        <v>IGC - IGC - TS4</v>
      </c>
      <c r="U61" s="204" t="s">
        <v>1245</v>
      </c>
    </row>
    <row r="62" spans="1:21">
      <c r="A62" s="204">
        <f t="shared" si="1"/>
        <v>62</v>
      </c>
      <c r="B62" s="225" t="s">
        <v>199</v>
      </c>
      <c r="C62" s="220">
        <f t="shared" ref="C62:M62" si="14">SUM(C26:C61)</f>
        <v>7610</v>
      </c>
      <c r="D62" s="220">
        <f t="shared" si="14"/>
        <v>7616</v>
      </c>
      <c r="E62" s="220">
        <f t="shared" si="14"/>
        <v>7648</v>
      </c>
      <c r="F62" s="220">
        <f t="shared" si="14"/>
        <v>7678</v>
      </c>
      <c r="G62" s="220">
        <f t="shared" si="14"/>
        <v>7674</v>
      </c>
      <c r="H62" s="220">
        <f t="shared" si="14"/>
        <v>7673</v>
      </c>
      <c r="I62" s="220">
        <f t="shared" si="14"/>
        <v>7663</v>
      </c>
      <c r="J62" s="220">
        <f t="shared" si="14"/>
        <v>7674</v>
      </c>
      <c r="K62" s="220">
        <f t="shared" si="14"/>
        <v>7730</v>
      </c>
      <c r="L62" s="220">
        <f t="shared" si="14"/>
        <v>7696</v>
      </c>
      <c r="M62" s="220">
        <f t="shared" si="14"/>
        <v>7747</v>
      </c>
      <c r="N62" s="220">
        <f>SUM(N26:N61)</f>
        <v>7827</v>
      </c>
      <c r="O62" s="210">
        <f t="shared" si="10"/>
        <v>7686.333333333333</v>
      </c>
      <c r="R62" s="210">
        <f t="shared" si="11"/>
        <v>92236</v>
      </c>
    </row>
    <row r="63" spans="1:21">
      <c r="A63" s="204">
        <f t="shared" si="1"/>
        <v>63</v>
      </c>
      <c r="B63" s="223" t="s">
        <v>200</v>
      </c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R63" s="204"/>
    </row>
    <row r="64" spans="1:21">
      <c r="A64" s="204">
        <f t="shared" si="1"/>
        <v>64</v>
      </c>
      <c r="B64" s="213" t="s">
        <v>114</v>
      </c>
      <c r="C64" s="214">
        <v>0</v>
      </c>
      <c r="D64" s="214">
        <v>0</v>
      </c>
      <c r="E64" s="214">
        <v>0</v>
      </c>
      <c r="F64" s="214"/>
      <c r="G64" s="214">
        <v>0</v>
      </c>
      <c r="H64" s="214">
        <v>0</v>
      </c>
      <c r="I64" s="214">
        <v>0</v>
      </c>
      <c r="J64" s="214"/>
      <c r="K64" s="214"/>
      <c r="L64" s="214"/>
      <c r="M64" s="214"/>
      <c r="N64" s="214"/>
      <c r="O64" s="210">
        <f t="shared" ref="O64:O71" si="15">AVERAGE(C64:N64)</f>
        <v>0</v>
      </c>
      <c r="Q64" s="204" t="s">
        <v>17</v>
      </c>
      <c r="R64" s="210">
        <f t="shared" ref="R64:R71" si="16">+SUM(C64:N64)</f>
        <v>0</v>
      </c>
      <c r="S64" s="204" t="str">
        <f>CONCATENATE(Q64," - ",B64," - ",T64)</f>
        <v>CFG - FTS-A - Fixed NR</v>
      </c>
      <c r="T64" s="237" t="s">
        <v>201</v>
      </c>
      <c r="U64" s="204" t="s">
        <v>1245</v>
      </c>
    </row>
    <row r="65" spans="1:21">
      <c r="A65" s="204">
        <f t="shared" si="1"/>
        <v>65</v>
      </c>
      <c r="B65" s="213" t="s">
        <v>115</v>
      </c>
      <c r="C65" s="214">
        <v>1</v>
      </c>
      <c r="D65" s="214">
        <v>1</v>
      </c>
      <c r="E65" s="214">
        <v>1</v>
      </c>
      <c r="F65" s="214">
        <v>1</v>
      </c>
      <c r="G65" s="214">
        <v>1</v>
      </c>
      <c r="H65" s="214">
        <v>1</v>
      </c>
      <c r="I65" s="214">
        <v>1</v>
      </c>
      <c r="J65" s="214">
        <v>1</v>
      </c>
      <c r="K65" s="214">
        <v>1</v>
      </c>
      <c r="L65" s="214">
        <v>1</v>
      </c>
      <c r="M65" s="214">
        <v>1</v>
      </c>
      <c r="N65" s="214">
        <v>1</v>
      </c>
      <c r="O65" s="210">
        <f t="shared" si="15"/>
        <v>1</v>
      </c>
      <c r="Q65" s="204" t="s">
        <v>17</v>
      </c>
      <c r="R65" s="210">
        <f t="shared" si="16"/>
        <v>12</v>
      </c>
      <c r="S65" s="204" t="str">
        <f t="shared" ref="S65:S70" si="17">CONCATENATE(Q65," - ",B65," - ",T65)</f>
        <v>CFG - FTS-B - Fixed NR</v>
      </c>
      <c r="T65" s="237" t="s">
        <v>201</v>
      </c>
      <c r="U65" s="204" t="s">
        <v>1245</v>
      </c>
    </row>
    <row r="66" spans="1:21">
      <c r="A66" s="204">
        <f t="shared" si="1"/>
        <v>66</v>
      </c>
      <c r="B66" s="213" t="s">
        <v>116</v>
      </c>
      <c r="C66" s="214">
        <v>22</v>
      </c>
      <c r="D66" s="214">
        <v>22</v>
      </c>
      <c r="E66" s="214">
        <v>22</v>
      </c>
      <c r="F66" s="214">
        <v>22</v>
      </c>
      <c r="G66" s="214">
        <v>23</v>
      </c>
      <c r="H66" s="214">
        <v>24</v>
      </c>
      <c r="I66" s="214">
        <v>27</v>
      </c>
      <c r="J66" s="214">
        <v>27</v>
      </c>
      <c r="K66" s="214">
        <v>28</v>
      </c>
      <c r="L66" s="214">
        <v>32</v>
      </c>
      <c r="M66" s="214">
        <v>32</v>
      </c>
      <c r="N66" s="214">
        <v>33</v>
      </c>
      <c r="O66" s="210">
        <f t="shared" si="15"/>
        <v>26.166666666666668</v>
      </c>
      <c r="Q66" s="204" t="s">
        <v>17</v>
      </c>
      <c r="R66" s="210">
        <f t="shared" si="16"/>
        <v>314</v>
      </c>
      <c r="S66" s="204" t="str">
        <f t="shared" si="17"/>
        <v>CFG - FTS-1 - Fixed NR</v>
      </c>
      <c r="T66" s="237" t="s">
        <v>201</v>
      </c>
      <c r="U66" s="204" t="s">
        <v>1245</v>
      </c>
    </row>
    <row r="67" spans="1:21">
      <c r="A67" s="204">
        <f t="shared" ref="A67:A130" si="18">+A66+1</f>
        <v>67</v>
      </c>
      <c r="B67" s="218" t="s">
        <v>117</v>
      </c>
      <c r="C67" s="214">
        <v>4</v>
      </c>
      <c r="D67" s="214">
        <v>4</v>
      </c>
      <c r="E67" s="214">
        <v>4</v>
      </c>
      <c r="F67" s="214">
        <v>4</v>
      </c>
      <c r="G67" s="214">
        <v>4</v>
      </c>
      <c r="H67" s="214">
        <v>4</v>
      </c>
      <c r="I67" s="214">
        <v>4</v>
      </c>
      <c r="J67" s="214">
        <v>4</v>
      </c>
      <c r="K67" s="214">
        <v>5</v>
      </c>
      <c r="L67" s="214">
        <v>5</v>
      </c>
      <c r="M67" s="214">
        <v>5</v>
      </c>
      <c r="N67" s="214">
        <v>5</v>
      </c>
      <c r="O67" s="210">
        <f t="shared" si="15"/>
        <v>4.333333333333333</v>
      </c>
      <c r="Q67" s="204" t="s">
        <v>17</v>
      </c>
      <c r="R67" s="210">
        <f t="shared" si="16"/>
        <v>52</v>
      </c>
      <c r="S67" s="204" t="str">
        <f t="shared" si="17"/>
        <v>CFG - FTS-2 - Fixed NR</v>
      </c>
      <c r="T67" s="237" t="s">
        <v>201</v>
      </c>
      <c r="U67" s="204" t="s">
        <v>1245</v>
      </c>
    </row>
    <row r="68" spans="1:21">
      <c r="A68" s="204">
        <f t="shared" si="18"/>
        <v>68</v>
      </c>
      <c r="B68" s="218" t="s">
        <v>118</v>
      </c>
      <c r="C68" s="214">
        <v>10</v>
      </c>
      <c r="D68" s="214">
        <v>10</v>
      </c>
      <c r="E68" s="214">
        <v>10</v>
      </c>
      <c r="F68" s="214">
        <v>11</v>
      </c>
      <c r="G68" s="214">
        <v>11</v>
      </c>
      <c r="H68" s="214">
        <v>11</v>
      </c>
      <c r="I68" s="214">
        <v>11</v>
      </c>
      <c r="J68" s="214">
        <v>11</v>
      </c>
      <c r="K68" s="214">
        <v>11</v>
      </c>
      <c r="L68" s="214">
        <v>11</v>
      </c>
      <c r="M68" s="214">
        <v>11</v>
      </c>
      <c r="N68" s="214">
        <v>11</v>
      </c>
      <c r="O68" s="210">
        <f t="shared" si="15"/>
        <v>10.75</v>
      </c>
      <c r="Q68" s="204" t="s">
        <v>17</v>
      </c>
      <c r="R68" s="210">
        <f t="shared" si="16"/>
        <v>129</v>
      </c>
      <c r="S68" s="204" t="str">
        <f t="shared" si="17"/>
        <v>CFG - FTS-2.1 - Fixed NR</v>
      </c>
      <c r="T68" s="237" t="s">
        <v>201</v>
      </c>
      <c r="U68" s="204" t="s">
        <v>1245</v>
      </c>
    </row>
    <row r="69" spans="1:21">
      <c r="A69" s="204">
        <f t="shared" si="18"/>
        <v>69</v>
      </c>
      <c r="B69" s="218" t="s">
        <v>119</v>
      </c>
      <c r="C69" s="214">
        <v>16</v>
      </c>
      <c r="D69" s="214">
        <v>16</v>
      </c>
      <c r="E69" s="214">
        <v>16</v>
      </c>
      <c r="F69" s="214">
        <v>17</v>
      </c>
      <c r="G69" s="214">
        <v>18</v>
      </c>
      <c r="H69" s="214">
        <v>17</v>
      </c>
      <c r="I69" s="214">
        <v>17</v>
      </c>
      <c r="J69" s="214">
        <v>17</v>
      </c>
      <c r="K69" s="214">
        <v>17</v>
      </c>
      <c r="L69" s="214">
        <v>17</v>
      </c>
      <c r="M69" s="214">
        <v>17</v>
      </c>
      <c r="N69" s="214">
        <v>17</v>
      </c>
      <c r="O69" s="210">
        <f t="shared" si="15"/>
        <v>16.833333333333332</v>
      </c>
      <c r="Q69" s="204" t="s">
        <v>17</v>
      </c>
      <c r="R69" s="210">
        <f t="shared" si="16"/>
        <v>202</v>
      </c>
      <c r="S69" s="204" t="str">
        <f t="shared" si="17"/>
        <v>CFG - FTS-3 - Fixed NR</v>
      </c>
      <c r="T69" s="237" t="s">
        <v>201</v>
      </c>
      <c r="U69" s="204" t="s">
        <v>1245</v>
      </c>
    </row>
    <row r="70" spans="1:21">
      <c r="A70" s="204">
        <f t="shared" si="18"/>
        <v>70</v>
      </c>
      <c r="B70" s="224" t="s">
        <v>120</v>
      </c>
      <c r="C70" s="214">
        <v>9</v>
      </c>
      <c r="D70" s="214">
        <v>9</v>
      </c>
      <c r="E70" s="214">
        <v>9</v>
      </c>
      <c r="F70" s="214">
        <v>7</v>
      </c>
      <c r="G70" s="214">
        <v>7</v>
      </c>
      <c r="H70" s="214">
        <v>7</v>
      </c>
      <c r="I70" s="214">
        <v>7</v>
      </c>
      <c r="J70" s="214">
        <v>7</v>
      </c>
      <c r="K70" s="214">
        <v>7</v>
      </c>
      <c r="L70" s="214">
        <v>7</v>
      </c>
      <c r="M70" s="214">
        <v>7</v>
      </c>
      <c r="N70" s="214">
        <v>7</v>
      </c>
      <c r="O70" s="210">
        <f t="shared" si="15"/>
        <v>7.5</v>
      </c>
      <c r="Q70" s="204" t="s">
        <v>17</v>
      </c>
      <c r="R70" s="210">
        <f t="shared" si="16"/>
        <v>90</v>
      </c>
      <c r="S70" s="204" t="str">
        <f t="shared" si="17"/>
        <v>CFG - FTS-3.1 - Fixed NR</v>
      </c>
      <c r="T70" s="237" t="s">
        <v>201</v>
      </c>
      <c r="U70" s="204" t="s">
        <v>1245</v>
      </c>
    </row>
    <row r="71" spans="1:21">
      <c r="A71" s="204">
        <f t="shared" si="18"/>
        <v>71</v>
      </c>
      <c r="B71" s="225" t="s">
        <v>202</v>
      </c>
      <c r="C71" s="220">
        <f t="shared" ref="C71:N71" si="19">SUM(C64:C70)</f>
        <v>62</v>
      </c>
      <c r="D71" s="220">
        <f t="shared" si="19"/>
        <v>62</v>
      </c>
      <c r="E71" s="220">
        <f t="shared" si="19"/>
        <v>62</v>
      </c>
      <c r="F71" s="220">
        <f t="shared" si="19"/>
        <v>62</v>
      </c>
      <c r="G71" s="220">
        <f t="shared" si="19"/>
        <v>64</v>
      </c>
      <c r="H71" s="220">
        <f t="shared" si="19"/>
        <v>64</v>
      </c>
      <c r="I71" s="220">
        <f t="shared" si="19"/>
        <v>67</v>
      </c>
      <c r="J71" s="220">
        <f t="shared" si="19"/>
        <v>67</v>
      </c>
      <c r="K71" s="220">
        <f t="shared" si="19"/>
        <v>69</v>
      </c>
      <c r="L71" s="220">
        <f t="shared" si="19"/>
        <v>73</v>
      </c>
      <c r="M71" s="220">
        <f t="shared" si="19"/>
        <v>73</v>
      </c>
      <c r="N71" s="220">
        <f t="shared" si="19"/>
        <v>74</v>
      </c>
      <c r="O71" s="220">
        <f t="shared" si="15"/>
        <v>66.583333333333329</v>
      </c>
      <c r="R71" s="210">
        <f t="shared" si="16"/>
        <v>799</v>
      </c>
    </row>
    <row r="72" spans="1:21">
      <c r="A72" s="204">
        <f t="shared" si="18"/>
        <v>72</v>
      </c>
      <c r="B72" s="223" t="s">
        <v>203</v>
      </c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R72" s="204"/>
    </row>
    <row r="73" spans="1:21">
      <c r="A73" s="204">
        <f t="shared" si="18"/>
        <v>73</v>
      </c>
      <c r="B73" s="202" t="s">
        <v>204</v>
      </c>
      <c r="C73" s="214">
        <v>2</v>
      </c>
      <c r="D73" s="214">
        <v>2</v>
      </c>
      <c r="E73" s="214">
        <v>2</v>
      </c>
      <c r="F73" s="214">
        <v>2</v>
      </c>
      <c r="G73" s="214">
        <v>2</v>
      </c>
      <c r="H73" s="214">
        <v>2</v>
      </c>
      <c r="I73" s="214">
        <v>2</v>
      </c>
      <c r="J73" s="214">
        <v>2</v>
      </c>
      <c r="K73" s="214">
        <v>2</v>
      </c>
      <c r="L73" s="214">
        <v>2</v>
      </c>
      <c r="M73" s="214">
        <v>2</v>
      </c>
      <c r="N73" s="214">
        <v>2</v>
      </c>
      <c r="O73" s="210">
        <f t="shared" ref="O73:O87" si="20">AVERAGE(C73:N73)</f>
        <v>2</v>
      </c>
      <c r="Q73" s="204" t="s">
        <v>17</v>
      </c>
      <c r="R73" s="210">
        <f t="shared" ref="R73:R87" si="21">+SUM(C73:N73)</f>
        <v>24</v>
      </c>
    </row>
    <row r="74" spans="1:21">
      <c r="A74" s="204">
        <f t="shared" si="18"/>
        <v>74</v>
      </c>
      <c r="B74" s="202" t="s">
        <v>206</v>
      </c>
      <c r="C74" s="214">
        <v>1</v>
      </c>
      <c r="D74" s="214">
        <v>1</v>
      </c>
      <c r="E74" s="214">
        <v>1</v>
      </c>
      <c r="F74" s="214">
        <v>1</v>
      </c>
      <c r="G74" s="214">
        <v>1</v>
      </c>
      <c r="H74" s="214">
        <v>1</v>
      </c>
      <c r="I74" s="214">
        <v>1</v>
      </c>
      <c r="J74" s="214">
        <v>1</v>
      </c>
      <c r="K74" s="214">
        <v>1</v>
      </c>
      <c r="L74" s="214">
        <v>1</v>
      </c>
      <c r="M74" s="214">
        <v>1</v>
      </c>
      <c r="N74" s="214">
        <v>1</v>
      </c>
      <c r="O74" s="210">
        <f t="shared" si="20"/>
        <v>1</v>
      </c>
      <c r="Q74" s="204" t="s">
        <v>17</v>
      </c>
      <c r="R74" s="210">
        <f t="shared" si="21"/>
        <v>12</v>
      </c>
    </row>
    <row r="75" spans="1:21">
      <c r="A75" s="204">
        <f t="shared" si="18"/>
        <v>75</v>
      </c>
      <c r="B75" s="202" t="s">
        <v>207</v>
      </c>
      <c r="C75" s="214">
        <v>1</v>
      </c>
      <c r="D75" s="214">
        <v>1</v>
      </c>
      <c r="E75" s="214">
        <v>1</v>
      </c>
      <c r="F75" s="214">
        <v>1</v>
      </c>
      <c r="G75" s="214">
        <v>1</v>
      </c>
      <c r="H75" s="214">
        <v>1</v>
      </c>
      <c r="I75" s="214">
        <v>1</v>
      </c>
      <c r="J75" s="214">
        <v>1</v>
      </c>
      <c r="K75" s="214">
        <v>1</v>
      </c>
      <c r="L75" s="214">
        <v>1</v>
      </c>
      <c r="M75" s="214">
        <v>1</v>
      </c>
      <c r="N75" s="214">
        <v>1</v>
      </c>
      <c r="O75" s="210">
        <f t="shared" si="20"/>
        <v>1</v>
      </c>
      <c r="Q75" s="204" t="s">
        <v>17</v>
      </c>
      <c r="R75" s="210">
        <f t="shared" si="21"/>
        <v>12</v>
      </c>
    </row>
    <row r="76" spans="1:21">
      <c r="A76" s="204">
        <f t="shared" si="18"/>
        <v>76</v>
      </c>
      <c r="B76" s="202" t="s">
        <v>208</v>
      </c>
      <c r="C76" s="214">
        <v>1</v>
      </c>
      <c r="D76" s="214">
        <v>1</v>
      </c>
      <c r="E76" s="214">
        <v>1</v>
      </c>
      <c r="F76" s="214">
        <v>1</v>
      </c>
      <c r="G76" s="214">
        <v>1</v>
      </c>
      <c r="H76" s="214">
        <v>1</v>
      </c>
      <c r="I76" s="214">
        <v>1</v>
      </c>
      <c r="J76" s="214">
        <v>1</v>
      </c>
      <c r="K76" s="214">
        <v>1</v>
      </c>
      <c r="L76" s="214">
        <v>1</v>
      </c>
      <c r="M76" s="214">
        <v>1</v>
      </c>
      <c r="N76" s="214">
        <v>1</v>
      </c>
      <c r="O76" s="210">
        <f t="shared" si="20"/>
        <v>1</v>
      </c>
      <c r="Q76" s="204" t="s">
        <v>17</v>
      </c>
      <c r="R76" s="210">
        <f t="shared" si="21"/>
        <v>12</v>
      </c>
    </row>
    <row r="77" spans="1:21">
      <c r="A77" s="204">
        <f t="shared" si="18"/>
        <v>77</v>
      </c>
      <c r="B77" s="202" t="s">
        <v>209</v>
      </c>
      <c r="C77" s="214">
        <v>1</v>
      </c>
      <c r="D77" s="214">
        <v>1</v>
      </c>
      <c r="E77" s="214">
        <v>1</v>
      </c>
      <c r="F77" s="214">
        <v>1</v>
      </c>
      <c r="G77" s="214">
        <v>1</v>
      </c>
      <c r="H77" s="214">
        <v>1</v>
      </c>
      <c r="I77" s="214">
        <v>1</v>
      </c>
      <c r="J77" s="214">
        <v>1</v>
      </c>
      <c r="K77" s="214">
        <v>1</v>
      </c>
      <c r="L77" s="214">
        <v>1</v>
      </c>
      <c r="M77" s="214">
        <v>1</v>
      </c>
      <c r="N77" s="214">
        <v>1</v>
      </c>
      <c r="O77" s="210">
        <f t="shared" si="20"/>
        <v>1</v>
      </c>
      <c r="Q77" s="204" t="s">
        <v>17</v>
      </c>
      <c r="R77" s="210">
        <f t="shared" si="21"/>
        <v>12</v>
      </c>
    </row>
    <row r="78" spans="1:21">
      <c r="A78" s="204">
        <f t="shared" si="18"/>
        <v>78</v>
      </c>
      <c r="B78" s="202" t="s">
        <v>210</v>
      </c>
      <c r="C78" s="214">
        <v>1</v>
      </c>
      <c r="D78" s="214">
        <v>1</v>
      </c>
      <c r="E78" s="214">
        <v>1</v>
      </c>
      <c r="F78" s="214">
        <v>1</v>
      </c>
      <c r="G78" s="214">
        <v>1</v>
      </c>
      <c r="H78" s="214">
        <v>1</v>
      </c>
      <c r="I78" s="214">
        <v>1</v>
      </c>
      <c r="J78" s="214">
        <v>1</v>
      </c>
      <c r="K78" s="214">
        <v>1</v>
      </c>
      <c r="L78" s="214">
        <v>1</v>
      </c>
      <c r="M78" s="214">
        <v>1</v>
      </c>
      <c r="N78" s="214">
        <v>1</v>
      </c>
      <c r="O78" s="210">
        <f t="shared" si="20"/>
        <v>1</v>
      </c>
      <c r="R78" s="210">
        <f t="shared" si="21"/>
        <v>12</v>
      </c>
    </row>
    <row r="79" spans="1:21" ht="10.5" customHeight="1">
      <c r="A79" s="204">
        <f t="shared" si="18"/>
        <v>79</v>
      </c>
      <c r="B79" s="202" t="s">
        <v>211</v>
      </c>
      <c r="C79" s="214">
        <v>1</v>
      </c>
      <c r="D79" s="214">
        <v>1</v>
      </c>
      <c r="E79" s="214">
        <v>1</v>
      </c>
      <c r="F79" s="214">
        <v>1</v>
      </c>
      <c r="G79" s="214">
        <v>1</v>
      </c>
      <c r="H79" s="214">
        <v>1</v>
      </c>
      <c r="I79" s="214">
        <v>1</v>
      </c>
      <c r="J79" s="214">
        <v>1</v>
      </c>
      <c r="K79" s="214">
        <v>1</v>
      </c>
      <c r="L79" s="214">
        <v>1</v>
      </c>
      <c r="M79" s="214">
        <v>1</v>
      </c>
      <c r="N79" s="214">
        <v>1</v>
      </c>
      <c r="O79" s="210">
        <f t="shared" si="20"/>
        <v>1</v>
      </c>
      <c r="Q79" s="204" t="s">
        <v>17</v>
      </c>
      <c r="R79" s="210">
        <f t="shared" si="21"/>
        <v>12</v>
      </c>
    </row>
    <row r="80" spans="1:21">
      <c r="A80" s="204">
        <f t="shared" si="18"/>
        <v>80</v>
      </c>
      <c r="B80" s="202" t="s">
        <v>212</v>
      </c>
      <c r="C80" s="214">
        <v>1</v>
      </c>
      <c r="D80" s="214">
        <v>1</v>
      </c>
      <c r="E80" s="214">
        <v>1</v>
      </c>
      <c r="F80" s="214">
        <v>1</v>
      </c>
      <c r="G80" s="214">
        <v>1</v>
      </c>
      <c r="H80" s="214">
        <v>1</v>
      </c>
      <c r="I80" s="214">
        <v>1</v>
      </c>
      <c r="J80" s="214">
        <v>1</v>
      </c>
      <c r="K80" s="214">
        <v>1</v>
      </c>
      <c r="L80" s="214">
        <v>1</v>
      </c>
      <c r="M80" s="214">
        <v>1</v>
      </c>
      <c r="N80" s="214">
        <v>1</v>
      </c>
      <c r="O80" s="210">
        <f t="shared" si="20"/>
        <v>1</v>
      </c>
      <c r="Q80" s="204" t="s">
        <v>16</v>
      </c>
      <c r="R80" s="210">
        <f t="shared" si="21"/>
        <v>12</v>
      </c>
    </row>
    <row r="81" spans="1:18">
      <c r="A81" s="204">
        <f t="shared" si="18"/>
        <v>81</v>
      </c>
      <c r="B81" s="202" t="s">
        <v>214</v>
      </c>
      <c r="C81" s="214">
        <v>1</v>
      </c>
      <c r="D81" s="214">
        <v>1</v>
      </c>
      <c r="E81" s="214">
        <v>1</v>
      </c>
      <c r="F81" s="214">
        <v>1</v>
      </c>
      <c r="G81" s="214">
        <v>1</v>
      </c>
      <c r="H81" s="214">
        <v>1</v>
      </c>
      <c r="I81" s="214">
        <v>1</v>
      </c>
      <c r="J81" s="214">
        <v>1</v>
      </c>
      <c r="K81" s="214">
        <v>1</v>
      </c>
      <c r="L81" s="214">
        <v>1</v>
      </c>
      <c r="M81" s="214">
        <v>1</v>
      </c>
      <c r="N81" s="214">
        <v>1</v>
      </c>
      <c r="O81" s="210">
        <f t="shared" si="20"/>
        <v>1</v>
      </c>
      <c r="Q81" s="204" t="s">
        <v>17</v>
      </c>
      <c r="R81" s="210">
        <f t="shared" si="21"/>
        <v>12</v>
      </c>
    </row>
    <row r="82" spans="1:18">
      <c r="A82" s="204">
        <f t="shared" si="18"/>
        <v>82</v>
      </c>
      <c r="B82" s="202" t="s">
        <v>215</v>
      </c>
      <c r="C82" s="214">
        <v>0</v>
      </c>
      <c r="D82" s="214">
        <v>0</v>
      </c>
      <c r="E82" s="214">
        <v>0</v>
      </c>
      <c r="F82" s="214">
        <v>0</v>
      </c>
      <c r="G82" s="214">
        <v>1</v>
      </c>
      <c r="H82" s="214">
        <v>1</v>
      </c>
      <c r="I82" s="214">
        <v>1</v>
      </c>
      <c r="J82" s="214">
        <v>1</v>
      </c>
      <c r="K82" s="214">
        <v>1</v>
      </c>
      <c r="L82" s="214">
        <v>1</v>
      </c>
      <c r="M82" s="214">
        <v>1</v>
      </c>
      <c r="N82" s="214">
        <v>1</v>
      </c>
      <c r="O82" s="210">
        <f t="shared" si="20"/>
        <v>0.66666666666666663</v>
      </c>
      <c r="Q82" s="204" t="s">
        <v>17</v>
      </c>
      <c r="R82" s="210">
        <f t="shared" si="21"/>
        <v>8</v>
      </c>
    </row>
    <row r="83" spans="1:18">
      <c r="A83" s="204">
        <f t="shared" si="18"/>
        <v>83</v>
      </c>
      <c r="B83" s="202" t="s">
        <v>216</v>
      </c>
      <c r="C83" s="214">
        <v>0</v>
      </c>
      <c r="D83" s="214">
        <v>0</v>
      </c>
      <c r="E83" s="214">
        <v>0</v>
      </c>
      <c r="F83" s="214">
        <v>0</v>
      </c>
      <c r="G83" s="214">
        <v>1</v>
      </c>
      <c r="H83" s="214">
        <v>1</v>
      </c>
      <c r="I83" s="214">
        <v>1</v>
      </c>
      <c r="J83" s="214">
        <v>1</v>
      </c>
      <c r="K83" s="214">
        <v>1</v>
      </c>
      <c r="L83" s="214">
        <v>1</v>
      </c>
      <c r="M83" s="214">
        <v>1</v>
      </c>
      <c r="N83" s="214">
        <v>1</v>
      </c>
      <c r="O83" s="210">
        <f t="shared" si="20"/>
        <v>0.66666666666666663</v>
      </c>
      <c r="Q83" s="204" t="s">
        <v>17</v>
      </c>
      <c r="R83" s="210">
        <f t="shared" si="21"/>
        <v>8</v>
      </c>
    </row>
    <row r="84" spans="1:18">
      <c r="A84" s="204">
        <f t="shared" si="18"/>
        <v>84</v>
      </c>
      <c r="B84" s="202" t="s">
        <v>218</v>
      </c>
      <c r="C84" s="214">
        <v>0</v>
      </c>
      <c r="D84" s="214">
        <v>0</v>
      </c>
      <c r="E84" s="214">
        <v>0</v>
      </c>
      <c r="F84" s="214">
        <v>0</v>
      </c>
      <c r="G84" s="214">
        <v>1</v>
      </c>
      <c r="H84" s="214">
        <v>1</v>
      </c>
      <c r="I84" s="214">
        <v>1</v>
      </c>
      <c r="J84" s="214">
        <v>1</v>
      </c>
      <c r="K84" s="214">
        <v>1</v>
      </c>
      <c r="L84" s="214">
        <v>1</v>
      </c>
      <c r="M84" s="214">
        <v>1</v>
      </c>
      <c r="N84" s="214">
        <v>1</v>
      </c>
      <c r="O84" s="210">
        <f t="shared" si="20"/>
        <v>0.66666666666666663</v>
      </c>
      <c r="Q84" s="204" t="s">
        <v>16</v>
      </c>
      <c r="R84" s="210">
        <f t="shared" si="21"/>
        <v>8</v>
      </c>
    </row>
    <row r="85" spans="1:18">
      <c r="A85" s="204">
        <f t="shared" si="18"/>
        <v>85</v>
      </c>
      <c r="B85" s="202" t="s">
        <v>219</v>
      </c>
      <c r="C85" s="214">
        <v>0</v>
      </c>
      <c r="D85" s="214">
        <v>0</v>
      </c>
      <c r="E85" s="214">
        <v>0</v>
      </c>
      <c r="F85" s="214">
        <v>0</v>
      </c>
      <c r="G85" s="214">
        <v>1</v>
      </c>
      <c r="H85" s="214">
        <v>1</v>
      </c>
      <c r="I85" s="214">
        <v>1</v>
      </c>
      <c r="J85" s="214">
        <v>1</v>
      </c>
      <c r="K85" s="214">
        <v>1</v>
      </c>
      <c r="L85" s="214">
        <v>1</v>
      </c>
      <c r="M85" s="214">
        <v>1</v>
      </c>
      <c r="N85" s="214">
        <v>1</v>
      </c>
      <c r="O85" s="210">
        <f t="shared" si="20"/>
        <v>0.66666666666666663</v>
      </c>
      <c r="Q85" s="204" t="s">
        <v>16</v>
      </c>
      <c r="R85" s="210">
        <f t="shared" si="21"/>
        <v>8</v>
      </c>
    </row>
    <row r="86" spans="1:18">
      <c r="A86" s="204">
        <f t="shared" si="18"/>
        <v>86</v>
      </c>
      <c r="B86" s="226" t="s">
        <v>220</v>
      </c>
      <c r="C86" s="214">
        <v>1</v>
      </c>
      <c r="D86" s="214">
        <v>1</v>
      </c>
      <c r="E86" s="214">
        <v>1</v>
      </c>
      <c r="F86" s="214">
        <v>1</v>
      </c>
      <c r="G86" s="214">
        <v>1</v>
      </c>
      <c r="H86" s="214">
        <v>1</v>
      </c>
      <c r="I86" s="214">
        <v>1</v>
      </c>
      <c r="J86" s="214">
        <v>1</v>
      </c>
      <c r="K86" s="214">
        <v>1</v>
      </c>
      <c r="L86" s="214">
        <v>1</v>
      </c>
      <c r="M86" s="214">
        <v>1</v>
      </c>
      <c r="N86" s="214">
        <v>1</v>
      </c>
      <c r="O86" s="222">
        <f t="shared" si="20"/>
        <v>1</v>
      </c>
      <c r="Q86" s="204" t="s">
        <v>17</v>
      </c>
      <c r="R86" s="210">
        <f t="shared" si="21"/>
        <v>12</v>
      </c>
    </row>
    <row r="87" spans="1:18">
      <c r="A87" s="204">
        <f t="shared" si="18"/>
        <v>87</v>
      </c>
      <c r="B87" s="225" t="s">
        <v>221</v>
      </c>
      <c r="C87" s="220">
        <f>SUM(C73:C86)</f>
        <v>11</v>
      </c>
      <c r="D87" s="220">
        <f t="shared" ref="D87:N87" si="22">SUM(D73:D86)</f>
        <v>11</v>
      </c>
      <c r="E87" s="220">
        <f t="shared" si="22"/>
        <v>11</v>
      </c>
      <c r="F87" s="220">
        <f t="shared" si="22"/>
        <v>11</v>
      </c>
      <c r="G87" s="220">
        <f t="shared" si="22"/>
        <v>15</v>
      </c>
      <c r="H87" s="220">
        <f t="shared" si="22"/>
        <v>15</v>
      </c>
      <c r="I87" s="220">
        <f t="shared" si="22"/>
        <v>15</v>
      </c>
      <c r="J87" s="220">
        <f t="shared" si="22"/>
        <v>15</v>
      </c>
      <c r="K87" s="220">
        <f t="shared" si="22"/>
        <v>15</v>
      </c>
      <c r="L87" s="220">
        <f t="shared" si="22"/>
        <v>15</v>
      </c>
      <c r="M87" s="220">
        <f t="shared" si="22"/>
        <v>15</v>
      </c>
      <c r="N87" s="220">
        <f t="shared" si="22"/>
        <v>15</v>
      </c>
      <c r="O87" s="210">
        <f t="shared" si="20"/>
        <v>13.666666666666666</v>
      </c>
      <c r="R87" s="210">
        <f t="shared" si="21"/>
        <v>164</v>
      </c>
    </row>
    <row r="88" spans="1:18">
      <c r="A88" s="204">
        <f t="shared" si="18"/>
        <v>88</v>
      </c>
      <c r="B88" s="223" t="s">
        <v>222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R88" s="204"/>
    </row>
    <row r="89" spans="1:18">
      <c r="A89" s="204">
        <f t="shared" si="18"/>
        <v>89</v>
      </c>
      <c r="B89" s="226" t="s">
        <v>214</v>
      </c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0"/>
      <c r="Q89" s="204" t="s">
        <v>17</v>
      </c>
      <c r="R89" s="210">
        <f>+SUM(C89:N89)</f>
        <v>0</v>
      </c>
    </row>
    <row r="90" spans="1:18">
      <c r="A90" s="204">
        <f t="shared" si="18"/>
        <v>90</v>
      </c>
      <c r="B90" s="202" t="s">
        <v>223</v>
      </c>
      <c r="C90" s="214">
        <v>1</v>
      </c>
      <c r="D90" s="214">
        <v>1</v>
      </c>
      <c r="E90" s="214">
        <v>1</v>
      </c>
      <c r="F90" s="214">
        <v>1</v>
      </c>
      <c r="G90" s="214">
        <v>1</v>
      </c>
      <c r="H90" s="214">
        <v>1</v>
      </c>
      <c r="I90" s="214">
        <v>1</v>
      </c>
      <c r="J90" s="214">
        <v>1</v>
      </c>
      <c r="K90" s="214">
        <v>1</v>
      </c>
      <c r="L90" s="214">
        <v>1</v>
      </c>
      <c r="M90" s="214">
        <v>1</v>
      </c>
      <c r="N90" s="214">
        <v>1</v>
      </c>
      <c r="O90" s="210">
        <f>AVERAGE(C90:N90)</f>
        <v>1</v>
      </c>
      <c r="Q90" s="204" t="s">
        <v>17</v>
      </c>
      <c r="R90" s="210">
        <f>+SUM(C90:N90)</f>
        <v>12</v>
      </c>
    </row>
    <row r="91" spans="1:18">
      <c r="A91" s="204">
        <f t="shared" si="18"/>
        <v>91</v>
      </c>
      <c r="B91" s="202" t="s">
        <v>224</v>
      </c>
      <c r="C91" s="214">
        <v>1</v>
      </c>
      <c r="D91" s="214">
        <v>1</v>
      </c>
      <c r="E91" s="214">
        <v>1</v>
      </c>
      <c r="F91" s="214">
        <v>1</v>
      </c>
      <c r="G91" s="214">
        <v>1</v>
      </c>
      <c r="H91" s="214">
        <v>1</v>
      </c>
      <c r="I91" s="214">
        <v>1</v>
      </c>
      <c r="J91" s="214">
        <v>1</v>
      </c>
      <c r="K91" s="214">
        <v>1</v>
      </c>
      <c r="L91" s="214">
        <v>1</v>
      </c>
      <c r="M91" s="214">
        <v>1</v>
      </c>
      <c r="N91" s="214">
        <v>1</v>
      </c>
      <c r="O91" s="210">
        <f>AVERAGE(C91:N91)</f>
        <v>1</v>
      </c>
      <c r="Q91" s="204" t="s">
        <v>16</v>
      </c>
      <c r="R91" s="210">
        <f>+SUM(C91:N91)</f>
        <v>12</v>
      </c>
    </row>
    <row r="92" spans="1:18">
      <c r="A92" s="204">
        <f t="shared" si="18"/>
        <v>92</v>
      </c>
      <c r="B92" s="202" t="s">
        <v>252</v>
      </c>
      <c r="C92" s="214">
        <v>1</v>
      </c>
      <c r="D92" s="214">
        <v>1</v>
      </c>
      <c r="E92" s="214">
        <v>1</v>
      </c>
      <c r="F92" s="214">
        <v>1</v>
      </c>
      <c r="G92" s="214">
        <v>1</v>
      </c>
      <c r="H92" s="214">
        <v>1</v>
      </c>
      <c r="I92" s="214">
        <v>1</v>
      </c>
      <c r="J92" s="214">
        <v>1</v>
      </c>
      <c r="K92" s="214">
        <v>1</v>
      </c>
      <c r="L92" s="214">
        <v>1</v>
      </c>
      <c r="M92" s="214">
        <v>1</v>
      </c>
      <c r="N92" s="214">
        <v>1</v>
      </c>
      <c r="O92" s="210">
        <f>AVERAGE(C92:N92)</f>
        <v>1</v>
      </c>
      <c r="Q92" s="204" t="s">
        <v>16</v>
      </c>
      <c r="R92" s="210">
        <f>+SUM(C92:N92)</f>
        <v>12</v>
      </c>
    </row>
    <row r="93" spans="1:18">
      <c r="A93" s="204">
        <f t="shared" si="18"/>
        <v>93</v>
      </c>
      <c r="B93" s="225" t="s">
        <v>226</v>
      </c>
      <c r="C93" s="220">
        <f>SUM(C89:C92)</f>
        <v>3</v>
      </c>
      <c r="D93" s="220">
        <f t="shared" ref="D93:O93" si="23">SUM(D89:D92)</f>
        <v>3</v>
      </c>
      <c r="E93" s="220">
        <f t="shared" si="23"/>
        <v>3</v>
      </c>
      <c r="F93" s="220">
        <f t="shared" si="23"/>
        <v>3</v>
      </c>
      <c r="G93" s="220">
        <f t="shared" si="23"/>
        <v>3</v>
      </c>
      <c r="H93" s="220">
        <f t="shared" si="23"/>
        <v>3</v>
      </c>
      <c r="I93" s="220">
        <f t="shared" si="23"/>
        <v>3</v>
      </c>
      <c r="J93" s="220">
        <f t="shared" si="23"/>
        <v>3</v>
      </c>
      <c r="K93" s="220">
        <f t="shared" si="23"/>
        <v>3</v>
      </c>
      <c r="L93" s="220">
        <f t="shared" si="23"/>
        <v>3</v>
      </c>
      <c r="M93" s="220">
        <f t="shared" si="23"/>
        <v>3</v>
      </c>
      <c r="N93" s="220">
        <f t="shared" si="23"/>
        <v>3</v>
      </c>
      <c r="O93" s="220">
        <f t="shared" si="23"/>
        <v>3</v>
      </c>
      <c r="R93" s="210">
        <f>+SUM(C93:N93)</f>
        <v>36</v>
      </c>
    </row>
    <row r="94" spans="1:18">
      <c r="A94" s="204">
        <f t="shared" si="18"/>
        <v>94</v>
      </c>
      <c r="B94" s="223"/>
      <c r="C94" s="210"/>
      <c r="D94" s="210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</row>
    <row r="95" spans="1:18">
      <c r="A95" s="204">
        <f t="shared" si="18"/>
        <v>95</v>
      </c>
      <c r="B95" s="202"/>
      <c r="C95" s="214"/>
      <c r="D95" s="214"/>
      <c r="E95" s="214"/>
      <c r="F95" s="214"/>
      <c r="G95" s="214"/>
      <c r="H95" s="214"/>
      <c r="I95" s="214"/>
      <c r="J95" s="214"/>
      <c r="K95" s="214"/>
      <c r="L95" s="214"/>
      <c r="M95" s="214"/>
      <c r="N95" s="214"/>
      <c r="O95" s="210">
        <v>0</v>
      </c>
      <c r="Q95" s="204" t="s">
        <v>17</v>
      </c>
    </row>
    <row r="96" spans="1:18">
      <c r="A96" s="204">
        <f t="shared" si="18"/>
        <v>96</v>
      </c>
      <c r="B96" s="203" t="s">
        <v>207</v>
      </c>
      <c r="C96" s="214">
        <v>0</v>
      </c>
      <c r="D96" s="214">
        <v>0</v>
      </c>
      <c r="E96" s="214">
        <v>0</v>
      </c>
      <c r="F96" s="214">
        <v>0</v>
      </c>
      <c r="G96" s="214">
        <v>0</v>
      </c>
      <c r="H96" s="214">
        <v>0</v>
      </c>
      <c r="I96" s="214">
        <v>0</v>
      </c>
      <c r="J96" s="214">
        <v>0</v>
      </c>
      <c r="K96" s="214">
        <v>0</v>
      </c>
      <c r="L96" s="214">
        <v>0</v>
      </c>
      <c r="M96" s="214">
        <v>0</v>
      </c>
      <c r="N96" s="214"/>
      <c r="O96" s="210">
        <f>AVERAGE(C96:N96)</f>
        <v>0</v>
      </c>
      <c r="Q96" s="204" t="s">
        <v>17</v>
      </c>
      <c r="R96" s="210">
        <f>+SUM(C96:N96)</f>
        <v>0</v>
      </c>
    </row>
    <row r="97" spans="1:18">
      <c r="A97" s="204">
        <f t="shared" si="18"/>
        <v>97</v>
      </c>
      <c r="B97" s="225" t="s">
        <v>228</v>
      </c>
      <c r="C97" s="220">
        <f t="shared" ref="C97:N97" si="24">SUM(C95:C96)</f>
        <v>0</v>
      </c>
      <c r="D97" s="220">
        <f t="shared" si="24"/>
        <v>0</v>
      </c>
      <c r="E97" s="220">
        <f t="shared" si="24"/>
        <v>0</v>
      </c>
      <c r="F97" s="220">
        <f t="shared" si="24"/>
        <v>0</v>
      </c>
      <c r="G97" s="220">
        <f t="shared" si="24"/>
        <v>0</v>
      </c>
      <c r="H97" s="220">
        <f t="shared" si="24"/>
        <v>0</v>
      </c>
      <c r="I97" s="220">
        <f t="shared" si="24"/>
        <v>0</v>
      </c>
      <c r="J97" s="220">
        <f t="shared" si="24"/>
        <v>0</v>
      </c>
      <c r="K97" s="220">
        <f t="shared" si="24"/>
        <v>0</v>
      </c>
      <c r="L97" s="220">
        <f t="shared" si="24"/>
        <v>0</v>
      </c>
      <c r="M97" s="220">
        <f t="shared" si="24"/>
        <v>0</v>
      </c>
      <c r="N97" s="220">
        <f t="shared" si="24"/>
        <v>0</v>
      </c>
      <c r="O97" s="220">
        <f>AVERAGE(C97:N97)</f>
        <v>0</v>
      </c>
      <c r="R97" s="210">
        <f>+SUM(C97:N97)</f>
        <v>0</v>
      </c>
    </row>
    <row r="98" spans="1:18">
      <c r="A98" s="204">
        <f t="shared" si="18"/>
        <v>98</v>
      </c>
      <c r="B98" s="225"/>
      <c r="C98" s="210"/>
      <c r="D98" s="210"/>
      <c r="E98" s="210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R98" s="204"/>
    </row>
    <row r="99" spans="1:18">
      <c r="A99" s="204">
        <f t="shared" si="18"/>
        <v>99</v>
      </c>
      <c r="B99" s="227" t="s">
        <v>229</v>
      </c>
      <c r="C99" s="228">
        <f t="shared" ref="C99:O99" si="25">+C15+C24+C62+C71+C87+C93+C97</f>
        <v>79010</v>
      </c>
      <c r="D99" s="228">
        <f t="shared" si="25"/>
        <v>79105</v>
      </c>
      <c r="E99" s="228">
        <f t="shared" si="25"/>
        <v>79497</v>
      </c>
      <c r="F99" s="228">
        <f t="shared" si="25"/>
        <v>79682</v>
      </c>
      <c r="G99" s="228">
        <f t="shared" si="25"/>
        <v>79659</v>
      </c>
      <c r="H99" s="228">
        <f t="shared" si="25"/>
        <v>79837</v>
      </c>
      <c r="I99" s="228">
        <f t="shared" si="25"/>
        <v>79836</v>
      </c>
      <c r="J99" s="228">
        <f t="shared" si="25"/>
        <v>80009</v>
      </c>
      <c r="K99" s="228">
        <f t="shared" si="25"/>
        <v>80218</v>
      </c>
      <c r="L99" s="228">
        <f>+L15+L24+L62+L71+L87+L93+L97</f>
        <v>80258</v>
      </c>
      <c r="M99" s="228">
        <f t="shared" si="25"/>
        <v>80785</v>
      </c>
      <c r="N99" s="228">
        <f t="shared" si="25"/>
        <v>81155</v>
      </c>
      <c r="O99" s="229">
        <f t="shared" si="25"/>
        <v>79920.916666666657</v>
      </c>
      <c r="R99" s="204"/>
    </row>
    <row r="100" spans="1:18">
      <c r="A100" s="204">
        <f t="shared" si="18"/>
        <v>100</v>
      </c>
      <c r="B100" s="230" t="s">
        <v>230</v>
      </c>
      <c r="C100" s="210"/>
      <c r="D100" s="210"/>
      <c r="E100" s="210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R100" s="204"/>
    </row>
    <row r="101" spans="1:18">
      <c r="A101" s="204">
        <f t="shared" si="18"/>
        <v>101</v>
      </c>
      <c r="B101" s="202" t="s">
        <v>232</v>
      </c>
      <c r="C101" s="214">
        <v>1</v>
      </c>
      <c r="D101" s="214">
        <v>1</v>
      </c>
      <c r="E101" s="214">
        <v>1</v>
      </c>
      <c r="F101" s="214">
        <v>1</v>
      </c>
      <c r="G101" s="214">
        <v>1</v>
      </c>
      <c r="H101" s="214">
        <v>1</v>
      </c>
      <c r="I101" s="214">
        <v>1</v>
      </c>
      <c r="J101" s="214">
        <v>1</v>
      </c>
      <c r="K101" s="214">
        <v>1</v>
      </c>
      <c r="L101" s="214">
        <v>1</v>
      </c>
      <c r="M101" s="214">
        <v>1</v>
      </c>
      <c r="N101" s="214">
        <v>1</v>
      </c>
      <c r="O101" s="210">
        <f>AVERAGE(C101:N101)</f>
        <v>1</v>
      </c>
      <c r="Q101" s="204" t="s">
        <v>17</v>
      </c>
      <c r="R101" s="210">
        <f>+SUM(C101:N101)</f>
        <v>12</v>
      </c>
    </row>
    <row r="102" spans="1:18">
      <c r="A102" s="204">
        <f t="shared" si="18"/>
        <v>102</v>
      </c>
      <c r="B102" s="203" t="s">
        <v>233</v>
      </c>
      <c r="C102" s="214">
        <v>1</v>
      </c>
      <c r="D102" s="214">
        <v>1</v>
      </c>
      <c r="E102" s="214">
        <v>1</v>
      </c>
      <c r="F102" s="214">
        <v>1</v>
      </c>
      <c r="G102" s="214">
        <v>1</v>
      </c>
      <c r="H102" s="214">
        <v>1</v>
      </c>
      <c r="I102" s="214">
        <v>1</v>
      </c>
      <c r="J102" s="214">
        <v>1</v>
      </c>
      <c r="K102" s="214">
        <v>1</v>
      </c>
      <c r="L102" s="214">
        <v>1</v>
      </c>
      <c r="M102" s="214">
        <v>1</v>
      </c>
      <c r="N102" s="214">
        <v>1</v>
      </c>
      <c r="O102" s="222">
        <f>AVERAGE(C102:N102)</f>
        <v>1</v>
      </c>
      <c r="Q102" s="204" t="s">
        <v>17</v>
      </c>
      <c r="R102" s="210">
        <f>+SUM(C102:N102)</f>
        <v>12</v>
      </c>
    </row>
    <row r="103" spans="1:18">
      <c r="A103" s="204">
        <f t="shared" si="18"/>
        <v>103</v>
      </c>
      <c r="B103" s="225" t="s">
        <v>234</v>
      </c>
      <c r="C103" s="220">
        <f t="shared" ref="C103:N103" si="26">SUM(C101:C102)</f>
        <v>2</v>
      </c>
      <c r="D103" s="220">
        <f t="shared" si="26"/>
        <v>2</v>
      </c>
      <c r="E103" s="220">
        <f t="shared" si="26"/>
        <v>2</v>
      </c>
      <c r="F103" s="220">
        <f t="shared" si="26"/>
        <v>2</v>
      </c>
      <c r="G103" s="220">
        <f t="shared" si="26"/>
        <v>2</v>
      </c>
      <c r="H103" s="220">
        <f t="shared" si="26"/>
        <v>2</v>
      </c>
      <c r="I103" s="220">
        <f>SUM(I101:I102)</f>
        <v>2</v>
      </c>
      <c r="J103" s="220">
        <f t="shared" si="26"/>
        <v>2</v>
      </c>
      <c r="K103" s="220">
        <f t="shared" si="26"/>
        <v>2</v>
      </c>
      <c r="L103" s="220">
        <f t="shared" si="26"/>
        <v>2</v>
      </c>
      <c r="M103" s="220">
        <f t="shared" si="26"/>
        <v>2</v>
      </c>
      <c r="N103" s="220">
        <f t="shared" si="26"/>
        <v>2</v>
      </c>
      <c r="O103" s="210">
        <f>AVERAGE(C103:N103)</f>
        <v>2</v>
      </c>
      <c r="R103" s="210">
        <f>+SUM(C103:N103)</f>
        <v>24</v>
      </c>
    </row>
    <row r="104" spans="1:18">
      <c r="A104" s="204">
        <f t="shared" si="18"/>
        <v>104</v>
      </c>
      <c r="B104" s="223" t="s">
        <v>235</v>
      </c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R104" s="204"/>
    </row>
    <row r="105" spans="1:18">
      <c r="A105" s="204">
        <f t="shared" si="18"/>
        <v>105</v>
      </c>
      <c r="B105" s="202" t="s">
        <v>236</v>
      </c>
      <c r="C105" s="214">
        <v>1</v>
      </c>
      <c r="D105" s="214">
        <v>1</v>
      </c>
      <c r="E105" s="214">
        <v>1</v>
      </c>
      <c r="F105" s="214">
        <v>0</v>
      </c>
      <c r="G105" s="214">
        <v>0</v>
      </c>
      <c r="H105" s="214">
        <v>0</v>
      </c>
      <c r="I105" s="214">
        <v>0</v>
      </c>
      <c r="J105" s="214">
        <v>0</v>
      </c>
      <c r="K105" s="214">
        <v>0</v>
      </c>
      <c r="L105" s="214">
        <v>0</v>
      </c>
      <c r="M105" s="214">
        <v>0</v>
      </c>
      <c r="N105" s="214">
        <v>0</v>
      </c>
      <c r="O105" s="210">
        <f>AVERAGE(C105:N105)</f>
        <v>0.25</v>
      </c>
      <c r="Q105" s="204" t="s">
        <v>253</v>
      </c>
      <c r="R105" s="210">
        <f>+SUM(C105:N105)</f>
        <v>3</v>
      </c>
    </row>
    <row r="106" spans="1:18">
      <c r="A106" s="204">
        <f t="shared" si="18"/>
        <v>106</v>
      </c>
      <c r="B106" s="202" t="s">
        <v>237</v>
      </c>
      <c r="C106" s="214">
        <v>1</v>
      </c>
      <c r="D106" s="214">
        <v>1</v>
      </c>
      <c r="E106" s="214">
        <v>1</v>
      </c>
      <c r="F106" s="214">
        <v>1</v>
      </c>
      <c r="G106" s="214">
        <v>1</v>
      </c>
      <c r="H106" s="214">
        <v>1</v>
      </c>
      <c r="I106" s="214">
        <v>1</v>
      </c>
      <c r="J106" s="214">
        <v>1</v>
      </c>
      <c r="K106" s="214">
        <v>1</v>
      </c>
      <c r="L106" s="214">
        <v>1</v>
      </c>
      <c r="M106" s="214">
        <v>1</v>
      </c>
      <c r="N106" s="214">
        <v>1</v>
      </c>
      <c r="O106" s="210">
        <f>AVERAGE(C106:N106)</f>
        <v>1</v>
      </c>
      <c r="Q106" s="204" t="s">
        <v>17</v>
      </c>
      <c r="R106" s="210">
        <f>+SUM(C106:N106)</f>
        <v>12</v>
      </c>
    </row>
    <row r="107" spans="1:18">
      <c r="A107" s="204">
        <f t="shared" si="18"/>
        <v>107</v>
      </c>
      <c r="B107" s="203" t="s">
        <v>238</v>
      </c>
      <c r="C107" s="214">
        <v>1</v>
      </c>
      <c r="D107" s="214">
        <v>1</v>
      </c>
      <c r="E107" s="214">
        <v>1</v>
      </c>
      <c r="F107" s="214">
        <v>1</v>
      </c>
      <c r="G107" s="214">
        <v>1</v>
      </c>
      <c r="H107" s="214">
        <v>1</v>
      </c>
      <c r="I107" s="214">
        <v>1</v>
      </c>
      <c r="J107" s="214">
        <v>1</v>
      </c>
      <c r="K107" s="214">
        <v>1</v>
      </c>
      <c r="L107" s="214">
        <v>1</v>
      </c>
      <c r="M107" s="214">
        <v>1</v>
      </c>
      <c r="N107" s="214">
        <v>1</v>
      </c>
      <c r="O107" s="222">
        <f>AVERAGE(C107:N107)</f>
        <v>1</v>
      </c>
      <c r="Q107" s="204" t="s">
        <v>17</v>
      </c>
      <c r="R107" s="210">
        <f>+SUM(C107:N107)</f>
        <v>12</v>
      </c>
    </row>
    <row r="108" spans="1:18">
      <c r="A108" s="204">
        <f t="shared" si="18"/>
        <v>108</v>
      </c>
      <c r="B108" s="225" t="s">
        <v>239</v>
      </c>
      <c r="C108" s="220">
        <f>SUM(C105:C107)</f>
        <v>3</v>
      </c>
      <c r="D108" s="220">
        <f t="shared" ref="D108:N108" si="27">SUM(D105:D107)</f>
        <v>3</v>
      </c>
      <c r="E108" s="220">
        <f t="shared" si="27"/>
        <v>3</v>
      </c>
      <c r="F108" s="220">
        <f t="shared" si="27"/>
        <v>2</v>
      </c>
      <c r="G108" s="220">
        <f t="shared" si="27"/>
        <v>2</v>
      </c>
      <c r="H108" s="220">
        <f t="shared" si="27"/>
        <v>2</v>
      </c>
      <c r="I108" s="220">
        <f t="shared" si="27"/>
        <v>2</v>
      </c>
      <c r="J108" s="220">
        <f t="shared" si="27"/>
        <v>2</v>
      </c>
      <c r="K108" s="220">
        <f t="shared" si="27"/>
        <v>2</v>
      </c>
      <c r="L108" s="220">
        <f t="shared" si="27"/>
        <v>2</v>
      </c>
      <c r="M108" s="220">
        <f t="shared" si="27"/>
        <v>2</v>
      </c>
      <c r="N108" s="220">
        <f t="shared" si="27"/>
        <v>2</v>
      </c>
      <c r="O108" s="210">
        <f>AVERAGE(C108:N108)</f>
        <v>2.25</v>
      </c>
      <c r="R108" s="210">
        <f>+SUM(C108:N108)</f>
        <v>27</v>
      </c>
    </row>
    <row r="109" spans="1:18">
      <c r="A109" s="204">
        <f t="shared" si="18"/>
        <v>109</v>
      </c>
      <c r="B109" s="225"/>
      <c r="C109" s="210"/>
      <c r="D109" s="210"/>
      <c r="E109" s="210"/>
      <c r="F109" s="210"/>
      <c r="G109" s="210"/>
      <c r="H109" s="210"/>
      <c r="I109" s="210"/>
      <c r="J109" s="210"/>
      <c r="K109" s="210"/>
      <c r="L109" s="210"/>
      <c r="M109" s="210"/>
      <c r="N109" s="210"/>
      <c r="O109" s="210"/>
    </row>
    <row r="110" spans="1:18">
      <c r="A110" s="204">
        <f t="shared" si="18"/>
        <v>110</v>
      </c>
      <c r="B110" s="227" t="s">
        <v>240</v>
      </c>
      <c r="C110" s="228">
        <f t="shared" ref="C110:O110" si="28">+C103+C108</f>
        <v>5</v>
      </c>
      <c r="D110" s="228">
        <f t="shared" si="28"/>
        <v>5</v>
      </c>
      <c r="E110" s="228">
        <f t="shared" si="28"/>
        <v>5</v>
      </c>
      <c r="F110" s="228">
        <f t="shared" si="28"/>
        <v>4</v>
      </c>
      <c r="G110" s="228">
        <f t="shared" si="28"/>
        <v>4</v>
      </c>
      <c r="H110" s="228">
        <f t="shared" si="28"/>
        <v>4</v>
      </c>
      <c r="I110" s="228">
        <f t="shared" si="28"/>
        <v>4</v>
      </c>
      <c r="J110" s="228">
        <f t="shared" si="28"/>
        <v>4</v>
      </c>
      <c r="K110" s="228">
        <f t="shared" si="28"/>
        <v>4</v>
      </c>
      <c r="L110" s="228">
        <f t="shared" si="28"/>
        <v>4</v>
      </c>
      <c r="M110" s="228">
        <f t="shared" si="28"/>
        <v>4</v>
      </c>
      <c r="N110" s="228">
        <f t="shared" si="28"/>
        <v>4</v>
      </c>
      <c r="O110" s="229">
        <f t="shared" si="28"/>
        <v>4.25</v>
      </c>
      <c r="R110" s="210">
        <f>+SUM(C110:N110)</f>
        <v>51</v>
      </c>
    </row>
    <row r="111" spans="1:18">
      <c r="A111" s="204">
        <f t="shared" si="18"/>
        <v>111</v>
      </c>
      <c r="B111" s="231"/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</row>
    <row r="112" spans="1:18">
      <c r="A112" s="204">
        <f t="shared" si="18"/>
        <v>112</v>
      </c>
      <c r="B112" s="233" t="s">
        <v>254</v>
      </c>
      <c r="C112" s="232"/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</row>
    <row r="113" spans="1:18">
      <c r="A113" s="204">
        <f t="shared" si="18"/>
        <v>113</v>
      </c>
      <c r="B113" s="234" t="s">
        <v>173</v>
      </c>
      <c r="C113" s="214">
        <v>169</v>
      </c>
      <c r="D113" s="214">
        <v>174</v>
      </c>
      <c r="E113" s="214">
        <v>174</v>
      </c>
      <c r="F113" s="214">
        <v>170</v>
      </c>
      <c r="G113" s="214">
        <v>171</v>
      </c>
      <c r="H113" s="214">
        <v>179</v>
      </c>
      <c r="I113" s="214">
        <v>179</v>
      </c>
      <c r="J113" s="214">
        <v>178</v>
      </c>
      <c r="K113" s="214">
        <v>179</v>
      </c>
      <c r="L113" s="214">
        <v>177</v>
      </c>
      <c r="M113" s="214">
        <v>178</v>
      </c>
      <c r="N113" s="214">
        <v>181</v>
      </c>
      <c r="O113" s="210">
        <f t="shared" ref="O113:O118" si="29">AVERAGE(C113:N113)</f>
        <v>175.75</v>
      </c>
      <c r="R113" s="210">
        <f t="shared" ref="R113:R119" si="30">+SUM(C113:N113)</f>
        <v>2109</v>
      </c>
    </row>
    <row r="114" spans="1:18">
      <c r="A114" s="204">
        <f t="shared" si="18"/>
        <v>114</v>
      </c>
      <c r="B114" s="234" t="s">
        <v>176</v>
      </c>
      <c r="C114" s="214">
        <v>844</v>
      </c>
      <c r="D114" s="214">
        <v>843</v>
      </c>
      <c r="E114" s="214">
        <v>859</v>
      </c>
      <c r="F114" s="214">
        <v>842</v>
      </c>
      <c r="G114" s="214">
        <v>849</v>
      </c>
      <c r="H114" s="214">
        <v>883</v>
      </c>
      <c r="I114" s="214">
        <v>862</v>
      </c>
      <c r="J114" s="214">
        <v>884</v>
      </c>
      <c r="K114" s="214">
        <v>910</v>
      </c>
      <c r="L114" s="214">
        <v>918</v>
      </c>
      <c r="M114" s="214">
        <v>935</v>
      </c>
      <c r="N114" s="214">
        <v>944</v>
      </c>
      <c r="O114" s="210">
        <f t="shared" si="29"/>
        <v>881.08333333333337</v>
      </c>
      <c r="R114" s="210">
        <f t="shared" si="30"/>
        <v>10573</v>
      </c>
    </row>
    <row r="115" spans="1:18">
      <c r="A115" s="204">
        <f t="shared" si="18"/>
        <v>115</v>
      </c>
      <c r="B115" s="234" t="s">
        <v>180</v>
      </c>
      <c r="C115" s="214">
        <v>1130</v>
      </c>
      <c r="D115" s="214">
        <v>1134</v>
      </c>
      <c r="E115" s="214">
        <v>1149</v>
      </c>
      <c r="F115" s="214">
        <v>1150</v>
      </c>
      <c r="G115" s="214">
        <v>1147</v>
      </c>
      <c r="H115" s="214">
        <v>1151</v>
      </c>
      <c r="I115" s="214">
        <v>1160</v>
      </c>
      <c r="J115" s="214">
        <v>1195</v>
      </c>
      <c r="K115" s="214">
        <v>1151</v>
      </c>
      <c r="L115" s="214">
        <v>1145</v>
      </c>
      <c r="M115" s="214">
        <v>1143</v>
      </c>
      <c r="N115" s="214">
        <v>1164</v>
      </c>
      <c r="O115" s="210">
        <f t="shared" si="29"/>
        <v>1151.5833333333333</v>
      </c>
      <c r="R115" s="210">
        <f t="shared" si="30"/>
        <v>13819</v>
      </c>
    </row>
    <row r="116" spans="1:18">
      <c r="A116" s="204">
        <f t="shared" si="18"/>
        <v>116</v>
      </c>
      <c r="B116" s="234" t="s">
        <v>181</v>
      </c>
      <c r="C116" s="214">
        <f>1189-C115</f>
        <v>59</v>
      </c>
      <c r="D116" s="214">
        <f>1185-D115</f>
        <v>51</v>
      </c>
      <c r="E116" s="214">
        <v>56</v>
      </c>
      <c r="F116" s="214">
        <v>53</v>
      </c>
      <c r="G116" s="214">
        <v>51</v>
      </c>
      <c r="H116" s="214">
        <f>1214-H115</f>
        <v>63</v>
      </c>
      <c r="I116" s="214">
        <v>53</v>
      </c>
      <c r="J116" s="214">
        <v>50</v>
      </c>
      <c r="K116" s="214">
        <v>52</v>
      </c>
      <c r="L116" s="214">
        <v>53</v>
      </c>
      <c r="M116" s="214">
        <v>61</v>
      </c>
      <c r="N116" s="214">
        <v>54</v>
      </c>
      <c r="O116" s="210">
        <f t="shared" si="29"/>
        <v>54.666666666666664</v>
      </c>
      <c r="R116" s="210">
        <f t="shared" si="30"/>
        <v>656</v>
      </c>
    </row>
    <row r="117" spans="1:18">
      <c r="A117" s="204">
        <f t="shared" si="18"/>
        <v>117</v>
      </c>
      <c r="B117" s="234" t="s">
        <v>184</v>
      </c>
      <c r="C117" s="214">
        <v>17</v>
      </c>
      <c r="D117" s="214">
        <v>17</v>
      </c>
      <c r="E117" s="214">
        <v>17</v>
      </c>
      <c r="F117" s="214">
        <v>17</v>
      </c>
      <c r="G117" s="214">
        <v>19</v>
      </c>
      <c r="H117" s="214">
        <v>17</v>
      </c>
      <c r="I117" s="214">
        <v>17</v>
      </c>
      <c r="J117" s="214">
        <v>17</v>
      </c>
      <c r="K117" s="214">
        <v>17</v>
      </c>
      <c r="L117" s="214">
        <v>17</v>
      </c>
      <c r="M117" s="214">
        <v>17</v>
      </c>
      <c r="N117" s="214">
        <v>18</v>
      </c>
      <c r="O117" s="210">
        <f t="shared" si="29"/>
        <v>17.25</v>
      </c>
      <c r="R117" s="210">
        <f t="shared" si="30"/>
        <v>207</v>
      </c>
    </row>
    <row r="118" spans="1:18">
      <c r="A118" s="204">
        <f t="shared" si="18"/>
        <v>118</v>
      </c>
      <c r="B118" s="234" t="s">
        <v>255</v>
      </c>
      <c r="C118" s="214">
        <v>7</v>
      </c>
      <c r="D118" s="214">
        <v>7</v>
      </c>
      <c r="E118" s="214">
        <v>7</v>
      </c>
      <c r="F118" s="214">
        <v>7</v>
      </c>
      <c r="G118" s="214">
        <v>7</v>
      </c>
      <c r="H118" s="214">
        <v>7</v>
      </c>
      <c r="I118" s="214">
        <v>7</v>
      </c>
      <c r="J118" s="214">
        <v>7</v>
      </c>
      <c r="K118" s="214">
        <v>7</v>
      </c>
      <c r="L118" s="214">
        <v>7</v>
      </c>
      <c r="M118" s="214">
        <v>7</v>
      </c>
      <c r="N118" s="214">
        <v>8</v>
      </c>
      <c r="O118" s="210">
        <f t="shared" si="29"/>
        <v>7.083333333333333</v>
      </c>
      <c r="R118" s="210">
        <f t="shared" si="30"/>
        <v>85</v>
      </c>
    </row>
    <row r="119" spans="1:18">
      <c r="A119" s="204">
        <f t="shared" si="18"/>
        <v>119</v>
      </c>
      <c r="B119" s="235" t="s">
        <v>256</v>
      </c>
      <c r="C119" s="232">
        <f t="shared" ref="C119:O119" si="31">+SUM(C113:C118)</f>
        <v>2226</v>
      </c>
      <c r="D119" s="232">
        <f t="shared" si="31"/>
        <v>2226</v>
      </c>
      <c r="E119" s="232">
        <f t="shared" si="31"/>
        <v>2262</v>
      </c>
      <c r="F119" s="232">
        <f t="shared" si="31"/>
        <v>2239</v>
      </c>
      <c r="G119" s="232">
        <f t="shared" si="31"/>
        <v>2244</v>
      </c>
      <c r="H119" s="232">
        <f t="shared" si="31"/>
        <v>2300</v>
      </c>
      <c r="I119" s="232">
        <f t="shared" si="31"/>
        <v>2278</v>
      </c>
      <c r="J119" s="232">
        <f t="shared" si="31"/>
        <v>2331</v>
      </c>
      <c r="K119" s="232">
        <f t="shared" si="31"/>
        <v>2316</v>
      </c>
      <c r="L119" s="232">
        <f t="shared" si="31"/>
        <v>2317</v>
      </c>
      <c r="M119" s="232">
        <f t="shared" si="31"/>
        <v>2341</v>
      </c>
      <c r="N119" s="232">
        <f t="shared" si="31"/>
        <v>2369</v>
      </c>
      <c r="O119" s="232">
        <f t="shared" si="31"/>
        <v>2287.416666666667</v>
      </c>
      <c r="R119" s="210">
        <f t="shared" si="30"/>
        <v>27449</v>
      </c>
    </row>
    <row r="120" spans="1:18">
      <c r="A120" s="204">
        <f t="shared" si="18"/>
        <v>120</v>
      </c>
      <c r="B120" s="235"/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</row>
    <row r="121" spans="1:18">
      <c r="A121" s="204">
        <f t="shared" si="18"/>
        <v>121</v>
      </c>
      <c r="B121" s="233" t="s">
        <v>257</v>
      </c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</row>
    <row r="122" spans="1:18">
      <c r="A122" s="204">
        <f t="shared" si="18"/>
        <v>122</v>
      </c>
      <c r="B122" s="234" t="s">
        <v>181</v>
      </c>
      <c r="C122" s="214">
        <v>38</v>
      </c>
      <c r="D122" s="214">
        <v>38</v>
      </c>
      <c r="E122" s="214">
        <v>38</v>
      </c>
      <c r="F122" s="214">
        <v>38</v>
      </c>
      <c r="G122" s="214">
        <v>38</v>
      </c>
      <c r="H122" s="214">
        <v>38</v>
      </c>
      <c r="I122" s="214">
        <v>38</v>
      </c>
      <c r="J122" s="214">
        <v>38</v>
      </c>
      <c r="K122" s="214">
        <v>38</v>
      </c>
      <c r="L122" s="214">
        <v>28</v>
      </c>
      <c r="M122" s="214">
        <v>38</v>
      </c>
      <c r="N122" s="214">
        <v>38</v>
      </c>
      <c r="O122" s="210">
        <f>AVERAGE(C122:N122)</f>
        <v>37.166666666666664</v>
      </c>
      <c r="R122" s="210">
        <f>+SUM(C122:N122)</f>
        <v>446</v>
      </c>
    </row>
    <row r="123" spans="1:18">
      <c r="A123" s="204">
        <f t="shared" si="18"/>
        <v>123</v>
      </c>
      <c r="B123" s="234" t="s">
        <v>184</v>
      </c>
      <c r="C123" s="214">
        <v>17</v>
      </c>
      <c r="D123" s="214">
        <v>17</v>
      </c>
      <c r="E123" s="214">
        <v>17</v>
      </c>
      <c r="F123" s="214">
        <v>17</v>
      </c>
      <c r="G123" s="214">
        <v>17</v>
      </c>
      <c r="H123" s="214">
        <v>17</v>
      </c>
      <c r="I123" s="214">
        <v>17</v>
      </c>
      <c r="J123" s="214">
        <v>17</v>
      </c>
      <c r="K123" s="214">
        <v>18</v>
      </c>
      <c r="L123" s="214">
        <v>18</v>
      </c>
      <c r="M123" s="214">
        <v>17</v>
      </c>
      <c r="N123" s="214">
        <v>17</v>
      </c>
      <c r="O123" s="210">
        <f>AVERAGE(C123:N123)</f>
        <v>17.166666666666668</v>
      </c>
      <c r="R123" s="210">
        <f>+SUM(C123:N123)</f>
        <v>206</v>
      </c>
    </row>
    <row r="124" spans="1:18">
      <c r="A124" s="204">
        <f t="shared" si="18"/>
        <v>124</v>
      </c>
      <c r="B124" s="235" t="s">
        <v>258</v>
      </c>
      <c r="C124" s="210">
        <f t="shared" ref="C124:O124" si="32">+SUM(C122:C123)</f>
        <v>55</v>
      </c>
      <c r="D124" s="210">
        <f t="shared" si="32"/>
        <v>55</v>
      </c>
      <c r="E124" s="210">
        <f t="shared" si="32"/>
        <v>55</v>
      </c>
      <c r="F124" s="210">
        <f t="shared" si="32"/>
        <v>55</v>
      </c>
      <c r="G124" s="210">
        <f t="shared" si="32"/>
        <v>55</v>
      </c>
      <c r="H124" s="210">
        <f t="shared" si="32"/>
        <v>55</v>
      </c>
      <c r="I124" s="210">
        <f t="shared" si="32"/>
        <v>55</v>
      </c>
      <c r="J124" s="210">
        <f t="shared" si="32"/>
        <v>55</v>
      </c>
      <c r="K124" s="210">
        <f t="shared" si="32"/>
        <v>56</v>
      </c>
      <c r="L124" s="210">
        <f t="shared" si="32"/>
        <v>46</v>
      </c>
      <c r="M124" s="210">
        <f t="shared" si="32"/>
        <v>55</v>
      </c>
      <c r="N124" s="210">
        <f t="shared" si="32"/>
        <v>55</v>
      </c>
      <c r="O124" s="210">
        <f t="shared" si="32"/>
        <v>54.333333333333329</v>
      </c>
      <c r="R124" s="210">
        <f>+SUM(C124:N124)</f>
        <v>652</v>
      </c>
    </row>
    <row r="125" spans="1:18">
      <c r="A125" s="204">
        <f t="shared" si="18"/>
        <v>125</v>
      </c>
      <c r="B125" s="235"/>
      <c r="C125" s="210"/>
      <c r="D125" s="210"/>
      <c r="E125" s="210"/>
      <c r="F125" s="210"/>
      <c r="G125" s="210"/>
      <c r="H125" s="210"/>
      <c r="I125" s="210"/>
      <c r="J125" s="210"/>
      <c r="K125" s="210"/>
      <c r="L125" s="210"/>
      <c r="M125" s="210"/>
      <c r="N125" s="210"/>
      <c r="O125" s="210"/>
    </row>
    <row r="126" spans="1:18">
      <c r="A126" s="204">
        <f t="shared" si="18"/>
        <v>126</v>
      </c>
      <c r="B126" s="227" t="s">
        <v>241</v>
      </c>
      <c r="C126" s="228">
        <f t="shared" ref="C126:O126" si="33">+C99+C110</f>
        <v>79015</v>
      </c>
      <c r="D126" s="228">
        <f t="shared" si="33"/>
        <v>79110</v>
      </c>
      <c r="E126" s="228">
        <f t="shared" si="33"/>
        <v>79502</v>
      </c>
      <c r="F126" s="228">
        <f t="shared" si="33"/>
        <v>79686</v>
      </c>
      <c r="G126" s="228">
        <f t="shared" si="33"/>
        <v>79663</v>
      </c>
      <c r="H126" s="228">
        <f t="shared" si="33"/>
        <v>79841</v>
      </c>
      <c r="I126" s="228">
        <f t="shared" si="33"/>
        <v>79840</v>
      </c>
      <c r="J126" s="228">
        <f t="shared" si="33"/>
        <v>80013</v>
      </c>
      <c r="K126" s="228">
        <f t="shared" si="33"/>
        <v>80222</v>
      </c>
      <c r="L126" s="228">
        <f>+L99+L110</f>
        <v>80262</v>
      </c>
      <c r="M126" s="228">
        <f t="shared" si="33"/>
        <v>80789</v>
      </c>
      <c r="N126" s="228">
        <f t="shared" si="33"/>
        <v>81159</v>
      </c>
      <c r="O126" s="229">
        <f t="shared" si="33"/>
        <v>79925.166666666657</v>
      </c>
      <c r="R126" s="210">
        <f>+SUM(C126:N126)</f>
        <v>959102</v>
      </c>
    </row>
    <row r="127" spans="1:18">
      <c r="A127" s="204">
        <f t="shared" si="18"/>
        <v>127</v>
      </c>
      <c r="B127" s="212" t="s">
        <v>158</v>
      </c>
      <c r="C127" s="210"/>
      <c r="D127" s="210"/>
      <c r="E127" s="210"/>
      <c r="F127" s="210"/>
      <c r="G127" s="210"/>
      <c r="H127" s="210"/>
      <c r="I127" s="210"/>
      <c r="J127" s="210"/>
      <c r="K127" s="210"/>
      <c r="L127" s="210"/>
      <c r="M127" s="210"/>
      <c r="N127" s="210"/>
      <c r="O127" s="210"/>
    </row>
    <row r="128" spans="1:18">
      <c r="A128" s="204">
        <f t="shared" si="18"/>
        <v>128</v>
      </c>
      <c r="B128" s="213" t="s">
        <v>114</v>
      </c>
      <c r="C128" s="210">
        <f t="shared" ref="C128:C138" si="34">+C4</f>
        <v>1215</v>
      </c>
      <c r="D128" s="210">
        <f t="shared" ref="D128:D138" si="35">AVERAGE(C4:D4)</f>
        <v>1220</v>
      </c>
      <c r="E128" s="210">
        <f t="shared" ref="E128:E138" si="36">AVERAGE(C4:E4)</f>
        <v>1222.6666666666667</v>
      </c>
      <c r="F128" s="210">
        <f t="shared" ref="F128:F138" si="37">AVERAGE(C4:F4)</f>
        <v>1210.75</v>
      </c>
      <c r="G128" s="210">
        <f t="shared" ref="G128:G138" si="38">AVERAGE(C4:G4)</f>
        <v>1201</v>
      </c>
      <c r="H128" s="210">
        <f t="shared" ref="H128:H138" si="39">AVERAGE(C4:H4)</f>
        <v>1191.5</v>
      </c>
      <c r="I128" s="210">
        <f t="shared" ref="I128:I138" si="40">AVERAGE(C4:I4)</f>
        <v>1185.4285714285713</v>
      </c>
      <c r="J128" s="210">
        <f t="shared" ref="J128:J138" si="41">AVERAGE(C4:J4)</f>
        <v>1181</v>
      </c>
      <c r="K128" s="210">
        <f t="shared" ref="K128:K138" si="42">AVERAGE(C4:K4)</f>
        <v>1177</v>
      </c>
      <c r="L128" s="210">
        <f t="shared" ref="L128:L138" si="43">AVERAGE(C4:L4)</f>
        <v>1173.8</v>
      </c>
      <c r="M128" s="210">
        <f t="shared" ref="M128:M138" si="44">AVERAGE(C4:M4)</f>
        <v>1171.1818181818182</v>
      </c>
      <c r="N128" s="210">
        <f t="shared" ref="N128:N138" si="45">AVERAGE(C4:N4)</f>
        <v>1170.0833333333333</v>
      </c>
      <c r="O128" s="210">
        <f t="shared" ref="O128:O137" si="46">SUM(C128:N128)</f>
        <v>14319.41038961039</v>
      </c>
    </row>
    <row r="129" spans="1:18">
      <c r="A129" s="204">
        <f t="shared" si="18"/>
        <v>129</v>
      </c>
      <c r="B129" s="213" t="s">
        <v>115</v>
      </c>
      <c r="C129" s="210">
        <f t="shared" si="34"/>
        <v>2264</v>
      </c>
      <c r="D129" s="210">
        <f t="shared" si="35"/>
        <v>2270.5</v>
      </c>
      <c r="E129" s="210">
        <f t="shared" si="36"/>
        <v>2271</v>
      </c>
      <c r="F129" s="210">
        <f t="shared" si="37"/>
        <v>2275.25</v>
      </c>
      <c r="G129" s="210">
        <f t="shared" si="38"/>
        <v>2274.8000000000002</v>
      </c>
      <c r="H129" s="210">
        <f t="shared" si="39"/>
        <v>2272.6666666666665</v>
      </c>
      <c r="I129" s="210">
        <f t="shared" si="40"/>
        <v>2272.2857142857142</v>
      </c>
      <c r="J129" s="210">
        <f t="shared" si="41"/>
        <v>2270.875</v>
      </c>
      <c r="K129" s="210">
        <f t="shared" si="42"/>
        <v>2269.7777777777778</v>
      </c>
      <c r="L129" s="210">
        <f t="shared" si="43"/>
        <v>2267.6999999999998</v>
      </c>
      <c r="M129" s="210">
        <f t="shared" si="44"/>
        <v>2267.4545454545455</v>
      </c>
      <c r="N129" s="210">
        <f t="shared" si="45"/>
        <v>2267.5</v>
      </c>
      <c r="O129" s="210">
        <f t="shared" si="46"/>
        <v>27243.8097041847</v>
      </c>
    </row>
    <row r="130" spans="1:18">
      <c r="A130" s="204">
        <f t="shared" si="18"/>
        <v>130</v>
      </c>
      <c r="B130" s="213" t="s">
        <v>116</v>
      </c>
      <c r="C130" s="210">
        <f t="shared" si="34"/>
        <v>11148</v>
      </c>
      <c r="D130" s="210">
        <f t="shared" si="35"/>
        <v>11178.5</v>
      </c>
      <c r="E130" s="210">
        <f t="shared" si="36"/>
        <v>11219.666666666666</v>
      </c>
      <c r="F130" s="210">
        <f t="shared" si="37"/>
        <v>11267.25</v>
      </c>
      <c r="G130" s="210">
        <f t="shared" si="38"/>
        <v>11301.4</v>
      </c>
      <c r="H130" s="210">
        <f t="shared" si="39"/>
        <v>11331.666666666666</v>
      </c>
      <c r="I130" s="210">
        <f t="shared" si="40"/>
        <v>11358.857142857143</v>
      </c>
      <c r="J130" s="210">
        <f t="shared" si="41"/>
        <v>11383.375</v>
      </c>
      <c r="K130" s="210">
        <f t="shared" si="42"/>
        <v>11410.333333333334</v>
      </c>
      <c r="L130" s="210">
        <f t="shared" si="43"/>
        <v>11436.5</v>
      </c>
      <c r="M130" s="210">
        <f t="shared" si="44"/>
        <v>11469.545454545454</v>
      </c>
      <c r="N130" s="210">
        <f t="shared" si="45"/>
        <v>11504.333333333334</v>
      </c>
      <c r="O130" s="210">
        <f t="shared" si="46"/>
        <v>136009.42759740259</v>
      </c>
    </row>
    <row r="131" spans="1:18">
      <c r="A131" s="204">
        <f t="shared" ref="A131:A194" si="47">+A130+1</f>
        <v>131</v>
      </c>
      <c r="B131" s="213" t="s">
        <v>117</v>
      </c>
      <c r="C131" s="210">
        <f t="shared" si="34"/>
        <v>689</v>
      </c>
      <c r="D131" s="210">
        <f t="shared" si="35"/>
        <v>688.5</v>
      </c>
      <c r="E131" s="210">
        <f t="shared" si="36"/>
        <v>688.66666666666663</v>
      </c>
      <c r="F131" s="210">
        <f t="shared" si="37"/>
        <v>698.5</v>
      </c>
      <c r="G131" s="210">
        <f t="shared" si="38"/>
        <v>703</v>
      </c>
      <c r="H131" s="210">
        <f t="shared" si="39"/>
        <v>706</v>
      </c>
      <c r="I131" s="210">
        <f t="shared" si="40"/>
        <v>709.14285714285711</v>
      </c>
      <c r="J131" s="210">
        <f t="shared" si="41"/>
        <v>710.125</v>
      </c>
      <c r="K131" s="210">
        <f t="shared" si="42"/>
        <v>711.33333333333337</v>
      </c>
      <c r="L131" s="210">
        <f t="shared" si="43"/>
        <v>712.1</v>
      </c>
      <c r="M131" s="210">
        <f t="shared" si="44"/>
        <v>713.36363636363637</v>
      </c>
      <c r="N131" s="210">
        <f t="shared" si="45"/>
        <v>714.25</v>
      </c>
      <c r="O131" s="210">
        <f t="shared" si="46"/>
        <v>8443.9814935064933</v>
      </c>
    </row>
    <row r="132" spans="1:18">
      <c r="A132" s="204">
        <f t="shared" si="47"/>
        <v>132</v>
      </c>
      <c r="B132" s="213" t="s">
        <v>118</v>
      </c>
      <c r="C132" s="210">
        <f t="shared" si="34"/>
        <v>516</v>
      </c>
      <c r="D132" s="210">
        <f t="shared" si="35"/>
        <v>515.5</v>
      </c>
      <c r="E132" s="210">
        <f t="shared" si="36"/>
        <v>514.33333333333337</v>
      </c>
      <c r="F132" s="210">
        <f t="shared" si="37"/>
        <v>507.75</v>
      </c>
      <c r="G132" s="210">
        <f t="shared" si="38"/>
        <v>502.4</v>
      </c>
      <c r="H132" s="210">
        <f t="shared" si="39"/>
        <v>499</v>
      </c>
      <c r="I132" s="210">
        <f t="shared" si="40"/>
        <v>497</v>
      </c>
      <c r="J132" s="210">
        <f t="shared" si="41"/>
        <v>495.125</v>
      </c>
      <c r="K132" s="210">
        <f t="shared" si="42"/>
        <v>493.88888888888891</v>
      </c>
      <c r="L132" s="210">
        <f t="shared" si="43"/>
        <v>492.8</v>
      </c>
      <c r="M132" s="210">
        <f t="shared" si="44"/>
        <v>492</v>
      </c>
      <c r="N132" s="210">
        <f t="shared" si="45"/>
        <v>491.33333333333331</v>
      </c>
      <c r="O132" s="210">
        <f t="shared" si="46"/>
        <v>6017.1305555555555</v>
      </c>
    </row>
    <row r="133" spans="1:18">
      <c r="A133" s="204">
        <f t="shared" si="47"/>
        <v>133</v>
      </c>
      <c r="B133" s="218" t="s">
        <v>119</v>
      </c>
      <c r="C133" s="210">
        <f t="shared" si="34"/>
        <v>13</v>
      </c>
      <c r="D133" s="210">
        <f t="shared" si="35"/>
        <v>13</v>
      </c>
      <c r="E133" s="210">
        <f t="shared" si="36"/>
        <v>13</v>
      </c>
      <c r="F133" s="210">
        <f t="shared" si="37"/>
        <v>13.75</v>
      </c>
      <c r="G133" s="210">
        <f t="shared" si="38"/>
        <v>14.2</v>
      </c>
      <c r="H133" s="210">
        <f t="shared" si="39"/>
        <v>14.5</v>
      </c>
      <c r="I133" s="210">
        <f t="shared" si="40"/>
        <v>14.714285714285714</v>
      </c>
      <c r="J133" s="210">
        <f t="shared" si="41"/>
        <v>14.875</v>
      </c>
      <c r="K133" s="210">
        <f t="shared" si="42"/>
        <v>15</v>
      </c>
      <c r="L133" s="210">
        <f t="shared" si="43"/>
        <v>15.1</v>
      </c>
      <c r="M133" s="210">
        <f t="shared" si="44"/>
        <v>15.181818181818182</v>
      </c>
      <c r="N133" s="210">
        <f t="shared" si="45"/>
        <v>15.25</v>
      </c>
      <c r="O133" s="210">
        <f t="shared" si="46"/>
        <v>171.57110389610389</v>
      </c>
    </row>
    <row r="134" spans="1:18">
      <c r="A134" s="204">
        <f t="shared" si="47"/>
        <v>134</v>
      </c>
      <c r="B134" s="218" t="s">
        <v>120</v>
      </c>
      <c r="C134" s="210">
        <f t="shared" si="34"/>
        <v>0</v>
      </c>
      <c r="D134" s="210">
        <f t="shared" si="35"/>
        <v>0</v>
      </c>
      <c r="E134" s="210">
        <f t="shared" si="36"/>
        <v>0</v>
      </c>
      <c r="F134" s="210">
        <f t="shared" si="37"/>
        <v>0</v>
      </c>
      <c r="G134" s="210">
        <f t="shared" si="38"/>
        <v>0</v>
      </c>
      <c r="H134" s="210">
        <f t="shared" si="39"/>
        <v>0</v>
      </c>
      <c r="I134" s="210">
        <f t="shared" si="40"/>
        <v>0</v>
      </c>
      <c r="J134" s="210">
        <f t="shared" si="41"/>
        <v>0</v>
      </c>
      <c r="K134" s="210">
        <f t="shared" si="42"/>
        <v>0</v>
      </c>
      <c r="L134" s="210">
        <f t="shared" si="43"/>
        <v>0</v>
      </c>
      <c r="M134" s="210">
        <f t="shared" si="44"/>
        <v>0</v>
      </c>
      <c r="N134" s="210">
        <f t="shared" si="45"/>
        <v>0</v>
      </c>
      <c r="O134" s="210">
        <f t="shared" si="46"/>
        <v>0</v>
      </c>
    </row>
    <row r="135" spans="1:18">
      <c r="A135" s="204">
        <f t="shared" si="47"/>
        <v>135</v>
      </c>
      <c r="B135" s="218" t="s">
        <v>161</v>
      </c>
      <c r="C135" s="210">
        <f t="shared" si="34"/>
        <v>53499</v>
      </c>
      <c r="D135" s="210">
        <f t="shared" si="35"/>
        <v>53504.5</v>
      </c>
      <c r="E135" s="210">
        <f t="shared" si="36"/>
        <v>53591.333333333336</v>
      </c>
      <c r="F135" s="210">
        <f t="shared" si="37"/>
        <v>53653</v>
      </c>
      <c r="G135" s="210">
        <f t="shared" si="38"/>
        <v>53691.8</v>
      </c>
      <c r="H135" s="210">
        <f t="shared" si="39"/>
        <v>53745</v>
      </c>
      <c r="I135" s="210">
        <f t="shared" si="40"/>
        <v>53774.285714285717</v>
      </c>
      <c r="J135" s="210">
        <f t="shared" si="41"/>
        <v>53814.75</v>
      </c>
      <c r="K135" s="210">
        <f t="shared" si="42"/>
        <v>53853</v>
      </c>
      <c r="L135" s="210">
        <f t="shared" si="43"/>
        <v>53886.400000000001</v>
      </c>
      <c r="M135" s="210">
        <f t="shared" si="44"/>
        <v>53942.181818181816</v>
      </c>
      <c r="N135" s="210">
        <f t="shared" si="45"/>
        <v>54003.75</v>
      </c>
      <c r="O135" s="210">
        <f t="shared" si="46"/>
        <v>644959.00086580089</v>
      </c>
    </row>
    <row r="136" spans="1:18">
      <c r="A136" s="204">
        <f t="shared" si="47"/>
        <v>136</v>
      </c>
      <c r="B136" s="218" t="s">
        <v>163</v>
      </c>
      <c r="C136" s="210">
        <f t="shared" si="34"/>
        <v>434</v>
      </c>
      <c r="D136" s="210">
        <f t="shared" si="35"/>
        <v>432.5</v>
      </c>
      <c r="E136" s="210">
        <f t="shared" si="36"/>
        <v>435</v>
      </c>
      <c r="F136" s="210">
        <f t="shared" si="37"/>
        <v>437.25</v>
      </c>
      <c r="G136" s="210">
        <f t="shared" si="38"/>
        <v>438</v>
      </c>
      <c r="H136" s="210">
        <f t="shared" si="39"/>
        <v>439.66666666666669</v>
      </c>
      <c r="I136" s="210">
        <f t="shared" si="40"/>
        <v>441.57142857142856</v>
      </c>
      <c r="J136" s="210">
        <f t="shared" si="41"/>
        <v>443.75</v>
      </c>
      <c r="K136" s="210">
        <f t="shared" si="42"/>
        <v>447.55555555555554</v>
      </c>
      <c r="L136" s="210">
        <f t="shared" si="43"/>
        <v>451.8</v>
      </c>
      <c r="M136" s="210">
        <f t="shared" si="44"/>
        <v>455.72727272727275</v>
      </c>
      <c r="N136" s="210">
        <f t="shared" si="45"/>
        <v>459.83333333333331</v>
      </c>
      <c r="O136" s="210">
        <f t="shared" si="46"/>
        <v>5316.6542568542563</v>
      </c>
    </row>
    <row r="137" spans="1:18">
      <c r="A137" s="204">
        <f t="shared" si="47"/>
        <v>137</v>
      </c>
      <c r="B137" s="218" t="s">
        <v>111</v>
      </c>
      <c r="C137" s="210">
        <f t="shared" si="34"/>
        <v>582</v>
      </c>
      <c r="D137" s="210">
        <f t="shared" si="35"/>
        <v>581.5</v>
      </c>
      <c r="E137" s="210">
        <f t="shared" si="36"/>
        <v>582.33333333333337</v>
      </c>
      <c r="F137" s="210">
        <f t="shared" si="37"/>
        <v>581</v>
      </c>
      <c r="G137" s="210">
        <f t="shared" si="38"/>
        <v>577.79999999999995</v>
      </c>
      <c r="H137" s="210">
        <f t="shared" si="39"/>
        <v>575</v>
      </c>
      <c r="I137" s="210">
        <f t="shared" si="40"/>
        <v>573</v>
      </c>
      <c r="J137" s="210">
        <f t="shared" si="41"/>
        <v>571</v>
      </c>
      <c r="K137" s="210">
        <f t="shared" si="42"/>
        <v>569.77777777777783</v>
      </c>
      <c r="L137" s="210">
        <f t="shared" si="43"/>
        <v>568.6</v>
      </c>
      <c r="M137" s="210">
        <f t="shared" si="44"/>
        <v>567.81818181818187</v>
      </c>
      <c r="N137" s="210">
        <f t="shared" si="45"/>
        <v>567.16666666666663</v>
      </c>
      <c r="O137" s="210">
        <f t="shared" si="46"/>
        <v>6896.9959595959599</v>
      </c>
    </row>
    <row r="138" spans="1:18">
      <c r="A138" s="204">
        <f t="shared" si="47"/>
        <v>138</v>
      </c>
      <c r="B138" s="218" t="s">
        <v>105</v>
      </c>
      <c r="C138" s="222">
        <f t="shared" si="34"/>
        <v>671</v>
      </c>
      <c r="D138" s="222">
        <f t="shared" si="35"/>
        <v>671</v>
      </c>
      <c r="E138" s="222">
        <f t="shared" si="36"/>
        <v>671.66666666666663</v>
      </c>
      <c r="F138" s="222">
        <f t="shared" si="37"/>
        <v>671.25</v>
      </c>
      <c r="G138" s="222">
        <f t="shared" si="38"/>
        <v>671.2</v>
      </c>
      <c r="H138" s="222">
        <f t="shared" si="39"/>
        <v>670.5</v>
      </c>
      <c r="I138" s="222">
        <f t="shared" si="40"/>
        <v>670.28571428571433</v>
      </c>
      <c r="J138" s="222">
        <f t="shared" si="41"/>
        <v>670.625</v>
      </c>
      <c r="K138" s="222">
        <f t="shared" si="42"/>
        <v>670.66666666666663</v>
      </c>
      <c r="L138" s="222">
        <f t="shared" si="43"/>
        <v>670.4</v>
      </c>
      <c r="M138" s="222">
        <f t="shared" si="44"/>
        <v>670.5454545454545</v>
      </c>
      <c r="N138" s="222">
        <f t="shared" si="45"/>
        <v>670.33333333333337</v>
      </c>
      <c r="O138" s="222">
        <f>SUM(C138:N138)</f>
        <v>8049.4728354978351</v>
      </c>
    </row>
    <row r="139" spans="1:18">
      <c r="A139" s="204">
        <f t="shared" si="47"/>
        <v>139</v>
      </c>
      <c r="B139" s="219" t="s">
        <v>166</v>
      </c>
      <c r="C139" s="210">
        <f t="shared" ref="C139:O139" si="48">SUM(C128:C138)</f>
        <v>71031</v>
      </c>
      <c r="D139" s="210">
        <f t="shared" si="48"/>
        <v>71075.5</v>
      </c>
      <c r="E139" s="210">
        <f t="shared" si="48"/>
        <v>71209.666666666672</v>
      </c>
      <c r="F139" s="210">
        <f t="shared" si="48"/>
        <v>71315.75</v>
      </c>
      <c r="G139" s="210">
        <f t="shared" si="48"/>
        <v>71375.600000000006</v>
      </c>
      <c r="H139" s="210">
        <f t="shared" si="48"/>
        <v>71445.5</v>
      </c>
      <c r="I139" s="210">
        <f t="shared" si="48"/>
        <v>71496.571428571435</v>
      </c>
      <c r="J139" s="210">
        <f t="shared" si="48"/>
        <v>71555.5</v>
      </c>
      <c r="K139" s="210">
        <f t="shared" si="48"/>
        <v>71618.333333333343</v>
      </c>
      <c r="L139" s="210">
        <f t="shared" si="48"/>
        <v>71675.199999999997</v>
      </c>
      <c r="M139" s="210">
        <f t="shared" si="48"/>
        <v>71765</v>
      </c>
      <c r="N139" s="210">
        <f t="shared" si="48"/>
        <v>71863.833333333328</v>
      </c>
      <c r="O139" s="210">
        <f t="shared" si="48"/>
        <v>857427.45476190478</v>
      </c>
    </row>
    <row r="140" spans="1:18">
      <c r="A140" s="204">
        <f t="shared" si="47"/>
        <v>140</v>
      </c>
      <c r="B140" s="212" t="s">
        <v>167</v>
      </c>
      <c r="C140" s="210"/>
      <c r="D140" s="210"/>
      <c r="E140" s="21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R140" s="204"/>
    </row>
    <row r="141" spans="1:18">
      <c r="A141" s="204">
        <f t="shared" si="47"/>
        <v>141</v>
      </c>
      <c r="B141" s="213" t="s">
        <v>114</v>
      </c>
      <c r="C141" s="210">
        <f t="shared" ref="C141:C147" si="49">+C17</f>
        <v>34</v>
      </c>
      <c r="D141" s="210">
        <f t="shared" ref="D141:D147" si="50">AVERAGE(C17:D17)</f>
        <v>34.5</v>
      </c>
      <c r="E141" s="210">
        <f t="shared" ref="E141:E147" si="51">AVERAGE(C17:E17)</f>
        <v>34.666666666666664</v>
      </c>
      <c r="F141" s="210">
        <f t="shared" ref="F141:F147" si="52">AVERAGE(C17:F17)</f>
        <v>34.25</v>
      </c>
      <c r="G141" s="210">
        <f t="shared" ref="G141:G147" si="53">AVERAGE(C17:G17)</f>
        <v>33.200000000000003</v>
      </c>
      <c r="H141" s="210">
        <f t="shared" ref="H141:H147" si="54">AVERAGE(C17:H17)</f>
        <v>32.5</v>
      </c>
      <c r="I141" s="210">
        <f t="shared" ref="I141:I147" si="55">AVERAGE(C17:I17)</f>
        <v>32.142857142857146</v>
      </c>
      <c r="J141" s="210">
        <f t="shared" ref="J141:J147" si="56">AVERAGE(C17:J17)</f>
        <v>31.75</v>
      </c>
      <c r="K141" s="210">
        <f t="shared" ref="K141:K147" si="57">AVERAGE(C17:K17)</f>
        <v>31.333333333333332</v>
      </c>
      <c r="L141" s="210">
        <f t="shared" ref="L141:L147" si="58">AVERAGE(C17:L17)</f>
        <v>31.3</v>
      </c>
      <c r="M141" s="210">
        <f t="shared" ref="M141:M147" si="59">AVERAGE(C17:M17)</f>
        <v>31.363636363636363</v>
      </c>
      <c r="N141" s="210">
        <f t="shared" ref="N141:N147" si="60">AVERAGE(C17:N17)</f>
        <v>31.5</v>
      </c>
      <c r="O141" s="210">
        <f t="shared" ref="O141:O147" si="61">SUM(C141:N141)</f>
        <v>392.50649350649348</v>
      </c>
      <c r="R141" s="204"/>
    </row>
    <row r="142" spans="1:18">
      <c r="A142" s="204">
        <f t="shared" si="47"/>
        <v>142</v>
      </c>
      <c r="B142" s="213" t="s">
        <v>115</v>
      </c>
      <c r="C142" s="210">
        <f t="shared" si="49"/>
        <v>66</v>
      </c>
      <c r="D142" s="210">
        <f t="shared" si="50"/>
        <v>65.5</v>
      </c>
      <c r="E142" s="210">
        <f t="shared" si="51"/>
        <v>65.666666666666671</v>
      </c>
      <c r="F142" s="210">
        <f t="shared" si="52"/>
        <v>65.5</v>
      </c>
      <c r="G142" s="210">
        <f t="shared" si="53"/>
        <v>64.8</v>
      </c>
      <c r="H142" s="210">
        <f t="shared" si="54"/>
        <v>64.5</v>
      </c>
      <c r="I142" s="210">
        <f t="shared" si="55"/>
        <v>63.714285714285715</v>
      </c>
      <c r="J142" s="210">
        <f t="shared" si="56"/>
        <v>63.25</v>
      </c>
      <c r="K142" s="210">
        <f t="shared" si="57"/>
        <v>62.888888888888886</v>
      </c>
      <c r="L142" s="210">
        <f t="shared" si="58"/>
        <v>62.7</v>
      </c>
      <c r="M142" s="210">
        <f t="shared" si="59"/>
        <v>62.363636363636367</v>
      </c>
      <c r="N142" s="210">
        <f t="shared" si="60"/>
        <v>62.083333333333336</v>
      </c>
      <c r="O142" s="210">
        <f t="shared" si="61"/>
        <v>768.96681096681118</v>
      </c>
      <c r="R142" s="204"/>
    </row>
    <row r="143" spans="1:18">
      <c r="A143" s="204">
        <f t="shared" si="47"/>
        <v>143</v>
      </c>
      <c r="B143" s="213" t="s">
        <v>116</v>
      </c>
      <c r="C143" s="210">
        <f t="shared" si="49"/>
        <v>168</v>
      </c>
      <c r="D143" s="210">
        <f t="shared" si="50"/>
        <v>168.5</v>
      </c>
      <c r="E143" s="210">
        <f t="shared" si="51"/>
        <v>169</v>
      </c>
      <c r="F143" s="210">
        <f t="shared" si="52"/>
        <v>168.5</v>
      </c>
      <c r="G143" s="210">
        <f t="shared" si="53"/>
        <v>168.4</v>
      </c>
      <c r="H143" s="210">
        <f t="shared" si="54"/>
        <v>168.16666666666666</v>
      </c>
      <c r="I143" s="210">
        <f t="shared" si="55"/>
        <v>168.14285714285714</v>
      </c>
      <c r="J143" s="210">
        <f t="shared" si="56"/>
        <v>167.75</v>
      </c>
      <c r="K143" s="210">
        <f t="shared" si="57"/>
        <v>167.33333333333334</v>
      </c>
      <c r="L143" s="210">
        <f t="shared" si="58"/>
        <v>166.9</v>
      </c>
      <c r="M143" s="210">
        <f t="shared" si="59"/>
        <v>166.63636363636363</v>
      </c>
      <c r="N143" s="210">
        <f t="shared" si="60"/>
        <v>166.41666666666666</v>
      </c>
      <c r="O143" s="210">
        <f t="shared" si="61"/>
        <v>2013.7458874458873</v>
      </c>
      <c r="R143" s="204"/>
    </row>
    <row r="144" spans="1:18">
      <c r="A144" s="204">
        <f t="shared" si="47"/>
        <v>144</v>
      </c>
      <c r="B144" s="213" t="s">
        <v>117</v>
      </c>
      <c r="C144" s="210">
        <f t="shared" si="49"/>
        <v>17</v>
      </c>
      <c r="D144" s="210">
        <f t="shared" si="50"/>
        <v>16.5</v>
      </c>
      <c r="E144" s="210">
        <f t="shared" si="51"/>
        <v>16.333333333333332</v>
      </c>
      <c r="F144" s="210">
        <f t="shared" si="52"/>
        <v>17.25</v>
      </c>
      <c r="G144" s="210">
        <f t="shared" si="53"/>
        <v>17.8</v>
      </c>
      <c r="H144" s="210">
        <f t="shared" si="54"/>
        <v>18</v>
      </c>
      <c r="I144" s="210">
        <f t="shared" si="55"/>
        <v>18.142857142857142</v>
      </c>
      <c r="J144" s="210">
        <f t="shared" si="56"/>
        <v>18.25</v>
      </c>
      <c r="K144" s="210">
        <f t="shared" si="57"/>
        <v>18.333333333333332</v>
      </c>
      <c r="L144" s="210">
        <f t="shared" si="58"/>
        <v>18.399999999999999</v>
      </c>
      <c r="M144" s="210">
        <f t="shared" si="59"/>
        <v>18.545454545454547</v>
      </c>
      <c r="N144" s="210">
        <f t="shared" si="60"/>
        <v>18.666666666666668</v>
      </c>
      <c r="O144" s="210">
        <f t="shared" si="61"/>
        <v>213.221645021645</v>
      </c>
      <c r="R144" s="204"/>
    </row>
    <row r="145" spans="1:18">
      <c r="A145" s="204">
        <f t="shared" si="47"/>
        <v>145</v>
      </c>
      <c r="B145" s="213" t="s">
        <v>118</v>
      </c>
      <c r="C145" s="210">
        <f t="shared" si="49"/>
        <v>8</v>
      </c>
      <c r="D145" s="210">
        <f t="shared" si="50"/>
        <v>8</v>
      </c>
      <c r="E145" s="210">
        <f t="shared" si="51"/>
        <v>8</v>
      </c>
      <c r="F145" s="210">
        <f t="shared" si="52"/>
        <v>8.25</v>
      </c>
      <c r="G145" s="210">
        <f t="shared" si="53"/>
        <v>8.4</v>
      </c>
      <c r="H145" s="210">
        <f t="shared" si="54"/>
        <v>8.5</v>
      </c>
      <c r="I145" s="210">
        <f t="shared" si="55"/>
        <v>8.5714285714285712</v>
      </c>
      <c r="J145" s="210">
        <f t="shared" si="56"/>
        <v>8.625</v>
      </c>
      <c r="K145" s="210">
        <f t="shared" si="57"/>
        <v>8.6666666666666661</v>
      </c>
      <c r="L145" s="210">
        <f t="shared" si="58"/>
        <v>8.8000000000000007</v>
      </c>
      <c r="M145" s="210">
        <f t="shared" si="59"/>
        <v>8.8181818181818183</v>
      </c>
      <c r="N145" s="210">
        <f t="shared" si="60"/>
        <v>8.8333333333333339</v>
      </c>
      <c r="O145" s="210">
        <f t="shared" si="61"/>
        <v>101.46461038961037</v>
      </c>
      <c r="R145" s="204"/>
    </row>
    <row r="146" spans="1:18">
      <c r="A146" s="204">
        <f t="shared" si="47"/>
        <v>146</v>
      </c>
      <c r="B146" s="218" t="s">
        <v>119</v>
      </c>
      <c r="C146" s="210">
        <f t="shared" si="49"/>
        <v>0</v>
      </c>
      <c r="D146" s="210">
        <f t="shared" si="50"/>
        <v>0</v>
      </c>
      <c r="E146" s="210">
        <f t="shared" si="51"/>
        <v>0</v>
      </c>
      <c r="F146" s="210">
        <f t="shared" si="52"/>
        <v>0</v>
      </c>
      <c r="G146" s="210">
        <f t="shared" si="53"/>
        <v>0</v>
      </c>
      <c r="H146" s="210">
        <f t="shared" si="54"/>
        <v>0</v>
      </c>
      <c r="I146" s="210">
        <f t="shared" si="55"/>
        <v>0</v>
      </c>
      <c r="J146" s="210">
        <f t="shared" si="56"/>
        <v>0</v>
      </c>
      <c r="K146" s="210">
        <f t="shared" si="57"/>
        <v>0</v>
      </c>
      <c r="L146" s="210">
        <f t="shared" si="58"/>
        <v>0</v>
      </c>
      <c r="M146" s="210">
        <f t="shared" si="59"/>
        <v>0</v>
      </c>
      <c r="N146" s="210">
        <f t="shared" si="60"/>
        <v>0</v>
      </c>
      <c r="O146" s="210">
        <f t="shared" si="61"/>
        <v>0</v>
      </c>
      <c r="R146" s="204"/>
    </row>
    <row r="147" spans="1:18">
      <c r="A147" s="204">
        <f t="shared" si="47"/>
        <v>147</v>
      </c>
      <c r="B147" s="218" t="s">
        <v>120</v>
      </c>
      <c r="C147" s="222">
        <f t="shared" si="49"/>
        <v>0</v>
      </c>
      <c r="D147" s="222">
        <f t="shared" si="50"/>
        <v>0</v>
      </c>
      <c r="E147" s="222">
        <f t="shared" si="51"/>
        <v>0</v>
      </c>
      <c r="F147" s="222">
        <f t="shared" si="52"/>
        <v>0</v>
      </c>
      <c r="G147" s="222">
        <f t="shared" si="53"/>
        <v>0</v>
      </c>
      <c r="H147" s="222">
        <f t="shared" si="54"/>
        <v>0</v>
      </c>
      <c r="I147" s="222">
        <f t="shared" si="55"/>
        <v>0</v>
      </c>
      <c r="J147" s="222">
        <f t="shared" si="56"/>
        <v>0</v>
      </c>
      <c r="K147" s="222">
        <f t="shared" si="57"/>
        <v>0</v>
      </c>
      <c r="L147" s="222">
        <f t="shared" si="58"/>
        <v>0</v>
      </c>
      <c r="M147" s="222">
        <f t="shared" si="59"/>
        <v>0</v>
      </c>
      <c r="N147" s="222">
        <f t="shared" si="60"/>
        <v>0</v>
      </c>
      <c r="O147" s="222">
        <f t="shared" si="61"/>
        <v>0</v>
      </c>
      <c r="R147" s="204"/>
    </row>
    <row r="148" spans="1:18">
      <c r="A148" s="204">
        <f t="shared" si="47"/>
        <v>148</v>
      </c>
      <c r="B148" s="219" t="s">
        <v>169</v>
      </c>
      <c r="C148" s="210">
        <f t="shared" ref="C148:O148" si="62">SUM(C141:C147)</f>
        <v>293</v>
      </c>
      <c r="D148" s="210">
        <f t="shared" si="62"/>
        <v>293</v>
      </c>
      <c r="E148" s="210">
        <f t="shared" si="62"/>
        <v>293.66666666666669</v>
      </c>
      <c r="F148" s="210">
        <f t="shared" si="62"/>
        <v>293.75</v>
      </c>
      <c r="G148" s="210">
        <f t="shared" si="62"/>
        <v>292.59999999999997</v>
      </c>
      <c r="H148" s="210">
        <f t="shared" si="62"/>
        <v>291.66666666666663</v>
      </c>
      <c r="I148" s="210">
        <f t="shared" si="62"/>
        <v>290.71428571428572</v>
      </c>
      <c r="J148" s="210">
        <f t="shared" si="62"/>
        <v>289.625</v>
      </c>
      <c r="K148" s="210">
        <f t="shared" si="62"/>
        <v>288.55555555555554</v>
      </c>
      <c r="L148" s="210">
        <f t="shared" si="62"/>
        <v>288.09999999999997</v>
      </c>
      <c r="M148" s="210">
        <f t="shared" si="62"/>
        <v>287.72727272727275</v>
      </c>
      <c r="N148" s="210">
        <f t="shared" si="62"/>
        <v>287.5</v>
      </c>
      <c r="O148" s="210">
        <f t="shared" si="62"/>
        <v>3489.9054473304473</v>
      </c>
      <c r="R148" s="204"/>
    </row>
    <row r="149" spans="1:18">
      <c r="A149" s="204">
        <f t="shared" si="47"/>
        <v>149</v>
      </c>
      <c r="B149" s="223" t="s">
        <v>170</v>
      </c>
      <c r="C149" s="210"/>
      <c r="D149" s="210"/>
      <c r="E149" s="210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R149" s="204"/>
    </row>
    <row r="150" spans="1:18">
      <c r="A150" s="204">
        <f t="shared" si="47"/>
        <v>150</v>
      </c>
      <c r="B150" s="213" t="s">
        <v>114</v>
      </c>
      <c r="C150" s="210">
        <f t="shared" ref="C150:C185" si="63">+C26</f>
        <v>13</v>
      </c>
      <c r="D150" s="210">
        <f t="shared" ref="D150:D185" si="64">AVERAGE(C26:D26)</f>
        <v>12.5</v>
      </c>
      <c r="E150" s="210">
        <f t="shared" ref="E150:E185" si="65">AVERAGE(C26:E26)</f>
        <v>12.333333333333334</v>
      </c>
      <c r="F150" s="210">
        <f t="shared" ref="F150:F185" si="66">AVERAGE(C26:F26)</f>
        <v>12.25</v>
      </c>
      <c r="G150" s="210">
        <f t="shared" ref="G150:G185" si="67">AVERAGE(C26:G26)</f>
        <v>12.2</v>
      </c>
      <c r="H150" s="210">
        <f t="shared" ref="H150:H185" si="68">AVERAGE(C26:H26)</f>
        <v>12.166666666666666</v>
      </c>
      <c r="I150" s="210">
        <f t="shared" ref="I150:I185" si="69">AVERAGE(C26:I26)</f>
        <v>12.142857142857142</v>
      </c>
      <c r="J150" s="210">
        <f t="shared" ref="J150:J185" si="70">AVERAGE(C26:J26)</f>
        <v>12.125</v>
      </c>
      <c r="K150" s="210">
        <f t="shared" ref="K150:K185" si="71">AVERAGE(C26:K26)</f>
        <v>12.111111111111111</v>
      </c>
      <c r="L150" s="210">
        <f t="shared" ref="L150:L185" si="72">AVERAGE(C26:L26)</f>
        <v>12.1</v>
      </c>
      <c r="M150" s="210">
        <f t="shared" ref="M150:M185" si="73">AVERAGE(C26:M26)</f>
        <v>12.090909090909092</v>
      </c>
      <c r="N150" s="210">
        <f t="shared" ref="N150:N185" si="74">AVERAGE(C26:N26)</f>
        <v>12.083333333333334</v>
      </c>
      <c r="O150" s="210">
        <f t="shared" ref="O150:O182" si="75">SUM(C150:N150)</f>
        <v>147.10321067821067</v>
      </c>
      <c r="R150" s="204"/>
    </row>
    <row r="151" spans="1:18">
      <c r="A151" s="204">
        <f t="shared" si="47"/>
        <v>151</v>
      </c>
      <c r="B151" s="213" t="s">
        <v>115</v>
      </c>
      <c r="C151" s="210">
        <f t="shared" si="63"/>
        <v>8</v>
      </c>
      <c r="D151" s="210">
        <f t="shared" si="64"/>
        <v>8</v>
      </c>
      <c r="E151" s="210">
        <f t="shared" si="65"/>
        <v>8</v>
      </c>
      <c r="F151" s="210">
        <f t="shared" si="66"/>
        <v>8</v>
      </c>
      <c r="G151" s="210">
        <f t="shared" si="67"/>
        <v>8</v>
      </c>
      <c r="H151" s="210">
        <f t="shared" si="68"/>
        <v>7.833333333333333</v>
      </c>
      <c r="I151" s="210">
        <f t="shared" si="69"/>
        <v>7.7142857142857144</v>
      </c>
      <c r="J151" s="210">
        <f t="shared" si="70"/>
        <v>7.625</v>
      </c>
      <c r="K151" s="210">
        <f t="shared" si="71"/>
        <v>7.5555555555555554</v>
      </c>
      <c r="L151" s="210">
        <f t="shared" si="72"/>
        <v>7.5</v>
      </c>
      <c r="M151" s="210">
        <f t="shared" si="73"/>
        <v>7.4545454545454541</v>
      </c>
      <c r="N151" s="210">
        <f t="shared" si="74"/>
        <v>7.416666666666667</v>
      </c>
      <c r="O151" s="210">
        <f t="shared" si="75"/>
        <v>93.099386724386733</v>
      </c>
      <c r="R151" s="204"/>
    </row>
    <row r="152" spans="1:18">
      <c r="A152" s="204">
        <f t="shared" si="47"/>
        <v>152</v>
      </c>
      <c r="B152" s="213" t="s">
        <v>116</v>
      </c>
      <c r="C152" s="210">
        <f t="shared" si="63"/>
        <v>242</v>
      </c>
      <c r="D152" s="210">
        <f t="shared" si="64"/>
        <v>241.5</v>
      </c>
      <c r="E152" s="210">
        <f t="shared" si="65"/>
        <v>241</v>
      </c>
      <c r="F152" s="210">
        <f t="shared" si="66"/>
        <v>240</v>
      </c>
      <c r="G152" s="210">
        <f t="shared" si="67"/>
        <v>239.2</v>
      </c>
      <c r="H152" s="210">
        <f t="shared" si="68"/>
        <v>238.5</v>
      </c>
      <c r="I152" s="210">
        <f t="shared" si="69"/>
        <v>237.57142857142858</v>
      </c>
      <c r="J152" s="210">
        <f t="shared" si="70"/>
        <v>236.75</v>
      </c>
      <c r="K152" s="210">
        <f t="shared" si="71"/>
        <v>236</v>
      </c>
      <c r="L152" s="210">
        <f t="shared" si="72"/>
        <v>235.4</v>
      </c>
      <c r="M152" s="210">
        <f t="shared" si="73"/>
        <v>234.90909090909091</v>
      </c>
      <c r="N152" s="210">
        <f t="shared" si="74"/>
        <v>235.75</v>
      </c>
      <c r="O152" s="210">
        <f t="shared" si="75"/>
        <v>2858.5805194805198</v>
      </c>
      <c r="R152" s="204"/>
    </row>
    <row r="153" spans="1:18">
      <c r="A153" s="204">
        <f t="shared" si="47"/>
        <v>153</v>
      </c>
      <c r="B153" s="213" t="s">
        <v>117</v>
      </c>
      <c r="C153" s="210">
        <f t="shared" si="63"/>
        <v>92</v>
      </c>
      <c r="D153" s="210">
        <f t="shared" si="64"/>
        <v>92</v>
      </c>
      <c r="E153" s="210">
        <f t="shared" si="65"/>
        <v>91.666666666666671</v>
      </c>
      <c r="F153" s="210">
        <f t="shared" si="66"/>
        <v>92</v>
      </c>
      <c r="G153" s="210">
        <f t="shared" si="67"/>
        <v>92.4</v>
      </c>
      <c r="H153" s="210">
        <f t="shared" si="68"/>
        <v>92.833333333333329</v>
      </c>
      <c r="I153" s="210">
        <f t="shared" si="69"/>
        <v>92.714285714285708</v>
      </c>
      <c r="J153" s="210">
        <f t="shared" si="70"/>
        <v>92.625</v>
      </c>
      <c r="K153" s="210">
        <f t="shared" si="71"/>
        <v>92.555555555555557</v>
      </c>
      <c r="L153" s="210">
        <f t="shared" si="72"/>
        <v>92.5</v>
      </c>
      <c r="M153" s="210">
        <f t="shared" si="73"/>
        <v>92.454545454545453</v>
      </c>
      <c r="N153" s="210">
        <f t="shared" si="74"/>
        <v>92.833333333333329</v>
      </c>
      <c r="O153" s="210">
        <f t="shared" si="75"/>
        <v>1108.5827200577201</v>
      </c>
      <c r="R153" s="204"/>
    </row>
    <row r="154" spans="1:18">
      <c r="A154" s="204">
        <f t="shared" si="47"/>
        <v>154</v>
      </c>
      <c r="B154" s="213" t="s">
        <v>118</v>
      </c>
      <c r="C154" s="210">
        <f t="shared" si="63"/>
        <v>201</v>
      </c>
      <c r="D154" s="210">
        <f t="shared" si="64"/>
        <v>201</v>
      </c>
      <c r="E154" s="210">
        <f t="shared" si="65"/>
        <v>201</v>
      </c>
      <c r="F154" s="210">
        <f t="shared" si="66"/>
        <v>199.25</v>
      </c>
      <c r="G154" s="210">
        <f t="shared" si="67"/>
        <v>198.8</v>
      </c>
      <c r="H154" s="210">
        <f t="shared" si="68"/>
        <v>198.16666666666666</v>
      </c>
      <c r="I154" s="210">
        <f t="shared" si="69"/>
        <v>197.57142857142858</v>
      </c>
      <c r="J154" s="210">
        <f t="shared" si="70"/>
        <v>197.5</v>
      </c>
      <c r="K154" s="210">
        <f t="shared" si="71"/>
        <v>197.44444444444446</v>
      </c>
      <c r="L154" s="210">
        <f t="shared" si="72"/>
        <v>197.2</v>
      </c>
      <c r="M154" s="210">
        <f t="shared" si="73"/>
        <v>197.18181818181819</v>
      </c>
      <c r="N154" s="210">
        <f t="shared" si="74"/>
        <v>198.75</v>
      </c>
      <c r="O154" s="210">
        <f t="shared" si="75"/>
        <v>2384.8643578643582</v>
      </c>
      <c r="R154" s="204"/>
    </row>
    <row r="155" spans="1:18">
      <c r="A155" s="204">
        <f t="shared" si="47"/>
        <v>155</v>
      </c>
      <c r="B155" s="218" t="s">
        <v>119</v>
      </c>
      <c r="C155" s="210">
        <f t="shared" si="63"/>
        <v>246</v>
      </c>
      <c r="D155" s="210">
        <f t="shared" si="64"/>
        <v>246.5</v>
      </c>
      <c r="E155" s="210">
        <f t="shared" si="65"/>
        <v>247.33333333333334</v>
      </c>
      <c r="F155" s="210">
        <f t="shared" si="66"/>
        <v>249.25</v>
      </c>
      <c r="G155" s="210">
        <f t="shared" si="67"/>
        <v>250.8</v>
      </c>
      <c r="H155" s="210">
        <f t="shared" si="68"/>
        <v>251.83333333333334</v>
      </c>
      <c r="I155" s="210">
        <f t="shared" si="69"/>
        <v>252.14285714285714</v>
      </c>
      <c r="J155" s="210">
        <f t="shared" si="70"/>
        <v>252.25</v>
      </c>
      <c r="K155" s="210">
        <f t="shared" si="71"/>
        <v>252.88888888888889</v>
      </c>
      <c r="L155" s="210">
        <f t="shared" si="72"/>
        <v>253.8</v>
      </c>
      <c r="M155" s="210">
        <f t="shared" si="73"/>
        <v>254.81818181818181</v>
      </c>
      <c r="N155" s="210">
        <f t="shared" si="74"/>
        <v>257.91666666666669</v>
      </c>
      <c r="O155" s="210">
        <f t="shared" si="75"/>
        <v>3015.5332611832614</v>
      </c>
      <c r="R155" s="204"/>
    </row>
    <row r="156" spans="1:18">
      <c r="A156" s="204">
        <f t="shared" si="47"/>
        <v>156</v>
      </c>
      <c r="B156" s="218" t="s">
        <v>120</v>
      </c>
      <c r="C156" s="210">
        <f t="shared" si="63"/>
        <v>324</v>
      </c>
      <c r="D156" s="210">
        <f t="shared" si="64"/>
        <v>325.5</v>
      </c>
      <c r="E156" s="210">
        <f t="shared" si="65"/>
        <v>325.33333333333331</v>
      </c>
      <c r="F156" s="210">
        <f t="shared" si="66"/>
        <v>327.75</v>
      </c>
      <c r="G156" s="210">
        <f t="shared" si="67"/>
        <v>329</v>
      </c>
      <c r="H156" s="210">
        <f t="shared" si="68"/>
        <v>329.16666666666669</v>
      </c>
      <c r="I156" s="210">
        <f t="shared" si="69"/>
        <v>329.14285714285717</v>
      </c>
      <c r="J156" s="210">
        <f t="shared" si="70"/>
        <v>328.875</v>
      </c>
      <c r="K156" s="210">
        <f t="shared" si="71"/>
        <v>328.44444444444446</v>
      </c>
      <c r="L156" s="210">
        <f t="shared" si="72"/>
        <v>328.4</v>
      </c>
      <c r="M156" s="210">
        <f t="shared" si="73"/>
        <v>328.63636363636363</v>
      </c>
      <c r="N156" s="210">
        <f t="shared" si="74"/>
        <v>329.16666666666669</v>
      </c>
      <c r="O156" s="210">
        <f t="shared" si="75"/>
        <v>3933.4153318903318</v>
      </c>
      <c r="R156" s="204"/>
    </row>
    <row r="157" spans="1:18">
      <c r="A157" s="204">
        <f t="shared" si="47"/>
        <v>157</v>
      </c>
      <c r="B157" s="218" t="s">
        <v>121</v>
      </c>
      <c r="C157" s="210">
        <f t="shared" si="63"/>
        <v>197</v>
      </c>
      <c r="D157" s="210">
        <f t="shared" si="64"/>
        <v>197</v>
      </c>
      <c r="E157" s="210">
        <f t="shared" si="65"/>
        <v>198</v>
      </c>
      <c r="F157" s="210">
        <f t="shared" si="66"/>
        <v>199.5</v>
      </c>
      <c r="G157" s="210">
        <f t="shared" si="67"/>
        <v>200.4</v>
      </c>
      <c r="H157" s="210">
        <f t="shared" si="68"/>
        <v>201.16666666666666</v>
      </c>
      <c r="I157" s="210">
        <f t="shared" si="69"/>
        <v>201.71428571428572</v>
      </c>
      <c r="J157" s="210">
        <f t="shared" si="70"/>
        <v>202.125</v>
      </c>
      <c r="K157" s="210">
        <f t="shared" si="71"/>
        <v>202.55555555555554</v>
      </c>
      <c r="L157" s="210">
        <f t="shared" si="72"/>
        <v>202.7</v>
      </c>
      <c r="M157" s="210">
        <f t="shared" si="73"/>
        <v>202.90909090909091</v>
      </c>
      <c r="N157" s="210">
        <f t="shared" si="74"/>
        <v>203.33333333333334</v>
      </c>
      <c r="O157" s="210">
        <f t="shared" si="75"/>
        <v>2408.4039321789323</v>
      </c>
      <c r="R157" s="204"/>
    </row>
    <row r="158" spans="1:18">
      <c r="A158" s="204">
        <f t="shared" si="47"/>
        <v>158</v>
      </c>
      <c r="B158" s="218" t="s">
        <v>142</v>
      </c>
      <c r="C158" s="210">
        <f t="shared" si="63"/>
        <v>35</v>
      </c>
      <c r="D158" s="210">
        <f t="shared" si="64"/>
        <v>36</v>
      </c>
      <c r="E158" s="210">
        <f t="shared" si="65"/>
        <v>36.333333333333336</v>
      </c>
      <c r="F158" s="210">
        <f t="shared" si="66"/>
        <v>35.5</v>
      </c>
      <c r="G158" s="210">
        <f t="shared" si="67"/>
        <v>35</v>
      </c>
      <c r="H158" s="210">
        <f t="shared" si="68"/>
        <v>34.666666666666664</v>
      </c>
      <c r="I158" s="210">
        <f t="shared" si="69"/>
        <v>34.428571428571431</v>
      </c>
      <c r="J158" s="210">
        <f t="shared" si="70"/>
        <v>34.375</v>
      </c>
      <c r="K158" s="210">
        <f t="shared" si="71"/>
        <v>34.333333333333336</v>
      </c>
      <c r="L158" s="210">
        <f t="shared" si="72"/>
        <v>34.299999999999997</v>
      </c>
      <c r="M158" s="210">
        <f t="shared" si="73"/>
        <v>34.272727272727273</v>
      </c>
      <c r="N158" s="210">
        <f t="shared" si="74"/>
        <v>34.25</v>
      </c>
      <c r="O158" s="210">
        <f t="shared" si="75"/>
        <v>418.45963203463202</v>
      </c>
      <c r="R158" s="204"/>
    </row>
    <row r="159" spans="1:18">
      <c r="A159" s="204">
        <f t="shared" si="47"/>
        <v>159</v>
      </c>
      <c r="B159" s="218" t="s">
        <v>143</v>
      </c>
      <c r="C159" s="210">
        <f t="shared" si="63"/>
        <v>23</v>
      </c>
      <c r="D159" s="210">
        <f t="shared" si="64"/>
        <v>23.5</v>
      </c>
      <c r="E159" s="210">
        <f t="shared" si="65"/>
        <v>24</v>
      </c>
      <c r="F159" s="210">
        <f t="shared" si="66"/>
        <v>24.5</v>
      </c>
      <c r="G159" s="210">
        <f t="shared" si="67"/>
        <v>24.8</v>
      </c>
      <c r="H159" s="210">
        <f t="shared" si="68"/>
        <v>25</v>
      </c>
      <c r="I159" s="210">
        <f t="shared" si="69"/>
        <v>25.142857142857142</v>
      </c>
      <c r="J159" s="210">
        <f t="shared" si="70"/>
        <v>25.25</v>
      </c>
      <c r="K159" s="210">
        <f t="shared" si="71"/>
        <v>25.333333333333332</v>
      </c>
      <c r="L159" s="210">
        <f t="shared" si="72"/>
        <v>25.5</v>
      </c>
      <c r="M159" s="210">
        <f t="shared" si="73"/>
        <v>25.636363636363637</v>
      </c>
      <c r="N159" s="210">
        <f t="shared" si="74"/>
        <v>25.666666666666668</v>
      </c>
      <c r="O159" s="210">
        <f t="shared" si="75"/>
        <v>297.3292207792208</v>
      </c>
      <c r="R159" s="204"/>
    </row>
    <row r="160" spans="1:18">
      <c r="A160" s="204">
        <f t="shared" si="47"/>
        <v>160</v>
      </c>
      <c r="B160" s="218" t="s">
        <v>144</v>
      </c>
      <c r="C160" s="210">
        <f t="shared" si="63"/>
        <v>23</v>
      </c>
      <c r="D160" s="210">
        <f t="shared" si="64"/>
        <v>22.5</v>
      </c>
      <c r="E160" s="210">
        <f t="shared" si="65"/>
        <v>22.333333333333332</v>
      </c>
      <c r="F160" s="210">
        <f t="shared" si="66"/>
        <v>22</v>
      </c>
      <c r="G160" s="210">
        <f t="shared" si="67"/>
        <v>21.8</v>
      </c>
      <c r="H160" s="210">
        <f t="shared" si="68"/>
        <v>22</v>
      </c>
      <c r="I160" s="210">
        <f t="shared" si="69"/>
        <v>22</v>
      </c>
      <c r="J160" s="210">
        <f t="shared" si="70"/>
        <v>22</v>
      </c>
      <c r="K160" s="210">
        <f t="shared" si="71"/>
        <v>22</v>
      </c>
      <c r="L160" s="210">
        <f t="shared" si="72"/>
        <v>22</v>
      </c>
      <c r="M160" s="210">
        <f t="shared" si="73"/>
        <v>22</v>
      </c>
      <c r="N160" s="210">
        <f t="shared" si="74"/>
        <v>22</v>
      </c>
      <c r="O160" s="210">
        <f t="shared" si="75"/>
        <v>265.63333333333333</v>
      </c>
      <c r="R160" s="204"/>
    </row>
    <row r="161" spans="1:18">
      <c r="A161" s="204">
        <f t="shared" si="47"/>
        <v>161</v>
      </c>
      <c r="B161" s="218" t="s">
        <v>145</v>
      </c>
      <c r="C161" s="210">
        <f t="shared" si="63"/>
        <v>16</v>
      </c>
      <c r="D161" s="210">
        <f t="shared" si="64"/>
        <v>16</v>
      </c>
      <c r="E161" s="210">
        <f t="shared" si="65"/>
        <v>16</v>
      </c>
      <c r="F161" s="210">
        <f t="shared" si="66"/>
        <v>16.5</v>
      </c>
      <c r="G161" s="210">
        <f t="shared" si="67"/>
        <v>16.8</v>
      </c>
      <c r="H161" s="210">
        <f t="shared" si="68"/>
        <v>17</v>
      </c>
      <c r="I161" s="210">
        <f t="shared" si="69"/>
        <v>17.142857142857142</v>
      </c>
      <c r="J161" s="210">
        <f t="shared" si="70"/>
        <v>17.25</v>
      </c>
      <c r="K161" s="210">
        <f t="shared" si="71"/>
        <v>17.333333333333332</v>
      </c>
      <c r="L161" s="210">
        <f t="shared" si="72"/>
        <v>17.399999999999999</v>
      </c>
      <c r="M161" s="210">
        <f t="shared" si="73"/>
        <v>17.363636363636363</v>
      </c>
      <c r="N161" s="210">
        <f t="shared" si="74"/>
        <v>17.416666666666668</v>
      </c>
      <c r="O161" s="210">
        <f t="shared" si="75"/>
        <v>202.2064935064935</v>
      </c>
      <c r="R161" s="204"/>
    </row>
    <row r="162" spans="1:18">
      <c r="A162" s="204">
        <f t="shared" si="47"/>
        <v>162</v>
      </c>
      <c r="B162" s="218" t="s">
        <v>146</v>
      </c>
      <c r="C162" s="210">
        <f t="shared" si="63"/>
        <v>8</v>
      </c>
      <c r="D162" s="210">
        <f t="shared" si="64"/>
        <v>8</v>
      </c>
      <c r="E162" s="210">
        <f t="shared" si="65"/>
        <v>8</v>
      </c>
      <c r="F162" s="210">
        <f t="shared" si="66"/>
        <v>7.75</v>
      </c>
      <c r="G162" s="210">
        <f t="shared" si="67"/>
        <v>7.6</v>
      </c>
      <c r="H162" s="210">
        <f t="shared" si="68"/>
        <v>7.5</v>
      </c>
      <c r="I162" s="210">
        <f t="shared" si="69"/>
        <v>7.4285714285714288</v>
      </c>
      <c r="J162" s="210">
        <f t="shared" si="70"/>
        <v>7.375</v>
      </c>
      <c r="K162" s="210">
        <f t="shared" si="71"/>
        <v>7.333333333333333</v>
      </c>
      <c r="L162" s="210">
        <f t="shared" si="72"/>
        <v>7.3</v>
      </c>
      <c r="M162" s="210">
        <f t="shared" si="73"/>
        <v>7.2727272727272725</v>
      </c>
      <c r="N162" s="210">
        <f t="shared" si="74"/>
        <v>7.25</v>
      </c>
      <c r="O162" s="210">
        <f t="shared" si="75"/>
        <v>90.809632034632031</v>
      </c>
      <c r="R162" s="204"/>
    </row>
    <row r="163" spans="1:18">
      <c r="A163" s="204">
        <f t="shared" si="47"/>
        <v>163</v>
      </c>
      <c r="B163" s="218" t="s">
        <v>147</v>
      </c>
      <c r="C163" s="210">
        <f t="shared" si="63"/>
        <v>2</v>
      </c>
      <c r="D163" s="210">
        <f t="shared" si="64"/>
        <v>2</v>
      </c>
      <c r="E163" s="210">
        <f t="shared" si="65"/>
        <v>2</v>
      </c>
      <c r="F163" s="210">
        <f t="shared" si="66"/>
        <v>2.25</v>
      </c>
      <c r="G163" s="210">
        <f t="shared" si="67"/>
        <v>2.4</v>
      </c>
      <c r="H163" s="210">
        <f t="shared" si="68"/>
        <v>2.5</v>
      </c>
      <c r="I163" s="210">
        <f t="shared" si="69"/>
        <v>2.5714285714285716</v>
      </c>
      <c r="J163" s="210">
        <f t="shared" si="70"/>
        <v>2.625</v>
      </c>
      <c r="K163" s="210">
        <f t="shared" si="71"/>
        <v>2.6666666666666665</v>
      </c>
      <c r="L163" s="210">
        <f t="shared" si="72"/>
        <v>2.7</v>
      </c>
      <c r="M163" s="210">
        <f t="shared" si="73"/>
        <v>2.7272727272727271</v>
      </c>
      <c r="N163" s="210">
        <f t="shared" si="74"/>
        <v>2.75</v>
      </c>
      <c r="O163" s="210">
        <f t="shared" si="75"/>
        <v>29.190367965367965</v>
      </c>
      <c r="R163" s="204"/>
    </row>
    <row r="164" spans="1:18">
      <c r="A164" s="204">
        <f t="shared" si="47"/>
        <v>164</v>
      </c>
      <c r="B164" s="218" t="s">
        <v>148</v>
      </c>
      <c r="C164" s="210">
        <f t="shared" si="63"/>
        <v>1</v>
      </c>
      <c r="D164" s="210">
        <f t="shared" si="64"/>
        <v>1</v>
      </c>
      <c r="E164" s="210">
        <f t="shared" si="65"/>
        <v>1</v>
      </c>
      <c r="F164" s="210">
        <f t="shared" si="66"/>
        <v>1.25</v>
      </c>
      <c r="G164" s="210">
        <f t="shared" si="67"/>
        <v>1.4</v>
      </c>
      <c r="H164" s="210">
        <f t="shared" si="68"/>
        <v>1.5</v>
      </c>
      <c r="I164" s="210">
        <f t="shared" si="69"/>
        <v>1.5714285714285714</v>
      </c>
      <c r="J164" s="210">
        <f t="shared" si="70"/>
        <v>1.625</v>
      </c>
      <c r="K164" s="210">
        <f t="shared" si="71"/>
        <v>1.6666666666666667</v>
      </c>
      <c r="L164" s="210">
        <f t="shared" si="72"/>
        <v>1.7</v>
      </c>
      <c r="M164" s="210">
        <f t="shared" si="73"/>
        <v>1.7272727272727273</v>
      </c>
      <c r="N164" s="210">
        <f t="shared" si="74"/>
        <v>1.75</v>
      </c>
      <c r="O164" s="210">
        <f t="shared" si="75"/>
        <v>17.190367965367962</v>
      </c>
      <c r="R164" s="204"/>
    </row>
    <row r="165" spans="1:18">
      <c r="A165" s="204">
        <f t="shared" si="47"/>
        <v>165</v>
      </c>
      <c r="B165" s="218" t="s">
        <v>149</v>
      </c>
      <c r="C165" s="210">
        <f t="shared" si="63"/>
        <v>5</v>
      </c>
      <c r="D165" s="210">
        <f t="shared" si="64"/>
        <v>5</v>
      </c>
      <c r="E165" s="210">
        <f t="shared" si="65"/>
        <v>5</v>
      </c>
      <c r="F165" s="210">
        <f t="shared" si="66"/>
        <v>4.75</v>
      </c>
      <c r="G165" s="210">
        <f t="shared" si="67"/>
        <v>4.5999999999999996</v>
      </c>
      <c r="H165" s="210">
        <f t="shared" si="68"/>
        <v>4.5</v>
      </c>
      <c r="I165" s="210">
        <f t="shared" si="69"/>
        <v>4.4285714285714288</v>
      </c>
      <c r="J165" s="210">
        <f t="shared" si="70"/>
        <v>4.375</v>
      </c>
      <c r="K165" s="210">
        <f t="shared" si="71"/>
        <v>4.333333333333333</v>
      </c>
      <c r="L165" s="210">
        <f t="shared" si="72"/>
        <v>4.3</v>
      </c>
      <c r="M165" s="210">
        <f t="shared" si="73"/>
        <v>4.2727272727272725</v>
      </c>
      <c r="N165" s="210">
        <f t="shared" si="74"/>
        <v>4.25</v>
      </c>
      <c r="O165" s="210">
        <f t="shared" si="75"/>
        <v>54.809632034632038</v>
      </c>
      <c r="R165" s="204"/>
    </row>
    <row r="166" spans="1:18">
      <c r="A166" s="204">
        <f t="shared" si="47"/>
        <v>166</v>
      </c>
      <c r="B166" s="218" t="s">
        <v>975</v>
      </c>
      <c r="C166" s="210">
        <f t="shared" si="63"/>
        <v>0</v>
      </c>
      <c r="D166" s="210">
        <f t="shared" si="64"/>
        <v>0</v>
      </c>
      <c r="E166" s="210">
        <f t="shared" si="65"/>
        <v>0</v>
      </c>
      <c r="F166" s="210">
        <f t="shared" si="66"/>
        <v>0</v>
      </c>
      <c r="G166" s="210">
        <f t="shared" si="67"/>
        <v>0</v>
      </c>
      <c r="H166" s="210">
        <f t="shared" si="68"/>
        <v>0</v>
      </c>
      <c r="I166" s="210">
        <f t="shared" si="69"/>
        <v>0</v>
      </c>
      <c r="J166" s="210">
        <f t="shared" si="70"/>
        <v>0</v>
      </c>
      <c r="K166" s="210">
        <f t="shared" si="71"/>
        <v>0</v>
      </c>
      <c r="L166" s="210">
        <f t="shared" si="72"/>
        <v>0</v>
      </c>
      <c r="M166" s="210">
        <f t="shared" si="73"/>
        <v>0</v>
      </c>
      <c r="N166" s="210">
        <f t="shared" si="74"/>
        <v>0</v>
      </c>
      <c r="O166" s="210">
        <f t="shared" si="75"/>
        <v>0</v>
      </c>
      <c r="R166" s="204"/>
    </row>
    <row r="167" spans="1:18">
      <c r="A167" s="204">
        <f t="shared" si="47"/>
        <v>167</v>
      </c>
      <c r="B167" s="218" t="s">
        <v>113</v>
      </c>
      <c r="C167" s="210">
        <f t="shared" si="63"/>
        <v>924</v>
      </c>
      <c r="D167" s="210">
        <f t="shared" si="64"/>
        <v>919</v>
      </c>
      <c r="E167" s="210">
        <f t="shared" si="65"/>
        <v>916.33333333333337</v>
      </c>
      <c r="F167" s="210">
        <f t="shared" si="66"/>
        <v>916.75</v>
      </c>
      <c r="G167" s="210">
        <f t="shared" si="67"/>
        <v>914.4</v>
      </c>
      <c r="H167" s="210">
        <f t="shared" si="68"/>
        <v>912</v>
      </c>
      <c r="I167" s="210">
        <f t="shared" si="69"/>
        <v>910.71428571428567</v>
      </c>
      <c r="J167" s="210">
        <f t="shared" si="70"/>
        <v>908.625</v>
      </c>
      <c r="K167" s="210">
        <f t="shared" si="71"/>
        <v>907</v>
      </c>
      <c r="L167" s="210">
        <f t="shared" si="72"/>
        <v>904.7</v>
      </c>
      <c r="M167" s="210">
        <f t="shared" si="73"/>
        <v>903.36363636363637</v>
      </c>
      <c r="N167" s="210">
        <f t="shared" si="74"/>
        <v>902.33333333333337</v>
      </c>
      <c r="O167" s="210">
        <f t="shared" si="75"/>
        <v>10939.219588744591</v>
      </c>
      <c r="R167" s="204"/>
    </row>
    <row r="168" spans="1:18">
      <c r="A168" s="204">
        <f t="shared" si="47"/>
        <v>168</v>
      </c>
      <c r="B168" s="218" t="s">
        <v>173</v>
      </c>
      <c r="C168" s="210">
        <f t="shared" si="63"/>
        <v>342</v>
      </c>
      <c r="D168" s="210">
        <f t="shared" si="64"/>
        <v>349.5</v>
      </c>
      <c r="E168" s="210">
        <f t="shared" si="65"/>
        <v>352</v>
      </c>
      <c r="F168" s="210">
        <f t="shared" si="66"/>
        <v>350.25</v>
      </c>
      <c r="G168" s="210">
        <f t="shared" si="67"/>
        <v>349.8</v>
      </c>
      <c r="H168" s="210">
        <f t="shared" si="68"/>
        <v>352.33333333333331</v>
      </c>
      <c r="I168" s="210">
        <f t="shared" si="69"/>
        <v>354.42857142857144</v>
      </c>
      <c r="J168" s="210">
        <f t="shared" si="70"/>
        <v>355.625</v>
      </c>
      <c r="K168" s="210">
        <f t="shared" si="71"/>
        <v>356.88888888888891</v>
      </c>
      <c r="L168" s="210">
        <f t="shared" si="72"/>
        <v>357.1</v>
      </c>
      <c r="M168" s="210">
        <f t="shared" si="73"/>
        <v>357.45454545454544</v>
      </c>
      <c r="N168" s="210">
        <f t="shared" si="74"/>
        <v>358.41666666666669</v>
      </c>
      <c r="O168" s="210">
        <f t="shared" si="75"/>
        <v>4235.7970057720058</v>
      </c>
      <c r="R168" s="204"/>
    </row>
    <row r="169" spans="1:18">
      <c r="A169" s="204">
        <f t="shared" si="47"/>
        <v>169</v>
      </c>
      <c r="B169" s="218" t="s">
        <v>175</v>
      </c>
      <c r="C169" s="210">
        <f t="shared" si="63"/>
        <v>2048</v>
      </c>
      <c r="D169" s="210">
        <f t="shared" si="64"/>
        <v>2046</v>
      </c>
      <c r="E169" s="210">
        <f t="shared" si="65"/>
        <v>2049.3333333333335</v>
      </c>
      <c r="F169" s="210">
        <f t="shared" si="66"/>
        <v>2051.75</v>
      </c>
      <c r="G169" s="210">
        <f t="shared" si="67"/>
        <v>2054.6</v>
      </c>
      <c r="H169" s="210">
        <f t="shared" si="68"/>
        <v>2054.1666666666665</v>
      </c>
      <c r="I169" s="210">
        <f t="shared" si="69"/>
        <v>2054</v>
      </c>
      <c r="J169" s="210">
        <f t="shared" si="70"/>
        <v>2055</v>
      </c>
      <c r="K169" s="210">
        <f t="shared" si="71"/>
        <v>2056.1111111111113</v>
      </c>
      <c r="L169" s="210">
        <f t="shared" si="72"/>
        <v>2052.8000000000002</v>
      </c>
      <c r="M169" s="210">
        <f t="shared" si="73"/>
        <v>2050.909090909091</v>
      </c>
      <c r="N169" s="210">
        <f t="shared" si="74"/>
        <v>2049.4166666666665</v>
      </c>
      <c r="O169" s="210">
        <f t="shared" si="75"/>
        <v>24622.086868686867</v>
      </c>
      <c r="R169" s="204"/>
    </row>
    <row r="170" spans="1:18">
      <c r="A170" s="204">
        <f t="shared" si="47"/>
        <v>170</v>
      </c>
      <c r="B170" s="218" t="s">
        <v>176</v>
      </c>
      <c r="C170" s="210">
        <f t="shared" si="63"/>
        <v>656</v>
      </c>
      <c r="D170" s="210">
        <f t="shared" si="64"/>
        <v>656</v>
      </c>
      <c r="E170" s="210">
        <f t="shared" si="65"/>
        <v>659.33333333333337</v>
      </c>
      <c r="F170" s="210">
        <f t="shared" si="66"/>
        <v>664.75</v>
      </c>
      <c r="G170" s="210">
        <f t="shared" si="67"/>
        <v>668.8</v>
      </c>
      <c r="H170" s="210">
        <f t="shared" si="68"/>
        <v>671.66666666666663</v>
      </c>
      <c r="I170" s="210">
        <f t="shared" si="69"/>
        <v>673.85714285714289</v>
      </c>
      <c r="J170" s="210">
        <f t="shared" si="70"/>
        <v>675.875</v>
      </c>
      <c r="K170" s="210">
        <f t="shared" si="71"/>
        <v>683</v>
      </c>
      <c r="L170" s="210">
        <f t="shared" si="72"/>
        <v>690</v>
      </c>
      <c r="M170" s="210">
        <f t="shared" si="73"/>
        <v>697.36363636363637</v>
      </c>
      <c r="N170" s="210">
        <f t="shared" si="74"/>
        <v>703.75</v>
      </c>
      <c r="O170" s="210">
        <f t="shared" si="75"/>
        <v>8100.3957792207784</v>
      </c>
      <c r="R170" s="204"/>
    </row>
    <row r="171" spans="1:18">
      <c r="A171" s="204">
        <f t="shared" si="47"/>
        <v>171</v>
      </c>
      <c r="B171" s="218" t="s">
        <v>177</v>
      </c>
      <c r="C171" s="210">
        <f t="shared" si="63"/>
        <v>209</v>
      </c>
      <c r="D171" s="210">
        <f t="shared" si="64"/>
        <v>209</v>
      </c>
      <c r="E171" s="210">
        <f t="shared" si="65"/>
        <v>210</v>
      </c>
      <c r="F171" s="210">
        <f t="shared" si="66"/>
        <v>210.5</v>
      </c>
      <c r="G171" s="210">
        <f t="shared" si="67"/>
        <v>211.4</v>
      </c>
      <c r="H171" s="210">
        <f t="shared" si="68"/>
        <v>212</v>
      </c>
      <c r="I171" s="210">
        <f t="shared" si="69"/>
        <v>213.14285714285714</v>
      </c>
      <c r="J171" s="210">
        <f t="shared" si="70"/>
        <v>214</v>
      </c>
      <c r="K171" s="210">
        <f t="shared" si="71"/>
        <v>215</v>
      </c>
      <c r="L171" s="210">
        <f t="shared" si="72"/>
        <v>217.2</v>
      </c>
      <c r="M171" s="210">
        <f t="shared" si="73"/>
        <v>218.45454545454547</v>
      </c>
      <c r="N171" s="210">
        <f t="shared" si="74"/>
        <v>219.33333333333334</v>
      </c>
      <c r="O171" s="210">
        <f t="shared" si="75"/>
        <v>2559.0307359307362</v>
      </c>
      <c r="R171" s="204"/>
    </row>
    <row r="172" spans="1:18">
      <c r="A172" s="204">
        <f t="shared" si="47"/>
        <v>172</v>
      </c>
      <c r="B172" s="218" t="s">
        <v>178</v>
      </c>
      <c r="C172" s="210">
        <f t="shared" si="63"/>
        <v>676</v>
      </c>
      <c r="D172" s="210">
        <f t="shared" si="64"/>
        <v>676.5</v>
      </c>
      <c r="E172" s="210">
        <f t="shared" si="65"/>
        <v>676</v>
      </c>
      <c r="F172" s="210">
        <f t="shared" si="66"/>
        <v>676</v>
      </c>
      <c r="G172" s="210">
        <f t="shared" si="67"/>
        <v>675.4</v>
      </c>
      <c r="H172" s="210">
        <f t="shared" si="68"/>
        <v>674.16666666666663</v>
      </c>
      <c r="I172" s="210">
        <f t="shared" si="69"/>
        <v>671</v>
      </c>
      <c r="J172" s="210">
        <f t="shared" si="70"/>
        <v>670.25</v>
      </c>
      <c r="K172" s="210">
        <f t="shared" si="71"/>
        <v>669.66666666666663</v>
      </c>
      <c r="L172" s="210">
        <f t="shared" si="72"/>
        <v>669.6</v>
      </c>
      <c r="M172" s="210">
        <f t="shared" si="73"/>
        <v>671</v>
      </c>
      <c r="N172" s="210">
        <f t="shared" si="74"/>
        <v>671.08333333333337</v>
      </c>
      <c r="O172" s="210">
        <f t="shared" si="75"/>
        <v>8076.666666666667</v>
      </c>
      <c r="R172" s="204"/>
    </row>
    <row r="173" spans="1:18">
      <c r="A173" s="204">
        <f t="shared" si="47"/>
        <v>173</v>
      </c>
      <c r="B173" s="218" t="s">
        <v>180</v>
      </c>
      <c r="C173" s="210">
        <f t="shared" si="63"/>
        <v>0</v>
      </c>
      <c r="D173" s="210">
        <f t="shared" si="64"/>
        <v>0</v>
      </c>
      <c r="E173" s="210">
        <f t="shared" si="65"/>
        <v>0</v>
      </c>
      <c r="F173" s="210">
        <f t="shared" si="66"/>
        <v>0</v>
      </c>
      <c r="G173" s="210">
        <f t="shared" si="67"/>
        <v>0</v>
      </c>
      <c r="H173" s="210">
        <f t="shared" si="68"/>
        <v>0</v>
      </c>
      <c r="I173" s="210">
        <f t="shared" si="69"/>
        <v>0</v>
      </c>
      <c r="J173" s="210">
        <f t="shared" si="70"/>
        <v>0</v>
      </c>
      <c r="K173" s="210">
        <f t="shared" si="71"/>
        <v>0</v>
      </c>
      <c r="L173" s="210">
        <f t="shared" si="72"/>
        <v>0</v>
      </c>
      <c r="M173" s="210">
        <f t="shared" si="73"/>
        <v>0</v>
      </c>
      <c r="N173" s="210">
        <f t="shared" si="74"/>
        <v>0</v>
      </c>
      <c r="O173" s="210">
        <f t="shared" si="75"/>
        <v>0</v>
      </c>
      <c r="R173" s="204"/>
    </row>
    <row r="174" spans="1:18">
      <c r="A174" s="204">
        <f t="shared" si="47"/>
        <v>174</v>
      </c>
      <c r="B174" s="218" t="s">
        <v>181</v>
      </c>
      <c r="C174" s="210">
        <f t="shared" si="63"/>
        <v>1195</v>
      </c>
      <c r="D174" s="210">
        <f t="shared" si="64"/>
        <v>1196.5</v>
      </c>
      <c r="E174" s="210">
        <f t="shared" si="65"/>
        <v>1199.3333333333333</v>
      </c>
      <c r="F174" s="210">
        <f t="shared" si="66"/>
        <v>1201.75</v>
      </c>
      <c r="G174" s="210">
        <f t="shared" si="67"/>
        <v>1202</v>
      </c>
      <c r="H174" s="210">
        <f t="shared" si="68"/>
        <v>1203.8333333333333</v>
      </c>
      <c r="I174" s="210">
        <f t="shared" si="69"/>
        <v>1206</v>
      </c>
      <c r="J174" s="210">
        <f t="shared" si="70"/>
        <v>1207.375</v>
      </c>
      <c r="K174" s="210">
        <f t="shared" si="71"/>
        <v>1207.7777777777778</v>
      </c>
      <c r="L174" s="210">
        <f t="shared" si="72"/>
        <v>1207.3</v>
      </c>
      <c r="M174" s="210">
        <f t="shared" si="73"/>
        <v>1207.090909090909</v>
      </c>
      <c r="N174" s="210">
        <f t="shared" si="74"/>
        <v>1208.0833333333333</v>
      </c>
      <c r="O174" s="210">
        <f t="shared" si="75"/>
        <v>14442.043686868687</v>
      </c>
      <c r="R174" s="204"/>
    </row>
    <row r="175" spans="1:18">
      <c r="A175" s="204">
        <f t="shared" si="47"/>
        <v>175</v>
      </c>
      <c r="B175" s="218" t="s">
        <v>183</v>
      </c>
      <c r="C175" s="210">
        <f t="shared" si="63"/>
        <v>0</v>
      </c>
      <c r="D175" s="210">
        <f t="shared" si="64"/>
        <v>0</v>
      </c>
      <c r="E175" s="210">
        <f t="shared" si="65"/>
        <v>0</v>
      </c>
      <c r="F175" s="210">
        <f t="shared" si="66"/>
        <v>0</v>
      </c>
      <c r="G175" s="210">
        <f t="shared" si="67"/>
        <v>0</v>
      </c>
      <c r="H175" s="210">
        <f t="shared" si="68"/>
        <v>0</v>
      </c>
      <c r="I175" s="210">
        <f t="shared" si="69"/>
        <v>0</v>
      </c>
      <c r="J175" s="210">
        <f t="shared" si="70"/>
        <v>0</v>
      </c>
      <c r="K175" s="210">
        <f t="shared" si="71"/>
        <v>0</v>
      </c>
      <c r="L175" s="210">
        <f t="shared" si="72"/>
        <v>0</v>
      </c>
      <c r="M175" s="210">
        <f t="shared" si="73"/>
        <v>0</v>
      </c>
      <c r="N175" s="210">
        <f t="shared" si="74"/>
        <v>0</v>
      </c>
      <c r="O175" s="210">
        <f t="shared" si="75"/>
        <v>0</v>
      </c>
      <c r="R175" s="204"/>
    </row>
    <row r="176" spans="1:18">
      <c r="A176" s="204">
        <f t="shared" si="47"/>
        <v>176</v>
      </c>
      <c r="B176" s="218" t="s">
        <v>184</v>
      </c>
      <c r="C176" s="210">
        <f t="shared" si="63"/>
        <v>17</v>
      </c>
      <c r="D176" s="210">
        <f t="shared" si="64"/>
        <v>17</v>
      </c>
      <c r="E176" s="210">
        <f t="shared" si="65"/>
        <v>17</v>
      </c>
      <c r="F176" s="210">
        <f t="shared" si="66"/>
        <v>17</v>
      </c>
      <c r="G176" s="210">
        <f t="shared" si="67"/>
        <v>17</v>
      </c>
      <c r="H176" s="210">
        <f t="shared" si="68"/>
        <v>17</v>
      </c>
      <c r="I176" s="210">
        <f t="shared" si="69"/>
        <v>17</v>
      </c>
      <c r="J176" s="210">
        <f t="shared" si="70"/>
        <v>17</v>
      </c>
      <c r="K176" s="210">
        <f t="shared" si="71"/>
        <v>17.111111111111111</v>
      </c>
      <c r="L176" s="210">
        <f t="shared" si="72"/>
        <v>17.2</v>
      </c>
      <c r="M176" s="210">
        <f t="shared" si="73"/>
        <v>17.272727272727273</v>
      </c>
      <c r="N176" s="210">
        <f t="shared" si="74"/>
        <v>17.25</v>
      </c>
      <c r="O176" s="210">
        <f t="shared" si="75"/>
        <v>204.83383838383838</v>
      </c>
      <c r="R176" s="204"/>
    </row>
    <row r="177" spans="1:18">
      <c r="A177" s="204">
        <f t="shared" si="47"/>
        <v>177</v>
      </c>
      <c r="B177" s="218" t="s">
        <v>186</v>
      </c>
      <c r="C177" s="210">
        <f t="shared" si="63"/>
        <v>53</v>
      </c>
      <c r="D177" s="210">
        <f t="shared" si="64"/>
        <v>52</v>
      </c>
      <c r="E177" s="210">
        <f t="shared" si="65"/>
        <v>51.666666666666664</v>
      </c>
      <c r="F177" s="210">
        <f t="shared" si="66"/>
        <v>51.75</v>
      </c>
      <c r="G177" s="210">
        <f t="shared" si="67"/>
        <v>51.4</v>
      </c>
      <c r="H177" s="210">
        <f t="shared" si="68"/>
        <v>51.166666666666664</v>
      </c>
      <c r="I177" s="210">
        <f t="shared" si="69"/>
        <v>51</v>
      </c>
      <c r="J177" s="210">
        <f t="shared" si="70"/>
        <v>50.875</v>
      </c>
      <c r="K177" s="210">
        <f t="shared" si="71"/>
        <v>50.666666666666664</v>
      </c>
      <c r="L177" s="210">
        <f t="shared" si="72"/>
        <v>50.4</v>
      </c>
      <c r="M177" s="210">
        <f t="shared" si="73"/>
        <v>49.81818181818182</v>
      </c>
      <c r="N177" s="210">
        <f t="shared" si="74"/>
        <v>49</v>
      </c>
      <c r="O177" s="210">
        <f t="shared" si="75"/>
        <v>612.74318181818194</v>
      </c>
      <c r="R177" s="204"/>
    </row>
    <row r="178" spans="1:18">
      <c r="A178" s="204">
        <f t="shared" si="47"/>
        <v>178</v>
      </c>
      <c r="B178" s="218" t="s">
        <v>188</v>
      </c>
      <c r="C178" s="210">
        <f t="shared" si="63"/>
        <v>0</v>
      </c>
      <c r="D178" s="210">
        <f t="shared" si="64"/>
        <v>0</v>
      </c>
      <c r="E178" s="210">
        <f t="shared" si="65"/>
        <v>0</v>
      </c>
      <c r="F178" s="210">
        <f t="shared" si="66"/>
        <v>0</v>
      </c>
      <c r="G178" s="210">
        <f t="shared" si="67"/>
        <v>0</v>
      </c>
      <c r="H178" s="210">
        <f t="shared" si="68"/>
        <v>0</v>
      </c>
      <c r="I178" s="210">
        <f t="shared" si="69"/>
        <v>0</v>
      </c>
      <c r="J178" s="210">
        <f t="shared" si="70"/>
        <v>0</v>
      </c>
      <c r="K178" s="210">
        <f t="shared" si="71"/>
        <v>0</v>
      </c>
      <c r="L178" s="210">
        <f t="shared" si="72"/>
        <v>0</v>
      </c>
      <c r="M178" s="210">
        <f t="shared" si="73"/>
        <v>0</v>
      </c>
      <c r="N178" s="210">
        <f t="shared" si="74"/>
        <v>0</v>
      </c>
      <c r="O178" s="210">
        <f>SUM(C178:N178)</f>
        <v>0</v>
      </c>
      <c r="R178" s="204"/>
    </row>
    <row r="179" spans="1:18">
      <c r="A179" s="204">
        <f t="shared" si="47"/>
        <v>179</v>
      </c>
      <c r="B179" s="218" t="s">
        <v>242</v>
      </c>
      <c r="C179" s="210">
        <f t="shared" si="63"/>
        <v>2</v>
      </c>
      <c r="D179" s="210">
        <f t="shared" si="64"/>
        <v>2</v>
      </c>
      <c r="E179" s="210">
        <f t="shared" si="65"/>
        <v>2</v>
      </c>
      <c r="F179" s="210">
        <f t="shared" si="66"/>
        <v>2</v>
      </c>
      <c r="G179" s="210">
        <f t="shared" si="67"/>
        <v>2</v>
      </c>
      <c r="H179" s="210">
        <f t="shared" si="68"/>
        <v>2</v>
      </c>
      <c r="I179" s="210">
        <f t="shared" si="69"/>
        <v>2</v>
      </c>
      <c r="J179" s="210">
        <f t="shared" si="70"/>
        <v>2</v>
      </c>
      <c r="K179" s="210">
        <f t="shared" si="71"/>
        <v>2</v>
      </c>
      <c r="L179" s="210">
        <f t="shared" si="72"/>
        <v>2</v>
      </c>
      <c r="M179" s="210">
        <f t="shared" si="73"/>
        <v>2</v>
      </c>
      <c r="N179" s="210">
        <f t="shared" si="74"/>
        <v>2</v>
      </c>
      <c r="O179" s="210">
        <f>SUM(C179:N179)</f>
        <v>24</v>
      </c>
      <c r="R179" s="204"/>
    </row>
    <row r="180" spans="1:18">
      <c r="A180" s="204">
        <f t="shared" si="47"/>
        <v>180</v>
      </c>
      <c r="B180" s="218" t="s">
        <v>190</v>
      </c>
      <c r="C180" s="210">
        <f t="shared" si="63"/>
        <v>4</v>
      </c>
      <c r="D180" s="210">
        <f t="shared" si="64"/>
        <v>4</v>
      </c>
      <c r="E180" s="210">
        <f t="shared" si="65"/>
        <v>4</v>
      </c>
      <c r="F180" s="210">
        <f t="shared" si="66"/>
        <v>4</v>
      </c>
      <c r="G180" s="210">
        <f t="shared" si="67"/>
        <v>4</v>
      </c>
      <c r="H180" s="210">
        <f t="shared" si="68"/>
        <v>4</v>
      </c>
      <c r="I180" s="210">
        <f t="shared" si="69"/>
        <v>4</v>
      </c>
      <c r="J180" s="210">
        <f t="shared" si="70"/>
        <v>4</v>
      </c>
      <c r="K180" s="210">
        <f t="shared" si="71"/>
        <v>4</v>
      </c>
      <c r="L180" s="210">
        <f t="shared" si="72"/>
        <v>4</v>
      </c>
      <c r="M180" s="210">
        <f t="shared" si="73"/>
        <v>4</v>
      </c>
      <c r="N180" s="210">
        <f t="shared" si="74"/>
        <v>4</v>
      </c>
      <c r="O180" s="210">
        <f t="shared" si="75"/>
        <v>48</v>
      </c>
      <c r="R180" s="204"/>
    </row>
    <row r="181" spans="1:18">
      <c r="A181" s="204">
        <f t="shared" si="47"/>
        <v>181</v>
      </c>
      <c r="B181" s="218" t="s">
        <v>192</v>
      </c>
      <c r="C181" s="210">
        <f t="shared" si="63"/>
        <v>15</v>
      </c>
      <c r="D181" s="210">
        <f t="shared" si="64"/>
        <v>14.5</v>
      </c>
      <c r="E181" s="210">
        <f t="shared" si="65"/>
        <v>15.333333333333334</v>
      </c>
      <c r="F181" s="210">
        <f t="shared" si="66"/>
        <v>15.75</v>
      </c>
      <c r="G181" s="210">
        <f t="shared" si="67"/>
        <v>16</v>
      </c>
      <c r="H181" s="210">
        <f t="shared" si="68"/>
        <v>16</v>
      </c>
      <c r="I181" s="210">
        <f t="shared" si="69"/>
        <v>16</v>
      </c>
      <c r="J181" s="210">
        <f t="shared" si="70"/>
        <v>16</v>
      </c>
      <c r="K181" s="210">
        <f t="shared" si="71"/>
        <v>16</v>
      </c>
      <c r="L181" s="210">
        <f t="shared" si="72"/>
        <v>16</v>
      </c>
      <c r="M181" s="210">
        <f t="shared" si="73"/>
        <v>16</v>
      </c>
      <c r="N181" s="210">
        <f t="shared" si="74"/>
        <v>16</v>
      </c>
      <c r="O181" s="210">
        <f t="shared" si="75"/>
        <v>188.58333333333334</v>
      </c>
      <c r="R181" s="204"/>
    </row>
    <row r="182" spans="1:18">
      <c r="A182" s="204">
        <f t="shared" si="47"/>
        <v>182</v>
      </c>
      <c r="B182" s="218" t="s">
        <v>194</v>
      </c>
      <c r="C182" s="210">
        <f t="shared" si="63"/>
        <v>7</v>
      </c>
      <c r="D182" s="210">
        <f t="shared" si="64"/>
        <v>7</v>
      </c>
      <c r="E182" s="210">
        <f t="shared" si="65"/>
        <v>7</v>
      </c>
      <c r="F182" s="210">
        <f t="shared" si="66"/>
        <v>7</v>
      </c>
      <c r="G182" s="210">
        <f t="shared" si="67"/>
        <v>7</v>
      </c>
      <c r="H182" s="210">
        <f t="shared" si="68"/>
        <v>7</v>
      </c>
      <c r="I182" s="210">
        <f t="shared" si="69"/>
        <v>7</v>
      </c>
      <c r="J182" s="210">
        <f t="shared" si="70"/>
        <v>7</v>
      </c>
      <c r="K182" s="210">
        <f t="shared" si="71"/>
        <v>7</v>
      </c>
      <c r="L182" s="210">
        <f t="shared" si="72"/>
        <v>7</v>
      </c>
      <c r="M182" s="210">
        <f t="shared" si="73"/>
        <v>7</v>
      </c>
      <c r="N182" s="210">
        <f t="shared" si="74"/>
        <v>7</v>
      </c>
      <c r="O182" s="210">
        <f t="shared" si="75"/>
        <v>84</v>
      </c>
      <c r="R182" s="204"/>
    </row>
    <row r="183" spans="1:18">
      <c r="A183" s="204">
        <f t="shared" si="47"/>
        <v>183</v>
      </c>
      <c r="B183" s="213" t="s">
        <v>107</v>
      </c>
      <c r="C183" s="210">
        <f t="shared" si="63"/>
        <v>23</v>
      </c>
      <c r="D183" s="210">
        <f t="shared" si="64"/>
        <v>23</v>
      </c>
      <c r="E183" s="210">
        <f t="shared" si="65"/>
        <v>23</v>
      </c>
      <c r="F183" s="210">
        <f t="shared" si="66"/>
        <v>23.25</v>
      </c>
      <c r="G183" s="210">
        <f t="shared" si="67"/>
        <v>23.2</v>
      </c>
      <c r="H183" s="210">
        <f t="shared" si="68"/>
        <v>23.166666666666668</v>
      </c>
      <c r="I183" s="210">
        <f t="shared" si="69"/>
        <v>23.142857142857142</v>
      </c>
      <c r="J183" s="210">
        <f t="shared" si="70"/>
        <v>23.125</v>
      </c>
      <c r="K183" s="210">
        <f t="shared" si="71"/>
        <v>23.111111111111111</v>
      </c>
      <c r="L183" s="210">
        <f t="shared" si="72"/>
        <v>23.1</v>
      </c>
      <c r="M183" s="210">
        <f t="shared" si="73"/>
        <v>23.09090909090909</v>
      </c>
      <c r="N183" s="210">
        <f t="shared" si="74"/>
        <v>23.083333333333332</v>
      </c>
      <c r="O183" s="210">
        <f>SUM(C183:N183)</f>
        <v>277.26987734487733</v>
      </c>
      <c r="R183" s="204"/>
    </row>
    <row r="184" spans="1:18">
      <c r="A184" s="204">
        <f t="shared" si="47"/>
        <v>184</v>
      </c>
      <c r="B184" s="213" t="s">
        <v>108</v>
      </c>
      <c r="C184" s="210">
        <f t="shared" si="63"/>
        <v>1</v>
      </c>
      <c r="D184" s="210">
        <f t="shared" si="64"/>
        <v>1</v>
      </c>
      <c r="E184" s="210">
        <f t="shared" si="65"/>
        <v>1</v>
      </c>
      <c r="F184" s="210">
        <f t="shared" si="66"/>
        <v>1</v>
      </c>
      <c r="G184" s="210">
        <f t="shared" si="67"/>
        <v>1</v>
      </c>
      <c r="H184" s="210">
        <f t="shared" si="68"/>
        <v>1</v>
      </c>
      <c r="I184" s="210">
        <f t="shared" si="69"/>
        <v>1</v>
      </c>
      <c r="J184" s="210">
        <f t="shared" si="70"/>
        <v>1</v>
      </c>
      <c r="K184" s="210">
        <f t="shared" si="71"/>
        <v>1</v>
      </c>
      <c r="L184" s="210">
        <f t="shared" si="72"/>
        <v>1</v>
      </c>
      <c r="M184" s="210">
        <f t="shared" si="73"/>
        <v>1</v>
      </c>
      <c r="N184" s="210">
        <f t="shared" si="74"/>
        <v>1</v>
      </c>
      <c r="O184" s="210">
        <f>SUM(C184:N184)</f>
        <v>12</v>
      </c>
      <c r="R184" s="204"/>
    </row>
    <row r="185" spans="1:18">
      <c r="A185" s="204">
        <f t="shared" si="47"/>
        <v>185</v>
      </c>
      <c r="B185" s="224" t="s">
        <v>109</v>
      </c>
      <c r="C185" s="222">
        <f t="shared" si="63"/>
        <v>2</v>
      </c>
      <c r="D185" s="222">
        <f t="shared" si="64"/>
        <v>2</v>
      </c>
      <c r="E185" s="222">
        <f t="shared" si="65"/>
        <v>2</v>
      </c>
      <c r="F185" s="222">
        <f t="shared" si="66"/>
        <v>2</v>
      </c>
      <c r="G185" s="222">
        <f t="shared" si="67"/>
        <v>2</v>
      </c>
      <c r="H185" s="222">
        <f t="shared" si="68"/>
        <v>2</v>
      </c>
      <c r="I185" s="222">
        <f t="shared" si="69"/>
        <v>2</v>
      </c>
      <c r="J185" s="222">
        <f t="shared" si="70"/>
        <v>2</v>
      </c>
      <c r="K185" s="222">
        <f t="shared" si="71"/>
        <v>2</v>
      </c>
      <c r="L185" s="222">
        <f t="shared" si="72"/>
        <v>2</v>
      </c>
      <c r="M185" s="222">
        <f t="shared" si="73"/>
        <v>2</v>
      </c>
      <c r="N185" s="222">
        <f t="shared" si="74"/>
        <v>2</v>
      </c>
      <c r="O185" s="222">
        <f>SUM(C185:N185)</f>
        <v>24</v>
      </c>
      <c r="R185" s="204"/>
    </row>
    <row r="186" spans="1:18">
      <c r="A186" s="204">
        <f t="shared" si="47"/>
        <v>186</v>
      </c>
      <c r="B186" s="225" t="s">
        <v>199</v>
      </c>
      <c r="C186" s="210">
        <f t="shared" ref="C186:O186" si="76">SUM(C150:C185)</f>
        <v>7610</v>
      </c>
      <c r="D186" s="210">
        <f t="shared" si="76"/>
        <v>7613</v>
      </c>
      <c r="E186" s="210">
        <f t="shared" si="76"/>
        <v>7624.6666666666661</v>
      </c>
      <c r="F186" s="210">
        <f t="shared" si="76"/>
        <v>7638</v>
      </c>
      <c r="G186" s="210">
        <f t="shared" si="76"/>
        <v>7645.1999999999989</v>
      </c>
      <c r="H186" s="210">
        <f t="shared" si="76"/>
        <v>7649.8333333333348</v>
      </c>
      <c r="I186" s="210">
        <f t="shared" si="76"/>
        <v>7651.7142857142853</v>
      </c>
      <c r="J186" s="210">
        <f t="shared" si="76"/>
        <v>7654.5</v>
      </c>
      <c r="K186" s="210">
        <f t="shared" si="76"/>
        <v>7662.8888888888896</v>
      </c>
      <c r="L186" s="210">
        <f t="shared" si="76"/>
        <v>7666.2</v>
      </c>
      <c r="M186" s="210">
        <f t="shared" si="76"/>
        <v>7673.545454545454</v>
      </c>
      <c r="N186" s="210">
        <f t="shared" si="76"/>
        <v>7686.3333333333321</v>
      </c>
      <c r="O186" s="210">
        <f t="shared" si="76"/>
        <v>91775.881962481959</v>
      </c>
      <c r="R186" s="204"/>
    </row>
    <row r="187" spans="1:18">
      <c r="A187" s="204">
        <f t="shared" si="47"/>
        <v>187</v>
      </c>
      <c r="B187" s="223" t="s">
        <v>200</v>
      </c>
      <c r="C187" s="210"/>
      <c r="D187" s="210"/>
      <c r="E187" s="210"/>
      <c r="F187" s="210"/>
      <c r="G187" s="210"/>
      <c r="H187" s="210"/>
      <c r="I187" s="210"/>
      <c r="J187" s="210"/>
      <c r="K187" s="210"/>
      <c r="L187" s="210"/>
      <c r="M187" s="210"/>
      <c r="N187" s="210"/>
      <c r="O187" s="210"/>
      <c r="R187" s="204"/>
    </row>
    <row r="188" spans="1:18">
      <c r="A188" s="204">
        <f t="shared" si="47"/>
        <v>188</v>
      </c>
      <c r="B188" s="213" t="s">
        <v>114</v>
      </c>
      <c r="C188" s="210">
        <f t="shared" ref="C188:C194" si="77">+C64</f>
        <v>0</v>
      </c>
      <c r="D188" s="210">
        <f t="shared" ref="D188:D194" si="78">AVERAGE(C64:D64)</f>
        <v>0</v>
      </c>
      <c r="E188" s="210">
        <f t="shared" ref="E188:E194" si="79">AVERAGE(C64:E64)</f>
        <v>0</v>
      </c>
      <c r="F188" s="210">
        <f t="shared" ref="F188:F194" si="80">AVERAGE(C64:F64)</f>
        <v>0</v>
      </c>
      <c r="G188" s="210">
        <f t="shared" ref="G188:G194" si="81">AVERAGE(C64:G64)</f>
        <v>0</v>
      </c>
      <c r="H188" s="210">
        <f t="shared" ref="H188:H194" si="82">AVERAGE(C64:H64)</f>
        <v>0</v>
      </c>
      <c r="I188" s="210">
        <f t="shared" ref="I188:I194" si="83">AVERAGE(C64:I64)</f>
        <v>0</v>
      </c>
      <c r="J188" s="210">
        <f t="shared" ref="J188:J194" si="84">AVERAGE(C64:J64)</f>
        <v>0</v>
      </c>
      <c r="K188" s="210">
        <f t="shared" ref="K188:K194" si="85">AVERAGE(C64:K64)</f>
        <v>0</v>
      </c>
      <c r="L188" s="210">
        <f t="shared" ref="L188:L194" si="86">AVERAGE(C64:L64)</f>
        <v>0</v>
      </c>
      <c r="M188" s="210">
        <f t="shared" ref="M188:M194" si="87">AVERAGE(C64:M64)</f>
        <v>0</v>
      </c>
      <c r="N188" s="210">
        <f t="shared" ref="N188:N194" si="88">AVERAGE(C64:N64)</f>
        <v>0</v>
      </c>
      <c r="O188" s="210">
        <f t="shared" ref="O188:O194" si="89">SUM(C188:N188)</f>
        <v>0</v>
      </c>
      <c r="R188" s="204"/>
    </row>
    <row r="189" spans="1:18">
      <c r="A189" s="204">
        <f t="shared" si="47"/>
        <v>189</v>
      </c>
      <c r="B189" s="213" t="s">
        <v>115</v>
      </c>
      <c r="C189" s="210">
        <f t="shared" si="77"/>
        <v>1</v>
      </c>
      <c r="D189" s="210">
        <f t="shared" si="78"/>
        <v>1</v>
      </c>
      <c r="E189" s="210">
        <f t="shared" si="79"/>
        <v>1</v>
      </c>
      <c r="F189" s="210">
        <f t="shared" si="80"/>
        <v>1</v>
      </c>
      <c r="G189" s="210">
        <f t="shared" si="81"/>
        <v>1</v>
      </c>
      <c r="H189" s="210">
        <f t="shared" si="82"/>
        <v>1</v>
      </c>
      <c r="I189" s="210">
        <f t="shared" si="83"/>
        <v>1</v>
      </c>
      <c r="J189" s="210">
        <f t="shared" si="84"/>
        <v>1</v>
      </c>
      <c r="K189" s="210">
        <f t="shared" si="85"/>
        <v>1</v>
      </c>
      <c r="L189" s="210">
        <f t="shared" si="86"/>
        <v>1</v>
      </c>
      <c r="M189" s="210">
        <f t="shared" si="87"/>
        <v>1</v>
      </c>
      <c r="N189" s="210">
        <f t="shared" si="88"/>
        <v>1</v>
      </c>
      <c r="O189" s="210">
        <f t="shared" si="89"/>
        <v>12</v>
      </c>
      <c r="R189" s="204"/>
    </row>
    <row r="190" spans="1:18">
      <c r="A190" s="204">
        <f t="shared" si="47"/>
        <v>190</v>
      </c>
      <c r="B190" s="213" t="s">
        <v>116</v>
      </c>
      <c r="C190" s="210">
        <f t="shared" si="77"/>
        <v>22</v>
      </c>
      <c r="D190" s="210">
        <f t="shared" si="78"/>
        <v>22</v>
      </c>
      <c r="E190" s="210">
        <f t="shared" si="79"/>
        <v>22</v>
      </c>
      <c r="F190" s="210">
        <f t="shared" si="80"/>
        <v>22</v>
      </c>
      <c r="G190" s="210">
        <f t="shared" si="81"/>
        <v>22.2</v>
      </c>
      <c r="H190" s="210">
        <f t="shared" si="82"/>
        <v>22.5</v>
      </c>
      <c r="I190" s="210">
        <f t="shared" si="83"/>
        <v>23.142857142857142</v>
      </c>
      <c r="J190" s="210">
        <f t="shared" si="84"/>
        <v>23.625</v>
      </c>
      <c r="K190" s="210">
        <f t="shared" si="85"/>
        <v>24.111111111111111</v>
      </c>
      <c r="L190" s="210">
        <f t="shared" si="86"/>
        <v>24.9</v>
      </c>
      <c r="M190" s="210">
        <f t="shared" si="87"/>
        <v>25.545454545454547</v>
      </c>
      <c r="N190" s="210">
        <f t="shared" si="88"/>
        <v>26.166666666666668</v>
      </c>
      <c r="O190" s="210">
        <f t="shared" si="89"/>
        <v>280.19108946608947</v>
      </c>
      <c r="R190" s="204"/>
    </row>
    <row r="191" spans="1:18">
      <c r="A191" s="204">
        <f t="shared" si="47"/>
        <v>191</v>
      </c>
      <c r="B191" s="213" t="s">
        <v>117</v>
      </c>
      <c r="C191" s="210">
        <f t="shared" si="77"/>
        <v>4</v>
      </c>
      <c r="D191" s="210">
        <f t="shared" si="78"/>
        <v>4</v>
      </c>
      <c r="E191" s="210">
        <f t="shared" si="79"/>
        <v>4</v>
      </c>
      <c r="F191" s="210">
        <f t="shared" si="80"/>
        <v>4</v>
      </c>
      <c r="G191" s="210">
        <f t="shared" si="81"/>
        <v>4</v>
      </c>
      <c r="H191" s="210">
        <f t="shared" si="82"/>
        <v>4</v>
      </c>
      <c r="I191" s="210">
        <f t="shared" si="83"/>
        <v>4</v>
      </c>
      <c r="J191" s="210">
        <f t="shared" si="84"/>
        <v>4</v>
      </c>
      <c r="K191" s="210">
        <f t="shared" si="85"/>
        <v>4.1111111111111107</v>
      </c>
      <c r="L191" s="210">
        <f t="shared" si="86"/>
        <v>4.2</v>
      </c>
      <c r="M191" s="210">
        <f t="shared" si="87"/>
        <v>4.2727272727272725</v>
      </c>
      <c r="N191" s="210">
        <f t="shared" si="88"/>
        <v>4.333333333333333</v>
      </c>
      <c r="O191" s="210">
        <f t="shared" si="89"/>
        <v>48.917171717171726</v>
      </c>
      <c r="R191" s="204"/>
    </row>
    <row r="192" spans="1:18">
      <c r="A192" s="204">
        <f t="shared" si="47"/>
        <v>192</v>
      </c>
      <c r="B192" s="213" t="s">
        <v>118</v>
      </c>
      <c r="C192" s="210">
        <f t="shared" si="77"/>
        <v>10</v>
      </c>
      <c r="D192" s="210">
        <f t="shared" si="78"/>
        <v>10</v>
      </c>
      <c r="E192" s="210">
        <f t="shared" si="79"/>
        <v>10</v>
      </c>
      <c r="F192" s="210">
        <f t="shared" si="80"/>
        <v>10.25</v>
      </c>
      <c r="G192" s="210">
        <f t="shared" si="81"/>
        <v>10.4</v>
      </c>
      <c r="H192" s="210">
        <f t="shared" si="82"/>
        <v>10.5</v>
      </c>
      <c r="I192" s="210">
        <f t="shared" si="83"/>
        <v>10.571428571428571</v>
      </c>
      <c r="J192" s="210">
        <f t="shared" si="84"/>
        <v>10.625</v>
      </c>
      <c r="K192" s="210">
        <f t="shared" si="85"/>
        <v>10.666666666666666</v>
      </c>
      <c r="L192" s="210">
        <f t="shared" si="86"/>
        <v>10.7</v>
      </c>
      <c r="M192" s="210">
        <f t="shared" si="87"/>
        <v>10.727272727272727</v>
      </c>
      <c r="N192" s="210">
        <f t="shared" si="88"/>
        <v>10.75</v>
      </c>
      <c r="O192" s="210">
        <f t="shared" si="89"/>
        <v>125.19036796536798</v>
      </c>
      <c r="R192" s="204"/>
    </row>
    <row r="193" spans="1:18">
      <c r="A193" s="204">
        <f t="shared" si="47"/>
        <v>193</v>
      </c>
      <c r="B193" s="218" t="s">
        <v>119</v>
      </c>
      <c r="C193" s="210">
        <f t="shared" si="77"/>
        <v>16</v>
      </c>
      <c r="D193" s="210">
        <f t="shared" si="78"/>
        <v>16</v>
      </c>
      <c r="E193" s="210">
        <f t="shared" si="79"/>
        <v>16</v>
      </c>
      <c r="F193" s="210">
        <f t="shared" si="80"/>
        <v>16.25</v>
      </c>
      <c r="G193" s="210">
        <f t="shared" si="81"/>
        <v>16.600000000000001</v>
      </c>
      <c r="H193" s="210">
        <f t="shared" si="82"/>
        <v>16.666666666666668</v>
      </c>
      <c r="I193" s="210">
        <f t="shared" si="83"/>
        <v>16.714285714285715</v>
      </c>
      <c r="J193" s="210">
        <f t="shared" si="84"/>
        <v>16.75</v>
      </c>
      <c r="K193" s="210">
        <f t="shared" si="85"/>
        <v>16.777777777777779</v>
      </c>
      <c r="L193" s="210">
        <f t="shared" si="86"/>
        <v>16.8</v>
      </c>
      <c r="M193" s="210">
        <f t="shared" si="87"/>
        <v>16.818181818181817</v>
      </c>
      <c r="N193" s="210">
        <f t="shared" si="88"/>
        <v>16.833333333333332</v>
      </c>
      <c r="O193" s="210">
        <f t="shared" si="89"/>
        <v>198.21024531024531</v>
      </c>
      <c r="R193" s="204"/>
    </row>
    <row r="194" spans="1:18">
      <c r="A194" s="204">
        <f t="shared" si="47"/>
        <v>194</v>
      </c>
      <c r="B194" s="224" t="s">
        <v>120</v>
      </c>
      <c r="C194" s="222">
        <f t="shared" si="77"/>
        <v>9</v>
      </c>
      <c r="D194" s="222">
        <f t="shared" si="78"/>
        <v>9</v>
      </c>
      <c r="E194" s="222">
        <f t="shared" si="79"/>
        <v>9</v>
      </c>
      <c r="F194" s="222">
        <f t="shared" si="80"/>
        <v>8.5</v>
      </c>
      <c r="G194" s="222">
        <f t="shared" si="81"/>
        <v>8.1999999999999993</v>
      </c>
      <c r="H194" s="222">
        <f t="shared" si="82"/>
        <v>8</v>
      </c>
      <c r="I194" s="222">
        <f t="shared" si="83"/>
        <v>7.8571428571428568</v>
      </c>
      <c r="J194" s="222">
        <f t="shared" si="84"/>
        <v>7.75</v>
      </c>
      <c r="K194" s="222">
        <f t="shared" si="85"/>
        <v>7.666666666666667</v>
      </c>
      <c r="L194" s="222">
        <f t="shared" si="86"/>
        <v>7.6</v>
      </c>
      <c r="M194" s="222">
        <f t="shared" si="87"/>
        <v>7.5454545454545459</v>
      </c>
      <c r="N194" s="222">
        <f t="shared" si="88"/>
        <v>7.5</v>
      </c>
      <c r="O194" s="222">
        <f t="shared" si="89"/>
        <v>97.619264069264062</v>
      </c>
      <c r="R194" s="204"/>
    </row>
    <row r="195" spans="1:18">
      <c r="A195" s="204">
        <f t="shared" ref="A195:A244" si="90">+A194+1</f>
        <v>195</v>
      </c>
      <c r="B195" s="225" t="s">
        <v>202</v>
      </c>
      <c r="C195" s="210">
        <f t="shared" ref="C195:O195" si="91">SUM(C188:C194)</f>
        <v>62</v>
      </c>
      <c r="D195" s="210">
        <f t="shared" si="91"/>
        <v>62</v>
      </c>
      <c r="E195" s="210">
        <f t="shared" si="91"/>
        <v>62</v>
      </c>
      <c r="F195" s="210">
        <f t="shared" si="91"/>
        <v>62</v>
      </c>
      <c r="G195" s="210">
        <f t="shared" si="91"/>
        <v>62.400000000000006</v>
      </c>
      <c r="H195" s="210">
        <f t="shared" si="91"/>
        <v>62.666666666666671</v>
      </c>
      <c r="I195" s="210">
        <f t="shared" si="91"/>
        <v>63.285714285714285</v>
      </c>
      <c r="J195" s="210">
        <f t="shared" si="91"/>
        <v>63.75</v>
      </c>
      <c r="K195" s="210">
        <f t="shared" si="91"/>
        <v>64.333333333333329</v>
      </c>
      <c r="L195" s="210">
        <f t="shared" si="91"/>
        <v>65.199999999999989</v>
      </c>
      <c r="M195" s="210">
        <f t="shared" si="91"/>
        <v>65.909090909090907</v>
      </c>
      <c r="N195" s="210">
        <f t="shared" si="91"/>
        <v>66.583333333333329</v>
      </c>
      <c r="O195" s="210">
        <f t="shared" si="91"/>
        <v>762.12813852813861</v>
      </c>
      <c r="R195" s="204"/>
    </row>
    <row r="196" spans="1:18">
      <c r="A196" s="204">
        <f t="shared" si="90"/>
        <v>196</v>
      </c>
      <c r="B196" s="223" t="s">
        <v>203</v>
      </c>
      <c r="C196" s="210"/>
      <c r="D196" s="210"/>
      <c r="E196" s="210"/>
      <c r="F196" s="210"/>
      <c r="G196" s="210"/>
      <c r="H196" s="210"/>
      <c r="I196" s="210"/>
      <c r="J196" s="210"/>
      <c r="K196" s="210"/>
      <c r="L196" s="210"/>
      <c r="M196" s="210"/>
      <c r="N196" s="210"/>
      <c r="O196" s="210"/>
      <c r="R196" s="204"/>
    </row>
    <row r="197" spans="1:18">
      <c r="A197" s="204">
        <f t="shared" si="90"/>
        <v>197</v>
      </c>
      <c r="B197" s="202" t="s">
        <v>204</v>
      </c>
      <c r="C197" s="210">
        <f t="shared" ref="C197:C204" si="92">+C73</f>
        <v>2</v>
      </c>
      <c r="D197" s="210">
        <f>AVERAGE(C73:D73)</f>
        <v>2</v>
      </c>
      <c r="E197" s="210">
        <f>AVERAGE(C73:E73)</f>
        <v>2</v>
      </c>
      <c r="F197" s="210">
        <f>AVERAGE(C73:F73)</f>
        <v>2</v>
      </c>
      <c r="G197" s="210">
        <f>AVERAGE(C73:G73)</f>
        <v>2</v>
      </c>
      <c r="H197" s="210">
        <f>AVERAGE(C73:H73)</f>
        <v>2</v>
      </c>
      <c r="I197" s="210">
        <f>AVERAGE(C73:I73)</f>
        <v>2</v>
      </c>
      <c r="J197" s="210">
        <f>AVERAGE(C73:J73)</f>
        <v>2</v>
      </c>
      <c r="K197" s="210">
        <f>AVERAGE(C73:K73)</f>
        <v>2</v>
      </c>
      <c r="L197" s="210">
        <f>AVERAGE(C73:L73)</f>
        <v>2</v>
      </c>
      <c r="M197" s="210">
        <f>AVERAGE(C73:M73)</f>
        <v>2</v>
      </c>
      <c r="N197" s="210">
        <f>AVERAGE(C73:N73)</f>
        <v>2</v>
      </c>
      <c r="O197" s="210">
        <f t="shared" ref="O197:O205" si="93">SUM(C197:N197)</f>
        <v>24</v>
      </c>
      <c r="R197" s="204"/>
    </row>
    <row r="198" spans="1:18">
      <c r="A198" s="204">
        <f t="shared" si="90"/>
        <v>198</v>
      </c>
      <c r="B198" s="202" t="s">
        <v>206</v>
      </c>
      <c r="C198" s="210">
        <f t="shared" si="92"/>
        <v>1</v>
      </c>
      <c r="D198" s="210">
        <f>AVERAGE(C74:D74)</f>
        <v>1</v>
      </c>
      <c r="E198" s="210">
        <f>AVERAGE(C74:E74)</f>
        <v>1</v>
      </c>
      <c r="F198" s="210">
        <f>AVERAGE(C74:F74)</f>
        <v>1</v>
      </c>
      <c r="G198" s="210">
        <f>AVERAGE(C74:G74)</f>
        <v>1</v>
      </c>
      <c r="H198" s="210">
        <f>AVERAGE(C74:H74)</f>
        <v>1</v>
      </c>
      <c r="I198" s="210">
        <f>AVERAGE(C74:I74)</f>
        <v>1</v>
      </c>
      <c r="J198" s="210">
        <f>AVERAGE(C74:J74)</f>
        <v>1</v>
      </c>
      <c r="K198" s="210">
        <f>AVERAGE(C74:K74)</f>
        <v>1</v>
      </c>
      <c r="L198" s="210">
        <f>AVERAGE(C74:L74)</f>
        <v>1</v>
      </c>
      <c r="M198" s="210">
        <f>AVERAGE(C74:M74)</f>
        <v>1</v>
      </c>
      <c r="N198" s="210">
        <f>AVERAGE(C74:N74)</f>
        <v>1</v>
      </c>
      <c r="O198" s="210">
        <f t="shared" si="93"/>
        <v>12</v>
      </c>
      <c r="R198" s="204"/>
    </row>
    <row r="199" spans="1:18">
      <c r="A199" s="204">
        <f t="shared" si="90"/>
        <v>199</v>
      </c>
      <c r="B199" s="202" t="s">
        <v>207</v>
      </c>
      <c r="C199" s="210">
        <f t="shared" si="92"/>
        <v>1</v>
      </c>
      <c r="D199" s="210">
        <f>AVERAGE(C75:D75)</f>
        <v>1</v>
      </c>
      <c r="E199" s="210">
        <f>AVERAGE(C75:E75)</f>
        <v>1</v>
      </c>
      <c r="F199" s="210">
        <f>AVERAGE(C75:F75)</f>
        <v>1</v>
      </c>
      <c r="G199" s="210">
        <f>AVERAGE(C75:G75)</f>
        <v>1</v>
      </c>
      <c r="H199" s="210">
        <f>AVERAGE(C75:H75)</f>
        <v>1</v>
      </c>
      <c r="I199" s="210">
        <f>AVERAGE(C75:I75)</f>
        <v>1</v>
      </c>
      <c r="J199" s="210">
        <f>AVERAGE(C75:J75)</f>
        <v>1</v>
      </c>
      <c r="K199" s="210">
        <f>AVERAGE(C75:K75)</f>
        <v>1</v>
      </c>
      <c r="L199" s="210">
        <f>AVERAGE(C75:L75)</f>
        <v>1</v>
      </c>
      <c r="M199" s="210">
        <f>AVERAGE(C75:M75)</f>
        <v>1</v>
      </c>
      <c r="N199" s="210">
        <f>AVERAGE(C75:N75)</f>
        <v>1</v>
      </c>
      <c r="O199" s="210">
        <f t="shared" si="93"/>
        <v>12</v>
      </c>
      <c r="R199" s="204"/>
    </row>
    <row r="200" spans="1:18">
      <c r="A200" s="204">
        <f t="shared" si="90"/>
        <v>200</v>
      </c>
      <c r="B200" s="202" t="s">
        <v>208</v>
      </c>
      <c r="C200" s="210">
        <f t="shared" si="92"/>
        <v>1</v>
      </c>
      <c r="D200" s="210">
        <f>AVERAGE(C76:D76)</f>
        <v>1</v>
      </c>
      <c r="E200" s="210">
        <f>AVERAGE(C76:E76)</f>
        <v>1</v>
      </c>
      <c r="F200" s="210">
        <f>AVERAGE(C76:F76)</f>
        <v>1</v>
      </c>
      <c r="G200" s="210">
        <f>AVERAGE(C76:G76)</f>
        <v>1</v>
      </c>
      <c r="H200" s="210">
        <f>AVERAGE(C76:H76)</f>
        <v>1</v>
      </c>
      <c r="I200" s="210">
        <f>AVERAGE(C76:I76)</f>
        <v>1</v>
      </c>
      <c r="J200" s="210">
        <f>AVERAGE(C76:J76)</f>
        <v>1</v>
      </c>
      <c r="K200" s="210">
        <f>AVERAGE(C76:K76)</f>
        <v>1</v>
      </c>
      <c r="L200" s="210">
        <f>AVERAGE(C76:L76)</f>
        <v>1</v>
      </c>
      <c r="M200" s="210">
        <f>AVERAGE(C76:M76)</f>
        <v>1</v>
      </c>
      <c r="N200" s="210">
        <f>AVERAGE(C76:N76)</f>
        <v>1</v>
      </c>
      <c r="O200" s="210">
        <f t="shared" si="93"/>
        <v>12</v>
      </c>
      <c r="R200" s="204"/>
    </row>
    <row r="201" spans="1:18">
      <c r="A201" s="204">
        <f t="shared" si="90"/>
        <v>201</v>
      </c>
      <c r="B201" s="202" t="s">
        <v>209</v>
      </c>
      <c r="C201" s="210">
        <f t="shared" si="92"/>
        <v>1</v>
      </c>
      <c r="D201" s="210">
        <f>AVERAGE(C77:D77)</f>
        <v>1</v>
      </c>
      <c r="E201" s="210">
        <f>AVERAGE(C77:E77)</f>
        <v>1</v>
      </c>
      <c r="F201" s="210">
        <f>AVERAGE(C77:F77)</f>
        <v>1</v>
      </c>
      <c r="G201" s="210">
        <f>AVERAGE(C77:G77)</f>
        <v>1</v>
      </c>
      <c r="H201" s="210">
        <f>AVERAGE(C77:H77)</f>
        <v>1</v>
      </c>
      <c r="I201" s="210">
        <f>AVERAGE(C77:I77)</f>
        <v>1</v>
      </c>
      <c r="J201" s="210">
        <f>AVERAGE(C77:J77)</f>
        <v>1</v>
      </c>
      <c r="K201" s="210">
        <f>AVERAGE(C77:K77)</f>
        <v>1</v>
      </c>
      <c r="L201" s="210">
        <f>AVERAGE(C77:L77)</f>
        <v>1</v>
      </c>
      <c r="M201" s="210">
        <f>AVERAGE(C77:M77)</f>
        <v>1</v>
      </c>
      <c r="N201" s="210">
        <f>AVERAGE(C77:N77)</f>
        <v>1</v>
      </c>
      <c r="O201" s="210">
        <f t="shared" si="93"/>
        <v>12</v>
      </c>
      <c r="R201" s="204"/>
    </row>
    <row r="202" spans="1:18">
      <c r="A202" s="204">
        <f t="shared" si="90"/>
        <v>202</v>
      </c>
      <c r="B202" s="202" t="s">
        <v>210</v>
      </c>
      <c r="C202" s="210">
        <f t="shared" si="92"/>
        <v>1</v>
      </c>
      <c r="D202" s="210">
        <f>IFERROR(AVERAGE($C$78:D78),0)</f>
        <v>1</v>
      </c>
      <c r="E202" s="210">
        <f>IFERROR(AVERAGE($C$78:E78),0)</f>
        <v>1</v>
      </c>
      <c r="F202" s="210">
        <f>IFERROR(AVERAGE($C$78:F78),0)</f>
        <v>1</v>
      </c>
      <c r="G202" s="210">
        <f>IFERROR(AVERAGE($C$78:G78),0)</f>
        <v>1</v>
      </c>
      <c r="H202" s="210">
        <f>IFERROR(AVERAGE($C$78:H78),0)</f>
        <v>1</v>
      </c>
      <c r="I202" s="210">
        <f>IFERROR(AVERAGE($C$78:I78),0)</f>
        <v>1</v>
      </c>
      <c r="J202" s="210">
        <f>IFERROR(AVERAGE($C$78:J78),0)</f>
        <v>1</v>
      </c>
      <c r="K202" s="210">
        <f>IFERROR(AVERAGE($C$78:K78),0)</f>
        <v>1</v>
      </c>
      <c r="L202" s="210">
        <f>IFERROR(AVERAGE($C$78:L78),0)</f>
        <v>1</v>
      </c>
      <c r="M202" s="210">
        <f>IFERROR(AVERAGE($C$78:M78),0)</f>
        <v>1</v>
      </c>
      <c r="N202" s="210">
        <f>IFERROR(AVERAGE($C$78:N78),0)</f>
        <v>1</v>
      </c>
      <c r="O202" s="210">
        <f>IFERROR(AVERAGE($C$78:O78),0)</f>
        <v>1</v>
      </c>
      <c r="R202" s="204"/>
    </row>
    <row r="203" spans="1:18">
      <c r="A203" s="204">
        <f t="shared" si="90"/>
        <v>203</v>
      </c>
      <c r="B203" s="202" t="s">
        <v>211</v>
      </c>
      <c r="C203" s="210">
        <f t="shared" si="92"/>
        <v>1</v>
      </c>
      <c r="D203" s="210">
        <f>AVERAGE(C79:D79)</f>
        <v>1</v>
      </c>
      <c r="E203" s="210">
        <f>AVERAGE(C79:E79)</f>
        <v>1</v>
      </c>
      <c r="F203" s="210">
        <f>AVERAGE(C79:F79)</f>
        <v>1</v>
      </c>
      <c r="G203" s="210">
        <f>AVERAGE(C79:G79)</f>
        <v>1</v>
      </c>
      <c r="H203" s="210">
        <f>AVERAGE(C79:H79)</f>
        <v>1</v>
      </c>
      <c r="I203" s="210">
        <f>AVERAGE(C79:I79)</f>
        <v>1</v>
      </c>
      <c r="J203" s="210">
        <f>AVERAGE(C79:J79)</f>
        <v>1</v>
      </c>
      <c r="K203" s="210">
        <f>AVERAGE(C79:K79)</f>
        <v>1</v>
      </c>
      <c r="L203" s="210">
        <f>AVERAGE(C79:L79)</f>
        <v>1</v>
      </c>
      <c r="M203" s="210">
        <f>AVERAGE(C79:M79)</f>
        <v>1</v>
      </c>
      <c r="N203" s="210">
        <f>AVERAGE(C79:N79)</f>
        <v>1</v>
      </c>
      <c r="O203" s="210">
        <f t="shared" si="93"/>
        <v>12</v>
      </c>
      <c r="R203" s="204"/>
    </row>
    <row r="204" spans="1:18">
      <c r="A204" s="204">
        <f t="shared" si="90"/>
        <v>204</v>
      </c>
      <c r="B204" s="202" t="s">
        <v>212</v>
      </c>
      <c r="C204" s="210">
        <f t="shared" si="92"/>
        <v>1</v>
      </c>
      <c r="D204" s="210">
        <f>AVERAGE(C80:D80)</f>
        <v>1</v>
      </c>
      <c r="E204" s="210">
        <f>AVERAGE(C80:E80)</f>
        <v>1</v>
      </c>
      <c r="F204" s="210">
        <f>AVERAGE(C80:F80)</f>
        <v>1</v>
      </c>
      <c r="G204" s="210">
        <f>AVERAGE(C80:G80)</f>
        <v>1</v>
      </c>
      <c r="H204" s="210">
        <f>AVERAGE(C80:H80)</f>
        <v>1</v>
      </c>
      <c r="I204" s="210">
        <f>AVERAGE(C80:I80)</f>
        <v>1</v>
      </c>
      <c r="J204" s="210">
        <f>AVERAGE(C80:J80)</f>
        <v>1</v>
      </c>
      <c r="K204" s="210">
        <f>AVERAGE(C80:K80)</f>
        <v>1</v>
      </c>
      <c r="L204" s="210">
        <f>AVERAGE(C80:L80)</f>
        <v>1</v>
      </c>
      <c r="M204" s="210">
        <f>AVERAGE(C80:M80)</f>
        <v>1</v>
      </c>
      <c r="N204" s="210">
        <f>AVERAGE(C80:N80)</f>
        <v>1</v>
      </c>
      <c r="O204" s="210">
        <f t="shared" si="93"/>
        <v>12</v>
      </c>
      <c r="R204" s="204"/>
    </row>
    <row r="205" spans="1:18">
      <c r="A205" s="204">
        <f t="shared" si="90"/>
        <v>205</v>
      </c>
      <c r="B205" s="226" t="s">
        <v>214</v>
      </c>
      <c r="C205" s="222">
        <f>+C86</f>
        <v>1</v>
      </c>
      <c r="D205" s="222">
        <f>AVERAGE(C86:D86)</f>
        <v>1</v>
      </c>
      <c r="E205" s="222">
        <f>AVERAGE(C86:E86)</f>
        <v>1</v>
      </c>
      <c r="F205" s="222">
        <f>AVERAGE(C86:F86)</f>
        <v>1</v>
      </c>
      <c r="G205" s="222">
        <f>AVERAGE(C86:G86)</f>
        <v>1</v>
      </c>
      <c r="H205" s="222">
        <f>AVERAGE(C86:H86)</f>
        <v>1</v>
      </c>
      <c r="I205" s="222">
        <f>AVERAGE(C86:I86)</f>
        <v>1</v>
      </c>
      <c r="J205" s="222">
        <f>AVERAGE(C86:J86)</f>
        <v>1</v>
      </c>
      <c r="K205" s="222">
        <f>AVERAGE(C86:K86)</f>
        <v>1</v>
      </c>
      <c r="L205" s="222">
        <f>AVERAGE(C86:L86)</f>
        <v>1</v>
      </c>
      <c r="M205" s="222">
        <f>AVERAGE(C86:M86)</f>
        <v>1</v>
      </c>
      <c r="N205" s="222">
        <f>AVERAGE(C86:N86)</f>
        <v>1</v>
      </c>
      <c r="O205" s="222">
        <f t="shared" si="93"/>
        <v>12</v>
      </c>
      <c r="R205" s="204"/>
    </row>
    <row r="206" spans="1:18">
      <c r="A206" s="204">
        <f t="shared" si="90"/>
        <v>206</v>
      </c>
      <c r="B206" s="225" t="s">
        <v>221</v>
      </c>
      <c r="C206" s="210">
        <f t="shared" ref="C206:O206" si="94">SUM(C197:C205)</f>
        <v>10</v>
      </c>
      <c r="D206" s="210">
        <f t="shared" si="94"/>
        <v>10</v>
      </c>
      <c r="E206" s="210">
        <f t="shared" si="94"/>
        <v>10</v>
      </c>
      <c r="F206" s="210">
        <f t="shared" si="94"/>
        <v>10</v>
      </c>
      <c r="G206" s="210">
        <f t="shared" si="94"/>
        <v>10</v>
      </c>
      <c r="H206" s="210">
        <f t="shared" si="94"/>
        <v>10</v>
      </c>
      <c r="I206" s="210">
        <f t="shared" si="94"/>
        <v>10</v>
      </c>
      <c r="J206" s="210">
        <f t="shared" si="94"/>
        <v>10</v>
      </c>
      <c r="K206" s="210">
        <f t="shared" si="94"/>
        <v>10</v>
      </c>
      <c r="L206" s="210">
        <f t="shared" si="94"/>
        <v>10</v>
      </c>
      <c r="M206" s="210">
        <f t="shared" si="94"/>
        <v>10</v>
      </c>
      <c r="N206" s="210">
        <f t="shared" si="94"/>
        <v>10</v>
      </c>
      <c r="O206" s="210">
        <f t="shared" si="94"/>
        <v>109</v>
      </c>
      <c r="R206" s="204"/>
    </row>
    <row r="207" spans="1:18">
      <c r="A207" s="204">
        <f t="shared" si="90"/>
        <v>207</v>
      </c>
      <c r="B207" s="223" t="s">
        <v>222</v>
      </c>
      <c r="C207" s="210"/>
      <c r="D207" s="210"/>
      <c r="E207" s="210"/>
      <c r="F207" s="210"/>
      <c r="G207" s="210"/>
      <c r="H207" s="210"/>
      <c r="I207" s="210"/>
      <c r="J207" s="210"/>
      <c r="K207" s="210"/>
      <c r="L207" s="210"/>
      <c r="M207" s="210"/>
      <c r="N207" s="210"/>
      <c r="O207" s="210"/>
      <c r="R207" s="204"/>
    </row>
    <row r="208" spans="1:18">
      <c r="A208" s="204">
        <f t="shared" si="90"/>
        <v>208</v>
      </c>
      <c r="B208" s="226" t="s">
        <v>214</v>
      </c>
      <c r="C208" s="210">
        <v>0</v>
      </c>
      <c r="D208" s="210">
        <v>0</v>
      </c>
      <c r="E208" s="210">
        <v>0</v>
      </c>
      <c r="F208" s="210">
        <v>0</v>
      </c>
      <c r="G208" s="210">
        <v>0</v>
      </c>
      <c r="H208" s="210">
        <v>0</v>
      </c>
      <c r="I208" s="210">
        <v>0</v>
      </c>
      <c r="J208" s="210">
        <v>0</v>
      </c>
      <c r="K208" s="210">
        <v>0</v>
      </c>
      <c r="L208" s="210">
        <v>0</v>
      </c>
      <c r="M208" s="210">
        <v>0</v>
      </c>
      <c r="N208" s="210">
        <v>0</v>
      </c>
      <c r="O208" s="210">
        <f>SUM(C208:N208)</f>
        <v>0</v>
      </c>
      <c r="R208" s="204"/>
    </row>
    <row r="209" spans="1:18">
      <c r="A209" s="204">
        <f t="shared" si="90"/>
        <v>209</v>
      </c>
      <c r="B209" s="202" t="s">
        <v>223</v>
      </c>
      <c r="C209" s="210">
        <f>+C90</f>
        <v>1</v>
      </c>
      <c r="D209" s="210">
        <f>AVERAGE(C90:D90)</f>
        <v>1</v>
      </c>
      <c r="E209" s="210">
        <f>AVERAGE(C90:E90)</f>
        <v>1</v>
      </c>
      <c r="F209" s="210">
        <f>AVERAGE(C90:F90)</f>
        <v>1</v>
      </c>
      <c r="G209" s="210">
        <f>AVERAGE(C90:G90)</f>
        <v>1</v>
      </c>
      <c r="H209" s="210">
        <f>AVERAGE(C90:H90)</f>
        <v>1</v>
      </c>
      <c r="I209" s="210">
        <f>AVERAGE(C90:I90)</f>
        <v>1</v>
      </c>
      <c r="J209" s="210">
        <f>AVERAGE(C90:J90)</f>
        <v>1</v>
      </c>
      <c r="K209" s="210">
        <f>AVERAGE(C90:K90)</f>
        <v>1</v>
      </c>
      <c r="L209" s="210">
        <f>AVERAGE(C90:L90)</f>
        <v>1</v>
      </c>
      <c r="M209" s="210">
        <f>AVERAGE(C90:M90)</f>
        <v>1</v>
      </c>
      <c r="N209" s="210">
        <f>AVERAGE(C90:N90)</f>
        <v>1</v>
      </c>
      <c r="O209" s="210">
        <f>SUM(C209:N209)</f>
        <v>12</v>
      </c>
      <c r="R209" s="204"/>
    </row>
    <row r="210" spans="1:18">
      <c r="A210" s="204">
        <f t="shared" si="90"/>
        <v>210</v>
      </c>
      <c r="B210" s="202" t="s">
        <v>224</v>
      </c>
      <c r="C210" s="210">
        <f>+C91</f>
        <v>1</v>
      </c>
      <c r="D210" s="210">
        <f>AVERAGE(C91:D91)</f>
        <v>1</v>
      </c>
      <c r="E210" s="210">
        <f>AVERAGE(C91:E91)</f>
        <v>1</v>
      </c>
      <c r="F210" s="210">
        <f>AVERAGE(C91:F91)</f>
        <v>1</v>
      </c>
      <c r="G210" s="210">
        <f>AVERAGE(C91:G91)</f>
        <v>1</v>
      </c>
      <c r="H210" s="210">
        <f>AVERAGE(C91:H91)</f>
        <v>1</v>
      </c>
      <c r="I210" s="210">
        <f>AVERAGE(C91:I91)</f>
        <v>1</v>
      </c>
      <c r="J210" s="210">
        <f>AVERAGE(C91:J91)</f>
        <v>1</v>
      </c>
      <c r="K210" s="210">
        <f>AVERAGE(C91:K91)</f>
        <v>1</v>
      </c>
      <c r="L210" s="210">
        <f>AVERAGE(C91:L91)</f>
        <v>1</v>
      </c>
      <c r="M210" s="210">
        <f>AVERAGE(C91:M91)</f>
        <v>1</v>
      </c>
      <c r="N210" s="210">
        <f>AVERAGE(C91:N91)</f>
        <v>1</v>
      </c>
      <c r="O210" s="210">
        <f>SUM(C210:N210)</f>
        <v>12</v>
      </c>
      <c r="R210" s="204"/>
    </row>
    <row r="211" spans="1:18">
      <c r="A211" s="204">
        <f t="shared" si="90"/>
        <v>211</v>
      </c>
      <c r="B211" s="225" t="s">
        <v>226</v>
      </c>
      <c r="C211" s="220">
        <f t="shared" ref="C211:N211" si="95">SUM(C208:C209)</f>
        <v>1</v>
      </c>
      <c r="D211" s="220">
        <f t="shared" si="95"/>
        <v>1</v>
      </c>
      <c r="E211" s="220">
        <f t="shared" si="95"/>
        <v>1</v>
      </c>
      <c r="F211" s="220">
        <f t="shared" si="95"/>
        <v>1</v>
      </c>
      <c r="G211" s="220">
        <f t="shared" si="95"/>
        <v>1</v>
      </c>
      <c r="H211" s="220">
        <f t="shared" si="95"/>
        <v>1</v>
      </c>
      <c r="I211" s="220">
        <f t="shared" si="95"/>
        <v>1</v>
      </c>
      <c r="J211" s="220">
        <f t="shared" si="95"/>
        <v>1</v>
      </c>
      <c r="K211" s="220">
        <f t="shared" si="95"/>
        <v>1</v>
      </c>
      <c r="L211" s="220">
        <f t="shared" si="95"/>
        <v>1</v>
      </c>
      <c r="M211" s="220">
        <f t="shared" si="95"/>
        <v>1</v>
      </c>
      <c r="N211" s="220">
        <f t="shared" si="95"/>
        <v>1</v>
      </c>
      <c r="O211" s="220">
        <f>SUM(C211:N211)</f>
        <v>12</v>
      </c>
      <c r="R211" s="204"/>
    </row>
    <row r="212" spans="1:18">
      <c r="A212" s="204">
        <f t="shared" si="90"/>
        <v>212</v>
      </c>
      <c r="B212" s="223" t="s">
        <v>227</v>
      </c>
      <c r="C212" s="210"/>
      <c r="D212" s="210"/>
      <c r="E212" s="210"/>
      <c r="F212" s="210"/>
      <c r="G212" s="210"/>
      <c r="H212" s="210"/>
      <c r="I212" s="210"/>
      <c r="J212" s="210"/>
      <c r="K212" s="210"/>
      <c r="L212" s="210"/>
      <c r="M212" s="210"/>
      <c r="N212" s="210"/>
      <c r="O212" s="210"/>
      <c r="R212" s="204"/>
    </row>
    <row r="213" spans="1:18">
      <c r="A213" s="204">
        <f t="shared" si="90"/>
        <v>213</v>
      </c>
      <c r="B213" s="202"/>
      <c r="C213" s="210"/>
      <c r="D213" s="210"/>
      <c r="E213" s="210"/>
      <c r="F213" s="210"/>
      <c r="G213" s="210"/>
      <c r="H213" s="210"/>
      <c r="I213" s="210"/>
      <c r="J213" s="210"/>
      <c r="K213" s="210"/>
      <c r="L213" s="210"/>
      <c r="M213" s="210"/>
      <c r="N213" s="210"/>
      <c r="O213" s="210"/>
      <c r="R213" s="204"/>
    </row>
    <row r="214" spans="1:18">
      <c r="A214" s="204">
        <f t="shared" si="90"/>
        <v>214</v>
      </c>
      <c r="B214" s="202" t="s">
        <v>207</v>
      </c>
      <c r="C214" s="222">
        <f>+C96</f>
        <v>0</v>
      </c>
      <c r="D214" s="222">
        <f>AVERAGE(C96:D96)</f>
        <v>0</v>
      </c>
      <c r="E214" s="222">
        <f>AVERAGE(C96:E96)</f>
        <v>0</v>
      </c>
      <c r="F214" s="222">
        <f>AVERAGE(C96:F96)</f>
        <v>0</v>
      </c>
      <c r="G214" s="222">
        <f>AVERAGE(C96:G96)</f>
        <v>0</v>
      </c>
      <c r="H214" s="222">
        <f>AVERAGE(C96:H96)</f>
        <v>0</v>
      </c>
      <c r="I214" s="222">
        <f>AVERAGE(C96:I96)</f>
        <v>0</v>
      </c>
      <c r="J214" s="222">
        <f>AVERAGE(C96:J96)</f>
        <v>0</v>
      </c>
      <c r="K214" s="222">
        <f>AVERAGE(C96:K96)</f>
        <v>0</v>
      </c>
      <c r="L214" s="222">
        <f>AVERAGE(C96:L96)</f>
        <v>0</v>
      </c>
      <c r="M214" s="222">
        <f>AVERAGE(C96:M96)</f>
        <v>0</v>
      </c>
      <c r="N214" s="222">
        <f>AVERAGE(C96:N96)</f>
        <v>0</v>
      </c>
      <c r="O214" s="222">
        <f>SUM(C214:N214)</f>
        <v>0</v>
      </c>
      <c r="R214" s="204"/>
    </row>
    <row r="215" spans="1:18">
      <c r="A215" s="204">
        <f t="shared" si="90"/>
        <v>215</v>
      </c>
      <c r="B215" s="225" t="s">
        <v>228</v>
      </c>
      <c r="C215" s="210">
        <f t="shared" ref="C215:O215" si="96">SUM(C213:C214)</f>
        <v>0</v>
      </c>
      <c r="D215" s="210">
        <f t="shared" si="96"/>
        <v>0</v>
      </c>
      <c r="E215" s="210">
        <f t="shared" si="96"/>
        <v>0</v>
      </c>
      <c r="F215" s="210">
        <f t="shared" si="96"/>
        <v>0</v>
      </c>
      <c r="G215" s="210">
        <f t="shared" si="96"/>
        <v>0</v>
      </c>
      <c r="H215" s="210">
        <f t="shared" si="96"/>
        <v>0</v>
      </c>
      <c r="I215" s="210">
        <f t="shared" si="96"/>
        <v>0</v>
      </c>
      <c r="J215" s="210">
        <f t="shared" si="96"/>
        <v>0</v>
      </c>
      <c r="K215" s="210">
        <f t="shared" si="96"/>
        <v>0</v>
      </c>
      <c r="L215" s="210">
        <f t="shared" si="96"/>
        <v>0</v>
      </c>
      <c r="M215" s="210">
        <f t="shared" si="96"/>
        <v>0</v>
      </c>
      <c r="N215" s="210">
        <f t="shared" si="96"/>
        <v>0</v>
      </c>
      <c r="O215" s="210">
        <f t="shared" si="96"/>
        <v>0</v>
      </c>
      <c r="R215" s="204"/>
    </row>
    <row r="216" spans="1:18">
      <c r="A216" s="204">
        <f t="shared" si="90"/>
        <v>216</v>
      </c>
      <c r="B216" s="225"/>
      <c r="C216" s="210"/>
      <c r="D216" s="210"/>
      <c r="E216" s="210"/>
      <c r="F216" s="210"/>
      <c r="G216" s="210"/>
      <c r="H216" s="210"/>
      <c r="I216" s="210"/>
      <c r="J216" s="210"/>
      <c r="K216" s="210"/>
      <c r="L216" s="210"/>
      <c r="M216" s="210"/>
      <c r="N216" s="210"/>
      <c r="O216" s="210"/>
      <c r="R216" s="204"/>
    </row>
    <row r="217" spans="1:18">
      <c r="A217" s="204">
        <f t="shared" si="90"/>
        <v>217</v>
      </c>
      <c r="B217" s="227" t="s">
        <v>229</v>
      </c>
      <c r="C217" s="228">
        <f t="shared" ref="C217:O217" si="97">+C139+C148+C186+C195+C206+C211+C215</f>
        <v>79007</v>
      </c>
      <c r="D217" s="228">
        <f t="shared" si="97"/>
        <v>79054.5</v>
      </c>
      <c r="E217" s="228">
        <f t="shared" si="97"/>
        <v>79201.000000000015</v>
      </c>
      <c r="F217" s="228">
        <f t="shared" si="97"/>
        <v>79320.5</v>
      </c>
      <c r="G217" s="228">
        <f t="shared" si="97"/>
        <v>79386.8</v>
      </c>
      <c r="H217" s="228">
        <f t="shared" si="97"/>
        <v>79460.666666666672</v>
      </c>
      <c r="I217" s="228">
        <f t="shared" si="97"/>
        <v>79513.285714285725</v>
      </c>
      <c r="J217" s="228">
        <f t="shared" si="97"/>
        <v>79574.375</v>
      </c>
      <c r="K217" s="228">
        <f t="shared" si="97"/>
        <v>79645.111111111124</v>
      </c>
      <c r="L217" s="228">
        <f t="shared" si="97"/>
        <v>79705.7</v>
      </c>
      <c r="M217" s="228">
        <f t="shared" si="97"/>
        <v>79803.181818181823</v>
      </c>
      <c r="N217" s="228">
        <f t="shared" si="97"/>
        <v>79915.249999999985</v>
      </c>
      <c r="O217" s="229">
        <f t="shared" si="97"/>
        <v>953576.37031024531</v>
      </c>
      <c r="R217" s="204"/>
    </row>
    <row r="218" spans="1:18">
      <c r="A218" s="204">
        <f t="shared" si="90"/>
        <v>218</v>
      </c>
      <c r="B218" s="230" t="s">
        <v>230</v>
      </c>
      <c r="C218" s="210"/>
      <c r="D218" s="210"/>
      <c r="E218" s="210"/>
      <c r="F218" s="210"/>
      <c r="G218" s="210"/>
      <c r="H218" s="210"/>
      <c r="I218" s="210"/>
      <c r="J218" s="210"/>
      <c r="K218" s="210"/>
      <c r="L218" s="210"/>
      <c r="M218" s="210"/>
      <c r="N218" s="210"/>
      <c r="O218" s="210"/>
      <c r="R218" s="204"/>
    </row>
    <row r="219" spans="1:18">
      <c r="A219" s="204">
        <f t="shared" si="90"/>
        <v>219</v>
      </c>
      <c r="B219" s="202" t="s">
        <v>232</v>
      </c>
      <c r="C219" s="210">
        <f>+C101</f>
        <v>1</v>
      </c>
      <c r="D219" s="210">
        <f>AVERAGE(C101:D101)</f>
        <v>1</v>
      </c>
      <c r="E219" s="210">
        <f>AVERAGE(C101:E101)</f>
        <v>1</v>
      </c>
      <c r="F219" s="210">
        <f>AVERAGE(C101:F101)</f>
        <v>1</v>
      </c>
      <c r="G219" s="210">
        <f>AVERAGE(C101:G101)</f>
        <v>1</v>
      </c>
      <c r="H219" s="210">
        <f>AVERAGE(C101:H101)</f>
        <v>1</v>
      </c>
      <c r="I219" s="210">
        <f>AVERAGE(C101:I101)</f>
        <v>1</v>
      </c>
      <c r="J219" s="210">
        <f>AVERAGE(C101:J101)</f>
        <v>1</v>
      </c>
      <c r="K219" s="210">
        <f>AVERAGE(C101:K101)</f>
        <v>1</v>
      </c>
      <c r="L219" s="210">
        <f>AVERAGE(C101:L101)</f>
        <v>1</v>
      </c>
      <c r="M219" s="210">
        <f>AVERAGE(C101:M101)</f>
        <v>1</v>
      </c>
      <c r="N219" s="210">
        <f>AVERAGE(C101:N101)</f>
        <v>1</v>
      </c>
      <c r="O219" s="210">
        <f>SUM(C219:N219)</f>
        <v>12</v>
      </c>
      <c r="R219" s="204"/>
    </row>
    <row r="220" spans="1:18">
      <c r="A220" s="204">
        <f t="shared" si="90"/>
        <v>220</v>
      </c>
      <c r="B220" s="203" t="s">
        <v>233</v>
      </c>
      <c r="C220" s="222">
        <f>+C102</f>
        <v>1</v>
      </c>
      <c r="D220" s="222">
        <f>AVERAGE(C102:D102)</f>
        <v>1</v>
      </c>
      <c r="E220" s="222">
        <f>AVERAGE(C102:E102)</f>
        <v>1</v>
      </c>
      <c r="F220" s="222">
        <f>AVERAGE(C102:F102)</f>
        <v>1</v>
      </c>
      <c r="G220" s="222">
        <f>AVERAGE(C102:G102)</f>
        <v>1</v>
      </c>
      <c r="H220" s="222">
        <f>AVERAGE(C102:H102)</f>
        <v>1</v>
      </c>
      <c r="I220" s="222">
        <f>AVERAGE(C102:I102)</f>
        <v>1</v>
      </c>
      <c r="J220" s="222">
        <f>AVERAGE(C102:J102)</f>
        <v>1</v>
      </c>
      <c r="K220" s="222">
        <f>AVERAGE(C102:K102)</f>
        <v>1</v>
      </c>
      <c r="L220" s="222">
        <f>AVERAGE(C102:L102)</f>
        <v>1</v>
      </c>
      <c r="M220" s="222">
        <f>AVERAGE(C102:M102)</f>
        <v>1</v>
      </c>
      <c r="N220" s="222">
        <f>AVERAGE(C102:N102)</f>
        <v>1</v>
      </c>
      <c r="O220" s="222">
        <f>SUM(C220:N220)</f>
        <v>12</v>
      </c>
      <c r="R220" s="204"/>
    </row>
    <row r="221" spans="1:18">
      <c r="A221" s="204">
        <f t="shared" si="90"/>
        <v>221</v>
      </c>
      <c r="B221" s="225" t="s">
        <v>234</v>
      </c>
      <c r="C221" s="210">
        <f t="shared" ref="C221:N221" si="98">SUM(C219:C220)</f>
        <v>2</v>
      </c>
      <c r="D221" s="210">
        <f t="shared" si="98"/>
        <v>2</v>
      </c>
      <c r="E221" s="210">
        <f t="shared" si="98"/>
        <v>2</v>
      </c>
      <c r="F221" s="210">
        <f t="shared" si="98"/>
        <v>2</v>
      </c>
      <c r="G221" s="210">
        <f t="shared" si="98"/>
        <v>2</v>
      </c>
      <c r="H221" s="210">
        <f t="shared" si="98"/>
        <v>2</v>
      </c>
      <c r="I221" s="210">
        <f t="shared" si="98"/>
        <v>2</v>
      </c>
      <c r="J221" s="210">
        <f t="shared" si="98"/>
        <v>2</v>
      </c>
      <c r="K221" s="210">
        <f t="shared" si="98"/>
        <v>2</v>
      </c>
      <c r="L221" s="210">
        <f t="shared" si="98"/>
        <v>2</v>
      </c>
      <c r="M221" s="210">
        <f t="shared" si="98"/>
        <v>2</v>
      </c>
      <c r="N221" s="210">
        <f t="shared" si="98"/>
        <v>2</v>
      </c>
      <c r="O221" s="210">
        <f>SUM(C221:N221)</f>
        <v>24</v>
      </c>
      <c r="R221" s="204"/>
    </row>
    <row r="222" spans="1:18">
      <c r="A222" s="204">
        <f t="shared" si="90"/>
        <v>222</v>
      </c>
      <c r="B222" s="223" t="s">
        <v>235</v>
      </c>
      <c r="C222" s="210"/>
      <c r="D222" s="210"/>
      <c r="E222" s="210"/>
      <c r="F222" s="210"/>
      <c r="G222" s="210"/>
      <c r="H222" s="210"/>
      <c r="I222" s="210"/>
      <c r="J222" s="210"/>
      <c r="K222" s="210"/>
      <c r="L222" s="210"/>
      <c r="M222" s="210"/>
      <c r="N222" s="210"/>
      <c r="O222" s="210"/>
      <c r="R222" s="204"/>
    </row>
    <row r="223" spans="1:18">
      <c r="A223" s="204">
        <f t="shared" si="90"/>
        <v>223</v>
      </c>
      <c r="B223" s="202" t="s">
        <v>237</v>
      </c>
      <c r="C223" s="210">
        <f>+C106</f>
        <v>1</v>
      </c>
      <c r="D223" s="210">
        <f>AVERAGE(C106:D106)</f>
        <v>1</v>
      </c>
      <c r="E223" s="210">
        <f>AVERAGE(C106:E106)</f>
        <v>1</v>
      </c>
      <c r="F223" s="210">
        <f>AVERAGE(C106:F106)</f>
        <v>1</v>
      </c>
      <c r="G223" s="210">
        <f>AVERAGE(C106:G106)</f>
        <v>1</v>
      </c>
      <c r="H223" s="210">
        <f>AVERAGE(C106:H106)</f>
        <v>1</v>
      </c>
      <c r="I223" s="210">
        <f>AVERAGE(C106:I106)</f>
        <v>1</v>
      </c>
      <c r="J223" s="210">
        <f>AVERAGE(C106:J106)</f>
        <v>1</v>
      </c>
      <c r="K223" s="210">
        <f>AVERAGE(C106:K106)</f>
        <v>1</v>
      </c>
      <c r="L223" s="210">
        <f>AVERAGE(C106:L106)</f>
        <v>1</v>
      </c>
      <c r="M223" s="210">
        <f>AVERAGE(C106:M106)</f>
        <v>1</v>
      </c>
      <c r="N223" s="210">
        <f>AVERAGE(C106:N106)</f>
        <v>1</v>
      </c>
      <c r="O223" s="210">
        <f>SUM(C223:N223)</f>
        <v>12</v>
      </c>
      <c r="R223" s="204"/>
    </row>
    <row r="224" spans="1:18">
      <c r="A224" s="204">
        <f t="shared" si="90"/>
        <v>224</v>
      </c>
      <c r="B224" s="203" t="s">
        <v>238</v>
      </c>
      <c r="C224" s="222">
        <f>+C107</f>
        <v>1</v>
      </c>
      <c r="D224" s="222">
        <f>AVERAGE(C107:D107)</f>
        <v>1</v>
      </c>
      <c r="E224" s="222">
        <f>AVERAGE(C107:E107)</f>
        <v>1</v>
      </c>
      <c r="F224" s="222">
        <f>AVERAGE(C107:F107)</f>
        <v>1</v>
      </c>
      <c r="G224" s="222">
        <f>AVERAGE(C107:G107)</f>
        <v>1</v>
      </c>
      <c r="H224" s="222">
        <f>AVERAGE(C107:H107)</f>
        <v>1</v>
      </c>
      <c r="I224" s="222">
        <f>AVERAGE(C107:I107)</f>
        <v>1</v>
      </c>
      <c r="J224" s="222">
        <f>AVERAGE(C107:J107)</f>
        <v>1</v>
      </c>
      <c r="K224" s="222">
        <f>AVERAGE(C107:K107)</f>
        <v>1</v>
      </c>
      <c r="L224" s="222">
        <f>AVERAGE(C107:L107)</f>
        <v>1</v>
      </c>
      <c r="M224" s="222">
        <f>AVERAGE(C107:M107)</f>
        <v>1</v>
      </c>
      <c r="N224" s="222">
        <f>AVERAGE(C107:N107)</f>
        <v>1</v>
      </c>
      <c r="O224" s="222">
        <f>SUM(C224:N224)</f>
        <v>12</v>
      </c>
    </row>
    <row r="225" spans="1:15">
      <c r="A225" s="204">
        <f t="shared" si="90"/>
        <v>225</v>
      </c>
      <c r="B225" s="225" t="s">
        <v>239</v>
      </c>
      <c r="C225" s="210">
        <f t="shared" ref="C225:N225" si="99">SUM(C223:C224)</f>
        <v>2</v>
      </c>
      <c r="D225" s="210">
        <f t="shared" si="99"/>
        <v>2</v>
      </c>
      <c r="E225" s="210">
        <f t="shared" si="99"/>
        <v>2</v>
      </c>
      <c r="F225" s="210">
        <f t="shared" si="99"/>
        <v>2</v>
      </c>
      <c r="G225" s="210">
        <f t="shared" si="99"/>
        <v>2</v>
      </c>
      <c r="H225" s="210">
        <f t="shared" si="99"/>
        <v>2</v>
      </c>
      <c r="I225" s="210">
        <f t="shared" si="99"/>
        <v>2</v>
      </c>
      <c r="J225" s="210">
        <f t="shared" si="99"/>
        <v>2</v>
      </c>
      <c r="K225" s="210">
        <f t="shared" si="99"/>
        <v>2</v>
      </c>
      <c r="L225" s="210">
        <f t="shared" si="99"/>
        <v>2</v>
      </c>
      <c r="M225" s="210">
        <f t="shared" si="99"/>
        <v>2</v>
      </c>
      <c r="N225" s="210">
        <f t="shared" si="99"/>
        <v>2</v>
      </c>
      <c r="O225" s="210">
        <f>SUM(C225:N225)</f>
        <v>24</v>
      </c>
    </row>
    <row r="226" spans="1:15">
      <c r="A226" s="204">
        <f t="shared" si="90"/>
        <v>226</v>
      </c>
      <c r="B226" s="225"/>
      <c r="C226" s="210"/>
      <c r="D226" s="210"/>
      <c r="E226" s="210"/>
      <c r="F226" s="210"/>
      <c r="G226" s="210"/>
      <c r="H226" s="210"/>
      <c r="I226" s="210"/>
      <c r="J226" s="210"/>
      <c r="K226" s="210"/>
      <c r="L226" s="210"/>
      <c r="M226" s="210"/>
      <c r="N226" s="210"/>
      <c r="O226" s="210"/>
    </row>
    <row r="227" spans="1:15">
      <c r="A227" s="204">
        <f t="shared" si="90"/>
        <v>227</v>
      </c>
      <c r="B227" s="227" t="s">
        <v>240</v>
      </c>
      <c r="C227" s="228">
        <f t="shared" ref="C227:O227" si="100">+C221+C225</f>
        <v>4</v>
      </c>
      <c r="D227" s="228">
        <f t="shared" si="100"/>
        <v>4</v>
      </c>
      <c r="E227" s="228">
        <f t="shared" si="100"/>
        <v>4</v>
      </c>
      <c r="F227" s="228">
        <f t="shared" si="100"/>
        <v>4</v>
      </c>
      <c r="G227" s="228">
        <f t="shared" si="100"/>
        <v>4</v>
      </c>
      <c r="H227" s="228">
        <f t="shared" si="100"/>
        <v>4</v>
      </c>
      <c r="I227" s="228">
        <f t="shared" si="100"/>
        <v>4</v>
      </c>
      <c r="J227" s="228">
        <f t="shared" si="100"/>
        <v>4</v>
      </c>
      <c r="K227" s="228">
        <f t="shared" si="100"/>
        <v>4</v>
      </c>
      <c r="L227" s="228">
        <f t="shared" si="100"/>
        <v>4</v>
      </c>
      <c r="M227" s="228">
        <f t="shared" si="100"/>
        <v>4</v>
      </c>
      <c r="N227" s="228">
        <f t="shared" si="100"/>
        <v>4</v>
      </c>
      <c r="O227" s="229">
        <f t="shared" si="100"/>
        <v>48</v>
      </c>
    </row>
    <row r="228" spans="1:15">
      <c r="A228" s="204">
        <f t="shared" si="90"/>
        <v>228</v>
      </c>
      <c r="B228" s="225"/>
      <c r="C228" s="210"/>
      <c r="D228" s="210"/>
      <c r="E228" s="210"/>
      <c r="F228" s="210"/>
      <c r="G228" s="210"/>
      <c r="H228" s="210"/>
      <c r="I228" s="210"/>
      <c r="J228" s="210"/>
      <c r="K228" s="210"/>
      <c r="L228" s="210"/>
      <c r="M228" s="210"/>
      <c r="N228" s="210"/>
      <c r="O228" s="210"/>
    </row>
    <row r="229" spans="1:15">
      <c r="A229" s="204">
        <f t="shared" si="90"/>
        <v>229</v>
      </c>
      <c r="B229" s="227" t="s">
        <v>241</v>
      </c>
      <c r="C229" s="228">
        <f t="shared" ref="C229:O229" si="101">+C217+C227</f>
        <v>79011</v>
      </c>
      <c r="D229" s="228">
        <f t="shared" si="101"/>
        <v>79058.5</v>
      </c>
      <c r="E229" s="228">
        <f t="shared" si="101"/>
        <v>79205.000000000015</v>
      </c>
      <c r="F229" s="228">
        <f t="shared" si="101"/>
        <v>79324.5</v>
      </c>
      <c r="G229" s="228">
        <f t="shared" si="101"/>
        <v>79390.8</v>
      </c>
      <c r="H229" s="228">
        <f t="shared" si="101"/>
        <v>79464.666666666672</v>
      </c>
      <c r="I229" s="228">
        <f t="shared" si="101"/>
        <v>79517.285714285725</v>
      </c>
      <c r="J229" s="228">
        <f t="shared" si="101"/>
        <v>79578.375</v>
      </c>
      <c r="K229" s="228">
        <f t="shared" si="101"/>
        <v>79649.111111111124</v>
      </c>
      <c r="L229" s="228">
        <f t="shared" si="101"/>
        <v>79709.7</v>
      </c>
      <c r="M229" s="228">
        <f t="shared" si="101"/>
        <v>79807.181818181823</v>
      </c>
      <c r="N229" s="228">
        <f t="shared" si="101"/>
        <v>79919.249999999985</v>
      </c>
      <c r="O229" s="229">
        <f t="shared" si="101"/>
        <v>953624.37031024531</v>
      </c>
    </row>
    <row r="230" spans="1:15">
      <c r="A230" s="204">
        <f t="shared" si="90"/>
        <v>230</v>
      </c>
    </row>
    <row r="231" spans="1:15">
      <c r="A231" s="204">
        <f t="shared" si="90"/>
        <v>231</v>
      </c>
      <c r="B231" s="233" t="s">
        <v>254</v>
      </c>
      <c r="C231" s="232"/>
      <c r="D231" s="232"/>
      <c r="E231" s="232"/>
      <c r="F231" s="232"/>
      <c r="G231" s="232"/>
      <c r="H231" s="232"/>
      <c r="I231" s="232"/>
      <c r="J231" s="232"/>
      <c r="K231" s="232"/>
      <c r="L231" s="232"/>
      <c r="M231" s="232"/>
      <c r="N231" s="232"/>
      <c r="O231" s="232"/>
    </row>
    <row r="232" spans="1:15">
      <c r="A232" s="204">
        <f t="shared" si="90"/>
        <v>232</v>
      </c>
      <c r="B232" s="234" t="s">
        <v>173</v>
      </c>
      <c r="C232" s="210">
        <f t="shared" ref="C232:C237" si="102">+C113</f>
        <v>169</v>
      </c>
      <c r="D232" s="210">
        <f>AVERAGE($C113:D113)</f>
        <v>171.5</v>
      </c>
      <c r="E232" s="210">
        <f>AVERAGE($C113:E113)</f>
        <v>172.33333333333334</v>
      </c>
      <c r="F232" s="210">
        <f>AVERAGE($C113:F113)</f>
        <v>171.75</v>
      </c>
      <c r="G232" s="210">
        <f>AVERAGE($C113:G113)</f>
        <v>171.6</v>
      </c>
      <c r="H232" s="210">
        <f>AVERAGE($C113:H113)</f>
        <v>172.83333333333334</v>
      </c>
      <c r="I232" s="210">
        <f>AVERAGE($C113:I113)</f>
        <v>173.71428571428572</v>
      </c>
      <c r="J232" s="210">
        <f>AVERAGE($C113:J113)</f>
        <v>174.25</v>
      </c>
      <c r="K232" s="210">
        <f>AVERAGE($C113:K113)</f>
        <v>174.77777777777777</v>
      </c>
      <c r="L232" s="210">
        <f>AVERAGE($C113:L113)</f>
        <v>175</v>
      </c>
      <c r="M232" s="210">
        <f>AVERAGE($C113:M113)</f>
        <v>175.27272727272728</v>
      </c>
      <c r="N232" s="210">
        <f>AVERAGE($C113:N113)</f>
        <v>175.75</v>
      </c>
      <c r="O232" s="210">
        <f t="shared" ref="O232:O237" si="103">AVERAGE(C232:N232)</f>
        <v>173.14845478595478</v>
      </c>
    </row>
    <row r="233" spans="1:15">
      <c r="A233" s="204">
        <f t="shared" si="90"/>
        <v>233</v>
      </c>
      <c r="B233" s="234" t="s">
        <v>176</v>
      </c>
      <c r="C233" s="210">
        <f t="shared" si="102"/>
        <v>844</v>
      </c>
      <c r="D233" s="210">
        <f>AVERAGE($C114:D114)</f>
        <v>843.5</v>
      </c>
      <c r="E233" s="210">
        <f>AVERAGE($C114:E114)</f>
        <v>848.66666666666663</v>
      </c>
      <c r="F233" s="210">
        <f>AVERAGE($C114:F114)</f>
        <v>847</v>
      </c>
      <c r="G233" s="210">
        <f>AVERAGE($C114:G114)</f>
        <v>847.4</v>
      </c>
      <c r="H233" s="210">
        <f>AVERAGE($C114:H114)</f>
        <v>853.33333333333337</v>
      </c>
      <c r="I233" s="210">
        <f>AVERAGE($C114:I114)</f>
        <v>854.57142857142856</v>
      </c>
      <c r="J233" s="210">
        <f>AVERAGE($C114:J114)</f>
        <v>858.25</v>
      </c>
      <c r="K233" s="210">
        <f>AVERAGE($C114:K114)</f>
        <v>864</v>
      </c>
      <c r="L233" s="210">
        <f>AVERAGE($C114:L114)</f>
        <v>869.4</v>
      </c>
      <c r="M233" s="210">
        <f>AVERAGE($C114:M114)</f>
        <v>875.36363636363637</v>
      </c>
      <c r="N233" s="210">
        <f>AVERAGE($C114:N114)</f>
        <v>881.08333333333337</v>
      </c>
      <c r="O233" s="210">
        <f t="shared" si="103"/>
        <v>857.21403318903322</v>
      </c>
    </row>
    <row r="234" spans="1:15">
      <c r="A234" s="204">
        <f t="shared" si="90"/>
        <v>234</v>
      </c>
      <c r="B234" s="234" t="s">
        <v>180</v>
      </c>
      <c r="C234" s="210">
        <f t="shared" si="102"/>
        <v>1130</v>
      </c>
      <c r="D234" s="210">
        <f>AVERAGE($C115:D115)</f>
        <v>1132</v>
      </c>
      <c r="E234" s="210">
        <f>AVERAGE($C115:E115)</f>
        <v>1137.6666666666667</v>
      </c>
      <c r="F234" s="210">
        <f>AVERAGE($C115:F115)</f>
        <v>1140.75</v>
      </c>
      <c r="G234" s="210">
        <f>AVERAGE($C115:G115)</f>
        <v>1142</v>
      </c>
      <c r="H234" s="210">
        <f>AVERAGE($C115:H115)</f>
        <v>1143.5</v>
      </c>
      <c r="I234" s="210">
        <f>AVERAGE($C115:I115)</f>
        <v>1145.8571428571429</v>
      </c>
      <c r="J234" s="210">
        <f>AVERAGE($C115:J115)</f>
        <v>1152</v>
      </c>
      <c r="K234" s="210">
        <f>AVERAGE($C115:K115)</f>
        <v>1151.8888888888889</v>
      </c>
      <c r="L234" s="210">
        <f>AVERAGE($C115:L115)</f>
        <v>1151.2</v>
      </c>
      <c r="M234" s="210">
        <f>AVERAGE($C115:M115)</f>
        <v>1150.4545454545455</v>
      </c>
      <c r="N234" s="210">
        <f>AVERAGE($C115:N115)</f>
        <v>1151.5833333333333</v>
      </c>
      <c r="O234" s="210">
        <f t="shared" si="103"/>
        <v>1144.0750481000482</v>
      </c>
    </row>
    <row r="235" spans="1:15">
      <c r="A235" s="204">
        <f t="shared" si="90"/>
        <v>235</v>
      </c>
      <c r="B235" s="234" t="s">
        <v>181</v>
      </c>
      <c r="C235" s="210">
        <f t="shared" si="102"/>
        <v>59</v>
      </c>
      <c r="D235" s="210">
        <f>AVERAGE($C116:D116)</f>
        <v>55</v>
      </c>
      <c r="E235" s="210">
        <f>AVERAGE($C116:E116)</f>
        <v>55.333333333333336</v>
      </c>
      <c r="F235" s="210">
        <f>AVERAGE($C116:F116)</f>
        <v>54.75</v>
      </c>
      <c r="G235" s="210">
        <f>AVERAGE($C116:G116)</f>
        <v>54</v>
      </c>
      <c r="H235" s="210">
        <f>AVERAGE($C116:H116)</f>
        <v>55.5</v>
      </c>
      <c r="I235" s="210">
        <f>AVERAGE($C116:I116)</f>
        <v>55.142857142857146</v>
      </c>
      <c r="J235" s="210">
        <f>AVERAGE($C116:J116)</f>
        <v>54.5</v>
      </c>
      <c r="K235" s="210">
        <f>AVERAGE($C116:K116)</f>
        <v>54.222222222222221</v>
      </c>
      <c r="L235" s="210">
        <f>AVERAGE($C116:L116)</f>
        <v>54.1</v>
      </c>
      <c r="M235" s="210">
        <f>AVERAGE($C116:M116)</f>
        <v>54.727272727272727</v>
      </c>
      <c r="N235" s="210">
        <f>AVERAGE($C116:N116)</f>
        <v>54.666666666666664</v>
      </c>
      <c r="O235" s="210">
        <f t="shared" si="103"/>
        <v>55.078529341029345</v>
      </c>
    </row>
    <row r="236" spans="1:15">
      <c r="A236" s="204">
        <f t="shared" si="90"/>
        <v>236</v>
      </c>
      <c r="B236" s="234" t="s">
        <v>184</v>
      </c>
      <c r="C236" s="210">
        <f t="shared" si="102"/>
        <v>17</v>
      </c>
      <c r="D236" s="210">
        <f>AVERAGE($C117:D117)</f>
        <v>17</v>
      </c>
      <c r="E236" s="210">
        <f>AVERAGE($C117:E117)</f>
        <v>17</v>
      </c>
      <c r="F236" s="210">
        <f>AVERAGE($C117:F117)</f>
        <v>17</v>
      </c>
      <c r="G236" s="210">
        <f>AVERAGE($C117:G117)</f>
        <v>17.399999999999999</v>
      </c>
      <c r="H236" s="210">
        <f>AVERAGE($C117:H117)</f>
        <v>17.333333333333332</v>
      </c>
      <c r="I236" s="210">
        <f>AVERAGE($C117:I117)</f>
        <v>17.285714285714285</v>
      </c>
      <c r="J236" s="210">
        <f>AVERAGE($C117:J117)</f>
        <v>17.25</v>
      </c>
      <c r="K236" s="210">
        <f>AVERAGE($C117:K117)</f>
        <v>17.222222222222221</v>
      </c>
      <c r="L236" s="210">
        <f>AVERAGE($C117:L117)</f>
        <v>17.2</v>
      </c>
      <c r="M236" s="210">
        <f>AVERAGE($C117:M117)</f>
        <v>17.181818181818183</v>
      </c>
      <c r="N236" s="210">
        <f>AVERAGE($C117:N117)</f>
        <v>17.25</v>
      </c>
      <c r="O236" s="210">
        <f t="shared" si="103"/>
        <v>17.176924001924004</v>
      </c>
    </row>
    <row r="237" spans="1:15">
      <c r="A237" s="204">
        <f t="shared" si="90"/>
        <v>237</v>
      </c>
      <c r="B237" s="234" t="s">
        <v>255</v>
      </c>
      <c r="C237" s="210">
        <f t="shared" si="102"/>
        <v>7</v>
      </c>
      <c r="D237" s="210">
        <f>AVERAGE($C118:D118)</f>
        <v>7</v>
      </c>
      <c r="E237" s="210">
        <f>AVERAGE($C118:E118)</f>
        <v>7</v>
      </c>
      <c r="F237" s="210">
        <f>AVERAGE($C118:F118)</f>
        <v>7</v>
      </c>
      <c r="G237" s="210">
        <f>AVERAGE($C118:G118)</f>
        <v>7</v>
      </c>
      <c r="H237" s="210">
        <f>AVERAGE($C118:H118)</f>
        <v>7</v>
      </c>
      <c r="I237" s="210">
        <f>AVERAGE($C118:I118)</f>
        <v>7</v>
      </c>
      <c r="J237" s="210">
        <f>AVERAGE($C118:J118)</f>
        <v>7</v>
      </c>
      <c r="K237" s="210">
        <f>AVERAGE($C118:K118)</f>
        <v>7</v>
      </c>
      <c r="L237" s="210">
        <f>AVERAGE($C118:L118)</f>
        <v>7</v>
      </c>
      <c r="M237" s="210">
        <f>AVERAGE($C118:M118)</f>
        <v>7</v>
      </c>
      <c r="N237" s="210">
        <f>AVERAGE($C118:N118)</f>
        <v>7.083333333333333</v>
      </c>
      <c r="O237" s="210">
        <f t="shared" si="103"/>
        <v>7.0069444444444438</v>
      </c>
    </row>
    <row r="238" spans="1:15">
      <c r="A238" s="204">
        <f t="shared" si="90"/>
        <v>238</v>
      </c>
      <c r="B238" s="235" t="s">
        <v>256</v>
      </c>
      <c r="C238" s="232">
        <f t="shared" ref="C238:O238" si="104">+SUM(C232:C237)</f>
        <v>2226</v>
      </c>
      <c r="D238" s="232">
        <f t="shared" si="104"/>
        <v>2226</v>
      </c>
      <c r="E238" s="232">
        <f t="shared" si="104"/>
        <v>2238.0000000000005</v>
      </c>
      <c r="F238" s="232">
        <f t="shared" si="104"/>
        <v>2238.25</v>
      </c>
      <c r="G238" s="232">
        <f t="shared" si="104"/>
        <v>2239.4</v>
      </c>
      <c r="H238" s="232">
        <f t="shared" si="104"/>
        <v>2249.5000000000005</v>
      </c>
      <c r="I238" s="232">
        <f t="shared" si="104"/>
        <v>2253.5714285714284</v>
      </c>
      <c r="J238" s="232">
        <f t="shared" si="104"/>
        <v>2263.25</v>
      </c>
      <c r="K238" s="232">
        <f t="shared" si="104"/>
        <v>2269.1111111111113</v>
      </c>
      <c r="L238" s="232">
        <f t="shared" si="104"/>
        <v>2273.9</v>
      </c>
      <c r="M238" s="232">
        <f t="shared" si="104"/>
        <v>2279.9999999999995</v>
      </c>
      <c r="N238" s="232">
        <f t="shared" si="104"/>
        <v>2287.416666666667</v>
      </c>
      <c r="O238" s="232">
        <f t="shared" si="104"/>
        <v>2253.6999338624341</v>
      </c>
    </row>
    <row r="239" spans="1:15">
      <c r="A239" s="204">
        <f t="shared" si="90"/>
        <v>239</v>
      </c>
      <c r="B239" s="235"/>
      <c r="C239" s="232"/>
      <c r="D239" s="232"/>
      <c r="E239" s="232"/>
      <c r="F239" s="232"/>
      <c r="G239" s="232"/>
      <c r="H239" s="232"/>
      <c r="I239" s="232"/>
      <c r="J239" s="232"/>
      <c r="K239" s="232"/>
      <c r="L239" s="232"/>
      <c r="M239" s="232"/>
      <c r="N239" s="232"/>
      <c r="O239" s="232"/>
    </row>
    <row r="240" spans="1:15">
      <c r="A240" s="204">
        <f t="shared" si="90"/>
        <v>240</v>
      </c>
      <c r="B240" s="233" t="s">
        <v>257</v>
      </c>
      <c r="C240" s="232"/>
      <c r="D240" s="232"/>
      <c r="E240" s="232"/>
      <c r="F240" s="232"/>
      <c r="G240" s="232"/>
      <c r="H240" s="232"/>
      <c r="I240" s="232"/>
      <c r="J240" s="232"/>
      <c r="K240" s="232"/>
      <c r="L240" s="232"/>
      <c r="M240" s="232"/>
      <c r="N240" s="232"/>
      <c r="O240" s="232"/>
    </row>
    <row r="241" spans="1:21">
      <c r="A241" s="204">
        <f t="shared" si="90"/>
        <v>241</v>
      </c>
      <c r="B241" s="234" t="s">
        <v>181</v>
      </c>
      <c r="C241" s="210">
        <f>+C122</f>
        <v>38</v>
      </c>
      <c r="D241" s="210">
        <f>AVERAGE($C122:D122)</f>
        <v>38</v>
      </c>
      <c r="E241" s="210">
        <f>AVERAGE($C122:E122)</f>
        <v>38</v>
      </c>
      <c r="F241" s="210">
        <f>AVERAGE($C122:F122)</f>
        <v>38</v>
      </c>
      <c r="G241" s="210">
        <f>AVERAGE($C122:G122)</f>
        <v>38</v>
      </c>
      <c r="H241" s="210">
        <f>AVERAGE($C122:H122)</f>
        <v>38</v>
      </c>
      <c r="I241" s="210">
        <f>AVERAGE($C122:I122)</f>
        <v>38</v>
      </c>
      <c r="J241" s="210">
        <f>AVERAGE($C122:J122)</f>
        <v>38</v>
      </c>
      <c r="K241" s="210">
        <f>AVERAGE($C122:K122)</f>
        <v>38</v>
      </c>
      <c r="L241" s="210">
        <f>AVERAGE($C122:L122)</f>
        <v>37</v>
      </c>
      <c r="M241" s="210">
        <f>AVERAGE($C122:M122)</f>
        <v>37.090909090909093</v>
      </c>
      <c r="N241" s="210">
        <f>AVERAGE($C122:N122)</f>
        <v>37.166666666666664</v>
      </c>
      <c r="O241" s="210">
        <f>AVERAGE(C241:N241)</f>
        <v>37.771464646464651</v>
      </c>
    </row>
    <row r="242" spans="1:21">
      <c r="A242" s="204">
        <f t="shared" si="90"/>
        <v>242</v>
      </c>
      <c r="B242" s="234" t="s">
        <v>184</v>
      </c>
      <c r="C242" s="210">
        <f>+C123</f>
        <v>17</v>
      </c>
      <c r="D242" s="210">
        <f>AVERAGE($C123:D123)</f>
        <v>17</v>
      </c>
      <c r="E242" s="210">
        <f>AVERAGE($C123:E123)</f>
        <v>17</v>
      </c>
      <c r="F242" s="210">
        <f>AVERAGE($C123:F123)</f>
        <v>17</v>
      </c>
      <c r="G242" s="210">
        <f>AVERAGE($C123:G123)</f>
        <v>17</v>
      </c>
      <c r="H242" s="210">
        <f>AVERAGE($C123:H123)</f>
        <v>17</v>
      </c>
      <c r="I242" s="210">
        <f>AVERAGE($C123:I123)</f>
        <v>17</v>
      </c>
      <c r="J242" s="210">
        <f>AVERAGE($C123:J123)</f>
        <v>17</v>
      </c>
      <c r="K242" s="210">
        <f>AVERAGE($C123:K123)</f>
        <v>17.111111111111111</v>
      </c>
      <c r="L242" s="210">
        <f>AVERAGE($C123:L123)</f>
        <v>17.2</v>
      </c>
      <c r="M242" s="210">
        <f>AVERAGE($C123:M123)</f>
        <v>17.181818181818183</v>
      </c>
      <c r="N242" s="210">
        <f>AVERAGE($C123:N123)</f>
        <v>17.166666666666668</v>
      </c>
      <c r="O242" s="210">
        <f>AVERAGE(C242:N242)</f>
        <v>17.05496632996633</v>
      </c>
    </row>
    <row r="243" spans="1:21">
      <c r="A243" s="204">
        <f t="shared" si="90"/>
        <v>243</v>
      </c>
      <c r="B243" s="235" t="s">
        <v>258</v>
      </c>
      <c r="C243" s="210">
        <f t="shared" ref="C243:O243" si="105">+SUM(C241:C242)</f>
        <v>55</v>
      </c>
      <c r="D243" s="210">
        <f t="shared" si="105"/>
        <v>55</v>
      </c>
      <c r="E243" s="210">
        <f t="shared" si="105"/>
        <v>55</v>
      </c>
      <c r="F243" s="210">
        <f t="shared" si="105"/>
        <v>55</v>
      </c>
      <c r="G243" s="210">
        <f t="shared" si="105"/>
        <v>55</v>
      </c>
      <c r="H243" s="210">
        <f t="shared" si="105"/>
        <v>55</v>
      </c>
      <c r="I243" s="210">
        <f t="shared" si="105"/>
        <v>55</v>
      </c>
      <c r="J243" s="210">
        <f t="shared" si="105"/>
        <v>55</v>
      </c>
      <c r="K243" s="210">
        <f t="shared" si="105"/>
        <v>55.111111111111114</v>
      </c>
      <c r="L243" s="210">
        <f t="shared" si="105"/>
        <v>54.2</v>
      </c>
      <c r="M243" s="210">
        <f t="shared" si="105"/>
        <v>54.27272727272728</v>
      </c>
      <c r="N243" s="210">
        <f t="shared" si="105"/>
        <v>54.333333333333329</v>
      </c>
      <c r="O243" s="210">
        <f t="shared" si="105"/>
        <v>54.826430976430984</v>
      </c>
    </row>
    <row r="244" spans="1:21">
      <c r="A244" s="204">
        <f t="shared" si="90"/>
        <v>244</v>
      </c>
      <c r="B244" s="235"/>
      <c r="C244" s="210"/>
      <c r="D244" s="210"/>
      <c r="E244" s="210"/>
      <c r="F244" s="210"/>
      <c r="G244" s="210"/>
      <c r="H244" s="210"/>
      <c r="I244" s="210"/>
      <c r="J244" s="210"/>
      <c r="K244" s="210"/>
      <c r="L244" s="210"/>
      <c r="M244" s="210"/>
      <c r="N244" s="210"/>
      <c r="O244" s="210"/>
    </row>
    <row r="249" spans="1:21">
      <c r="A249" s="204" t="s">
        <v>243</v>
      </c>
      <c r="C249" s="214"/>
      <c r="D249" s="214"/>
      <c r="E249" s="214"/>
      <c r="F249" s="214"/>
      <c r="G249" s="214"/>
      <c r="H249" s="214"/>
      <c r="I249" s="214"/>
      <c r="J249" s="214"/>
      <c r="K249" s="214"/>
      <c r="L249" s="214"/>
    </row>
    <row r="250" spans="1:21">
      <c r="A250" s="204" t="s">
        <v>1401</v>
      </c>
      <c r="C250" s="210"/>
      <c r="D250" s="210"/>
      <c r="E250" s="210"/>
      <c r="F250" s="210"/>
      <c r="G250" s="210"/>
      <c r="H250" s="210"/>
      <c r="I250" s="210"/>
      <c r="J250" s="210"/>
      <c r="K250" s="210"/>
      <c r="L250" s="210"/>
      <c r="M250" s="210"/>
      <c r="N250" s="210"/>
    </row>
    <row r="251" spans="1:21">
      <c r="A251" s="204" t="s">
        <v>1402</v>
      </c>
      <c r="C251" s="215">
        <f t="shared" ref="C251:N251" si="106">C126-C250+C249</f>
        <v>79015</v>
      </c>
      <c r="D251" s="215">
        <f t="shared" si="106"/>
        <v>79110</v>
      </c>
      <c r="E251" s="215">
        <f t="shared" si="106"/>
        <v>79502</v>
      </c>
      <c r="F251" s="215">
        <f t="shared" si="106"/>
        <v>79686</v>
      </c>
      <c r="G251" s="215">
        <f t="shared" si="106"/>
        <v>79663</v>
      </c>
      <c r="H251" s="215">
        <f t="shared" si="106"/>
        <v>79841</v>
      </c>
      <c r="I251" s="215">
        <f t="shared" si="106"/>
        <v>79840</v>
      </c>
      <c r="J251" s="215">
        <f t="shared" si="106"/>
        <v>80013</v>
      </c>
      <c r="K251" s="215">
        <f t="shared" si="106"/>
        <v>80222</v>
      </c>
      <c r="L251" s="215">
        <f t="shared" si="106"/>
        <v>80262</v>
      </c>
      <c r="M251" s="215">
        <f t="shared" si="106"/>
        <v>80789</v>
      </c>
      <c r="N251" s="215">
        <f t="shared" si="106"/>
        <v>81159</v>
      </c>
    </row>
    <row r="255" spans="1:21" ht="12.75">
      <c r="A255" s="300"/>
      <c r="B255" s="301" t="s">
        <v>706</v>
      </c>
      <c r="C255" s="297">
        <v>15</v>
      </c>
      <c r="D255" s="297">
        <v>15</v>
      </c>
      <c r="E255" s="297">
        <v>17</v>
      </c>
      <c r="F255" s="297">
        <v>17</v>
      </c>
      <c r="G255" s="297">
        <v>17</v>
      </c>
      <c r="H255" s="297">
        <v>16</v>
      </c>
      <c r="I255" s="297">
        <v>16</v>
      </c>
      <c r="J255" s="297">
        <v>16</v>
      </c>
      <c r="K255" s="297">
        <v>16</v>
      </c>
      <c r="L255" s="297">
        <v>16</v>
      </c>
      <c r="M255" s="297">
        <v>16</v>
      </c>
      <c r="N255" s="297">
        <v>16</v>
      </c>
      <c r="O255" s="297">
        <f>SUM(C255:N255)</f>
        <v>193</v>
      </c>
      <c r="P255" s="300"/>
      <c r="Q255" s="300" t="s">
        <v>14</v>
      </c>
      <c r="R255" s="302">
        <f>O255</f>
        <v>193</v>
      </c>
      <c r="S255" s="297" t="s">
        <v>706</v>
      </c>
      <c r="T255" s="303"/>
      <c r="U255" s="300" t="s">
        <v>1245</v>
      </c>
    </row>
    <row r="256" spans="1:21" ht="12.75">
      <c r="A256" s="300"/>
      <c r="B256" s="301" t="s">
        <v>709</v>
      </c>
      <c r="C256" s="297">
        <v>3</v>
      </c>
      <c r="D256" s="297">
        <v>3</v>
      </c>
      <c r="E256" s="297">
        <v>3</v>
      </c>
      <c r="F256" s="297">
        <v>3</v>
      </c>
      <c r="G256" s="297">
        <v>3</v>
      </c>
      <c r="H256" s="297">
        <v>3</v>
      </c>
      <c r="I256" s="297">
        <v>3</v>
      </c>
      <c r="J256" s="297">
        <v>3</v>
      </c>
      <c r="K256" s="297">
        <v>3</v>
      </c>
      <c r="L256" s="297">
        <v>3</v>
      </c>
      <c r="M256" s="297">
        <v>3</v>
      </c>
      <c r="N256" s="297">
        <v>3</v>
      </c>
      <c r="O256" s="297">
        <f>SUM(C256:N256)</f>
        <v>36</v>
      </c>
      <c r="P256" s="300"/>
      <c r="Q256" s="300" t="s">
        <v>14</v>
      </c>
      <c r="R256" s="302">
        <f>O256</f>
        <v>36</v>
      </c>
      <c r="S256" s="297" t="s">
        <v>709</v>
      </c>
      <c r="T256" s="303"/>
      <c r="U256" s="300" t="s">
        <v>1245</v>
      </c>
    </row>
    <row r="257" spans="1:21" ht="12.75">
      <c r="A257" s="300"/>
      <c r="B257" s="301" t="s">
        <v>716</v>
      </c>
      <c r="C257" s="297">
        <v>4</v>
      </c>
      <c r="D257" s="297">
        <v>4</v>
      </c>
      <c r="E257" s="297">
        <v>4</v>
      </c>
      <c r="F257" s="297">
        <v>4</v>
      </c>
      <c r="G257" s="297">
        <v>4</v>
      </c>
      <c r="H257" s="297">
        <v>4</v>
      </c>
      <c r="I257" s="297">
        <v>4</v>
      </c>
      <c r="J257" s="297">
        <v>4</v>
      </c>
      <c r="K257" s="297">
        <v>4</v>
      </c>
      <c r="L257" s="297">
        <v>4</v>
      </c>
      <c r="M257" s="297">
        <v>4</v>
      </c>
      <c r="N257" s="297">
        <v>4</v>
      </c>
      <c r="O257" s="297">
        <f>SUM(C257:N257)</f>
        <v>48</v>
      </c>
      <c r="P257" s="300"/>
      <c r="Q257" s="300" t="s">
        <v>14</v>
      </c>
      <c r="R257" s="302">
        <f>O257</f>
        <v>48</v>
      </c>
      <c r="S257" s="297" t="s">
        <v>706</v>
      </c>
      <c r="T257" s="303"/>
      <c r="U257" s="300" t="s">
        <v>1245</v>
      </c>
    </row>
    <row r="258" spans="1:21" ht="12.75">
      <c r="A258" s="300"/>
      <c r="B258" s="301" t="s">
        <v>719</v>
      </c>
      <c r="C258" s="297">
        <v>4</v>
      </c>
      <c r="D258" s="297">
        <v>4</v>
      </c>
      <c r="E258" s="297">
        <v>4</v>
      </c>
      <c r="F258" s="297">
        <v>4</v>
      </c>
      <c r="G258" s="297">
        <v>4</v>
      </c>
      <c r="H258" s="297">
        <v>4</v>
      </c>
      <c r="I258" s="297">
        <v>4</v>
      </c>
      <c r="J258" s="297">
        <v>4</v>
      </c>
      <c r="K258" s="297">
        <v>4</v>
      </c>
      <c r="L258" s="297">
        <v>4</v>
      </c>
      <c r="M258" s="297">
        <v>4</v>
      </c>
      <c r="N258" s="297">
        <v>4</v>
      </c>
      <c r="O258" s="297">
        <f>SUM(C258:N258)</f>
        <v>48</v>
      </c>
      <c r="P258" s="300"/>
      <c r="Q258" s="300" t="s">
        <v>14</v>
      </c>
      <c r="R258" s="302">
        <f>O258</f>
        <v>48</v>
      </c>
      <c r="S258" s="297" t="s">
        <v>709</v>
      </c>
      <c r="T258" s="303"/>
      <c r="U258" s="300" t="s">
        <v>1245</v>
      </c>
    </row>
  </sheetData>
  <pageMargins left="0.75" right="0.5" top="0.75" bottom="0.75" header="1" footer="0"/>
  <pageSetup scale="53" fitToHeight="2" orientation="portrait" r:id="rId1"/>
  <headerFooter alignWithMargins="0"/>
  <rowBreaks count="1" manualBreakCount="1">
    <brk id="12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11D4E-474F-4407-AD26-B7D6B737E443}">
  <sheetPr>
    <tabColor theme="0" tint="-0.34998626667073579"/>
  </sheetPr>
  <dimension ref="A1:X252"/>
  <sheetViews>
    <sheetView workbookViewId="0"/>
  </sheetViews>
  <sheetFormatPr defaultColWidth="10" defaultRowHeight="11.25"/>
  <cols>
    <col min="1" max="1" width="3.85546875" style="204" customWidth="1"/>
    <col min="2" max="2" width="42.85546875" style="204" bestFit="1" customWidth="1"/>
    <col min="3" max="8" width="10" style="204" bestFit="1" customWidth="1"/>
    <col min="9" max="14" width="10.85546875" style="204" bestFit="1" customWidth="1"/>
    <col min="15" max="15" width="12.140625" style="204" bestFit="1" customWidth="1"/>
    <col min="16" max="16" width="10" style="204" customWidth="1"/>
    <col min="17" max="17" width="5" style="204" bestFit="1" customWidth="1"/>
    <col min="18" max="18" width="18.28515625" style="204" customWidth="1"/>
    <col min="19" max="19" width="10" style="204"/>
    <col min="20" max="20" width="22.28515625" style="204" customWidth="1"/>
    <col min="21" max="22" width="10" style="204"/>
    <col min="23" max="23" width="15.42578125" style="204" customWidth="1"/>
    <col min="24" max="24" width="14.140625" style="204" bestFit="1" customWidth="1"/>
    <col min="25" max="16384" width="10" style="204"/>
  </cols>
  <sheetData>
    <row r="1" spans="1:24" ht="12" thickBot="1">
      <c r="B1" s="205" t="s">
        <v>155</v>
      </c>
      <c r="C1" s="263">
        <v>1</v>
      </c>
      <c r="D1" s="263">
        <v>2</v>
      </c>
      <c r="E1" s="263">
        <v>3</v>
      </c>
      <c r="F1" s="263">
        <v>4</v>
      </c>
      <c r="G1" s="263">
        <v>5</v>
      </c>
      <c r="H1" s="263">
        <v>6</v>
      </c>
      <c r="I1" s="263">
        <v>7</v>
      </c>
      <c r="J1" s="263">
        <v>8</v>
      </c>
      <c r="K1" s="263">
        <v>9</v>
      </c>
      <c r="L1" s="263">
        <v>10</v>
      </c>
      <c r="M1" s="263">
        <v>11</v>
      </c>
      <c r="N1" s="263">
        <v>12</v>
      </c>
      <c r="O1" s="206" t="s">
        <v>156</v>
      </c>
      <c r="R1" s="204" t="s">
        <v>11</v>
      </c>
      <c r="U1" s="204" t="s">
        <v>1403</v>
      </c>
      <c r="V1" s="204" t="s">
        <v>1405</v>
      </c>
      <c r="W1" s="453" t="s">
        <v>997</v>
      </c>
      <c r="X1" s="204" t="s">
        <v>1423</v>
      </c>
    </row>
    <row r="2" spans="1:24" ht="12" thickBot="1">
      <c r="A2" s="204">
        <v>2</v>
      </c>
      <c r="B2" s="208" t="s">
        <v>157</v>
      </c>
      <c r="C2" s="209">
        <f>C14+C59+C60+C61</f>
        <v>20923.240000000016</v>
      </c>
      <c r="D2" s="209">
        <f t="shared" ref="D2:I2" si="0">D14+D59+D60+D61</f>
        <v>16990.639999999996</v>
      </c>
      <c r="E2" s="209">
        <f t="shared" si="0"/>
        <v>17508.78999999999</v>
      </c>
      <c r="F2" s="209">
        <f t="shared" si="0"/>
        <v>111117.93</v>
      </c>
      <c r="G2" s="209">
        <f t="shared" si="0"/>
        <v>128264.4</v>
      </c>
      <c r="H2" s="209">
        <f t="shared" si="0"/>
        <v>15990.27</v>
      </c>
      <c r="I2" s="209">
        <f t="shared" si="0"/>
        <v>16074.820000000014</v>
      </c>
      <c r="J2" s="209">
        <f>J14+J59+J60+J61</f>
        <v>15384.379999999986</v>
      </c>
      <c r="K2" s="209">
        <f>K11+K12</f>
        <v>731557.58000001532</v>
      </c>
      <c r="L2" s="209">
        <v>54637</v>
      </c>
      <c r="M2" s="209">
        <v>54677</v>
      </c>
      <c r="N2" s="209">
        <f>N14+N59+N60+N61</f>
        <v>19388.530000000006</v>
      </c>
      <c r="O2" s="210"/>
      <c r="W2" s="453"/>
    </row>
    <row r="3" spans="1:24">
      <c r="A3" s="204">
        <f t="shared" ref="A3:A66" si="1">+A2+1</f>
        <v>3</v>
      </c>
      <c r="B3" s="212" t="s">
        <v>158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W3" s="453"/>
    </row>
    <row r="4" spans="1:24" ht="12.75">
      <c r="A4" s="204">
        <f t="shared" si="1"/>
        <v>4</v>
      </c>
      <c r="B4" s="213" t="s">
        <v>114</v>
      </c>
      <c r="C4" s="239">
        <v>11134.16</v>
      </c>
      <c r="D4" s="239">
        <v>8740.7399999999197</v>
      </c>
      <c r="E4" s="239">
        <v>8333.1099999999005</v>
      </c>
      <c r="F4" s="239">
        <v>7726.66999999991</v>
      </c>
      <c r="G4" s="239">
        <v>6138.5799999999599</v>
      </c>
      <c r="H4" s="239">
        <v>6469.5099999999602</v>
      </c>
      <c r="I4" s="239">
        <v>5243</v>
      </c>
      <c r="J4" s="239">
        <v>5457.9199999999901</v>
      </c>
      <c r="K4" s="239">
        <v>5710.49999999996</v>
      </c>
      <c r="L4" s="239">
        <v>5126.8599999999597</v>
      </c>
      <c r="M4" s="239">
        <v>7299.1999999999198</v>
      </c>
      <c r="N4" s="239">
        <v>8955.6500000000106</v>
      </c>
      <c r="O4" s="210">
        <f t="shared" ref="O4:O15" si="2">SUM(C4:N4)</f>
        <v>86335.899999999485</v>
      </c>
      <c r="Q4" s="204" t="s">
        <v>17</v>
      </c>
      <c r="R4" s="204" t="str">
        <f>CONCATENATE(Q4," - ",B4, " R")</f>
        <v>CFG - FTS-A R</v>
      </c>
      <c r="T4" s="204" t="s">
        <v>160</v>
      </c>
      <c r="U4" s="215">
        <f>MAX(C4:N4)</f>
        <v>11134.16</v>
      </c>
      <c r="V4" s="215">
        <f>IFERROR(INDEX($C$1:$N$1,MATCH(U4,C4:N4,0)),0)</f>
        <v>1</v>
      </c>
      <c r="W4" s="453" t="s">
        <v>17</v>
      </c>
      <c r="X4" s="452" t="s">
        <v>8</v>
      </c>
    </row>
    <row r="5" spans="1:24" ht="12.75">
      <c r="A5" s="204">
        <f t="shared" si="1"/>
        <v>5</v>
      </c>
      <c r="B5" s="213" t="s">
        <v>115</v>
      </c>
      <c r="C5" s="239">
        <v>43131.09</v>
      </c>
      <c r="D5" s="239">
        <v>27496.0800000001</v>
      </c>
      <c r="E5" s="239">
        <v>25464</v>
      </c>
      <c r="F5" s="239">
        <v>24735.840000000098</v>
      </c>
      <c r="G5" s="239">
        <v>20800.209999999799</v>
      </c>
      <c r="H5" s="239">
        <v>21551.039999999801</v>
      </c>
      <c r="I5" s="239">
        <v>18536</v>
      </c>
      <c r="J5" s="239">
        <v>19034.0799999999</v>
      </c>
      <c r="K5" s="239">
        <v>19422.329999999802</v>
      </c>
      <c r="L5" s="239">
        <v>17737.91</v>
      </c>
      <c r="M5" s="239">
        <v>23695.8400000002</v>
      </c>
      <c r="N5" s="239">
        <v>31206.709999999901</v>
      </c>
      <c r="O5" s="210">
        <f t="shared" si="2"/>
        <v>292811.1299999996</v>
      </c>
      <c r="Q5" s="204" t="s">
        <v>17</v>
      </c>
      <c r="R5" s="204" t="str">
        <f>CONCATENATE(Q5," - ",B5, " R")</f>
        <v>CFG - FTS-B R</v>
      </c>
      <c r="T5" s="204" t="s">
        <v>160</v>
      </c>
      <c r="U5" s="215">
        <f t="shared" ref="U5:U68" si="3">MAX(C5:N5)</f>
        <v>43131.09</v>
      </c>
      <c r="V5" s="215">
        <f t="shared" ref="V5:V68" si="4">IFERROR(INDEX($C$1:$N$1,MATCH(U5,C5:N5,0)),0)</f>
        <v>1</v>
      </c>
      <c r="W5" s="453" t="s">
        <v>17</v>
      </c>
      <c r="X5" s="452" t="s">
        <v>8</v>
      </c>
    </row>
    <row r="6" spans="1:24" ht="12.75">
      <c r="A6" s="204">
        <f t="shared" si="1"/>
        <v>6</v>
      </c>
      <c r="B6" s="213" t="s">
        <v>116</v>
      </c>
      <c r="C6" s="239">
        <v>338452.84999999899</v>
      </c>
      <c r="D6" s="239">
        <v>207294.10999999801</v>
      </c>
      <c r="E6" s="239">
        <v>208908</v>
      </c>
      <c r="F6" s="239">
        <v>191418.94999999899</v>
      </c>
      <c r="G6" s="239">
        <v>140960.830000004</v>
      </c>
      <c r="H6" s="239">
        <v>138210.49000000299</v>
      </c>
      <c r="I6" s="239">
        <v>117169</v>
      </c>
      <c r="J6" s="239">
        <v>116864.11000000199</v>
      </c>
      <c r="K6" s="239">
        <v>117899.130000003</v>
      </c>
      <c r="L6" s="239">
        <v>109853.310000004</v>
      </c>
      <c r="M6" s="239">
        <v>166200.01000000199</v>
      </c>
      <c r="N6" s="239">
        <v>241863.479999998</v>
      </c>
      <c r="O6" s="210">
        <f t="shared" si="2"/>
        <v>2095094.2700000121</v>
      </c>
      <c r="Q6" s="204" t="s">
        <v>17</v>
      </c>
      <c r="R6" s="204" t="str">
        <f>CONCATENATE(Q6," - ",B6," R")</f>
        <v>CFG - FTS-1 R</v>
      </c>
      <c r="T6" s="204" t="s">
        <v>160</v>
      </c>
      <c r="U6" s="215">
        <f t="shared" si="3"/>
        <v>338452.84999999899</v>
      </c>
      <c r="V6" s="215">
        <f t="shared" si="4"/>
        <v>1</v>
      </c>
      <c r="W6" s="453" t="s">
        <v>17</v>
      </c>
      <c r="X6" s="452" t="s">
        <v>8</v>
      </c>
    </row>
    <row r="7" spans="1:24" ht="12.75">
      <c r="A7" s="204">
        <f t="shared" si="1"/>
        <v>7</v>
      </c>
      <c r="B7" s="213" t="s">
        <v>117</v>
      </c>
      <c r="C7" s="239">
        <v>86780.669999999896</v>
      </c>
      <c r="D7" s="239">
        <v>60694.090000000098</v>
      </c>
      <c r="E7" s="239">
        <v>71685</v>
      </c>
      <c r="F7" s="239">
        <v>72176.190000000104</v>
      </c>
      <c r="G7" s="239">
        <v>34387.800000000003</v>
      </c>
      <c r="H7" s="239">
        <v>23911.75</v>
      </c>
      <c r="I7" s="239">
        <v>17738</v>
      </c>
      <c r="J7" s="239">
        <v>16484.03</v>
      </c>
      <c r="K7" s="239">
        <v>15238.51</v>
      </c>
      <c r="L7" s="239">
        <v>18247.22</v>
      </c>
      <c r="M7" s="239">
        <v>44473.53</v>
      </c>
      <c r="N7" s="239">
        <v>61316.56</v>
      </c>
      <c r="O7" s="210">
        <f t="shared" si="2"/>
        <v>523133.35000000015</v>
      </c>
      <c r="Q7" s="204" t="s">
        <v>17</v>
      </c>
      <c r="R7" s="204" t="str">
        <f>CONCATENATE(Q7," - ",B7," R")</f>
        <v>CFG - FTS-2 R</v>
      </c>
      <c r="T7" s="204" t="s">
        <v>160</v>
      </c>
      <c r="U7" s="215">
        <f t="shared" si="3"/>
        <v>86780.669999999896</v>
      </c>
      <c r="V7" s="215">
        <f t="shared" si="4"/>
        <v>1</v>
      </c>
      <c r="W7" s="453" t="s">
        <v>17</v>
      </c>
      <c r="X7" s="452" t="s">
        <v>8</v>
      </c>
    </row>
    <row r="8" spans="1:24" ht="12.75">
      <c r="A8" s="204">
        <f t="shared" si="1"/>
        <v>8</v>
      </c>
      <c r="B8" s="213" t="s">
        <v>118</v>
      </c>
      <c r="C8" s="239">
        <v>105553.07</v>
      </c>
      <c r="D8" s="239">
        <v>73688.44</v>
      </c>
      <c r="E8" s="239">
        <v>88105.15</v>
      </c>
      <c r="F8" s="239">
        <v>80766.690000000104</v>
      </c>
      <c r="G8" s="239">
        <v>37682</v>
      </c>
      <c r="H8" s="239">
        <v>23055.08</v>
      </c>
      <c r="I8" s="239">
        <v>16327</v>
      </c>
      <c r="J8" s="239">
        <v>13901.46</v>
      </c>
      <c r="K8" s="239">
        <v>14362.68</v>
      </c>
      <c r="L8" s="239">
        <v>19010.95</v>
      </c>
      <c r="M8" s="239">
        <v>51023.01</v>
      </c>
      <c r="N8" s="239">
        <v>69697.330000000104</v>
      </c>
      <c r="O8" s="210">
        <f t="shared" si="2"/>
        <v>593172.86000000034</v>
      </c>
      <c r="Q8" s="204" t="s">
        <v>17</v>
      </c>
      <c r="R8" s="204" t="str">
        <f>CONCATENATE(Q8," - ",B8," R")</f>
        <v>CFG - FTS-2.1 R</v>
      </c>
      <c r="T8" s="204" t="s">
        <v>160</v>
      </c>
      <c r="U8" s="215">
        <f t="shared" si="3"/>
        <v>105553.07</v>
      </c>
      <c r="V8" s="215">
        <f t="shared" si="4"/>
        <v>1</v>
      </c>
      <c r="W8" s="453" t="s">
        <v>17</v>
      </c>
      <c r="X8" s="452" t="s">
        <v>8</v>
      </c>
    </row>
    <row r="9" spans="1:24" ht="12.75">
      <c r="A9" s="204">
        <f t="shared" si="1"/>
        <v>9</v>
      </c>
      <c r="B9" s="218" t="s">
        <v>119</v>
      </c>
      <c r="C9" s="239">
        <v>4693.4399999999996</v>
      </c>
      <c r="D9" s="239">
        <v>3724.09</v>
      </c>
      <c r="E9" s="239">
        <v>4899.3100000000004</v>
      </c>
      <c r="F9" s="239">
        <v>4619.28</v>
      </c>
      <c r="G9" s="239">
        <v>2937.46</v>
      </c>
      <c r="H9" s="239">
        <v>1421.24</v>
      </c>
      <c r="I9" s="239">
        <v>687</v>
      </c>
      <c r="J9" s="239">
        <v>430.95</v>
      </c>
      <c r="K9" s="239">
        <v>553.47</v>
      </c>
      <c r="L9" s="239">
        <v>1028.95</v>
      </c>
      <c r="M9" s="239">
        <v>3661.17</v>
      </c>
      <c r="N9" s="239">
        <v>5576.51</v>
      </c>
      <c r="O9" s="210">
        <f t="shared" si="2"/>
        <v>34232.870000000003</v>
      </c>
      <c r="Q9" s="204" t="s">
        <v>17</v>
      </c>
      <c r="R9" s="204" t="str">
        <f>CONCATENATE(Q9," - ",B9, " R")</f>
        <v>CFG - FTS-3 R</v>
      </c>
      <c r="T9" s="204" t="s">
        <v>160</v>
      </c>
      <c r="U9" s="215">
        <f t="shared" si="3"/>
        <v>5576.51</v>
      </c>
      <c r="V9" s="215">
        <f t="shared" si="4"/>
        <v>12</v>
      </c>
      <c r="W9" s="453" t="s">
        <v>17</v>
      </c>
      <c r="X9" s="452" t="s">
        <v>8</v>
      </c>
    </row>
    <row r="10" spans="1:24" ht="12.75">
      <c r="A10" s="204">
        <f t="shared" si="1"/>
        <v>10</v>
      </c>
      <c r="B10" s="218" t="s">
        <v>120</v>
      </c>
      <c r="C10" s="239">
        <v>0</v>
      </c>
      <c r="D10" s="239">
        <v>0</v>
      </c>
      <c r="E10" s="239">
        <v>0</v>
      </c>
      <c r="F10" s="239">
        <v>0</v>
      </c>
      <c r="G10" s="239">
        <v>0</v>
      </c>
      <c r="H10" s="239">
        <v>0</v>
      </c>
      <c r="I10" s="239">
        <v>0</v>
      </c>
      <c r="J10" s="239"/>
      <c r="K10" s="239"/>
      <c r="L10" s="239"/>
      <c r="M10" s="239"/>
      <c r="N10" s="239"/>
      <c r="O10" s="210">
        <f t="shared" si="2"/>
        <v>0</v>
      </c>
      <c r="Q10" s="204" t="s">
        <v>17</v>
      </c>
      <c r="R10" s="204" t="str">
        <f>CONCATENATE(Q10," - ",B10, " R")</f>
        <v>CFG - FTS-3.1 R</v>
      </c>
      <c r="T10" s="204" t="s">
        <v>160</v>
      </c>
      <c r="U10" s="215">
        <f t="shared" si="3"/>
        <v>0</v>
      </c>
      <c r="V10" s="215">
        <f t="shared" si="4"/>
        <v>1</v>
      </c>
      <c r="W10" s="453" t="s">
        <v>17</v>
      </c>
      <c r="X10" s="452" t="s">
        <v>8</v>
      </c>
    </row>
    <row r="11" spans="1:24" ht="12.75">
      <c r="A11" s="204">
        <f t="shared" si="1"/>
        <v>11</v>
      </c>
      <c r="B11" s="218" t="s">
        <v>161</v>
      </c>
      <c r="C11" s="239">
        <v>2192437.1400000174</v>
      </c>
      <c r="D11" s="239">
        <v>1547690.9300000307</v>
      </c>
      <c r="E11" s="239">
        <v>1412359.3300000189</v>
      </c>
      <c r="F11" s="239">
        <v>1375150.7100000137</v>
      </c>
      <c r="G11" s="239">
        <v>990998.20000000857</v>
      </c>
      <c r="H11" s="239">
        <v>869539.72000002908</v>
      </c>
      <c r="I11" s="239">
        <v>701028</v>
      </c>
      <c r="J11" s="239">
        <v>666946.60000002477</v>
      </c>
      <c r="K11" s="239">
        <v>727649.75000001537</v>
      </c>
      <c r="L11" s="239">
        <v>671483.93000002077</v>
      </c>
      <c r="M11" s="239">
        <v>1000463.2400000205</v>
      </c>
      <c r="N11" s="239">
        <v>1541805.6000000525</v>
      </c>
      <c r="O11" s="210">
        <f t="shared" si="2"/>
        <v>13697553.150000252</v>
      </c>
      <c r="Q11" s="204" t="s">
        <v>16</v>
      </c>
      <c r="R11" s="204" t="str">
        <f>CONCATENATE(Q11," - ",B11)</f>
        <v>FPU - FPU - RS</v>
      </c>
      <c r="T11" s="204" t="s">
        <v>162</v>
      </c>
      <c r="U11" s="215">
        <f t="shared" si="3"/>
        <v>2192437.1400000174</v>
      </c>
      <c r="V11" s="215">
        <f t="shared" si="4"/>
        <v>1</v>
      </c>
      <c r="W11" s="453" t="s">
        <v>16</v>
      </c>
      <c r="X11" s="452" t="s">
        <v>8</v>
      </c>
    </row>
    <row r="12" spans="1:24" ht="12.75">
      <c r="A12" s="204">
        <f t="shared" si="1"/>
        <v>12</v>
      </c>
      <c r="B12" s="218" t="s">
        <v>163</v>
      </c>
      <c r="C12" s="239">
        <v>8332.6300000000028</v>
      </c>
      <c r="D12" s="239">
        <v>4741.3099999999977</v>
      </c>
      <c r="E12" s="239">
        <v>5800.3299999999954</v>
      </c>
      <c r="F12" s="239">
        <v>5326.7300000000041</v>
      </c>
      <c r="G12" s="239">
        <v>3586.6100000000006</v>
      </c>
      <c r="H12" s="239">
        <v>3076.3299999999981</v>
      </c>
      <c r="I12" s="239">
        <v>2085.0299999999993</v>
      </c>
      <c r="J12" s="239">
        <v>1899.3399999999974</v>
      </c>
      <c r="K12" s="239">
        <v>3907.8300000000004</v>
      </c>
      <c r="L12" s="239">
        <v>1764.3799999999997</v>
      </c>
      <c r="M12" s="239">
        <v>3903.0700000000015</v>
      </c>
      <c r="N12" s="239">
        <v>7166.9000000000051</v>
      </c>
      <c r="O12" s="210">
        <f t="shared" si="2"/>
        <v>51590.490000000005</v>
      </c>
      <c r="Q12" s="204" t="s">
        <v>16</v>
      </c>
      <c r="R12" s="204" t="str">
        <f>CONCATENATE(Q12," - ",B12)</f>
        <v>FPU - FPU - RS-GS</v>
      </c>
      <c r="T12" s="204" t="s">
        <v>162</v>
      </c>
      <c r="U12" s="215">
        <f t="shared" si="3"/>
        <v>8332.6300000000028</v>
      </c>
      <c r="V12" s="215">
        <f t="shared" si="4"/>
        <v>1</v>
      </c>
      <c r="W12" s="453" t="s">
        <v>16</v>
      </c>
      <c r="X12" s="452" t="s">
        <v>8</v>
      </c>
    </row>
    <row r="13" spans="1:24" ht="12.75">
      <c r="A13" s="204">
        <f t="shared" si="1"/>
        <v>13</v>
      </c>
      <c r="B13" s="218" t="s">
        <v>111</v>
      </c>
      <c r="C13" s="239">
        <v>12574.500000000045</v>
      </c>
      <c r="D13" s="239">
        <v>8347.6699999999728</v>
      </c>
      <c r="E13" s="239">
        <v>5859.0799999999635</v>
      </c>
      <c r="F13" s="239">
        <v>6412.2599999999566</v>
      </c>
      <c r="G13" s="239">
        <v>4744.7999999999956</v>
      </c>
      <c r="H13" s="239">
        <v>5330.6499999999705</v>
      </c>
      <c r="I13" s="239">
        <v>4154.9900000000025</v>
      </c>
      <c r="J13" s="239">
        <v>4439</v>
      </c>
      <c r="K13" s="239">
        <v>4496.979999999995</v>
      </c>
      <c r="L13" s="239">
        <v>3929.1100000000047</v>
      </c>
      <c r="M13" s="239">
        <v>4862.0899999999901</v>
      </c>
      <c r="N13" s="239">
        <v>7307.9499999999725</v>
      </c>
      <c r="O13" s="210">
        <f t="shared" si="2"/>
        <v>72459.079999999885</v>
      </c>
      <c r="Q13" s="204" t="s">
        <v>14</v>
      </c>
      <c r="R13" s="204" t="str">
        <f>CONCATENATE(Q13," - ",B13)</f>
        <v>FT - FT-RS</v>
      </c>
      <c r="T13" s="204" t="s">
        <v>164</v>
      </c>
      <c r="U13" s="215">
        <f t="shared" si="3"/>
        <v>12574.500000000045</v>
      </c>
      <c r="V13" s="215">
        <f t="shared" si="4"/>
        <v>1</v>
      </c>
      <c r="W13" s="453" t="s">
        <v>14</v>
      </c>
      <c r="X13" s="452" t="s">
        <v>8</v>
      </c>
    </row>
    <row r="14" spans="1:24" ht="12.75">
      <c r="A14" s="204">
        <f t="shared" si="1"/>
        <v>14</v>
      </c>
      <c r="B14" s="218" t="s">
        <v>105</v>
      </c>
      <c r="C14" s="239">
        <v>12552.070000000014</v>
      </c>
      <c r="D14" s="239">
        <v>9829.5199999999968</v>
      </c>
      <c r="E14" s="239">
        <v>10092.409999999987</v>
      </c>
      <c r="F14" s="239">
        <v>9695.7999999999884</v>
      </c>
      <c r="G14" s="239">
        <v>10058.989999999993</v>
      </c>
      <c r="H14" s="239">
        <v>8916.84</v>
      </c>
      <c r="I14" s="239">
        <v>8744.8200000000143</v>
      </c>
      <c r="J14" s="239">
        <v>8385.1499999999887</v>
      </c>
      <c r="K14" s="239">
        <v>8389.5200000000114</v>
      </c>
      <c r="L14" s="239">
        <v>8656.9799999999905</v>
      </c>
      <c r="M14" s="239">
        <v>9601.6500000000015</v>
      </c>
      <c r="N14" s="239">
        <v>11316.030000000008</v>
      </c>
      <c r="O14" s="222">
        <f t="shared" si="2"/>
        <v>116239.78000000001</v>
      </c>
      <c r="Q14" s="204" t="s">
        <v>13</v>
      </c>
      <c r="R14" s="204" t="str">
        <f>CONCATENATE(Q14," - ",B14)</f>
        <v>IGC - IGC - TS1</v>
      </c>
      <c r="T14" s="204" t="s">
        <v>165</v>
      </c>
      <c r="U14" s="215">
        <f t="shared" si="3"/>
        <v>12552.070000000014</v>
      </c>
      <c r="V14" s="215">
        <f t="shared" si="4"/>
        <v>1</v>
      </c>
      <c r="W14" s="453" t="s">
        <v>13</v>
      </c>
      <c r="X14" s="452" t="s">
        <v>8</v>
      </c>
    </row>
    <row r="15" spans="1:24">
      <c r="A15" s="204">
        <f t="shared" si="1"/>
        <v>15</v>
      </c>
      <c r="B15" s="219" t="s">
        <v>166</v>
      </c>
      <c r="C15" s="210">
        <f t="shared" ref="C15:N15" si="5">SUM(C4:C14)</f>
        <v>2815641.6200000159</v>
      </c>
      <c r="D15" s="210">
        <f t="shared" si="5"/>
        <v>1952246.9800000289</v>
      </c>
      <c r="E15" s="210">
        <f t="shared" si="5"/>
        <v>1841505.7200000188</v>
      </c>
      <c r="F15" s="210">
        <f t="shared" si="5"/>
        <v>1778029.1200000129</v>
      </c>
      <c r="G15" s="210">
        <f t="shared" si="5"/>
        <v>1252295.4800000126</v>
      </c>
      <c r="H15" s="210">
        <f t="shared" si="5"/>
        <v>1101482.6500000318</v>
      </c>
      <c r="I15" s="210">
        <f t="shared" si="5"/>
        <v>891712.84000000008</v>
      </c>
      <c r="J15" s="210">
        <f t="shared" si="5"/>
        <v>853842.64000002667</v>
      </c>
      <c r="K15" s="210">
        <f t="shared" si="5"/>
        <v>917630.70000001811</v>
      </c>
      <c r="L15" s="210">
        <f t="shared" si="5"/>
        <v>856839.60000002477</v>
      </c>
      <c r="M15" s="210">
        <f t="shared" si="5"/>
        <v>1315182.8100000226</v>
      </c>
      <c r="N15" s="210">
        <f t="shared" si="5"/>
        <v>1986212.7200000505</v>
      </c>
      <c r="O15" s="210">
        <f t="shared" si="2"/>
        <v>17562622.880000263</v>
      </c>
      <c r="U15" s="215">
        <f t="shared" si="3"/>
        <v>2815641.6200000159</v>
      </c>
      <c r="V15" s="215">
        <f t="shared" si="4"/>
        <v>1</v>
      </c>
      <c r="W15" s="453"/>
    </row>
    <row r="16" spans="1:24">
      <c r="A16" s="204">
        <f t="shared" si="1"/>
        <v>16</v>
      </c>
      <c r="B16" s="212" t="s">
        <v>167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U16" s="215">
        <f t="shared" si="3"/>
        <v>0</v>
      </c>
      <c r="V16" s="215">
        <f t="shared" si="4"/>
        <v>0</v>
      </c>
      <c r="W16" s="453"/>
    </row>
    <row r="17" spans="1:23">
      <c r="A17" s="204">
        <f t="shared" si="1"/>
        <v>17</v>
      </c>
      <c r="B17" s="213" t="s">
        <v>114</v>
      </c>
      <c r="C17" s="239">
        <v>364.06</v>
      </c>
      <c r="D17" s="239">
        <v>279.16000000000003</v>
      </c>
      <c r="E17" s="239">
        <v>253.9</v>
      </c>
      <c r="F17" s="240">
        <v>235.22</v>
      </c>
      <c r="G17" s="239">
        <v>164.1</v>
      </c>
      <c r="H17" s="239">
        <v>285.8</v>
      </c>
      <c r="I17" s="239">
        <v>26</v>
      </c>
      <c r="J17" s="239">
        <v>150.58000000000001</v>
      </c>
      <c r="K17" s="239">
        <v>142.19</v>
      </c>
      <c r="L17" s="239">
        <v>149.79</v>
      </c>
      <c r="M17" s="239">
        <v>219.62</v>
      </c>
      <c r="N17" s="239">
        <v>285.70999999999998</v>
      </c>
      <c r="O17" s="210">
        <f t="shared" ref="O17:O24" si="6">SUM(C17:N17)</f>
        <v>2556.1299999999997</v>
      </c>
      <c r="Q17" s="204" t="s">
        <v>17</v>
      </c>
      <c r="R17" s="204" t="str">
        <f>CONCATENATE(Q17," - ",B17," - ",S17)</f>
        <v>CFG - FTS-A - Fixed R</v>
      </c>
      <c r="S17" s="204" t="s">
        <v>168</v>
      </c>
      <c r="T17" s="204" t="s">
        <v>160</v>
      </c>
      <c r="U17" s="215">
        <f t="shared" si="3"/>
        <v>364.06</v>
      </c>
      <c r="V17" s="215">
        <f t="shared" si="4"/>
        <v>1</v>
      </c>
      <c r="W17" s="453" t="s">
        <v>17</v>
      </c>
    </row>
    <row r="18" spans="1:23">
      <c r="A18" s="204">
        <f t="shared" si="1"/>
        <v>18</v>
      </c>
      <c r="B18" s="213" t="s">
        <v>115</v>
      </c>
      <c r="C18" s="239">
        <v>1309.6400000000001</v>
      </c>
      <c r="D18" s="239">
        <v>799.88</v>
      </c>
      <c r="E18" s="239">
        <v>747.44</v>
      </c>
      <c r="F18" s="240">
        <v>723.59</v>
      </c>
      <c r="G18" s="239">
        <v>576.69000000000005</v>
      </c>
      <c r="H18" s="239">
        <v>624.54</v>
      </c>
      <c r="I18" s="239">
        <v>502</v>
      </c>
      <c r="J18" s="239">
        <v>524.66999999999996</v>
      </c>
      <c r="K18" s="239">
        <v>564.34</v>
      </c>
      <c r="L18" s="239">
        <v>502.2</v>
      </c>
      <c r="M18" s="239">
        <v>654.99</v>
      </c>
      <c r="N18" s="239">
        <v>809.5</v>
      </c>
      <c r="O18" s="210">
        <f t="shared" si="6"/>
        <v>8339.48</v>
      </c>
      <c r="Q18" s="204" t="s">
        <v>17</v>
      </c>
      <c r="R18" s="204" t="str">
        <f t="shared" ref="R18:R23" si="7">CONCATENATE(Q18," - ",B18," - ",S18)</f>
        <v>CFG - FTS-B - Fixed R</v>
      </c>
      <c r="S18" s="204" t="s">
        <v>168</v>
      </c>
      <c r="T18" s="204" t="s">
        <v>160</v>
      </c>
      <c r="U18" s="215">
        <f t="shared" si="3"/>
        <v>1309.6400000000001</v>
      </c>
      <c r="V18" s="215">
        <f t="shared" si="4"/>
        <v>1</v>
      </c>
      <c r="W18" s="453" t="s">
        <v>17</v>
      </c>
    </row>
    <row r="19" spans="1:23">
      <c r="A19" s="204">
        <f t="shared" si="1"/>
        <v>19</v>
      </c>
      <c r="B19" s="213" t="s">
        <v>116</v>
      </c>
      <c r="C19" s="239">
        <v>6225.76</v>
      </c>
      <c r="D19" s="239">
        <v>3621</v>
      </c>
      <c r="E19" s="239">
        <v>3340.95</v>
      </c>
      <c r="F19" s="240">
        <v>2850.03</v>
      </c>
      <c r="G19" s="239">
        <v>2203.61</v>
      </c>
      <c r="H19" s="239">
        <v>2136.9899999999998</v>
      </c>
      <c r="I19" s="239">
        <v>1725</v>
      </c>
      <c r="J19" s="239">
        <v>1734.57</v>
      </c>
      <c r="K19" s="239">
        <v>1847.47</v>
      </c>
      <c r="L19" s="239">
        <v>1624.69</v>
      </c>
      <c r="M19" s="239">
        <v>2374.39</v>
      </c>
      <c r="N19" s="239">
        <v>3800.29</v>
      </c>
      <c r="O19" s="210">
        <f t="shared" si="6"/>
        <v>33484.749999999993</v>
      </c>
      <c r="Q19" s="204" t="s">
        <v>17</v>
      </c>
      <c r="R19" s="204" t="str">
        <f t="shared" si="7"/>
        <v>CFG - FTS-1 - Fixed R</v>
      </c>
      <c r="S19" s="204" t="s">
        <v>168</v>
      </c>
      <c r="T19" s="204" t="s">
        <v>160</v>
      </c>
      <c r="U19" s="215">
        <f t="shared" si="3"/>
        <v>6225.76</v>
      </c>
      <c r="V19" s="215">
        <f t="shared" si="4"/>
        <v>1</v>
      </c>
      <c r="W19" s="453" t="s">
        <v>17</v>
      </c>
    </row>
    <row r="20" spans="1:23">
      <c r="A20" s="204">
        <f t="shared" si="1"/>
        <v>20</v>
      </c>
      <c r="B20" s="213" t="s">
        <v>117</v>
      </c>
      <c r="C20" s="239">
        <v>1203.23</v>
      </c>
      <c r="D20" s="239">
        <v>1082.8499999999999</v>
      </c>
      <c r="E20" s="239">
        <v>1215.5899999999999</v>
      </c>
      <c r="F20" s="240">
        <v>1830.24</v>
      </c>
      <c r="G20" s="239">
        <v>667.67</v>
      </c>
      <c r="H20" s="239">
        <v>584.84</v>
      </c>
      <c r="I20" s="239">
        <v>545</v>
      </c>
      <c r="J20" s="239">
        <v>494.94</v>
      </c>
      <c r="K20" s="239">
        <v>337.37</v>
      </c>
      <c r="L20" s="239">
        <v>364.67</v>
      </c>
      <c r="M20" s="239">
        <v>693.8</v>
      </c>
      <c r="N20" s="239">
        <v>1073.8</v>
      </c>
      <c r="O20" s="210">
        <f t="shared" si="6"/>
        <v>10093.999999999998</v>
      </c>
      <c r="Q20" s="204" t="s">
        <v>17</v>
      </c>
      <c r="R20" s="204" t="str">
        <f t="shared" si="7"/>
        <v>CFG - FTS-2 - Fixed R</v>
      </c>
      <c r="S20" s="204" t="s">
        <v>168</v>
      </c>
      <c r="T20" s="204" t="s">
        <v>160</v>
      </c>
      <c r="U20" s="215">
        <f t="shared" si="3"/>
        <v>1830.24</v>
      </c>
      <c r="V20" s="215">
        <f t="shared" si="4"/>
        <v>4</v>
      </c>
      <c r="W20" s="453" t="s">
        <v>17</v>
      </c>
    </row>
    <row r="21" spans="1:23">
      <c r="A21" s="204">
        <f t="shared" si="1"/>
        <v>21</v>
      </c>
      <c r="B21" s="213" t="s">
        <v>118</v>
      </c>
      <c r="C21" s="239">
        <v>2027.18</v>
      </c>
      <c r="D21" s="239">
        <v>1424.07</v>
      </c>
      <c r="E21" s="239">
        <v>1600.19</v>
      </c>
      <c r="F21" s="240">
        <v>1638.73</v>
      </c>
      <c r="G21" s="239">
        <v>1069.22</v>
      </c>
      <c r="H21" s="239">
        <v>409.05</v>
      </c>
      <c r="I21" s="239">
        <v>353</v>
      </c>
      <c r="J21" s="239">
        <v>178.61</v>
      </c>
      <c r="K21" s="239">
        <v>322.64999999999998</v>
      </c>
      <c r="L21" s="239">
        <v>165.27</v>
      </c>
      <c r="M21" s="239">
        <v>949.58</v>
      </c>
      <c r="N21" s="239">
        <v>1268.47</v>
      </c>
      <c r="O21" s="210">
        <f t="shared" si="6"/>
        <v>11406.02</v>
      </c>
      <c r="Q21" s="204" t="s">
        <v>17</v>
      </c>
      <c r="R21" s="204" t="str">
        <f t="shared" si="7"/>
        <v>CFG - FTS-2.1 - Fixed R</v>
      </c>
      <c r="S21" s="204" t="s">
        <v>168</v>
      </c>
      <c r="T21" s="204" t="s">
        <v>160</v>
      </c>
      <c r="U21" s="215">
        <f t="shared" si="3"/>
        <v>2027.18</v>
      </c>
      <c r="V21" s="215">
        <f t="shared" si="4"/>
        <v>1</v>
      </c>
      <c r="W21" s="453" t="s">
        <v>17</v>
      </c>
    </row>
    <row r="22" spans="1:23">
      <c r="A22" s="204">
        <f t="shared" si="1"/>
        <v>22</v>
      </c>
      <c r="B22" s="218" t="s">
        <v>119</v>
      </c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10">
        <f t="shared" si="6"/>
        <v>0</v>
      </c>
      <c r="Q22" s="204" t="s">
        <v>17</v>
      </c>
      <c r="R22" s="204" t="str">
        <f t="shared" si="7"/>
        <v>CFG - FTS-3 - Fixed R</v>
      </c>
      <c r="S22" s="204" t="s">
        <v>168</v>
      </c>
      <c r="T22" s="204" t="s">
        <v>160</v>
      </c>
      <c r="U22" s="215">
        <f t="shared" si="3"/>
        <v>0</v>
      </c>
      <c r="V22" s="215">
        <f t="shared" si="4"/>
        <v>0</v>
      </c>
      <c r="W22" s="453" t="s">
        <v>17</v>
      </c>
    </row>
    <row r="23" spans="1:23">
      <c r="A23" s="204">
        <f t="shared" si="1"/>
        <v>23</v>
      </c>
      <c r="B23" s="218" t="s">
        <v>120</v>
      </c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22">
        <f t="shared" si="6"/>
        <v>0</v>
      </c>
      <c r="Q23" s="204" t="s">
        <v>17</v>
      </c>
      <c r="R23" s="204" t="str">
        <f t="shared" si="7"/>
        <v>CFG - FTS-3.1 - Fixed R</v>
      </c>
      <c r="S23" s="204" t="s">
        <v>168</v>
      </c>
      <c r="T23" s="204" t="s">
        <v>160</v>
      </c>
      <c r="U23" s="215">
        <f t="shared" si="3"/>
        <v>0</v>
      </c>
      <c r="V23" s="215">
        <f t="shared" si="4"/>
        <v>0</v>
      </c>
      <c r="W23" s="453" t="s">
        <v>17</v>
      </c>
    </row>
    <row r="24" spans="1:23">
      <c r="A24" s="204">
        <f t="shared" si="1"/>
        <v>24</v>
      </c>
      <c r="B24" s="219" t="s">
        <v>169</v>
      </c>
      <c r="C24" s="210">
        <f t="shared" ref="C24:N24" si="8">SUM(C17:C23)</f>
        <v>11129.87</v>
      </c>
      <c r="D24" s="210">
        <f t="shared" si="8"/>
        <v>7206.9599999999991</v>
      </c>
      <c r="E24" s="210">
        <f t="shared" si="8"/>
        <v>7158.07</v>
      </c>
      <c r="F24" s="210">
        <f t="shared" si="8"/>
        <v>7277.8099999999995</v>
      </c>
      <c r="G24" s="210">
        <f t="shared" si="8"/>
        <v>4681.29</v>
      </c>
      <c r="H24" s="210">
        <f t="shared" si="8"/>
        <v>4041.2200000000003</v>
      </c>
      <c r="I24" s="210">
        <f t="shared" si="8"/>
        <v>3151</v>
      </c>
      <c r="J24" s="210">
        <f t="shared" si="8"/>
        <v>3083.37</v>
      </c>
      <c r="K24" s="210">
        <f t="shared" si="8"/>
        <v>3214.02</v>
      </c>
      <c r="L24" s="210">
        <f t="shared" si="8"/>
        <v>2806.6200000000003</v>
      </c>
      <c r="M24" s="210">
        <f t="shared" si="8"/>
        <v>4892.38</v>
      </c>
      <c r="N24" s="210">
        <f t="shared" si="8"/>
        <v>7237.77</v>
      </c>
      <c r="O24" s="210">
        <f t="shared" si="6"/>
        <v>65880.38</v>
      </c>
      <c r="U24" s="215">
        <f t="shared" si="3"/>
        <v>11129.87</v>
      </c>
      <c r="V24" s="215">
        <f t="shared" si="4"/>
        <v>1</v>
      </c>
      <c r="W24" s="453"/>
    </row>
    <row r="25" spans="1:23">
      <c r="A25" s="204">
        <f t="shared" si="1"/>
        <v>25</v>
      </c>
      <c r="B25" s="223" t="s">
        <v>170</v>
      </c>
      <c r="C25" s="241"/>
      <c r="D25" s="241"/>
      <c r="E25" s="242"/>
      <c r="F25" s="242"/>
      <c r="G25" s="242"/>
      <c r="H25" s="242"/>
      <c r="I25" s="243"/>
      <c r="J25" s="243"/>
      <c r="K25" s="243"/>
      <c r="L25" s="242"/>
      <c r="M25" s="243"/>
      <c r="N25" s="243"/>
      <c r="O25" s="210"/>
      <c r="U25" s="215">
        <f t="shared" si="3"/>
        <v>0</v>
      </c>
      <c r="V25" s="215">
        <f t="shared" si="4"/>
        <v>0</v>
      </c>
      <c r="W25" s="453"/>
    </row>
    <row r="26" spans="1:23">
      <c r="A26" s="204">
        <f t="shared" si="1"/>
        <v>26</v>
      </c>
      <c r="B26" s="213" t="s">
        <v>114</v>
      </c>
      <c r="C26" s="239">
        <v>110.08</v>
      </c>
      <c r="D26" s="239">
        <v>36.340000000000003</v>
      </c>
      <c r="E26" s="239">
        <v>41.58</v>
      </c>
      <c r="F26" s="239">
        <v>42.63</v>
      </c>
      <c r="G26" s="239">
        <v>35.29</v>
      </c>
      <c r="H26" s="239">
        <v>121.61</v>
      </c>
      <c r="I26" s="239">
        <v>24</v>
      </c>
      <c r="J26" s="239">
        <v>25.91</v>
      </c>
      <c r="K26" s="239">
        <v>25.95</v>
      </c>
      <c r="L26" s="239">
        <v>27.01</v>
      </c>
      <c r="M26" s="239">
        <v>37.42</v>
      </c>
      <c r="N26" s="239">
        <v>40.630000000000003</v>
      </c>
      <c r="O26" s="210">
        <f t="shared" ref="O26:O62" si="9">SUM(C26:N26)</f>
        <v>568.45000000000005</v>
      </c>
      <c r="P26" s="216"/>
      <c r="Q26" s="204" t="s">
        <v>17</v>
      </c>
      <c r="R26" s="204" t="str">
        <f t="shared" ref="R26:R32" si="10">CONCATENATE(Q26," - ",B26," NR")</f>
        <v>CFG - FTS-A NR</v>
      </c>
      <c r="T26" s="204" t="s">
        <v>171</v>
      </c>
      <c r="U26" s="215">
        <f t="shared" si="3"/>
        <v>121.61</v>
      </c>
      <c r="V26" s="215">
        <f t="shared" si="4"/>
        <v>6</v>
      </c>
      <c r="W26" s="453" t="s">
        <v>17</v>
      </c>
    </row>
    <row r="27" spans="1:23">
      <c r="A27" s="204">
        <f t="shared" si="1"/>
        <v>27</v>
      </c>
      <c r="B27" s="213" t="s">
        <v>115</v>
      </c>
      <c r="C27" s="239">
        <v>160.13</v>
      </c>
      <c r="D27" s="239">
        <v>158.71</v>
      </c>
      <c r="E27" s="239">
        <v>59.74</v>
      </c>
      <c r="F27" s="239">
        <v>72.709999999999994</v>
      </c>
      <c r="G27" s="239">
        <v>53.39</v>
      </c>
      <c r="H27" s="239">
        <v>58.25</v>
      </c>
      <c r="I27" s="239">
        <v>73</v>
      </c>
      <c r="J27" s="239">
        <v>54.96</v>
      </c>
      <c r="K27" s="239">
        <v>53.4</v>
      </c>
      <c r="L27" s="239">
        <v>49.05</v>
      </c>
      <c r="M27" s="239">
        <v>65.03</v>
      </c>
      <c r="N27" s="239">
        <v>96.59</v>
      </c>
      <c r="O27" s="210">
        <f t="shared" si="9"/>
        <v>954.96</v>
      </c>
      <c r="P27" s="216"/>
      <c r="Q27" s="204" t="s">
        <v>17</v>
      </c>
      <c r="R27" s="204" t="str">
        <f t="shared" si="10"/>
        <v>CFG - FTS-B NR</v>
      </c>
      <c r="T27" s="204" t="s">
        <v>171</v>
      </c>
      <c r="U27" s="215">
        <f t="shared" si="3"/>
        <v>160.13</v>
      </c>
      <c r="V27" s="215">
        <f t="shared" si="4"/>
        <v>1</v>
      </c>
      <c r="W27" s="453" t="s">
        <v>17</v>
      </c>
    </row>
    <row r="28" spans="1:23">
      <c r="A28" s="204">
        <f t="shared" si="1"/>
        <v>28</v>
      </c>
      <c r="B28" s="213" t="s">
        <v>116</v>
      </c>
      <c r="C28" s="239">
        <v>8269.15</v>
      </c>
      <c r="D28" s="239">
        <v>6407.33</v>
      </c>
      <c r="E28" s="239">
        <v>10082.290000000001</v>
      </c>
      <c r="F28" s="239">
        <v>4677.84</v>
      </c>
      <c r="G28" s="239">
        <v>5867.21</v>
      </c>
      <c r="H28" s="239">
        <v>4067.85</v>
      </c>
      <c r="I28" s="239">
        <v>4768</v>
      </c>
      <c r="J28" s="239">
        <v>2703.42</v>
      </c>
      <c r="K28" s="239">
        <v>4171.58</v>
      </c>
      <c r="L28" s="239">
        <v>3752.44</v>
      </c>
      <c r="M28" s="239">
        <v>4096.91</v>
      </c>
      <c r="N28" s="239">
        <v>5513.33</v>
      </c>
      <c r="O28" s="210">
        <f t="shared" si="9"/>
        <v>64377.350000000006</v>
      </c>
      <c r="P28" s="216"/>
      <c r="Q28" s="204" t="s">
        <v>17</v>
      </c>
      <c r="R28" s="204" t="str">
        <f t="shared" si="10"/>
        <v>CFG - FTS-1 NR</v>
      </c>
      <c r="T28" s="204" t="s">
        <v>171</v>
      </c>
      <c r="U28" s="215">
        <f t="shared" si="3"/>
        <v>10082.290000000001</v>
      </c>
      <c r="V28" s="215">
        <f t="shared" si="4"/>
        <v>3</v>
      </c>
      <c r="W28" s="453" t="s">
        <v>17</v>
      </c>
    </row>
    <row r="29" spans="1:23">
      <c r="A29" s="204">
        <f t="shared" si="1"/>
        <v>29</v>
      </c>
      <c r="B29" s="213" t="s">
        <v>117</v>
      </c>
      <c r="C29" s="239">
        <v>10762.91</v>
      </c>
      <c r="D29" s="239">
        <v>7886.77</v>
      </c>
      <c r="E29" s="239">
        <v>7444.81</v>
      </c>
      <c r="F29" s="239">
        <v>6735.73</v>
      </c>
      <c r="G29" s="239">
        <v>5650.34</v>
      </c>
      <c r="H29" s="239">
        <v>5240.67</v>
      </c>
      <c r="I29" s="239">
        <v>4780</v>
      </c>
      <c r="J29" s="239">
        <v>5327.85</v>
      </c>
      <c r="K29" s="239">
        <v>5520.16</v>
      </c>
      <c r="L29" s="239">
        <v>4697.79</v>
      </c>
      <c r="M29" s="239">
        <v>9856.0499999999993</v>
      </c>
      <c r="N29" s="239">
        <v>9366.79000000001</v>
      </c>
      <c r="O29" s="210">
        <f t="shared" si="9"/>
        <v>83269.87</v>
      </c>
      <c r="P29" s="216"/>
      <c r="Q29" s="204" t="s">
        <v>17</v>
      </c>
      <c r="R29" s="204" t="str">
        <f t="shared" si="10"/>
        <v>CFG - FTS-2 NR</v>
      </c>
      <c r="T29" s="204" t="s">
        <v>171</v>
      </c>
      <c r="U29" s="215">
        <f t="shared" si="3"/>
        <v>10762.91</v>
      </c>
      <c r="V29" s="215">
        <f t="shared" si="4"/>
        <v>1</v>
      </c>
      <c r="W29" s="453" t="s">
        <v>17</v>
      </c>
    </row>
    <row r="30" spans="1:23">
      <c r="A30" s="204">
        <f t="shared" si="1"/>
        <v>30</v>
      </c>
      <c r="B30" s="213" t="s">
        <v>118</v>
      </c>
      <c r="C30" s="239">
        <v>51814.99</v>
      </c>
      <c r="D30" s="239">
        <v>44807.96</v>
      </c>
      <c r="E30" s="239">
        <v>43319</v>
      </c>
      <c r="F30" s="239">
        <v>32291.19</v>
      </c>
      <c r="G30" s="239">
        <v>28555.68</v>
      </c>
      <c r="H30" s="239">
        <v>26023.95</v>
      </c>
      <c r="I30" s="239">
        <v>22880</v>
      </c>
      <c r="J30" s="239">
        <v>25342.76</v>
      </c>
      <c r="K30" s="239">
        <v>28310.21</v>
      </c>
      <c r="L30" s="239">
        <v>27304.54</v>
      </c>
      <c r="M30" s="239">
        <v>30584.5</v>
      </c>
      <c r="N30" s="239">
        <v>37168.730000000003</v>
      </c>
      <c r="O30" s="210">
        <f t="shared" si="9"/>
        <v>398403.51</v>
      </c>
      <c r="P30" s="216"/>
      <c r="Q30" s="204" t="s">
        <v>17</v>
      </c>
      <c r="R30" s="204" t="str">
        <f t="shared" si="10"/>
        <v>CFG - FTS-2.1 NR</v>
      </c>
      <c r="T30" s="204" t="s">
        <v>171</v>
      </c>
      <c r="U30" s="215">
        <f t="shared" si="3"/>
        <v>51814.99</v>
      </c>
      <c r="V30" s="215">
        <f t="shared" si="4"/>
        <v>1</v>
      </c>
      <c r="W30" s="453" t="s">
        <v>17</v>
      </c>
    </row>
    <row r="31" spans="1:23">
      <c r="A31" s="204">
        <f t="shared" si="1"/>
        <v>31</v>
      </c>
      <c r="B31" s="218" t="s">
        <v>119</v>
      </c>
      <c r="C31" s="239">
        <v>99280.320000000007</v>
      </c>
      <c r="D31" s="239">
        <v>90316.03</v>
      </c>
      <c r="E31" s="239">
        <v>90957</v>
      </c>
      <c r="F31" s="239">
        <v>89052.11</v>
      </c>
      <c r="G31" s="239">
        <v>81373.949999999895</v>
      </c>
      <c r="H31" s="239">
        <v>79861.850000000006</v>
      </c>
      <c r="I31" s="239">
        <v>70777</v>
      </c>
      <c r="J31" s="239">
        <v>74191.89</v>
      </c>
      <c r="K31" s="239">
        <v>81566.8100000001</v>
      </c>
      <c r="L31" s="239">
        <v>75165.940000000104</v>
      </c>
      <c r="M31" s="239">
        <v>90266.48</v>
      </c>
      <c r="N31" s="239">
        <v>92252.51</v>
      </c>
      <c r="O31" s="210">
        <f t="shared" si="9"/>
        <v>1015061.89</v>
      </c>
      <c r="P31" s="216"/>
      <c r="Q31" s="204" t="s">
        <v>17</v>
      </c>
      <c r="R31" s="204" t="str">
        <f t="shared" si="10"/>
        <v>CFG - FTS-3 NR</v>
      </c>
      <c r="T31" s="204" t="s">
        <v>171</v>
      </c>
      <c r="U31" s="215">
        <f t="shared" si="3"/>
        <v>99280.320000000007</v>
      </c>
      <c r="V31" s="215">
        <f t="shared" si="4"/>
        <v>1</v>
      </c>
      <c r="W31" s="453" t="s">
        <v>17</v>
      </c>
    </row>
    <row r="32" spans="1:23">
      <c r="A32" s="204">
        <f t="shared" si="1"/>
        <v>32</v>
      </c>
      <c r="B32" s="218" t="s">
        <v>120</v>
      </c>
      <c r="C32" s="239">
        <v>239113.23</v>
      </c>
      <c r="D32" s="239">
        <v>230737.53</v>
      </c>
      <c r="E32" s="239">
        <v>220997</v>
      </c>
      <c r="F32" s="239">
        <v>222318.81</v>
      </c>
      <c r="G32" s="239">
        <v>192172.7</v>
      </c>
      <c r="H32" s="239">
        <v>195568.84</v>
      </c>
      <c r="I32" s="239">
        <v>174366</v>
      </c>
      <c r="J32" s="239">
        <v>177355.01</v>
      </c>
      <c r="K32" s="239">
        <v>181710.98</v>
      </c>
      <c r="L32" s="239">
        <v>168170.95</v>
      </c>
      <c r="M32" s="239">
        <v>205773.29</v>
      </c>
      <c r="N32" s="239">
        <v>213620.51</v>
      </c>
      <c r="O32" s="210">
        <f t="shared" si="9"/>
        <v>2421904.8499999996</v>
      </c>
      <c r="P32" s="216"/>
      <c r="Q32" s="204" t="s">
        <v>17</v>
      </c>
      <c r="R32" s="204" t="str">
        <f t="shared" si="10"/>
        <v>CFG - FTS-3.1 NR</v>
      </c>
      <c r="T32" s="204" t="s">
        <v>171</v>
      </c>
      <c r="U32" s="215">
        <f t="shared" si="3"/>
        <v>239113.23</v>
      </c>
      <c r="V32" s="215">
        <f t="shared" si="4"/>
        <v>1</v>
      </c>
      <c r="W32" s="453" t="s">
        <v>17</v>
      </c>
    </row>
    <row r="33" spans="1:23">
      <c r="A33" s="204">
        <f t="shared" si="1"/>
        <v>33</v>
      </c>
      <c r="B33" s="218" t="s">
        <v>121</v>
      </c>
      <c r="C33" s="239">
        <v>312702.38</v>
      </c>
      <c r="D33" s="239">
        <v>273962.82</v>
      </c>
      <c r="E33" s="239">
        <v>263414</v>
      </c>
      <c r="F33" s="239">
        <v>304230.08</v>
      </c>
      <c r="G33" s="239">
        <v>224441.28</v>
      </c>
      <c r="H33" s="239">
        <v>243280.79</v>
      </c>
      <c r="I33" s="239">
        <v>208138</v>
      </c>
      <c r="J33" s="239">
        <v>207715.82</v>
      </c>
      <c r="K33" s="239">
        <v>222209.49</v>
      </c>
      <c r="L33" s="239">
        <v>228792.92</v>
      </c>
      <c r="M33" s="239">
        <v>275549.34999999998</v>
      </c>
      <c r="N33" s="239">
        <v>314073.81</v>
      </c>
      <c r="O33" s="210">
        <f t="shared" si="9"/>
        <v>3078510.74</v>
      </c>
      <c r="P33" s="216"/>
      <c r="Q33" s="204" t="s">
        <v>17</v>
      </c>
      <c r="R33" s="204" t="str">
        <f t="shared" ref="R33:R61" si="11">CONCATENATE(Q33," - ",B33)</f>
        <v>CFG - FTS-4</v>
      </c>
      <c r="T33" s="204" t="s">
        <v>171</v>
      </c>
      <c r="U33" s="215">
        <f t="shared" si="3"/>
        <v>314073.81</v>
      </c>
      <c r="V33" s="215">
        <f t="shared" si="4"/>
        <v>12</v>
      </c>
      <c r="W33" s="453" t="s">
        <v>17</v>
      </c>
    </row>
    <row r="34" spans="1:23">
      <c r="A34" s="204">
        <f t="shared" si="1"/>
        <v>34</v>
      </c>
      <c r="B34" s="218" t="s">
        <v>142</v>
      </c>
      <c r="C34" s="239">
        <v>137705.51999999999</v>
      </c>
      <c r="D34" s="239">
        <v>132751.39000000001</v>
      </c>
      <c r="E34" s="239">
        <v>139945</v>
      </c>
      <c r="F34" s="239">
        <v>103326.49</v>
      </c>
      <c r="G34" s="239">
        <v>77039.98</v>
      </c>
      <c r="H34" s="239">
        <v>79442.28</v>
      </c>
      <c r="I34" s="239">
        <v>73279</v>
      </c>
      <c r="J34" s="239">
        <v>78675.86</v>
      </c>
      <c r="K34" s="239">
        <v>77998.880000000005</v>
      </c>
      <c r="L34" s="239">
        <v>74137.08</v>
      </c>
      <c r="M34" s="239">
        <v>92908.49</v>
      </c>
      <c r="N34" s="239">
        <v>99810.32</v>
      </c>
      <c r="O34" s="210">
        <f t="shared" si="9"/>
        <v>1167020.29</v>
      </c>
      <c r="P34" s="216"/>
      <c r="Q34" s="204" t="s">
        <v>17</v>
      </c>
      <c r="R34" s="204" t="str">
        <f t="shared" si="11"/>
        <v>CFG - FTS-5</v>
      </c>
      <c r="T34" s="204" t="s">
        <v>171</v>
      </c>
      <c r="U34" s="215">
        <f t="shared" si="3"/>
        <v>139945</v>
      </c>
      <c r="V34" s="215">
        <f t="shared" si="4"/>
        <v>3</v>
      </c>
      <c r="W34" s="453" t="s">
        <v>17</v>
      </c>
    </row>
    <row r="35" spans="1:23">
      <c r="A35" s="204">
        <f t="shared" si="1"/>
        <v>35</v>
      </c>
      <c r="B35" s="218" t="s">
        <v>143</v>
      </c>
      <c r="C35" s="239">
        <v>153530.07</v>
      </c>
      <c r="D35" s="239">
        <v>127414.65</v>
      </c>
      <c r="E35" s="239">
        <v>137130.13</v>
      </c>
      <c r="F35" s="239">
        <v>128055.02</v>
      </c>
      <c r="G35" s="239">
        <v>125794.97</v>
      </c>
      <c r="H35" s="239">
        <v>113266.45</v>
      </c>
      <c r="I35" s="239">
        <v>102724</v>
      </c>
      <c r="J35" s="239">
        <v>118361.61</v>
      </c>
      <c r="K35" s="239">
        <v>150164.5</v>
      </c>
      <c r="L35" s="239">
        <v>132373.13</v>
      </c>
      <c r="M35" s="239">
        <v>129938.24000000001</v>
      </c>
      <c r="N35" s="239">
        <v>166331.49</v>
      </c>
      <c r="O35" s="210">
        <f t="shared" si="9"/>
        <v>1585084.2599999998</v>
      </c>
      <c r="P35" s="216"/>
      <c r="Q35" s="204" t="s">
        <v>17</v>
      </c>
      <c r="R35" s="204" t="str">
        <f t="shared" si="11"/>
        <v>CFG - FTS-6</v>
      </c>
      <c r="T35" s="204" t="s">
        <v>171</v>
      </c>
      <c r="U35" s="215">
        <f t="shared" si="3"/>
        <v>166331.49</v>
      </c>
      <c r="V35" s="215">
        <f t="shared" si="4"/>
        <v>12</v>
      </c>
      <c r="W35" s="453" t="s">
        <v>17</v>
      </c>
    </row>
    <row r="36" spans="1:23">
      <c r="A36" s="204">
        <f t="shared" si="1"/>
        <v>36</v>
      </c>
      <c r="B36" s="218" t="s">
        <v>144</v>
      </c>
      <c r="C36" s="239">
        <v>404984.27</v>
      </c>
      <c r="D36" s="239">
        <v>282086.61</v>
      </c>
      <c r="E36" s="239">
        <v>300732</v>
      </c>
      <c r="F36" s="239">
        <v>264144.71999999997</v>
      </c>
      <c r="G36" s="239">
        <v>314798.68</v>
      </c>
      <c r="H36" s="239">
        <v>257643.29</v>
      </c>
      <c r="I36" s="239">
        <v>276197.94</v>
      </c>
      <c r="J36" s="239">
        <v>283647.8</v>
      </c>
      <c r="K36" s="239">
        <v>248318.44</v>
      </c>
      <c r="L36" s="239">
        <v>286506.40000000002</v>
      </c>
      <c r="M36" s="239">
        <v>291829.99</v>
      </c>
      <c r="N36" s="239">
        <v>309291.2</v>
      </c>
      <c r="O36" s="210">
        <f t="shared" si="9"/>
        <v>3520181.34</v>
      </c>
      <c r="P36" s="216"/>
      <c r="Q36" s="204" t="s">
        <v>17</v>
      </c>
      <c r="R36" s="204" t="str">
        <f t="shared" si="11"/>
        <v>CFG - FTS-7</v>
      </c>
      <c r="T36" s="204" t="s">
        <v>171</v>
      </c>
      <c r="U36" s="215">
        <f t="shared" si="3"/>
        <v>404984.27</v>
      </c>
      <c r="V36" s="215">
        <f t="shared" si="4"/>
        <v>1</v>
      </c>
      <c r="W36" s="453" t="s">
        <v>17</v>
      </c>
    </row>
    <row r="37" spans="1:23">
      <c r="A37" s="204">
        <f t="shared" si="1"/>
        <v>37</v>
      </c>
      <c r="B37" s="218" t="s">
        <v>145</v>
      </c>
      <c r="C37" s="239">
        <v>520517.1</v>
      </c>
      <c r="D37" s="239">
        <v>437821.75</v>
      </c>
      <c r="E37" s="239">
        <v>478053.73</v>
      </c>
      <c r="F37" s="239">
        <v>393857.96</v>
      </c>
      <c r="G37" s="239">
        <v>397950.9</v>
      </c>
      <c r="H37" s="239">
        <v>356560.36</v>
      </c>
      <c r="I37" s="239">
        <v>393805.1</v>
      </c>
      <c r="J37" s="239">
        <v>371032.57</v>
      </c>
      <c r="K37" s="239">
        <v>342961.02</v>
      </c>
      <c r="L37" s="239">
        <v>410345.03</v>
      </c>
      <c r="M37" s="239">
        <v>415533.58</v>
      </c>
      <c r="N37" s="239">
        <v>430222.78</v>
      </c>
      <c r="O37" s="210">
        <f t="shared" si="9"/>
        <v>4948661.88</v>
      </c>
      <c r="P37" s="216"/>
      <c r="Q37" s="204" t="s">
        <v>17</v>
      </c>
      <c r="R37" s="204" t="str">
        <f t="shared" si="11"/>
        <v>CFG - FTS-8</v>
      </c>
      <c r="T37" s="204" t="s">
        <v>171</v>
      </c>
      <c r="U37" s="215">
        <f t="shared" si="3"/>
        <v>520517.1</v>
      </c>
      <c r="V37" s="215">
        <f t="shared" si="4"/>
        <v>1</v>
      </c>
      <c r="W37" s="453" t="s">
        <v>17</v>
      </c>
    </row>
    <row r="38" spans="1:23">
      <c r="A38" s="204">
        <f t="shared" si="1"/>
        <v>38</v>
      </c>
      <c r="B38" s="218" t="s">
        <v>146</v>
      </c>
      <c r="C38" s="239">
        <v>435274.44</v>
      </c>
      <c r="D38" s="239">
        <v>396190.12</v>
      </c>
      <c r="E38" s="239">
        <v>388307.07</v>
      </c>
      <c r="F38" s="239">
        <v>331188.75</v>
      </c>
      <c r="G38" s="239">
        <v>332202.58</v>
      </c>
      <c r="H38" s="239">
        <v>317426.17</v>
      </c>
      <c r="I38" s="239">
        <v>323248.34000000003</v>
      </c>
      <c r="J38" s="239">
        <v>319126.42</v>
      </c>
      <c r="K38" s="239">
        <v>301858.31</v>
      </c>
      <c r="L38" s="239">
        <v>322159.40000000002</v>
      </c>
      <c r="M38" s="239">
        <v>301851.21999999997</v>
      </c>
      <c r="N38" s="239">
        <v>324525.24</v>
      </c>
      <c r="O38" s="210">
        <f t="shared" si="9"/>
        <v>4093358.0600000005</v>
      </c>
      <c r="P38" s="216"/>
      <c r="Q38" s="204" t="s">
        <v>17</v>
      </c>
      <c r="R38" s="204" t="str">
        <f t="shared" si="11"/>
        <v>CFG - FTS-9</v>
      </c>
      <c r="T38" s="204" t="s">
        <v>171</v>
      </c>
      <c r="U38" s="215">
        <f t="shared" si="3"/>
        <v>435274.44</v>
      </c>
      <c r="V38" s="215">
        <f t="shared" si="4"/>
        <v>1</v>
      </c>
      <c r="W38" s="453" t="s">
        <v>17</v>
      </c>
    </row>
    <row r="39" spans="1:23">
      <c r="A39" s="204">
        <f t="shared" si="1"/>
        <v>39</v>
      </c>
      <c r="B39" s="218" t="s">
        <v>147</v>
      </c>
      <c r="C39" s="239">
        <v>148025.57</v>
      </c>
      <c r="D39" s="239">
        <v>120897.94</v>
      </c>
      <c r="E39" s="239">
        <v>126649.17</v>
      </c>
      <c r="F39" s="239">
        <v>199602.21</v>
      </c>
      <c r="G39" s="239">
        <v>202908.78</v>
      </c>
      <c r="H39" s="239">
        <v>185413.74</v>
      </c>
      <c r="I39" s="239">
        <v>172779.83</v>
      </c>
      <c r="J39" s="239">
        <v>197746.16</v>
      </c>
      <c r="K39" s="239">
        <v>207947.32</v>
      </c>
      <c r="L39" s="239">
        <v>226011.41</v>
      </c>
      <c r="M39" s="239">
        <v>209172.9</v>
      </c>
      <c r="N39" s="239">
        <v>202619.4</v>
      </c>
      <c r="O39" s="210">
        <f t="shared" si="9"/>
        <v>2199774.4299999997</v>
      </c>
      <c r="P39" s="216"/>
      <c r="Q39" s="204" t="s">
        <v>17</v>
      </c>
      <c r="R39" s="204" t="str">
        <f t="shared" si="11"/>
        <v>CFG - FTS-10</v>
      </c>
      <c r="T39" s="204" t="s">
        <v>171</v>
      </c>
      <c r="U39" s="215">
        <f t="shared" si="3"/>
        <v>226011.41</v>
      </c>
      <c r="V39" s="215">
        <f t="shared" si="4"/>
        <v>10</v>
      </c>
      <c r="W39" s="453" t="s">
        <v>17</v>
      </c>
    </row>
    <row r="40" spans="1:23">
      <c r="A40" s="204">
        <f t="shared" si="1"/>
        <v>40</v>
      </c>
      <c r="B40" s="218" t="s">
        <v>148</v>
      </c>
      <c r="C40" s="239">
        <v>134512.60999999999</v>
      </c>
      <c r="D40" s="239">
        <v>63139.93</v>
      </c>
      <c r="E40" s="239">
        <v>66738.17</v>
      </c>
      <c r="F40" s="239">
        <v>261928.22</v>
      </c>
      <c r="G40" s="239">
        <v>266378.57</v>
      </c>
      <c r="H40" s="239">
        <v>310906.57</v>
      </c>
      <c r="I40" s="239">
        <v>313045.7</v>
      </c>
      <c r="J40" s="239">
        <v>389448.2</v>
      </c>
      <c r="K40" s="239">
        <v>415510.03</v>
      </c>
      <c r="L40" s="239">
        <v>401135.03</v>
      </c>
      <c r="M40" s="239">
        <v>383589.4</v>
      </c>
      <c r="N40" s="239">
        <v>345701.32</v>
      </c>
      <c r="O40" s="210">
        <f t="shared" si="9"/>
        <v>3352033.75</v>
      </c>
      <c r="P40" s="216"/>
      <c r="Q40" s="204" t="s">
        <v>17</v>
      </c>
      <c r="R40" s="204" t="str">
        <f t="shared" si="11"/>
        <v>CFG - FTS-11</v>
      </c>
      <c r="T40" s="204" t="s">
        <v>171</v>
      </c>
      <c r="U40" s="215">
        <f t="shared" si="3"/>
        <v>415510.03</v>
      </c>
      <c r="V40" s="215">
        <f t="shared" si="4"/>
        <v>9</v>
      </c>
      <c r="W40" s="453" t="s">
        <v>17</v>
      </c>
    </row>
    <row r="41" spans="1:23">
      <c r="A41" s="204">
        <f t="shared" si="1"/>
        <v>41</v>
      </c>
      <c r="B41" s="218" t="s">
        <v>149</v>
      </c>
      <c r="C41" s="239">
        <v>1728430.84</v>
      </c>
      <c r="D41" s="239">
        <v>1659083.1</v>
      </c>
      <c r="E41" s="239">
        <v>1793047.65</v>
      </c>
      <c r="F41" s="239">
        <v>1573238.42</v>
      </c>
      <c r="G41" s="239">
        <v>1432832.34</v>
      </c>
      <c r="H41" s="239">
        <v>1513442.34</v>
      </c>
      <c r="I41" s="239">
        <v>1563792.13</v>
      </c>
      <c r="J41" s="239">
        <v>1715772.18</v>
      </c>
      <c r="K41" s="239">
        <v>1614940.93</v>
      </c>
      <c r="L41" s="239">
        <v>1538235.3</v>
      </c>
      <c r="M41" s="239">
        <v>1556512.63</v>
      </c>
      <c r="N41" s="239">
        <v>1446931.94</v>
      </c>
      <c r="O41" s="210">
        <f t="shared" si="9"/>
        <v>19136259.800000001</v>
      </c>
      <c r="P41" s="216"/>
      <c r="Q41" s="204" t="s">
        <v>17</v>
      </c>
      <c r="R41" s="204" t="str">
        <f t="shared" si="11"/>
        <v>CFG - FTS-12</v>
      </c>
      <c r="T41" s="204" t="s">
        <v>171</v>
      </c>
      <c r="U41" s="215">
        <f t="shared" si="3"/>
        <v>1793047.65</v>
      </c>
      <c r="V41" s="215">
        <f t="shared" si="4"/>
        <v>3</v>
      </c>
      <c r="W41" s="453" t="s">
        <v>17</v>
      </c>
    </row>
    <row r="42" spans="1:23">
      <c r="A42" s="204">
        <f t="shared" si="1"/>
        <v>42</v>
      </c>
      <c r="B42" s="218" t="s">
        <v>975</v>
      </c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10">
        <f t="shared" si="9"/>
        <v>0</v>
      </c>
      <c r="P42" s="216"/>
      <c r="Q42" s="204" t="s">
        <v>17</v>
      </c>
      <c r="R42" s="204" t="str">
        <f t="shared" si="11"/>
        <v>CFG - FTS-13</v>
      </c>
      <c r="T42" s="204" t="s">
        <v>171</v>
      </c>
      <c r="U42" s="215">
        <f t="shared" si="3"/>
        <v>0</v>
      </c>
      <c r="V42" s="215">
        <f t="shared" si="4"/>
        <v>0</v>
      </c>
      <c r="W42" s="453" t="s">
        <v>17</v>
      </c>
    </row>
    <row r="43" spans="1:23">
      <c r="A43" s="204">
        <f t="shared" si="1"/>
        <v>43</v>
      </c>
      <c r="B43" s="218" t="s">
        <v>113</v>
      </c>
      <c r="C43" s="239">
        <v>128898.50000000004</v>
      </c>
      <c r="D43" s="239">
        <v>111216.99</v>
      </c>
      <c r="E43" s="239">
        <v>93276.659999999974</v>
      </c>
      <c r="F43" s="239">
        <v>93501.570000000094</v>
      </c>
      <c r="G43" s="239">
        <v>77461.38999999997</v>
      </c>
      <c r="H43" s="239">
        <v>72621.730000000069</v>
      </c>
      <c r="I43" s="239">
        <v>60343</v>
      </c>
      <c r="J43" s="239">
        <v>62615.850000000013</v>
      </c>
      <c r="K43" s="239">
        <v>59656.630000000048</v>
      </c>
      <c r="L43" s="239">
        <v>58216.840000000084</v>
      </c>
      <c r="M43" s="239">
        <v>78346.930000000008</v>
      </c>
      <c r="N43" s="239">
        <v>104189.94000000012</v>
      </c>
      <c r="O43" s="210">
        <f t="shared" si="9"/>
        <v>1000346.0300000003</v>
      </c>
      <c r="P43" s="216"/>
      <c r="Q43" s="204" t="s">
        <v>16</v>
      </c>
      <c r="R43" s="204" t="str">
        <f t="shared" si="11"/>
        <v>FPU - FPU - GS - 1</v>
      </c>
      <c r="T43" s="204" t="s">
        <v>172</v>
      </c>
      <c r="U43" s="215">
        <f t="shared" si="3"/>
        <v>128898.50000000004</v>
      </c>
      <c r="V43" s="215">
        <f t="shared" si="4"/>
        <v>1</v>
      </c>
      <c r="W43" s="453" t="s">
        <v>16</v>
      </c>
    </row>
    <row r="44" spans="1:23">
      <c r="A44" s="204">
        <f t="shared" si="1"/>
        <v>44</v>
      </c>
      <c r="B44" s="218" t="s">
        <v>173</v>
      </c>
      <c r="C44" s="239">
        <v>74954.740000000005</v>
      </c>
      <c r="D44" s="239">
        <v>71025.020000000019</v>
      </c>
      <c r="E44" s="239">
        <v>60850.890000000043</v>
      </c>
      <c r="F44" s="239">
        <v>61898.69</v>
      </c>
      <c r="G44" s="239">
        <v>53712.069999999985</v>
      </c>
      <c r="H44" s="239">
        <v>54336.659999999989</v>
      </c>
      <c r="I44" s="239">
        <v>45889</v>
      </c>
      <c r="J44" s="239">
        <v>42705.48000000001</v>
      </c>
      <c r="K44" s="239">
        <v>48243.899999999972</v>
      </c>
      <c r="L44" s="239">
        <v>43669.430000000008</v>
      </c>
      <c r="M44" s="239">
        <v>57776.990000000005</v>
      </c>
      <c r="N44" s="239">
        <v>64765.939999999981</v>
      </c>
      <c r="O44" s="210">
        <f t="shared" si="9"/>
        <v>679828.80999999994</v>
      </c>
      <c r="P44" s="216"/>
      <c r="Q44" s="204" t="s">
        <v>16</v>
      </c>
      <c r="R44" s="204" t="str">
        <f t="shared" si="11"/>
        <v>FPU - FPU - GSTS - 1</v>
      </c>
      <c r="T44" s="204" t="s">
        <v>174</v>
      </c>
      <c r="U44" s="215">
        <f t="shared" si="3"/>
        <v>74954.740000000005</v>
      </c>
      <c r="V44" s="215">
        <f t="shared" si="4"/>
        <v>1</v>
      </c>
      <c r="W44" s="453" t="s">
        <v>16</v>
      </c>
    </row>
    <row r="45" spans="1:23">
      <c r="A45" s="204">
        <f t="shared" si="1"/>
        <v>45</v>
      </c>
      <c r="B45" s="218" t="s">
        <v>175</v>
      </c>
      <c r="C45" s="239">
        <v>760638.17999999726</v>
      </c>
      <c r="D45" s="239">
        <v>755631.61000000092</v>
      </c>
      <c r="E45" s="239">
        <v>632285.9800000001</v>
      </c>
      <c r="F45" s="239">
        <v>640585.47999999928</v>
      </c>
      <c r="G45" s="239">
        <v>529112.78999999934</v>
      </c>
      <c r="H45" s="239">
        <v>512476.09000000195</v>
      </c>
      <c r="I45" s="239">
        <v>443876.33999999927</v>
      </c>
      <c r="J45" s="239">
        <v>442949.05000000063</v>
      </c>
      <c r="K45" s="239">
        <v>456222.93000000058</v>
      </c>
      <c r="L45" s="239">
        <v>414799.56999999867</v>
      </c>
      <c r="M45" s="239">
        <v>526088.93999999994</v>
      </c>
      <c r="N45" s="239">
        <v>677644.77000000048</v>
      </c>
      <c r="O45" s="210">
        <f t="shared" si="9"/>
        <v>6792311.7299999977</v>
      </c>
      <c r="P45" s="216"/>
      <c r="Q45" s="204" t="s">
        <v>16</v>
      </c>
      <c r="R45" s="204" t="str">
        <f t="shared" si="11"/>
        <v>FPU - FPU - GS - 2</v>
      </c>
      <c r="T45" s="204" t="s">
        <v>172</v>
      </c>
      <c r="U45" s="215">
        <f t="shared" si="3"/>
        <v>760638.17999999726</v>
      </c>
      <c r="V45" s="215">
        <f t="shared" si="4"/>
        <v>1</v>
      </c>
      <c r="W45" s="453" t="s">
        <v>16</v>
      </c>
    </row>
    <row r="46" spans="1:23">
      <c r="A46" s="204">
        <f t="shared" si="1"/>
        <v>46</v>
      </c>
      <c r="B46" s="218" t="s">
        <v>176</v>
      </c>
      <c r="C46" s="239">
        <v>484984.58000000007</v>
      </c>
      <c r="D46" s="239">
        <v>445421.16000000003</v>
      </c>
      <c r="E46" s="239">
        <v>417362.00999999989</v>
      </c>
      <c r="F46" s="239">
        <v>437617.93999999965</v>
      </c>
      <c r="G46" s="239">
        <v>382148.90999999945</v>
      </c>
      <c r="H46" s="239">
        <v>400184.70000000065</v>
      </c>
      <c r="I46" s="239">
        <v>349086.76000000007</v>
      </c>
      <c r="J46" s="239">
        <v>356401.70000000007</v>
      </c>
      <c r="K46" s="239">
        <v>376932.37000000052</v>
      </c>
      <c r="L46" s="239">
        <v>346152.70000000019</v>
      </c>
      <c r="M46" s="239">
        <v>434486.40000000008</v>
      </c>
      <c r="N46" s="239">
        <v>492601.61000000016</v>
      </c>
      <c r="O46" s="210">
        <f t="shared" si="9"/>
        <v>4923380.8400000017</v>
      </c>
      <c r="P46" s="216"/>
      <c r="Q46" s="204" t="s">
        <v>16</v>
      </c>
      <c r="R46" s="204" t="str">
        <f t="shared" si="11"/>
        <v>FPU - FPU - GSTS - 2</v>
      </c>
      <c r="T46" s="204" t="s">
        <v>174</v>
      </c>
      <c r="U46" s="215">
        <f t="shared" si="3"/>
        <v>492601.61000000016</v>
      </c>
      <c r="V46" s="215">
        <f t="shared" si="4"/>
        <v>12</v>
      </c>
      <c r="W46" s="453" t="s">
        <v>16</v>
      </c>
    </row>
    <row r="47" spans="1:23">
      <c r="A47" s="204">
        <f t="shared" si="1"/>
        <v>47</v>
      </c>
      <c r="B47" s="218" t="s">
        <v>177</v>
      </c>
      <c r="C47" s="239">
        <v>4699.2099999999982</v>
      </c>
      <c r="D47" s="239">
        <v>3163.8800000000006</v>
      </c>
      <c r="E47" s="239">
        <v>2985.3899999999994</v>
      </c>
      <c r="F47" s="239">
        <v>2678.8599999999997</v>
      </c>
      <c r="G47" s="239">
        <v>2102.3300000000004</v>
      </c>
      <c r="H47" s="239">
        <v>2859.4900000000021</v>
      </c>
      <c r="I47" s="239">
        <v>2143</v>
      </c>
      <c r="J47" s="239">
        <v>2656.0699999999993</v>
      </c>
      <c r="K47" s="239">
        <v>2585.0300000000011</v>
      </c>
      <c r="L47" s="239">
        <v>1902.1100000000008</v>
      </c>
      <c r="M47" s="239">
        <v>2793.400000000001</v>
      </c>
      <c r="N47" s="239">
        <v>2954.940000000001</v>
      </c>
      <c r="O47" s="210">
        <f t="shared" si="9"/>
        <v>33523.710000000006</v>
      </c>
      <c r="P47" s="216"/>
      <c r="Q47" s="204" t="s">
        <v>16</v>
      </c>
      <c r="R47" s="204" t="str">
        <f t="shared" si="11"/>
        <v>FPU - FPU - CS - GS</v>
      </c>
      <c r="T47" s="204" t="s">
        <v>172</v>
      </c>
      <c r="U47" s="215">
        <f t="shared" si="3"/>
        <v>4699.2099999999982</v>
      </c>
      <c r="V47" s="215">
        <f t="shared" si="4"/>
        <v>1</v>
      </c>
      <c r="W47" s="453" t="s">
        <v>16</v>
      </c>
    </row>
    <row r="48" spans="1:23">
      <c r="A48" s="204">
        <f t="shared" si="1"/>
        <v>48</v>
      </c>
      <c r="B48" s="218" t="s">
        <v>178</v>
      </c>
      <c r="C48" s="239">
        <v>1037717.9499999991</v>
      </c>
      <c r="D48" s="239">
        <v>885888.1399999992</v>
      </c>
      <c r="E48" s="239">
        <v>856826.71999999881</v>
      </c>
      <c r="F48" s="239">
        <v>854521.22999999975</v>
      </c>
      <c r="G48" s="239">
        <v>750280.54999999993</v>
      </c>
      <c r="H48" s="239">
        <v>708958.36999999988</v>
      </c>
      <c r="I48" s="239">
        <v>579667.33999999985</v>
      </c>
      <c r="J48" s="239">
        <v>596169.6</v>
      </c>
      <c r="K48" s="239">
        <v>595503.02000000107</v>
      </c>
      <c r="L48" s="239">
        <v>562444.40999999957</v>
      </c>
      <c r="M48" s="239">
        <v>785356.88000000059</v>
      </c>
      <c r="N48" s="239">
        <v>887845.7499999993</v>
      </c>
      <c r="O48" s="210">
        <f t="shared" si="9"/>
        <v>9101179.9599999972</v>
      </c>
      <c r="P48" s="216"/>
      <c r="Q48" s="204" t="s">
        <v>16</v>
      </c>
      <c r="R48" s="204" t="str">
        <f t="shared" si="11"/>
        <v>FPU - FPU - LVS</v>
      </c>
      <c r="T48" s="204" t="s">
        <v>179</v>
      </c>
      <c r="U48" s="215">
        <f t="shared" si="3"/>
        <v>1037717.9499999991</v>
      </c>
      <c r="V48" s="215">
        <f t="shared" si="4"/>
        <v>1</v>
      </c>
      <c r="W48" s="453" t="s">
        <v>16</v>
      </c>
    </row>
    <row r="49" spans="1:23">
      <c r="A49" s="204">
        <f t="shared" si="1"/>
        <v>49</v>
      </c>
      <c r="B49" s="218" t="s">
        <v>180</v>
      </c>
      <c r="C49" s="239">
        <v>0</v>
      </c>
      <c r="D49" s="239">
        <v>0</v>
      </c>
      <c r="E49" s="239">
        <v>0</v>
      </c>
      <c r="F49" s="239">
        <v>0</v>
      </c>
      <c r="G49" s="239">
        <v>0</v>
      </c>
      <c r="H49" s="239">
        <v>0</v>
      </c>
      <c r="I49" s="239">
        <v>0</v>
      </c>
      <c r="J49" s="239">
        <v>0</v>
      </c>
      <c r="K49" s="239">
        <v>0</v>
      </c>
      <c r="L49" s="239"/>
      <c r="M49" s="239">
        <v>0</v>
      </c>
      <c r="N49" s="239">
        <v>0</v>
      </c>
      <c r="O49" s="210">
        <f t="shared" si="9"/>
        <v>0</v>
      </c>
      <c r="P49" s="216"/>
      <c r="Q49" s="204" t="s">
        <v>16</v>
      </c>
      <c r="R49" s="204" t="str">
        <f t="shared" si="11"/>
        <v>FPU - FPU - LVTS &lt;50k</v>
      </c>
      <c r="T49" s="204">
        <v>0</v>
      </c>
      <c r="U49" s="215">
        <f t="shared" si="3"/>
        <v>0</v>
      </c>
      <c r="V49" s="215">
        <f t="shared" si="4"/>
        <v>1</v>
      </c>
      <c r="W49" s="453" t="s">
        <v>16</v>
      </c>
    </row>
    <row r="50" spans="1:23">
      <c r="A50" s="204">
        <f t="shared" si="1"/>
        <v>50</v>
      </c>
      <c r="B50" s="218" t="s">
        <v>181</v>
      </c>
      <c r="C50" s="239">
        <v>3074701.2399999998</v>
      </c>
      <c r="D50" s="239">
        <v>2841852.0600000005</v>
      </c>
      <c r="E50" s="239">
        <v>2802097.3599999989</v>
      </c>
      <c r="F50" s="239">
        <v>2852370.3699999987</v>
      </c>
      <c r="G50" s="239">
        <v>2649343.2999999993</v>
      </c>
      <c r="H50" s="239">
        <v>2599670.89</v>
      </c>
      <c r="I50" s="239">
        <v>2442906.6799999988</v>
      </c>
      <c r="J50" s="239">
        <v>2487274.4399999995</v>
      </c>
      <c r="K50" s="239">
        <v>2451861.8400000017</v>
      </c>
      <c r="L50" s="239">
        <v>2420639.5399999982</v>
      </c>
      <c r="M50" s="239">
        <v>2689350.9600000004</v>
      </c>
      <c r="N50" s="239">
        <v>2934689.6499999966</v>
      </c>
      <c r="O50" s="210">
        <f t="shared" si="9"/>
        <v>32246758.329999998</v>
      </c>
      <c r="P50" s="216"/>
      <c r="Q50" s="204" t="s">
        <v>16</v>
      </c>
      <c r="R50" s="204" t="str">
        <f t="shared" si="11"/>
        <v>FPU - FPU - LVTS &gt;50k</v>
      </c>
      <c r="T50" s="204" t="s">
        <v>182</v>
      </c>
      <c r="U50" s="215">
        <f t="shared" si="3"/>
        <v>3074701.2399999998</v>
      </c>
      <c r="V50" s="215">
        <f t="shared" si="4"/>
        <v>1</v>
      </c>
      <c r="W50" s="453" t="s">
        <v>16</v>
      </c>
    </row>
    <row r="51" spans="1:23">
      <c r="A51" s="204">
        <f t="shared" si="1"/>
        <v>51</v>
      </c>
      <c r="B51" s="218" t="s">
        <v>183</v>
      </c>
      <c r="C51" s="239">
        <v>0</v>
      </c>
      <c r="D51" s="239">
        <v>0</v>
      </c>
      <c r="E51" s="239">
        <v>0</v>
      </c>
      <c r="F51" s="239"/>
      <c r="G51" s="239">
        <v>0</v>
      </c>
      <c r="H51" s="239">
        <v>0</v>
      </c>
      <c r="I51" s="239">
        <v>0</v>
      </c>
      <c r="J51" s="239">
        <v>0</v>
      </c>
      <c r="K51" s="239">
        <v>0</v>
      </c>
      <c r="L51" s="239"/>
      <c r="M51" s="239">
        <v>0</v>
      </c>
      <c r="N51" s="239">
        <v>0</v>
      </c>
      <c r="O51" s="210">
        <f t="shared" si="9"/>
        <v>0</v>
      </c>
      <c r="P51" s="216"/>
      <c r="Q51" s="204" t="s">
        <v>16</v>
      </c>
      <c r="R51" s="204" t="str">
        <f t="shared" si="11"/>
        <v>FPU - FPU - IS</v>
      </c>
      <c r="T51" s="204">
        <v>0</v>
      </c>
      <c r="U51" s="215">
        <f t="shared" si="3"/>
        <v>0</v>
      </c>
      <c r="V51" s="215">
        <f t="shared" si="4"/>
        <v>1</v>
      </c>
      <c r="W51" s="453" t="s">
        <v>16</v>
      </c>
    </row>
    <row r="52" spans="1:23">
      <c r="A52" s="204">
        <f t="shared" si="1"/>
        <v>52</v>
      </c>
      <c r="B52" s="218" t="s">
        <v>184</v>
      </c>
      <c r="C52" s="239">
        <v>919609.62000000011</v>
      </c>
      <c r="D52" s="239">
        <v>791181.39</v>
      </c>
      <c r="E52" s="239">
        <v>914779.35</v>
      </c>
      <c r="F52" s="239">
        <v>832157.67000000016</v>
      </c>
      <c r="G52" s="239">
        <v>860983.39999999991</v>
      </c>
      <c r="H52" s="239">
        <v>918601.75999999989</v>
      </c>
      <c r="I52" s="239">
        <v>877709.64999999991</v>
      </c>
      <c r="J52" s="239">
        <v>836941.85</v>
      </c>
      <c r="K52" s="239">
        <v>816022.27000000014</v>
      </c>
      <c r="L52" s="239">
        <v>891273.56</v>
      </c>
      <c r="M52" s="239">
        <v>846929.39999999991</v>
      </c>
      <c r="N52" s="239">
        <v>806398.34999999986</v>
      </c>
      <c r="O52" s="210">
        <f t="shared" si="9"/>
        <v>10312588.27</v>
      </c>
      <c r="P52" s="216"/>
      <c r="Q52" s="204" t="s">
        <v>16</v>
      </c>
      <c r="R52" s="204" t="str">
        <f t="shared" si="11"/>
        <v>FPU - FPU - ITS</v>
      </c>
      <c r="T52" s="204" t="s">
        <v>185</v>
      </c>
      <c r="U52" s="215">
        <f t="shared" si="3"/>
        <v>919609.62000000011</v>
      </c>
      <c r="V52" s="215">
        <f t="shared" si="4"/>
        <v>1</v>
      </c>
      <c r="W52" s="453" t="s">
        <v>16</v>
      </c>
    </row>
    <row r="53" spans="1:23">
      <c r="A53" s="204">
        <f t="shared" si="1"/>
        <v>53</v>
      </c>
      <c r="B53" s="218" t="s">
        <v>186</v>
      </c>
      <c r="C53" s="239">
        <v>14809.22</v>
      </c>
      <c r="D53" s="239">
        <v>14258.22</v>
      </c>
      <c r="E53" s="239">
        <v>14258.22</v>
      </c>
      <c r="F53" s="239">
        <v>14247.22</v>
      </c>
      <c r="G53" s="239">
        <v>14224.22</v>
      </c>
      <c r="H53" s="239">
        <v>14224.22</v>
      </c>
      <c r="I53" s="239">
        <v>14224.22</v>
      </c>
      <c r="J53" s="239">
        <v>14224.22</v>
      </c>
      <c r="K53" s="239">
        <v>13306.220000000001</v>
      </c>
      <c r="L53" s="239">
        <v>13306.220000000001</v>
      </c>
      <c r="M53" s="239">
        <v>12595.220000000001</v>
      </c>
      <c r="N53" s="239">
        <v>11878.22</v>
      </c>
      <c r="O53" s="210">
        <f t="shared" si="9"/>
        <v>165555.64000000001</v>
      </c>
      <c r="P53" s="216"/>
      <c r="Q53" s="204" t="s">
        <v>16</v>
      </c>
      <c r="R53" s="204" t="str">
        <f t="shared" si="11"/>
        <v>FPU - FPU - GLS</v>
      </c>
      <c r="T53" s="204" t="s">
        <v>187</v>
      </c>
      <c r="U53" s="215">
        <f t="shared" si="3"/>
        <v>14809.22</v>
      </c>
      <c r="V53" s="215">
        <f t="shared" si="4"/>
        <v>1</v>
      </c>
      <c r="W53" s="453" t="s">
        <v>16</v>
      </c>
    </row>
    <row r="54" spans="1:23">
      <c r="A54" s="204">
        <f t="shared" si="1"/>
        <v>54</v>
      </c>
      <c r="B54" s="218" t="s">
        <v>188</v>
      </c>
      <c r="C54" s="239">
        <v>0</v>
      </c>
      <c r="D54" s="239">
        <v>0</v>
      </c>
      <c r="E54" s="239">
        <v>0</v>
      </c>
      <c r="F54" s="239"/>
      <c r="G54" s="239">
        <v>0</v>
      </c>
      <c r="H54" s="239"/>
      <c r="I54" s="239">
        <v>0</v>
      </c>
      <c r="J54" s="239">
        <v>0</v>
      </c>
      <c r="K54" s="239">
        <v>0</v>
      </c>
      <c r="L54" s="239"/>
      <c r="M54" s="239">
        <v>0</v>
      </c>
      <c r="N54" s="239">
        <v>0</v>
      </c>
      <c r="O54" s="210">
        <f t="shared" si="9"/>
        <v>0</v>
      </c>
      <c r="P54" s="216"/>
      <c r="Q54" s="204" t="s">
        <v>16</v>
      </c>
      <c r="R54" s="204" t="str">
        <f t="shared" si="11"/>
        <v>FPU - FPU-NGVS</v>
      </c>
      <c r="T54" s="204">
        <v>0</v>
      </c>
      <c r="U54" s="215">
        <f t="shared" si="3"/>
        <v>0</v>
      </c>
      <c r="V54" s="215">
        <f t="shared" si="4"/>
        <v>1</v>
      </c>
      <c r="W54" s="453" t="s">
        <v>16</v>
      </c>
    </row>
    <row r="55" spans="1:23">
      <c r="A55" s="204">
        <f t="shared" si="1"/>
        <v>55</v>
      </c>
      <c r="B55" s="218" t="s">
        <v>189</v>
      </c>
      <c r="C55" s="239">
        <v>50059.83</v>
      </c>
      <c r="D55" s="239">
        <v>46190.3</v>
      </c>
      <c r="E55" s="239">
        <v>50229.240000000005</v>
      </c>
      <c r="F55" s="239">
        <v>48640.6</v>
      </c>
      <c r="G55" s="239">
        <v>52731.210000000006</v>
      </c>
      <c r="H55" s="239">
        <v>50611.54</v>
      </c>
      <c r="I55" s="239">
        <v>54882.13</v>
      </c>
      <c r="J55" s="239">
        <v>59812.259999999995</v>
      </c>
      <c r="K55" s="239">
        <v>56310.01</v>
      </c>
      <c r="L55" s="239">
        <v>61467.17</v>
      </c>
      <c r="M55" s="239">
        <v>57518.450000000004</v>
      </c>
      <c r="N55" s="239">
        <v>54483.119999999995</v>
      </c>
      <c r="O55" s="210">
        <f t="shared" si="9"/>
        <v>642935.86</v>
      </c>
      <c r="P55" s="216"/>
      <c r="Q55" s="204" t="s">
        <v>16</v>
      </c>
      <c r="R55" s="204" t="str">
        <f t="shared" si="11"/>
        <v>FPU - FPU- NGVTS</v>
      </c>
      <c r="T55" s="204" t="s">
        <v>174</v>
      </c>
      <c r="U55" s="215">
        <f t="shared" si="3"/>
        <v>61467.17</v>
      </c>
      <c r="V55" s="215">
        <f t="shared" si="4"/>
        <v>10</v>
      </c>
      <c r="W55" s="453" t="s">
        <v>16</v>
      </c>
    </row>
    <row r="56" spans="1:23">
      <c r="A56" s="204">
        <f t="shared" si="1"/>
        <v>56</v>
      </c>
      <c r="B56" s="218" t="s">
        <v>190</v>
      </c>
      <c r="C56" s="239">
        <v>86</v>
      </c>
      <c r="D56" s="239">
        <v>115.98</v>
      </c>
      <c r="E56" s="239">
        <v>39.01</v>
      </c>
      <c r="F56" s="239">
        <v>41</v>
      </c>
      <c r="G56" s="239">
        <v>10</v>
      </c>
      <c r="H56" s="239">
        <v>8</v>
      </c>
      <c r="I56" s="239">
        <v>10.4</v>
      </c>
      <c r="J56" s="239">
        <v>17</v>
      </c>
      <c r="K56" s="239">
        <v>3.12</v>
      </c>
      <c r="L56" s="239">
        <v>541</v>
      </c>
      <c r="M56" s="239">
        <v>0</v>
      </c>
      <c r="N56" s="239">
        <v>58</v>
      </c>
      <c r="O56" s="210">
        <f t="shared" si="9"/>
        <v>929.51</v>
      </c>
      <c r="P56" s="216"/>
      <c r="Q56" s="204" t="s">
        <v>14</v>
      </c>
      <c r="R56" s="204" t="str">
        <f t="shared" si="11"/>
        <v>FT - FT-Comm PA</v>
      </c>
      <c r="T56" s="204" t="s">
        <v>191</v>
      </c>
      <c r="U56" s="215">
        <f t="shared" si="3"/>
        <v>541</v>
      </c>
      <c r="V56" s="215">
        <f t="shared" si="4"/>
        <v>10</v>
      </c>
      <c r="W56" s="453" t="s">
        <v>14</v>
      </c>
    </row>
    <row r="57" spans="1:23">
      <c r="A57" s="204">
        <f t="shared" si="1"/>
        <v>57</v>
      </c>
      <c r="B57" s="218" t="s">
        <v>192</v>
      </c>
      <c r="C57" s="239">
        <v>6115.7100000000019</v>
      </c>
      <c r="D57" s="239">
        <v>5469.02</v>
      </c>
      <c r="E57" s="239">
        <v>4098.2099999999991</v>
      </c>
      <c r="F57" s="239">
        <v>4518.4800000000005</v>
      </c>
      <c r="G57" s="239">
        <v>3016.1200000000008</v>
      </c>
      <c r="H57" s="239">
        <v>2258.7999999999997</v>
      </c>
      <c r="I57" s="239">
        <v>1071.99</v>
      </c>
      <c r="J57" s="239">
        <v>1105</v>
      </c>
      <c r="K57" s="239">
        <v>1341.2500000000002</v>
      </c>
      <c r="L57" s="239">
        <v>1070.3399999999999</v>
      </c>
      <c r="M57" s="239">
        <v>1776.4400000000003</v>
      </c>
      <c r="N57" s="239">
        <v>5841.3200000000006</v>
      </c>
      <c r="O57" s="210">
        <f t="shared" si="9"/>
        <v>37682.68</v>
      </c>
      <c r="P57" s="216"/>
      <c r="Q57" s="204" t="s">
        <v>14</v>
      </c>
      <c r="R57" s="204" t="str">
        <f t="shared" si="11"/>
        <v>FT - FT-Comm Small</v>
      </c>
      <c r="T57" s="204" t="s">
        <v>191</v>
      </c>
      <c r="U57" s="215">
        <f t="shared" si="3"/>
        <v>6115.7100000000019</v>
      </c>
      <c r="V57" s="215">
        <f t="shared" si="4"/>
        <v>1</v>
      </c>
      <c r="W57" s="453" t="s">
        <v>14</v>
      </c>
    </row>
    <row r="58" spans="1:23">
      <c r="A58" s="204">
        <f t="shared" si="1"/>
        <v>58</v>
      </c>
      <c r="B58" s="218" t="s">
        <v>194</v>
      </c>
      <c r="C58" s="239">
        <v>2310</v>
      </c>
      <c r="D58" s="239">
        <v>2340.39</v>
      </c>
      <c r="E58" s="239">
        <v>2171.7200000000003</v>
      </c>
      <c r="F58" s="239">
        <v>2230</v>
      </c>
      <c r="G58" s="239">
        <v>2233</v>
      </c>
      <c r="H58" s="239">
        <v>2092</v>
      </c>
      <c r="I58" s="239">
        <v>1628</v>
      </c>
      <c r="J58" s="239">
        <v>1931</v>
      </c>
      <c r="K58" s="239">
        <v>2197</v>
      </c>
      <c r="L58" s="239">
        <v>1906</v>
      </c>
      <c r="M58" s="239">
        <v>2350</v>
      </c>
      <c r="N58" s="239">
        <v>2298</v>
      </c>
      <c r="O58" s="210">
        <f t="shared" si="9"/>
        <v>25687.11</v>
      </c>
      <c r="P58" s="216"/>
      <c r="Q58" s="204" t="s">
        <v>14</v>
      </c>
      <c r="R58" s="204" t="str">
        <f t="shared" si="11"/>
        <v>FT - FT-Transportation</v>
      </c>
      <c r="T58" s="204" t="s">
        <v>195</v>
      </c>
      <c r="U58" s="215">
        <f t="shared" si="3"/>
        <v>2350</v>
      </c>
      <c r="V58" s="215">
        <f t="shared" si="4"/>
        <v>11</v>
      </c>
      <c r="W58" s="453" t="s">
        <v>14</v>
      </c>
    </row>
    <row r="59" spans="1:23">
      <c r="A59" s="204">
        <f t="shared" si="1"/>
        <v>59</v>
      </c>
      <c r="B59" s="213" t="s">
        <v>107</v>
      </c>
      <c r="C59" s="239">
        <v>8029.3300000000008</v>
      </c>
      <c r="D59" s="239">
        <v>6886.7</v>
      </c>
      <c r="E59" s="239">
        <v>7121.05</v>
      </c>
      <c r="F59" s="239">
        <v>6952.9</v>
      </c>
      <c r="G59" s="239">
        <v>7539.02</v>
      </c>
      <c r="H59" s="239">
        <v>6694.5699999999988</v>
      </c>
      <c r="I59" s="239">
        <v>7065</v>
      </c>
      <c r="J59" s="239">
        <v>6600.1699999999983</v>
      </c>
      <c r="K59" s="239">
        <v>6558.16</v>
      </c>
      <c r="L59" s="239">
        <v>7139</v>
      </c>
      <c r="M59" s="239">
        <v>7179.4099999999989</v>
      </c>
      <c r="N59" s="239">
        <v>7649.88</v>
      </c>
      <c r="O59" s="210">
        <f t="shared" si="9"/>
        <v>85415.19</v>
      </c>
      <c r="P59" s="216"/>
      <c r="Q59" s="204" t="s">
        <v>13</v>
      </c>
      <c r="R59" s="204" t="str">
        <f t="shared" si="11"/>
        <v>IGC - IGC - TS2</v>
      </c>
      <c r="T59" s="204" t="s">
        <v>196</v>
      </c>
      <c r="U59" s="215">
        <f t="shared" si="3"/>
        <v>8029.3300000000008</v>
      </c>
      <c r="V59" s="215">
        <f t="shared" si="4"/>
        <v>1</v>
      </c>
      <c r="W59" s="453" t="s">
        <v>13</v>
      </c>
    </row>
    <row r="60" spans="1:23">
      <c r="A60" s="204">
        <f t="shared" si="1"/>
        <v>60</v>
      </c>
      <c r="B60" s="213" t="s">
        <v>108</v>
      </c>
      <c r="C60" s="239">
        <v>341.84</v>
      </c>
      <c r="D60" s="239">
        <v>274.42</v>
      </c>
      <c r="E60" s="239">
        <v>295.33</v>
      </c>
      <c r="F60" s="239">
        <v>352.4</v>
      </c>
      <c r="G60" s="239">
        <v>294.93</v>
      </c>
      <c r="H60" s="239">
        <v>378.86</v>
      </c>
      <c r="I60" s="239">
        <v>265</v>
      </c>
      <c r="J60" s="239">
        <v>399.06</v>
      </c>
      <c r="K60" s="239">
        <v>322.02999999999997</v>
      </c>
      <c r="L60" s="239">
        <v>297</v>
      </c>
      <c r="M60" s="239">
        <v>189.74</v>
      </c>
      <c r="N60" s="239">
        <v>422.62</v>
      </c>
      <c r="O60" s="210">
        <f t="shared" si="9"/>
        <v>3833.2299999999996</v>
      </c>
      <c r="P60" s="216"/>
      <c r="Q60" s="204" t="s">
        <v>13</v>
      </c>
      <c r="R60" s="204" t="str">
        <f t="shared" si="11"/>
        <v>IGC - IGC - TS3</v>
      </c>
      <c r="T60" s="204" t="s">
        <v>197</v>
      </c>
      <c r="U60" s="215">
        <f t="shared" si="3"/>
        <v>422.62</v>
      </c>
      <c r="V60" s="215">
        <f t="shared" si="4"/>
        <v>12</v>
      </c>
      <c r="W60" s="453" t="s">
        <v>13</v>
      </c>
    </row>
    <row r="61" spans="1:23">
      <c r="A61" s="204">
        <f t="shared" si="1"/>
        <v>61</v>
      </c>
      <c r="B61" s="224" t="s">
        <v>109</v>
      </c>
      <c r="C61" s="239">
        <v>0</v>
      </c>
      <c r="D61" s="239">
        <v>0</v>
      </c>
      <c r="E61" s="239">
        <v>0</v>
      </c>
      <c r="F61" s="239">
        <v>94116.83</v>
      </c>
      <c r="G61" s="239">
        <v>110371.46</v>
      </c>
      <c r="H61" s="239">
        <v>0</v>
      </c>
      <c r="I61" s="239">
        <v>0</v>
      </c>
      <c r="J61" s="239">
        <v>0</v>
      </c>
      <c r="K61" s="239">
        <v>0</v>
      </c>
      <c r="L61" s="239">
        <v>0</v>
      </c>
      <c r="M61" s="239">
        <v>0</v>
      </c>
      <c r="N61" s="239">
        <v>0</v>
      </c>
      <c r="O61" s="222">
        <f t="shared" si="9"/>
        <v>204488.29</v>
      </c>
      <c r="P61" s="216"/>
      <c r="Q61" s="204" t="s">
        <v>13</v>
      </c>
      <c r="R61" s="204" t="str">
        <f t="shared" si="11"/>
        <v>IGC - IGC - TS4</v>
      </c>
      <c r="T61" s="204" t="s">
        <v>198</v>
      </c>
      <c r="U61" s="215">
        <f t="shared" si="3"/>
        <v>110371.46</v>
      </c>
      <c r="V61" s="215">
        <f t="shared" si="4"/>
        <v>5</v>
      </c>
      <c r="W61" s="453" t="s">
        <v>13</v>
      </c>
    </row>
    <row r="62" spans="1:23">
      <c r="A62" s="204">
        <f t="shared" si="1"/>
        <v>62</v>
      </c>
      <c r="B62" s="225" t="s">
        <v>199</v>
      </c>
      <c r="C62" s="210">
        <f>SUM(C26:C61)</f>
        <v>10953149.559999997</v>
      </c>
      <c r="D62" s="210">
        <f t="shared" ref="D62:N62" si="12">SUM(D26:D61)</f>
        <v>9854614.2600000035</v>
      </c>
      <c r="E62" s="210">
        <f t="shared" si="12"/>
        <v>9925595.4800000004</v>
      </c>
      <c r="F62" s="210">
        <f>SUM(F26:F61)</f>
        <v>9861194.129999999</v>
      </c>
      <c r="G62" s="210">
        <f t="shared" si="12"/>
        <v>9183621.3399999999</v>
      </c>
      <c r="H62" s="210">
        <f t="shared" si="12"/>
        <v>9034302.6900000032</v>
      </c>
      <c r="I62" s="210">
        <f t="shared" si="12"/>
        <v>8585446.5499999989</v>
      </c>
      <c r="J62" s="210">
        <f t="shared" si="12"/>
        <v>8878331.1700000018</v>
      </c>
      <c r="K62" s="210">
        <f t="shared" si="12"/>
        <v>8770333.7900000028</v>
      </c>
      <c r="L62" s="210">
        <f t="shared" si="12"/>
        <v>8723688.3099999968</v>
      </c>
      <c r="M62" s="210">
        <f t="shared" si="12"/>
        <v>9500304.6400000025</v>
      </c>
      <c r="N62" s="210">
        <f t="shared" si="12"/>
        <v>10051288.699999997</v>
      </c>
      <c r="O62" s="210">
        <f t="shared" si="9"/>
        <v>113321870.62000002</v>
      </c>
      <c r="P62" s="216"/>
      <c r="U62" s="215">
        <f t="shared" si="3"/>
        <v>10953149.559999997</v>
      </c>
      <c r="V62" s="215">
        <f t="shared" si="4"/>
        <v>1</v>
      </c>
      <c r="W62" s="453"/>
    </row>
    <row r="63" spans="1:23">
      <c r="A63" s="204">
        <f t="shared" si="1"/>
        <v>63</v>
      </c>
      <c r="B63" s="223" t="s">
        <v>200</v>
      </c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U63" s="215">
        <f t="shared" si="3"/>
        <v>0</v>
      </c>
      <c r="V63" s="215">
        <f t="shared" si="4"/>
        <v>0</v>
      </c>
      <c r="W63" s="453"/>
    </row>
    <row r="64" spans="1:23">
      <c r="A64" s="204">
        <f t="shared" si="1"/>
        <v>64</v>
      </c>
      <c r="B64" s="213" t="s">
        <v>114</v>
      </c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10">
        <f t="shared" ref="O64:O71" si="13">SUM(C64:N64)</f>
        <v>0</v>
      </c>
      <c r="Q64" s="204" t="s">
        <v>17</v>
      </c>
      <c r="R64" s="204" t="str">
        <f>CONCATENATE(Q64," - ",B64," - ",S64)</f>
        <v>CFG - FTS-A - Fixed NR</v>
      </c>
      <c r="S64" s="204" t="s">
        <v>201</v>
      </c>
      <c r="T64" s="204" t="s">
        <v>171</v>
      </c>
      <c r="U64" s="215">
        <f t="shared" si="3"/>
        <v>0</v>
      </c>
      <c r="V64" s="215">
        <f t="shared" si="4"/>
        <v>0</v>
      </c>
      <c r="W64" s="453" t="s">
        <v>17</v>
      </c>
    </row>
    <row r="65" spans="1:23">
      <c r="A65" s="204">
        <f t="shared" si="1"/>
        <v>65</v>
      </c>
      <c r="B65" s="213" t="s">
        <v>115</v>
      </c>
      <c r="C65" s="244">
        <v>2.0699999999999998</v>
      </c>
      <c r="D65" s="244">
        <v>2.0699999999999998</v>
      </c>
      <c r="E65" s="244">
        <v>1.03</v>
      </c>
      <c r="F65" s="244">
        <v>1.03</v>
      </c>
      <c r="G65" s="244">
        <v>1.03</v>
      </c>
      <c r="H65" s="244">
        <v>1.03</v>
      </c>
      <c r="I65" s="244">
        <v>1</v>
      </c>
      <c r="J65" s="244">
        <v>0</v>
      </c>
      <c r="K65" s="244">
        <v>1.03</v>
      </c>
      <c r="L65" s="244">
        <v>2.0699999999999998</v>
      </c>
      <c r="M65" s="244">
        <v>2.0699999999999998</v>
      </c>
      <c r="N65" s="244">
        <v>2.08</v>
      </c>
      <c r="O65" s="210">
        <f t="shared" si="13"/>
        <v>16.509999999999998</v>
      </c>
      <c r="Q65" s="204" t="s">
        <v>17</v>
      </c>
      <c r="R65" s="204" t="str">
        <f t="shared" ref="R65:R70" si="14">CONCATENATE(Q65," - ",B65," - ",S65)</f>
        <v>CFG - FTS-B - Fixed NR</v>
      </c>
      <c r="S65" s="204" t="s">
        <v>201</v>
      </c>
      <c r="T65" s="204" t="s">
        <v>171</v>
      </c>
      <c r="U65" s="215">
        <f t="shared" si="3"/>
        <v>2.08</v>
      </c>
      <c r="V65" s="215">
        <f t="shared" si="4"/>
        <v>12</v>
      </c>
      <c r="W65" s="453" t="s">
        <v>17</v>
      </c>
    </row>
    <row r="66" spans="1:23">
      <c r="A66" s="204">
        <f t="shared" si="1"/>
        <v>66</v>
      </c>
      <c r="B66" s="213" t="s">
        <v>116</v>
      </c>
      <c r="C66" s="244">
        <v>389.46</v>
      </c>
      <c r="D66" s="244">
        <v>159.34</v>
      </c>
      <c r="E66" s="244">
        <v>165.08</v>
      </c>
      <c r="F66" s="244">
        <v>165.35</v>
      </c>
      <c r="G66" s="244">
        <v>671.19</v>
      </c>
      <c r="H66" s="244">
        <v>362.63</v>
      </c>
      <c r="I66" s="244">
        <v>411</v>
      </c>
      <c r="J66" s="244">
        <v>431.48</v>
      </c>
      <c r="K66" s="244">
        <v>461</v>
      </c>
      <c r="L66" s="244">
        <v>418.15</v>
      </c>
      <c r="M66" s="244">
        <v>477.35</v>
      </c>
      <c r="N66" s="244">
        <v>606.78</v>
      </c>
      <c r="O66" s="210">
        <f t="shared" si="13"/>
        <v>4718.8100000000004</v>
      </c>
      <c r="Q66" s="204" t="s">
        <v>17</v>
      </c>
      <c r="R66" s="204" t="str">
        <f t="shared" si="14"/>
        <v>CFG - FTS-1 - Fixed NR</v>
      </c>
      <c r="S66" s="204" t="s">
        <v>201</v>
      </c>
      <c r="T66" s="204" t="s">
        <v>171</v>
      </c>
      <c r="U66" s="215">
        <f t="shared" si="3"/>
        <v>671.19</v>
      </c>
      <c r="V66" s="215">
        <f t="shared" si="4"/>
        <v>5</v>
      </c>
      <c r="W66" s="453" t="s">
        <v>17</v>
      </c>
    </row>
    <row r="67" spans="1:23">
      <c r="A67" s="204">
        <f t="shared" ref="A67:A130" si="15">+A66+1</f>
        <v>67</v>
      </c>
      <c r="B67" s="218" t="s">
        <v>117</v>
      </c>
      <c r="C67" s="244">
        <v>241.44</v>
      </c>
      <c r="D67" s="244">
        <v>258.19</v>
      </c>
      <c r="E67" s="244">
        <v>254.05</v>
      </c>
      <c r="F67" s="244">
        <v>210.85</v>
      </c>
      <c r="G67" s="244">
        <v>187.54</v>
      </c>
      <c r="H67" s="244">
        <v>200.06</v>
      </c>
      <c r="I67" s="244">
        <v>181</v>
      </c>
      <c r="J67" s="244">
        <v>178.12</v>
      </c>
      <c r="K67" s="244">
        <v>426</v>
      </c>
      <c r="L67" s="244">
        <v>347.61</v>
      </c>
      <c r="M67" s="244">
        <v>336.47</v>
      </c>
      <c r="N67" s="244">
        <v>425.2</v>
      </c>
      <c r="O67" s="210">
        <f t="shared" si="13"/>
        <v>3246.5299999999997</v>
      </c>
      <c r="Q67" s="204" t="s">
        <v>17</v>
      </c>
      <c r="R67" s="204" t="str">
        <f t="shared" si="14"/>
        <v>CFG - FTS-2 - Fixed NR</v>
      </c>
      <c r="S67" s="204" t="s">
        <v>201</v>
      </c>
      <c r="T67" s="204" t="s">
        <v>171</v>
      </c>
      <c r="U67" s="215">
        <f t="shared" si="3"/>
        <v>426</v>
      </c>
      <c r="V67" s="215">
        <f t="shared" si="4"/>
        <v>9</v>
      </c>
      <c r="W67" s="453" t="s">
        <v>17</v>
      </c>
    </row>
    <row r="68" spans="1:23">
      <c r="A68" s="204">
        <f t="shared" si="15"/>
        <v>68</v>
      </c>
      <c r="B68" s="218" t="s">
        <v>118</v>
      </c>
      <c r="C68" s="244">
        <v>1180.19</v>
      </c>
      <c r="D68" s="244">
        <v>1381.8</v>
      </c>
      <c r="E68" s="244">
        <v>1226.8499999999999</v>
      </c>
      <c r="F68" s="244">
        <v>1567.82</v>
      </c>
      <c r="G68" s="244">
        <v>1193.8</v>
      </c>
      <c r="H68" s="244">
        <v>1190.4100000000001</v>
      </c>
      <c r="I68" s="244">
        <v>1103</v>
      </c>
      <c r="J68" s="244">
        <v>1191.71</v>
      </c>
      <c r="K68" s="244">
        <v>1234</v>
      </c>
      <c r="L68" s="244">
        <v>1197.97</v>
      </c>
      <c r="M68" s="244">
        <v>1808.47</v>
      </c>
      <c r="N68" s="244">
        <v>1709.8</v>
      </c>
      <c r="O68" s="210">
        <f t="shared" si="13"/>
        <v>15985.819999999996</v>
      </c>
      <c r="Q68" s="204" t="s">
        <v>17</v>
      </c>
      <c r="R68" s="204" t="str">
        <f t="shared" si="14"/>
        <v>CFG - FTS-2.1 - Fixed NR</v>
      </c>
      <c r="S68" s="204" t="s">
        <v>201</v>
      </c>
      <c r="T68" s="204" t="s">
        <v>171</v>
      </c>
      <c r="U68" s="215">
        <f t="shared" si="3"/>
        <v>1808.47</v>
      </c>
      <c r="V68" s="215">
        <f t="shared" si="4"/>
        <v>11</v>
      </c>
      <c r="W68" s="453" t="s">
        <v>17</v>
      </c>
    </row>
    <row r="69" spans="1:23">
      <c r="A69" s="204">
        <f t="shared" si="15"/>
        <v>69</v>
      </c>
      <c r="B69" s="218" t="s">
        <v>119</v>
      </c>
      <c r="C69" s="244">
        <v>4420.2299999999996</v>
      </c>
      <c r="D69" s="244">
        <v>4456.3100000000004</v>
      </c>
      <c r="E69" s="244">
        <v>4373.3100000000004</v>
      </c>
      <c r="F69" s="244">
        <v>5529.18</v>
      </c>
      <c r="G69" s="244">
        <v>4593.29</v>
      </c>
      <c r="H69" s="244">
        <v>5031.75</v>
      </c>
      <c r="I69" s="244">
        <v>4598</v>
      </c>
      <c r="J69" s="244">
        <v>4926.3500000000004</v>
      </c>
      <c r="K69" s="244">
        <v>4846</v>
      </c>
      <c r="L69" s="244">
        <v>4353.8599999999997</v>
      </c>
      <c r="M69" s="244">
        <v>5359.51</v>
      </c>
      <c r="N69" s="244">
        <v>4342.03</v>
      </c>
      <c r="O69" s="210">
        <f t="shared" si="13"/>
        <v>56829.820000000007</v>
      </c>
      <c r="Q69" s="204" t="s">
        <v>17</v>
      </c>
      <c r="R69" s="204" t="str">
        <f t="shared" si="14"/>
        <v>CFG - FTS-3 - Fixed NR</v>
      </c>
      <c r="S69" s="204" t="s">
        <v>201</v>
      </c>
      <c r="T69" s="204" t="s">
        <v>171</v>
      </c>
      <c r="U69" s="215">
        <f>MAX(C69:N69)</f>
        <v>5529.18</v>
      </c>
      <c r="V69" s="215">
        <f>IFERROR(INDEX($C$1:$N$1,MATCH(U69,C69:N69,0)),0)</f>
        <v>4</v>
      </c>
      <c r="W69" s="453" t="s">
        <v>17</v>
      </c>
    </row>
    <row r="70" spans="1:23">
      <c r="A70" s="204">
        <f t="shared" si="15"/>
        <v>70</v>
      </c>
      <c r="B70" s="224" t="s">
        <v>120</v>
      </c>
      <c r="C70" s="244">
        <v>4915.22</v>
      </c>
      <c r="D70" s="244">
        <v>5077.0200000000004</v>
      </c>
      <c r="E70" s="244">
        <v>5025.3999999999996</v>
      </c>
      <c r="F70" s="244">
        <v>4565.54</v>
      </c>
      <c r="G70" s="244">
        <v>3874.1</v>
      </c>
      <c r="H70" s="244">
        <v>4162.26</v>
      </c>
      <c r="I70" s="244">
        <v>3631</v>
      </c>
      <c r="J70" s="244">
        <v>3844.73</v>
      </c>
      <c r="K70" s="244">
        <v>4005</v>
      </c>
      <c r="L70" s="244">
        <v>3561.53</v>
      </c>
      <c r="M70" s="244">
        <v>4330.8</v>
      </c>
      <c r="N70" s="244">
        <v>4059.4</v>
      </c>
      <c r="O70" s="222">
        <f t="shared" si="13"/>
        <v>51052.000000000007</v>
      </c>
      <c r="Q70" s="204" t="s">
        <v>17</v>
      </c>
      <c r="R70" s="204" t="str">
        <f t="shared" si="14"/>
        <v>CFG - FTS-3.1 - Fixed NR</v>
      </c>
      <c r="S70" s="204" t="s">
        <v>201</v>
      </c>
      <c r="T70" s="204" t="s">
        <v>171</v>
      </c>
      <c r="U70" s="215">
        <f>MAX(C70:N70)</f>
        <v>5077.0200000000004</v>
      </c>
      <c r="V70" s="215">
        <f>IFERROR(INDEX($C$1:$N$1,MATCH(U70,C70:N70,0)),0)</f>
        <v>2</v>
      </c>
      <c r="W70" s="453" t="s">
        <v>17</v>
      </c>
    </row>
    <row r="71" spans="1:23">
      <c r="A71" s="204">
        <f t="shared" si="15"/>
        <v>71</v>
      </c>
      <c r="B71" s="225" t="s">
        <v>202</v>
      </c>
      <c r="C71" s="210">
        <f>SUM(C64:C70)</f>
        <v>11148.61</v>
      </c>
      <c r="D71" s="210">
        <f t="shared" ref="D71:N71" si="16">SUM(D64:D70)</f>
        <v>11334.730000000001</v>
      </c>
      <c r="E71" s="210">
        <f t="shared" si="16"/>
        <v>11045.720000000001</v>
      </c>
      <c r="F71" s="210">
        <f t="shared" si="16"/>
        <v>12039.77</v>
      </c>
      <c r="G71" s="210">
        <f t="shared" si="16"/>
        <v>10520.95</v>
      </c>
      <c r="H71" s="210">
        <f t="shared" si="16"/>
        <v>10948.14</v>
      </c>
      <c r="I71" s="210">
        <f t="shared" si="16"/>
        <v>9925</v>
      </c>
      <c r="J71" s="210">
        <f t="shared" si="16"/>
        <v>10572.39</v>
      </c>
      <c r="K71" s="210">
        <f t="shared" si="16"/>
        <v>10973.029999999999</v>
      </c>
      <c r="L71" s="210">
        <f t="shared" si="16"/>
        <v>9881.19</v>
      </c>
      <c r="M71" s="210">
        <f t="shared" si="16"/>
        <v>12314.670000000002</v>
      </c>
      <c r="N71" s="210">
        <f t="shared" si="16"/>
        <v>11145.289999999999</v>
      </c>
      <c r="O71" s="210">
        <f t="shared" si="13"/>
        <v>131849.49</v>
      </c>
      <c r="W71" s="453"/>
    </row>
    <row r="72" spans="1:23">
      <c r="A72" s="204">
        <f t="shared" si="15"/>
        <v>72</v>
      </c>
      <c r="B72" s="223" t="s">
        <v>203</v>
      </c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W72" s="453"/>
    </row>
    <row r="73" spans="1:23">
      <c r="A73" s="204">
        <f t="shared" si="15"/>
        <v>73</v>
      </c>
      <c r="B73" s="202" t="s">
        <v>204</v>
      </c>
      <c r="C73" s="244">
        <v>208530</v>
      </c>
      <c r="D73" s="244">
        <v>131584</v>
      </c>
      <c r="E73" s="244">
        <v>185919.97999999998</v>
      </c>
      <c r="F73" s="244">
        <f>496206.32+3567</f>
        <v>499773.32</v>
      </c>
      <c r="G73" s="244">
        <v>179385</v>
      </c>
      <c r="H73" s="244">
        <f>46660.64+5182</f>
        <v>51842.64</v>
      </c>
      <c r="I73" s="244">
        <f>45430+4744</f>
        <v>50174</v>
      </c>
      <c r="J73" s="244">
        <f>96220+1274</f>
        <v>97494</v>
      </c>
      <c r="K73" s="244">
        <f>132385+60</f>
        <v>132445</v>
      </c>
      <c r="L73" s="244">
        <f>148894+2278</f>
        <v>151172</v>
      </c>
      <c r="M73" s="244">
        <f>115507+4895</f>
        <v>120402</v>
      </c>
      <c r="N73" s="244">
        <v>62608</v>
      </c>
      <c r="O73" s="210">
        <f t="shared" ref="O73:O86" si="17">SUM(C73:N73)</f>
        <v>1871329.94</v>
      </c>
      <c r="Q73" s="204" t="s">
        <v>17</v>
      </c>
      <c r="T73" s="204" t="str">
        <f>_xlfn.IFNA(VLOOKUP(B73,'Input 5.1_2021VOL-YTD'!B:U,19,FALSE),"")</f>
        <v>CFG Industrial</v>
      </c>
      <c r="U73" s="215">
        <f t="shared" ref="U73:U86" si="18">MAX(C73:N73)</f>
        <v>499773.32</v>
      </c>
      <c r="V73" s="215">
        <f t="shared" ref="V73:V86" si="19">IFERROR(INDEX($C$1:$N$1,MATCH(U73,C73:N73,0)),0)</f>
        <v>4</v>
      </c>
      <c r="W73" s="453" t="s">
        <v>17</v>
      </c>
    </row>
    <row r="74" spans="1:23">
      <c r="A74" s="204">
        <f t="shared" si="15"/>
        <v>74</v>
      </c>
      <c r="B74" s="202" t="s">
        <v>206</v>
      </c>
      <c r="C74" s="244">
        <v>24757.61</v>
      </c>
      <c r="D74" s="244">
        <v>15449.76</v>
      </c>
      <c r="E74" s="244">
        <v>39733.54</v>
      </c>
      <c r="F74" s="244">
        <v>-38977.78</v>
      </c>
      <c r="G74" s="244">
        <v>67624.44</v>
      </c>
      <c r="H74" s="244">
        <v>10810.81</v>
      </c>
      <c r="I74" s="244">
        <v>11160.26</v>
      </c>
      <c r="J74" s="244">
        <v>10994.13</v>
      </c>
      <c r="K74" s="244">
        <v>10417.620000000001</v>
      </c>
      <c r="L74" s="244">
        <v>12354.48</v>
      </c>
      <c r="M74" s="244">
        <v>21684.58</v>
      </c>
      <c r="N74" s="244">
        <v>27027</v>
      </c>
      <c r="O74" s="210">
        <f t="shared" si="17"/>
        <v>213036.45</v>
      </c>
      <c r="Q74" s="204" t="s">
        <v>17</v>
      </c>
      <c r="T74" s="204" t="str">
        <f>_xlfn.IFNA(VLOOKUP(B74,'Input 5.1_2021VOL-YTD'!B:U,19,FALSE),"")</f>
        <v>CFG Industrial</v>
      </c>
      <c r="U74" s="215">
        <f t="shared" si="18"/>
        <v>67624.44</v>
      </c>
      <c r="V74" s="215">
        <f t="shared" si="19"/>
        <v>5</v>
      </c>
      <c r="W74" s="453" t="s">
        <v>17</v>
      </c>
    </row>
    <row r="75" spans="1:23">
      <c r="A75" s="204">
        <f t="shared" si="15"/>
        <v>75</v>
      </c>
      <c r="B75" s="202" t="s">
        <v>207</v>
      </c>
      <c r="C75" s="244">
        <v>1736944.02</v>
      </c>
      <c r="D75" s="244">
        <v>1617213</v>
      </c>
      <c r="E75" s="244">
        <v>1791895.29</v>
      </c>
      <c r="F75" s="244">
        <v>520349.21</v>
      </c>
      <c r="G75" s="244">
        <v>1096448.94</v>
      </c>
      <c r="H75" s="244">
        <v>1732157.23</v>
      </c>
      <c r="I75" s="244">
        <v>1544069.77</v>
      </c>
      <c r="J75" s="244">
        <v>2040188.14</v>
      </c>
      <c r="K75" s="244">
        <v>1731728.98</v>
      </c>
      <c r="L75" s="244">
        <v>1790446.04</v>
      </c>
      <c r="M75" s="244">
        <v>1734932.16</v>
      </c>
      <c r="N75" s="244">
        <v>1795485.71</v>
      </c>
      <c r="O75" s="210">
        <f t="shared" si="17"/>
        <v>19131858.490000002</v>
      </c>
      <c r="Q75" s="204" t="s">
        <v>17</v>
      </c>
      <c r="T75" s="204" t="str">
        <f>_xlfn.IFNA(VLOOKUP(B75,'Input 5.1_2021VOL-YTD'!B:U,19,FALSE),"")</f>
        <v>CFG Industrial</v>
      </c>
      <c r="U75" s="215">
        <f t="shared" si="18"/>
        <v>2040188.14</v>
      </c>
      <c r="V75" s="215">
        <f t="shared" si="19"/>
        <v>8</v>
      </c>
      <c r="W75" s="453" t="s">
        <v>17</v>
      </c>
    </row>
    <row r="76" spans="1:23">
      <c r="A76" s="204">
        <f t="shared" si="15"/>
        <v>76</v>
      </c>
      <c r="B76" s="202" t="s">
        <v>208</v>
      </c>
      <c r="C76" s="244">
        <v>877230.35</v>
      </c>
      <c r="D76" s="244">
        <v>287729.62</v>
      </c>
      <c r="E76" s="244">
        <v>754550.15</v>
      </c>
      <c r="F76" s="244">
        <v>879520.1</v>
      </c>
      <c r="G76" s="244">
        <v>870380.08</v>
      </c>
      <c r="H76" s="244">
        <v>646459.23</v>
      </c>
      <c r="I76" s="244">
        <v>384270.46</v>
      </c>
      <c r="J76" s="244">
        <v>448639.85</v>
      </c>
      <c r="K76" s="244">
        <v>801919.49</v>
      </c>
      <c r="L76" s="244">
        <v>679189.87</v>
      </c>
      <c r="M76" s="244">
        <v>790919.62</v>
      </c>
      <c r="N76" s="244">
        <v>669520.42000000004</v>
      </c>
      <c r="O76" s="210">
        <f t="shared" si="17"/>
        <v>8090329.2400000002</v>
      </c>
      <c r="Q76" s="204" t="s">
        <v>17</v>
      </c>
      <c r="T76" s="204" t="str">
        <f>_xlfn.IFNA(VLOOKUP(B76,'Input 5.1_2021VOL-YTD'!B:U,19,FALSE),"")</f>
        <v>CFG Industrial</v>
      </c>
      <c r="U76" s="215">
        <f t="shared" si="18"/>
        <v>879520.1</v>
      </c>
      <c r="V76" s="215">
        <f t="shared" si="19"/>
        <v>4</v>
      </c>
      <c r="W76" s="453" t="s">
        <v>17</v>
      </c>
    </row>
    <row r="77" spans="1:23">
      <c r="A77" s="204">
        <f t="shared" si="15"/>
        <v>77</v>
      </c>
      <c r="B77" s="202" t="s">
        <v>209</v>
      </c>
      <c r="C77" s="244">
        <v>0</v>
      </c>
      <c r="D77" s="244">
        <v>60.39</v>
      </c>
      <c r="E77" s="244"/>
      <c r="F77" s="244">
        <v>120</v>
      </c>
      <c r="G77" s="244">
        <v>119.65</v>
      </c>
      <c r="H77" s="244">
        <v>320</v>
      </c>
      <c r="I77" s="244">
        <v>-280</v>
      </c>
      <c r="J77" s="244">
        <v>4</v>
      </c>
      <c r="K77" s="244">
        <v>0</v>
      </c>
      <c r="L77" s="244">
        <v>0</v>
      </c>
      <c r="M77" s="244">
        <v>0</v>
      </c>
      <c r="N77" s="244">
        <v>4</v>
      </c>
      <c r="O77" s="210">
        <f t="shared" si="17"/>
        <v>348.03999999999996</v>
      </c>
      <c r="Q77" s="204" t="s">
        <v>17</v>
      </c>
      <c r="T77" s="204" t="str">
        <f>_xlfn.IFNA(VLOOKUP(B77,'Input 5.1_2021VOL-YTD'!B:U,19,FALSE),"")</f>
        <v>CFG Industrial</v>
      </c>
      <c r="U77" s="215">
        <f t="shared" si="18"/>
        <v>320</v>
      </c>
      <c r="V77" s="215">
        <f t="shared" si="19"/>
        <v>6</v>
      </c>
      <c r="W77" s="453" t="s">
        <v>17</v>
      </c>
    </row>
    <row r="78" spans="1:23">
      <c r="A78" s="204">
        <f t="shared" si="15"/>
        <v>78</v>
      </c>
      <c r="B78" s="202" t="s">
        <v>210</v>
      </c>
      <c r="C78" s="244">
        <v>761726</v>
      </c>
      <c r="D78" s="244">
        <v>854494.66</v>
      </c>
      <c r="E78" s="244">
        <v>945901</v>
      </c>
      <c r="F78" s="244">
        <v>942498.77</v>
      </c>
      <c r="G78" s="244">
        <v>917255.53</v>
      </c>
      <c r="H78" s="244">
        <v>996727.19</v>
      </c>
      <c r="I78" s="244">
        <v>742423.75</v>
      </c>
      <c r="J78" s="244">
        <v>848809</v>
      </c>
      <c r="K78" s="244">
        <v>692148.82</v>
      </c>
      <c r="L78" s="244">
        <v>713507.1</v>
      </c>
      <c r="M78" s="244">
        <v>937240.77</v>
      </c>
      <c r="N78" s="244">
        <v>804351.98</v>
      </c>
      <c r="O78" s="210">
        <f t="shared" si="17"/>
        <v>10157084.57</v>
      </c>
      <c r="T78" s="204" t="str">
        <f>_xlfn.IFNA(VLOOKUP(B78,'Input 5.1_2021VOL-YTD'!B:U,19,FALSE),"")</f>
        <v>CFG Industrial</v>
      </c>
      <c r="U78" s="215">
        <f t="shared" si="18"/>
        <v>996727.19</v>
      </c>
      <c r="V78" s="215">
        <f t="shared" si="19"/>
        <v>6</v>
      </c>
      <c r="W78" s="453"/>
    </row>
    <row r="79" spans="1:23" ht="11.85" customHeight="1">
      <c r="A79" s="204">
        <f t="shared" si="15"/>
        <v>79</v>
      </c>
      <c r="B79" s="202" t="s">
        <v>211</v>
      </c>
      <c r="C79" s="244">
        <v>399708.82</v>
      </c>
      <c r="D79" s="244">
        <v>86243.96</v>
      </c>
      <c r="E79" s="244">
        <v>554593.77</v>
      </c>
      <c r="F79" s="244">
        <v>496206.32</v>
      </c>
      <c r="G79" s="244">
        <v>156041.51999999999</v>
      </c>
      <c r="H79" s="244">
        <v>62915.74</v>
      </c>
      <c r="I79" s="244">
        <v>69575.009999999995</v>
      </c>
      <c r="J79" s="244">
        <v>103636</v>
      </c>
      <c r="K79" s="244">
        <v>72393.460000000006</v>
      </c>
      <c r="L79" s="244">
        <v>26131.74</v>
      </c>
      <c r="M79" s="244">
        <v>108902.57</v>
      </c>
      <c r="N79" s="244">
        <v>515167.38</v>
      </c>
      <c r="O79" s="210">
        <f t="shared" si="17"/>
        <v>2651516.29</v>
      </c>
      <c r="Q79" s="204" t="s">
        <v>17</v>
      </c>
      <c r="T79" s="204" t="str">
        <f>_xlfn.IFNA(VLOOKUP(B79,'Input 5.1_2021VOL-YTD'!B:U,19,FALSE),"")</f>
        <v>CFG Industrial</v>
      </c>
      <c r="U79" s="215">
        <f t="shared" si="18"/>
        <v>554593.77</v>
      </c>
      <c r="V79" s="215">
        <f t="shared" si="19"/>
        <v>3</v>
      </c>
      <c r="W79" s="453" t="s">
        <v>17</v>
      </c>
    </row>
    <row r="80" spans="1:23">
      <c r="A80" s="204">
        <f t="shared" si="15"/>
        <v>80</v>
      </c>
      <c r="B80" s="202" t="s">
        <v>212</v>
      </c>
      <c r="C80" s="244">
        <v>0</v>
      </c>
      <c r="D80" s="244">
        <v>0</v>
      </c>
      <c r="E80" s="244">
        <v>0</v>
      </c>
      <c r="F80" s="244">
        <v>0</v>
      </c>
      <c r="G80" s="244">
        <v>0</v>
      </c>
      <c r="H80" s="244">
        <v>0</v>
      </c>
      <c r="I80" s="244">
        <v>0</v>
      </c>
      <c r="J80" s="244"/>
      <c r="K80" s="244"/>
      <c r="L80" s="244"/>
      <c r="M80" s="244"/>
      <c r="N80" s="244"/>
      <c r="O80" s="210">
        <f t="shared" si="17"/>
        <v>0</v>
      </c>
      <c r="Q80" s="204" t="s">
        <v>16</v>
      </c>
      <c r="T80" s="204" t="str">
        <f>_xlfn.IFNA(VLOOKUP(B80,'Input 5.1_2021VOL-YTD'!B:U,19,FALSE),"")</f>
        <v>FPU Interdepartm/Sp Contracts</v>
      </c>
      <c r="U80" s="215">
        <f t="shared" si="18"/>
        <v>0</v>
      </c>
      <c r="V80" s="215">
        <f t="shared" si="19"/>
        <v>1</v>
      </c>
      <c r="W80" s="453" t="s">
        <v>16</v>
      </c>
    </row>
    <row r="81" spans="1:23">
      <c r="A81" s="204">
        <f t="shared" si="15"/>
        <v>81</v>
      </c>
      <c r="B81" s="226" t="s">
        <v>214</v>
      </c>
      <c r="C81" s="244">
        <v>3421052.92</v>
      </c>
      <c r="D81" s="244">
        <v>3038809.41</v>
      </c>
      <c r="E81" s="244">
        <v>3258621.13</v>
      </c>
      <c r="F81" s="244">
        <v>2990148.05</v>
      </c>
      <c r="G81" s="244">
        <v>3145621.68</v>
      </c>
      <c r="H81" s="244">
        <v>3047367.57</v>
      </c>
      <c r="I81" s="244">
        <v>3017838.68</v>
      </c>
      <c r="J81" s="244">
        <v>3151635.68</v>
      </c>
      <c r="K81" s="244">
        <v>3087299</v>
      </c>
      <c r="L81" s="244">
        <v>1774899.03</v>
      </c>
      <c r="M81" s="244">
        <v>2600070.3199999998</v>
      </c>
      <c r="N81" s="244">
        <v>2582493.2400000002</v>
      </c>
      <c r="O81" s="210">
        <f t="shared" si="17"/>
        <v>35115856.710000001</v>
      </c>
      <c r="Q81" s="204" t="s">
        <v>17</v>
      </c>
      <c r="T81" s="204" t="str">
        <f>_xlfn.IFNA(VLOOKUP(B81,'Input 5.1_2021VOL-YTD'!B:U,19,FALSE),"")</f>
        <v>CFG Industrial</v>
      </c>
      <c r="U81" s="215">
        <f t="shared" si="18"/>
        <v>3421052.92</v>
      </c>
      <c r="V81" s="215">
        <f t="shared" si="19"/>
        <v>1</v>
      </c>
      <c r="W81" s="453" t="s">
        <v>17</v>
      </c>
    </row>
    <row r="82" spans="1:23">
      <c r="A82" s="204">
        <f t="shared" si="15"/>
        <v>82</v>
      </c>
      <c r="B82" s="226" t="s">
        <v>215</v>
      </c>
      <c r="C82" s="244">
        <v>0</v>
      </c>
      <c r="D82" s="244">
        <v>0</v>
      </c>
      <c r="E82" s="244">
        <v>0</v>
      </c>
      <c r="F82" s="244">
        <v>0</v>
      </c>
      <c r="G82" s="245">
        <v>25000</v>
      </c>
      <c r="H82" s="244">
        <v>0</v>
      </c>
      <c r="I82" s="244">
        <v>155393</v>
      </c>
      <c r="J82" s="244">
        <v>193693</v>
      </c>
      <c r="K82" s="244">
        <v>179876</v>
      </c>
      <c r="L82" s="244">
        <v>179876</v>
      </c>
      <c r="M82" s="244">
        <v>300473</v>
      </c>
      <c r="N82" s="244">
        <v>930142</v>
      </c>
      <c r="O82" s="210">
        <f t="shared" si="17"/>
        <v>1964453</v>
      </c>
      <c r="Q82" s="204" t="s">
        <v>17</v>
      </c>
      <c r="T82" s="204" t="str">
        <f>_xlfn.IFNA(VLOOKUP(B82,'Input 5.1_2021VOL-YTD'!B:U,19,FALSE),"")</f>
        <v>CFG Industrial</v>
      </c>
      <c r="U82" s="215">
        <f t="shared" si="18"/>
        <v>930142</v>
      </c>
      <c r="V82" s="215">
        <f t="shared" si="19"/>
        <v>12</v>
      </c>
      <c r="W82" s="453" t="s">
        <v>17</v>
      </c>
    </row>
    <row r="83" spans="1:23">
      <c r="A83" s="204">
        <f t="shared" si="15"/>
        <v>83</v>
      </c>
      <c r="B83" s="226" t="s">
        <v>216</v>
      </c>
      <c r="C83" s="244">
        <v>0</v>
      </c>
      <c r="D83" s="244">
        <v>0</v>
      </c>
      <c r="E83" s="244">
        <v>0</v>
      </c>
      <c r="F83" s="244">
        <v>0</v>
      </c>
      <c r="G83" s="244">
        <v>0</v>
      </c>
      <c r="H83" s="244">
        <v>8703940</v>
      </c>
      <c r="I83" s="244">
        <v>12886393</v>
      </c>
      <c r="J83" s="244">
        <v>12698811</v>
      </c>
      <c r="K83" s="244">
        <v>12567369</v>
      </c>
      <c r="L83" s="244">
        <v>12645654</v>
      </c>
      <c r="M83" s="244">
        <v>12188987</v>
      </c>
      <c r="N83" s="244">
        <v>12535857</v>
      </c>
      <c r="O83" s="210">
        <f t="shared" si="17"/>
        <v>84227011</v>
      </c>
      <c r="Q83" s="204" t="s">
        <v>17</v>
      </c>
      <c r="T83" s="204" t="str">
        <f>_xlfn.IFNA(VLOOKUP(B83,'Input 5.1_2021VOL-YTD'!B:U,19,FALSE),"")</f>
        <v>CFG Industrial</v>
      </c>
      <c r="U83" s="215">
        <f t="shared" si="18"/>
        <v>12886393</v>
      </c>
      <c r="V83" s="215">
        <f t="shared" si="19"/>
        <v>7</v>
      </c>
      <c r="W83" s="453" t="s">
        <v>17</v>
      </c>
    </row>
    <row r="84" spans="1:23">
      <c r="A84" s="204">
        <f t="shared" si="15"/>
        <v>84</v>
      </c>
      <c r="B84" s="226" t="s">
        <v>218</v>
      </c>
      <c r="C84" s="244">
        <v>0</v>
      </c>
      <c r="D84" s="244">
        <v>0</v>
      </c>
      <c r="E84" s="244">
        <v>0</v>
      </c>
      <c r="F84" s="244">
        <v>0</v>
      </c>
      <c r="G84" s="244">
        <v>0</v>
      </c>
      <c r="H84" s="244">
        <v>11714.45</v>
      </c>
      <c r="I84" s="244">
        <v>12460.44</v>
      </c>
      <c r="J84" s="244">
        <v>82060.38</v>
      </c>
      <c r="K84" s="244">
        <v>44646.65</v>
      </c>
      <c r="L84" s="244">
        <v>94196.800000000003</v>
      </c>
      <c r="M84" s="244">
        <v>90848.42</v>
      </c>
      <c r="N84" s="244">
        <v>116169.4</v>
      </c>
      <c r="O84" s="210">
        <f t="shared" si="17"/>
        <v>452096.54000000004</v>
      </c>
      <c r="Q84" s="204" t="s">
        <v>16</v>
      </c>
      <c r="T84" s="204" t="str">
        <f>_xlfn.IFNA(VLOOKUP(B84,'Input 5.1_2021VOL-YTD'!B:U,19,FALSE),"")</f>
        <v>CFG Industrial</v>
      </c>
      <c r="U84" s="215">
        <f t="shared" si="18"/>
        <v>116169.4</v>
      </c>
      <c r="V84" s="215">
        <f t="shared" si="19"/>
        <v>12</v>
      </c>
      <c r="W84" s="453" t="s">
        <v>16</v>
      </c>
    </row>
    <row r="85" spans="1:23">
      <c r="A85" s="204">
        <f t="shared" si="15"/>
        <v>85</v>
      </c>
      <c r="B85" s="226" t="s">
        <v>219</v>
      </c>
      <c r="C85" s="244">
        <v>0</v>
      </c>
      <c r="D85" s="244"/>
      <c r="E85" s="244">
        <v>519504</v>
      </c>
      <c r="F85" s="244">
        <v>9007.0400000000009</v>
      </c>
      <c r="G85" s="244">
        <v>164029.88</v>
      </c>
      <c r="H85" s="244">
        <v>151281.54</v>
      </c>
      <c r="I85" s="244">
        <v>127374.53</v>
      </c>
      <c r="J85" s="244">
        <v>67803.820000000007</v>
      </c>
      <c r="K85" s="244">
        <v>114136.53</v>
      </c>
      <c r="L85" s="244">
        <v>139643.65</v>
      </c>
      <c r="M85" s="244">
        <v>453530.82</v>
      </c>
      <c r="N85" s="244">
        <v>437656.41</v>
      </c>
      <c r="O85" s="210">
        <f t="shared" si="17"/>
        <v>2183968.2200000002</v>
      </c>
      <c r="Q85" s="204" t="s">
        <v>16</v>
      </c>
      <c r="T85" s="204" t="str">
        <f>_xlfn.IFNA(VLOOKUP(B85,'Input 5.1_2021VOL-YTD'!B:U,19,FALSE),"")</f>
        <v>FPU Interdepartm/Sp Contracts</v>
      </c>
      <c r="U85" s="215">
        <f t="shared" si="18"/>
        <v>519504</v>
      </c>
      <c r="V85" s="215">
        <f t="shared" si="19"/>
        <v>3</v>
      </c>
      <c r="W85" s="453" t="s">
        <v>16</v>
      </c>
    </row>
    <row r="86" spans="1:23">
      <c r="A86" s="204">
        <f t="shared" si="15"/>
        <v>86</v>
      </c>
      <c r="B86" s="226" t="s">
        <v>220</v>
      </c>
      <c r="C86" s="244">
        <v>0</v>
      </c>
      <c r="D86" s="244">
        <v>0</v>
      </c>
      <c r="E86" s="244">
        <v>0</v>
      </c>
      <c r="F86" s="244">
        <v>0</v>
      </c>
      <c r="G86" s="244">
        <v>0</v>
      </c>
      <c r="H86" s="244">
        <v>0</v>
      </c>
      <c r="I86" s="244">
        <v>0</v>
      </c>
      <c r="J86" s="244">
        <v>0</v>
      </c>
      <c r="K86" s="244">
        <v>0</v>
      </c>
      <c r="L86" s="244">
        <v>0</v>
      </c>
      <c r="M86" s="244">
        <v>0</v>
      </c>
      <c r="N86" s="244"/>
      <c r="O86" s="210">
        <f t="shared" si="17"/>
        <v>0</v>
      </c>
      <c r="Q86" s="204" t="s">
        <v>17</v>
      </c>
      <c r="T86" s="204" t="str">
        <f>_xlfn.IFNA(VLOOKUP(B86,'Input 5.1_2021VOL-YTD'!B:U,19,FALSE),"")</f>
        <v>FPU Interdepartm/Sp Contracts</v>
      </c>
      <c r="U86" s="215">
        <f t="shared" si="18"/>
        <v>0</v>
      </c>
      <c r="V86" s="215">
        <f t="shared" si="19"/>
        <v>1</v>
      </c>
      <c r="W86" s="453" t="s">
        <v>17</v>
      </c>
    </row>
    <row r="87" spans="1:23">
      <c r="A87" s="204">
        <f t="shared" si="15"/>
        <v>87</v>
      </c>
      <c r="B87" s="225" t="s">
        <v>221</v>
      </c>
      <c r="C87" s="220">
        <f>SUM(C73:C86)</f>
        <v>7429949.7199999997</v>
      </c>
      <c r="D87" s="220">
        <f t="shared" ref="D87:N87" si="20">SUM(D73:D86)</f>
        <v>6031584.7999999998</v>
      </c>
      <c r="E87" s="220">
        <f t="shared" si="20"/>
        <v>8050718.8600000003</v>
      </c>
      <c r="F87" s="220">
        <f t="shared" si="20"/>
        <v>6298645.0300000003</v>
      </c>
      <c r="G87" s="220">
        <f t="shared" si="20"/>
        <v>6621906.7199999997</v>
      </c>
      <c r="H87" s="220">
        <f t="shared" si="20"/>
        <v>15415536.399999999</v>
      </c>
      <c r="I87" s="220">
        <f t="shared" si="20"/>
        <v>19000852.900000002</v>
      </c>
      <c r="J87" s="220">
        <f t="shared" si="20"/>
        <v>19743769</v>
      </c>
      <c r="K87" s="220">
        <f t="shared" si="20"/>
        <v>19434380.549999997</v>
      </c>
      <c r="L87" s="220">
        <f t="shared" si="20"/>
        <v>18207070.710000001</v>
      </c>
      <c r="M87" s="220">
        <f t="shared" si="20"/>
        <v>19347991.260000002</v>
      </c>
      <c r="N87" s="220">
        <f t="shared" si="20"/>
        <v>20476482.539999999</v>
      </c>
      <c r="O87" s="220">
        <f>SUM(C87:N87)</f>
        <v>166058888.48999998</v>
      </c>
      <c r="W87" s="453"/>
    </row>
    <row r="88" spans="1:23">
      <c r="A88" s="204">
        <f t="shared" si="15"/>
        <v>88</v>
      </c>
      <c r="B88" s="223" t="s">
        <v>222</v>
      </c>
      <c r="W88" s="453"/>
    </row>
    <row r="89" spans="1:23">
      <c r="A89" s="204">
        <f t="shared" si="15"/>
        <v>89</v>
      </c>
      <c r="B89" s="226"/>
      <c r="C89" s="244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10">
        <f>SUM(C89:N89)</f>
        <v>0</v>
      </c>
      <c r="Q89" s="204" t="s">
        <v>17</v>
      </c>
      <c r="T89" s="204" t="str">
        <f>_xlfn.IFNA(VLOOKUP(B89,'Input 5.1_2021VOL-YTD'!B:U,19,FALSE),"")</f>
        <v/>
      </c>
      <c r="W89" s="453" t="s">
        <v>17</v>
      </c>
    </row>
    <row r="90" spans="1:23">
      <c r="A90" s="204">
        <f t="shared" si="15"/>
        <v>90</v>
      </c>
      <c r="B90" s="202" t="s">
        <v>223</v>
      </c>
      <c r="C90" s="244">
        <v>304539.81</v>
      </c>
      <c r="D90" s="244">
        <v>231973.71</v>
      </c>
      <c r="E90" s="244">
        <v>305598.61</v>
      </c>
      <c r="F90" s="244">
        <v>282345.63</v>
      </c>
      <c r="G90" s="244">
        <v>316255.65000000002</v>
      </c>
      <c r="H90" s="244">
        <v>303127.40999999997</v>
      </c>
      <c r="I90" s="244">
        <v>290988.57</v>
      </c>
      <c r="J90" s="244">
        <v>286339.34000000003</v>
      </c>
      <c r="K90" s="244">
        <v>263540</v>
      </c>
      <c r="L90" s="244">
        <v>254691.85</v>
      </c>
      <c r="M90" s="244">
        <v>272199.55</v>
      </c>
      <c r="N90" s="244">
        <v>283028.13</v>
      </c>
      <c r="O90" s="210">
        <f>SUM(C90:N90)</f>
        <v>3394628.26</v>
      </c>
      <c r="Q90" s="204" t="s">
        <v>17</v>
      </c>
      <c r="T90" s="204" t="str">
        <f>_xlfn.IFNA(VLOOKUP(B90,'Input 5.1_2021VOL-YTD'!B:U,19,FALSE),"")</f>
        <v>CFG Industrial</v>
      </c>
      <c r="U90" s="215">
        <f>MAX(C90:N90)</f>
        <v>316255.65000000002</v>
      </c>
      <c r="V90" s="215">
        <f>IFERROR(INDEX($C$1:$N$1,MATCH(U90,C90:N90,0)),0)</f>
        <v>5</v>
      </c>
      <c r="W90" s="453" t="s">
        <v>17</v>
      </c>
    </row>
    <row r="91" spans="1:23">
      <c r="A91" s="204">
        <f t="shared" si="15"/>
        <v>91</v>
      </c>
      <c r="B91" s="202" t="s">
        <v>224</v>
      </c>
      <c r="C91" s="244">
        <v>1630784.08</v>
      </c>
      <c r="D91" s="244">
        <v>1368103</v>
      </c>
      <c r="E91" s="244">
        <v>1634551</v>
      </c>
      <c r="F91" s="244">
        <v>1581577.81</v>
      </c>
      <c r="G91" s="244">
        <v>1608093.2</v>
      </c>
      <c r="H91" s="244">
        <v>1538489.75</v>
      </c>
      <c r="I91" s="244">
        <v>1332258.82</v>
      </c>
      <c r="J91" s="244">
        <v>1440153</v>
      </c>
      <c r="K91" s="244">
        <v>1511821.19</v>
      </c>
      <c r="L91" s="244">
        <v>1577795.35</v>
      </c>
      <c r="M91" s="244">
        <v>1543987.31</v>
      </c>
      <c r="N91" s="244">
        <v>1582584.34</v>
      </c>
      <c r="O91" s="210">
        <f>SUM(C91:N91)</f>
        <v>18350198.850000001</v>
      </c>
      <c r="Q91" s="204" t="s">
        <v>16</v>
      </c>
      <c r="T91" s="204" t="str">
        <f>_xlfn.IFNA(VLOOKUP(B91,'Input 5.1_2021VOL-YTD'!B:U,19,FALSE),"")</f>
        <v>CFG Industrial</v>
      </c>
      <c r="U91" s="215">
        <f>MAX(C91:N91)</f>
        <v>1634551</v>
      </c>
      <c r="V91" s="215">
        <f>IFERROR(INDEX($C$1:$N$1,MATCH(U91,C91:N91,0)),0)</f>
        <v>3</v>
      </c>
      <c r="W91" s="453" t="s">
        <v>16</v>
      </c>
    </row>
    <row r="92" spans="1:23">
      <c r="A92" s="204">
        <f t="shared" si="15"/>
        <v>92</v>
      </c>
      <c r="B92" s="202" t="s">
        <v>225</v>
      </c>
      <c r="C92" s="244">
        <v>5500.91</v>
      </c>
      <c r="D92" s="244">
        <v>2577</v>
      </c>
      <c r="E92" s="244">
        <v>5191</v>
      </c>
      <c r="F92" s="244">
        <v>107824.07</v>
      </c>
      <c r="G92" s="244">
        <v>-78726.509999999995</v>
      </c>
      <c r="H92" s="244">
        <v>94928.84</v>
      </c>
      <c r="I92" s="244">
        <v>26781.78</v>
      </c>
      <c r="J92" s="244">
        <v>14833.77</v>
      </c>
      <c r="K92" s="244">
        <v>4423.1000000000004</v>
      </c>
      <c r="L92" s="244">
        <v>5891.46</v>
      </c>
      <c r="M92" s="244">
        <v>2917.27</v>
      </c>
      <c r="N92" s="244">
        <v>23680.12</v>
      </c>
      <c r="O92" s="210">
        <f>SUM(C92:N92)</f>
        <v>215822.80999999997</v>
      </c>
      <c r="Q92" s="204" t="s">
        <v>16</v>
      </c>
      <c r="T92" s="204" t="str">
        <f>_xlfn.IFNA(VLOOKUP(B92,'Input 5.1_2021VOL-YTD'!B:U,19,FALSE),"")</f>
        <v/>
      </c>
      <c r="U92" s="215">
        <f>MAX(C92:N92)</f>
        <v>107824.07</v>
      </c>
      <c r="V92" s="215">
        <f>IFERROR(INDEX($C$1:$N$1,MATCH(U92,C92:N92,0)),0)</f>
        <v>4</v>
      </c>
      <c r="W92" s="453" t="s">
        <v>16</v>
      </c>
    </row>
    <row r="93" spans="1:23">
      <c r="A93" s="204">
        <f t="shared" si="15"/>
        <v>93</v>
      </c>
      <c r="B93" s="225" t="s">
        <v>226</v>
      </c>
      <c r="C93" s="220">
        <f t="shared" ref="C93:K93" si="21">SUM(C89:C92)</f>
        <v>1940824.8</v>
      </c>
      <c r="D93" s="220">
        <f t="shared" si="21"/>
        <v>1602653.71</v>
      </c>
      <c r="E93" s="220">
        <f t="shared" si="21"/>
        <v>1945340.6099999999</v>
      </c>
      <c r="F93" s="220">
        <f t="shared" si="21"/>
        <v>1971747.51</v>
      </c>
      <c r="G93" s="220">
        <f t="shared" si="21"/>
        <v>1845622.34</v>
      </c>
      <c r="H93" s="220">
        <f t="shared" si="21"/>
        <v>1936546</v>
      </c>
      <c r="I93" s="220">
        <f t="shared" si="21"/>
        <v>1650029.1700000002</v>
      </c>
      <c r="J93" s="220">
        <f t="shared" si="21"/>
        <v>1741326.11</v>
      </c>
      <c r="K93" s="220">
        <f t="shared" si="21"/>
        <v>1779784.29</v>
      </c>
      <c r="L93" s="220">
        <f>SUM(L89:L92)</f>
        <v>1838378.6600000001</v>
      </c>
      <c r="M93" s="220">
        <f>SUM(M89:M91)</f>
        <v>1816186.86</v>
      </c>
      <c r="N93" s="220">
        <f>SUM(N89:N91)</f>
        <v>1865612.4700000002</v>
      </c>
      <c r="O93" s="220">
        <f>SUM(O89:O91)</f>
        <v>21744827.109999999</v>
      </c>
      <c r="T93" s="204" t="str">
        <f>_xlfn.IFNA(VLOOKUP(B93,'Input 5.1_2021VOL-YTD'!B:U,19,FALSE),"")</f>
        <v>FPU Interdepartm/Sp Contracts</v>
      </c>
      <c r="W93" s="453"/>
    </row>
    <row r="94" spans="1:23">
      <c r="A94" s="204">
        <f t="shared" si="15"/>
        <v>94</v>
      </c>
      <c r="B94" s="223" t="s">
        <v>227</v>
      </c>
      <c r="C94" s="210"/>
      <c r="D94" s="210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T94" s="204">
        <f>_xlfn.IFNA(VLOOKUP(B94,'Input 5.1_2021VOL-YTD'!B:U,19,FALSE),"")</f>
        <v>0</v>
      </c>
      <c r="W94" s="453"/>
    </row>
    <row r="95" spans="1:23">
      <c r="A95" s="204">
        <f t="shared" si="15"/>
        <v>95</v>
      </c>
      <c r="B95" s="202"/>
      <c r="C95" s="246"/>
      <c r="D95" s="241"/>
      <c r="E95" s="247"/>
      <c r="F95" s="248"/>
      <c r="G95" s="247"/>
      <c r="H95" s="247"/>
      <c r="I95" s="243"/>
      <c r="J95" s="243" t="s">
        <v>31</v>
      </c>
      <c r="K95" s="243"/>
      <c r="L95" s="247"/>
      <c r="M95" s="243"/>
      <c r="N95" s="243"/>
      <c r="O95" s="249">
        <f>SUM(C95:N95)</f>
        <v>0</v>
      </c>
      <c r="Q95" s="204" t="s">
        <v>17</v>
      </c>
      <c r="T95" s="204" t="str">
        <f>_xlfn.IFNA(VLOOKUP(B95,'Input 5.1_2021VOL-YTD'!B:U,19,FALSE),"")</f>
        <v/>
      </c>
      <c r="W95" s="453" t="s">
        <v>17</v>
      </c>
    </row>
    <row r="96" spans="1:23">
      <c r="A96" s="204">
        <f t="shared" si="15"/>
        <v>96</v>
      </c>
      <c r="B96" s="203" t="s">
        <v>207</v>
      </c>
      <c r="C96" s="250">
        <v>0</v>
      </c>
      <c r="D96" s="250">
        <v>0</v>
      </c>
      <c r="E96" s="251">
        <v>0</v>
      </c>
      <c r="F96" s="252">
        <v>0</v>
      </c>
      <c r="G96" s="252">
        <v>0</v>
      </c>
      <c r="H96" s="252">
        <v>0</v>
      </c>
      <c r="I96" s="253">
        <v>0</v>
      </c>
      <c r="J96" s="253">
        <v>0</v>
      </c>
      <c r="K96" s="253">
        <v>0</v>
      </c>
      <c r="L96" s="253">
        <v>0</v>
      </c>
      <c r="M96" s="253">
        <v>0</v>
      </c>
      <c r="N96" s="253">
        <v>0</v>
      </c>
      <c r="O96" s="222">
        <f>SUM(C96:N96)</f>
        <v>0</v>
      </c>
      <c r="Q96" s="204" t="s">
        <v>17</v>
      </c>
      <c r="T96" s="204" t="str">
        <f>_xlfn.IFNA(VLOOKUP(B96,'Input 5.1_2021VOL-YTD'!B:U,19,FALSE),"")</f>
        <v>CFG Industrial</v>
      </c>
      <c r="W96" s="453" t="s">
        <v>17</v>
      </c>
    </row>
    <row r="97" spans="1:23">
      <c r="A97" s="204">
        <f t="shared" si="15"/>
        <v>97</v>
      </c>
      <c r="B97" s="225" t="s">
        <v>228</v>
      </c>
      <c r="C97" s="210">
        <f t="shared" ref="C97:N97" si="22">SUM(C96)</f>
        <v>0</v>
      </c>
      <c r="D97" s="210">
        <f t="shared" si="22"/>
        <v>0</v>
      </c>
      <c r="E97" s="210">
        <f t="shared" si="22"/>
        <v>0</v>
      </c>
      <c r="F97" s="210">
        <f t="shared" si="22"/>
        <v>0</v>
      </c>
      <c r="G97" s="210">
        <f t="shared" si="22"/>
        <v>0</v>
      </c>
      <c r="H97" s="210">
        <f t="shared" si="22"/>
        <v>0</v>
      </c>
      <c r="I97" s="210">
        <f t="shared" si="22"/>
        <v>0</v>
      </c>
      <c r="J97" s="210">
        <f t="shared" si="22"/>
        <v>0</v>
      </c>
      <c r="K97" s="210">
        <f t="shared" si="22"/>
        <v>0</v>
      </c>
      <c r="L97" s="210">
        <f t="shared" si="22"/>
        <v>0</v>
      </c>
      <c r="M97" s="210">
        <f t="shared" si="22"/>
        <v>0</v>
      </c>
      <c r="N97" s="210">
        <f t="shared" si="22"/>
        <v>0</v>
      </c>
      <c r="O97" s="210">
        <f>SUM(C97:N97)</f>
        <v>0</v>
      </c>
      <c r="T97" s="204" t="str">
        <f>_xlfn.IFNA(VLOOKUP(B97,'Input 5.1_2021VOL-YTD'!B:U,19,FALSE),"")</f>
        <v>CFG Industrial</v>
      </c>
      <c r="W97" s="453"/>
    </row>
    <row r="98" spans="1:23">
      <c r="A98" s="204">
        <f t="shared" si="15"/>
        <v>98</v>
      </c>
      <c r="B98" s="225"/>
      <c r="T98" s="204" t="str">
        <f>_xlfn.IFNA(VLOOKUP(B98,'Input 5.1_2021VOL-YTD'!B:U,19,FALSE),"")</f>
        <v/>
      </c>
      <c r="W98" s="453"/>
    </row>
    <row r="99" spans="1:23">
      <c r="A99" s="204">
        <f t="shared" si="15"/>
        <v>99</v>
      </c>
      <c r="B99" s="227" t="s">
        <v>229</v>
      </c>
      <c r="C99" s="228">
        <f t="shared" ref="C99:O99" si="23">+C15+C24+C62+C71+C87+C93+C97</f>
        <v>23161844.180000011</v>
      </c>
      <c r="D99" s="228">
        <f t="shared" si="23"/>
        <v>19459641.440000035</v>
      </c>
      <c r="E99" s="228">
        <f t="shared" si="23"/>
        <v>21781364.46000002</v>
      </c>
      <c r="F99" s="228">
        <f t="shared" si="23"/>
        <v>19928933.370000012</v>
      </c>
      <c r="G99" s="228">
        <f t="shared" si="23"/>
        <v>18918648.120000012</v>
      </c>
      <c r="H99" s="228">
        <f t="shared" si="23"/>
        <v>27502857.100000035</v>
      </c>
      <c r="I99" s="228">
        <f t="shared" si="23"/>
        <v>30141117.460000001</v>
      </c>
      <c r="J99" s="228">
        <f t="shared" si="23"/>
        <v>31230924.68000003</v>
      </c>
      <c r="K99" s="228">
        <f t="shared" si="23"/>
        <v>30916316.380000018</v>
      </c>
      <c r="L99" s="228">
        <f t="shared" si="23"/>
        <v>29638665.090000022</v>
      </c>
      <c r="M99" s="228">
        <f t="shared" si="23"/>
        <v>31996872.620000027</v>
      </c>
      <c r="N99" s="228">
        <f t="shared" si="23"/>
        <v>34397979.490000047</v>
      </c>
      <c r="O99" s="229">
        <f t="shared" si="23"/>
        <v>318885938.97000027</v>
      </c>
      <c r="T99" s="204">
        <f>_xlfn.IFNA(VLOOKUP(B99,'Input 5.1_2021VOL-YTD'!B:U,19,FALSE),"")</f>
        <v>0</v>
      </c>
      <c r="W99" s="453"/>
    </row>
    <row r="100" spans="1:23">
      <c r="A100" s="204">
        <f t="shared" si="15"/>
        <v>100</v>
      </c>
      <c r="B100" s="230" t="s">
        <v>230</v>
      </c>
      <c r="T100" s="204">
        <f>_xlfn.IFNA(VLOOKUP(B100,'Input 5.1_2021VOL-YTD'!B:U,19,FALSE),"")</f>
        <v>0</v>
      </c>
      <c r="W100" s="453"/>
    </row>
    <row r="101" spans="1:23">
      <c r="A101" s="204">
        <f t="shared" si="15"/>
        <v>101</v>
      </c>
      <c r="B101" s="230"/>
      <c r="T101" s="204" t="str">
        <f>_xlfn.IFNA(VLOOKUP(B101,'Input 5.1_2021VOL-YTD'!B:U,19,FALSE),"")</f>
        <v/>
      </c>
      <c r="W101" s="453"/>
    </row>
    <row r="102" spans="1:23">
      <c r="A102" s="204">
        <f t="shared" si="15"/>
        <v>102</v>
      </c>
      <c r="B102" s="202" t="s">
        <v>232</v>
      </c>
      <c r="C102" s="239">
        <v>403865.79</v>
      </c>
      <c r="D102" s="239">
        <v>340983.92</v>
      </c>
      <c r="E102" s="239">
        <v>423514.36</v>
      </c>
      <c r="F102" s="239">
        <v>381046.31</v>
      </c>
      <c r="G102" s="239">
        <v>419503.35</v>
      </c>
      <c r="H102" s="239">
        <v>445716.38</v>
      </c>
      <c r="I102" s="239">
        <v>389258.48</v>
      </c>
      <c r="J102" s="239">
        <v>383561.56</v>
      </c>
      <c r="K102" s="239">
        <v>372707</v>
      </c>
      <c r="L102" s="239">
        <v>336356.36</v>
      </c>
      <c r="M102" s="239">
        <v>429309.57</v>
      </c>
      <c r="N102" s="239">
        <v>357190.05</v>
      </c>
      <c r="O102" s="210">
        <f>SUM(C102:N102)</f>
        <v>4683013.13</v>
      </c>
      <c r="Q102" s="204" t="s">
        <v>17</v>
      </c>
      <c r="T102" s="204">
        <f>_xlfn.IFNA(VLOOKUP(B102,'Input 5.1_2021VOL-YTD'!B:U,19,FALSE),"")</f>
        <v>0</v>
      </c>
      <c r="W102" s="453" t="s">
        <v>17</v>
      </c>
    </row>
    <row r="103" spans="1:23">
      <c r="A103" s="204">
        <f t="shared" si="15"/>
        <v>103</v>
      </c>
      <c r="B103" s="203" t="s">
        <v>233</v>
      </c>
      <c r="C103" s="239">
        <v>184189.91</v>
      </c>
      <c r="D103" s="239">
        <v>46842.65</v>
      </c>
      <c r="E103" s="239">
        <v>108160.02</v>
      </c>
      <c r="F103" s="239">
        <v>34304.959999999999</v>
      </c>
      <c r="G103" s="239">
        <v>9935.5300000000007</v>
      </c>
      <c r="H103" s="239">
        <v>2381.9299999999998</v>
      </c>
      <c r="I103" s="239">
        <v>3231.08</v>
      </c>
      <c r="J103" s="239">
        <v>2149.33</v>
      </c>
      <c r="K103" s="239">
        <v>19081.04</v>
      </c>
      <c r="L103" s="239">
        <v>12909.26</v>
      </c>
      <c r="M103" s="239">
        <v>47801.61</v>
      </c>
      <c r="N103" s="239">
        <v>118682.89</v>
      </c>
      <c r="O103" s="222">
        <f>SUM(C103:N103)</f>
        <v>589670.21000000008</v>
      </c>
      <c r="Q103" s="204" t="s">
        <v>17</v>
      </c>
      <c r="T103" s="204" t="str">
        <f>_xlfn.IFNA(VLOOKUP(B103,'Input 5.1_2021VOL-YTD'!B:U,19,FALSE),"")</f>
        <v>FPU Interdepartm/Sp Contracts</v>
      </c>
      <c r="W103" s="453" t="s">
        <v>17</v>
      </c>
    </row>
    <row r="104" spans="1:23">
      <c r="A104" s="204">
        <f t="shared" si="15"/>
        <v>104</v>
      </c>
      <c r="B104" s="225" t="s">
        <v>234</v>
      </c>
      <c r="C104" s="220">
        <f t="shared" ref="C104:N104" si="24">SUM(C102:C103)</f>
        <v>588055.69999999995</v>
      </c>
      <c r="D104" s="220">
        <f t="shared" si="24"/>
        <v>387826.57</v>
      </c>
      <c r="E104" s="220">
        <f t="shared" si="24"/>
        <v>531674.38</v>
      </c>
      <c r="F104" s="220">
        <f t="shared" si="24"/>
        <v>415351.27</v>
      </c>
      <c r="G104" s="220">
        <f t="shared" si="24"/>
        <v>429438.88</v>
      </c>
      <c r="H104" s="220">
        <f t="shared" si="24"/>
        <v>448098.31</v>
      </c>
      <c r="I104" s="220">
        <f t="shared" si="24"/>
        <v>392489.56</v>
      </c>
      <c r="J104" s="220">
        <f t="shared" si="24"/>
        <v>385710.89</v>
      </c>
      <c r="K104" s="220">
        <f t="shared" si="24"/>
        <v>391788.04</v>
      </c>
      <c r="L104" s="220">
        <f>SUM(L102:L103)</f>
        <v>349265.62</v>
      </c>
      <c r="M104" s="220">
        <f t="shared" si="24"/>
        <v>477111.18</v>
      </c>
      <c r="N104" s="220">
        <f t="shared" si="24"/>
        <v>475872.94</v>
      </c>
      <c r="O104" s="210">
        <f>SUM(C104:N104)</f>
        <v>5272683.34</v>
      </c>
      <c r="T104" s="204" t="str">
        <f>_xlfn.IFNA(VLOOKUP(B104,'Input 5.1_2021VOL-YTD'!B:U,19,FALSE),"")</f>
        <v>CFG Industrial</v>
      </c>
      <c r="W104" s="453"/>
    </row>
    <row r="105" spans="1:23">
      <c r="A105" s="204">
        <f t="shared" si="15"/>
        <v>105</v>
      </c>
      <c r="B105" s="223" t="s">
        <v>235</v>
      </c>
      <c r="T105" s="204" t="str">
        <f>_xlfn.IFNA(VLOOKUP(B105,'Input 5.1_2021VOL-YTD'!B:U,19,FALSE),"")</f>
        <v>CFG Industrial</v>
      </c>
      <c r="W105" s="453"/>
    </row>
    <row r="106" spans="1:23">
      <c r="A106" s="204">
        <f t="shared" si="15"/>
        <v>106</v>
      </c>
      <c r="B106" s="202" t="s">
        <v>236</v>
      </c>
      <c r="C106" s="239"/>
      <c r="D106" s="239"/>
      <c r="E106" s="239"/>
      <c r="F106" s="239"/>
      <c r="G106" s="244"/>
      <c r="H106" s="239"/>
      <c r="I106" s="239"/>
      <c r="J106" s="239"/>
      <c r="K106" s="239"/>
      <c r="L106" s="239"/>
      <c r="M106" s="239"/>
      <c r="N106" s="244"/>
      <c r="O106" s="210"/>
      <c r="T106" s="204">
        <f>_xlfn.IFNA(VLOOKUP(B106,'Input 5.1_2021VOL-YTD'!B:U,19,FALSE),"")</f>
        <v>0</v>
      </c>
      <c r="W106" s="453"/>
    </row>
    <row r="107" spans="1:23">
      <c r="A107" s="204">
        <f t="shared" si="15"/>
        <v>107</v>
      </c>
      <c r="B107" s="202" t="s">
        <v>237</v>
      </c>
      <c r="C107" s="239">
        <v>1263869.5900000001</v>
      </c>
      <c r="D107" s="239">
        <v>1166599</v>
      </c>
      <c r="E107" s="239">
        <v>1284799.7</v>
      </c>
      <c r="F107" s="239">
        <v>476649.59</v>
      </c>
      <c r="G107" s="244">
        <v>1030050.14</v>
      </c>
      <c r="H107" s="239">
        <v>1474559.86</v>
      </c>
      <c r="I107" s="239">
        <v>1544069.77</v>
      </c>
      <c r="J107" s="239">
        <v>1292719.8799999999</v>
      </c>
      <c r="K107" s="239">
        <v>1467410</v>
      </c>
      <c r="L107" s="239">
        <v>1516220.38</v>
      </c>
      <c r="M107" s="239">
        <v>1171509.97</v>
      </c>
      <c r="N107" s="244">
        <v>1194920.18</v>
      </c>
      <c r="O107" s="210">
        <f>SUM(C107:N107)</f>
        <v>14883378.060000001</v>
      </c>
      <c r="Q107" s="204" t="s">
        <v>17</v>
      </c>
      <c r="T107" s="204">
        <f>_xlfn.IFNA(VLOOKUP(B107,'Input 5.1_2021VOL-YTD'!B:U,19,FALSE),"")</f>
        <v>0</v>
      </c>
      <c r="W107" s="453" t="s">
        <v>17</v>
      </c>
    </row>
    <row r="108" spans="1:23">
      <c r="A108" s="204">
        <f t="shared" si="15"/>
        <v>108</v>
      </c>
      <c r="B108" s="203" t="s">
        <v>238</v>
      </c>
      <c r="C108" s="239">
        <v>1742589.49</v>
      </c>
      <c r="D108" s="239">
        <v>333159.75</v>
      </c>
      <c r="E108" s="239">
        <v>1523599.7</v>
      </c>
      <c r="F108" s="239">
        <v>2136599.7599999998</v>
      </c>
      <c r="G108" s="239">
        <v>1332890.02</v>
      </c>
      <c r="H108" s="239">
        <v>363989.65</v>
      </c>
      <c r="I108" s="239">
        <v>366080.42</v>
      </c>
      <c r="J108" s="239">
        <v>371370.06</v>
      </c>
      <c r="K108" s="239">
        <v>354640</v>
      </c>
      <c r="L108" s="239">
        <v>358550.42</v>
      </c>
      <c r="M108" s="239">
        <v>513409.99</v>
      </c>
      <c r="N108" s="239">
        <v>2212939.96</v>
      </c>
      <c r="O108" s="222">
        <f>SUM(C108:N108)</f>
        <v>11609819.219999999</v>
      </c>
      <c r="Q108" s="204" t="s">
        <v>17</v>
      </c>
      <c r="T108" s="204">
        <f>_xlfn.IFNA(VLOOKUP(B108,'Input 5.1_2021VOL-YTD'!B:U,19,FALSE),"")</f>
        <v>0</v>
      </c>
      <c r="W108" s="453" t="s">
        <v>17</v>
      </c>
    </row>
    <row r="109" spans="1:23">
      <c r="A109" s="204">
        <f t="shared" si="15"/>
        <v>109</v>
      </c>
      <c r="B109" s="225" t="s">
        <v>239</v>
      </c>
      <c r="C109" s="210">
        <f t="shared" ref="C109:N109" si="25">SUM(C107:C108)</f>
        <v>3006459.08</v>
      </c>
      <c r="D109" s="210">
        <f t="shared" si="25"/>
        <v>1499758.75</v>
      </c>
      <c r="E109" s="210">
        <f t="shared" si="25"/>
        <v>2808399.4</v>
      </c>
      <c r="F109" s="210">
        <f t="shared" si="25"/>
        <v>2613249.3499999996</v>
      </c>
      <c r="G109" s="210">
        <f t="shared" si="25"/>
        <v>2362940.16</v>
      </c>
      <c r="H109" s="210">
        <f t="shared" si="25"/>
        <v>1838549.5100000002</v>
      </c>
      <c r="I109" s="210">
        <f t="shared" si="25"/>
        <v>1910150.19</v>
      </c>
      <c r="J109" s="210">
        <f t="shared" si="25"/>
        <v>1664089.94</v>
      </c>
      <c r="K109" s="210">
        <f t="shared" si="25"/>
        <v>1822050</v>
      </c>
      <c r="L109" s="210">
        <f t="shared" si="25"/>
        <v>1874770.7999999998</v>
      </c>
      <c r="M109" s="210">
        <f t="shared" si="25"/>
        <v>1684919.96</v>
      </c>
      <c r="N109" s="210">
        <f t="shared" si="25"/>
        <v>3407860.1399999997</v>
      </c>
      <c r="O109" s="210">
        <f>SUM(C109:N109)</f>
        <v>26493197.280000001</v>
      </c>
      <c r="T109" s="204" t="str">
        <f>_xlfn.IFNA(VLOOKUP(B109,'Input 5.1_2021VOL-YTD'!B:U,19,FALSE),"")</f>
        <v>CFG Industrial</v>
      </c>
      <c r="W109" s="453"/>
    </row>
    <row r="110" spans="1:23">
      <c r="A110" s="204">
        <f t="shared" si="15"/>
        <v>110</v>
      </c>
      <c r="B110" s="225"/>
      <c r="C110" s="215"/>
      <c r="D110" s="215"/>
      <c r="T110" s="204" t="str">
        <f>_xlfn.IFNA(VLOOKUP(B110,'Input 5.1_2021VOL-YTD'!B:U,19,FALSE),"")</f>
        <v/>
      </c>
      <c r="W110" s="453"/>
    </row>
    <row r="111" spans="1:23">
      <c r="A111" s="204">
        <f t="shared" si="15"/>
        <v>111</v>
      </c>
      <c r="B111" s="227" t="s">
        <v>240</v>
      </c>
      <c r="C111" s="228">
        <f t="shared" ref="C111:O111" si="26">+C104+C109</f>
        <v>3594514.7800000003</v>
      </c>
      <c r="D111" s="228">
        <f t="shared" si="26"/>
        <v>1887585.32</v>
      </c>
      <c r="E111" s="228">
        <f t="shared" si="26"/>
        <v>3340073.78</v>
      </c>
      <c r="F111" s="228">
        <f t="shared" si="26"/>
        <v>3028600.6199999996</v>
      </c>
      <c r="G111" s="228">
        <f t="shared" si="26"/>
        <v>2792379.04</v>
      </c>
      <c r="H111" s="228">
        <f t="shared" si="26"/>
        <v>2286647.8200000003</v>
      </c>
      <c r="I111" s="228">
        <f t="shared" si="26"/>
        <v>2302639.75</v>
      </c>
      <c r="J111" s="228">
        <f t="shared" si="26"/>
        <v>2049800.83</v>
      </c>
      <c r="K111" s="228">
        <f t="shared" si="26"/>
        <v>2213838.04</v>
      </c>
      <c r="L111" s="228">
        <f t="shared" si="26"/>
        <v>2224036.42</v>
      </c>
      <c r="M111" s="228">
        <f t="shared" si="26"/>
        <v>2162031.14</v>
      </c>
      <c r="N111" s="228">
        <f t="shared" si="26"/>
        <v>3883733.0799999996</v>
      </c>
      <c r="O111" s="229">
        <f t="shared" si="26"/>
        <v>31765880.620000001</v>
      </c>
      <c r="T111" s="204" t="str">
        <f>_xlfn.IFNA(VLOOKUP(B111,'Input 5.1_2021VOL-YTD'!B:U,19,FALSE),"")</f>
        <v>CFG Industrial</v>
      </c>
      <c r="W111" s="453"/>
    </row>
    <row r="112" spans="1:23">
      <c r="A112" s="204">
        <f t="shared" si="15"/>
        <v>112</v>
      </c>
      <c r="B112" s="225"/>
      <c r="C112" s="215">
        <f>+C109+C104+C93+C87</f>
        <v>12965289.300000001</v>
      </c>
      <c r="D112" s="215">
        <f>+D109+D104+D93+D87</f>
        <v>9521823.8300000001</v>
      </c>
      <c r="E112" s="215">
        <f>+E109+E104+E93+E87</f>
        <v>13336133.25</v>
      </c>
      <c r="F112" s="215">
        <f t="shared" ref="F112:N112" si="27">+F109+F104+F93+F87</f>
        <v>11298993.16</v>
      </c>
      <c r="G112" s="215">
        <f t="shared" si="27"/>
        <v>11259908.1</v>
      </c>
      <c r="H112" s="215">
        <f>+H109+H104+H93+H87</f>
        <v>19638730.219999999</v>
      </c>
      <c r="I112" s="215">
        <f>+I109+I104+I93+I87</f>
        <v>22953521.82</v>
      </c>
      <c r="J112" s="215">
        <f>+J109+J104+J93+J87</f>
        <v>23534895.940000001</v>
      </c>
      <c r="K112" s="215">
        <f t="shared" si="27"/>
        <v>23428002.879999995</v>
      </c>
      <c r="L112" s="215">
        <f t="shared" si="27"/>
        <v>22269485.789999999</v>
      </c>
      <c r="M112" s="215">
        <f t="shared" si="27"/>
        <v>23326209.260000002</v>
      </c>
      <c r="N112" s="215">
        <f t="shared" si="27"/>
        <v>26225828.09</v>
      </c>
      <c r="W112" s="453"/>
    </row>
    <row r="113" spans="1:23">
      <c r="A113" s="204">
        <f t="shared" si="15"/>
        <v>113</v>
      </c>
      <c r="B113" s="227" t="s">
        <v>241</v>
      </c>
      <c r="C113" s="228">
        <f>+C99+C111</f>
        <v>26756358.960000012</v>
      </c>
      <c r="D113" s="228">
        <f t="shared" ref="D113:O113" si="28">+D99+D111</f>
        <v>21347226.760000035</v>
      </c>
      <c r="E113" s="228">
        <f t="shared" si="28"/>
        <v>25121438.240000021</v>
      </c>
      <c r="F113" s="228">
        <f t="shared" si="28"/>
        <v>22957533.990000013</v>
      </c>
      <c r="G113" s="228">
        <f t="shared" si="28"/>
        <v>21711027.160000011</v>
      </c>
      <c r="H113" s="228">
        <f t="shared" si="28"/>
        <v>29789504.920000035</v>
      </c>
      <c r="I113" s="228">
        <f t="shared" si="28"/>
        <v>32443757.210000001</v>
      </c>
      <c r="J113" s="228">
        <f t="shared" si="28"/>
        <v>33280725.510000028</v>
      </c>
      <c r="K113" s="228">
        <f t="shared" si="28"/>
        <v>33130154.420000017</v>
      </c>
      <c r="L113" s="228">
        <f t="shared" si="28"/>
        <v>31862701.51000002</v>
      </c>
      <c r="M113" s="228">
        <f t="shared" si="28"/>
        <v>34158903.760000028</v>
      </c>
      <c r="N113" s="228">
        <f t="shared" si="28"/>
        <v>38281712.570000045</v>
      </c>
      <c r="O113" s="229">
        <f t="shared" si="28"/>
        <v>350651819.59000027</v>
      </c>
      <c r="W113" s="453"/>
    </row>
    <row r="114" spans="1:23">
      <c r="A114" s="204">
        <f t="shared" si="15"/>
        <v>114</v>
      </c>
      <c r="B114" s="212" t="s">
        <v>158</v>
      </c>
      <c r="C114" s="215">
        <f>+C113-C109-C104-C93-C87</f>
        <v>13791069.660000011</v>
      </c>
      <c r="W114" s="453"/>
    </row>
    <row r="115" spans="1:23">
      <c r="A115" s="204">
        <f t="shared" si="15"/>
        <v>115</v>
      </c>
      <c r="B115" s="213" t="s">
        <v>114</v>
      </c>
      <c r="C115" s="210">
        <f t="shared" ref="C115:C125" si="29">+C4</f>
        <v>11134.16</v>
      </c>
      <c r="D115" s="210">
        <f t="shared" ref="D115:D125" si="30">SUM(C4:D4)</f>
        <v>19874.899999999921</v>
      </c>
      <c r="E115" s="210">
        <f t="shared" ref="E115:E125" si="31">SUM(C4:E4)</f>
        <v>28208.00999999982</v>
      </c>
      <c r="F115" s="210">
        <f t="shared" ref="F115:F125" si="32">SUM(C4:F4)</f>
        <v>35934.679999999731</v>
      </c>
      <c r="G115" s="210">
        <f t="shared" ref="G115:G125" si="33">SUM(C4:G4)</f>
        <v>42073.259999999689</v>
      </c>
      <c r="H115" s="210">
        <f t="shared" ref="H115:H125" si="34">SUM(C4:H4)</f>
        <v>48542.769999999648</v>
      </c>
      <c r="I115" s="210">
        <f t="shared" ref="I115:I125" si="35">SUM(C4:I4)</f>
        <v>53785.769999999648</v>
      </c>
      <c r="J115" s="210">
        <f t="shared" ref="J115:J125" si="36">SUM(C4:J4)</f>
        <v>59243.689999999639</v>
      </c>
      <c r="K115" s="210">
        <f t="shared" ref="K115:K125" si="37">SUM(C4:K4)</f>
        <v>64954.189999999595</v>
      </c>
      <c r="L115" s="210">
        <f t="shared" ref="L115:L125" si="38">SUM(C4:L4)</f>
        <v>70081.049999999552</v>
      </c>
      <c r="M115" s="210">
        <f t="shared" ref="M115:M125" si="39">SUM(C4:M4)</f>
        <v>77380.249999999476</v>
      </c>
      <c r="N115" s="210">
        <f t="shared" ref="N115:N125" si="40">SUM(C4:N4)</f>
        <v>86335.899999999485</v>
      </c>
      <c r="O115" s="210">
        <f t="shared" ref="O115:O126" si="41">SUM(C115:N115)</f>
        <v>597548.62999999616</v>
      </c>
      <c r="W115" s="453"/>
    </row>
    <row r="116" spans="1:23">
      <c r="A116" s="204">
        <f t="shared" si="15"/>
        <v>116</v>
      </c>
      <c r="B116" s="213" t="s">
        <v>115</v>
      </c>
      <c r="C116" s="210">
        <f t="shared" si="29"/>
        <v>43131.09</v>
      </c>
      <c r="D116" s="210">
        <f t="shared" si="30"/>
        <v>70627.1700000001</v>
      </c>
      <c r="E116" s="210">
        <f t="shared" si="31"/>
        <v>96091.1700000001</v>
      </c>
      <c r="F116" s="210">
        <f t="shared" si="32"/>
        <v>120827.0100000002</v>
      </c>
      <c r="G116" s="210">
        <f t="shared" si="33"/>
        <v>141627.22</v>
      </c>
      <c r="H116" s="210">
        <f t="shared" si="34"/>
        <v>163178.25999999981</v>
      </c>
      <c r="I116" s="210">
        <f t="shared" si="35"/>
        <v>181714.25999999981</v>
      </c>
      <c r="J116" s="210">
        <f t="shared" si="36"/>
        <v>200748.33999999971</v>
      </c>
      <c r="K116" s="210">
        <f t="shared" si="37"/>
        <v>220170.66999999952</v>
      </c>
      <c r="L116" s="210">
        <f t="shared" si="38"/>
        <v>237908.57999999952</v>
      </c>
      <c r="M116" s="210">
        <f t="shared" si="39"/>
        <v>261604.41999999972</v>
      </c>
      <c r="N116" s="210">
        <f t="shared" si="40"/>
        <v>292811.1299999996</v>
      </c>
      <c r="O116" s="210">
        <f t="shared" si="41"/>
        <v>2030439.3199999982</v>
      </c>
      <c r="W116" s="453"/>
    </row>
    <row r="117" spans="1:23">
      <c r="A117" s="204">
        <f t="shared" si="15"/>
        <v>117</v>
      </c>
      <c r="B117" s="213" t="s">
        <v>116</v>
      </c>
      <c r="C117" s="210">
        <f t="shared" si="29"/>
        <v>338452.84999999899</v>
      </c>
      <c r="D117" s="210">
        <f t="shared" si="30"/>
        <v>545746.95999999694</v>
      </c>
      <c r="E117" s="210">
        <f t="shared" si="31"/>
        <v>754654.95999999694</v>
      </c>
      <c r="F117" s="210">
        <f t="shared" si="32"/>
        <v>946073.90999999596</v>
      </c>
      <c r="G117" s="210">
        <f t="shared" si="33"/>
        <v>1087034.74</v>
      </c>
      <c r="H117" s="210">
        <f t="shared" si="34"/>
        <v>1225245.230000003</v>
      </c>
      <c r="I117" s="210">
        <f t="shared" si="35"/>
        <v>1342414.230000003</v>
      </c>
      <c r="J117" s="210">
        <f t="shared" si="36"/>
        <v>1459278.340000005</v>
      </c>
      <c r="K117" s="210">
        <f t="shared" si="37"/>
        <v>1577177.4700000079</v>
      </c>
      <c r="L117" s="210">
        <f t="shared" si="38"/>
        <v>1687030.7800000119</v>
      </c>
      <c r="M117" s="210">
        <f t="shared" si="39"/>
        <v>1853230.790000014</v>
      </c>
      <c r="N117" s="210">
        <f t="shared" si="40"/>
        <v>2095094.2700000121</v>
      </c>
      <c r="O117" s="210">
        <f t="shared" si="41"/>
        <v>14911434.530000048</v>
      </c>
      <c r="W117" s="453"/>
    </row>
    <row r="118" spans="1:23">
      <c r="A118" s="204">
        <f t="shared" si="15"/>
        <v>118</v>
      </c>
      <c r="B118" s="213" t="s">
        <v>117</v>
      </c>
      <c r="C118" s="210">
        <f t="shared" si="29"/>
        <v>86780.669999999896</v>
      </c>
      <c r="D118" s="210">
        <f t="shared" si="30"/>
        <v>147474.76</v>
      </c>
      <c r="E118" s="210">
        <f t="shared" si="31"/>
        <v>219159.76</v>
      </c>
      <c r="F118" s="210">
        <f t="shared" si="32"/>
        <v>291335.95000000013</v>
      </c>
      <c r="G118" s="210">
        <f t="shared" si="33"/>
        <v>325723.75000000012</v>
      </c>
      <c r="H118" s="210">
        <f t="shared" si="34"/>
        <v>349635.50000000012</v>
      </c>
      <c r="I118" s="210">
        <f t="shared" si="35"/>
        <v>367373.50000000012</v>
      </c>
      <c r="J118" s="210">
        <f t="shared" si="36"/>
        <v>383857.53000000014</v>
      </c>
      <c r="K118" s="210">
        <f t="shared" si="37"/>
        <v>399096.04000000015</v>
      </c>
      <c r="L118" s="210">
        <f t="shared" si="38"/>
        <v>417343.26000000013</v>
      </c>
      <c r="M118" s="210">
        <f t="shared" si="39"/>
        <v>461816.79000000015</v>
      </c>
      <c r="N118" s="210">
        <f t="shared" si="40"/>
        <v>523133.35000000015</v>
      </c>
      <c r="O118" s="210">
        <f t="shared" si="41"/>
        <v>3972730.8600000008</v>
      </c>
      <c r="W118" s="453"/>
    </row>
    <row r="119" spans="1:23">
      <c r="A119" s="204">
        <f t="shared" si="15"/>
        <v>119</v>
      </c>
      <c r="B119" s="213" t="s">
        <v>118</v>
      </c>
      <c r="C119" s="210">
        <f t="shared" si="29"/>
        <v>105553.07</v>
      </c>
      <c r="D119" s="210">
        <f t="shared" si="30"/>
        <v>179241.51</v>
      </c>
      <c r="E119" s="210">
        <f t="shared" si="31"/>
        <v>267346.66000000003</v>
      </c>
      <c r="F119" s="210">
        <f t="shared" si="32"/>
        <v>348113.35000000015</v>
      </c>
      <c r="G119" s="210">
        <f t="shared" si="33"/>
        <v>385795.35000000015</v>
      </c>
      <c r="H119" s="210">
        <f t="shared" si="34"/>
        <v>408850.43000000017</v>
      </c>
      <c r="I119" s="210">
        <f t="shared" si="35"/>
        <v>425177.43000000017</v>
      </c>
      <c r="J119" s="210">
        <f t="shared" si="36"/>
        <v>439078.89000000019</v>
      </c>
      <c r="K119" s="210">
        <f t="shared" si="37"/>
        <v>453441.57000000018</v>
      </c>
      <c r="L119" s="210">
        <f t="shared" si="38"/>
        <v>472452.52000000019</v>
      </c>
      <c r="M119" s="210">
        <f t="shared" si="39"/>
        <v>523475.5300000002</v>
      </c>
      <c r="N119" s="210">
        <f t="shared" si="40"/>
        <v>593172.86000000034</v>
      </c>
      <c r="O119" s="210">
        <f t="shared" si="41"/>
        <v>4601699.1700000018</v>
      </c>
      <c r="W119" s="453"/>
    </row>
    <row r="120" spans="1:23">
      <c r="A120" s="204">
        <f t="shared" si="15"/>
        <v>120</v>
      </c>
      <c r="B120" s="218" t="s">
        <v>119</v>
      </c>
      <c r="C120" s="210">
        <f t="shared" si="29"/>
        <v>4693.4399999999996</v>
      </c>
      <c r="D120" s="210">
        <f t="shared" si="30"/>
        <v>8417.5299999999988</v>
      </c>
      <c r="E120" s="210">
        <f t="shared" si="31"/>
        <v>13316.84</v>
      </c>
      <c r="F120" s="210">
        <f t="shared" si="32"/>
        <v>17936.12</v>
      </c>
      <c r="G120" s="210">
        <f t="shared" si="33"/>
        <v>20873.579999999998</v>
      </c>
      <c r="H120" s="210">
        <f t="shared" si="34"/>
        <v>22294.82</v>
      </c>
      <c r="I120" s="210">
        <f t="shared" si="35"/>
        <v>22981.82</v>
      </c>
      <c r="J120" s="210">
        <f t="shared" si="36"/>
        <v>23412.77</v>
      </c>
      <c r="K120" s="210">
        <f t="shared" si="37"/>
        <v>23966.240000000002</v>
      </c>
      <c r="L120" s="210">
        <f t="shared" si="38"/>
        <v>24995.190000000002</v>
      </c>
      <c r="M120" s="210">
        <f t="shared" si="39"/>
        <v>28656.36</v>
      </c>
      <c r="N120" s="210">
        <f t="shared" si="40"/>
        <v>34232.870000000003</v>
      </c>
      <c r="O120" s="210">
        <f t="shared" si="41"/>
        <v>245777.57999999996</v>
      </c>
      <c r="W120" s="453"/>
    </row>
    <row r="121" spans="1:23">
      <c r="A121" s="204">
        <f t="shared" si="15"/>
        <v>121</v>
      </c>
      <c r="B121" s="218" t="s">
        <v>120</v>
      </c>
      <c r="C121" s="210">
        <f t="shared" si="29"/>
        <v>0</v>
      </c>
      <c r="D121" s="210">
        <f t="shared" si="30"/>
        <v>0</v>
      </c>
      <c r="E121" s="210">
        <f t="shared" si="31"/>
        <v>0</v>
      </c>
      <c r="F121" s="210">
        <f t="shared" si="32"/>
        <v>0</v>
      </c>
      <c r="G121" s="210">
        <f t="shared" si="33"/>
        <v>0</v>
      </c>
      <c r="H121" s="210">
        <f t="shared" si="34"/>
        <v>0</v>
      </c>
      <c r="I121" s="210">
        <f t="shared" si="35"/>
        <v>0</v>
      </c>
      <c r="J121" s="210">
        <f t="shared" si="36"/>
        <v>0</v>
      </c>
      <c r="K121" s="210">
        <f t="shared" si="37"/>
        <v>0</v>
      </c>
      <c r="L121" s="210">
        <f t="shared" si="38"/>
        <v>0</v>
      </c>
      <c r="M121" s="210">
        <f t="shared" si="39"/>
        <v>0</v>
      </c>
      <c r="N121" s="210">
        <f t="shared" si="40"/>
        <v>0</v>
      </c>
      <c r="O121" s="210">
        <f t="shared" si="41"/>
        <v>0</v>
      </c>
      <c r="W121" s="453"/>
    </row>
    <row r="122" spans="1:23">
      <c r="A122" s="204">
        <f t="shared" si="15"/>
        <v>122</v>
      </c>
      <c r="B122" s="218" t="s">
        <v>161</v>
      </c>
      <c r="C122" s="210">
        <f t="shared" si="29"/>
        <v>2192437.1400000174</v>
      </c>
      <c r="D122" s="210">
        <f t="shared" si="30"/>
        <v>3740128.0700000478</v>
      </c>
      <c r="E122" s="210">
        <f t="shared" si="31"/>
        <v>5152487.4000000665</v>
      </c>
      <c r="F122" s="210">
        <f t="shared" si="32"/>
        <v>6527638.1100000804</v>
      </c>
      <c r="G122" s="210">
        <f t="shared" si="33"/>
        <v>7518636.310000089</v>
      </c>
      <c r="H122" s="210">
        <f t="shared" si="34"/>
        <v>8388176.0300001185</v>
      </c>
      <c r="I122" s="210">
        <f t="shared" si="35"/>
        <v>9089204.0300001185</v>
      </c>
      <c r="J122" s="210">
        <f t="shared" si="36"/>
        <v>9756150.6300001442</v>
      </c>
      <c r="K122" s="210">
        <f t="shared" si="37"/>
        <v>10483800.380000159</v>
      </c>
      <c r="L122" s="210">
        <f t="shared" si="38"/>
        <v>11155284.310000179</v>
      </c>
      <c r="M122" s="210">
        <f t="shared" si="39"/>
        <v>12155747.5500002</v>
      </c>
      <c r="N122" s="210">
        <f t="shared" si="40"/>
        <v>13697553.150000252</v>
      </c>
      <c r="O122" s="210">
        <f t="shared" si="41"/>
        <v>99857243.110001475</v>
      </c>
      <c r="W122" s="453"/>
    </row>
    <row r="123" spans="1:23">
      <c r="A123" s="204">
        <f t="shared" si="15"/>
        <v>123</v>
      </c>
      <c r="B123" s="218" t="s">
        <v>163</v>
      </c>
      <c r="C123" s="210">
        <f t="shared" si="29"/>
        <v>8332.6300000000028</v>
      </c>
      <c r="D123" s="210">
        <f t="shared" si="30"/>
        <v>13073.94</v>
      </c>
      <c r="E123" s="210">
        <f t="shared" si="31"/>
        <v>18874.269999999997</v>
      </c>
      <c r="F123" s="210">
        <f t="shared" si="32"/>
        <v>24201</v>
      </c>
      <c r="G123" s="210">
        <f t="shared" si="33"/>
        <v>27787.61</v>
      </c>
      <c r="H123" s="210">
        <f t="shared" si="34"/>
        <v>30863.94</v>
      </c>
      <c r="I123" s="210">
        <f t="shared" si="35"/>
        <v>32948.97</v>
      </c>
      <c r="J123" s="210">
        <f t="shared" si="36"/>
        <v>34848.31</v>
      </c>
      <c r="K123" s="210">
        <f t="shared" si="37"/>
        <v>38756.14</v>
      </c>
      <c r="L123" s="210">
        <f t="shared" si="38"/>
        <v>40520.519999999997</v>
      </c>
      <c r="M123" s="210">
        <f t="shared" si="39"/>
        <v>44423.59</v>
      </c>
      <c r="N123" s="210">
        <f t="shared" si="40"/>
        <v>51590.490000000005</v>
      </c>
      <c r="O123" s="210">
        <f t="shared" si="41"/>
        <v>366221.41000000003</v>
      </c>
      <c r="W123" s="453"/>
    </row>
    <row r="124" spans="1:23">
      <c r="A124" s="204">
        <f t="shared" si="15"/>
        <v>124</v>
      </c>
      <c r="B124" s="218" t="s">
        <v>111</v>
      </c>
      <c r="C124" s="210">
        <f t="shared" si="29"/>
        <v>12574.500000000045</v>
      </c>
      <c r="D124" s="210">
        <f t="shared" si="30"/>
        <v>20922.17000000002</v>
      </c>
      <c r="E124" s="210">
        <f t="shared" si="31"/>
        <v>26781.249999999985</v>
      </c>
      <c r="F124" s="210">
        <f t="shared" si="32"/>
        <v>33193.509999999944</v>
      </c>
      <c r="G124" s="210">
        <f t="shared" si="33"/>
        <v>37938.309999999939</v>
      </c>
      <c r="H124" s="210">
        <f t="shared" si="34"/>
        <v>43268.959999999912</v>
      </c>
      <c r="I124" s="210">
        <f t="shared" si="35"/>
        <v>47423.949999999917</v>
      </c>
      <c r="J124" s="210">
        <f t="shared" si="36"/>
        <v>51862.949999999917</v>
      </c>
      <c r="K124" s="210">
        <f t="shared" si="37"/>
        <v>56359.929999999913</v>
      </c>
      <c r="L124" s="210">
        <f t="shared" si="38"/>
        <v>60289.039999999921</v>
      </c>
      <c r="M124" s="210">
        <f t="shared" si="39"/>
        <v>65151.12999999991</v>
      </c>
      <c r="N124" s="210">
        <f t="shared" si="40"/>
        <v>72459.079999999885</v>
      </c>
      <c r="O124" s="210">
        <f t="shared" si="41"/>
        <v>528224.77999999933</v>
      </c>
      <c r="W124" s="453"/>
    </row>
    <row r="125" spans="1:23">
      <c r="A125" s="204">
        <f t="shared" si="15"/>
        <v>125</v>
      </c>
      <c r="B125" s="218" t="s">
        <v>105</v>
      </c>
      <c r="C125" s="222">
        <f t="shared" si="29"/>
        <v>12552.070000000014</v>
      </c>
      <c r="D125" s="222">
        <f t="shared" si="30"/>
        <v>22381.590000000011</v>
      </c>
      <c r="E125" s="222">
        <f t="shared" si="31"/>
        <v>32474</v>
      </c>
      <c r="F125" s="222">
        <f t="shared" si="32"/>
        <v>42169.799999999988</v>
      </c>
      <c r="G125" s="222">
        <f t="shared" si="33"/>
        <v>52228.789999999979</v>
      </c>
      <c r="H125" s="222">
        <f t="shared" si="34"/>
        <v>61145.629999999976</v>
      </c>
      <c r="I125" s="222">
        <f t="shared" si="35"/>
        <v>69890.449999999983</v>
      </c>
      <c r="J125" s="222">
        <f t="shared" si="36"/>
        <v>78275.599999999977</v>
      </c>
      <c r="K125" s="222">
        <f t="shared" si="37"/>
        <v>86665.12</v>
      </c>
      <c r="L125" s="222">
        <f t="shared" si="38"/>
        <v>95322.099999999991</v>
      </c>
      <c r="M125" s="222">
        <f t="shared" si="39"/>
        <v>104923.75</v>
      </c>
      <c r="N125" s="222">
        <f t="shared" si="40"/>
        <v>116239.78000000001</v>
      </c>
      <c r="O125" s="222">
        <f t="shared" si="41"/>
        <v>774268.67999999993</v>
      </c>
      <c r="W125" s="453"/>
    </row>
    <row r="126" spans="1:23">
      <c r="A126" s="204">
        <f t="shared" si="15"/>
        <v>126</v>
      </c>
      <c r="B126" s="219" t="s">
        <v>166</v>
      </c>
      <c r="C126" s="210">
        <f t="shared" ref="C126:N126" si="42">SUM(C115:C121)</f>
        <v>589745.27999999886</v>
      </c>
      <c r="D126" s="210">
        <f t="shared" si="42"/>
        <v>971382.82999999705</v>
      </c>
      <c r="E126" s="210">
        <f t="shared" si="42"/>
        <v>1378777.3999999969</v>
      </c>
      <c r="F126" s="210">
        <f t="shared" si="42"/>
        <v>1760221.0199999963</v>
      </c>
      <c r="G126" s="210">
        <f t="shared" si="42"/>
        <v>2003127.9</v>
      </c>
      <c r="H126" s="210">
        <f t="shared" si="42"/>
        <v>2217747.0100000026</v>
      </c>
      <c r="I126" s="210">
        <f t="shared" si="42"/>
        <v>2393447.0100000026</v>
      </c>
      <c r="J126" s="210">
        <f t="shared" si="42"/>
        <v>2565619.5600000047</v>
      </c>
      <c r="K126" s="210">
        <f t="shared" si="42"/>
        <v>2738806.1800000076</v>
      </c>
      <c r="L126" s="210">
        <f t="shared" si="42"/>
        <v>2909811.3800000111</v>
      </c>
      <c r="M126" s="210">
        <f t="shared" si="42"/>
        <v>3206164.1400000132</v>
      </c>
      <c r="N126" s="210">
        <f t="shared" si="42"/>
        <v>3624780.3800000115</v>
      </c>
      <c r="O126" s="210">
        <f t="shared" si="41"/>
        <v>26359630.090000037</v>
      </c>
      <c r="W126" s="453"/>
    </row>
    <row r="127" spans="1:23">
      <c r="A127" s="204">
        <f t="shared" si="15"/>
        <v>127</v>
      </c>
      <c r="B127" s="212" t="s">
        <v>167</v>
      </c>
      <c r="C127" s="210"/>
      <c r="D127" s="210"/>
      <c r="E127" s="210"/>
      <c r="F127" s="210"/>
      <c r="G127" s="210"/>
      <c r="H127" s="210"/>
      <c r="I127" s="210"/>
      <c r="J127" s="210"/>
      <c r="K127" s="210"/>
      <c r="L127" s="210"/>
      <c r="M127" s="210"/>
      <c r="N127" s="210"/>
      <c r="O127" s="210"/>
      <c r="W127" s="453"/>
    </row>
    <row r="128" spans="1:23">
      <c r="A128" s="204">
        <f t="shared" si="15"/>
        <v>128</v>
      </c>
      <c r="B128" s="213" t="s">
        <v>114</v>
      </c>
      <c r="C128" s="210">
        <f t="shared" ref="C128:C134" si="43">+C17</f>
        <v>364.06</v>
      </c>
      <c r="D128" s="210">
        <f t="shared" ref="D128:D134" si="44">SUM(C17:D17)</f>
        <v>643.22</v>
      </c>
      <c r="E128" s="210">
        <f t="shared" ref="E128:E134" si="45">SUM(C17:E17)</f>
        <v>897.12</v>
      </c>
      <c r="F128" s="210">
        <f t="shared" ref="F128:F134" si="46">SUM(C17:F17)</f>
        <v>1132.3399999999999</v>
      </c>
      <c r="G128" s="210">
        <f t="shared" ref="G128:G134" si="47">SUM(C17:G17)</f>
        <v>1296.4399999999998</v>
      </c>
      <c r="H128" s="210">
        <f t="shared" ref="H128:H134" si="48">SUM(C17:H17)</f>
        <v>1582.2399999999998</v>
      </c>
      <c r="I128" s="210">
        <f t="shared" ref="I128:I134" si="49">SUM(C17:I17)</f>
        <v>1608.2399999999998</v>
      </c>
      <c r="J128" s="210">
        <f t="shared" ref="J128:J134" si="50">SUM(C17:J17)</f>
        <v>1758.8199999999997</v>
      </c>
      <c r="K128" s="210">
        <f t="shared" ref="K128:K134" si="51">SUM(C17:K17)</f>
        <v>1901.0099999999998</v>
      </c>
      <c r="L128" s="210">
        <f t="shared" ref="L128:L134" si="52">SUM(C17:L17)</f>
        <v>2050.7999999999997</v>
      </c>
      <c r="M128" s="210">
        <f t="shared" ref="M128:M134" si="53">SUM(C17:M17)</f>
        <v>2270.4199999999996</v>
      </c>
      <c r="N128" s="210">
        <f t="shared" ref="N128:N134" si="54">SUM(C17:N17)</f>
        <v>2556.1299999999997</v>
      </c>
      <c r="O128" s="210">
        <f t="shared" ref="O128:O135" si="55">SUM(C128:N128)</f>
        <v>18060.84</v>
      </c>
      <c r="W128" s="453"/>
    </row>
    <row r="129" spans="1:23">
      <c r="A129" s="204">
        <f t="shared" si="15"/>
        <v>129</v>
      </c>
      <c r="B129" s="213" t="s">
        <v>115</v>
      </c>
      <c r="C129" s="210">
        <f t="shared" si="43"/>
        <v>1309.6400000000001</v>
      </c>
      <c r="D129" s="210">
        <f t="shared" si="44"/>
        <v>2109.52</v>
      </c>
      <c r="E129" s="210">
        <f t="shared" si="45"/>
        <v>2856.96</v>
      </c>
      <c r="F129" s="210">
        <f t="shared" si="46"/>
        <v>3580.55</v>
      </c>
      <c r="G129" s="210">
        <f t="shared" si="47"/>
        <v>4157.24</v>
      </c>
      <c r="H129" s="210">
        <f t="shared" si="48"/>
        <v>4781.78</v>
      </c>
      <c r="I129" s="210">
        <f t="shared" si="49"/>
        <v>5283.78</v>
      </c>
      <c r="J129" s="210">
        <f t="shared" si="50"/>
        <v>5808.45</v>
      </c>
      <c r="K129" s="210">
        <f t="shared" si="51"/>
        <v>6372.79</v>
      </c>
      <c r="L129" s="210">
        <f t="shared" si="52"/>
        <v>6874.99</v>
      </c>
      <c r="M129" s="210">
        <f t="shared" si="53"/>
        <v>7529.98</v>
      </c>
      <c r="N129" s="210">
        <f t="shared" si="54"/>
        <v>8339.48</v>
      </c>
      <c r="O129" s="210">
        <f t="shared" si="55"/>
        <v>59005.159999999989</v>
      </c>
      <c r="W129" s="453"/>
    </row>
    <row r="130" spans="1:23">
      <c r="A130" s="204">
        <f t="shared" si="15"/>
        <v>130</v>
      </c>
      <c r="B130" s="213" t="s">
        <v>116</v>
      </c>
      <c r="C130" s="210">
        <f t="shared" si="43"/>
        <v>6225.76</v>
      </c>
      <c r="D130" s="210">
        <f t="shared" si="44"/>
        <v>9846.76</v>
      </c>
      <c r="E130" s="210">
        <f t="shared" si="45"/>
        <v>13187.71</v>
      </c>
      <c r="F130" s="210">
        <f t="shared" si="46"/>
        <v>16037.74</v>
      </c>
      <c r="G130" s="210">
        <f t="shared" si="47"/>
        <v>18241.349999999999</v>
      </c>
      <c r="H130" s="210">
        <f t="shared" si="48"/>
        <v>20378.339999999997</v>
      </c>
      <c r="I130" s="210">
        <f t="shared" si="49"/>
        <v>22103.339999999997</v>
      </c>
      <c r="J130" s="210">
        <f t="shared" si="50"/>
        <v>23837.909999999996</v>
      </c>
      <c r="K130" s="210">
        <f t="shared" si="51"/>
        <v>25685.379999999997</v>
      </c>
      <c r="L130" s="210">
        <f t="shared" si="52"/>
        <v>27310.069999999996</v>
      </c>
      <c r="M130" s="210">
        <f t="shared" si="53"/>
        <v>29684.459999999995</v>
      </c>
      <c r="N130" s="210">
        <f t="shared" si="54"/>
        <v>33484.749999999993</v>
      </c>
      <c r="O130" s="210">
        <f t="shared" si="55"/>
        <v>246023.57</v>
      </c>
      <c r="W130" s="453"/>
    </row>
    <row r="131" spans="1:23">
      <c r="A131" s="204">
        <f t="shared" ref="A131:A194" si="56">+A130+1</f>
        <v>131</v>
      </c>
      <c r="B131" s="213" t="s">
        <v>117</v>
      </c>
      <c r="C131" s="210">
        <f t="shared" si="43"/>
        <v>1203.23</v>
      </c>
      <c r="D131" s="210">
        <f t="shared" si="44"/>
        <v>2286.08</v>
      </c>
      <c r="E131" s="210">
        <f t="shared" si="45"/>
        <v>3501.67</v>
      </c>
      <c r="F131" s="210">
        <f t="shared" si="46"/>
        <v>5331.91</v>
      </c>
      <c r="G131" s="210">
        <f t="shared" si="47"/>
        <v>5999.58</v>
      </c>
      <c r="H131" s="210">
        <f t="shared" si="48"/>
        <v>6584.42</v>
      </c>
      <c r="I131" s="210">
        <f t="shared" si="49"/>
        <v>7129.42</v>
      </c>
      <c r="J131" s="210">
        <f t="shared" si="50"/>
        <v>7624.36</v>
      </c>
      <c r="K131" s="210">
        <f t="shared" si="51"/>
        <v>7961.73</v>
      </c>
      <c r="L131" s="210">
        <f t="shared" si="52"/>
        <v>8326.4</v>
      </c>
      <c r="M131" s="210">
        <f t="shared" si="53"/>
        <v>9020.1999999999989</v>
      </c>
      <c r="N131" s="210">
        <f t="shared" si="54"/>
        <v>10093.999999999998</v>
      </c>
      <c r="O131" s="210">
        <f t="shared" si="55"/>
        <v>75062.999999999985</v>
      </c>
      <c r="W131" s="453"/>
    </row>
    <row r="132" spans="1:23">
      <c r="A132" s="204">
        <f t="shared" si="56"/>
        <v>132</v>
      </c>
      <c r="B132" s="213" t="s">
        <v>118</v>
      </c>
      <c r="C132" s="210">
        <f t="shared" si="43"/>
        <v>2027.18</v>
      </c>
      <c r="D132" s="210">
        <f t="shared" si="44"/>
        <v>3451.25</v>
      </c>
      <c r="E132" s="210">
        <f t="shared" si="45"/>
        <v>5051.4400000000005</v>
      </c>
      <c r="F132" s="210">
        <f t="shared" si="46"/>
        <v>6690.17</v>
      </c>
      <c r="G132" s="210">
        <f t="shared" si="47"/>
        <v>7759.39</v>
      </c>
      <c r="H132" s="210">
        <f t="shared" si="48"/>
        <v>8168.4400000000005</v>
      </c>
      <c r="I132" s="210">
        <f t="shared" si="49"/>
        <v>8521.44</v>
      </c>
      <c r="J132" s="210">
        <f t="shared" si="50"/>
        <v>8700.0500000000011</v>
      </c>
      <c r="K132" s="210">
        <f t="shared" si="51"/>
        <v>9022.7000000000007</v>
      </c>
      <c r="L132" s="210">
        <f t="shared" si="52"/>
        <v>9187.9700000000012</v>
      </c>
      <c r="M132" s="210">
        <f t="shared" si="53"/>
        <v>10137.550000000001</v>
      </c>
      <c r="N132" s="210">
        <f t="shared" si="54"/>
        <v>11406.02</v>
      </c>
      <c r="O132" s="210">
        <f t="shared" si="55"/>
        <v>90123.60000000002</v>
      </c>
      <c r="W132" s="453"/>
    </row>
    <row r="133" spans="1:23">
      <c r="A133" s="204">
        <f t="shared" si="56"/>
        <v>133</v>
      </c>
      <c r="B133" s="218" t="s">
        <v>119</v>
      </c>
      <c r="C133" s="210">
        <f t="shared" si="43"/>
        <v>0</v>
      </c>
      <c r="D133" s="210">
        <f t="shared" si="44"/>
        <v>0</v>
      </c>
      <c r="E133" s="210">
        <f t="shared" si="45"/>
        <v>0</v>
      </c>
      <c r="F133" s="210">
        <f t="shared" si="46"/>
        <v>0</v>
      </c>
      <c r="G133" s="210">
        <f t="shared" si="47"/>
        <v>0</v>
      </c>
      <c r="H133" s="210">
        <f t="shared" si="48"/>
        <v>0</v>
      </c>
      <c r="I133" s="210">
        <f t="shared" si="49"/>
        <v>0</v>
      </c>
      <c r="J133" s="210">
        <f t="shared" si="50"/>
        <v>0</v>
      </c>
      <c r="K133" s="210">
        <f t="shared" si="51"/>
        <v>0</v>
      </c>
      <c r="L133" s="210">
        <f t="shared" si="52"/>
        <v>0</v>
      </c>
      <c r="M133" s="210">
        <f t="shared" si="53"/>
        <v>0</v>
      </c>
      <c r="N133" s="210">
        <f t="shared" si="54"/>
        <v>0</v>
      </c>
      <c r="O133" s="210">
        <f t="shared" si="55"/>
        <v>0</v>
      </c>
      <c r="W133" s="453"/>
    </row>
    <row r="134" spans="1:23">
      <c r="A134" s="204">
        <f t="shared" si="56"/>
        <v>134</v>
      </c>
      <c r="B134" s="218" t="s">
        <v>120</v>
      </c>
      <c r="C134" s="222">
        <f t="shared" si="43"/>
        <v>0</v>
      </c>
      <c r="D134" s="222">
        <f t="shared" si="44"/>
        <v>0</v>
      </c>
      <c r="E134" s="222">
        <f t="shared" si="45"/>
        <v>0</v>
      </c>
      <c r="F134" s="222">
        <f t="shared" si="46"/>
        <v>0</v>
      </c>
      <c r="G134" s="222">
        <f t="shared" si="47"/>
        <v>0</v>
      </c>
      <c r="H134" s="222">
        <f t="shared" si="48"/>
        <v>0</v>
      </c>
      <c r="I134" s="222">
        <f t="shared" si="49"/>
        <v>0</v>
      </c>
      <c r="J134" s="222">
        <f t="shared" si="50"/>
        <v>0</v>
      </c>
      <c r="K134" s="222">
        <f t="shared" si="51"/>
        <v>0</v>
      </c>
      <c r="L134" s="222">
        <f t="shared" si="52"/>
        <v>0</v>
      </c>
      <c r="M134" s="222">
        <f t="shared" si="53"/>
        <v>0</v>
      </c>
      <c r="N134" s="222">
        <f t="shared" si="54"/>
        <v>0</v>
      </c>
      <c r="O134" s="222">
        <f t="shared" si="55"/>
        <v>0</v>
      </c>
      <c r="W134" s="453"/>
    </row>
    <row r="135" spans="1:23">
      <c r="A135" s="204">
        <f t="shared" si="56"/>
        <v>135</v>
      </c>
      <c r="B135" s="219" t="s">
        <v>169</v>
      </c>
      <c r="C135" s="210">
        <f t="shared" ref="C135:N135" si="57">SUM(C128:C134)</f>
        <v>11129.87</v>
      </c>
      <c r="D135" s="210">
        <f t="shared" si="57"/>
        <v>18336.830000000002</v>
      </c>
      <c r="E135" s="210">
        <f t="shared" si="57"/>
        <v>25494.9</v>
      </c>
      <c r="F135" s="210">
        <f t="shared" si="57"/>
        <v>32772.71</v>
      </c>
      <c r="G135" s="210">
        <f t="shared" si="57"/>
        <v>37454</v>
      </c>
      <c r="H135" s="210">
        <f t="shared" si="57"/>
        <v>41495.22</v>
      </c>
      <c r="I135" s="210">
        <f t="shared" si="57"/>
        <v>44646.22</v>
      </c>
      <c r="J135" s="210">
        <f t="shared" si="57"/>
        <v>47729.59</v>
      </c>
      <c r="K135" s="210">
        <f t="shared" si="57"/>
        <v>50943.609999999986</v>
      </c>
      <c r="L135" s="210">
        <f t="shared" si="57"/>
        <v>53750.229999999996</v>
      </c>
      <c r="M135" s="210">
        <f t="shared" si="57"/>
        <v>58642.609999999993</v>
      </c>
      <c r="N135" s="210">
        <f t="shared" si="57"/>
        <v>65880.37999999999</v>
      </c>
      <c r="O135" s="210">
        <f t="shared" si="55"/>
        <v>488276.16999999993</v>
      </c>
      <c r="W135" s="453"/>
    </row>
    <row r="136" spans="1:23">
      <c r="A136" s="204">
        <f t="shared" si="56"/>
        <v>136</v>
      </c>
      <c r="B136" s="223" t="s">
        <v>170</v>
      </c>
      <c r="C136" s="210"/>
      <c r="D136" s="210"/>
      <c r="E136" s="210"/>
      <c r="F136" s="210"/>
      <c r="G136" s="210"/>
      <c r="H136" s="210"/>
      <c r="I136" s="210"/>
      <c r="J136" s="210"/>
      <c r="K136" s="210"/>
      <c r="L136" s="210"/>
      <c r="M136" s="210"/>
      <c r="N136" s="210"/>
      <c r="O136" s="210"/>
      <c r="W136" s="453"/>
    </row>
    <row r="137" spans="1:23">
      <c r="A137" s="204">
        <f t="shared" si="56"/>
        <v>137</v>
      </c>
      <c r="B137" s="213" t="s">
        <v>114</v>
      </c>
      <c r="C137" s="210">
        <f t="shared" ref="C137:C172" si="58">+C26</f>
        <v>110.08</v>
      </c>
      <c r="D137" s="210">
        <f t="shared" ref="D137:D172" si="59">SUM(C26:D26)</f>
        <v>146.42000000000002</v>
      </c>
      <c r="E137" s="210">
        <f t="shared" ref="E137:E172" si="60">SUM(C26:E26)</f>
        <v>188</v>
      </c>
      <c r="F137" s="210">
        <f>SUM(C26:F26)</f>
        <v>230.63</v>
      </c>
      <c r="G137" s="210">
        <f t="shared" ref="G137:G172" si="61">SUM(C26:G26)</f>
        <v>265.92</v>
      </c>
      <c r="H137" s="210">
        <f t="shared" ref="H137:H172" si="62">SUM(C26:H26)</f>
        <v>387.53000000000003</v>
      </c>
      <c r="I137" s="210">
        <f t="shared" ref="I137:I172" si="63">SUM(C26:I26)</f>
        <v>411.53000000000003</v>
      </c>
      <c r="J137" s="210">
        <f t="shared" ref="J137:J172" si="64">SUM(C26:J26)</f>
        <v>437.44000000000005</v>
      </c>
      <c r="K137" s="210">
        <f t="shared" ref="K137:K172" si="65">SUM(C26:K26)</f>
        <v>463.39000000000004</v>
      </c>
      <c r="L137" s="210">
        <f t="shared" ref="L137:L172" si="66">SUM(C26:L26)</f>
        <v>490.40000000000003</v>
      </c>
      <c r="M137" s="210">
        <f t="shared" ref="M137:M172" si="67">SUM(C26:M26)</f>
        <v>527.82000000000005</v>
      </c>
      <c r="N137" s="210">
        <f t="shared" ref="N137:N172" si="68">SUM(C26:N26)</f>
        <v>568.45000000000005</v>
      </c>
      <c r="O137" s="210">
        <f t="shared" ref="O137:O173" si="69">SUM(C137:N137)</f>
        <v>4227.6100000000006</v>
      </c>
      <c r="W137" s="453"/>
    </row>
    <row r="138" spans="1:23">
      <c r="A138" s="204">
        <f t="shared" si="56"/>
        <v>138</v>
      </c>
      <c r="B138" s="213" t="s">
        <v>115</v>
      </c>
      <c r="C138" s="210">
        <f t="shared" si="58"/>
        <v>160.13</v>
      </c>
      <c r="D138" s="210">
        <f t="shared" si="59"/>
        <v>318.84000000000003</v>
      </c>
      <c r="E138" s="210">
        <f t="shared" si="60"/>
        <v>378.58000000000004</v>
      </c>
      <c r="F138" s="210">
        <f>SUM(C27:F27)</f>
        <v>451.29</v>
      </c>
      <c r="G138" s="210">
        <f t="shared" si="61"/>
        <v>504.68</v>
      </c>
      <c r="H138" s="210">
        <f t="shared" si="62"/>
        <v>562.93000000000006</v>
      </c>
      <c r="I138" s="210">
        <f t="shared" si="63"/>
        <v>635.93000000000006</v>
      </c>
      <c r="J138" s="210">
        <f t="shared" si="64"/>
        <v>690.8900000000001</v>
      </c>
      <c r="K138" s="210">
        <f t="shared" si="65"/>
        <v>744.29000000000008</v>
      </c>
      <c r="L138" s="210">
        <f t="shared" si="66"/>
        <v>793.34</v>
      </c>
      <c r="M138" s="210">
        <f t="shared" si="67"/>
        <v>858.37</v>
      </c>
      <c r="N138" s="210">
        <f t="shared" si="68"/>
        <v>954.96</v>
      </c>
      <c r="O138" s="210">
        <f t="shared" si="69"/>
        <v>7054.2300000000005</v>
      </c>
      <c r="W138" s="453"/>
    </row>
    <row r="139" spans="1:23">
      <c r="A139" s="204">
        <f t="shared" si="56"/>
        <v>139</v>
      </c>
      <c r="B139" s="213" t="s">
        <v>116</v>
      </c>
      <c r="C139" s="210">
        <f t="shared" si="58"/>
        <v>8269.15</v>
      </c>
      <c r="D139" s="210">
        <f t="shared" si="59"/>
        <v>14676.48</v>
      </c>
      <c r="E139" s="210">
        <f t="shared" si="60"/>
        <v>24758.77</v>
      </c>
      <c r="F139" s="210">
        <f>SUM(C28:F28)</f>
        <v>29436.61</v>
      </c>
      <c r="G139" s="210">
        <f t="shared" si="61"/>
        <v>35303.82</v>
      </c>
      <c r="H139" s="210">
        <f t="shared" si="62"/>
        <v>39371.67</v>
      </c>
      <c r="I139" s="210">
        <f t="shared" si="63"/>
        <v>44139.67</v>
      </c>
      <c r="J139" s="210">
        <f t="shared" si="64"/>
        <v>46843.09</v>
      </c>
      <c r="K139" s="210">
        <f t="shared" si="65"/>
        <v>51014.67</v>
      </c>
      <c r="L139" s="210">
        <f t="shared" si="66"/>
        <v>54767.11</v>
      </c>
      <c r="M139" s="210">
        <f t="shared" si="67"/>
        <v>58864.020000000004</v>
      </c>
      <c r="N139" s="210">
        <f t="shared" si="68"/>
        <v>64377.350000000006</v>
      </c>
      <c r="O139" s="210">
        <f t="shared" si="69"/>
        <v>471822.41000000003</v>
      </c>
      <c r="W139" s="453"/>
    </row>
    <row r="140" spans="1:23">
      <c r="A140" s="204">
        <f t="shared" si="56"/>
        <v>140</v>
      </c>
      <c r="B140" s="213" t="s">
        <v>117</v>
      </c>
      <c r="C140" s="210">
        <f t="shared" si="58"/>
        <v>10762.91</v>
      </c>
      <c r="D140" s="210">
        <f t="shared" si="59"/>
        <v>18649.68</v>
      </c>
      <c r="E140" s="210">
        <f t="shared" si="60"/>
        <v>26094.49</v>
      </c>
      <c r="F140" s="210">
        <f>SUM(C29:F29)</f>
        <v>32830.22</v>
      </c>
      <c r="G140" s="210">
        <f t="shared" si="61"/>
        <v>38480.559999999998</v>
      </c>
      <c r="H140" s="210">
        <f t="shared" si="62"/>
        <v>43721.229999999996</v>
      </c>
      <c r="I140" s="210">
        <f t="shared" si="63"/>
        <v>48501.229999999996</v>
      </c>
      <c r="J140" s="210">
        <f t="shared" si="64"/>
        <v>53829.079999999994</v>
      </c>
      <c r="K140" s="210">
        <f t="shared" si="65"/>
        <v>59349.239999999991</v>
      </c>
      <c r="L140" s="210">
        <f t="shared" si="66"/>
        <v>64047.029999999992</v>
      </c>
      <c r="M140" s="210">
        <f t="shared" si="67"/>
        <v>73903.079999999987</v>
      </c>
      <c r="N140" s="210">
        <f t="shared" si="68"/>
        <v>83269.87</v>
      </c>
      <c r="O140" s="210">
        <f t="shared" si="69"/>
        <v>553438.62</v>
      </c>
      <c r="W140" s="453"/>
    </row>
    <row r="141" spans="1:23">
      <c r="A141" s="204">
        <f t="shared" si="56"/>
        <v>141</v>
      </c>
      <c r="B141" s="213" t="s">
        <v>118</v>
      </c>
      <c r="C141" s="210">
        <f t="shared" si="58"/>
        <v>51814.99</v>
      </c>
      <c r="D141" s="210">
        <f t="shared" si="59"/>
        <v>96622.95</v>
      </c>
      <c r="E141" s="210">
        <f t="shared" si="60"/>
        <v>139941.95000000001</v>
      </c>
      <c r="F141" s="210">
        <f>SUM(C30:F30)</f>
        <v>172233.14</v>
      </c>
      <c r="G141" s="210">
        <f t="shared" si="61"/>
        <v>200788.82</v>
      </c>
      <c r="H141" s="210">
        <f t="shared" si="62"/>
        <v>226812.77000000002</v>
      </c>
      <c r="I141" s="210">
        <f t="shared" si="63"/>
        <v>249692.77000000002</v>
      </c>
      <c r="J141" s="210">
        <f t="shared" si="64"/>
        <v>275035.53000000003</v>
      </c>
      <c r="K141" s="210">
        <f t="shared" si="65"/>
        <v>303345.74000000005</v>
      </c>
      <c r="L141" s="210">
        <f t="shared" si="66"/>
        <v>330650.28000000003</v>
      </c>
      <c r="M141" s="210">
        <f t="shared" si="67"/>
        <v>361234.78</v>
      </c>
      <c r="N141" s="210">
        <f t="shared" si="68"/>
        <v>398403.51</v>
      </c>
      <c r="O141" s="210">
        <f t="shared" si="69"/>
        <v>2806577.2300000004</v>
      </c>
      <c r="W141" s="453"/>
    </row>
    <row r="142" spans="1:23">
      <c r="A142" s="204">
        <f t="shared" si="56"/>
        <v>142</v>
      </c>
      <c r="B142" s="218" t="s">
        <v>119</v>
      </c>
      <c r="C142" s="210">
        <f t="shared" si="58"/>
        <v>99280.320000000007</v>
      </c>
      <c r="D142" s="210">
        <f t="shared" si="59"/>
        <v>189596.35</v>
      </c>
      <c r="E142" s="210">
        <f t="shared" si="60"/>
        <v>280553.34999999998</v>
      </c>
      <c r="F142" s="210">
        <f t="shared" ref="F142:F172" si="70">SUM(C31:F31)</f>
        <v>369605.45999999996</v>
      </c>
      <c r="G142" s="210">
        <f t="shared" si="61"/>
        <v>450979.40999999986</v>
      </c>
      <c r="H142" s="210">
        <f t="shared" si="62"/>
        <v>530841.25999999989</v>
      </c>
      <c r="I142" s="210">
        <f t="shared" si="63"/>
        <v>601618.25999999989</v>
      </c>
      <c r="J142" s="210">
        <f t="shared" si="64"/>
        <v>675810.14999999991</v>
      </c>
      <c r="K142" s="210">
        <f t="shared" si="65"/>
        <v>757376.96</v>
      </c>
      <c r="L142" s="210">
        <f t="shared" si="66"/>
        <v>832542.9</v>
      </c>
      <c r="M142" s="210">
        <f t="shared" si="67"/>
        <v>922809.38</v>
      </c>
      <c r="N142" s="210">
        <f t="shared" si="68"/>
        <v>1015061.89</v>
      </c>
      <c r="O142" s="210">
        <f t="shared" si="69"/>
        <v>6726075.6899999995</v>
      </c>
      <c r="W142" s="453"/>
    </row>
    <row r="143" spans="1:23">
      <c r="A143" s="204">
        <f t="shared" si="56"/>
        <v>143</v>
      </c>
      <c r="B143" s="218" t="s">
        <v>120</v>
      </c>
      <c r="C143" s="210">
        <f t="shared" si="58"/>
        <v>239113.23</v>
      </c>
      <c r="D143" s="210">
        <f t="shared" si="59"/>
        <v>469850.76</v>
      </c>
      <c r="E143" s="210">
        <f t="shared" si="60"/>
        <v>690847.76</v>
      </c>
      <c r="F143" s="210">
        <f t="shared" si="70"/>
        <v>913166.57000000007</v>
      </c>
      <c r="G143" s="210">
        <f t="shared" si="61"/>
        <v>1105339.27</v>
      </c>
      <c r="H143" s="210">
        <f t="shared" si="62"/>
        <v>1300908.1100000001</v>
      </c>
      <c r="I143" s="210">
        <f t="shared" si="63"/>
        <v>1475274.11</v>
      </c>
      <c r="J143" s="210">
        <f t="shared" si="64"/>
        <v>1652629.12</v>
      </c>
      <c r="K143" s="210">
        <f t="shared" si="65"/>
        <v>1834340.1</v>
      </c>
      <c r="L143" s="210">
        <f t="shared" si="66"/>
        <v>2002511.05</v>
      </c>
      <c r="M143" s="210">
        <f t="shared" si="67"/>
        <v>2208284.34</v>
      </c>
      <c r="N143" s="210">
        <f t="shared" si="68"/>
        <v>2421904.8499999996</v>
      </c>
      <c r="O143" s="210">
        <f t="shared" si="69"/>
        <v>16314169.270000001</v>
      </c>
      <c r="W143" s="453"/>
    </row>
    <row r="144" spans="1:23">
      <c r="A144" s="204">
        <f t="shared" si="56"/>
        <v>144</v>
      </c>
      <c r="B144" s="218" t="s">
        <v>121</v>
      </c>
      <c r="C144" s="210">
        <f t="shared" si="58"/>
        <v>312702.38</v>
      </c>
      <c r="D144" s="210">
        <f t="shared" si="59"/>
        <v>586665.19999999995</v>
      </c>
      <c r="E144" s="210">
        <f t="shared" si="60"/>
        <v>850079.2</v>
      </c>
      <c r="F144" s="210">
        <f t="shared" si="70"/>
        <v>1154309.28</v>
      </c>
      <c r="G144" s="210">
        <f t="shared" si="61"/>
        <v>1378750.56</v>
      </c>
      <c r="H144" s="210">
        <f t="shared" si="62"/>
        <v>1622031.35</v>
      </c>
      <c r="I144" s="210">
        <f t="shared" si="63"/>
        <v>1830169.35</v>
      </c>
      <c r="J144" s="210">
        <f t="shared" si="64"/>
        <v>2037885.1700000002</v>
      </c>
      <c r="K144" s="210">
        <f t="shared" si="65"/>
        <v>2260094.66</v>
      </c>
      <c r="L144" s="210">
        <f t="shared" si="66"/>
        <v>2488887.58</v>
      </c>
      <c r="M144" s="210">
        <f t="shared" si="67"/>
        <v>2764436.93</v>
      </c>
      <c r="N144" s="210">
        <f t="shared" si="68"/>
        <v>3078510.74</v>
      </c>
      <c r="O144" s="210">
        <f t="shared" si="69"/>
        <v>20364522.399999999</v>
      </c>
      <c r="W144" s="453"/>
    </row>
    <row r="145" spans="1:23">
      <c r="A145" s="204">
        <f t="shared" si="56"/>
        <v>145</v>
      </c>
      <c r="B145" s="218" t="s">
        <v>142</v>
      </c>
      <c r="C145" s="210">
        <f t="shared" si="58"/>
        <v>137705.51999999999</v>
      </c>
      <c r="D145" s="210">
        <f t="shared" si="59"/>
        <v>270456.91000000003</v>
      </c>
      <c r="E145" s="210">
        <f t="shared" si="60"/>
        <v>410401.91000000003</v>
      </c>
      <c r="F145" s="210">
        <f t="shared" si="70"/>
        <v>513728.4</v>
      </c>
      <c r="G145" s="210">
        <f t="shared" si="61"/>
        <v>590768.38</v>
      </c>
      <c r="H145" s="210">
        <f t="shared" si="62"/>
        <v>670210.66</v>
      </c>
      <c r="I145" s="210">
        <f t="shared" si="63"/>
        <v>743489.66</v>
      </c>
      <c r="J145" s="210">
        <f t="shared" si="64"/>
        <v>822165.52</v>
      </c>
      <c r="K145" s="210">
        <f t="shared" si="65"/>
        <v>900164.4</v>
      </c>
      <c r="L145" s="210">
        <f t="shared" si="66"/>
        <v>974301.48</v>
      </c>
      <c r="M145" s="210">
        <f t="shared" si="67"/>
        <v>1067209.97</v>
      </c>
      <c r="N145" s="210">
        <f t="shared" si="68"/>
        <v>1167020.29</v>
      </c>
      <c r="O145" s="210">
        <f t="shared" si="69"/>
        <v>8267623.0999999996</v>
      </c>
      <c r="W145" s="453"/>
    </row>
    <row r="146" spans="1:23">
      <c r="A146" s="204">
        <f t="shared" si="56"/>
        <v>146</v>
      </c>
      <c r="B146" s="218" t="s">
        <v>143</v>
      </c>
      <c r="C146" s="210">
        <f t="shared" si="58"/>
        <v>153530.07</v>
      </c>
      <c r="D146" s="210">
        <f t="shared" si="59"/>
        <v>280944.71999999997</v>
      </c>
      <c r="E146" s="210">
        <f t="shared" si="60"/>
        <v>418074.85</v>
      </c>
      <c r="F146" s="210">
        <f t="shared" si="70"/>
        <v>546129.87</v>
      </c>
      <c r="G146" s="210">
        <f t="shared" si="61"/>
        <v>671924.84</v>
      </c>
      <c r="H146" s="210">
        <f t="shared" si="62"/>
        <v>785191.28999999992</v>
      </c>
      <c r="I146" s="210">
        <f t="shared" si="63"/>
        <v>887915.28999999992</v>
      </c>
      <c r="J146" s="210">
        <f t="shared" si="64"/>
        <v>1006276.8999999999</v>
      </c>
      <c r="K146" s="210">
        <f t="shared" si="65"/>
        <v>1156441.3999999999</v>
      </c>
      <c r="L146" s="210">
        <f t="shared" si="66"/>
        <v>1288814.5299999998</v>
      </c>
      <c r="M146" s="210">
        <f t="shared" si="67"/>
        <v>1418752.7699999998</v>
      </c>
      <c r="N146" s="210">
        <f t="shared" si="68"/>
        <v>1585084.2599999998</v>
      </c>
      <c r="O146" s="210">
        <f t="shared" si="69"/>
        <v>10199080.789999999</v>
      </c>
      <c r="W146" s="453"/>
    </row>
    <row r="147" spans="1:23">
      <c r="A147" s="204">
        <f t="shared" si="56"/>
        <v>147</v>
      </c>
      <c r="B147" s="218" t="s">
        <v>144</v>
      </c>
      <c r="C147" s="210">
        <f t="shared" si="58"/>
        <v>404984.27</v>
      </c>
      <c r="D147" s="210">
        <f t="shared" si="59"/>
        <v>687070.88</v>
      </c>
      <c r="E147" s="210">
        <f t="shared" si="60"/>
        <v>987802.88</v>
      </c>
      <c r="F147" s="210">
        <f t="shared" si="70"/>
        <v>1251947.6000000001</v>
      </c>
      <c r="G147" s="210">
        <f t="shared" si="61"/>
        <v>1566746.28</v>
      </c>
      <c r="H147" s="210">
        <f t="shared" si="62"/>
        <v>1824389.57</v>
      </c>
      <c r="I147" s="210">
        <f t="shared" si="63"/>
        <v>2100587.5100000002</v>
      </c>
      <c r="J147" s="210">
        <f t="shared" si="64"/>
        <v>2384235.31</v>
      </c>
      <c r="K147" s="210">
        <f t="shared" si="65"/>
        <v>2632553.75</v>
      </c>
      <c r="L147" s="210">
        <f t="shared" si="66"/>
        <v>2919060.15</v>
      </c>
      <c r="M147" s="210">
        <f t="shared" si="67"/>
        <v>3210890.1399999997</v>
      </c>
      <c r="N147" s="210">
        <f t="shared" si="68"/>
        <v>3520181.34</v>
      </c>
      <c r="O147" s="210">
        <f t="shared" si="69"/>
        <v>23490449.68</v>
      </c>
      <c r="W147" s="453"/>
    </row>
    <row r="148" spans="1:23">
      <c r="A148" s="204">
        <f t="shared" si="56"/>
        <v>148</v>
      </c>
      <c r="B148" s="218" t="s">
        <v>145</v>
      </c>
      <c r="C148" s="210">
        <f t="shared" si="58"/>
        <v>520517.1</v>
      </c>
      <c r="D148" s="210">
        <f t="shared" si="59"/>
        <v>958338.85</v>
      </c>
      <c r="E148" s="210">
        <f t="shared" si="60"/>
        <v>1436392.58</v>
      </c>
      <c r="F148" s="210">
        <f t="shared" si="70"/>
        <v>1830250.54</v>
      </c>
      <c r="G148" s="210">
        <f t="shared" si="61"/>
        <v>2228201.44</v>
      </c>
      <c r="H148" s="210">
        <f t="shared" si="62"/>
        <v>2584761.7999999998</v>
      </c>
      <c r="I148" s="210">
        <f t="shared" si="63"/>
        <v>2978566.9</v>
      </c>
      <c r="J148" s="210">
        <f t="shared" si="64"/>
        <v>3349599.4699999997</v>
      </c>
      <c r="K148" s="210">
        <f t="shared" si="65"/>
        <v>3692560.4899999998</v>
      </c>
      <c r="L148" s="210">
        <f t="shared" si="66"/>
        <v>4102905.5199999996</v>
      </c>
      <c r="M148" s="210">
        <f t="shared" si="67"/>
        <v>4518439.0999999996</v>
      </c>
      <c r="N148" s="210">
        <f t="shared" si="68"/>
        <v>4948661.88</v>
      </c>
      <c r="O148" s="210">
        <f t="shared" si="69"/>
        <v>33149195.669999998</v>
      </c>
      <c r="W148" s="453"/>
    </row>
    <row r="149" spans="1:23">
      <c r="A149" s="204">
        <f t="shared" si="56"/>
        <v>149</v>
      </c>
      <c r="B149" s="218" t="s">
        <v>146</v>
      </c>
      <c r="C149" s="210">
        <f t="shared" si="58"/>
        <v>435274.44</v>
      </c>
      <c r="D149" s="210">
        <f t="shared" si="59"/>
        <v>831464.56</v>
      </c>
      <c r="E149" s="210">
        <f t="shared" si="60"/>
        <v>1219771.6300000001</v>
      </c>
      <c r="F149" s="210">
        <f t="shared" si="70"/>
        <v>1550960.3800000001</v>
      </c>
      <c r="G149" s="210">
        <f t="shared" si="61"/>
        <v>1883162.9600000002</v>
      </c>
      <c r="H149" s="210">
        <f t="shared" si="62"/>
        <v>2200589.1300000004</v>
      </c>
      <c r="I149" s="210">
        <f t="shared" si="63"/>
        <v>2523837.4700000002</v>
      </c>
      <c r="J149" s="210">
        <f t="shared" si="64"/>
        <v>2842963.89</v>
      </c>
      <c r="K149" s="210">
        <f t="shared" si="65"/>
        <v>3144822.2</v>
      </c>
      <c r="L149" s="210">
        <f t="shared" si="66"/>
        <v>3466981.6</v>
      </c>
      <c r="M149" s="210">
        <f t="shared" si="67"/>
        <v>3768832.8200000003</v>
      </c>
      <c r="N149" s="210">
        <f t="shared" si="68"/>
        <v>4093358.0600000005</v>
      </c>
      <c r="O149" s="210">
        <f t="shared" si="69"/>
        <v>27962019.140000001</v>
      </c>
      <c r="W149" s="453"/>
    </row>
    <row r="150" spans="1:23">
      <c r="A150" s="204">
        <f t="shared" si="56"/>
        <v>150</v>
      </c>
      <c r="B150" s="218" t="s">
        <v>147</v>
      </c>
      <c r="C150" s="210">
        <f t="shared" si="58"/>
        <v>148025.57</v>
      </c>
      <c r="D150" s="210">
        <f t="shared" si="59"/>
        <v>268923.51</v>
      </c>
      <c r="E150" s="210">
        <f t="shared" si="60"/>
        <v>395572.68</v>
      </c>
      <c r="F150" s="210">
        <f t="shared" si="70"/>
        <v>595174.89</v>
      </c>
      <c r="G150" s="210">
        <f t="shared" si="61"/>
        <v>798083.67</v>
      </c>
      <c r="H150" s="210">
        <f t="shared" si="62"/>
        <v>983497.41</v>
      </c>
      <c r="I150" s="210">
        <f t="shared" si="63"/>
        <v>1156277.24</v>
      </c>
      <c r="J150" s="210">
        <f t="shared" si="64"/>
        <v>1354023.4</v>
      </c>
      <c r="K150" s="210">
        <f t="shared" si="65"/>
        <v>1561970.72</v>
      </c>
      <c r="L150" s="210">
        <f t="shared" si="66"/>
        <v>1787982.13</v>
      </c>
      <c r="M150" s="210">
        <f t="shared" si="67"/>
        <v>1997155.0299999998</v>
      </c>
      <c r="N150" s="210">
        <f t="shared" si="68"/>
        <v>2199774.4299999997</v>
      </c>
      <c r="O150" s="210">
        <f t="shared" si="69"/>
        <v>13246460.679999998</v>
      </c>
      <c r="W150" s="453"/>
    </row>
    <row r="151" spans="1:23">
      <c r="A151" s="204">
        <f t="shared" si="56"/>
        <v>151</v>
      </c>
      <c r="B151" s="218" t="s">
        <v>148</v>
      </c>
      <c r="C151" s="210">
        <f t="shared" si="58"/>
        <v>134512.60999999999</v>
      </c>
      <c r="D151" s="210">
        <f t="shared" si="59"/>
        <v>197652.53999999998</v>
      </c>
      <c r="E151" s="210">
        <f t="shared" si="60"/>
        <v>264390.70999999996</v>
      </c>
      <c r="F151" s="210">
        <f t="shared" si="70"/>
        <v>526318.92999999993</v>
      </c>
      <c r="G151" s="210">
        <f t="shared" si="61"/>
        <v>792697.5</v>
      </c>
      <c r="H151" s="210">
        <f t="shared" si="62"/>
        <v>1103604.07</v>
      </c>
      <c r="I151" s="210">
        <f t="shared" si="63"/>
        <v>1416649.77</v>
      </c>
      <c r="J151" s="210">
        <f t="shared" si="64"/>
        <v>1806097.97</v>
      </c>
      <c r="K151" s="210">
        <f t="shared" si="65"/>
        <v>2221608</v>
      </c>
      <c r="L151" s="210">
        <f t="shared" si="66"/>
        <v>2622743.0300000003</v>
      </c>
      <c r="M151" s="210">
        <f t="shared" si="67"/>
        <v>3006332.43</v>
      </c>
      <c r="N151" s="210">
        <f t="shared" si="68"/>
        <v>3352033.75</v>
      </c>
      <c r="O151" s="210">
        <f t="shared" si="69"/>
        <v>17444641.309999999</v>
      </c>
      <c r="W151" s="453"/>
    </row>
    <row r="152" spans="1:23">
      <c r="A152" s="204">
        <f t="shared" si="56"/>
        <v>152</v>
      </c>
      <c r="B152" s="218" t="s">
        <v>149</v>
      </c>
      <c r="C152" s="210">
        <f t="shared" si="58"/>
        <v>1728430.84</v>
      </c>
      <c r="D152" s="210">
        <f t="shared" si="59"/>
        <v>3387513.9400000004</v>
      </c>
      <c r="E152" s="210">
        <f t="shared" si="60"/>
        <v>5180561.59</v>
      </c>
      <c r="F152" s="210">
        <f t="shared" si="70"/>
        <v>6753800.0099999998</v>
      </c>
      <c r="G152" s="210">
        <f t="shared" si="61"/>
        <v>8186632.3499999996</v>
      </c>
      <c r="H152" s="210">
        <f t="shared" si="62"/>
        <v>9700074.6899999995</v>
      </c>
      <c r="I152" s="210">
        <f t="shared" si="63"/>
        <v>11263866.82</v>
      </c>
      <c r="J152" s="210">
        <f t="shared" si="64"/>
        <v>12979639</v>
      </c>
      <c r="K152" s="210">
        <f t="shared" si="65"/>
        <v>14594579.93</v>
      </c>
      <c r="L152" s="210">
        <f t="shared" si="66"/>
        <v>16132815.23</v>
      </c>
      <c r="M152" s="210">
        <f t="shared" si="67"/>
        <v>17689327.859999999</v>
      </c>
      <c r="N152" s="210">
        <f t="shared" si="68"/>
        <v>19136259.800000001</v>
      </c>
      <c r="O152" s="210">
        <f t="shared" si="69"/>
        <v>126733502.06</v>
      </c>
      <c r="W152" s="453"/>
    </row>
    <row r="153" spans="1:23">
      <c r="A153" s="204">
        <f t="shared" si="56"/>
        <v>153</v>
      </c>
      <c r="B153" s="218" t="s">
        <v>975</v>
      </c>
      <c r="C153" s="210">
        <f t="shared" si="58"/>
        <v>0</v>
      </c>
      <c r="D153" s="210">
        <f t="shared" si="59"/>
        <v>0</v>
      </c>
      <c r="E153" s="210">
        <f t="shared" si="60"/>
        <v>0</v>
      </c>
      <c r="F153" s="210">
        <f t="shared" si="70"/>
        <v>0</v>
      </c>
      <c r="G153" s="210">
        <f t="shared" si="61"/>
        <v>0</v>
      </c>
      <c r="H153" s="210">
        <f t="shared" si="62"/>
        <v>0</v>
      </c>
      <c r="I153" s="210">
        <f t="shared" si="63"/>
        <v>0</v>
      </c>
      <c r="J153" s="210">
        <f t="shared" si="64"/>
        <v>0</v>
      </c>
      <c r="K153" s="210">
        <f t="shared" si="65"/>
        <v>0</v>
      </c>
      <c r="L153" s="210">
        <f t="shared" si="66"/>
        <v>0</v>
      </c>
      <c r="M153" s="210">
        <f t="shared" si="67"/>
        <v>0</v>
      </c>
      <c r="N153" s="210">
        <f t="shared" si="68"/>
        <v>0</v>
      </c>
      <c r="O153" s="210">
        <f t="shared" si="69"/>
        <v>0</v>
      </c>
      <c r="W153" s="453"/>
    </row>
    <row r="154" spans="1:23">
      <c r="A154" s="204">
        <f t="shared" si="56"/>
        <v>154</v>
      </c>
      <c r="B154" s="218" t="s">
        <v>113</v>
      </c>
      <c r="C154" s="210">
        <f t="shared" si="58"/>
        <v>128898.50000000004</v>
      </c>
      <c r="D154" s="210">
        <f t="shared" si="59"/>
        <v>240115.49000000005</v>
      </c>
      <c r="E154" s="210">
        <f t="shared" si="60"/>
        <v>333392.15000000002</v>
      </c>
      <c r="F154" s="210">
        <f t="shared" si="70"/>
        <v>426893.72000000009</v>
      </c>
      <c r="G154" s="210">
        <f t="shared" si="61"/>
        <v>504355.11000000004</v>
      </c>
      <c r="H154" s="210">
        <f t="shared" si="62"/>
        <v>576976.84000000008</v>
      </c>
      <c r="I154" s="210">
        <f t="shared" si="63"/>
        <v>637319.84000000008</v>
      </c>
      <c r="J154" s="210">
        <f t="shared" si="64"/>
        <v>699935.69000000006</v>
      </c>
      <c r="K154" s="210">
        <f t="shared" si="65"/>
        <v>759592.32000000007</v>
      </c>
      <c r="L154" s="210">
        <f t="shared" si="66"/>
        <v>817809.16000000015</v>
      </c>
      <c r="M154" s="210">
        <f t="shared" si="67"/>
        <v>896156.0900000002</v>
      </c>
      <c r="N154" s="210">
        <f t="shared" si="68"/>
        <v>1000346.0300000003</v>
      </c>
      <c r="O154" s="210">
        <f t="shared" si="69"/>
        <v>7021790.9400000004</v>
      </c>
      <c r="W154" s="453"/>
    </row>
    <row r="155" spans="1:23">
      <c r="A155" s="204">
        <f t="shared" si="56"/>
        <v>155</v>
      </c>
      <c r="B155" s="218" t="s">
        <v>173</v>
      </c>
      <c r="C155" s="210">
        <f t="shared" si="58"/>
        <v>74954.740000000005</v>
      </c>
      <c r="D155" s="210">
        <f t="shared" si="59"/>
        <v>145979.76</v>
      </c>
      <c r="E155" s="210">
        <f t="shared" si="60"/>
        <v>206830.65000000005</v>
      </c>
      <c r="F155" s="210">
        <f>SUM(C44:F44)</f>
        <v>268729.34000000008</v>
      </c>
      <c r="G155" s="210">
        <f t="shared" si="61"/>
        <v>322441.41000000009</v>
      </c>
      <c r="H155" s="210">
        <f t="shared" si="62"/>
        <v>376778.07000000007</v>
      </c>
      <c r="I155" s="210">
        <f t="shared" si="63"/>
        <v>422667.07000000007</v>
      </c>
      <c r="J155" s="210">
        <f t="shared" si="64"/>
        <v>465372.55000000005</v>
      </c>
      <c r="K155" s="210">
        <f t="shared" si="65"/>
        <v>513616.45</v>
      </c>
      <c r="L155" s="210">
        <f t="shared" si="66"/>
        <v>557285.88</v>
      </c>
      <c r="M155" s="210">
        <f t="shared" si="67"/>
        <v>615062.87</v>
      </c>
      <c r="N155" s="210">
        <f t="shared" si="68"/>
        <v>679828.80999999994</v>
      </c>
      <c r="O155" s="210">
        <f t="shared" si="69"/>
        <v>4649547.6000000006</v>
      </c>
      <c r="W155" s="453"/>
    </row>
    <row r="156" spans="1:23">
      <c r="A156" s="204">
        <f t="shared" si="56"/>
        <v>156</v>
      </c>
      <c r="B156" s="218" t="s">
        <v>175</v>
      </c>
      <c r="C156" s="210">
        <f t="shared" si="58"/>
        <v>760638.17999999726</v>
      </c>
      <c r="D156" s="210">
        <f t="shared" si="59"/>
        <v>1516269.7899999982</v>
      </c>
      <c r="E156" s="210">
        <f t="shared" si="60"/>
        <v>2148555.7699999982</v>
      </c>
      <c r="F156" s="210">
        <f t="shared" si="70"/>
        <v>2789141.2499999972</v>
      </c>
      <c r="G156" s="210">
        <f t="shared" si="61"/>
        <v>3318254.0399999963</v>
      </c>
      <c r="H156" s="210">
        <f t="shared" si="62"/>
        <v>3830730.129999998</v>
      </c>
      <c r="I156" s="210">
        <f t="shared" si="63"/>
        <v>4274606.4699999969</v>
      </c>
      <c r="J156" s="210">
        <f t="shared" si="64"/>
        <v>4717555.5199999977</v>
      </c>
      <c r="K156" s="210">
        <f t="shared" si="65"/>
        <v>5173778.4499999983</v>
      </c>
      <c r="L156" s="210">
        <f t="shared" si="66"/>
        <v>5588578.0199999968</v>
      </c>
      <c r="M156" s="210">
        <f t="shared" si="67"/>
        <v>6114666.9599999972</v>
      </c>
      <c r="N156" s="210">
        <f t="shared" si="68"/>
        <v>6792311.7299999977</v>
      </c>
      <c r="O156" s="210">
        <f t="shared" si="69"/>
        <v>47025086.309999965</v>
      </c>
      <c r="W156" s="453"/>
    </row>
    <row r="157" spans="1:23">
      <c r="A157" s="204">
        <f t="shared" si="56"/>
        <v>157</v>
      </c>
      <c r="B157" s="218" t="s">
        <v>176</v>
      </c>
      <c r="C157" s="210">
        <f t="shared" si="58"/>
        <v>484984.58000000007</v>
      </c>
      <c r="D157" s="210">
        <f t="shared" si="59"/>
        <v>930405.74000000011</v>
      </c>
      <c r="E157" s="210">
        <f t="shared" si="60"/>
        <v>1347767.75</v>
      </c>
      <c r="F157" s="210">
        <f t="shared" si="70"/>
        <v>1785385.6899999997</v>
      </c>
      <c r="G157" s="210">
        <f t="shared" si="61"/>
        <v>2167534.5999999992</v>
      </c>
      <c r="H157" s="210">
        <f t="shared" si="62"/>
        <v>2567719.2999999998</v>
      </c>
      <c r="I157" s="210">
        <f t="shared" si="63"/>
        <v>2916806.06</v>
      </c>
      <c r="J157" s="210">
        <f t="shared" si="64"/>
        <v>3273207.7600000002</v>
      </c>
      <c r="K157" s="210">
        <f t="shared" si="65"/>
        <v>3650140.1300000008</v>
      </c>
      <c r="L157" s="210">
        <f t="shared" si="66"/>
        <v>3996292.830000001</v>
      </c>
      <c r="M157" s="210">
        <f t="shared" si="67"/>
        <v>4430779.2300000014</v>
      </c>
      <c r="N157" s="210">
        <f t="shared" si="68"/>
        <v>4923380.8400000017</v>
      </c>
      <c r="O157" s="210">
        <f t="shared" si="69"/>
        <v>32474404.510000005</v>
      </c>
      <c r="W157" s="453"/>
    </row>
    <row r="158" spans="1:23">
      <c r="A158" s="204">
        <f t="shared" si="56"/>
        <v>158</v>
      </c>
      <c r="B158" s="218" t="s">
        <v>177</v>
      </c>
      <c r="C158" s="210">
        <f t="shared" si="58"/>
        <v>4699.2099999999982</v>
      </c>
      <c r="D158" s="210">
        <f t="shared" si="59"/>
        <v>7863.0899999999983</v>
      </c>
      <c r="E158" s="210">
        <f t="shared" si="60"/>
        <v>10848.479999999998</v>
      </c>
      <c r="F158" s="210">
        <f t="shared" si="70"/>
        <v>13527.339999999997</v>
      </c>
      <c r="G158" s="210">
        <f t="shared" si="61"/>
        <v>15629.669999999996</v>
      </c>
      <c r="H158" s="210">
        <f t="shared" si="62"/>
        <v>18489.16</v>
      </c>
      <c r="I158" s="210">
        <f t="shared" si="63"/>
        <v>20632.16</v>
      </c>
      <c r="J158" s="210">
        <f t="shared" si="64"/>
        <v>23288.23</v>
      </c>
      <c r="K158" s="210">
        <f t="shared" si="65"/>
        <v>25873.260000000002</v>
      </c>
      <c r="L158" s="210">
        <f t="shared" si="66"/>
        <v>27775.370000000003</v>
      </c>
      <c r="M158" s="210">
        <f t="shared" si="67"/>
        <v>30568.770000000004</v>
      </c>
      <c r="N158" s="210">
        <f t="shared" si="68"/>
        <v>33523.710000000006</v>
      </c>
      <c r="O158" s="210">
        <f t="shared" si="69"/>
        <v>232718.45</v>
      </c>
      <c r="W158" s="453"/>
    </row>
    <row r="159" spans="1:23">
      <c r="A159" s="204">
        <f t="shared" si="56"/>
        <v>159</v>
      </c>
      <c r="B159" s="218" t="s">
        <v>178</v>
      </c>
      <c r="C159" s="210">
        <f t="shared" si="58"/>
        <v>1037717.9499999991</v>
      </c>
      <c r="D159" s="210">
        <f t="shared" si="59"/>
        <v>1923606.0899999985</v>
      </c>
      <c r="E159" s="210">
        <f t="shared" si="60"/>
        <v>2780432.8099999973</v>
      </c>
      <c r="F159" s="210">
        <f t="shared" si="70"/>
        <v>3634954.0399999972</v>
      </c>
      <c r="G159" s="210">
        <f t="shared" si="61"/>
        <v>4385234.5899999971</v>
      </c>
      <c r="H159" s="210">
        <f t="shared" si="62"/>
        <v>5094192.9599999972</v>
      </c>
      <c r="I159" s="210">
        <f t="shared" si="63"/>
        <v>5673860.299999997</v>
      </c>
      <c r="J159" s="210">
        <f t="shared" si="64"/>
        <v>6270029.8999999966</v>
      </c>
      <c r="K159" s="210">
        <f t="shared" si="65"/>
        <v>6865532.9199999981</v>
      </c>
      <c r="L159" s="210">
        <f t="shared" si="66"/>
        <v>7427977.3299999973</v>
      </c>
      <c r="M159" s="210">
        <f t="shared" si="67"/>
        <v>8213334.2099999981</v>
      </c>
      <c r="N159" s="210">
        <f t="shared" si="68"/>
        <v>9101179.9599999972</v>
      </c>
      <c r="O159" s="210">
        <f t="shared" si="69"/>
        <v>62408053.059999973</v>
      </c>
      <c r="W159" s="453"/>
    </row>
    <row r="160" spans="1:23">
      <c r="A160" s="204">
        <f t="shared" si="56"/>
        <v>160</v>
      </c>
      <c r="B160" s="218" t="s">
        <v>180</v>
      </c>
      <c r="C160" s="210">
        <f t="shared" si="58"/>
        <v>0</v>
      </c>
      <c r="D160" s="210">
        <f t="shared" si="59"/>
        <v>0</v>
      </c>
      <c r="E160" s="210">
        <f t="shared" si="60"/>
        <v>0</v>
      </c>
      <c r="F160" s="210">
        <f t="shared" si="70"/>
        <v>0</v>
      </c>
      <c r="G160" s="210">
        <f t="shared" si="61"/>
        <v>0</v>
      </c>
      <c r="H160" s="210">
        <f t="shared" si="62"/>
        <v>0</v>
      </c>
      <c r="I160" s="210">
        <f t="shared" si="63"/>
        <v>0</v>
      </c>
      <c r="J160" s="210">
        <f t="shared" si="64"/>
        <v>0</v>
      </c>
      <c r="K160" s="210">
        <f t="shared" si="65"/>
        <v>0</v>
      </c>
      <c r="L160" s="210">
        <f t="shared" si="66"/>
        <v>0</v>
      </c>
      <c r="M160" s="210">
        <f t="shared" si="67"/>
        <v>0</v>
      </c>
      <c r="N160" s="210">
        <f t="shared" si="68"/>
        <v>0</v>
      </c>
      <c r="O160" s="210">
        <f t="shared" si="69"/>
        <v>0</v>
      </c>
      <c r="W160" s="453"/>
    </row>
    <row r="161" spans="1:23">
      <c r="A161" s="204">
        <f t="shared" si="56"/>
        <v>161</v>
      </c>
      <c r="B161" s="218" t="s">
        <v>181</v>
      </c>
      <c r="C161" s="210">
        <f t="shared" si="58"/>
        <v>3074701.2399999998</v>
      </c>
      <c r="D161" s="210">
        <f t="shared" si="59"/>
        <v>5916553.3000000007</v>
      </c>
      <c r="E161" s="210">
        <f t="shared" si="60"/>
        <v>8718650.6600000001</v>
      </c>
      <c r="F161" s="210">
        <f t="shared" si="70"/>
        <v>11571021.029999999</v>
      </c>
      <c r="G161" s="210">
        <f t="shared" si="61"/>
        <v>14220364.329999998</v>
      </c>
      <c r="H161" s="210">
        <f t="shared" si="62"/>
        <v>16820035.219999999</v>
      </c>
      <c r="I161" s="210">
        <f t="shared" si="63"/>
        <v>19262941.899999999</v>
      </c>
      <c r="J161" s="210">
        <f t="shared" si="64"/>
        <v>21750216.339999996</v>
      </c>
      <c r="K161" s="210">
        <f t="shared" si="65"/>
        <v>24202078.18</v>
      </c>
      <c r="L161" s="210">
        <f t="shared" si="66"/>
        <v>26622717.719999999</v>
      </c>
      <c r="M161" s="210">
        <f t="shared" si="67"/>
        <v>29312068.68</v>
      </c>
      <c r="N161" s="210">
        <f t="shared" si="68"/>
        <v>32246758.329999998</v>
      </c>
      <c r="O161" s="210">
        <f t="shared" si="69"/>
        <v>213718106.93000001</v>
      </c>
      <c r="W161" s="453"/>
    </row>
    <row r="162" spans="1:23">
      <c r="A162" s="204">
        <f t="shared" si="56"/>
        <v>162</v>
      </c>
      <c r="B162" s="218" t="s">
        <v>183</v>
      </c>
      <c r="C162" s="210">
        <f t="shared" si="58"/>
        <v>0</v>
      </c>
      <c r="D162" s="210">
        <f t="shared" si="59"/>
        <v>0</v>
      </c>
      <c r="E162" s="210">
        <f t="shared" si="60"/>
        <v>0</v>
      </c>
      <c r="F162" s="210">
        <f t="shared" si="70"/>
        <v>0</v>
      </c>
      <c r="G162" s="210">
        <f t="shared" si="61"/>
        <v>0</v>
      </c>
      <c r="H162" s="210">
        <f t="shared" si="62"/>
        <v>0</v>
      </c>
      <c r="I162" s="210">
        <f t="shared" si="63"/>
        <v>0</v>
      </c>
      <c r="J162" s="210">
        <f t="shared" si="64"/>
        <v>0</v>
      </c>
      <c r="K162" s="210">
        <f t="shared" si="65"/>
        <v>0</v>
      </c>
      <c r="L162" s="210">
        <f t="shared" si="66"/>
        <v>0</v>
      </c>
      <c r="M162" s="210">
        <f t="shared" si="67"/>
        <v>0</v>
      </c>
      <c r="N162" s="210">
        <f t="shared" si="68"/>
        <v>0</v>
      </c>
      <c r="O162" s="210">
        <f t="shared" si="69"/>
        <v>0</v>
      </c>
      <c r="W162" s="453"/>
    </row>
    <row r="163" spans="1:23">
      <c r="A163" s="204">
        <f t="shared" si="56"/>
        <v>163</v>
      </c>
      <c r="B163" s="218" t="s">
        <v>184</v>
      </c>
      <c r="C163" s="210">
        <f t="shared" si="58"/>
        <v>919609.62000000011</v>
      </c>
      <c r="D163" s="210">
        <f t="shared" si="59"/>
        <v>1710791.0100000002</v>
      </c>
      <c r="E163" s="210">
        <f t="shared" si="60"/>
        <v>2625570.3600000003</v>
      </c>
      <c r="F163" s="210">
        <f t="shared" si="70"/>
        <v>3457728.0300000003</v>
      </c>
      <c r="G163" s="210">
        <f t="shared" si="61"/>
        <v>4318711.43</v>
      </c>
      <c r="H163" s="210">
        <f t="shared" si="62"/>
        <v>5237313.1899999995</v>
      </c>
      <c r="I163" s="210">
        <f t="shared" si="63"/>
        <v>6115022.8399999999</v>
      </c>
      <c r="J163" s="210">
        <f t="shared" si="64"/>
        <v>6951964.6899999995</v>
      </c>
      <c r="K163" s="210">
        <f t="shared" si="65"/>
        <v>7767986.96</v>
      </c>
      <c r="L163" s="210">
        <f t="shared" si="66"/>
        <v>8659260.5199999996</v>
      </c>
      <c r="M163" s="210">
        <f t="shared" si="67"/>
        <v>9506189.9199999999</v>
      </c>
      <c r="N163" s="210">
        <f t="shared" si="68"/>
        <v>10312588.27</v>
      </c>
      <c r="O163" s="210">
        <f t="shared" si="69"/>
        <v>67582736.840000004</v>
      </c>
      <c r="W163" s="453"/>
    </row>
    <row r="164" spans="1:23">
      <c r="A164" s="204">
        <f t="shared" si="56"/>
        <v>164</v>
      </c>
      <c r="B164" s="218" t="s">
        <v>186</v>
      </c>
      <c r="C164" s="210">
        <f t="shared" si="58"/>
        <v>14809.22</v>
      </c>
      <c r="D164" s="210">
        <f t="shared" si="59"/>
        <v>29067.439999999999</v>
      </c>
      <c r="E164" s="210">
        <f t="shared" si="60"/>
        <v>43325.659999999996</v>
      </c>
      <c r="F164" s="210">
        <f t="shared" si="70"/>
        <v>57572.88</v>
      </c>
      <c r="G164" s="210">
        <f t="shared" si="61"/>
        <v>71797.099999999991</v>
      </c>
      <c r="H164" s="210">
        <f t="shared" si="62"/>
        <v>86021.319999999992</v>
      </c>
      <c r="I164" s="210">
        <f t="shared" si="63"/>
        <v>100245.54</v>
      </c>
      <c r="J164" s="210">
        <f t="shared" si="64"/>
        <v>114469.75999999999</v>
      </c>
      <c r="K164" s="210">
        <f t="shared" si="65"/>
        <v>127775.98</v>
      </c>
      <c r="L164" s="210">
        <f t="shared" si="66"/>
        <v>141082.20000000001</v>
      </c>
      <c r="M164" s="210">
        <f t="shared" si="67"/>
        <v>153677.42000000001</v>
      </c>
      <c r="N164" s="210">
        <f t="shared" si="68"/>
        <v>165555.64000000001</v>
      </c>
      <c r="O164" s="210">
        <f t="shared" si="69"/>
        <v>1105400.1600000001</v>
      </c>
      <c r="W164" s="453"/>
    </row>
    <row r="165" spans="1:23">
      <c r="A165" s="204">
        <f t="shared" si="56"/>
        <v>165</v>
      </c>
      <c r="B165" s="218" t="s">
        <v>188</v>
      </c>
      <c r="C165" s="210">
        <f t="shared" si="58"/>
        <v>0</v>
      </c>
      <c r="D165" s="210">
        <f t="shared" si="59"/>
        <v>0</v>
      </c>
      <c r="E165" s="210">
        <f t="shared" si="60"/>
        <v>0</v>
      </c>
      <c r="F165" s="210">
        <f t="shared" si="70"/>
        <v>0</v>
      </c>
      <c r="G165" s="210">
        <f t="shared" si="61"/>
        <v>0</v>
      </c>
      <c r="H165" s="210">
        <f t="shared" si="62"/>
        <v>0</v>
      </c>
      <c r="I165" s="210">
        <f t="shared" si="63"/>
        <v>0</v>
      </c>
      <c r="J165" s="210">
        <f t="shared" si="64"/>
        <v>0</v>
      </c>
      <c r="K165" s="210">
        <f t="shared" si="65"/>
        <v>0</v>
      </c>
      <c r="L165" s="210">
        <f t="shared" si="66"/>
        <v>0</v>
      </c>
      <c r="M165" s="210">
        <f t="shared" si="67"/>
        <v>0</v>
      </c>
      <c r="N165" s="210">
        <f t="shared" si="68"/>
        <v>0</v>
      </c>
      <c r="O165" s="210">
        <f>SUM(C165:N165)</f>
        <v>0</v>
      </c>
      <c r="W165" s="453"/>
    </row>
    <row r="166" spans="1:23">
      <c r="A166" s="204">
        <f t="shared" si="56"/>
        <v>166</v>
      </c>
      <c r="B166" s="218" t="s">
        <v>242</v>
      </c>
      <c r="C166" s="210">
        <f t="shared" si="58"/>
        <v>50059.83</v>
      </c>
      <c r="D166" s="210">
        <f t="shared" si="59"/>
        <v>96250.13</v>
      </c>
      <c r="E166" s="210">
        <f t="shared" si="60"/>
        <v>146479.37</v>
      </c>
      <c r="F166" s="210">
        <f t="shared" si="70"/>
        <v>195119.97</v>
      </c>
      <c r="G166" s="210">
        <f t="shared" si="61"/>
        <v>247851.18</v>
      </c>
      <c r="H166" s="210">
        <f t="shared" si="62"/>
        <v>298462.71999999997</v>
      </c>
      <c r="I166" s="210">
        <f t="shared" si="63"/>
        <v>353344.85</v>
      </c>
      <c r="J166" s="210">
        <f t="shared" si="64"/>
        <v>413157.11</v>
      </c>
      <c r="K166" s="210">
        <f t="shared" si="65"/>
        <v>469467.12</v>
      </c>
      <c r="L166" s="210">
        <f t="shared" si="66"/>
        <v>530934.29</v>
      </c>
      <c r="M166" s="210">
        <f t="shared" si="67"/>
        <v>588452.74</v>
      </c>
      <c r="N166" s="210">
        <f t="shared" si="68"/>
        <v>642935.86</v>
      </c>
      <c r="O166" s="210">
        <f>SUM(C166:N166)</f>
        <v>4032515.1699999995</v>
      </c>
      <c r="W166" s="453"/>
    </row>
    <row r="167" spans="1:23">
      <c r="A167" s="204">
        <f t="shared" si="56"/>
        <v>167</v>
      </c>
      <c r="B167" s="218" t="s">
        <v>190</v>
      </c>
      <c r="C167" s="210">
        <f t="shared" si="58"/>
        <v>86</v>
      </c>
      <c r="D167" s="210">
        <f t="shared" si="59"/>
        <v>201.98000000000002</v>
      </c>
      <c r="E167" s="210">
        <f t="shared" si="60"/>
        <v>240.99</v>
      </c>
      <c r="F167" s="210">
        <f t="shared" si="70"/>
        <v>281.99</v>
      </c>
      <c r="G167" s="210">
        <f t="shared" si="61"/>
        <v>291.99</v>
      </c>
      <c r="H167" s="210">
        <f t="shared" si="62"/>
        <v>299.99</v>
      </c>
      <c r="I167" s="210">
        <f t="shared" si="63"/>
        <v>310.39</v>
      </c>
      <c r="J167" s="210">
        <f t="shared" si="64"/>
        <v>327.39</v>
      </c>
      <c r="K167" s="210">
        <f t="shared" si="65"/>
        <v>330.51</v>
      </c>
      <c r="L167" s="210">
        <f t="shared" si="66"/>
        <v>871.51</v>
      </c>
      <c r="M167" s="210">
        <f t="shared" si="67"/>
        <v>871.51</v>
      </c>
      <c r="N167" s="210">
        <f t="shared" si="68"/>
        <v>929.51</v>
      </c>
      <c r="O167" s="210">
        <f t="shared" si="69"/>
        <v>5043.76</v>
      </c>
      <c r="W167" s="453"/>
    </row>
    <row r="168" spans="1:23">
      <c r="A168" s="204">
        <f t="shared" si="56"/>
        <v>168</v>
      </c>
      <c r="B168" s="218" t="s">
        <v>192</v>
      </c>
      <c r="C168" s="210">
        <f t="shared" si="58"/>
        <v>6115.7100000000019</v>
      </c>
      <c r="D168" s="210">
        <f t="shared" si="59"/>
        <v>11584.730000000003</v>
      </c>
      <c r="E168" s="210">
        <f t="shared" si="60"/>
        <v>15682.940000000002</v>
      </c>
      <c r="F168" s="210">
        <f t="shared" si="70"/>
        <v>20201.420000000002</v>
      </c>
      <c r="G168" s="210">
        <f t="shared" si="61"/>
        <v>23217.54</v>
      </c>
      <c r="H168" s="210">
        <f t="shared" si="62"/>
        <v>25476.34</v>
      </c>
      <c r="I168" s="210">
        <f t="shared" si="63"/>
        <v>26548.33</v>
      </c>
      <c r="J168" s="210">
        <f t="shared" si="64"/>
        <v>27653.33</v>
      </c>
      <c r="K168" s="210">
        <f t="shared" si="65"/>
        <v>28994.58</v>
      </c>
      <c r="L168" s="210">
        <f t="shared" si="66"/>
        <v>30064.920000000002</v>
      </c>
      <c r="M168" s="210">
        <f t="shared" si="67"/>
        <v>31841.360000000001</v>
      </c>
      <c r="N168" s="210">
        <f t="shared" si="68"/>
        <v>37682.68</v>
      </c>
      <c r="O168" s="210">
        <f t="shared" si="69"/>
        <v>285063.88</v>
      </c>
      <c r="W168" s="453"/>
    </row>
    <row r="169" spans="1:23">
      <c r="A169" s="204">
        <f t="shared" si="56"/>
        <v>169</v>
      </c>
      <c r="B169" s="218" t="s">
        <v>194</v>
      </c>
      <c r="C169" s="210">
        <f t="shared" si="58"/>
        <v>2310</v>
      </c>
      <c r="D169" s="210">
        <f t="shared" si="59"/>
        <v>4650.3899999999994</v>
      </c>
      <c r="E169" s="210">
        <f t="shared" si="60"/>
        <v>6822.11</v>
      </c>
      <c r="F169" s="210">
        <f t="shared" si="70"/>
        <v>9052.11</v>
      </c>
      <c r="G169" s="210">
        <f t="shared" si="61"/>
        <v>11285.11</v>
      </c>
      <c r="H169" s="210">
        <f t="shared" si="62"/>
        <v>13377.11</v>
      </c>
      <c r="I169" s="210">
        <f t="shared" si="63"/>
        <v>15005.11</v>
      </c>
      <c r="J169" s="210">
        <f t="shared" si="64"/>
        <v>16936.11</v>
      </c>
      <c r="K169" s="210">
        <f t="shared" si="65"/>
        <v>19133.11</v>
      </c>
      <c r="L169" s="210">
        <f t="shared" si="66"/>
        <v>21039.11</v>
      </c>
      <c r="M169" s="210">
        <f t="shared" si="67"/>
        <v>23389.11</v>
      </c>
      <c r="N169" s="210">
        <f t="shared" si="68"/>
        <v>25687.11</v>
      </c>
      <c r="O169" s="210">
        <f t="shared" si="69"/>
        <v>168686.49</v>
      </c>
      <c r="W169" s="453"/>
    </row>
    <row r="170" spans="1:23">
      <c r="A170" s="204">
        <f t="shared" si="56"/>
        <v>170</v>
      </c>
      <c r="B170" s="213" t="s">
        <v>107</v>
      </c>
      <c r="C170" s="210">
        <f t="shared" si="58"/>
        <v>8029.3300000000008</v>
      </c>
      <c r="D170" s="210">
        <f t="shared" si="59"/>
        <v>14916.03</v>
      </c>
      <c r="E170" s="210">
        <f t="shared" si="60"/>
        <v>22037.08</v>
      </c>
      <c r="F170" s="210">
        <f t="shared" si="70"/>
        <v>28989.980000000003</v>
      </c>
      <c r="G170" s="210">
        <f t="shared" si="61"/>
        <v>36529</v>
      </c>
      <c r="H170" s="210">
        <f t="shared" si="62"/>
        <v>43223.57</v>
      </c>
      <c r="I170" s="210">
        <f t="shared" si="63"/>
        <v>50288.57</v>
      </c>
      <c r="J170" s="210">
        <f t="shared" si="64"/>
        <v>56888.74</v>
      </c>
      <c r="K170" s="210">
        <f t="shared" si="65"/>
        <v>63446.899999999994</v>
      </c>
      <c r="L170" s="210">
        <f t="shared" si="66"/>
        <v>70585.899999999994</v>
      </c>
      <c r="M170" s="210">
        <f t="shared" si="67"/>
        <v>77765.31</v>
      </c>
      <c r="N170" s="210">
        <f t="shared" si="68"/>
        <v>85415.19</v>
      </c>
      <c r="O170" s="210">
        <f t="shared" si="69"/>
        <v>558115.6</v>
      </c>
      <c r="W170" s="453"/>
    </row>
    <row r="171" spans="1:23">
      <c r="A171" s="204">
        <f t="shared" si="56"/>
        <v>171</v>
      </c>
      <c r="B171" s="213" t="s">
        <v>108</v>
      </c>
      <c r="C171" s="210">
        <f t="shared" si="58"/>
        <v>341.84</v>
      </c>
      <c r="D171" s="210">
        <f t="shared" si="59"/>
        <v>616.26</v>
      </c>
      <c r="E171" s="210">
        <f t="shared" si="60"/>
        <v>911.58999999999992</v>
      </c>
      <c r="F171" s="210">
        <f t="shared" si="70"/>
        <v>1263.9899999999998</v>
      </c>
      <c r="G171" s="210">
        <f t="shared" si="61"/>
        <v>1558.9199999999998</v>
      </c>
      <c r="H171" s="210">
        <f t="shared" si="62"/>
        <v>1937.7799999999997</v>
      </c>
      <c r="I171" s="210">
        <f t="shared" si="63"/>
        <v>2202.7799999999997</v>
      </c>
      <c r="J171" s="210">
        <f t="shared" si="64"/>
        <v>2601.8399999999997</v>
      </c>
      <c r="K171" s="210">
        <f t="shared" si="65"/>
        <v>2923.87</v>
      </c>
      <c r="L171" s="210">
        <f t="shared" si="66"/>
        <v>3220.87</v>
      </c>
      <c r="M171" s="210">
        <f t="shared" si="67"/>
        <v>3410.6099999999997</v>
      </c>
      <c r="N171" s="210">
        <f t="shared" si="68"/>
        <v>3833.2299999999996</v>
      </c>
      <c r="O171" s="210">
        <f t="shared" si="69"/>
        <v>24823.579999999998</v>
      </c>
      <c r="W171" s="453"/>
    </row>
    <row r="172" spans="1:23">
      <c r="A172" s="204">
        <f t="shared" si="56"/>
        <v>172</v>
      </c>
      <c r="B172" s="224" t="s">
        <v>109</v>
      </c>
      <c r="C172" s="222">
        <f t="shared" si="58"/>
        <v>0</v>
      </c>
      <c r="D172" s="222">
        <f t="shared" si="59"/>
        <v>0</v>
      </c>
      <c r="E172" s="222">
        <f t="shared" si="60"/>
        <v>0</v>
      </c>
      <c r="F172" s="222">
        <f t="shared" si="70"/>
        <v>94116.83</v>
      </c>
      <c r="G172" s="222">
        <f t="shared" si="61"/>
        <v>204488.29</v>
      </c>
      <c r="H172" s="222">
        <f t="shared" si="62"/>
        <v>204488.29</v>
      </c>
      <c r="I172" s="222">
        <f t="shared" si="63"/>
        <v>204488.29</v>
      </c>
      <c r="J172" s="222">
        <f t="shared" si="64"/>
        <v>204488.29</v>
      </c>
      <c r="K172" s="222">
        <f t="shared" si="65"/>
        <v>204488.29</v>
      </c>
      <c r="L172" s="222">
        <f t="shared" si="66"/>
        <v>204488.29</v>
      </c>
      <c r="M172" s="222">
        <f t="shared" si="67"/>
        <v>204488.29</v>
      </c>
      <c r="N172" s="222">
        <f t="shared" si="68"/>
        <v>204488.29</v>
      </c>
      <c r="O172" s="222">
        <f t="shared" si="69"/>
        <v>1730023.1500000001</v>
      </c>
      <c r="W172" s="453"/>
    </row>
    <row r="173" spans="1:23">
      <c r="A173" s="204">
        <f t="shared" si="56"/>
        <v>173</v>
      </c>
      <c r="B173" s="225" t="s">
        <v>199</v>
      </c>
      <c r="C173" s="210">
        <f t="shared" ref="C173:N173" si="71">SUM(C136:C153)</f>
        <v>4385193.6099999994</v>
      </c>
      <c r="D173" s="210">
        <f t="shared" si="71"/>
        <v>8258892.5899999999</v>
      </c>
      <c r="E173" s="210">
        <f t="shared" si="71"/>
        <v>12325810.93</v>
      </c>
      <c r="F173" s="210">
        <f t="shared" si="71"/>
        <v>16240573.82</v>
      </c>
      <c r="G173" s="210">
        <f t="shared" si="71"/>
        <v>19928630.460000001</v>
      </c>
      <c r="H173" s="210">
        <f t="shared" si="71"/>
        <v>23616955.469999999</v>
      </c>
      <c r="I173" s="210">
        <f t="shared" si="71"/>
        <v>27321633.510000002</v>
      </c>
      <c r="J173" s="210">
        <f t="shared" si="71"/>
        <v>31288161.930000003</v>
      </c>
      <c r="K173" s="210">
        <f t="shared" si="71"/>
        <v>35171429.939999998</v>
      </c>
      <c r="L173" s="210">
        <f t="shared" si="71"/>
        <v>39070293.359999999</v>
      </c>
      <c r="M173" s="210">
        <f t="shared" si="71"/>
        <v>43067858.840000004</v>
      </c>
      <c r="N173" s="210">
        <f t="shared" si="71"/>
        <v>47065425.430000007</v>
      </c>
      <c r="O173" s="210">
        <f t="shared" si="69"/>
        <v>307740859.88999999</v>
      </c>
      <c r="W173" s="453"/>
    </row>
    <row r="174" spans="1:23">
      <c r="A174" s="204">
        <f t="shared" si="56"/>
        <v>174</v>
      </c>
      <c r="B174" s="223" t="s">
        <v>200</v>
      </c>
      <c r="W174" s="453"/>
    </row>
    <row r="175" spans="1:23">
      <c r="A175" s="204">
        <f t="shared" si="56"/>
        <v>175</v>
      </c>
      <c r="B175" s="213" t="s">
        <v>114</v>
      </c>
      <c r="C175" s="210">
        <f t="shared" ref="C175:C181" si="72">+C64</f>
        <v>0</v>
      </c>
      <c r="D175" s="210">
        <f t="shared" ref="D175:D181" si="73">SUM(C64:D64)</f>
        <v>0</v>
      </c>
      <c r="E175" s="210">
        <f t="shared" ref="E175:E181" si="74">SUM(C64:E64)</f>
        <v>0</v>
      </c>
      <c r="F175" s="210">
        <f t="shared" ref="F175:F181" si="75">SUM(C64:F64)</f>
        <v>0</v>
      </c>
      <c r="G175" s="210">
        <f t="shared" ref="G175:G181" si="76">SUM(C64:G64)</f>
        <v>0</v>
      </c>
      <c r="H175" s="210">
        <f t="shared" ref="H175:H181" si="77">SUM(C64:H64)</f>
        <v>0</v>
      </c>
      <c r="I175" s="210">
        <f t="shared" ref="I175:I181" si="78">SUM(C64:I64)</f>
        <v>0</v>
      </c>
      <c r="J175" s="210">
        <f t="shared" ref="J175:J181" si="79">SUM(C64:J64)</f>
        <v>0</v>
      </c>
      <c r="K175" s="210">
        <f t="shared" ref="K175:K181" si="80">SUM(C64:K64)</f>
        <v>0</v>
      </c>
      <c r="L175" s="210">
        <f t="shared" ref="L175:L181" si="81">SUM(C64:L64)</f>
        <v>0</v>
      </c>
      <c r="M175" s="210">
        <f t="shared" ref="M175:M181" si="82">SUM(C64:M64)</f>
        <v>0</v>
      </c>
      <c r="N175" s="210">
        <f t="shared" ref="N175:N181" si="83">SUM(C64:N64)</f>
        <v>0</v>
      </c>
      <c r="O175" s="210">
        <f t="shared" ref="O175:O182" si="84">SUM(C175:N175)</f>
        <v>0</v>
      </c>
      <c r="W175" s="453"/>
    </row>
    <row r="176" spans="1:23">
      <c r="A176" s="204">
        <f t="shared" si="56"/>
        <v>176</v>
      </c>
      <c r="B176" s="213" t="s">
        <v>115</v>
      </c>
      <c r="C176" s="210">
        <f t="shared" si="72"/>
        <v>2.0699999999999998</v>
      </c>
      <c r="D176" s="210">
        <f t="shared" si="73"/>
        <v>4.1399999999999997</v>
      </c>
      <c r="E176" s="210">
        <f t="shared" si="74"/>
        <v>5.17</v>
      </c>
      <c r="F176" s="210">
        <f t="shared" si="75"/>
        <v>6.2</v>
      </c>
      <c r="G176" s="210">
        <f t="shared" si="76"/>
        <v>7.23</v>
      </c>
      <c r="H176" s="210">
        <f t="shared" si="77"/>
        <v>8.26</v>
      </c>
      <c r="I176" s="210">
        <f t="shared" si="78"/>
        <v>9.26</v>
      </c>
      <c r="J176" s="210">
        <f t="shared" si="79"/>
        <v>9.26</v>
      </c>
      <c r="K176" s="210">
        <f t="shared" si="80"/>
        <v>10.29</v>
      </c>
      <c r="L176" s="210">
        <f t="shared" si="81"/>
        <v>12.36</v>
      </c>
      <c r="M176" s="210">
        <f t="shared" si="82"/>
        <v>14.43</v>
      </c>
      <c r="N176" s="210">
        <f t="shared" si="83"/>
        <v>16.509999999999998</v>
      </c>
      <c r="O176" s="210">
        <f t="shared" si="84"/>
        <v>105.17999999999998</v>
      </c>
      <c r="W176" s="453"/>
    </row>
    <row r="177" spans="1:23">
      <c r="A177" s="204">
        <f t="shared" si="56"/>
        <v>177</v>
      </c>
      <c r="B177" s="213" t="s">
        <v>116</v>
      </c>
      <c r="C177" s="210">
        <f t="shared" si="72"/>
        <v>389.46</v>
      </c>
      <c r="D177" s="210">
        <f t="shared" si="73"/>
        <v>548.79999999999995</v>
      </c>
      <c r="E177" s="210">
        <f t="shared" si="74"/>
        <v>713.88</v>
      </c>
      <c r="F177" s="210">
        <f t="shared" si="75"/>
        <v>879.23</v>
      </c>
      <c r="G177" s="210">
        <f t="shared" si="76"/>
        <v>1550.42</v>
      </c>
      <c r="H177" s="210">
        <f t="shared" si="77"/>
        <v>1913.0500000000002</v>
      </c>
      <c r="I177" s="210">
        <f t="shared" si="78"/>
        <v>2324.0500000000002</v>
      </c>
      <c r="J177" s="210">
        <f t="shared" si="79"/>
        <v>2755.53</v>
      </c>
      <c r="K177" s="210">
        <f t="shared" si="80"/>
        <v>3216.53</v>
      </c>
      <c r="L177" s="210">
        <f t="shared" si="81"/>
        <v>3634.6800000000003</v>
      </c>
      <c r="M177" s="210">
        <f t="shared" si="82"/>
        <v>4112.0300000000007</v>
      </c>
      <c r="N177" s="210">
        <f t="shared" si="83"/>
        <v>4718.8100000000004</v>
      </c>
      <c r="O177" s="210">
        <f t="shared" si="84"/>
        <v>26756.470000000005</v>
      </c>
      <c r="W177" s="453"/>
    </row>
    <row r="178" spans="1:23">
      <c r="A178" s="204">
        <f t="shared" si="56"/>
        <v>178</v>
      </c>
      <c r="B178" s="213" t="s">
        <v>117</v>
      </c>
      <c r="C178" s="210">
        <f t="shared" si="72"/>
        <v>241.44</v>
      </c>
      <c r="D178" s="210">
        <f t="shared" si="73"/>
        <v>499.63</v>
      </c>
      <c r="E178" s="210">
        <f t="shared" si="74"/>
        <v>753.68000000000006</v>
      </c>
      <c r="F178" s="210">
        <f t="shared" si="75"/>
        <v>964.53000000000009</v>
      </c>
      <c r="G178" s="210">
        <f t="shared" si="76"/>
        <v>1152.0700000000002</v>
      </c>
      <c r="H178" s="210">
        <f t="shared" si="77"/>
        <v>1352.13</v>
      </c>
      <c r="I178" s="210">
        <f t="shared" si="78"/>
        <v>1533.13</v>
      </c>
      <c r="J178" s="210">
        <f t="shared" si="79"/>
        <v>1711.25</v>
      </c>
      <c r="K178" s="210">
        <f t="shared" si="80"/>
        <v>2137.25</v>
      </c>
      <c r="L178" s="210">
        <f t="shared" si="81"/>
        <v>2484.86</v>
      </c>
      <c r="M178" s="210">
        <f t="shared" si="82"/>
        <v>2821.33</v>
      </c>
      <c r="N178" s="210">
        <f t="shared" si="83"/>
        <v>3246.5299999999997</v>
      </c>
      <c r="O178" s="210">
        <f t="shared" si="84"/>
        <v>18897.830000000002</v>
      </c>
      <c r="W178" s="453"/>
    </row>
    <row r="179" spans="1:23">
      <c r="A179" s="204">
        <f t="shared" si="56"/>
        <v>179</v>
      </c>
      <c r="B179" s="213" t="s">
        <v>118</v>
      </c>
      <c r="C179" s="210">
        <f t="shared" si="72"/>
        <v>1180.19</v>
      </c>
      <c r="D179" s="210">
        <f t="shared" si="73"/>
        <v>2561.9899999999998</v>
      </c>
      <c r="E179" s="210">
        <f t="shared" si="74"/>
        <v>3788.8399999999997</v>
      </c>
      <c r="F179" s="210">
        <f t="shared" si="75"/>
        <v>5356.66</v>
      </c>
      <c r="G179" s="210">
        <f t="shared" si="76"/>
        <v>6550.46</v>
      </c>
      <c r="H179" s="210">
        <f t="shared" si="77"/>
        <v>7740.87</v>
      </c>
      <c r="I179" s="210">
        <f t="shared" si="78"/>
        <v>8843.869999999999</v>
      </c>
      <c r="J179" s="210">
        <f t="shared" si="79"/>
        <v>10035.579999999998</v>
      </c>
      <c r="K179" s="210">
        <f t="shared" si="80"/>
        <v>11269.579999999998</v>
      </c>
      <c r="L179" s="210">
        <f t="shared" si="81"/>
        <v>12467.549999999997</v>
      </c>
      <c r="M179" s="210">
        <f t="shared" si="82"/>
        <v>14276.019999999997</v>
      </c>
      <c r="N179" s="210">
        <f t="shared" si="83"/>
        <v>15985.819999999996</v>
      </c>
      <c r="O179" s="210">
        <f t="shared" si="84"/>
        <v>100057.42999999998</v>
      </c>
      <c r="W179" s="453"/>
    </row>
    <row r="180" spans="1:23">
      <c r="A180" s="204">
        <f t="shared" si="56"/>
        <v>180</v>
      </c>
      <c r="B180" s="218" t="s">
        <v>119</v>
      </c>
      <c r="C180" s="210">
        <f t="shared" si="72"/>
        <v>4420.2299999999996</v>
      </c>
      <c r="D180" s="210">
        <f t="shared" si="73"/>
        <v>8876.5400000000009</v>
      </c>
      <c r="E180" s="210">
        <f t="shared" si="74"/>
        <v>13249.850000000002</v>
      </c>
      <c r="F180" s="210">
        <f t="shared" si="75"/>
        <v>18779.030000000002</v>
      </c>
      <c r="G180" s="210">
        <f t="shared" si="76"/>
        <v>23372.320000000003</v>
      </c>
      <c r="H180" s="210">
        <f t="shared" si="77"/>
        <v>28404.070000000003</v>
      </c>
      <c r="I180" s="210">
        <f t="shared" si="78"/>
        <v>33002.070000000007</v>
      </c>
      <c r="J180" s="210">
        <f t="shared" si="79"/>
        <v>37928.420000000006</v>
      </c>
      <c r="K180" s="210">
        <f t="shared" si="80"/>
        <v>42774.420000000006</v>
      </c>
      <c r="L180" s="210">
        <f t="shared" si="81"/>
        <v>47128.280000000006</v>
      </c>
      <c r="M180" s="210">
        <f t="shared" si="82"/>
        <v>52487.790000000008</v>
      </c>
      <c r="N180" s="210">
        <f t="shared" si="83"/>
        <v>56829.820000000007</v>
      </c>
      <c r="O180" s="210">
        <f t="shared" si="84"/>
        <v>367252.84</v>
      </c>
      <c r="W180" s="453"/>
    </row>
    <row r="181" spans="1:23">
      <c r="A181" s="204">
        <f t="shared" si="56"/>
        <v>181</v>
      </c>
      <c r="B181" s="224" t="s">
        <v>120</v>
      </c>
      <c r="C181" s="222">
        <f t="shared" si="72"/>
        <v>4915.22</v>
      </c>
      <c r="D181" s="222">
        <f t="shared" si="73"/>
        <v>9992.2400000000016</v>
      </c>
      <c r="E181" s="222">
        <f t="shared" si="74"/>
        <v>15017.640000000001</v>
      </c>
      <c r="F181" s="222">
        <f t="shared" si="75"/>
        <v>19583.18</v>
      </c>
      <c r="G181" s="222">
        <f t="shared" si="76"/>
        <v>23457.279999999999</v>
      </c>
      <c r="H181" s="222">
        <f t="shared" si="77"/>
        <v>27619.54</v>
      </c>
      <c r="I181" s="222">
        <f t="shared" si="78"/>
        <v>31250.54</v>
      </c>
      <c r="J181" s="222">
        <f t="shared" si="79"/>
        <v>35095.270000000004</v>
      </c>
      <c r="K181" s="222">
        <f t="shared" si="80"/>
        <v>39100.270000000004</v>
      </c>
      <c r="L181" s="222">
        <f t="shared" si="81"/>
        <v>42661.8</v>
      </c>
      <c r="M181" s="222">
        <f t="shared" si="82"/>
        <v>46992.600000000006</v>
      </c>
      <c r="N181" s="222">
        <f t="shared" si="83"/>
        <v>51052.000000000007</v>
      </c>
      <c r="O181" s="222">
        <f t="shared" si="84"/>
        <v>346737.58000000007</v>
      </c>
      <c r="W181" s="453"/>
    </row>
    <row r="182" spans="1:23">
      <c r="A182" s="204">
        <f t="shared" si="56"/>
        <v>182</v>
      </c>
      <c r="B182" s="225" t="s">
        <v>202</v>
      </c>
      <c r="C182" s="210">
        <f t="shared" ref="C182:N182" si="85">SUM(C175:C181)</f>
        <v>11148.61</v>
      </c>
      <c r="D182" s="210">
        <f t="shared" si="85"/>
        <v>22483.340000000004</v>
      </c>
      <c r="E182" s="210">
        <f t="shared" si="85"/>
        <v>33529.060000000005</v>
      </c>
      <c r="F182" s="210">
        <f t="shared" si="85"/>
        <v>45568.83</v>
      </c>
      <c r="G182" s="210">
        <f t="shared" si="85"/>
        <v>56089.78</v>
      </c>
      <c r="H182" s="210">
        <f t="shared" si="85"/>
        <v>67037.920000000013</v>
      </c>
      <c r="I182" s="210">
        <f t="shared" si="85"/>
        <v>76962.920000000013</v>
      </c>
      <c r="J182" s="210">
        <f t="shared" si="85"/>
        <v>87535.310000000012</v>
      </c>
      <c r="K182" s="210">
        <f t="shared" si="85"/>
        <v>98508.340000000011</v>
      </c>
      <c r="L182" s="210">
        <f t="shared" si="85"/>
        <v>108389.53000000001</v>
      </c>
      <c r="M182" s="210">
        <f t="shared" si="85"/>
        <v>120704.20000000001</v>
      </c>
      <c r="N182" s="210">
        <f t="shared" si="85"/>
        <v>131849.49000000002</v>
      </c>
      <c r="O182" s="210">
        <f t="shared" si="84"/>
        <v>859807.33000000007</v>
      </c>
      <c r="W182" s="453"/>
    </row>
    <row r="183" spans="1:23">
      <c r="A183" s="204">
        <f t="shared" si="56"/>
        <v>183</v>
      </c>
      <c r="B183" s="223" t="s">
        <v>203</v>
      </c>
      <c r="W183" s="453"/>
    </row>
    <row r="184" spans="1:23">
      <c r="A184" s="204">
        <f t="shared" si="56"/>
        <v>184</v>
      </c>
      <c r="B184" s="202" t="s">
        <v>204</v>
      </c>
      <c r="C184" s="210">
        <f t="shared" ref="C184:C192" si="86">+C73</f>
        <v>208530</v>
      </c>
      <c r="D184" s="210">
        <f t="shared" ref="D184:D192" si="87">SUM(C73:D73)</f>
        <v>340114</v>
      </c>
      <c r="E184" s="210">
        <f t="shared" ref="E184:E192" si="88">SUM(C73:E73)</f>
        <v>526033.98</v>
      </c>
      <c r="F184" s="210">
        <f t="shared" ref="F184:F192" si="89">SUM(C73:F73)</f>
        <v>1025807.3</v>
      </c>
      <c r="G184" s="210">
        <f t="shared" ref="G184:G192" si="90">SUM(C73:G73)</f>
        <v>1205192.3</v>
      </c>
      <c r="H184" s="210">
        <f t="shared" ref="H184:H192" si="91">SUM(C73:H73)</f>
        <v>1257034.94</v>
      </c>
      <c r="I184" s="210">
        <f t="shared" ref="I184:I192" si="92">SUM(C73:I73)</f>
        <v>1307208.94</v>
      </c>
      <c r="J184" s="210">
        <f t="shared" ref="J184:J192" si="93">SUM(C73:J73)</f>
        <v>1404702.94</v>
      </c>
      <c r="K184" s="210">
        <f t="shared" ref="K184:K192" si="94">SUM(C73:K73)</f>
        <v>1537147.94</v>
      </c>
      <c r="L184" s="210">
        <f t="shared" ref="L184:L192" si="95">SUM(C73:L73)</f>
        <v>1688319.94</v>
      </c>
      <c r="M184" s="210">
        <f t="shared" ref="M184:M192" si="96">SUM(C73:M73)</f>
        <v>1808721.94</v>
      </c>
      <c r="N184" s="210">
        <f t="shared" ref="N184:N192" si="97">SUM(C73:N73)</f>
        <v>1871329.94</v>
      </c>
      <c r="O184" s="210">
        <f t="shared" ref="O184:O193" si="98">SUM(C184:N184)</f>
        <v>14180144.159999996</v>
      </c>
      <c r="W184" s="453"/>
    </row>
    <row r="185" spans="1:23">
      <c r="A185" s="204">
        <f t="shared" si="56"/>
        <v>185</v>
      </c>
      <c r="B185" s="202" t="s">
        <v>206</v>
      </c>
      <c r="C185" s="210">
        <f t="shared" si="86"/>
        <v>24757.61</v>
      </c>
      <c r="D185" s="210">
        <f t="shared" si="87"/>
        <v>40207.370000000003</v>
      </c>
      <c r="E185" s="210">
        <f t="shared" si="88"/>
        <v>79940.91</v>
      </c>
      <c r="F185" s="210">
        <f t="shared" si="89"/>
        <v>40963.130000000005</v>
      </c>
      <c r="G185" s="210">
        <f t="shared" si="90"/>
        <v>108587.57</v>
      </c>
      <c r="H185" s="210">
        <f t="shared" si="91"/>
        <v>119398.38</v>
      </c>
      <c r="I185" s="210">
        <f t="shared" si="92"/>
        <v>130558.64</v>
      </c>
      <c r="J185" s="210">
        <f t="shared" si="93"/>
        <v>141552.76999999999</v>
      </c>
      <c r="K185" s="210">
        <f t="shared" si="94"/>
        <v>151970.38999999998</v>
      </c>
      <c r="L185" s="210">
        <f t="shared" si="95"/>
        <v>164324.87</v>
      </c>
      <c r="M185" s="210">
        <f t="shared" si="96"/>
        <v>186009.45</v>
      </c>
      <c r="N185" s="210">
        <f t="shared" si="97"/>
        <v>213036.45</v>
      </c>
      <c r="O185" s="210">
        <f t="shared" si="98"/>
        <v>1401307.54</v>
      </c>
      <c r="W185" s="453"/>
    </row>
    <row r="186" spans="1:23">
      <c r="A186" s="204">
        <f t="shared" si="56"/>
        <v>186</v>
      </c>
      <c r="B186" s="202" t="s">
        <v>207</v>
      </c>
      <c r="C186" s="210">
        <f t="shared" si="86"/>
        <v>1736944.02</v>
      </c>
      <c r="D186" s="210">
        <f t="shared" si="87"/>
        <v>3354157.02</v>
      </c>
      <c r="E186" s="210">
        <f t="shared" si="88"/>
        <v>5146052.3100000005</v>
      </c>
      <c r="F186" s="210">
        <f>SUM(C75:F75)</f>
        <v>5666401.5200000005</v>
      </c>
      <c r="G186" s="210">
        <f t="shared" si="90"/>
        <v>6762850.4600000009</v>
      </c>
      <c r="H186" s="210">
        <f t="shared" si="91"/>
        <v>8495007.6900000013</v>
      </c>
      <c r="I186" s="210">
        <f t="shared" si="92"/>
        <v>10039077.460000001</v>
      </c>
      <c r="J186" s="210">
        <f t="shared" si="93"/>
        <v>12079265.600000001</v>
      </c>
      <c r="K186" s="210">
        <f t="shared" si="94"/>
        <v>13810994.580000002</v>
      </c>
      <c r="L186" s="210">
        <f t="shared" si="95"/>
        <v>15601440.620000001</v>
      </c>
      <c r="M186" s="210">
        <f t="shared" si="96"/>
        <v>17336372.780000001</v>
      </c>
      <c r="N186" s="210">
        <f t="shared" si="97"/>
        <v>19131858.490000002</v>
      </c>
      <c r="O186" s="210">
        <f t="shared" si="98"/>
        <v>119160422.55000001</v>
      </c>
      <c r="W186" s="453"/>
    </row>
    <row r="187" spans="1:23">
      <c r="A187" s="204">
        <f t="shared" si="56"/>
        <v>187</v>
      </c>
      <c r="B187" s="202" t="s">
        <v>208</v>
      </c>
      <c r="C187" s="210">
        <f t="shared" si="86"/>
        <v>877230.35</v>
      </c>
      <c r="D187" s="210">
        <f t="shared" si="87"/>
        <v>1164959.97</v>
      </c>
      <c r="E187" s="210">
        <f t="shared" si="88"/>
        <v>1919510.12</v>
      </c>
      <c r="F187" s="210">
        <f t="shared" si="89"/>
        <v>2799030.22</v>
      </c>
      <c r="G187" s="210">
        <f t="shared" si="90"/>
        <v>3669410.3000000003</v>
      </c>
      <c r="H187" s="210">
        <f t="shared" si="91"/>
        <v>4315869.53</v>
      </c>
      <c r="I187" s="210">
        <f t="shared" si="92"/>
        <v>4700139.99</v>
      </c>
      <c r="J187" s="210">
        <f t="shared" si="93"/>
        <v>5148779.84</v>
      </c>
      <c r="K187" s="210">
        <f t="shared" si="94"/>
        <v>5950699.3300000001</v>
      </c>
      <c r="L187" s="210">
        <f t="shared" si="95"/>
        <v>6629889.2000000002</v>
      </c>
      <c r="M187" s="210">
        <f t="shared" si="96"/>
        <v>7420808.8200000003</v>
      </c>
      <c r="N187" s="210">
        <f t="shared" si="97"/>
        <v>8090329.2400000002</v>
      </c>
      <c r="O187" s="210">
        <f t="shared" si="98"/>
        <v>52686656.910000011</v>
      </c>
      <c r="W187" s="453"/>
    </row>
    <row r="188" spans="1:23">
      <c r="A188" s="204">
        <f t="shared" si="56"/>
        <v>188</v>
      </c>
      <c r="B188" s="202" t="s">
        <v>209</v>
      </c>
      <c r="C188" s="210">
        <f t="shared" si="86"/>
        <v>0</v>
      </c>
      <c r="D188" s="210">
        <f t="shared" si="87"/>
        <v>60.39</v>
      </c>
      <c r="E188" s="210">
        <f t="shared" si="88"/>
        <v>60.39</v>
      </c>
      <c r="F188" s="210">
        <f t="shared" si="89"/>
        <v>180.39</v>
      </c>
      <c r="G188" s="210">
        <f t="shared" si="90"/>
        <v>300.03999999999996</v>
      </c>
      <c r="H188" s="210">
        <f t="shared" si="91"/>
        <v>620.04</v>
      </c>
      <c r="I188" s="210">
        <f t="shared" si="92"/>
        <v>340.03999999999996</v>
      </c>
      <c r="J188" s="210">
        <f t="shared" si="93"/>
        <v>344.03999999999996</v>
      </c>
      <c r="K188" s="210">
        <f t="shared" si="94"/>
        <v>344.03999999999996</v>
      </c>
      <c r="L188" s="210">
        <f t="shared" si="95"/>
        <v>344.03999999999996</v>
      </c>
      <c r="M188" s="210">
        <f t="shared" si="96"/>
        <v>344.03999999999996</v>
      </c>
      <c r="N188" s="210">
        <f t="shared" si="97"/>
        <v>348.03999999999996</v>
      </c>
      <c r="O188" s="210">
        <f t="shared" si="98"/>
        <v>3285.49</v>
      </c>
      <c r="W188" s="453"/>
    </row>
    <row r="189" spans="1:23">
      <c r="A189" s="204">
        <f t="shared" si="56"/>
        <v>189</v>
      </c>
      <c r="B189" s="202" t="s">
        <v>210</v>
      </c>
      <c r="C189" s="210">
        <f t="shared" si="86"/>
        <v>761726</v>
      </c>
      <c r="D189" s="210">
        <f t="shared" si="87"/>
        <v>1616220.6600000001</v>
      </c>
      <c r="E189" s="210">
        <f t="shared" si="88"/>
        <v>2562121.66</v>
      </c>
      <c r="F189" s="210">
        <f t="shared" si="89"/>
        <v>3504620.43</v>
      </c>
      <c r="G189" s="210">
        <f t="shared" si="90"/>
        <v>4421875.96</v>
      </c>
      <c r="H189" s="210">
        <f t="shared" si="91"/>
        <v>5418603.1500000004</v>
      </c>
      <c r="I189" s="210">
        <f t="shared" si="92"/>
        <v>6161026.9000000004</v>
      </c>
      <c r="J189" s="210">
        <f t="shared" si="93"/>
        <v>7009835.9000000004</v>
      </c>
      <c r="K189" s="210">
        <f t="shared" si="94"/>
        <v>7701984.7200000007</v>
      </c>
      <c r="L189" s="210">
        <f t="shared" si="95"/>
        <v>8415491.8200000003</v>
      </c>
      <c r="M189" s="210">
        <f t="shared" si="96"/>
        <v>9352732.5899999999</v>
      </c>
      <c r="N189" s="210">
        <f t="shared" si="97"/>
        <v>10157084.57</v>
      </c>
      <c r="O189" s="210">
        <f>SUM(C189:N189)</f>
        <v>67083324.359999992</v>
      </c>
      <c r="W189" s="453"/>
    </row>
    <row r="190" spans="1:23">
      <c r="A190" s="204">
        <f t="shared" si="56"/>
        <v>190</v>
      </c>
      <c r="B190" s="202" t="s">
        <v>211</v>
      </c>
      <c r="C190" s="210">
        <f t="shared" si="86"/>
        <v>399708.82</v>
      </c>
      <c r="D190" s="210">
        <f t="shared" si="87"/>
        <v>485952.78</v>
      </c>
      <c r="E190" s="210">
        <f t="shared" si="88"/>
        <v>1040546.55</v>
      </c>
      <c r="F190" s="210">
        <f t="shared" si="89"/>
        <v>1536752.87</v>
      </c>
      <c r="G190" s="210">
        <f t="shared" si="90"/>
        <v>1692794.3900000001</v>
      </c>
      <c r="H190" s="210">
        <f t="shared" si="91"/>
        <v>1755710.1300000001</v>
      </c>
      <c r="I190" s="210">
        <f t="shared" si="92"/>
        <v>1825285.1400000001</v>
      </c>
      <c r="J190" s="210">
        <f t="shared" si="93"/>
        <v>1928921.1400000001</v>
      </c>
      <c r="K190" s="210">
        <f t="shared" si="94"/>
        <v>2001314.6</v>
      </c>
      <c r="L190" s="210">
        <f t="shared" si="95"/>
        <v>2027446.34</v>
      </c>
      <c r="M190" s="210">
        <f t="shared" si="96"/>
        <v>2136348.91</v>
      </c>
      <c r="N190" s="210">
        <f t="shared" si="97"/>
        <v>2651516.29</v>
      </c>
      <c r="O190" s="210">
        <f t="shared" si="98"/>
        <v>19482297.960000001</v>
      </c>
      <c r="W190" s="453"/>
    </row>
    <row r="191" spans="1:23">
      <c r="A191" s="204">
        <f t="shared" si="56"/>
        <v>191</v>
      </c>
      <c r="B191" s="202" t="s">
        <v>212</v>
      </c>
      <c r="C191" s="210">
        <f t="shared" si="86"/>
        <v>0</v>
      </c>
      <c r="D191" s="210">
        <f t="shared" si="87"/>
        <v>0</v>
      </c>
      <c r="E191" s="210">
        <f t="shared" si="88"/>
        <v>0</v>
      </c>
      <c r="F191" s="210">
        <f t="shared" si="89"/>
        <v>0</v>
      </c>
      <c r="G191" s="210">
        <f t="shared" si="90"/>
        <v>0</v>
      </c>
      <c r="H191" s="210">
        <f t="shared" si="91"/>
        <v>0</v>
      </c>
      <c r="I191" s="210">
        <f t="shared" si="92"/>
        <v>0</v>
      </c>
      <c r="J191" s="210">
        <f t="shared" si="93"/>
        <v>0</v>
      </c>
      <c r="K191" s="210">
        <f t="shared" si="94"/>
        <v>0</v>
      </c>
      <c r="L191" s="210">
        <f t="shared" si="95"/>
        <v>0</v>
      </c>
      <c r="M191" s="210">
        <f t="shared" si="96"/>
        <v>0</v>
      </c>
      <c r="N191" s="210">
        <f t="shared" si="97"/>
        <v>0</v>
      </c>
      <c r="O191" s="210">
        <f t="shared" si="98"/>
        <v>0</v>
      </c>
      <c r="W191" s="453"/>
    </row>
    <row r="192" spans="1:23">
      <c r="A192" s="204">
        <f t="shared" si="56"/>
        <v>192</v>
      </c>
      <c r="B192" s="226" t="s">
        <v>214</v>
      </c>
      <c r="C192" s="222">
        <f t="shared" si="86"/>
        <v>3421052.92</v>
      </c>
      <c r="D192" s="222">
        <f t="shared" si="87"/>
        <v>6459862.3300000001</v>
      </c>
      <c r="E192" s="222">
        <f t="shared" si="88"/>
        <v>9718483.4600000009</v>
      </c>
      <c r="F192" s="222">
        <f t="shared" si="89"/>
        <v>12708631.510000002</v>
      </c>
      <c r="G192" s="222">
        <f t="shared" si="90"/>
        <v>15854253.190000001</v>
      </c>
      <c r="H192" s="222">
        <f t="shared" si="91"/>
        <v>18901620.760000002</v>
      </c>
      <c r="I192" s="222">
        <f t="shared" si="92"/>
        <v>21919459.440000001</v>
      </c>
      <c r="J192" s="222">
        <f t="shared" si="93"/>
        <v>25071095.120000001</v>
      </c>
      <c r="K192" s="222">
        <f t="shared" si="94"/>
        <v>28158394.120000001</v>
      </c>
      <c r="L192" s="222">
        <f t="shared" si="95"/>
        <v>29933293.150000002</v>
      </c>
      <c r="M192" s="222">
        <f t="shared" si="96"/>
        <v>32533363.470000003</v>
      </c>
      <c r="N192" s="222">
        <f t="shared" si="97"/>
        <v>35115856.710000001</v>
      </c>
      <c r="O192" s="222">
        <f t="shared" si="98"/>
        <v>239795366.18000001</v>
      </c>
      <c r="W192" s="453"/>
    </row>
    <row r="193" spans="1:23">
      <c r="A193" s="204">
        <f t="shared" si="56"/>
        <v>193</v>
      </c>
      <c r="B193" s="225" t="s">
        <v>221</v>
      </c>
      <c r="C193" s="210">
        <f t="shared" ref="C193:N193" si="99">SUM(C184:C192)</f>
        <v>7429949.7199999997</v>
      </c>
      <c r="D193" s="210">
        <f t="shared" si="99"/>
        <v>13461534.52</v>
      </c>
      <c r="E193" s="210">
        <f t="shared" si="99"/>
        <v>20992749.380000003</v>
      </c>
      <c r="F193" s="210">
        <f t="shared" si="99"/>
        <v>27282387.370000005</v>
      </c>
      <c r="G193" s="210">
        <f t="shared" si="99"/>
        <v>33715264.210000001</v>
      </c>
      <c r="H193" s="210">
        <f t="shared" si="99"/>
        <v>40263864.620000005</v>
      </c>
      <c r="I193" s="210">
        <f t="shared" si="99"/>
        <v>46083096.549999997</v>
      </c>
      <c r="J193" s="210">
        <f t="shared" si="99"/>
        <v>52784497.350000009</v>
      </c>
      <c r="K193" s="210">
        <f t="shared" si="99"/>
        <v>59312849.719999999</v>
      </c>
      <c r="L193" s="210">
        <f t="shared" si="99"/>
        <v>64460549.980000004</v>
      </c>
      <c r="M193" s="210">
        <f t="shared" si="99"/>
        <v>70774702</v>
      </c>
      <c r="N193" s="210">
        <f t="shared" si="99"/>
        <v>77231359.730000004</v>
      </c>
      <c r="O193" s="210">
        <f t="shared" si="98"/>
        <v>513792805.1500001</v>
      </c>
      <c r="W193" s="453"/>
    </row>
    <row r="194" spans="1:23">
      <c r="A194" s="204">
        <f t="shared" si="56"/>
        <v>194</v>
      </c>
      <c r="B194" s="223" t="s">
        <v>222</v>
      </c>
      <c r="W194" s="453"/>
    </row>
    <row r="195" spans="1:23">
      <c r="A195" s="204">
        <f t="shared" ref="A195:A217" si="100">+A194+1</f>
        <v>195</v>
      </c>
      <c r="B195" s="226" t="s">
        <v>214</v>
      </c>
      <c r="C195" s="210">
        <f>+C89</f>
        <v>0</v>
      </c>
      <c r="D195" s="210">
        <f>SUM(C89:D89)</f>
        <v>0</v>
      </c>
      <c r="E195" s="210">
        <f>SUM(C89:E89)</f>
        <v>0</v>
      </c>
      <c r="F195" s="210">
        <f>SUM(C89:F89)</f>
        <v>0</v>
      </c>
      <c r="G195" s="210">
        <f>SUM(C89:G89)</f>
        <v>0</v>
      </c>
      <c r="H195" s="210">
        <f>SUM(C89:H89)</f>
        <v>0</v>
      </c>
      <c r="I195" s="210">
        <f>SUM(C89:I89)</f>
        <v>0</v>
      </c>
      <c r="J195" s="210">
        <f>SUM(C89:J89)</f>
        <v>0</v>
      </c>
      <c r="K195" s="210">
        <f>SUM(C89:K89)</f>
        <v>0</v>
      </c>
      <c r="L195" s="210">
        <f>SUM(C89:L89)</f>
        <v>0</v>
      </c>
      <c r="M195" s="210">
        <f>SUM(C89:M89)</f>
        <v>0</v>
      </c>
      <c r="N195" s="210">
        <f>SUM(C89:N89)</f>
        <v>0</v>
      </c>
      <c r="O195" s="210">
        <f>SUM(C195:N195)</f>
        <v>0</v>
      </c>
      <c r="W195" s="453"/>
    </row>
    <row r="196" spans="1:23">
      <c r="A196" s="204">
        <f t="shared" si="100"/>
        <v>196</v>
      </c>
      <c r="B196" s="202" t="s">
        <v>223</v>
      </c>
      <c r="C196" s="210">
        <f>+C90</f>
        <v>304539.81</v>
      </c>
      <c r="D196" s="210">
        <f>SUM(C90:D90)</f>
        <v>536513.52</v>
      </c>
      <c r="E196" s="210">
        <f>SUM(C90:E90)</f>
        <v>842112.13</v>
      </c>
      <c r="F196" s="210">
        <f>SUM(C90:F90)</f>
        <v>1124457.76</v>
      </c>
      <c r="G196" s="210">
        <f>SUM(C90:G90)</f>
        <v>1440713.4100000001</v>
      </c>
      <c r="H196" s="210">
        <f>SUM(C90:H90)</f>
        <v>1743840.82</v>
      </c>
      <c r="I196" s="210">
        <f>SUM(C90:I90)</f>
        <v>2034829.3900000001</v>
      </c>
      <c r="J196" s="210">
        <f>SUM(C90:J90)</f>
        <v>2321168.73</v>
      </c>
      <c r="K196" s="210">
        <f>SUM(C90:K90)</f>
        <v>2584708.73</v>
      </c>
      <c r="L196" s="210">
        <f>SUM(C90:L90)</f>
        <v>2839400.58</v>
      </c>
      <c r="M196" s="210">
        <f>SUM(C90:M90)</f>
        <v>3111600.13</v>
      </c>
      <c r="N196" s="210">
        <f>SUM(C90:N90)</f>
        <v>3394628.26</v>
      </c>
      <c r="O196" s="210">
        <f>SUM(C196:N196)</f>
        <v>22278513.270000003</v>
      </c>
      <c r="W196" s="453"/>
    </row>
    <row r="197" spans="1:23">
      <c r="A197" s="204">
        <f t="shared" si="100"/>
        <v>197</v>
      </c>
      <c r="B197" s="202" t="s">
        <v>224</v>
      </c>
      <c r="C197" s="210">
        <f>+C91</f>
        <v>1630784.08</v>
      </c>
      <c r="D197" s="210">
        <f>SUM(C91:D91)</f>
        <v>2998887.08</v>
      </c>
      <c r="E197" s="210">
        <f>SUM(C91:E91)</f>
        <v>4633438.08</v>
      </c>
      <c r="F197" s="210">
        <f>SUM(C91:F91)</f>
        <v>6215015.8900000006</v>
      </c>
      <c r="G197" s="210">
        <f>SUM(C91:G91)</f>
        <v>7823109.0900000008</v>
      </c>
      <c r="H197" s="210">
        <f>SUM(C91:H91)</f>
        <v>9361598.8399999999</v>
      </c>
      <c r="I197" s="210">
        <f>SUM(C91:I91)</f>
        <v>10693857.66</v>
      </c>
      <c r="J197" s="210">
        <f>SUM(C91:J91)</f>
        <v>12134010.66</v>
      </c>
      <c r="K197" s="210">
        <f>SUM(C91:K91)</f>
        <v>13645831.85</v>
      </c>
      <c r="L197" s="210">
        <f>SUM(C91:L91)</f>
        <v>15223627.199999999</v>
      </c>
      <c r="M197" s="210">
        <f>SUM(C91:M91)</f>
        <v>16767614.51</v>
      </c>
      <c r="N197" s="210">
        <f>SUM(C91:N91)</f>
        <v>18350198.850000001</v>
      </c>
      <c r="O197" s="210">
        <f>SUM(C197:N197)</f>
        <v>119477973.78999999</v>
      </c>
      <c r="W197" s="453"/>
    </row>
    <row r="198" spans="1:23">
      <c r="A198" s="204">
        <f t="shared" si="100"/>
        <v>198</v>
      </c>
      <c r="B198" s="202"/>
      <c r="C198" s="210"/>
      <c r="D198" s="210"/>
      <c r="E198" s="210"/>
      <c r="F198" s="210"/>
      <c r="G198" s="210"/>
      <c r="H198" s="210"/>
      <c r="I198" s="210"/>
      <c r="J198" s="210"/>
      <c r="K198" s="210"/>
      <c r="L198" s="210"/>
      <c r="M198" s="210"/>
      <c r="N198" s="210"/>
      <c r="O198" s="210"/>
      <c r="W198" s="453"/>
    </row>
    <row r="199" spans="1:23">
      <c r="A199" s="204">
        <f t="shared" si="100"/>
        <v>199</v>
      </c>
      <c r="B199" s="225" t="s">
        <v>226</v>
      </c>
      <c r="C199" s="220">
        <f>SUM(C195:C197)</f>
        <v>1935323.8900000001</v>
      </c>
      <c r="D199" s="220">
        <f t="shared" ref="D199:N199" si="101">SUM(D195:D197)</f>
        <v>3535400.6</v>
      </c>
      <c r="E199" s="220">
        <f t="shared" si="101"/>
        <v>5475550.21</v>
      </c>
      <c r="F199" s="220">
        <f t="shared" si="101"/>
        <v>7339473.6500000004</v>
      </c>
      <c r="G199" s="220">
        <f t="shared" si="101"/>
        <v>9263822.5</v>
      </c>
      <c r="H199" s="220">
        <f t="shared" si="101"/>
        <v>11105439.66</v>
      </c>
      <c r="I199" s="220">
        <f t="shared" si="101"/>
        <v>12728687.050000001</v>
      </c>
      <c r="J199" s="220">
        <f t="shared" si="101"/>
        <v>14455179.390000001</v>
      </c>
      <c r="K199" s="220">
        <f t="shared" si="101"/>
        <v>16230540.58</v>
      </c>
      <c r="L199" s="220">
        <f t="shared" si="101"/>
        <v>18063027.780000001</v>
      </c>
      <c r="M199" s="220">
        <f t="shared" si="101"/>
        <v>19879214.640000001</v>
      </c>
      <c r="N199" s="220">
        <f t="shared" si="101"/>
        <v>21744827.109999999</v>
      </c>
      <c r="O199" s="220">
        <f>SUM(O195:O197)</f>
        <v>141756487.06</v>
      </c>
      <c r="W199" s="453"/>
    </row>
    <row r="200" spans="1:23">
      <c r="A200" s="204">
        <f t="shared" si="100"/>
        <v>200</v>
      </c>
      <c r="B200" s="223"/>
      <c r="W200" s="453"/>
    </row>
    <row r="201" spans="1:23">
      <c r="A201" s="204">
        <f t="shared" si="100"/>
        <v>201</v>
      </c>
      <c r="B201" s="202"/>
      <c r="C201" s="210">
        <f>+C95</f>
        <v>0</v>
      </c>
      <c r="D201" s="210">
        <f>SUM(C95:D95)</f>
        <v>0</v>
      </c>
      <c r="E201" s="210">
        <f>SUM(C95:E95)</f>
        <v>0</v>
      </c>
      <c r="F201" s="210">
        <f>SUM(C95:F95)</f>
        <v>0</v>
      </c>
      <c r="G201" s="210">
        <f>SUM(C95:G95)</f>
        <v>0</v>
      </c>
      <c r="H201" s="210">
        <f>SUM(C95:H95)</f>
        <v>0</v>
      </c>
      <c r="I201" s="210">
        <f>SUM(C95:I95)</f>
        <v>0</v>
      </c>
      <c r="J201" s="210">
        <f>SUM(C95:J95)</f>
        <v>0</v>
      </c>
      <c r="K201" s="210">
        <f>SUM(C95:K95)</f>
        <v>0</v>
      </c>
      <c r="L201" s="210">
        <f>SUM(C95:L95)</f>
        <v>0</v>
      </c>
      <c r="M201" s="210">
        <f>SUM(C95:M95)</f>
        <v>0</v>
      </c>
      <c r="N201" s="210">
        <f>SUM(C95:N95)</f>
        <v>0</v>
      </c>
      <c r="O201" s="210">
        <f>SUM(C201:N201)</f>
        <v>0</v>
      </c>
      <c r="W201" s="453"/>
    </row>
    <row r="202" spans="1:23">
      <c r="A202" s="204">
        <f t="shared" si="100"/>
        <v>202</v>
      </c>
      <c r="B202" s="202" t="s">
        <v>207</v>
      </c>
      <c r="C202" s="222">
        <f>+C96</f>
        <v>0</v>
      </c>
      <c r="D202" s="222">
        <f>SUM(C96:D96)</f>
        <v>0</v>
      </c>
      <c r="E202" s="222">
        <f>SUM(C96:E96)</f>
        <v>0</v>
      </c>
      <c r="F202" s="222">
        <f>SUM(C96:F96)</f>
        <v>0</v>
      </c>
      <c r="G202" s="222">
        <f>SUM(C96:G96)</f>
        <v>0</v>
      </c>
      <c r="H202" s="222">
        <f>SUM(C96:H96)</f>
        <v>0</v>
      </c>
      <c r="I202" s="222">
        <f>SUM(C96:I96)</f>
        <v>0</v>
      </c>
      <c r="J202" s="222">
        <f>SUM(C96:J96)</f>
        <v>0</v>
      </c>
      <c r="K202" s="222">
        <f>SUM(C96:K96)</f>
        <v>0</v>
      </c>
      <c r="L202" s="222">
        <f>SUM(C96:L96)</f>
        <v>0</v>
      </c>
      <c r="M202" s="222">
        <f>SUM(C96:M96)</f>
        <v>0</v>
      </c>
      <c r="N202" s="222">
        <f>SUM(C96:N96)</f>
        <v>0</v>
      </c>
      <c r="O202" s="222">
        <f>SUM(C202:N202)</f>
        <v>0</v>
      </c>
      <c r="W202" s="453"/>
    </row>
    <row r="203" spans="1:23">
      <c r="A203" s="204">
        <f t="shared" si="100"/>
        <v>203</v>
      </c>
      <c r="B203" s="225" t="s">
        <v>228</v>
      </c>
      <c r="C203" s="210">
        <f t="shared" ref="C203:O203" si="102">SUM(C201:C202)</f>
        <v>0</v>
      </c>
      <c r="D203" s="210">
        <f t="shared" si="102"/>
        <v>0</v>
      </c>
      <c r="E203" s="210">
        <f t="shared" si="102"/>
        <v>0</v>
      </c>
      <c r="F203" s="210">
        <f t="shared" si="102"/>
        <v>0</v>
      </c>
      <c r="G203" s="210">
        <f t="shared" si="102"/>
        <v>0</v>
      </c>
      <c r="H203" s="210">
        <f t="shared" si="102"/>
        <v>0</v>
      </c>
      <c r="I203" s="210">
        <f t="shared" si="102"/>
        <v>0</v>
      </c>
      <c r="J203" s="210">
        <f t="shared" si="102"/>
        <v>0</v>
      </c>
      <c r="K203" s="210">
        <f t="shared" si="102"/>
        <v>0</v>
      </c>
      <c r="L203" s="210">
        <f t="shared" si="102"/>
        <v>0</v>
      </c>
      <c r="M203" s="210">
        <f t="shared" si="102"/>
        <v>0</v>
      </c>
      <c r="N203" s="210">
        <f t="shared" si="102"/>
        <v>0</v>
      </c>
      <c r="O203" s="210">
        <f t="shared" si="102"/>
        <v>0</v>
      </c>
      <c r="W203" s="453"/>
    </row>
    <row r="204" spans="1:23">
      <c r="A204" s="204">
        <f t="shared" si="100"/>
        <v>204</v>
      </c>
      <c r="B204" s="225"/>
      <c r="W204" s="453"/>
    </row>
    <row r="205" spans="1:23">
      <c r="A205" s="204">
        <f t="shared" si="100"/>
        <v>205</v>
      </c>
      <c r="B205" s="227" t="s">
        <v>229</v>
      </c>
      <c r="C205" s="228">
        <f t="shared" ref="C205:O205" si="103">+C126+C135+C173+C182+C193+C199+C203</f>
        <v>14362490.979999999</v>
      </c>
      <c r="D205" s="228">
        <f t="shared" si="103"/>
        <v>26268030.709999997</v>
      </c>
      <c r="E205" s="228">
        <f t="shared" si="103"/>
        <v>40231911.880000003</v>
      </c>
      <c r="F205" s="228">
        <f t="shared" si="103"/>
        <v>52700997.399999999</v>
      </c>
      <c r="G205" s="228">
        <f t="shared" si="103"/>
        <v>65004388.850000001</v>
      </c>
      <c r="H205" s="228">
        <f t="shared" si="103"/>
        <v>77312539.900000006</v>
      </c>
      <c r="I205" s="228">
        <f t="shared" si="103"/>
        <v>88648473.260000005</v>
      </c>
      <c r="J205" s="228">
        <f t="shared" si="103"/>
        <v>101228723.13000001</v>
      </c>
      <c r="K205" s="228">
        <f t="shared" si="103"/>
        <v>113603078.37</v>
      </c>
      <c r="L205" s="228">
        <f t="shared" si="103"/>
        <v>124665822.26000002</v>
      </c>
      <c r="M205" s="228">
        <f t="shared" si="103"/>
        <v>137107286.43000001</v>
      </c>
      <c r="N205" s="228">
        <f t="shared" si="103"/>
        <v>149864122.52000004</v>
      </c>
      <c r="O205" s="229">
        <f t="shared" si="103"/>
        <v>990997865.69000006</v>
      </c>
      <c r="W205" s="453"/>
    </row>
    <row r="206" spans="1:23">
      <c r="A206" s="204">
        <f t="shared" si="100"/>
        <v>206</v>
      </c>
      <c r="B206" s="230" t="s">
        <v>230</v>
      </c>
      <c r="W206" s="453"/>
    </row>
    <row r="207" spans="1:23">
      <c r="A207" s="204">
        <f t="shared" si="100"/>
        <v>207</v>
      </c>
      <c r="B207" s="202" t="s">
        <v>232</v>
      </c>
      <c r="C207" s="210">
        <f>+C102</f>
        <v>403865.79</v>
      </c>
      <c r="D207" s="210">
        <f>SUM(C102:D102)</f>
        <v>744849.71</v>
      </c>
      <c r="E207" s="210">
        <f>SUM(C102:E102)</f>
        <v>1168364.0699999998</v>
      </c>
      <c r="F207" s="210">
        <f>SUM(C102:F102)</f>
        <v>1549410.38</v>
      </c>
      <c r="G207" s="210">
        <f>SUM(C102:G102)</f>
        <v>1968913.73</v>
      </c>
      <c r="H207" s="210">
        <f>SUM(C102:H102)</f>
        <v>2414630.11</v>
      </c>
      <c r="I207" s="210">
        <f>SUM(C102:I102)</f>
        <v>2803888.59</v>
      </c>
      <c r="J207" s="210">
        <f>SUM(C102:J102)</f>
        <v>3187450.15</v>
      </c>
      <c r="K207" s="210">
        <f>SUM(C102:K102)</f>
        <v>3560157.15</v>
      </c>
      <c r="L207" s="210">
        <f>SUM(C102:L102)</f>
        <v>3896513.51</v>
      </c>
      <c r="M207" s="210">
        <f>SUM(C102:M102)</f>
        <v>4325823.08</v>
      </c>
      <c r="N207" s="210">
        <f>SUM(C102:N102)</f>
        <v>4683013.13</v>
      </c>
      <c r="O207" s="210">
        <f>SUM(C207:N207)</f>
        <v>30706879.399999995</v>
      </c>
      <c r="W207" s="453"/>
    </row>
    <row r="208" spans="1:23">
      <c r="A208" s="204">
        <f t="shared" si="100"/>
        <v>208</v>
      </c>
      <c r="B208" s="203" t="s">
        <v>233</v>
      </c>
      <c r="C208" s="222">
        <f>+C103</f>
        <v>184189.91</v>
      </c>
      <c r="D208" s="222">
        <f>SUM(C103:D103)</f>
        <v>231032.56</v>
      </c>
      <c r="E208" s="222">
        <f>SUM(C103:E103)</f>
        <v>339192.58</v>
      </c>
      <c r="F208" s="222">
        <f>SUM(C103:F103)</f>
        <v>373497.54000000004</v>
      </c>
      <c r="G208" s="222">
        <f>SUM(C103:G103)</f>
        <v>383433.07000000007</v>
      </c>
      <c r="H208" s="222">
        <f>SUM(C103:H103)</f>
        <v>385815.00000000006</v>
      </c>
      <c r="I208" s="222">
        <f>SUM(C103:I103)</f>
        <v>389046.08000000007</v>
      </c>
      <c r="J208" s="222">
        <f>SUM(C103:J103)</f>
        <v>391195.41000000009</v>
      </c>
      <c r="K208" s="222">
        <f>SUM(C103:K103)</f>
        <v>410276.45000000007</v>
      </c>
      <c r="L208" s="222">
        <f>SUM(C103:L103)</f>
        <v>423185.71000000008</v>
      </c>
      <c r="M208" s="222">
        <f>SUM(C103:M103)</f>
        <v>470987.32000000007</v>
      </c>
      <c r="N208" s="222">
        <f>SUM(C103:N103)</f>
        <v>589670.21000000008</v>
      </c>
      <c r="O208" s="222">
        <f>SUM(C208:N208)</f>
        <v>4571521.8400000008</v>
      </c>
      <c r="W208" s="453"/>
    </row>
    <row r="209" spans="1:23">
      <c r="A209" s="204">
        <f t="shared" si="100"/>
        <v>209</v>
      </c>
      <c r="B209" s="225" t="s">
        <v>234</v>
      </c>
      <c r="C209" s="210">
        <f t="shared" ref="C209:N209" si="104">SUM(C207:C208)</f>
        <v>588055.69999999995</v>
      </c>
      <c r="D209" s="210">
        <f t="shared" si="104"/>
        <v>975882.27</v>
      </c>
      <c r="E209" s="210">
        <f t="shared" si="104"/>
        <v>1507556.65</v>
      </c>
      <c r="F209" s="210">
        <f t="shared" si="104"/>
        <v>1922907.92</v>
      </c>
      <c r="G209" s="210">
        <f t="shared" si="104"/>
        <v>2352346.7999999998</v>
      </c>
      <c r="H209" s="210">
        <f t="shared" si="104"/>
        <v>2800445.11</v>
      </c>
      <c r="I209" s="210">
        <f t="shared" si="104"/>
        <v>3192934.67</v>
      </c>
      <c r="J209" s="210">
        <f t="shared" si="104"/>
        <v>3578645.56</v>
      </c>
      <c r="K209" s="210">
        <f t="shared" si="104"/>
        <v>3970433.6</v>
      </c>
      <c r="L209" s="210">
        <f t="shared" si="104"/>
        <v>4319699.22</v>
      </c>
      <c r="M209" s="210">
        <f t="shared" si="104"/>
        <v>4796810.4000000004</v>
      </c>
      <c r="N209" s="210">
        <f t="shared" si="104"/>
        <v>5272683.34</v>
      </c>
      <c r="O209" s="210">
        <f>SUM(C209:N209)</f>
        <v>35278401.239999995</v>
      </c>
      <c r="W209" s="453"/>
    </row>
    <row r="210" spans="1:23">
      <c r="A210" s="204">
        <f t="shared" si="100"/>
        <v>210</v>
      </c>
      <c r="B210" s="223" t="s">
        <v>235</v>
      </c>
      <c r="W210" s="453"/>
    </row>
    <row r="211" spans="1:23">
      <c r="A211" s="204">
        <f t="shared" si="100"/>
        <v>211</v>
      </c>
      <c r="B211" s="202" t="s">
        <v>237</v>
      </c>
      <c r="C211" s="210">
        <f>+C107</f>
        <v>1263869.5900000001</v>
      </c>
      <c r="D211" s="210">
        <f>SUM(C107:D107)</f>
        <v>2430468.59</v>
      </c>
      <c r="E211" s="210">
        <f>SUM(C107:E107)</f>
        <v>3715268.29</v>
      </c>
      <c r="F211" s="210">
        <f>SUM(C107:F107)</f>
        <v>4191917.88</v>
      </c>
      <c r="G211" s="210">
        <f>SUM(C107:G107)</f>
        <v>5221968.0199999996</v>
      </c>
      <c r="H211" s="210">
        <f>SUM(C107:H107)</f>
        <v>6696527.8799999999</v>
      </c>
      <c r="I211" s="210">
        <f>SUM(C107:I107)</f>
        <v>8240597.6500000004</v>
      </c>
      <c r="J211" s="210">
        <f>SUM(C107:J107)</f>
        <v>9533317.5300000012</v>
      </c>
      <c r="K211" s="210">
        <f>SUM(C107:K107)</f>
        <v>11000727.530000001</v>
      </c>
      <c r="L211" s="210">
        <f>SUM(C107:L107)</f>
        <v>12516947.91</v>
      </c>
      <c r="M211" s="210">
        <f>SUM(C107:M107)</f>
        <v>13688457.880000001</v>
      </c>
      <c r="N211" s="210">
        <f>SUM(C107:N107)</f>
        <v>14883378.060000001</v>
      </c>
      <c r="O211" s="210">
        <f>SUM(C211:N211)</f>
        <v>93383446.810000002</v>
      </c>
      <c r="W211" s="453"/>
    </row>
    <row r="212" spans="1:23">
      <c r="A212" s="204">
        <f t="shared" si="100"/>
        <v>212</v>
      </c>
      <c r="B212" s="203" t="s">
        <v>238</v>
      </c>
      <c r="C212" s="222">
        <f>+C108</f>
        <v>1742589.49</v>
      </c>
      <c r="D212" s="222">
        <f>SUM(C108:D108)</f>
        <v>2075749.24</v>
      </c>
      <c r="E212" s="222">
        <f>SUM(C108:E108)</f>
        <v>3599348.94</v>
      </c>
      <c r="F212" s="222">
        <f>SUM(C108:F108)</f>
        <v>5735948.6999999993</v>
      </c>
      <c r="G212" s="222">
        <f>SUM(C108:G108)</f>
        <v>7068838.7199999988</v>
      </c>
      <c r="H212" s="222">
        <f>SUM(C108:H108)</f>
        <v>7432828.3699999992</v>
      </c>
      <c r="I212" s="222">
        <f>SUM(C108:I108)</f>
        <v>7798908.7899999991</v>
      </c>
      <c r="J212" s="222">
        <f>SUM(C108:J108)</f>
        <v>8170278.8499999987</v>
      </c>
      <c r="K212" s="222">
        <f>SUM(C108:K108)</f>
        <v>8524918.8499999978</v>
      </c>
      <c r="L212" s="222">
        <f>SUM(C108:L108)</f>
        <v>8883469.2699999977</v>
      </c>
      <c r="M212" s="222">
        <f>SUM(C108:M108)</f>
        <v>9396879.2599999979</v>
      </c>
      <c r="N212" s="222">
        <f>SUM(C108:N108)</f>
        <v>11609819.219999999</v>
      </c>
      <c r="O212" s="222">
        <f>SUM(C212:N212)</f>
        <v>82039577.699999988</v>
      </c>
      <c r="W212" s="453"/>
    </row>
    <row r="213" spans="1:23">
      <c r="A213" s="204">
        <f t="shared" si="100"/>
        <v>213</v>
      </c>
      <c r="B213" s="225" t="s">
        <v>239</v>
      </c>
      <c r="C213" s="210">
        <f t="shared" ref="C213:N213" si="105">SUM(C211:C212)</f>
        <v>3006459.08</v>
      </c>
      <c r="D213" s="210">
        <f t="shared" si="105"/>
        <v>4506217.83</v>
      </c>
      <c r="E213" s="210">
        <f t="shared" si="105"/>
        <v>7314617.2300000004</v>
      </c>
      <c r="F213" s="210">
        <f t="shared" si="105"/>
        <v>9927866.5799999982</v>
      </c>
      <c r="G213" s="210">
        <f t="shared" si="105"/>
        <v>12290806.739999998</v>
      </c>
      <c r="H213" s="210">
        <f t="shared" si="105"/>
        <v>14129356.25</v>
      </c>
      <c r="I213" s="210">
        <f t="shared" si="105"/>
        <v>16039506.439999999</v>
      </c>
      <c r="J213" s="210">
        <f t="shared" si="105"/>
        <v>17703596.379999999</v>
      </c>
      <c r="K213" s="210">
        <f t="shared" si="105"/>
        <v>19525646.379999999</v>
      </c>
      <c r="L213" s="210">
        <f t="shared" si="105"/>
        <v>21400417.18</v>
      </c>
      <c r="M213" s="210">
        <f t="shared" si="105"/>
        <v>23085337.140000001</v>
      </c>
      <c r="N213" s="210">
        <f t="shared" si="105"/>
        <v>26493197.280000001</v>
      </c>
      <c r="O213" s="210">
        <f>SUM(C213:N213)</f>
        <v>175423024.50999996</v>
      </c>
      <c r="W213" s="453"/>
    </row>
    <row r="214" spans="1:23">
      <c r="A214" s="204">
        <f t="shared" si="100"/>
        <v>214</v>
      </c>
      <c r="B214" s="225"/>
      <c r="W214" s="453"/>
    </row>
    <row r="215" spans="1:23">
      <c r="A215" s="204">
        <f t="shared" si="100"/>
        <v>215</v>
      </c>
      <c r="B215" s="227" t="s">
        <v>240</v>
      </c>
      <c r="C215" s="228">
        <f t="shared" ref="C215:O215" si="106">+C209+C213</f>
        <v>3594514.7800000003</v>
      </c>
      <c r="D215" s="228">
        <f t="shared" si="106"/>
        <v>5482100.0999999996</v>
      </c>
      <c r="E215" s="228">
        <f t="shared" si="106"/>
        <v>8822173.8800000008</v>
      </c>
      <c r="F215" s="228">
        <f t="shared" si="106"/>
        <v>11850774.499999998</v>
      </c>
      <c r="G215" s="228">
        <f t="shared" si="106"/>
        <v>14643153.539999999</v>
      </c>
      <c r="H215" s="228">
        <f t="shared" si="106"/>
        <v>16929801.359999999</v>
      </c>
      <c r="I215" s="228">
        <f t="shared" si="106"/>
        <v>19232441.109999999</v>
      </c>
      <c r="J215" s="228">
        <f t="shared" si="106"/>
        <v>21282241.939999998</v>
      </c>
      <c r="K215" s="228">
        <f t="shared" si="106"/>
        <v>23496079.98</v>
      </c>
      <c r="L215" s="228">
        <f t="shared" si="106"/>
        <v>25720116.399999999</v>
      </c>
      <c r="M215" s="228">
        <f t="shared" si="106"/>
        <v>27882147.539999999</v>
      </c>
      <c r="N215" s="228">
        <f t="shared" si="106"/>
        <v>31765880.620000001</v>
      </c>
      <c r="O215" s="229">
        <f t="shared" si="106"/>
        <v>210701425.74999994</v>
      </c>
      <c r="W215" s="453"/>
    </row>
    <row r="216" spans="1:23">
      <c r="A216" s="204">
        <f t="shared" si="100"/>
        <v>216</v>
      </c>
      <c r="B216" s="225"/>
      <c r="W216" s="453"/>
    </row>
    <row r="217" spans="1:23">
      <c r="A217" s="204">
        <f t="shared" si="100"/>
        <v>217</v>
      </c>
      <c r="B217" s="227" t="s">
        <v>241</v>
      </c>
      <c r="C217" s="228">
        <f t="shared" ref="C217:O217" si="107">+C205+C215</f>
        <v>17957005.759999998</v>
      </c>
      <c r="D217" s="228">
        <f t="shared" si="107"/>
        <v>31750130.809999995</v>
      </c>
      <c r="E217" s="228">
        <f t="shared" si="107"/>
        <v>49054085.760000005</v>
      </c>
      <c r="F217" s="228">
        <f t="shared" si="107"/>
        <v>64551771.899999999</v>
      </c>
      <c r="G217" s="228">
        <f t="shared" si="107"/>
        <v>79647542.390000001</v>
      </c>
      <c r="H217" s="228">
        <f t="shared" si="107"/>
        <v>94242341.260000005</v>
      </c>
      <c r="I217" s="228">
        <f t="shared" si="107"/>
        <v>107880914.37</v>
      </c>
      <c r="J217" s="228">
        <f t="shared" si="107"/>
        <v>122510965.07000001</v>
      </c>
      <c r="K217" s="228">
        <f t="shared" si="107"/>
        <v>137099158.34999999</v>
      </c>
      <c r="L217" s="228">
        <f t="shared" si="107"/>
        <v>150385938.66000003</v>
      </c>
      <c r="M217" s="228">
        <f t="shared" si="107"/>
        <v>164989433.97</v>
      </c>
      <c r="N217" s="228">
        <f t="shared" si="107"/>
        <v>181630003.14000005</v>
      </c>
      <c r="O217" s="229">
        <f t="shared" si="107"/>
        <v>1201699291.4400001</v>
      </c>
      <c r="W217" s="453"/>
    </row>
    <row r="218" spans="1:23">
      <c r="W218" s="453"/>
    </row>
    <row r="219" spans="1:23">
      <c r="W219" s="453"/>
    </row>
    <row r="220" spans="1:23">
      <c r="B220" s="204" t="s">
        <v>243</v>
      </c>
      <c r="O220" s="210">
        <f>+SUM(C220:N220)</f>
        <v>0</v>
      </c>
      <c r="W220" s="453"/>
    </row>
    <row r="221" spans="1:23">
      <c r="B221" s="204" t="s">
        <v>244</v>
      </c>
      <c r="C221" s="210"/>
      <c r="D221" s="210"/>
      <c r="E221" s="210"/>
      <c r="F221" s="210"/>
      <c r="G221" s="210"/>
      <c r="H221" s="210"/>
      <c r="I221" s="210"/>
      <c r="J221" s="210"/>
      <c r="K221" s="210"/>
      <c r="L221" s="210"/>
      <c r="M221" s="210"/>
      <c r="N221" s="210"/>
      <c r="O221" s="210">
        <f>+SUM(C221:N221)</f>
        <v>0</v>
      </c>
      <c r="W221" s="453"/>
    </row>
    <row r="222" spans="1:23">
      <c r="B222" s="204" t="s">
        <v>245</v>
      </c>
      <c r="C222" s="215">
        <f t="shared" ref="C222:O222" si="108">C113-C221+C220</f>
        <v>26756358.960000012</v>
      </c>
      <c r="D222" s="215">
        <f t="shared" si="108"/>
        <v>21347226.760000035</v>
      </c>
      <c r="E222" s="215">
        <f t="shared" si="108"/>
        <v>25121438.240000021</v>
      </c>
      <c r="F222" s="215">
        <f t="shared" si="108"/>
        <v>22957533.990000013</v>
      </c>
      <c r="G222" s="215">
        <f t="shared" si="108"/>
        <v>21711027.160000011</v>
      </c>
      <c r="H222" s="215">
        <f t="shared" si="108"/>
        <v>29789504.920000035</v>
      </c>
      <c r="I222" s="215">
        <f t="shared" si="108"/>
        <v>32443757.210000001</v>
      </c>
      <c r="J222" s="215">
        <f t="shared" si="108"/>
        <v>33280725.510000028</v>
      </c>
      <c r="K222" s="215">
        <f t="shared" si="108"/>
        <v>33130154.420000017</v>
      </c>
      <c r="L222" s="215">
        <f t="shared" si="108"/>
        <v>31862701.51000002</v>
      </c>
      <c r="M222" s="215">
        <f t="shared" si="108"/>
        <v>34158903.760000028</v>
      </c>
      <c r="N222" s="215">
        <f t="shared" si="108"/>
        <v>38281712.570000045</v>
      </c>
      <c r="O222" s="215">
        <f t="shared" si="108"/>
        <v>350651819.59000027</v>
      </c>
      <c r="W222" s="453"/>
    </row>
    <row r="223" spans="1:23">
      <c r="W223" s="453"/>
    </row>
    <row r="224" spans="1:23">
      <c r="W224" s="453"/>
    </row>
    <row r="225" spans="1:23">
      <c r="A225" s="204" t="s">
        <v>243</v>
      </c>
      <c r="C225" s="239">
        <v>0</v>
      </c>
      <c r="D225" s="254">
        <v>0</v>
      </c>
      <c r="E225" s="254">
        <v>0</v>
      </c>
      <c r="F225" s="254">
        <v>0</v>
      </c>
      <c r="G225" s="254">
        <v>0</v>
      </c>
      <c r="H225" s="254">
        <v>0</v>
      </c>
      <c r="I225" s="254">
        <v>0</v>
      </c>
      <c r="J225" s="254">
        <v>0</v>
      </c>
      <c r="K225" s="254">
        <v>0</v>
      </c>
      <c r="L225" s="254">
        <v>0</v>
      </c>
      <c r="M225" s="254">
        <v>0</v>
      </c>
      <c r="N225" s="254">
        <v>0</v>
      </c>
      <c r="O225" s="254"/>
      <c r="W225" s="453"/>
    </row>
    <row r="226" spans="1:23">
      <c r="A226" s="204" t="s">
        <v>246</v>
      </c>
      <c r="N226" s="215"/>
      <c r="W226" s="453"/>
    </row>
    <row r="227" spans="1:23">
      <c r="A227" s="204" t="s">
        <v>247</v>
      </c>
      <c r="W227" s="453"/>
    </row>
    <row r="228" spans="1:23">
      <c r="W228" s="453"/>
    </row>
    <row r="229" spans="1:23">
      <c r="W229" s="453"/>
    </row>
    <row r="230" spans="1:23">
      <c r="B230" s="300" t="s">
        <v>706</v>
      </c>
      <c r="C230" s="304">
        <v>6115.71</v>
      </c>
      <c r="D230" s="304">
        <v>5469.02</v>
      </c>
      <c r="E230" s="304">
        <v>4098.21</v>
      </c>
      <c r="F230" s="304">
        <v>4518.4799999999996</v>
      </c>
      <c r="G230" s="304">
        <v>3016.12</v>
      </c>
      <c r="H230" s="304">
        <v>2258.8000000000002</v>
      </c>
      <c r="I230" s="304">
        <v>1071.99</v>
      </c>
      <c r="J230" s="304">
        <v>1105.19</v>
      </c>
      <c r="K230" s="304">
        <v>1341.2500000000002</v>
      </c>
      <c r="L230" s="304">
        <v>1070.3400000000001</v>
      </c>
      <c r="M230" s="304">
        <v>1776.44</v>
      </c>
      <c r="N230" s="304">
        <v>5841.32</v>
      </c>
      <c r="O230" s="304">
        <v>37682.870000000003</v>
      </c>
      <c r="P230" s="300"/>
      <c r="Q230" s="300" t="s">
        <v>14</v>
      </c>
      <c r="R230" s="300" t="s">
        <v>706</v>
      </c>
      <c r="S230" s="300"/>
      <c r="T230" s="300" t="s">
        <v>1417</v>
      </c>
      <c r="U230" s="305">
        <f>MAX(C230:N230)</f>
        <v>6115.71</v>
      </c>
      <c r="V230" s="305">
        <f>IFERROR(INDEX($C$1:$N$1,MATCH(U230,C230:N230,0)),0)</f>
        <v>1</v>
      </c>
      <c r="W230" s="300" t="s">
        <v>14</v>
      </c>
    </row>
    <row r="231" spans="1:23">
      <c r="B231" s="300" t="s">
        <v>709</v>
      </c>
      <c r="C231" s="304">
        <v>1828.26</v>
      </c>
      <c r="D231" s="304">
        <v>1624.87</v>
      </c>
      <c r="E231" s="304">
        <v>1537.32</v>
      </c>
      <c r="F231" s="304">
        <v>1592.31</v>
      </c>
      <c r="G231" s="304">
        <v>1530.02</v>
      </c>
      <c r="H231" s="304">
        <v>1700</v>
      </c>
      <c r="I231" s="304">
        <v>1388.44</v>
      </c>
      <c r="J231" s="304">
        <v>1580.23</v>
      </c>
      <c r="K231" s="304">
        <v>1526.0900000000001</v>
      </c>
      <c r="L231" s="304">
        <v>1382.84</v>
      </c>
      <c r="M231" s="304">
        <v>1698.3200000000002</v>
      </c>
      <c r="N231" s="304">
        <v>1648.4900000000002</v>
      </c>
      <c r="O231" s="304">
        <v>19037.189999999999</v>
      </c>
      <c r="P231" s="300"/>
      <c r="Q231" s="300" t="s">
        <v>14</v>
      </c>
      <c r="R231" s="300" t="s">
        <v>709</v>
      </c>
      <c r="S231" s="300"/>
      <c r="T231" s="300" t="s">
        <v>1417</v>
      </c>
      <c r="U231" s="305">
        <f>MAX(C231:N231)</f>
        <v>1828.26</v>
      </c>
      <c r="V231" s="305">
        <f>IFERROR(INDEX($C$1:$N$1,MATCH(U231,C231:N231,0)),0)</f>
        <v>1</v>
      </c>
      <c r="W231" s="300" t="s">
        <v>14</v>
      </c>
    </row>
    <row r="232" spans="1:23">
      <c r="B232" s="300" t="s">
        <v>716</v>
      </c>
      <c r="C232" s="304">
        <v>85.68</v>
      </c>
      <c r="D232" s="304">
        <v>115.98</v>
      </c>
      <c r="E232" s="304">
        <v>39.01</v>
      </c>
      <c r="F232" s="304">
        <v>40.909999999999997</v>
      </c>
      <c r="G232" s="304">
        <v>10.41</v>
      </c>
      <c r="H232" s="304">
        <v>8.32</v>
      </c>
      <c r="I232" s="304">
        <v>10.4</v>
      </c>
      <c r="J232" s="304">
        <v>16.649999999999999</v>
      </c>
      <c r="K232" s="304">
        <v>3.12</v>
      </c>
      <c r="L232" s="304">
        <v>540.79999999999995</v>
      </c>
      <c r="M232" s="304">
        <v>0</v>
      </c>
      <c r="N232" s="304">
        <v>58.18</v>
      </c>
      <c r="O232" s="304">
        <v>929.46</v>
      </c>
      <c r="P232" s="300"/>
      <c r="Q232" s="300" t="s">
        <v>14</v>
      </c>
      <c r="R232" s="300" t="s">
        <v>706</v>
      </c>
      <c r="S232" s="300"/>
      <c r="T232" s="300" t="s">
        <v>1417</v>
      </c>
      <c r="U232" s="305">
        <f>MAX(C232:N232)</f>
        <v>540.79999999999995</v>
      </c>
      <c r="V232" s="305">
        <f>IFERROR(INDEX($C$1:$N$1,MATCH(U232,C232:N232,0)),0)</f>
        <v>10</v>
      </c>
      <c r="W232" s="300" t="s">
        <v>14</v>
      </c>
    </row>
    <row r="233" spans="1:23">
      <c r="B233" s="300" t="s">
        <v>719</v>
      </c>
      <c r="C233" s="304">
        <v>481.52</v>
      </c>
      <c r="D233" s="304">
        <v>715.52</v>
      </c>
      <c r="E233" s="304">
        <v>634.4</v>
      </c>
      <c r="F233" s="304">
        <v>637.52</v>
      </c>
      <c r="G233" s="304">
        <v>703.04</v>
      </c>
      <c r="H233" s="304">
        <v>392.08</v>
      </c>
      <c r="I233" s="304">
        <v>239.2</v>
      </c>
      <c r="J233" s="304">
        <v>350.48</v>
      </c>
      <c r="K233" s="304">
        <v>670.8</v>
      </c>
      <c r="L233" s="304">
        <v>523.12</v>
      </c>
      <c r="M233" s="304">
        <v>652.08000000000004</v>
      </c>
      <c r="N233" s="304">
        <v>650</v>
      </c>
      <c r="O233" s="304">
        <v>6649.76</v>
      </c>
      <c r="P233" s="300"/>
      <c r="Q233" s="300" t="s">
        <v>14</v>
      </c>
      <c r="R233" s="300" t="s">
        <v>709</v>
      </c>
      <c r="S233" s="300"/>
      <c r="T233" s="300" t="s">
        <v>1417</v>
      </c>
      <c r="U233" s="305">
        <f>MAX(C233:N233)</f>
        <v>715.52</v>
      </c>
      <c r="V233" s="305">
        <f>IFERROR(INDEX($C$1:$N$1,MATCH(U233,C233:N233,0)),0)</f>
        <v>2</v>
      </c>
      <c r="W233" s="300" t="s">
        <v>14</v>
      </c>
    </row>
    <row r="234" spans="1:23">
      <c r="W234" s="453"/>
    </row>
    <row r="235" spans="1:23">
      <c r="W235" s="453"/>
    </row>
    <row r="236" spans="1:23">
      <c r="W236" s="453"/>
    </row>
    <row r="237" spans="1:23">
      <c r="W237" s="453"/>
    </row>
    <row r="238" spans="1:23">
      <c r="W238" s="453"/>
    </row>
    <row r="239" spans="1:23">
      <c r="W239" s="453"/>
    </row>
    <row r="240" spans="1:23">
      <c r="W240" s="453"/>
    </row>
    <row r="241" spans="21:23" ht="12.75">
      <c r="U241" s="448"/>
      <c r="V241" s="120"/>
      <c r="W241" s="453"/>
    </row>
    <row r="242" spans="21:23" ht="12.75">
      <c r="U242" s="448"/>
      <c r="V242" s="120"/>
      <c r="W242" s="453"/>
    </row>
    <row r="243" spans="21:23" ht="12.75">
      <c r="U243" s="448"/>
      <c r="V243" s="120"/>
      <c r="W243" s="453"/>
    </row>
    <row r="244" spans="21:23" ht="12.75">
      <c r="U244" s="448"/>
      <c r="V244" s="120"/>
      <c r="W244" s="453"/>
    </row>
    <row r="245" spans="21:23" ht="12.75">
      <c r="U245" s="448"/>
      <c r="V245" s="120"/>
      <c r="W245" s="453"/>
    </row>
    <row r="246" spans="21:23" ht="12.75">
      <c r="U246" s="448"/>
      <c r="V246" s="120"/>
      <c r="W246" s="453"/>
    </row>
    <row r="247" spans="21:23" ht="12.75">
      <c r="U247" s="448"/>
      <c r="V247" s="120"/>
      <c r="W247" s="453"/>
    </row>
    <row r="248" spans="21:23" ht="12.75">
      <c r="U248" s="448"/>
      <c r="V248" s="120"/>
      <c r="W248" s="453"/>
    </row>
    <row r="249" spans="21:23" ht="12.75">
      <c r="U249" s="448"/>
      <c r="V249" s="120"/>
      <c r="W249" s="453"/>
    </row>
    <row r="250" spans="21:23" ht="12.75">
      <c r="U250" s="448"/>
      <c r="V250" s="120"/>
      <c r="W250" s="453"/>
    </row>
    <row r="251" spans="21:23" ht="12.75">
      <c r="U251" s="448"/>
      <c r="V251" s="120"/>
      <c r="W251" s="453"/>
    </row>
    <row r="252" spans="21:23" ht="12.75">
      <c r="U252" s="448"/>
      <c r="V252" s="120"/>
      <c r="W252" s="453"/>
    </row>
  </sheetData>
  <pageMargins left="0.5" right="0.5" top="0.5" bottom="0.5" header="1" footer="0"/>
  <pageSetup scale="55" fitToHeight="2" orientation="landscape" r:id="rId1"/>
  <headerFooter alignWithMargins="0"/>
  <rowBreaks count="2" manualBreakCount="2">
    <brk id="99" max="16" man="1"/>
    <brk id="182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A6670-A3BD-40BA-AB59-D3948D9809F3}">
  <sheetPr codeName="Sheet42">
    <tabColor theme="0" tint="-0.34998626667073579"/>
  </sheetPr>
  <dimension ref="A1:W257"/>
  <sheetViews>
    <sheetView workbookViewId="0"/>
  </sheetViews>
  <sheetFormatPr defaultColWidth="9.140625" defaultRowHeight="12.75"/>
  <cols>
    <col min="1" max="1" width="4.140625" style="121" bestFit="1" customWidth="1"/>
    <col min="2" max="2" width="29.7109375" style="121" bestFit="1" customWidth="1"/>
    <col min="3" max="3" width="7.5703125" style="610" bestFit="1" customWidth="1"/>
    <col min="4" max="4" width="7.5703125" style="610" customWidth="1"/>
    <col min="5" max="14" width="7.5703125" style="610" bestFit="1" customWidth="1"/>
    <col min="15" max="15" width="8.5703125" style="610" bestFit="1" customWidth="1"/>
    <col min="16" max="17" width="9.140625" style="121"/>
    <col min="18" max="18" width="9.140625" style="310" bestFit="1" customWidth="1"/>
    <col min="19" max="19" width="25.85546875" style="121" customWidth="1"/>
    <col min="20" max="20" width="9.140625" style="121"/>
    <col min="21" max="21" width="9.140625" style="204"/>
    <col min="22" max="16384" width="9.140625" style="121"/>
  </cols>
  <sheetData>
    <row r="1" spans="1:23" ht="13.5" thickBot="1">
      <c r="B1" s="306" t="s">
        <v>248</v>
      </c>
      <c r="C1" s="600">
        <v>1</v>
      </c>
      <c r="D1" s="600">
        <v>2</v>
      </c>
      <c r="E1" s="600">
        <v>3</v>
      </c>
      <c r="F1" s="600">
        <v>4</v>
      </c>
      <c r="G1" s="600">
        <v>5</v>
      </c>
      <c r="H1" s="600">
        <v>6</v>
      </c>
      <c r="I1" s="600">
        <v>7</v>
      </c>
      <c r="J1" s="600">
        <v>8</v>
      </c>
      <c r="K1" s="600">
        <v>9</v>
      </c>
      <c r="L1" s="600">
        <v>10</v>
      </c>
      <c r="M1" s="600">
        <v>11</v>
      </c>
      <c r="N1" s="600">
        <v>12</v>
      </c>
      <c r="O1" s="600" t="s">
        <v>156</v>
      </c>
      <c r="R1" s="307" t="s">
        <v>249</v>
      </c>
    </row>
    <row r="2" spans="1:23" ht="13.5" thickBot="1">
      <c r="A2" s="121">
        <v>2</v>
      </c>
      <c r="B2" s="308" t="s">
        <v>250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2"/>
      <c r="Q2" s="259"/>
      <c r="R2" s="307" t="s">
        <v>251</v>
      </c>
      <c r="S2" s="259"/>
    </row>
    <row r="3" spans="1:23">
      <c r="A3" s="121">
        <f t="shared" ref="A3:A66" si="0">+A2+1</f>
        <v>3</v>
      </c>
      <c r="B3" s="311" t="s">
        <v>158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Q3" s="260"/>
      <c r="R3" s="309"/>
      <c r="S3" s="260"/>
    </row>
    <row r="4" spans="1:23">
      <c r="A4" s="121">
        <f t="shared" si="0"/>
        <v>4</v>
      </c>
      <c r="B4" s="312" t="s">
        <v>114</v>
      </c>
      <c r="C4" s="603">
        <v>1167</v>
      </c>
      <c r="D4" s="603">
        <v>1165</v>
      </c>
      <c r="E4" s="603">
        <v>1165</v>
      </c>
      <c r="F4" s="603">
        <v>1163</v>
      </c>
      <c r="G4" s="603">
        <v>1152</v>
      </c>
      <c r="H4" s="603">
        <v>1151</v>
      </c>
      <c r="I4" s="603">
        <v>1149</v>
      </c>
      <c r="J4" s="603">
        <v>1147</v>
      </c>
      <c r="K4" s="603">
        <v>1137</v>
      </c>
      <c r="L4" s="603">
        <v>1136</v>
      </c>
      <c r="M4" s="603">
        <v>1139</v>
      </c>
      <c r="N4" s="603">
        <v>1145</v>
      </c>
      <c r="O4" s="602">
        <f>AVERAGE(C4:N4)</f>
        <v>1151.3333333333333</v>
      </c>
      <c r="Q4" s="121" t="s">
        <v>17</v>
      </c>
      <c r="R4" s="310">
        <f>+SUM(C4:N4)</f>
        <v>13816</v>
      </c>
      <c r="S4" s="257" t="str">
        <f t="shared" ref="S4:S10" si="1">CONCATENATE(Q4," - ",B4," R")</f>
        <v>CFG - FTS-A R</v>
      </c>
      <c r="T4" s="257"/>
      <c r="U4" s="204" t="s">
        <v>8</v>
      </c>
    </row>
    <row r="5" spans="1:23">
      <c r="A5" s="121">
        <f t="shared" si="0"/>
        <v>5</v>
      </c>
      <c r="B5" s="312" t="s">
        <v>115</v>
      </c>
      <c r="C5" s="603">
        <v>2273</v>
      </c>
      <c r="D5" s="603">
        <v>2281</v>
      </c>
      <c r="E5" s="603">
        <v>2279</v>
      </c>
      <c r="F5" s="603">
        <v>2282</v>
      </c>
      <c r="G5" s="603">
        <v>2261</v>
      </c>
      <c r="H5" s="603">
        <v>2240</v>
      </c>
      <c r="I5" s="603">
        <v>2252</v>
      </c>
      <c r="J5" s="603">
        <v>2240</v>
      </c>
      <c r="K5" s="603">
        <v>2246</v>
      </c>
      <c r="L5" s="603">
        <v>2227</v>
      </c>
      <c r="M5" s="603">
        <v>2223</v>
      </c>
      <c r="N5" s="603">
        <v>2241</v>
      </c>
      <c r="O5" s="602">
        <f t="shared" ref="O5:O10" si="2">AVERAGE(C5:N5)</f>
        <v>2253.75</v>
      </c>
      <c r="Q5" s="121" t="s">
        <v>17</v>
      </c>
      <c r="R5" s="310">
        <f t="shared" ref="R5:R15" si="3">+SUM(C5:N5)</f>
        <v>27045</v>
      </c>
      <c r="S5" s="257" t="str">
        <f t="shared" si="1"/>
        <v>CFG - FTS-B R</v>
      </c>
      <c r="T5" s="310"/>
      <c r="U5" s="204" t="s">
        <v>8</v>
      </c>
    </row>
    <row r="6" spans="1:23">
      <c r="A6" s="121">
        <f t="shared" si="0"/>
        <v>6</v>
      </c>
      <c r="B6" s="312" t="s">
        <v>116</v>
      </c>
      <c r="C6" s="603">
        <v>11943</v>
      </c>
      <c r="D6" s="603">
        <v>12032</v>
      </c>
      <c r="E6" s="603">
        <v>12117</v>
      </c>
      <c r="F6" s="603">
        <v>12258</v>
      </c>
      <c r="G6" s="603">
        <v>12256</v>
      </c>
      <c r="H6" s="603">
        <v>12307</v>
      </c>
      <c r="I6" s="603">
        <v>12350</v>
      </c>
      <c r="J6" s="603">
        <v>12468</v>
      </c>
      <c r="K6" s="603">
        <v>12502</v>
      </c>
      <c r="L6" s="603">
        <v>12535</v>
      </c>
      <c r="M6" s="603">
        <v>12636</v>
      </c>
      <c r="N6" s="603">
        <v>12704</v>
      </c>
      <c r="O6" s="602">
        <f t="shared" si="2"/>
        <v>12342.333333333334</v>
      </c>
      <c r="Q6" s="121" t="s">
        <v>17</v>
      </c>
      <c r="R6" s="310">
        <f t="shared" si="3"/>
        <v>148108</v>
      </c>
      <c r="S6" s="257" t="str">
        <f t="shared" si="1"/>
        <v>CFG - FTS-1 R</v>
      </c>
      <c r="U6" s="204" t="s">
        <v>8</v>
      </c>
    </row>
    <row r="7" spans="1:23">
      <c r="A7" s="121">
        <f t="shared" si="0"/>
        <v>7</v>
      </c>
      <c r="B7" s="312" t="s">
        <v>117</v>
      </c>
      <c r="C7" s="603">
        <v>731</v>
      </c>
      <c r="D7" s="603">
        <v>728</v>
      </c>
      <c r="E7" s="603">
        <v>724</v>
      </c>
      <c r="F7" s="603">
        <v>731</v>
      </c>
      <c r="G7" s="603">
        <v>731</v>
      </c>
      <c r="H7" s="603">
        <v>729</v>
      </c>
      <c r="I7" s="603">
        <v>723</v>
      </c>
      <c r="J7" s="603">
        <v>727</v>
      </c>
      <c r="K7" s="603">
        <v>728</v>
      </c>
      <c r="L7" s="603">
        <v>730</v>
      </c>
      <c r="M7" s="603">
        <v>729</v>
      </c>
      <c r="N7" s="603">
        <v>731</v>
      </c>
      <c r="O7" s="602">
        <f t="shared" si="2"/>
        <v>728.5</v>
      </c>
      <c r="Q7" s="121" t="s">
        <v>17</v>
      </c>
      <c r="R7" s="310">
        <f t="shared" si="3"/>
        <v>8742</v>
      </c>
      <c r="S7" s="257" t="str">
        <f t="shared" si="1"/>
        <v>CFG - FTS-2 R</v>
      </c>
      <c r="U7" s="204" t="s">
        <v>8</v>
      </c>
    </row>
    <row r="8" spans="1:23">
      <c r="A8" s="121">
        <f t="shared" si="0"/>
        <v>8</v>
      </c>
      <c r="B8" s="312" t="s">
        <v>118</v>
      </c>
      <c r="C8" s="603">
        <v>482</v>
      </c>
      <c r="D8" s="603">
        <v>480</v>
      </c>
      <c r="E8" s="603">
        <v>482</v>
      </c>
      <c r="F8" s="603">
        <v>481</v>
      </c>
      <c r="G8" s="603">
        <v>484</v>
      </c>
      <c r="H8" s="603">
        <v>481</v>
      </c>
      <c r="I8" s="603">
        <v>489</v>
      </c>
      <c r="J8" s="603">
        <v>483</v>
      </c>
      <c r="K8" s="603">
        <v>483</v>
      </c>
      <c r="L8" s="603">
        <v>483</v>
      </c>
      <c r="M8" s="603">
        <v>482</v>
      </c>
      <c r="N8" s="603">
        <v>479</v>
      </c>
      <c r="O8" s="602">
        <f t="shared" si="2"/>
        <v>482.41666666666669</v>
      </c>
      <c r="Q8" s="121" t="s">
        <v>17</v>
      </c>
      <c r="R8" s="310">
        <f t="shared" si="3"/>
        <v>5789</v>
      </c>
      <c r="S8" s="257" t="str">
        <f t="shared" si="1"/>
        <v>CFG - FTS-2.1 R</v>
      </c>
      <c r="T8" s="257"/>
      <c r="U8" s="204" t="s">
        <v>8</v>
      </c>
      <c r="W8" s="314"/>
    </row>
    <row r="9" spans="1:23">
      <c r="A9" s="121">
        <f t="shared" si="0"/>
        <v>9</v>
      </c>
      <c r="B9" s="315" t="s">
        <v>119</v>
      </c>
      <c r="C9" s="603">
        <v>16</v>
      </c>
      <c r="D9" s="603">
        <v>16</v>
      </c>
      <c r="E9" s="603">
        <v>16</v>
      </c>
      <c r="F9" s="603">
        <v>16</v>
      </c>
      <c r="G9" s="603">
        <v>16</v>
      </c>
      <c r="H9" s="603">
        <v>16</v>
      </c>
      <c r="I9" s="603">
        <v>17</v>
      </c>
      <c r="J9" s="603">
        <v>16</v>
      </c>
      <c r="K9" s="603">
        <v>16</v>
      </c>
      <c r="L9" s="603">
        <v>16</v>
      </c>
      <c r="M9" s="603">
        <v>16</v>
      </c>
      <c r="N9" s="603">
        <v>16</v>
      </c>
      <c r="O9" s="602">
        <f t="shared" si="2"/>
        <v>16.083333333333332</v>
      </c>
      <c r="Q9" s="121" t="s">
        <v>17</v>
      </c>
      <c r="R9" s="310">
        <f t="shared" si="3"/>
        <v>193</v>
      </c>
      <c r="S9" s="257" t="str">
        <f t="shared" si="1"/>
        <v>CFG - FTS-3 R</v>
      </c>
      <c r="T9" s="310"/>
      <c r="U9" s="204" t="s">
        <v>8</v>
      </c>
    </row>
    <row r="10" spans="1:23">
      <c r="A10" s="121">
        <f t="shared" si="0"/>
        <v>10</v>
      </c>
      <c r="B10" s="315" t="s">
        <v>120</v>
      </c>
      <c r="C10" s="603">
        <v>0</v>
      </c>
      <c r="D10" s="603"/>
      <c r="E10" s="603"/>
      <c r="F10" s="603"/>
      <c r="G10" s="603"/>
      <c r="H10" s="603"/>
      <c r="I10" s="603"/>
      <c r="J10" s="603"/>
      <c r="K10" s="603"/>
      <c r="L10" s="603"/>
      <c r="M10" s="603"/>
      <c r="N10" s="603"/>
      <c r="O10" s="602">
        <f t="shared" si="2"/>
        <v>0</v>
      </c>
      <c r="Q10" s="121" t="s">
        <v>17</v>
      </c>
      <c r="R10" s="310">
        <f t="shared" si="3"/>
        <v>0</v>
      </c>
      <c r="S10" s="257" t="str">
        <f t="shared" si="1"/>
        <v>CFG - FTS-3.1 R</v>
      </c>
      <c r="U10" s="204" t="s">
        <v>8</v>
      </c>
    </row>
    <row r="11" spans="1:23">
      <c r="A11" s="121">
        <f t="shared" si="0"/>
        <v>11</v>
      </c>
      <c r="B11" s="315" t="s">
        <v>161</v>
      </c>
      <c r="C11" s="603">
        <v>55006</v>
      </c>
      <c r="D11" s="603">
        <v>55048</v>
      </c>
      <c r="E11" s="603">
        <v>55195</v>
      </c>
      <c r="F11" s="603">
        <v>55660</v>
      </c>
      <c r="G11" s="603">
        <v>55411</v>
      </c>
      <c r="H11" s="603">
        <v>55894</v>
      </c>
      <c r="I11" s="603">
        <v>56537</v>
      </c>
      <c r="J11" s="603">
        <v>56011</v>
      </c>
      <c r="K11" s="603">
        <v>56132</v>
      </c>
      <c r="L11" s="603">
        <v>56111</v>
      </c>
      <c r="M11" s="603">
        <v>56466</v>
      </c>
      <c r="N11" s="603">
        <v>56785</v>
      </c>
      <c r="O11" s="602">
        <f>AVERAGE(C11:N11)</f>
        <v>55854.666666666664</v>
      </c>
      <c r="Q11" s="121" t="s">
        <v>16</v>
      </c>
      <c r="R11" s="310">
        <f t="shared" si="3"/>
        <v>670256</v>
      </c>
      <c r="S11" s="257" t="str">
        <f>CONCATENATE(Q11," - ",B11)</f>
        <v>FPU - FPU - RS</v>
      </c>
      <c r="T11" s="257"/>
      <c r="U11" s="204" t="s">
        <v>8</v>
      </c>
      <c r="W11" s="314"/>
    </row>
    <row r="12" spans="1:23">
      <c r="A12" s="121">
        <f t="shared" si="0"/>
        <v>12</v>
      </c>
      <c r="B12" s="315" t="s">
        <v>163</v>
      </c>
      <c r="C12" s="603">
        <v>504</v>
      </c>
      <c r="D12" s="603">
        <v>514</v>
      </c>
      <c r="E12" s="603">
        <v>515</v>
      </c>
      <c r="F12" s="603">
        <v>533</v>
      </c>
      <c r="G12" s="603">
        <v>783</v>
      </c>
      <c r="H12" s="603">
        <v>531</v>
      </c>
      <c r="I12" s="603">
        <v>541</v>
      </c>
      <c r="J12" s="603">
        <v>551</v>
      </c>
      <c r="K12" s="603">
        <v>558</v>
      </c>
      <c r="L12" s="603">
        <v>676</v>
      </c>
      <c r="M12" s="603">
        <v>562</v>
      </c>
      <c r="N12" s="603">
        <v>559</v>
      </c>
      <c r="O12" s="602">
        <f>AVERAGE(C12:N12)</f>
        <v>568.91666666666663</v>
      </c>
      <c r="Q12" s="121" t="s">
        <v>16</v>
      </c>
      <c r="R12" s="310">
        <f t="shared" si="3"/>
        <v>6827</v>
      </c>
      <c r="S12" s="257" t="str">
        <f>CONCATENATE(Q12," - ",B12)</f>
        <v>FPU - FPU - RS-GS</v>
      </c>
      <c r="T12" s="310"/>
      <c r="U12" s="204" t="s">
        <v>8</v>
      </c>
    </row>
    <row r="13" spans="1:23">
      <c r="A13" s="121">
        <f t="shared" si="0"/>
        <v>13</v>
      </c>
      <c r="B13" s="315" t="s">
        <v>111</v>
      </c>
      <c r="C13" s="603">
        <v>564</v>
      </c>
      <c r="D13" s="603">
        <v>568</v>
      </c>
      <c r="E13" s="603">
        <v>567</v>
      </c>
      <c r="F13" s="603">
        <v>570</v>
      </c>
      <c r="G13" s="603">
        <v>561</v>
      </c>
      <c r="H13" s="603">
        <v>558</v>
      </c>
      <c r="I13" s="603">
        <v>554</v>
      </c>
      <c r="J13" s="603">
        <v>554</v>
      </c>
      <c r="K13" s="603">
        <v>553</v>
      </c>
      <c r="L13" s="603">
        <v>556</v>
      </c>
      <c r="M13" s="603">
        <v>554</v>
      </c>
      <c r="N13" s="603">
        <v>561</v>
      </c>
      <c r="O13" s="602">
        <f>AVERAGE(C13:N13)</f>
        <v>560</v>
      </c>
      <c r="Q13" s="121" t="s">
        <v>14</v>
      </c>
      <c r="R13" s="310">
        <f t="shared" si="3"/>
        <v>6720</v>
      </c>
      <c r="S13" s="257" t="str">
        <f>CONCATENATE(Q13," - ",B13)</f>
        <v>FT - FT-RS</v>
      </c>
      <c r="T13" s="310"/>
      <c r="U13" s="204" t="s">
        <v>8</v>
      </c>
      <c r="W13" s="314"/>
    </row>
    <row r="14" spans="1:23">
      <c r="A14" s="121">
        <f t="shared" si="0"/>
        <v>14</v>
      </c>
      <c r="B14" s="315" t="s">
        <v>105</v>
      </c>
      <c r="C14" s="603">
        <v>669</v>
      </c>
      <c r="D14" s="603">
        <v>667</v>
      </c>
      <c r="E14" s="603">
        <v>670</v>
      </c>
      <c r="F14" s="603">
        <v>670</v>
      </c>
      <c r="G14" s="603">
        <v>669</v>
      </c>
      <c r="H14" s="603">
        <v>671</v>
      </c>
      <c r="I14" s="603">
        <v>669</v>
      </c>
      <c r="J14" s="603">
        <v>669</v>
      </c>
      <c r="K14" s="603">
        <v>667</v>
      </c>
      <c r="L14" s="603">
        <v>674</v>
      </c>
      <c r="M14" s="603">
        <v>671</v>
      </c>
      <c r="N14" s="603">
        <v>666</v>
      </c>
      <c r="O14" s="602">
        <f>AVERAGE(C14:N14)</f>
        <v>669.33333333333337</v>
      </c>
      <c r="Q14" s="121" t="s">
        <v>13</v>
      </c>
      <c r="R14" s="310">
        <f t="shared" si="3"/>
        <v>8032</v>
      </c>
      <c r="S14" s="257" t="str">
        <f>CONCATENATE(Q14," - ",B14)</f>
        <v>IGC - IGC - TS1</v>
      </c>
      <c r="U14" s="204" t="s">
        <v>8</v>
      </c>
      <c r="W14" s="314"/>
    </row>
    <row r="15" spans="1:23">
      <c r="A15" s="121">
        <f t="shared" si="0"/>
        <v>15</v>
      </c>
      <c r="B15" s="316" t="s">
        <v>166</v>
      </c>
      <c r="C15" s="604">
        <f>SUM(C4:C14)</f>
        <v>73355</v>
      </c>
      <c r="D15" s="604">
        <f t="shared" ref="D15:N15" si="4">SUM(D4:D14)</f>
        <v>73499</v>
      </c>
      <c r="E15" s="604">
        <f t="shared" si="4"/>
        <v>73730</v>
      </c>
      <c r="F15" s="604">
        <f t="shared" si="4"/>
        <v>74364</v>
      </c>
      <c r="G15" s="604">
        <f t="shared" si="4"/>
        <v>74324</v>
      </c>
      <c r="H15" s="604">
        <f t="shared" si="4"/>
        <v>74578</v>
      </c>
      <c r="I15" s="604">
        <f t="shared" si="4"/>
        <v>75281</v>
      </c>
      <c r="J15" s="604">
        <f t="shared" si="4"/>
        <v>74866</v>
      </c>
      <c r="K15" s="604">
        <f t="shared" si="4"/>
        <v>75022</v>
      </c>
      <c r="L15" s="604">
        <f t="shared" si="4"/>
        <v>75144</v>
      </c>
      <c r="M15" s="604">
        <f t="shared" si="4"/>
        <v>75478</v>
      </c>
      <c r="N15" s="604">
        <f t="shared" si="4"/>
        <v>75887</v>
      </c>
      <c r="O15" s="604">
        <f>+SUM(O4:O14)</f>
        <v>74627.333333333328</v>
      </c>
      <c r="R15" s="310">
        <f t="shared" si="3"/>
        <v>895528</v>
      </c>
      <c r="T15" s="257"/>
      <c r="W15" s="314"/>
    </row>
    <row r="16" spans="1:23">
      <c r="A16" s="121">
        <f t="shared" si="0"/>
        <v>16</v>
      </c>
      <c r="B16" s="311" t="s">
        <v>167</v>
      </c>
      <c r="C16" s="602"/>
      <c r="D16" s="605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T16" s="257"/>
    </row>
    <row r="17" spans="1:21">
      <c r="A17" s="121">
        <f t="shared" si="0"/>
        <v>17</v>
      </c>
      <c r="B17" s="312" t="s">
        <v>114</v>
      </c>
      <c r="C17" s="603">
        <v>34</v>
      </c>
      <c r="D17" s="603">
        <v>34</v>
      </c>
      <c r="E17" s="603">
        <v>35</v>
      </c>
      <c r="F17" s="603">
        <v>34</v>
      </c>
      <c r="G17" s="603">
        <v>31</v>
      </c>
      <c r="H17" s="603">
        <v>30</v>
      </c>
      <c r="I17" s="603">
        <v>29</v>
      </c>
      <c r="J17" s="603">
        <v>30</v>
      </c>
      <c r="K17" s="603">
        <v>28</v>
      </c>
      <c r="L17" s="603">
        <v>31</v>
      </c>
      <c r="M17" s="603">
        <v>32</v>
      </c>
      <c r="N17" s="603">
        <v>33</v>
      </c>
      <c r="O17" s="602">
        <f t="shared" ref="O17:O24" si="5">AVERAGE(C17:N17)</f>
        <v>31.75</v>
      </c>
      <c r="Q17" s="121" t="s">
        <v>17</v>
      </c>
      <c r="R17" s="310">
        <f t="shared" ref="R17:R24" si="6">+SUM(C17:N17)</f>
        <v>381</v>
      </c>
      <c r="S17" s="257" t="str">
        <f t="shared" ref="S17:S23" si="7">CONCATENATE(Q17," - ",B17," - ",T17)</f>
        <v>CFG - FTS-A - Fixed R</v>
      </c>
      <c r="T17" s="121" t="s">
        <v>168</v>
      </c>
      <c r="U17" s="204" t="s">
        <v>8</v>
      </c>
    </row>
    <row r="18" spans="1:21">
      <c r="A18" s="121">
        <f t="shared" si="0"/>
        <v>18</v>
      </c>
      <c r="B18" s="312" t="s">
        <v>115</v>
      </c>
      <c r="C18" s="603">
        <v>61</v>
      </c>
      <c r="D18" s="603">
        <v>62</v>
      </c>
      <c r="E18" s="603">
        <v>61</v>
      </c>
      <c r="F18" s="603">
        <v>62</v>
      </c>
      <c r="G18" s="603">
        <v>62</v>
      </c>
      <c r="H18" s="603">
        <v>62</v>
      </c>
      <c r="I18" s="603">
        <v>61</v>
      </c>
      <c r="J18" s="603">
        <v>60</v>
      </c>
      <c r="K18" s="603">
        <v>60</v>
      </c>
      <c r="L18" s="603">
        <v>63</v>
      </c>
      <c r="M18" s="603">
        <v>62</v>
      </c>
      <c r="N18" s="603">
        <v>64</v>
      </c>
      <c r="O18" s="602">
        <f t="shared" si="5"/>
        <v>61.666666666666664</v>
      </c>
      <c r="Q18" s="121" t="s">
        <v>17</v>
      </c>
      <c r="R18" s="310">
        <f t="shared" si="6"/>
        <v>740</v>
      </c>
      <c r="S18" s="257" t="str">
        <f t="shared" si="7"/>
        <v>CFG - FTS-B - Fixed R</v>
      </c>
      <c r="T18" s="121" t="s">
        <v>168</v>
      </c>
      <c r="U18" s="204" t="s">
        <v>8</v>
      </c>
    </row>
    <row r="19" spans="1:21">
      <c r="A19" s="121">
        <f t="shared" si="0"/>
        <v>19</v>
      </c>
      <c r="B19" s="312" t="s">
        <v>116</v>
      </c>
      <c r="C19" s="603">
        <v>166</v>
      </c>
      <c r="D19" s="603">
        <v>166</v>
      </c>
      <c r="E19" s="603">
        <v>165</v>
      </c>
      <c r="F19" s="603">
        <v>164</v>
      </c>
      <c r="G19" s="603">
        <v>165</v>
      </c>
      <c r="H19" s="603">
        <v>166</v>
      </c>
      <c r="I19" s="603">
        <v>168</v>
      </c>
      <c r="J19" s="603">
        <v>168</v>
      </c>
      <c r="K19" s="603">
        <v>167</v>
      </c>
      <c r="L19" s="603">
        <v>167</v>
      </c>
      <c r="M19" s="603">
        <v>167</v>
      </c>
      <c r="N19" s="603">
        <v>167</v>
      </c>
      <c r="O19" s="602">
        <f t="shared" si="5"/>
        <v>166.33333333333334</v>
      </c>
      <c r="Q19" s="121" t="s">
        <v>17</v>
      </c>
      <c r="R19" s="310">
        <f t="shared" si="6"/>
        <v>1996</v>
      </c>
      <c r="S19" s="257" t="str">
        <f>CONCATENATE(Q19," - ",B19," - ",T19)</f>
        <v>CFG - FTS-1 - Fixed R</v>
      </c>
      <c r="T19" s="121" t="s">
        <v>168</v>
      </c>
      <c r="U19" s="204" t="s">
        <v>8</v>
      </c>
    </row>
    <row r="20" spans="1:21">
      <c r="A20" s="121">
        <f t="shared" si="0"/>
        <v>20</v>
      </c>
      <c r="B20" s="312" t="s">
        <v>117</v>
      </c>
      <c r="C20" s="603">
        <v>19</v>
      </c>
      <c r="D20" s="603">
        <v>19</v>
      </c>
      <c r="E20" s="603">
        <v>19</v>
      </c>
      <c r="F20" s="603">
        <v>19</v>
      </c>
      <c r="G20" s="603">
        <v>19</v>
      </c>
      <c r="H20" s="603">
        <v>18</v>
      </c>
      <c r="I20" s="603">
        <v>18</v>
      </c>
      <c r="J20" s="603">
        <v>18</v>
      </c>
      <c r="K20" s="603">
        <v>18</v>
      </c>
      <c r="L20" s="603">
        <v>18</v>
      </c>
      <c r="M20" s="603">
        <v>19</v>
      </c>
      <c r="N20" s="603">
        <v>19</v>
      </c>
      <c r="O20" s="602">
        <f t="shared" si="5"/>
        <v>18.583333333333332</v>
      </c>
      <c r="Q20" s="121" t="s">
        <v>17</v>
      </c>
      <c r="R20" s="310">
        <f t="shared" si="6"/>
        <v>223</v>
      </c>
      <c r="S20" s="257" t="str">
        <f t="shared" si="7"/>
        <v>CFG - FTS-2 - Fixed R</v>
      </c>
      <c r="T20" s="121" t="s">
        <v>168</v>
      </c>
      <c r="U20" s="204" t="s">
        <v>8</v>
      </c>
    </row>
    <row r="21" spans="1:21">
      <c r="A21" s="121">
        <f t="shared" si="0"/>
        <v>21</v>
      </c>
      <c r="B21" s="312" t="s">
        <v>118</v>
      </c>
      <c r="C21" s="603">
        <v>9</v>
      </c>
      <c r="D21" s="603">
        <v>9</v>
      </c>
      <c r="E21" s="603">
        <v>9</v>
      </c>
      <c r="F21" s="603">
        <v>9</v>
      </c>
      <c r="G21" s="603">
        <v>9</v>
      </c>
      <c r="H21" s="603">
        <v>9</v>
      </c>
      <c r="I21" s="603">
        <v>9</v>
      </c>
      <c r="J21" s="603">
        <v>9</v>
      </c>
      <c r="K21" s="603">
        <v>10</v>
      </c>
      <c r="L21" s="603">
        <v>8</v>
      </c>
      <c r="M21" s="603">
        <v>8</v>
      </c>
      <c r="N21" s="603">
        <v>8</v>
      </c>
      <c r="O21" s="602">
        <f t="shared" si="5"/>
        <v>8.8333333333333339</v>
      </c>
      <c r="Q21" s="121" t="s">
        <v>17</v>
      </c>
      <c r="R21" s="310">
        <f t="shared" si="6"/>
        <v>106</v>
      </c>
      <c r="S21" s="257" t="str">
        <f t="shared" si="7"/>
        <v>CFG - FTS-2.1 - Fixed R</v>
      </c>
      <c r="T21" s="121" t="s">
        <v>168</v>
      </c>
      <c r="U21" s="204" t="s">
        <v>8</v>
      </c>
    </row>
    <row r="22" spans="1:21">
      <c r="A22" s="121">
        <f t="shared" si="0"/>
        <v>22</v>
      </c>
      <c r="B22" s="315" t="s">
        <v>119</v>
      </c>
      <c r="C22" s="603">
        <v>0</v>
      </c>
      <c r="D22" s="603"/>
      <c r="E22" s="603"/>
      <c r="F22" s="603"/>
      <c r="G22" s="603"/>
      <c r="H22" s="603"/>
      <c r="I22" s="603"/>
      <c r="J22" s="603"/>
      <c r="K22" s="603"/>
      <c r="L22" s="603"/>
      <c r="M22" s="603"/>
      <c r="N22" s="603"/>
      <c r="O22" s="602">
        <f t="shared" si="5"/>
        <v>0</v>
      </c>
      <c r="Q22" s="121" t="s">
        <v>17</v>
      </c>
      <c r="R22" s="310">
        <f t="shared" si="6"/>
        <v>0</v>
      </c>
      <c r="S22" s="257" t="str">
        <f t="shared" si="7"/>
        <v>CFG - FTS-3 - Fixed R</v>
      </c>
      <c r="T22" s="121" t="s">
        <v>168</v>
      </c>
      <c r="U22" s="204" t="s">
        <v>8</v>
      </c>
    </row>
    <row r="23" spans="1:21" ht="12.75" customHeight="1">
      <c r="A23" s="121">
        <f t="shared" si="0"/>
        <v>23</v>
      </c>
      <c r="B23" s="315" t="s">
        <v>120</v>
      </c>
      <c r="C23" s="603">
        <v>0</v>
      </c>
      <c r="D23" s="603"/>
      <c r="E23" s="603"/>
      <c r="F23" s="603"/>
      <c r="G23" s="603"/>
      <c r="H23" s="603"/>
      <c r="I23" s="603"/>
      <c r="J23" s="603"/>
      <c r="K23" s="603"/>
      <c r="L23" s="603"/>
      <c r="M23" s="603"/>
      <c r="N23" s="603"/>
      <c r="O23" s="606">
        <f t="shared" si="5"/>
        <v>0</v>
      </c>
      <c r="Q23" s="121" t="s">
        <v>17</v>
      </c>
      <c r="R23" s="310">
        <f t="shared" si="6"/>
        <v>0</v>
      </c>
      <c r="S23" s="257" t="str">
        <f t="shared" si="7"/>
        <v>CFG - FTS-3.1 - Fixed R</v>
      </c>
      <c r="T23" s="121" t="s">
        <v>168</v>
      </c>
      <c r="U23" s="204" t="s">
        <v>8</v>
      </c>
    </row>
    <row r="24" spans="1:21">
      <c r="A24" s="121">
        <f t="shared" si="0"/>
        <v>24</v>
      </c>
      <c r="B24" s="316" t="s">
        <v>169</v>
      </c>
      <c r="C24" s="604">
        <f t="shared" ref="C24:N24" si="8">SUM(C17:C23)</f>
        <v>289</v>
      </c>
      <c r="D24" s="604">
        <f t="shared" si="8"/>
        <v>290</v>
      </c>
      <c r="E24" s="604">
        <f t="shared" si="8"/>
        <v>289</v>
      </c>
      <c r="F24" s="604">
        <f t="shared" si="8"/>
        <v>288</v>
      </c>
      <c r="G24" s="604">
        <f t="shared" si="8"/>
        <v>286</v>
      </c>
      <c r="H24" s="604">
        <f t="shared" si="8"/>
        <v>285</v>
      </c>
      <c r="I24" s="604">
        <f t="shared" si="8"/>
        <v>285</v>
      </c>
      <c r="J24" s="604">
        <f t="shared" si="8"/>
        <v>285</v>
      </c>
      <c r="K24" s="604">
        <f t="shared" si="8"/>
        <v>283</v>
      </c>
      <c r="L24" s="604">
        <f t="shared" si="8"/>
        <v>287</v>
      </c>
      <c r="M24" s="604">
        <f t="shared" si="8"/>
        <v>288</v>
      </c>
      <c r="N24" s="604">
        <f t="shared" si="8"/>
        <v>291</v>
      </c>
      <c r="O24" s="602">
        <f t="shared" si="5"/>
        <v>287.16666666666669</v>
      </c>
      <c r="R24" s="310">
        <f t="shared" si="6"/>
        <v>3446</v>
      </c>
    </row>
    <row r="25" spans="1:21">
      <c r="A25" s="121">
        <f t="shared" si="0"/>
        <v>25</v>
      </c>
      <c r="B25" s="320" t="s">
        <v>170</v>
      </c>
      <c r="C25" s="602"/>
      <c r="D25" s="602"/>
      <c r="E25" s="602"/>
      <c r="F25" s="602"/>
      <c r="G25" s="602"/>
      <c r="H25" s="602"/>
      <c r="I25" s="602"/>
      <c r="J25" s="602"/>
      <c r="K25" s="602"/>
      <c r="L25" s="602"/>
      <c r="M25" s="602"/>
      <c r="N25" s="602"/>
      <c r="O25" s="602"/>
      <c r="R25" s="121"/>
    </row>
    <row r="26" spans="1:21">
      <c r="A26" s="121">
        <f t="shared" si="0"/>
        <v>26</v>
      </c>
      <c r="B26" s="312" t="s">
        <v>114</v>
      </c>
      <c r="C26" s="603">
        <v>12</v>
      </c>
      <c r="D26" s="603">
        <v>12</v>
      </c>
      <c r="E26" s="603">
        <v>12</v>
      </c>
      <c r="F26" s="603">
        <v>12</v>
      </c>
      <c r="G26" s="603">
        <v>11</v>
      </c>
      <c r="H26" s="603">
        <v>11</v>
      </c>
      <c r="I26" s="603">
        <v>11</v>
      </c>
      <c r="J26" s="603">
        <v>11</v>
      </c>
      <c r="K26" s="603">
        <v>11</v>
      </c>
      <c r="L26" s="603">
        <v>11</v>
      </c>
      <c r="M26" s="603">
        <v>11</v>
      </c>
      <c r="N26" s="603">
        <v>10</v>
      </c>
      <c r="O26" s="602">
        <f t="shared" ref="O26:O62" si="9">AVERAGE(C26:N26)</f>
        <v>11.25</v>
      </c>
      <c r="Q26" s="121" t="s">
        <v>17</v>
      </c>
      <c r="R26" s="310">
        <f t="shared" ref="R26:R62" si="10">+SUM(C26:N26)</f>
        <v>135</v>
      </c>
      <c r="S26" s="257" t="str">
        <f t="shared" ref="S26:S32" si="11">CONCATENATE(Q26," - ",B26," NR")</f>
        <v>CFG - FTS-A NR</v>
      </c>
      <c r="U26" s="204" t="s">
        <v>1245</v>
      </c>
    </row>
    <row r="27" spans="1:21">
      <c r="A27" s="121">
        <f t="shared" si="0"/>
        <v>27</v>
      </c>
      <c r="B27" s="312" t="s">
        <v>115</v>
      </c>
      <c r="C27" s="603">
        <v>7</v>
      </c>
      <c r="D27" s="603">
        <v>7</v>
      </c>
      <c r="E27" s="603">
        <v>7</v>
      </c>
      <c r="F27" s="603">
        <v>7</v>
      </c>
      <c r="G27" s="603">
        <v>7</v>
      </c>
      <c r="H27" s="603">
        <v>6</v>
      </c>
      <c r="I27" s="603">
        <v>6</v>
      </c>
      <c r="J27" s="603">
        <v>6</v>
      </c>
      <c r="K27" s="603">
        <v>6</v>
      </c>
      <c r="L27" s="603">
        <v>6</v>
      </c>
      <c r="M27" s="603">
        <v>7</v>
      </c>
      <c r="N27" s="603">
        <v>7</v>
      </c>
      <c r="O27" s="602">
        <f t="shared" si="9"/>
        <v>6.583333333333333</v>
      </c>
      <c r="Q27" s="121" t="s">
        <v>17</v>
      </c>
      <c r="R27" s="310">
        <f t="shared" si="10"/>
        <v>79</v>
      </c>
      <c r="S27" s="257" t="str">
        <f t="shared" si="11"/>
        <v>CFG - FTS-B NR</v>
      </c>
      <c r="T27" s="310"/>
      <c r="U27" s="204" t="s">
        <v>1245</v>
      </c>
    </row>
    <row r="28" spans="1:21">
      <c r="A28" s="121">
        <f t="shared" si="0"/>
        <v>28</v>
      </c>
      <c r="B28" s="312" t="s">
        <v>116</v>
      </c>
      <c r="C28" s="603">
        <v>230</v>
      </c>
      <c r="D28" s="603">
        <v>228</v>
      </c>
      <c r="E28" s="603">
        <v>228</v>
      </c>
      <c r="F28" s="603">
        <v>231</v>
      </c>
      <c r="G28" s="603">
        <v>231</v>
      </c>
      <c r="H28" s="603">
        <v>231</v>
      </c>
      <c r="I28" s="603">
        <v>231</v>
      </c>
      <c r="J28" s="603">
        <v>232</v>
      </c>
      <c r="K28" s="603">
        <v>233</v>
      </c>
      <c r="L28" s="603">
        <v>229</v>
      </c>
      <c r="M28" s="603">
        <v>227</v>
      </c>
      <c r="N28" s="603">
        <v>229</v>
      </c>
      <c r="O28" s="602">
        <f t="shared" si="9"/>
        <v>230</v>
      </c>
      <c r="Q28" s="121" t="s">
        <v>17</v>
      </c>
      <c r="R28" s="310">
        <f t="shared" si="10"/>
        <v>2760</v>
      </c>
      <c r="S28" s="257" t="str">
        <f t="shared" si="11"/>
        <v>CFG - FTS-1 NR</v>
      </c>
      <c r="T28" s="310"/>
      <c r="U28" s="204" t="s">
        <v>1245</v>
      </c>
    </row>
    <row r="29" spans="1:21">
      <c r="A29" s="121">
        <f t="shared" si="0"/>
        <v>29</v>
      </c>
      <c r="B29" s="312" t="s">
        <v>117</v>
      </c>
      <c r="C29" s="603">
        <v>94</v>
      </c>
      <c r="D29" s="603">
        <v>92</v>
      </c>
      <c r="E29" s="603">
        <v>93</v>
      </c>
      <c r="F29" s="603">
        <v>95</v>
      </c>
      <c r="G29" s="603">
        <v>94</v>
      </c>
      <c r="H29" s="603">
        <v>95</v>
      </c>
      <c r="I29" s="603">
        <v>95</v>
      </c>
      <c r="J29" s="603">
        <v>96</v>
      </c>
      <c r="K29" s="603">
        <v>94</v>
      </c>
      <c r="L29" s="603">
        <v>96</v>
      </c>
      <c r="M29" s="603">
        <v>97</v>
      </c>
      <c r="N29" s="603">
        <v>99</v>
      </c>
      <c r="O29" s="602">
        <f t="shared" si="9"/>
        <v>95</v>
      </c>
      <c r="Q29" s="121" t="s">
        <v>17</v>
      </c>
      <c r="R29" s="310">
        <f t="shared" si="10"/>
        <v>1140</v>
      </c>
      <c r="S29" s="257" t="str">
        <f t="shared" si="11"/>
        <v>CFG - FTS-2 NR</v>
      </c>
      <c r="T29" s="310"/>
      <c r="U29" s="204" t="s">
        <v>1245</v>
      </c>
    </row>
    <row r="30" spans="1:21">
      <c r="A30" s="121">
        <f t="shared" si="0"/>
        <v>30</v>
      </c>
      <c r="B30" s="312" t="s">
        <v>118</v>
      </c>
      <c r="C30" s="603">
        <v>194</v>
      </c>
      <c r="D30" s="603">
        <v>196</v>
      </c>
      <c r="E30" s="603">
        <v>200</v>
      </c>
      <c r="F30" s="603">
        <v>198</v>
      </c>
      <c r="G30" s="603">
        <v>199</v>
      </c>
      <c r="H30" s="603">
        <v>199</v>
      </c>
      <c r="I30" s="603">
        <v>201</v>
      </c>
      <c r="J30" s="603">
        <v>205</v>
      </c>
      <c r="K30" s="603">
        <v>203</v>
      </c>
      <c r="L30" s="603">
        <v>202</v>
      </c>
      <c r="M30" s="603">
        <v>208</v>
      </c>
      <c r="N30" s="603">
        <v>210</v>
      </c>
      <c r="O30" s="602">
        <f t="shared" si="9"/>
        <v>201.25</v>
      </c>
      <c r="Q30" s="121" t="s">
        <v>17</v>
      </c>
      <c r="R30" s="310">
        <f t="shared" si="10"/>
        <v>2415</v>
      </c>
      <c r="S30" s="257" t="str">
        <f t="shared" si="11"/>
        <v>CFG - FTS-2.1 NR</v>
      </c>
      <c r="T30" s="310"/>
      <c r="U30" s="204" t="s">
        <v>1245</v>
      </c>
    </row>
    <row r="31" spans="1:21">
      <c r="A31" s="121">
        <f t="shared" si="0"/>
        <v>31</v>
      </c>
      <c r="B31" s="315" t="s">
        <v>119</v>
      </c>
      <c r="C31" s="603">
        <v>265</v>
      </c>
      <c r="D31" s="603">
        <v>267</v>
      </c>
      <c r="E31" s="603">
        <v>268</v>
      </c>
      <c r="F31" s="603">
        <v>272</v>
      </c>
      <c r="G31" s="603">
        <v>268</v>
      </c>
      <c r="H31" s="603">
        <v>270</v>
      </c>
      <c r="I31" s="603">
        <v>275</v>
      </c>
      <c r="J31" s="603">
        <v>273</v>
      </c>
      <c r="K31" s="603">
        <v>271</v>
      </c>
      <c r="L31" s="603">
        <v>272</v>
      </c>
      <c r="M31" s="603">
        <v>275</v>
      </c>
      <c r="N31" s="603">
        <v>275</v>
      </c>
      <c r="O31" s="602">
        <f t="shared" si="9"/>
        <v>270.91666666666669</v>
      </c>
      <c r="Q31" s="121" t="s">
        <v>17</v>
      </c>
      <c r="R31" s="310">
        <f t="shared" si="10"/>
        <v>3251</v>
      </c>
      <c r="S31" s="257" t="str">
        <f t="shared" si="11"/>
        <v>CFG - FTS-3 NR</v>
      </c>
      <c r="T31" s="257"/>
      <c r="U31" s="204" t="s">
        <v>1245</v>
      </c>
    </row>
    <row r="32" spans="1:21">
      <c r="A32" s="121">
        <f t="shared" si="0"/>
        <v>32</v>
      </c>
      <c r="B32" s="315" t="s">
        <v>120</v>
      </c>
      <c r="C32" s="603">
        <v>330</v>
      </c>
      <c r="D32" s="603">
        <v>329</v>
      </c>
      <c r="E32" s="603">
        <v>330</v>
      </c>
      <c r="F32" s="603">
        <v>334</v>
      </c>
      <c r="G32" s="603">
        <v>334</v>
      </c>
      <c r="H32" s="603">
        <v>330</v>
      </c>
      <c r="I32" s="603">
        <v>331</v>
      </c>
      <c r="J32" s="603">
        <v>331</v>
      </c>
      <c r="K32" s="603">
        <v>329</v>
      </c>
      <c r="L32" s="603">
        <v>329</v>
      </c>
      <c r="M32" s="603">
        <v>327</v>
      </c>
      <c r="N32" s="603">
        <v>333</v>
      </c>
      <c r="O32" s="602">
        <f t="shared" si="9"/>
        <v>330.58333333333331</v>
      </c>
      <c r="Q32" s="121" t="s">
        <v>17</v>
      </c>
      <c r="R32" s="310">
        <f t="shared" si="10"/>
        <v>3967</v>
      </c>
      <c r="S32" s="257" t="str">
        <f t="shared" si="11"/>
        <v>CFG - FTS-3.1 NR</v>
      </c>
      <c r="U32" s="204" t="s">
        <v>1245</v>
      </c>
    </row>
    <row r="33" spans="1:21">
      <c r="A33" s="121">
        <f t="shared" si="0"/>
        <v>33</v>
      </c>
      <c r="B33" s="315" t="s">
        <v>121</v>
      </c>
      <c r="C33" s="603">
        <v>208</v>
      </c>
      <c r="D33" s="603">
        <v>208</v>
      </c>
      <c r="E33" s="603">
        <v>208</v>
      </c>
      <c r="F33" s="603">
        <v>212</v>
      </c>
      <c r="G33" s="603">
        <v>208</v>
      </c>
      <c r="H33" s="603">
        <v>210</v>
      </c>
      <c r="I33" s="603">
        <v>211</v>
      </c>
      <c r="J33" s="603">
        <v>215</v>
      </c>
      <c r="K33" s="603">
        <v>210</v>
      </c>
      <c r="L33" s="603">
        <v>212</v>
      </c>
      <c r="M33" s="603">
        <v>210</v>
      </c>
      <c r="N33" s="603">
        <v>210</v>
      </c>
      <c r="O33" s="602">
        <f t="shared" si="9"/>
        <v>210.16666666666666</v>
      </c>
      <c r="Q33" s="121" t="s">
        <v>17</v>
      </c>
      <c r="R33" s="310">
        <f t="shared" si="10"/>
        <v>2522</v>
      </c>
      <c r="S33" s="257" t="str">
        <f t="shared" ref="S33:S61" si="12">CONCATENATE(Q33," - ",B33)</f>
        <v>CFG - FTS-4</v>
      </c>
      <c r="U33" s="204" t="s">
        <v>1245</v>
      </c>
    </row>
    <row r="34" spans="1:21">
      <c r="A34" s="121">
        <f t="shared" si="0"/>
        <v>34</v>
      </c>
      <c r="B34" s="315" t="s">
        <v>142</v>
      </c>
      <c r="C34" s="603">
        <v>34</v>
      </c>
      <c r="D34" s="603">
        <v>34</v>
      </c>
      <c r="E34" s="603">
        <v>34</v>
      </c>
      <c r="F34" s="603">
        <v>34</v>
      </c>
      <c r="G34" s="603">
        <v>34</v>
      </c>
      <c r="H34" s="603">
        <v>34</v>
      </c>
      <c r="I34" s="603">
        <v>36</v>
      </c>
      <c r="J34" s="603">
        <v>34</v>
      </c>
      <c r="K34" s="603">
        <v>34</v>
      </c>
      <c r="L34" s="603">
        <v>35</v>
      </c>
      <c r="M34" s="603">
        <v>35</v>
      </c>
      <c r="N34" s="603">
        <v>36</v>
      </c>
      <c r="O34" s="602">
        <f t="shared" si="9"/>
        <v>34.5</v>
      </c>
      <c r="Q34" s="121" t="s">
        <v>17</v>
      </c>
      <c r="R34" s="310">
        <f t="shared" si="10"/>
        <v>414</v>
      </c>
      <c r="S34" s="257" t="str">
        <f t="shared" si="12"/>
        <v>CFG - FTS-5</v>
      </c>
      <c r="U34" s="204" t="s">
        <v>1245</v>
      </c>
    </row>
    <row r="35" spans="1:21">
      <c r="A35" s="121">
        <f t="shared" si="0"/>
        <v>35</v>
      </c>
      <c r="B35" s="315" t="s">
        <v>143</v>
      </c>
      <c r="C35" s="603">
        <v>26</v>
      </c>
      <c r="D35" s="603">
        <v>26</v>
      </c>
      <c r="E35" s="603">
        <v>26</v>
      </c>
      <c r="F35" s="603">
        <v>26</v>
      </c>
      <c r="G35" s="603">
        <v>26</v>
      </c>
      <c r="H35" s="603">
        <v>26</v>
      </c>
      <c r="I35" s="603">
        <v>26</v>
      </c>
      <c r="J35" s="603">
        <v>27</v>
      </c>
      <c r="K35" s="603">
        <v>25</v>
      </c>
      <c r="L35" s="603">
        <v>26</v>
      </c>
      <c r="M35" s="603">
        <v>26</v>
      </c>
      <c r="N35" s="603">
        <v>26</v>
      </c>
      <c r="O35" s="602">
        <f t="shared" si="9"/>
        <v>26</v>
      </c>
      <c r="Q35" s="121" t="s">
        <v>17</v>
      </c>
      <c r="R35" s="310">
        <f t="shared" si="10"/>
        <v>312</v>
      </c>
      <c r="S35" s="257" t="str">
        <f t="shared" si="12"/>
        <v>CFG - FTS-6</v>
      </c>
      <c r="U35" s="204" t="s">
        <v>1245</v>
      </c>
    </row>
    <row r="36" spans="1:21">
      <c r="A36" s="121">
        <f t="shared" si="0"/>
        <v>36</v>
      </c>
      <c r="B36" s="315" t="s">
        <v>144</v>
      </c>
      <c r="C36" s="603">
        <v>22</v>
      </c>
      <c r="D36" s="603">
        <v>22</v>
      </c>
      <c r="E36" s="603">
        <v>22</v>
      </c>
      <c r="F36" s="603">
        <v>22</v>
      </c>
      <c r="G36" s="603">
        <v>22</v>
      </c>
      <c r="H36" s="603">
        <v>22</v>
      </c>
      <c r="I36" s="603">
        <v>22</v>
      </c>
      <c r="J36" s="603">
        <v>25</v>
      </c>
      <c r="K36" s="603">
        <v>23</v>
      </c>
      <c r="L36" s="603">
        <v>23</v>
      </c>
      <c r="M36" s="603">
        <v>23</v>
      </c>
      <c r="N36" s="603">
        <v>23</v>
      </c>
      <c r="O36" s="602">
        <f t="shared" si="9"/>
        <v>22.583333333333332</v>
      </c>
      <c r="Q36" s="121" t="s">
        <v>17</v>
      </c>
      <c r="R36" s="310">
        <f t="shared" si="10"/>
        <v>271</v>
      </c>
      <c r="S36" s="257" t="str">
        <f t="shared" si="12"/>
        <v>CFG - FTS-7</v>
      </c>
      <c r="U36" s="204" t="s">
        <v>1245</v>
      </c>
    </row>
    <row r="37" spans="1:21">
      <c r="A37" s="121">
        <f t="shared" si="0"/>
        <v>37</v>
      </c>
      <c r="B37" s="315" t="s">
        <v>145</v>
      </c>
      <c r="C37" s="603">
        <v>17</v>
      </c>
      <c r="D37" s="603">
        <v>17</v>
      </c>
      <c r="E37" s="603">
        <v>17</v>
      </c>
      <c r="F37" s="603">
        <v>17</v>
      </c>
      <c r="G37" s="603">
        <v>17</v>
      </c>
      <c r="H37" s="603">
        <v>17</v>
      </c>
      <c r="I37" s="603">
        <v>19</v>
      </c>
      <c r="J37" s="603">
        <v>18</v>
      </c>
      <c r="K37" s="603">
        <v>17</v>
      </c>
      <c r="L37" s="603">
        <v>17</v>
      </c>
      <c r="M37" s="603">
        <v>16</v>
      </c>
      <c r="N37" s="603">
        <v>18</v>
      </c>
      <c r="O37" s="602">
        <f t="shared" si="9"/>
        <v>17.25</v>
      </c>
      <c r="Q37" s="121" t="s">
        <v>17</v>
      </c>
      <c r="R37" s="310">
        <f t="shared" si="10"/>
        <v>207</v>
      </c>
      <c r="S37" s="257" t="str">
        <f t="shared" si="12"/>
        <v>CFG - FTS-8</v>
      </c>
      <c r="U37" s="204" t="s">
        <v>1245</v>
      </c>
    </row>
    <row r="38" spans="1:21">
      <c r="A38" s="121">
        <f t="shared" si="0"/>
        <v>38</v>
      </c>
      <c r="B38" s="315" t="s">
        <v>146</v>
      </c>
      <c r="C38" s="603">
        <v>7</v>
      </c>
      <c r="D38" s="603">
        <v>7</v>
      </c>
      <c r="E38" s="603">
        <v>7</v>
      </c>
      <c r="F38" s="603">
        <v>7</v>
      </c>
      <c r="G38" s="603">
        <v>7</v>
      </c>
      <c r="H38" s="603">
        <v>7</v>
      </c>
      <c r="I38" s="603">
        <v>7</v>
      </c>
      <c r="J38" s="603">
        <v>6</v>
      </c>
      <c r="K38" s="603">
        <v>6</v>
      </c>
      <c r="L38" s="603">
        <v>6</v>
      </c>
      <c r="M38" s="603">
        <v>6</v>
      </c>
      <c r="N38" s="603">
        <v>6</v>
      </c>
      <c r="O38" s="602">
        <f t="shared" si="9"/>
        <v>6.583333333333333</v>
      </c>
      <c r="Q38" s="121" t="s">
        <v>17</v>
      </c>
      <c r="R38" s="310">
        <f t="shared" si="10"/>
        <v>79</v>
      </c>
      <c r="S38" s="257" t="str">
        <f t="shared" si="12"/>
        <v>CFG - FTS-9</v>
      </c>
      <c r="U38" s="204" t="s">
        <v>1245</v>
      </c>
    </row>
    <row r="39" spans="1:21">
      <c r="A39" s="121">
        <f t="shared" si="0"/>
        <v>39</v>
      </c>
      <c r="B39" s="315" t="s">
        <v>147</v>
      </c>
      <c r="C39" s="603">
        <v>3</v>
      </c>
      <c r="D39" s="603">
        <v>3</v>
      </c>
      <c r="E39" s="603">
        <v>3</v>
      </c>
      <c r="F39" s="603">
        <v>3</v>
      </c>
      <c r="G39" s="603">
        <v>3</v>
      </c>
      <c r="H39" s="603">
        <v>3</v>
      </c>
      <c r="I39" s="603">
        <v>3</v>
      </c>
      <c r="J39" s="603">
        <v>3</v>
      </c>
      <c r="K39" s="603">
        <v>3</v>
      </c>
      <c r="L39" s="603">
        <v>3</v>
      </c>
      <c r="M39" s="603">
        <v>3</v>
      </c>
      <c r="N39" s="603">
        <v>3</v>
      </c>
      <c r="O39" s="602">
        <f t="shared" si="9"/>
        <v>3</v>
      </c>
      <c r="Q39" s="121" t="s">
        <v>17</v>
      </c>
      <c r="R39" s="310">
        <f t="shared" si="10"/>
        <v>36</v>
      </c>
      <c r="S39" s="257" t="str">
        <f t="shared" si="12"/>
        <v>CFG - FTS-10</v>
      </c>
      <c r="U39" s="204" t="s">
        <v>1245</v>
      </c>
    </row>
    <row r="40" spans="1:21">
      <c r="A40" s="121">
        <f t="shared" si="0"/>
        <v>40</v>
      </c>
      <c r="B40" s="315" t="s">
        <v>148</v>
      </c>
      <c r="C40" s="603">
        <v>2</v>
      </c>
      <c r="D40" s="603">
        <v>2</v>
      </c>
      <c r="E40" s="603">
        <v>2</v>
      </c>
      <c r="F40" s="603">
        <v>1</v>
      </c>
      <c r="G40" s="603">
        <v>1</v>
      </c>
      <c r="H40" s="603">
        <v>1</v>
      </c>
      <c r="I40" s="603">
        <v>1</v>
      </c>
      <c r="J40" s="603">
        <v>1</v>
      </c>
      <c r="K40" s="603">
        <v>1</v>
      </c>
      <c r="L40" s="603">
        <v>1</v>
      </c>
      <c r="M40" s="603">
        <v>1</v>
      </c>
      <c r="N40" s="603">
        <v>1</v>
      </c>
      <c r="O40" s="602">
        <f t="shared" si="9"/>
        <v>1.25</v>
      </c>
      <c r="Q40" s="121" t="s">
        <v>17</v>
      </c>
      <c r="R40" s="310">
        <f t="shared" si="10"/>
        <v>15</v>
      </c>
      <c r="S40" s="257" t="str">
        <f t="shared" si="12"/>
        <v>CFG - FTS-11</v>
      </c>
      <c r="U40" s="204" t="s">
        <v>1245</v>
      </c>
    </row>
    <row r="41" spans="1:21">
      <c r="A41" s="121">
        <f t="shared" si="0"/>
        <v>41</v>
      </c>
      <c r="B41" s="315" t="s">
        <v>149</v>
      </c>
      <c r="C41" s="603">
        <v>4</v>
      </c>
      <c r="D41" s="603">
        <v>4</v>
      </c>
      <c r="E41" s="603">
        <v>4</v>
      </c>
      <c r="F41" s="603">
        <v>4</v>
      </c>
      <c r="G41" s="603">
        <v>5</v>
      </c>
      <c r="H41" s="603">
        <v>5</v>
      </c>
      <c r="I41" s="603">
        <v>5</v>
      </c>
      <c r="J41" s="603">
        <v>5</v>
      </c>
      <c r="K41" s="603">
        <v>5</v>
      </c>
      <c r="L41" s="603">
        <v>5</v>
      </c>
      <c r="M41" s="603">
        <v>5</v>
      </c>
      <c r="N41" s="603">
        <v>5</v>
      </c>
      <c r="O41" s="602">
        <f t="shared" si="9"/>
        <v>4.666666666666667</v>
      </c>
      <c r="Q41" s="121" t="s">
        <v>17</v>
      </c>
      <c r="R41" s="310">
        <f t="shared" si="10"/>
        <v>56</v>
      </c>
      <c r="S41" s="257" t="str">
        <f t="shared" si="12"/>
        <v>CFG - FTS-12</v>
      </c>
      <c r="U41" s="204" t="s">
        <v>1245</v>
      </c>
    </row>
    <row r="42" spans="1:21">
      <c r="A42" s="121">
        <f t="shared" si="0"/>
        <v>42</v>
      </c>
      <c r="B42" s="315" t="s">
        <v>150</v>
      </c>
      <c r="C42" s="603">
        <v>0</v>
      </c>
      <c r="D42" s="603">
        <v>0</v>
      </c>
      <c r="E42" s="603"/>
      <c r="F42" s="603">
        <v>1</v>
      </c>
      <c r="G42" s="603">
        <v>1</v>
      </c>
      <c r="H42" s="603">
        <v>1</v>
      </c>
      <c r="I42" s="603">
        <v>1</v>
      </c>
      <c r="J42" s="603">
        <v>1</v>
      </c>
      <c r="K42" s="603">
        <v>1</v>
      </c>
      <c r="L42" s="603">
        <v>1</v>
      </c>
      <c r="M42" s="603">
        <v>1</v>
      </c>
      <c r="N42" s="603">
        <v>1</v>
      </c>
      <c r="O42" s="602">
        <f t="shared" si="9"/>
        <v>0.81818181818181823</v>
      </c>
      <c r="Q42" s="121" t="s">
        <v>17</v>
      </c>
      <c r="R42" s="310">
        <f t="shared" si="10"/>
        <v>9</v>
      </c>
      <c r="S42" s="257" t="str">
        <f t="shared" si="12"/>
        <v>CFG - FTS-NGV</v>
      </c>
      <c r="U42" s="204" t="s">
        <v>1245</v>
      </c>
    </row>
    <row r="43" spans="1:21">
      <c r="A43" s="121">
        <f t="shared" si="0"/>
        <v>43</v>
      </c>
      <c r="B43" s="315" t="s">
        <v>113</v>
      </c>
      <c r="C43" s="603">
        <v>889</v>
      </c>
      <c r="D43" s="603">
        <v>888</v>
      </c>
      <c r="E43" s="603">
        <v>888</v>
      </c>
      <c r="F43" s="603">
        <v>894</v>
      </c>
      <c r="G43" s="603">
        <v>888</v>
      </c>
      <c r="H43" s="603">
        <v>887</v>
      </c>
      <c r="I43" s="603">
        <v>888</v>
      </c>
      <c r="J43" s="603">
        <v>885</v>
      </c>
      <c r="K43" s="603">
        <v>890</v>
      </c>
      <c r="L43" s="603">
        <v>983</v>
      </c>
      <c r="M43" s="603">
        <v>891</v>
      </c>
      <c r="N43" s="603">
        <v>894</v>
      </c>
      <c r="O43" s="602">
        <f t="shared" si="9"/>
        <v>897.08333333333337</v>
      </c>
      <c r="Q43" s="121" t="s">
        <v>16</v>
      </c>
      <c r="R43" s="310">
        <f t="shared" si="10"/>
        <v>10765</v>
      </c>
      <c r="S43" s="257" t="str">
        <f t="shared" si="12"/>
        <v>FPU - FPU - GS - 1</v>
      </c>
      <c r="U43" s="204" t="s">
        <v>1245</v>
      </c>
    </row>
    <row r="44" spans="1:21">
      <c r="A44" s="121">
        <f t="shared" si="0"/>
        <v>44</v>
      </c>
      <c r="B44" s="315" t="s">
        <v>173</v>
      </c>
      <c r="C44" s="603">
        <v>362</v>
      </c>
      <c r="D44" s="603">
        <v>364</v>
      </c>
      <c r="E44" s="603">
        <v>359</v>
      </c>
      <c r="F44" s="603">
        <v>372</v>
      </c>
      <c r="G44" s="603">
        <v>354</v>
      </c>
      <c r="H44" s="603">
        <v>359</v>
      </c>
      <c r="I44" s="603">
        <v>362</v>
      </c>
      <c r="J44" s="603">
        <v>364</v>
      </c>
      <c r="K44" s="603">
        <v>361</v>
      </c>
      <c r="L44" s="603">
        <v>382</v>
      </c>
      <c r="M44" s="603">
        <v>362</v>
      </c>
      <c r="N44" s="603">
        <v>361</v>
      </c>
      <c r="O44" s="602">
        <f t="shared" si="9"/>
        <v>363.5</v>
      </c>
      <c r="Q44" s="121" t="s">
        <v>16</v>
      </c>
      <c r="R44" s="310">
        <f t="shared" si="10"/>
        <v>4362</v>
      </c>
      <c r="S44" s="257" t="str">
        <f t="shared" si="12"/>
        <v>FPU - FPU - GSTS - 1</v>
      </c>
      <c r="T44" s="310"/>
      <c r="U44" s="204" t="s">
        <v>1245</v>
      </c>
    </row>
    <row r="45" spans="1:21">
      <c r="A45" s="121">
        <f t="shared" si="0"/>
        <v>45</v>
      </c>
      <c r="B45" s="315" t="s">
        <v>175</v>
      </c>
      <c r="C45" s="603">
        <v>2050</v>
      </c>
      <c r="D45" s="603">
        <v>2062</v>
      </c>
      <c r="E45" s="603">
        <v>2057</v>
      </c>
      <c r="F45" s="603">
        <v>2077</v>
      </c>
      <c r="G45" s="603">
        <v>2092</v>
      </c>
      <c r="H45" s="603">
        <v>2095</v>
      </c>
      <c r="I45" s="603">
        <v>2086</v>
      </c>
      <c r="J45" s="603">
        <v>2098</v>
      </c>
      <c r="K45" s="603">
        <v>2102</v>
      </c>
      <c r="L45" s="603">
        <v>2004</v>
      </c>
      <c r="M45" s="603">
        <v>2120</v>
      </c>
      <c r="N45" s="603">
        <v>2121</v>
      </c>
      <c r="O45" s="602">
        <f t="shared" si="9"/>
        <v>2080.3333333333335</v>
      </c>
      <c r="Q45" s="121" t="s">
        <v>16</v>
      </c>
      <c r="R45" s="310">
        <f t="shared" si="10"/>
        <v>24964</v>
      </c>
      <c r="S45" s="257" t="str">
        <f t="shared" si="12"/>
        <v>FPU - FPU - GS - 2</v>
      </c>
      <c r="T45" s="257"/>
      <c r="U45" s="204" t="s">
        <v>1245</v>
      </c>
    </row>
    <row r="46" spans="1:21">
      <c r="A46" s="121">
        <f t="shared" si="0"/>
        <v>46</v>
      </c>
      <c r="B46" s="315" t="s">
        <v>176</v>
      </c>
      <c r="C46" s="603">
        <v>780</v>
      </c>
      <c r="D46" s="603">
        <v>779</v>
      </c>
      <c r="E46" s="603">
        <v>784</v>
      </c>
      <c r="F46" s="603">
        <v>776</v>
      </c>
      <c r="G46" s="603">
        <v>788</v>
      </c>
      <c r="H46" s="603">
        <v>783</v>
      </c>
      <c r="I46" s="603">
        <v>793</v>
      </c>
      <c r="J46" s="603">
        <v>791</v>
      </c>
      <c r="K46" s="603">
        <v>794</v>
      </c>
      <c r="L46" s="603">
        <v>773</v>
      </c>
      <c r="M46" s="603">
        <v>794</v>
      </c>
      <c r="N46" s="603">
        <v>804</v>
      </c>
      <c r="O46" s="602">
        <f t="shared" si="9"/>
        <v>786.58333333333337</v>
      </c>
      <c r="Q46" s="121" t="s">
        <v>16</v>
      </c>
      <c r="R46" s="310">
        <f t="shared" si="10"/>
        <v>9439</v>
      </c>
      <c r="S46" s="257" t="str">
        <f t="shared" si="12"/>
        <v>FPU - FPU - GSTS - 2</v>
      </c>
      <c r="U46" s="204" t="s">
        <v>1245</v>
      </c>
    </row>
    <row r="47" spans="1:21">
      <c r="A47" s="121">
        <f t="shared" si="0"/>
        <v>47</v>
      </c>
      <c r="B47" s="315" t="s">
        <v>177</v>
      </c>
      <c r="C47" s="603">
        <v>237</v>
      </c>
      <c r="D47" s="603">
        <v>235</v>
      </c>
      <c r="E47" s="603">
        <v>236</v>
      </c>
      <c r="F47" s="603">
        <v>242</v>
      </c>
      <c r="G47" s="603">
        <v>235</v>
      </c>
      <c r="H47" s="603">
        <v>235</v>
      </c>
      <c r="I47" s="603">
        <v>238</v>
      </c>
      <c r="J47" s="603">
        <v>239</v>
      </c>
      <c r="K47" s="603">
        <v>239</v>
      </c>
      <c r="L47" s="603">
        <v>264</v>
      </c>
      <c r="M47" s="603">
        <v>247</v>
      </c>
      <c r="N47" s="603">
        <v>243</v>
      </c>
      <c r="O47" s="602">
        <f t="shared" si="9"/>
        <v>240.83333333333334</v>
      </c>
      <c r="Q47" s="121" t="s">
        <v>16</v>
      </c>
      <c r="R47" s="310">
        <f t="shared" si="10"/>
        <v>2890</v>
      </c>
      <c r="S47" s="257" t="str">
        <f t="shared" si="12"/>
        <v>FPU - FPU - CS - GS</v>
      </c>
      <c r="U47" s="204" t="s">
        <v>1245</v>
      </c>
    </row>
    <row r="48" spans="1:21">
      <c r="A48" s="121">
        <f t="shared" si="0"/>
        <v>48</v>
      </c>
      <c r="B48" s="315" t="s">
        <v>178</v>
      </c>
      <c r="C48" s="603">
        <v>666</v>
      </c>
      <c r="D48" s="603">
        <v>666</v>
      </c>
      <c r="E48" s="603">
        <v>652</v>
      </c>
      <c r="F48" s="603">
        <v>663</v>
      </c>
      <c r="G48" s="603">
        <v>659</v>
      </c>
      <c r="H48" s="603">
        <v>658</v>
      </c>
      <c r="I48" s="603">
        <v>650</v>
      </c>
      <c r="J48" s="603">
        <v>658</v>
      </c>
      <c r="K48" s="603">
        <v>655</v>
      </c>
      <c r="L48" s="603">
        <v>651</v>
      </c>
      <c r="M48" s="603">
        <v>647</v>
      </c>
      <c r="N48" s="603">
        <v>648</v>
      </c>
      <c r="O48" s="602">
        <f t="shared" si="9"/>
        <v>656.08333333333337</v>
      </c>
      <c r="Q48" s="121" t="s">
        <v>16</v>
      </c>
      <c r="R48" s="310">
        <f t="shared" si="10"/>
        <v>7873</v>
      </c>
      <c r="S48" s="257" t="str">
        <f t="shared" si="12"/>
        <v>FPU - FPU - LVS</v>
      </c>
      <c r="U48" s="204" t="s">
        <v>1245</v>
      </c>
    </row>
    <row r="49" spans="1:21">
      <c r="A49" s="121">
        <f t="shared" si="0"/>
        <v>49</v>
      </c>
      <c r="B49" s="315" t="s">
        <v>180</v>
      </c>
      <c r="C49" s="603">
        <v>0</v>
      </c>
      <c r="D49" s="603">
        <v>0</v>
      </c>
      <c r="E49" s="603">
        <v>0</v>
      </c>
      <c r="F49" s="603">
        <v>0</v>
      </c>
      <c r="G49" s="603">
        <v>0</v>
      </c>
      <c r="H49" s="603">
        <v>0</v>
      </c>
      <c r="I49" s="603">
        <v>0</v>
      </c>
      <c r="J49" s="603">
        <v>0</v>
      </c>
      <c r="K49" s="603">
        <v>0</v>
      </c>
      <c r="L49" s="603">
        <v>0</v>
      </c>
      <c r="M49" s="603">
        <v>0</v>
      </c>
      <c r="N49" s="603">
        <v>0</v>
      </c>
      <c r="O49" s="602">
        <f t="shared" si="9"/>
        <v>0</v>
      </c>
      <c r="Q49" s="121" t="s">
        <v>16</v>
      </c>
      <c r="R49" s="310">
        <f t="shared" si="10"/>
        <v>0</v>
      </c>
      <c r="S49" s="257" t="str">
        <f t="shared" si="12"/>
        <v>FPU - FPU - LVTS &lt;50k</v>
      </c>
      <c r="U49" s="204" t="s">
        <v>1245</v>
      </c>
    </row>
    <row r="50" spans="1:21">
      <c r="A50" s="121">
        <f t="shared" si="0"/>
        <v>50</v>
      </c>
      <c r="B50" s="315" t="s">
        <v>181</v>
      </c>
      <c r="C50" s="603">
        <v>1225</v>
      </c>
      <c r="D50" s="603">
        <v>1231</v>
      </c>
      <c r="E50" s="603">
        <v>1237</v>
      </c>
      <c r="F50" s="603">
        <v>1244</v>
      </c>
      <c r="G50" s="603">
        <v>1247</v>
      </c>
      <c r="H50" s="603">
        <v>1255</v>
      </c>
      <c r="I50" s="603">
        <v>1243</v>
      </c>
      <c r="J50" s="603">
        <v>1238</v>
      </c>
      <c r="K50" s="603">
        <v>1245</v>
      </c>
      <c r="L50" s="603">
        <v>1247</v>
      </c>
      <c r="M50" s="603">
        <v>1255</v>
      </c>
      <c r="N50" s="603">
        <v>1256</v>
      </c>
      <c r="O50" s="602">
        <f t="shared" si="9"/>
        <v>1243.5833333333333</v>
      </c>
      <c r="Q50" s="121" t="s">
        <v>16</v>
      </c>
      <c r="R50" s="310">
        <f t="shared" si="10"/>
        <v>14923</v>
      </c>
      <c r="S50" s="257" t="str">
        <f t="shared" si="12"/>
        <v>FPU - FPU - LVTS &gt;50k</v>
      </c>
      <c r="U50" s="204" t="s">
        <v>1245</v>
      </c>
    </row>
    <row r="51" spans="1:21">
      <c r="A51" s="121">
        <f t="shared" si="0"/>
        <v>51</v>
      </c>
      <c r="B51" s="315" t="s">
        <v>183</v>
      </c>
      <c r="C51" s="603">
        <v>0</v>
      </c>
      <c r="D51" s="603">
        <v>0</v>
      </c>
      <c r="E51" s="603">
        <v>0</v>
      </c>
      <c r="F51" s="603">
        <v>0</v>
      </c>
      <c r="G51" s="603">
        <v>0</v>
      </c>
      <c r="H51" s="603">
        <v>0</v>
      </c>
      <c r="I51" s="603">
        <v>0</v>
      </c>
      <c r="J51" s="603">
        <v>0</v>
      </c>
      <c r="K51" s="603">
        <v>0</v>
      </c>
      <c r="L51" s="603">
        <v>0</v>
      </c>
      <c r="M51" s="603">
        <v>0</v>
      </c>
      <c r="N51" s="603">
        <v>0</v>
      </c>
      <c r="O51" s="602">
        <f t="shared" si="9"/>
        <v>0</v>
      </c>
      <c r="Q51" s="121" t="s">
        <v>16</v>
      </c>
      <c r="R51" s="310">
        <f t="shared" si="10"/>
        <v>0</v>
      </c>
      <c r="S51" s="257" t="str">
        <f t="shared" si="12"/>
        <v>FPU - FPU - IS</v>
      </c>
      <c r="U51" s="204" t="s">
        <v>1245</v>
      </c>
    </row>
    <row r="52" spans="1:21">
      <c r="A52" s="121">
        <f t="shared" si="0"/>
        <v>52</v>
      </c>
      <c r="B52" s="315" t="s">
        <v>184</v>
      </c>
      <c r="C52" s="603">
        <v>18</v>
      </c>
      <c r="D52" s="603">
        <v>18</v>
      </c>
      <c r="E52" s="603">
        <v>18</v>
      </c>
      <c r="F52" s="603">
        <v>18</v>
      </c>
      <c r="G52" s="603">
        <v>18</v>
      </c>
      <c r="H52" s="603">
        <v>18</v>
      </c>
      <c r="I52" s="603">
        <v>18</v>
      </c>
      <c r="J52" s="603">
        <v>18</v>
      </c>
      <c r="K52" s="603">
        <v>18</v>
      </c>
      <c r="L52" s="603">
        <v>18</v>
      </c>
      <c r="M52" s="603">
        <v>18</v>
      </c>
      <c r="N52" s="603">
        <v>18</v>
      </c>
      <c r="O52" s="602">
        <f t="shared" si="9"/>
        <v>18</v>
      </c>
      <c r="Q52" s="121" t="s">
        <v>16</v>
      </c>
      <c r="R52" s="310">
        <f t="shared" si="10"/>
        <v>216</v>
      </c>
      <c r="S52" s="257" t="str">
        <f t="shared" si="12"/>
        <v>FPU - FPU - ITS</v>
      </c>
      <c r="U52" s="204" t="s">
        <v>1245</v>
      </c>
    </row>
    <row r="53" spans="1:21">
      <c r="A53" s="121">
        <f t="shared" si="0"/>
        <v>53</v>
      </c>
      <c r="B53" s="315" t="s">
        <v>186</v>
      </c>
      <c r="C53" s="603">
        <v>40</v>
      </c>
      <c r="D53" s="603">
        <v>40</v>
      </c>
      <c r="E53" s="603">
        <v>40</v>
      </c>
      <c r="F53" s="603">
        <v>42</v>
      </c>
      <c r="G53" s="603">
        <v>36</v>
      </c>
      <c r="H53" s="603">
        <v>36</v>
      </c>
      <c r="I53" s="603">
        <v>35</v>
      </c>
      <c r="J53" s="603">
        <v>36</v>
      </c>
      <c r="K53" s="603">
        <v>32</v>
      </c>
      <c r="L53" s="603">
        <v>32</v>
      </c>
      <c r="M53" s="603">
        <v>32</v>
      </c>
      <c r="N53" s="603">
        <v>32</v>
      </c>
      <c r="O53" s="602">
        <f t="shared" si="9"/>
        <v>36.083333333333336</v>
      </c>
      <c r="Q53" s="121" t="s">
        <v>16</v>
      </c>
      <c r="R53" s="310">
        <f t="shared" si="10"/>
        <v>433</v>
      </c>
      <c r="S53" s="257" t="str">
        <f t="shared" si="12"/>
        <v>FPU - FPU - GLS</v>
      </c>
      <c r="U53" s="204" t="s">
        <v>1245</v>
      </c>
    </row>
    <row r="54" spans="1:21">
      <c r="A54" s="121">
        <f t="shared" si="0"/>
        <v>54</v>
      </c>
      <c r="B54" s="315" t="s">
        <v>188</v>
      </c>
      <c r="C54" s="603">
        <v>0</v>
      </c>
      <c r="D54" s="603">
        <v>0</v>
      </c>
      <c r="E54" s="603">
        <v>0</v>
      </c>
      <c r="F54" s="603">
        <v>0</v>
      </c>
      <c r="G54" s="603">
        <v>0</v>
      </c>
      <c r="H54" s="603">
        <v>0</v>
      </c>
      <c r="I54" s="603">
        <v>0</v>
      </c>
      <c r="J54" s="603">
        <v>0</v>
      </c>
      <c r="K54" s="603">
        <v>0</v>
      </c>
      <c r="L54" s="603">
        <v>0</v>
      </c>
      <c r="M54" s="603">
        <v>0</v>
      </c>
      <c r="N54" s="603">
        <v>0</v>
      </c>
      <c r="O54" s="602">
        <f t="shared" si="9"/>
        <v>0</v>
      </c>
      <c r="Q54" s="121" t="s">
        <v>16</v>
      </c>
      <c r="R54" s="310">
        <f t="shared" si="10"/>
        <v>0</v>
      </c>
      <c r="S54" s="257" t="str">
        <f t="shared" si="12"/>
        <v>FPU - FPU-NGVS</v>
      </c>
      <c r="U54" s="204" t="s">
        <v>1245</v>
      </c>
    </row>
    <row r="55" spans="1:21">
      <c r="A55" s="121">
        <f t="shared" si="0"/>
        <v>55</v>
      </c>
      <c r="B55" s="315" t="s">
        <v>189</v>
      </c>
      <c r="C55" s="603">
        <v>2</v>
      </c>
      <c r="D55" s="603">
        <v>2</v>
      </c>
      <c r="E55" s="603">
        <v>2</v>
      </c>
      <c r="F55" s="603">
        <v>2</v>
      </c>
      <c r="G55" s="603">
        <v>2</v>
      </c>
      <c r="H55" s="603">
        <v>2</v>
      </c>
      <c r="I55" s="603">
        <v>2</v>
      </c>
      <c r="J55" s="603">
        <v>2</v>
      </c>
      <c r="K55" s="603">
        <v>2</v>
      </c>
      <c r="L55" s="603">
        <v>2</v>
      </c>
      <c r="M55" s="603">
        <v>2</v>
      </c>
      <c r="N55" s="603">
        <v>2</v>
      </c>
      <c r="O55" s="602">
        <f t="shared" si="9"/>
        <v>2</v>
      </c>
      <c r="Q55" s="121" t="s">
        <v>16</v>
      </c>
      <c r="R55" s="310">
        <f t="shared" si="10"/>
        <v>24</v>
      </c>
      <c r="S55" s="257" t="str">
        <f t="shared" si="12"/>
        <v>FPU - FPU- NGVTS</v>
      </c>
      <c r="U55" s="204" t="s">
        <v>1245</v>
      </c>
    </row>
    <row r="56" spans="1:21">
      <c r="A56" s="121">
        <f t="shared" si="0"/>
        <v>56</v>
      </c>
      <c r="B56" s="315" t="s">
        <v>190</v>
      </c>
      <c r="C56" s="603">
        <v>4</v>
      </c>
      <c r="D56" s="603">
        <v>4</v>
      </c>
      <c r="E56" s="603">
        <v>4</v>
      </c>
      <c r="F56" s="603">
        <v>4</v>
      </c>
      <c r="G56" s="603">
        <v>4</v>
      </c>
      <c r="H56" s="603">
        <v>4</v>
      </c>
      <c r="I56" s="603">
        <v>4</v>
      </c>
      <c r="J56" s="603">
        <v>4</v>
      </c>
      <c r="K56" s="603">
        <v>4</v>
      </c>
      <c r="L56" s="603">
        <v>4</v>
      </c>
      <c r="M56" s="603">
        <v>4</v>
      </c>
      <c r="N56" s="603">
        <v>4</v>
      </c>
      <c r="O56" s="602">
        <f t="shared" si="9"/>
        <v>4</v>
      </c>
      <c r="Q56" s="121" t="s">
        <v>14</v>
      </c>
      <c r="R56" s="310">
        <f t="shared" si="10"/>
        <v>48</v>
      </c>
      <c r="S56" s="257" t="str">
        <f t="shared" si="12"/>
        <v>FT - FT-Comm PA</v>
      </c>
      <c r="T56" s="121" t="s">
        <v>1378</v>
      </c>
      <c r="U56" s="204" t="s">
        <v>1245</v>
      </c>
    </row>
    <row r="57" spans="1:21">
      <c r="A57" s="121">
        <f t="shared" si="0"/>
        <v>57</v>
      </c>
      <c r="B57" s="315" t="s">
        <v>192</v>
      </c>
      <c r="C57" s="603">
        <v>16</v>
      </c>
      <c r="D57" s="603">
        <v>15</v>
      </c>
      <c r="E57" s="603">
        <v>15</v>
      </c>
      <c r="F57" s="603">
        <v>15</v>
      </c>
      <c r="G57" s="603">
        <v>16</v>
      </c>
      <c r="H57" s="603">
        <v>17</v>
      </c>
      <c r="I57" s="603">
        <v>17</v>
      </c>
      <c r="J57" s="603">
        <v>17</v>
      </c>
      <c r="K57" s="603">
        <v>17</v>
      </c>
      <c r="L57" s="603">
        <v>17</v>
      </c>
      <c r="M57" s="603">
        <v>18</v>
      </c>
      <c r="N57" s="603">
        <v>18</v>
      </c>
      <c r="O57" s="602">
        <f t="shared" si="9"/>
        <v>16.5</v>
      </c>
      <c r="Q57" s="121" t="s">
        <v>14</v>
      </c>
      <c r="R57" s="310">
        <f t="shared" si="10"/>
        <v>198</v>
      </c>
      <c r="S57" s="257" t="str">
        <f t="shared" si="12"/>
        <v>FT - FT-Comm Small</v>
      </c>
      <c r="T57" s="121" t="s">
        <v>1378</v>
      </c>
      <c r="U57" s="204" t="s">
        <v>1245</v>
      </c>
    </row>
    <row r="58" spans="1:21">
      <c r="A58" s="121">
        <f t="shared" si="0"/>
        <v>58</v>
      </c>
      <c r="B58" s="315" t="s">
        <v>194</v>
      </c>
      <c r="C58" s="603">
        <v>7</v>
      </c>
      <c r="D58" s="603">
        <v>7</v>
      </c>
      <c r="E58" s="603">
        <v>7</v>
      </c>
      <c r="F58" s="603">
        <v>7</v>
      </c>
      <c r="G58" s="603">
        <v>7</v>
      </c>
      <c r="H58" s="603">
        <v>7</v>
      </c>
      <c r="I58" s="603">
        <v>7</v>
      </c>
      <c r="J58" s="603">
        <v>7</v>
      </c>
      <c r="K58" s="603">
        <v>7</v>
      </c>
      <c r="L58" s="603">
        <v>7</v>
      </c>
      <c r="M58" s="603">
        <v>7</v>
      </c>
      <c r="N58" s="603">
        <v>7</v>
      </c>
      <c r="O58" s="602">
        <f t="shared" si="9"/>
        <v>7</v>
      </c>
      <c r="Q58" s="121" t="s">
        <v>14</v>
      </c>
      <c r="R58" s="310">
        <f t="shared" si="10"/>
        <v>84</v>
      </c>
      <c r="S58" s="257" t="str">
        <f t="shared" si="12"/>
        <v>FT - FT-Transportation</v>
      </c>
      <c r="T58" s="121" t="s">
        <v>1378</v>
      </c>
      <c r="U58" s="204" t="s">
        <v>1245</v>
      </c>
    </row>
    <row r="59" spans="1:21">
      <c r="A59" s="121">
        <f t="shared" si="0"/>
        <v>59</v>
      </c>
      <c r="B59" s="312" t="s">
        <v>107</v>
      </c>
      <c r="C59" s="603">
        <v>23</v>
      </c>
      <c r="D59" s="603">
        <v>23</v>
      </c>
      <c r="E59" s="603">
        <v>23</v>
      </c>
      <c r="F59" s="603">
        <v>23</v>
      </c>
      <c r="G59" s="603">
        <v>23</v>
      </c>
      <c r="H59" s="603">
        <v>23</v>
      </c>
      <c r="I59" s="603">
        <v>23</v>
      </c>
      <c r="J59" s="603">
        <v>23</v>
      </c>
      <c r="K59" s="603">
        <v>22</v>
      </c>
      <c r="L59" s="603">
        <v>22</v>
      </c>
      <c r="M59" s="603">
        <v>22</v>
      </c>
      <c r="N59" s="603">
        <v>22</v>
      </c>
      <c r="O59" s="602">
        <f t="shared" si="9"/>
        <v>22.666666666666668</v>
      </c>
      <c r="Q59" s="121" t="s">
        <v>13</v>
      </c>
      <c r="R59" s="310">
        <f t="shared" si="10"/>
        <v>272</v>
      </c>
      <c r="S59" s="257" t="str">
        <f t="shared" si="12"/>
        <v>IGC - IGC - TS2</v>
      </c>
      <c r="U59" s="204" t="s">
        <v>1245</v>
      </c>
    </row>
    <row r="60" spans="1:21">
      <c r="A60" s="121">
        <f t="shared" si="0"/>
        <v>60</v>
      </c>
      <c r="B60" s="312" t="s">
        <v>108</v>
      </c>
      <c r="C60" s="603">
        <v>1</v>
      </c>
      <c r="D60" s="603">
        <v>1</v>
      </c>
      <c r="E60" s="603">
        <v>1</v>
      </c>
      <c r="F60" s="603">
        <v>1</v>
      </c>
      <c r="G60" s="603">
        <v>1</v>
      </c>
      <c r="H60" s="603">
        <v>1</v>
      </c>
      <c r="I60" s="603">
        <v>1</v>
      </c>
      <c r="J60" s="603">
        <v>1</v>
      </c>
      <c r="K60" s="603">
        <v>1</v>
      </c>
      <c r="L60" s="603">
        <v>1</v>
      </c>
      <c r="M60" s="603">
        <v>1</v>
      </c>
      <c r="N60" s="603">
        <v>1</v>
      </c>
      <c r="O60" s="602">
        <f t="shared" si="9"/>
        <v>1</v>
      </c>
      <c r="Q60" s="121" t="s">
        <v>13</v>
      </c>
      <c r="R60" s="310">
        <f t="shared" si="10"/>
        <v>12</v>
      </c>
      <c r="S60" s="257" t="str">
        <f t="shared" si="12"/>
        <v>IGC - IGC - TS3</v>
      </c>
      <c r="U60" s="204" t="s">
        <v>1245</v>
      </c>
    </row>
    <row r="61" spans="1:21">
      <c r="A61" s="121">
        <f t="shared" si="0"/>
        <v>61</v>
      </c>
      <c r="B61" s="321" t="s">
        <v>109</v>
      </c>
      <c r="C61" s="603">
        <v>2</v>
      </c>
      <c r="D61" s="603">
        <v>2</v>
      </c>
      <c r="E61" s="603">
        <v>2</v>
      </c>
      <c r="F61" s="603">
        <v>2</v>
      </c>
      <c r="G61" s="603">
        <v>2</v>
      </c>
      <c r="H61" s="603">
        <v>2</v>
      </c>
      <c r="I61" s="603">
        <v>2</v>
      </c>
      <c r="J61" s="603">
        <v>2</v>
      </c>
      <c r="K61" s="603">
        <v>2</v>
      </c>
      <c r="L61" s="603">
        <v>2</v>
      </c>
      <c r="M61" s="603">
        <v>2</v>
      </c>
      <c r="N61" s="603">
        <v>2</v>
      </c>
      <c r="O61" s="606">
        <f t="shared" si="9"/>
        <v>2</v>
      </c>
      <c r="Q61" s="121" t="s">
        <v>13</v>
      </c>
      <c r="R61" s="310">
        <f t="shared" si="10"/>
        <v>24</v>
      </c>
      <c r="S61" s="257" t="str">
        <f t="shared" si="12"/>
        <v>IGC - IGC - TS4</v>
      </c>
      <c r="U61" s="204" t="s">
        <v>1245</v>
      </c>
    </row>
    <row r="62" spans="1:21">
      <c r="A62" s="121">
        <f t="shared" si="0"/>
        <v>62</v>
      </c>
      <c r="B62" s="322" t="s">
        <v>199</v>
      </c>
      <c r="C62" s="604">
        <f t="shared" ref="C62:N62" si="13">SUM(C26:C61)</f>
        <v>7777</v>
      </c>
      <c r="D62" s="604">
        <f t="shared" si="13"/>
        <v>7791</v>
      </c>
      <c r="E62" s="604">
        <f t="shared" si="13"/>
        <v>7786</v>
      </c>
      <c r="F62" s="604">
        <f t="shared" si="13"/>
        <v>7858</v>
      </c>
      <c r="G62" s="604">
        <f t="shared" si="13"/>
        <v>7840</v>
      </c>
      <c r="H62" s="604">
        <f t="shared" si="13"/>
        <v>7850</v>
      </c>
      <c r="I62" s="604">
        <f t="shared" si="13"/>
        <v>7850</v>
      </c>
      <c r="J62" s="604">
        <f t="shared" si="13"/>
        <v>7872</v>
      </c>
      <c r="K62" s="604">
        <f t="shared" si="13"/>
        <v>7863</v>
      </c>
      <c r="L62" s="604">
        <f t="shared" si="13"/>
        <v>7883</v>
      </c>
      <c r="M62" s="604">
        <f t="shared" si="13"/>
        <v>7900</v>
      </c>
      <c r="N62" s="604">
        <f t="shared" si="13"/>
        <v>7925</v>
      </c>
      <c r="O62" s="602">
        <f t="shared" si="9"/>
        <v>7849.583333333333</v>
      </c>
      <c r="R62" s="310">
        <f t="shared" si="10"/>
        <v>94195</v>
      </c>
      <c r="T62" s="257">
        <f>(R15+R24+R62+R71)-SUM(R56:R58)+SUM(R245:R248)</f>
        <v>993725</v>
      </c>
    </row>
    <row r="63" spans="1:21">
      <c r="A63" s="121">
        <f t="shared" si="0"/>
        <v>63</v>
      </c>
      <c r="B63" s="320" t="s">
        <v>200</v>
      </c>
      <c r="C63" s="602"/>
      <c r="D63" s="602"/>
      <c r="E63" s="602"/>
      <c r="F63" s="602"/>
      <c r="G63" s="602"/>
      <c r="H63" s="602"/>
      <c r="I63" s="602"/>
      <c r="J63" s="602"/>
      <c r="K63" s="602"/>
      <c r="L63" s="602"/>
      <c r="M63" s="602"/>
      <c r="N63" s="602"/>
      <c r="O63" s="602"/>
      <c r="R63" s="121"/>
    </row>
    <row r="64" spans="1:21">
      <c r="A64" s="121">
        <f t="shared" si="0"/>
        <v>64</v>
      </c>
      <c r="B64" s="312" t="s">
        <v>114</v>
      </c>
      <c r="C64" s="603">
        <v>0</v>
      </c>
      <c r="D64" s="603"/>
      <c r="E64" s="603"/>
      <c r="F64" s="603"/>
      <c r="G64" s="603"/>
      <c r="H64" s="603"/>
      <c r="I64" s="603"/>
      <c r="J64" s="603"/>
      <c r="K64" s="603"/>
      <c r="L64" s="603"/>
      <c r="M64" s="603"/>
      <c r="N64" s="603"/>
      <c r="O64" s="602">
        <f t="shared" ref="O64:O71" si="14">AVERAGE(C64:N64)</f>
        <v>0</v>
      </c>
      <c r="Q64" s="121" t="s">
        <v>17</v>
      </c>
      <c r="R64" s="310">
        <f t="shared" ref="R64:R71" si="15">+SUM(C64:N64)</f>
        <v>0</v>
      </c>
      <c r="S64" s="257" t="str">
        <f>CONCATENATE(Q64," - ",B64," - ",T64)</f>
        <v>CFG - FTS-A - Fixed NR</v>
      </c>
      <c r="T64" s="121" t="s">
        <v>201</v>
      </c>
      <c r="U64" s="204" t="s">
        <v>1245</v>
      </c>
    </row>
    <row r="65" spans="1:21">
      <c r="A65" s="121">
        <f t="shared" si="0"/>
        <v>65</v>
      </c>
      <c r="B65" s="312" t="s">
        <v>115</v>
      </c>
      <c r="C65" s="603">
        <v>1</v>
      </c>
      <c r="D65" s="603">
        <v>1</v>
      </c>
      <c r="E65" s="603">
        <v>1</v>
      </c>
      <c r="F65" s="603">
        <v>1</v>
      </c>
      <c r="G65" s="603">
        <v>1</v>
      </c>
      <c r="H65" s="603">
        <v>1</v>
      </c>
      <c r="I65" s="603">
        <v>1</v>
      </c>
      <c r="J65" s="603">
        <v>1</v>
      </c>
      <c r="K65" s="603">
        <v>1</v>
      </c>
      <c r="L65" s="603">
        <v>1</v>
      </c>
      <c r="M65" s="603">
        <v>1</v>
      </c>
      <c r="N65" s="603">
        <v>1</v>
      </c>
      <c r="O65" s="602">
        <f t="shared" si="14"/>
        <v>1</v>
      </c>
      <c r="Q65" s="121" t="s">
        <v>17</v>
      </c>
      <c r="R65" s="310">
        <f t="shared" si="15"/>
        <v>12</v>
      </c>
      <c r="S65" s="257" t="str">
        <f t="shared" ref="S65:S70" si="16">CONCATENATE(Q65," - ",B65," - ",T65)</f>
        <v>CFG - FTS-B - Fixed NR</v>
      </c>
      <c r="T65" s="121" t="s">
        <v>201</v>
      </c>
      <c r="U65" s="204" t="s">
        <v>1245</v>
      </c>
    </row>
    <row r="66" spans="1:21">
      <c r="A66" s="121">
        <f t="shared" si="0"/>
        <v>66</v>
      </c>
      <c r="B66" s="312" t="s">
        <v>116</v>
      </c>
      <c r="C66" s="603">
        <v>32</v>
      </c>
      <c r="D66" s="603">
        <v>32</v>
      </c>
      <c r="E66" s="603">
        <v>32</v>
      </c>
      <c r="F66" s="603">
        <v>32</v>
      </c>
      <c r="G66" s="603">
        <v>32</v>
      </c>
      <c r="H66" s="603">
        <v>32</v>
      </c>
      <c r="I66" s="603">
        <v>32</v>
      </c>
      <c r="J66" s="603">
        <v>32</v>
      </c>
      <c r="K66" s="603">
        <v>32</v>
      </c>
      <c r="L66" s="603">
        <v>33</v>
      </c>
      <c r="M66" s="603">
        <v>33</v>
      </c>
      <c r="N66" s="603">
        <v>34</v>
      </c>
      <c r="O66" s="602">
        <f t="shared" si="14"/>
        <v>32.333333333333336</v>
      </c>
      <c r="Q66" s="121" t="s">
        <v>17</v>
      </c>
      <c r="R66" s="310">
        <f t="shared" si="15"/>
        <v>388</v>
      </c>
      <c r="S66" s="257" t="str">
        <f t="shared" si="16"/>
        <v>CFG - FTS-1 - Fixed NR</v>
      </c>
      <c r="T66" s="121" t="s">
        <v>201</v>
      </c>
      <c r="U66" s="204" t="s">
        <v>1245</v>
      </c>
    </row>
    <row r="67" spans="1:21">
      <c r="A67" s="121">
        <f t="shared" ref="A67:A130" si="17">+A66+1</f>
        <v>67</v>
      </c>
      <c r="B67" s="315" t="s">
        <v>117</v>
      </c>
      <c r="C67" s="603">
        <v>5</v>
      </c>
      <c r="D67" s="603">
        <v>5</v>
      </c>
      <c r="E67" s="603">
        <v>5</v>
      </c>
      <c r="F67" s="603">
        <v>5</v>
      </c>
      <c r="G67" s="603">
        <v>5</v>
      </c>
      <c r="H67" s="603">
        <v>6</v>
      </c>
      <c r="I67" s="603">
        <v>6</v>
      </c>
      <c r="J67" s="603">
        <v>6</v>
      </c>
      <c r="K67" s="603">
        <v>5</v>
      </c>
      <c r="L67" s="603">
        <v>5</v>
      </c>
      <c r="M67" s="603">
        <v>5</v>
      </c>
      <c r="N67" s="603">
        <v>5</v>
      </c>
      <c r="O67" s="602">
        <f t="shared" si="14"/>
        <v>5.25</v>
      </c>
      <c r="Q67" s="121" t="s">
        <v>17</v>
      </c>
      <c r="R67" s="310">
        <f t="shared" si="15"/>
        <v>63</v>
      </c>
      <c r="S67" s="257" t="str">
        <f t="shared" si="16"/>
        <v>CFG - FTS-2 - Fixed NR</v>
      </c>
      <c r="T67" s="121" t="s">
        <v>201</v>
      </c>
      <c r="U67" s="204" t="s">
        <v>1245</v>
      </c>
    </row>
    <row r="68" spans="1:21">
      <c r="A68" s="121">
        <f t="shared" si="17"/>
        <v>68</v>
      </c>
      <c r="B68" s="315" t="s">
        <v>118</v>
      </c>
      <c r="C68" s="603">
        <v>11</v>
      </c>
      <c r="D68" s="603">
        <v>11</v>
      </c>
      <c r="E68" s="603">
        <v>11</v>
      </c>
      <c r="F68" s="603">
        <v>11</v>
      </c>
      <c r="G68" s="603">
        <v>11</v>
      </c>
      <c r="H68" s="603">
        <v>11</v>
      </c>
      <c r="I68" s="603">
        <v>11</v>
      </c>
      <c r="J68" s="603">
        <v>11</v>
      </c>
      <c r="K68" s="603">
        <v>10</v>
      </c>
      <c r="L68" s="603">
        <v>10</v>
      </c>
      <c r="M68" s="603">
        <v>10</v>
      </c>
      <c r="N68" s="603">
        <v>10</v>
      </c>
      <c r="O68" s="602">
        <f t="shared" si="14"/>
        <v>10.666666666666666</v>
      </c>
      <c r="Q68" s="121" t="s">
        <v>17</v>
      </c>
      <c r="R68" s="310">
        <f t="shared" si="15"/>
        <v>128</v>
      </c>
      <c r="S68" s="257" t="str">
        <f t="shared" si="16"/>
        <v>CFG - FTS-2.1 - Fixed NR</v>
      </c>
      <c r="T68" s="121" t="s">
        <v>201</v>
      </c>
      <c r="U68" s="204" t="s">
        <v>1245</v>
      </c>
    </row>
    <row r="69" spans="1:21">
      <c r="A69" s="121">
        <f t="shared" si="17"/>
        <v>69</v>
      </c>
      <c r="B69" s="315" t="s">
        <v>119</v>
      </c>
      <c r="C69" s="603">
        <v>16</v>
      </c>
      <c r="D69" s="603">
        <v>17</v>
      </c>
      <c r="E69" s="603">
        <v>17</v>
      </c>
      <c r="F69" s="603">
        <v>17</v>
      </c>
      <c r="G69" s="603">
        <v>17</v>
      </c>
      <c r="H69" s="603">
        <v>17</v>
      </c>
      <c r="I69" s="603">
        <v>18</v>
      </c>
      <c r="J69" s="603">
        <v>18</v>
      </c>
      <c r="K69" s="603">
        <v>18</v>
      </c>
      <c r="L69" s="603">
        <v>18</v>
      </c>
      <c r="M69" s="603">
        <v>19</v>
      </c>
      <c r="N69" s="603">
        <v>19</v>
      </c>
      <c r="O69" s="602">
        <f t="shared" si="14"/>
        <v>17.583333333333332</v>
      </c>
      <c r="Q69" s="121" t="s">
        <v>17</v>
      </c>
      <c r="R69" s="310">
        <f t="shared" si="15"/>
        <v>211</v>
      </c>
      <c r="S69" s="257" t="str">
        <f t="shared" si="16"/>
        <v>CFG - FTS-3 - Fixed NR</v>
      </c>
      <c r="T69" s="121" t="s">
        <v>201</v>
      </c>
      <c r="U69" s="204" t="s">
        <v>1245</v>
      </c>
    </row>
    <row r="70" spans="1:21">
      <c r="A70" s="121">
        <f t="shared" si="17"/>
        <v>70</v>
      </c>
      <c r="B70" s="321" t="s">
        <v>120</v>
      </c>
      <c r="C70" s="603">
        <v>7</v>
      </c>
      <c r="D70" s="603">
        <v>7</v>
      </c>
      <c r="E70" s="603">
        <v>7</v>
      </c>
      <c r="F70" s="603">
        <v>7</v>
      </c>
      <c r="G70" s="603">
        <v>7</v>
      </c>
      <c r="H70" s="603">
        <v>7</v>
      </c>
      <c r="I70" s="603">
        <v>7</v>
      </c>
      <c r="J70" s="603">
        <v>7</v>
      </c>
      <c r="K70" s="603">
        <v>7</v>
      </c>
      <c r="L70" s="603">
        <v>7</v>
      </c>
      <c r="M70" s="603">
        <v>7</v>
      </c>
      <c r="N70" s="603">
        <v>7</v>
      </c>
      <c r="O70" s="602">
        <f t="shared" si="14"/>
        <v>7</v>
      </c>
      <c r="Q70" s="121" t="s">
        <v>17</v>
      </c>
      <c r="R70" s="310">
        <f t="shared" si="15"/>
        <v>84</v>
      </c>
      <c r="S70" s="257" t="str">
        <f t="shared" si="16"/>
        <v>CFG - FTS-3.1 - Fixed NR</v>
      </c>
      <c r="T70" s="121" t="s">
        <v>201</v>
      </c>
      <c r="U70" s="204" t="s">
        <v>1245</v>
      </c>
    </row>
    <row r="71" spans="1:21">
      <c r="A71" s="121">
        <f t="shared" si="17"/>
        <v>71</v>
      </c>
      <c r="B71" s="322" t="s">
        <v>202</v>
      </c>
      <c r="C71" s="604">
        <f t="shared" ref="C71:N71" si="18">SUM(C64:C70)</f>
        <v>72</v>
      </c>
      <c r="D71" s="604">
        <f t="shared" si="18"/>
        <v>73</v>
      </c>
      <c r="E71" s="604">
        <f t="shared" si="18"/>
        <v>73</v>
      </c>
      <c r="F71" s="604">
        <f t="shared" si="18"/>
        <v>73</v>
      </c>
      <c r="G71" s="604">
        <f t="shared" si="18"/>
        <v>73</v>
      </c>
      <c r="H71" s="604">
        <f t="shared" si="18"/>
        <v>74</v>
      </c>
      <c r="I71" s="604">
        <f t="shared" si="18"/>
        <v>75</v>
      </c>
      <c r="J71" s="604">
        <f t="shared" si="18"/>
        <v>75</v>
      </c>
      <c r="K71" s="604">
        <f t="shared" si="18"/>
        <v>73</v>
      </c>
      <c r="L71" s="604">
        <f t="shared" si="18"/>
        <v>74</v>
      </c>
      <c r="M71" s="604">
        <f t="shared" si="18"/>
        <v>75</v>
      </c>
      <c r="N71" s="604">
        <f t="shared" si="18"/>
        <v>76</v>
      </c>
      <c r="O71" s="604">
        <f t="shared" si="14"/>
        <v>73.833333333333329</v>
      </c>
      <c r="R71" s="310">
        <f t="shared" si="15"/>
        <v>886</v>
      </c>
    </row>
    <row r="72" spans="1:21">
      <c r="A72" s="121">
        <f t="shared" si="17"/>
        <v>72</v>
      </c>
      <c r="B72" s="320" t="s">
        <v>203</v>
      </c>
      <c r="C72" s="602"/>
      <c r="D72" s="602"/>
      <c r="E72" s="602"/>
      <c r="F72" s="602"/>
      <c r="G72" s="602"/>
      <c r="H72" s="602"/>
      <c r="I72" s="602"/>
      <c r="J72" s="602"/>
      <c r="K72" s="602"/>
      <c r="L72" s="602"/>
      <c r="M72" s="602"/>
      <c r="N72" s="602"/>
      <c r="O72" s="602"/>
      <c r="R72" s="121"/>
    </row>
    <row r="73" spans="1:21">
      <c r="A73" s="121">
        <f t="shared" si="17"/>
        <v>73</v>
      </c>
      <c r="B73" s="127" t="s">
        <v>204</v>
      </c>
      <c r="C73" s="603">
        <v>2</v>
      </c>
      <c r="D73" s="603">
        <v>2</v>
      </c>
      <c r="E73" s="603">
        <v>2</v>
      </c>
      <c r="F73" s="603">
        <v>2</v>
      </c>
      <c r="G73" s="603">
        <v>2</v>
      </c>
      <c r="H73" s="603">
        <v>2</v>
      </c>
      <c r="I73" s="603">
        <v>2</v>
      </c>
      <c r="J73" s="603">
        <v>2</v>
      </c>
      <c r="K73" s="603">
        <v>2</v>
      </c>
      <c r="L73" s="603">
        <v>2</v>
      </c>
      <c r="M73" s="603">
        <v>2</v>
      </c>
      <c r="N73" s="603">
        <v>2</v>
      </c>
      <c r="O73" s="602">
        <f t="shared" ref="O73:O87" si="19">AVERAGE(C73:N73)</f>
        <v>2</v>
      </c>
      <c r="Q73" s="121" t="s">
        <v>17</v>
      </c>
      <c r="R73" s="310">
        <f t="shared" ref="R73:R87" si="20">+SUM(C73:N73)</f>
        <v>24</v>
      </c>
    </row>
    <row r="74" spans="1:21">
      <c r="A74" s="121">
        <f t="shared" si="17"/>
        <v>74</v>
      </c>
      <c r="B74" s="127" t="s">
        <v>206</v>
      </c>
      <c r="C74" s="603">
        <v>1</v>
      </c>
      <c r="D74" s="603">
        <v>1</v>
      </c>
      <c r="E74" s="603">
        <v>1</v>
      </c>
      <c r="F74" s="603">
        <v>1</v>
      </c>
      <c r="G74" s="603">
        <v>1</v>
      </c>
      <c r="H74" s="603">
        <v>1</v>
      </c>
      <c r="I74" s="603">
        <v>1</v>
      </c>
      <c r="J74" s="603">
        <v>1</v>
      </c>
      <c r="K74" s="603">
        <v>1</v>
      </c>
      <c r="L74" s="603">
        <v>1</v>
      </c>
      <c r="M74" s="603">
        <v>1</v>
      </c>
      <c r="N74" s="603">
        <v>1</v>
      </c>
      <c r="O74" s="602">
        <f t="shared" si="19"/>
        <v>1</v>
      </c>
      <c r="Q74" s="121" t="s">
        <v>17</v>
      </c>
      <c r="R74" s="310">
        <f t="shared" si="20"/>
        <v>12</v>
      </c>
    </row>
    <row r="75" spans="1:21">
      <c r="A75" s="121">
        <f t="shared" si="17"/>
        <v>75</v>
      </c>
      <c r="B75" s="127" t="s">
        <v>207</v>
      </c>
      <c r="C75" s="603">
        <v>1</v>
      </c>
      <c r="D75" s="603">
        <v>1</v>
      </c>
      <c r="E75" s="603">
        <v>1</v>
      </c>
      <c r="F75" s="603">
        <v>1</v>
      </c>
      <c r="G75" s="603">
        <v>1</v>
      </c>
      <c r="H75" s="603">
        <v>1</v>
      </c>
      <c r="I75" s="603">
        <v>1</v>
      </c>
      <c r="J75" s="603">
        <v>1</v>
      </c>
      <c r="K75" s="603">
        <v>1</v>
      </c>
      <c r="L75" s="603">
        <v>1</v>
      </c>
      <c r="M75" s="603">
        <v>1</v>
      </c>
      <c r="N75" s="603">
        <v>1</v>
      </c>
      <c r="O75" s="602">
        <f t="shared" si="19"/>
        <v>1</v>
      </c>
      <c r="Q75" s="121" t="s">
        <v>17</v>
      </c>
      <c r="R75" s="310">
        <f t="shared" si="20"/>
        <v>12</v>
      </c>
    </row>
    <row r="76" spans="1:21">
      <c r="A76" s="121">
        <f t="shared" si="17"/>
        <v>76</v>
      </c>
      <c r="B76" s="127" t="s">
        <v>208</v>
      </c>
      <c r="C76" s="603">
        <v>1</v>
      </c>
      <c r="D76" s="603">
        <v>1</v>
      </c>
      <c r="E76" s="603">
        <v>1</v>
      </c>
      <c r="F76" s="603">
        <v>1</v>
      </c>
      <c r="G76" s="603">
        <v>1</v>
      </c>
      <c r="H76" s="603">
        <v>1</v>
      </c>
      <c r="I76" s="603">
        <v>1</v>
      </c>
      <c r="J76" s="603">
        <v>1</v>
      </c>
      <c r="K76" s="603">
        <v>1</v>
      </c>
      <c r="L76" s="603">
        <v>1</v>
      </c>
      <c r="M76" s="603">
        <v>1</v>
      </c>
      <c r="N76" s="603">
        <v>1</v>
      </c>
      <c r="O76" s="602">
        <f t="shared" si="19"/>
        <v>1</v>
      </c>
      <c r="Q76" s="121" t="s">
        <v>17</v>
      </c>
      <c r="R76" s="310">
        <f t="shared" si="20"/>
        <v>12</v>
      </c>
    </row>
    <row r="77" spans="1:21">
      <c r="A77" s="121">
        <f t="shared" si="17"/>
        <v>77</v>
      </c>
      <c r="B77" s="127" t="s">
        <v>209</v>
      </c>
      <c r="C77" s="603">
        <v>1</v>
      </c>
      <c r="D77" s="603">
        <v>1</v>
      </c>
      <c r="E77" s="603">
        <v>1</v>
      </c>
      <c r="F77" s="603">
        <v>1</v>
      </c>
      <c r="G77" s="603">
        <v>1</v>
      </c>
      <c r="H77" s="603">
        <v>1</v>
      </c>
      <c r="I77" s="603">
        <v>1</v>
      </c>
      <c r="J77" s="603">
        <v>1</v>
      </c>
      <c r="K77" s="603">
        <v>0</v>
      </c>
      <c r="L77" s="603">
        <v>0</v>
      </c>
      <c r="M77" s="603">
        <v>0</v>
      </c>
      <c r="N77" s="603">
        <v>0</v>
      </c>
      <c r="O77" s="602">
        <f t="shared" si="19"/>
        <v>0.66666666666666663</v>
      </c>
      <c r="Q77" s="121" t="s">
        <v>17</v>
      </c>
      <c r="R77" s="310">
        <f t="shared" si="20"/>
        <v>8</v>
      </c>
    </row>
    <row r="78" spans="1:21">
      <c r="A78" s="121">
        <f t="shared" si="17"/>
        <v>78</v>
      </c>
      <c r="B78" s="127" t="s">
        <v>210</v>
      </c>
      <c r="C78" s="603">
        <v>1</v>
      </c>
      <c r="D78" s="603">
        <v>1</v>
      </c>
      <c r="E78" s="603">
        <v>1</v>
      </c>
      <c r="F78" s="603">
        <v>1</v>
      </c>
      <c r="G78" s="603">
        <v>1</v>
      </c>
      <c r="H78" s="603">
        <v>1</v>
      </c>
      <c r="I78" s="603">
        <v>1</v>
      </c>
      <c r="J78" s="603">
        <v>1</v>
      </c>
      <c r="K78" s="603">
        <v>1</v>
      </c>
      <c r="L78" s="603">
        <v>1</v>
      </c>
      <c r="M78" s="603">
        <v>1</v>
      </c>
      <c r="N78" s="603">
        <v>1</v>
      </c>
      <c r="O78" s="602">
        <f t="shared" si="19"/>
        <v>1</v>
      </c>
      <c r="Q78" s="121" t="s">
        <v>17</v>
      </c>
      <c r="R78" s="310">
        <f t="shared" si="20"/>
        <v>12</v>
      </c>
    </row>
    <row r="79" spans="1:21" ht="10.5" customHeight="1">
      <c r="A79" s="121">
        <f t="shared" si="17"/>
        <v>79</v>
      </c>
      <c r="B79" s="127" t="s">
        <v>211</v>
      </c>
      <c r="C79" s="603">
        <v>1</v>
      </c>
      <c r="D79" s="603">
        <v>1</v>
      </c>
      <c r="E79" s="603">
        <v>1</v>
      </c>
      <c r="F79" s="603">
        <v>1</v>
      </c>
      <c r="G79" s="603">
        <v>1</v>
      </c>
      <c r="H79" s="603">
        <v>1</v>
      </c>
      <c r="I79" s="603">
        <v>1</v>
      </c>
      <c r="J79" s="603">
        <v>1</v>
      </c>
      <c r="K79" s="603">
        <v>1</v>
      </c>
      <c r="L79" s="603">
        <v>1</v>
      </c>
      <c r="M79" s="603">
        <v>1</v>
      </c>
      <c r="N79" s="603">
        <v>1</v>
      </c>
      <c r="O79" s="602">
        <f t="shared" si="19"/>
        <v>1</v>
      </c>
      <c r="Q79" s="121" t="s">
        <v>17</v>
      </c>
      <c r="R79" s="310">
        <f t="shared" si="20"/>
        <v>12</v>
      </c>
    </row>
    <row r="80" spans="1:21">
      <c r="A80" s="121">
        <f t="shared" si="17"/>
        <v>80</v>
      </c>
      <c r="B80" s="127" t="s">
        <v>212</v>
      </c>
      <c r="C80" s="603">
        <v>1</v>
      </c>
      <c r="D80" s="603">
        <v>1</v>
      </c>
      <c r="E80" s="603">
        <v>1</v>
      </c>
      <c r="F80" s="603">
        <v>1</v>
      </c>
      <c r="G80" s="603">
        <v>1</v>
      </c>
      <c r="H80" s="603">
        <v>1</v>
      </c>
      <c r="I80" s="603">
        <v>1</v>
      </c>
      <c r="J80" s="603">
        <v>1</v>
      </c>
      <c r="K80" s="603">
        <v>1</v>
      </c>
      <c r="L80" s="603">
        <v>1</v>
      </c>
      <c r="M80" s="603">
        <v>1</v>
      </c>
      <c r="N80" s="603">
        <v>1</v>
      </c>
      <c r="O80" s="602">
        <f t="shared" si="19"/>
        <v>1</v>
      </c>
      <c r="Q80" s="121" t="s">
        <v>16</v>
      </c>
      <c r="R80" s="310">
        <f t="shared" si="20"/>
        <v>12</v>
      </c>
    </row>
    <row r="81" spans="1:18">
      <c r="A81" s="121">
        <f t="shared" si="17"/>
        <v>81</v>
      </c>
      <c r="B81" s="127" t="s">
        <v>214</v>
      </c>
      <c r="C81" s="603">
        <v>1</v>
      </c>
      <c r="D81" s="603">
        <v>1</v>
      </c>
      <c r="E81" s="603">
        <v>1</v>
      </c>
      <c r="F81" s="603">
        <v>1</v>
      </c>
      <c r="G81" s="603">
        <v>1</v>
      </c>
      <c r="H81" s="603">
        <v>1</v>
      </c>
      <c r="I81" s="603">
        <v>1</v>
      </c>
      <c r="J81" s="603">
        <v>1</v>
      </c>
      <c r="K81" s="603">
        <v>1</v>
      </c>
      <c r="L81" s="603">
        <v>1</v>
      </c>
      <c r="M81" s="603">
        <v>1</v>
      </c>
      <c r="N81" s="603">
        <v>1</v>
      </c>
      <c r="O81" s="602">
        <f t="shared" si="19"/>
        <v>1</v>
      </c>
      <c r="Q81" s="121" t="s">
        <v>17</v>
      </c>
      <c r="R81" s="310">
        <f t="shared" si="20"/>
        <v>12</v>
      </c>
    </row>
    <row r="82" spans="1:18">
      <c r="A82" s="121">
        <f t="shared" si="17"/>
        <v>82</v>
      </c>
      <c r="B82" s="127" t="s">
        <v>215</v>
      </c>
      <c r="C82" s="603">
        <v>1</v>
      </c>
      <c r="D82" s="603">
        <v>1</v>
      </c>
      <c r="E82" s="603">
        <v>1</v>
      </c>
      <c r="F82" s="603">
        <v>1</v>
      </c>
      <c r="G82" s="603">
        <v>1</v>
      </c>
      <c r="H82" s="603">
        <v>1</v>
      </c>
      <c r="I82" s="603">
        <v>1</v>
      </c>
      <c r="J82" s="603">
        <v>1</v>
      </c>
      <c r="K82" s="603">
        <v>1</v>
      </c>
      <c r="L82" s="603">
        <v>1</v>
      </c>
      <c r="M82" s="603">
        <v>1</v>
      </c>
      <c r="N82" s="603">
        <v>1</v>
      </c>
      <c r="O82" s="602">
        <f t="shared" si="19"/>
        <v>1</v>
      </c>
      <c r="Q82" s="121" t="s">
        <v>17</v>
      </c>
      <c r="R82" s="310">
        <f t="shared" si="20"/>
        <v>12</v>
      </c>
    </row>
    <row r="83" spans="1:18">
      <c r="A83" s="121">
        <f t="shared" si="17"/>
        <v>83</v>
      </c>
      <c r="B83" s="127" t="s">
        <v>216</v>
      </c>
      <c r="C83" s="603">
        <v>1</v>
      </c>
      <c r="D83" s="603">
        <v>1</v>
      </c>
      <c r="E83" s="603">
        <v>1</v>
      </c>
      <c r="F83" s="603">
        <v>1</v>
      </c>
      <c r="G83" s="603">
        <v>1</v>
      </c>
      <c r="H83" s="603">
        <v>1</v>
      </c>
      <c r="I83" s="603">
        <v>1</v>
      </c>
      <c r="J83" s="603">
        <v>1</v>
      </c>
      <c r="K83" s="603">
        <v>1</v>
      </c>
      <c r="L83" s="603">
        <v>1</v>
      </c>
      <c r="M83" s="603">
        <v>1</v>
      </c>
      <c r="N83" s="603">
        <v>1</v>
      </c>
      <c r="O83" s="602">
        <f t="shared" si="19"/>
        <v>1</v>
      </c>
      <c r="Q83" s="121" t="s">
        <v>17</v>
      </c>
      <c r="R83" s="310">
        <f t="shared" si="20"/>
        <v>12</v>
      </c>
    </row>
    <row r="84" spans="1:18">
      <c r="A84" s="121">
        <f t="shared" si="17"/>
        <v>84</v>
      </c>
      <c r="B84" s="127" t="s">
        <v>218</v>
      </c>
      <c r="C84" s="603">
        <v>1</v>
      </c>
      <c r="D84" s="603">
        <v>1</v>
      </c>
      <c r="E84" s="603">
        <v>1</v>
      </c>
      <c r="F84" s="603">
        <v>1</v>
      </c>
      <c r="G84" s="603">
        <v>1</v>
      </c>
      <c r="H84" s="603">
        <v>1</v>
      </c>
      <c r="I84" s="603">
        <v>1</v>
      </c>
      <c r="J84" s="603">
        <v>1</v>
      </c>
      <c r="K84" s="603">
        <v>1</v>
      </c>
      <c r="L84" s="603">
        <v>1</v>
      </c>
      <c r="M84" s="603">
        <v>1</v>
      </c>
      <c r="N84" s="603">
        <v>1</v>
      </c>
      <c r="O84" s="602">
        <f t="shared" si="19"/>
        <v>1</v>
      </c>
      <c r="Q84" s="121" t="s">
        <v>16</v>
      </c>
      <c r="R84" s="310">
        <f t="shared" si="20"/>
        <v>12</v>
      </c>
    </row>
    <row r="85" spans="1:18">
      <c r="A85" s="121">
        <f t="shared" si="17"/>
        <v>85</v>
      </c>
      <c r="B85" s="127" t="s">
        <v>219</v>
      </c>
      <c r="C85" s="603">
        <v>1</v>
      </c>
      <c r="D85" s="603">
        <v>1</v>
      </c>
      <c r="E85" s="603">
        <v>1</v>
      </c>
      <c r="F85" s="603">
        <v>1</v>
      </c>
      <c r="G85" s="603">
        <v>1</v>
      </c>
      <c r="H85" s="603">
        <v>1</v>
      </c>
      <c r="I85" s="603">
        <v>1</v>
      </c>
      <c r="J85" s="603">
        <v>1</v>
      </c>
      <c r="K85" s="603">
        <v>1</v>
      </c>
      <c r="L85" s="603">
        <v>1</v>
      </c>
      <c r="M85" s="603">
        <v>1</v>
      </c>
      <c r="N85" s="603">
        <v>1</v>
      </c>
      <c r="O85" s="602">
        <f t="shared" si="19"/>
        <v>1</v>
      </c>
      <c r="Q85" s="121" t="s">
        <v>16</v>
      </c>
      <c r="R85" s="310">
        <f t="shared" si="20"/>
        <v>12</v>
      </c>
    </row>
    <row r="86" spans="1:18">
      <c r="A86" s="121">
        <f t="shared" si="17"/>
        <v>86</v>
      </c>
      <c r="B86" s="323" t="s">
        <v>220</v>
      </c>
      <c r="C86" s="603">
        <v>1</v>
      </c>
      <c r="D86" s="603">
        <v>1</v>
      </c>
      <c r="E86" s="603">
        <v>1</v>
      </c>
      <c r="F86" s="603">
        <v>1</v>
      </c>
      <c r="G86" s="603">
        <v>1</v>
      </c>
      <c r="H86" s="603">
        <v>1</v>
      </c>
      <c r="I86" s="603">
        <v>1</v>
      </c>
      <c r="J86" s="603">
        <v>1</v>
      </c>
      <c r="K86" s="603">
        <v>1</v>
      </c>
      <c r="L86" s="603">
        <v>1</v>
      </c>
      <c r="M86" s="603">
        <v>1</v>
      </c>
      <c r="N86" s="603">
        <v>1</v>
      </c>
      <c r="O86" s="606">
        <f t="shared" si="19"/>
        <v>1</v>
      </c>
      <c r="Q86" s="121" t="s">
        <v>17</v>
      </c>
      <c r="R86" s="310">
        <f t="shared" si="20"/>
        <v>12</v>
      </c>
    </row>
    <row r="87" spans="1:18">
      <c r="A87" s="121">
        <f t="shared" si="17"/>
        <v>87</v>
      </c>
      <c r="B87" s="322" t="s">
        <v>221</v>
      </c>
      <c r="C87" s="604">
        <f>SUM(C73:C86)</f>
        <v>15</v>
      </c>
      <c r="D87" s="604">
        <f t="shared" ref="D87:N87" si="21">SUM(D73:D86)</f>
        <v>15</v>
      </c>
      <c r="E87" s="604">
        <f t="shared" si="21"/>
        <v>15</v>
      </c>
      <c r="F87" s="604">
        <f t="shared" si="21"/>
        <v>15</v>
      </c>
      <c r="G87" s="604">
        <f t="shared" si="21"/>
        <v>15</v>
      </c>
      <c r="H87" s="604">
        <f t="shared" si="21"/>
        <v>15</v>
      </c>
      <c r="I87" s="604">
        <f t="shared" si="21"/>
        <v>15</v>
      </c>
      <c r="J87" s="604">
        <f t="shared" si="21"/>
        <v>15</v>
      </c>
      <c r="K87" s="604">
        <f t="shared" si="21"/>
        <v>14</v>
      </c>
      <c r="L87" s="604">
        <f t="shared" si="21"/>
        <v>14</v>
      </c>
      <c r="M87" s="604">
        <f t="shared" si="21"/>
        <v>14</v>
      </c>
      <c r="N87" s="604">
        <f t="shared" si="21"/>
        <v>14</v>
      </c>
      <c r="O87" s="602">
        <f t="shared" si="19"/>
        <v>14.666666666666666</v>
      </c>
      <c r="R87" s="310">
        <f t="shared" si="20"/>
        <v>176</v>
      </c>
    </row>
    <row r="88" spans="1:18">
      <c r="A88" s="121">
        <f t="shared" si="17"/>
        <v>88</v>
      </c>
      <c r="B88" s="320" t="s">
        <v>222</v>
      </c>
      <c r="C88" s="602"/>
      <c r="D88" s="602"/>
      <c r="E88" s="602"/>
      <c r="F88" s="602"/>
      <c r="G88" s="602"/>
      <c r="H88" s="602"/>
      <c r="I88" s="602"/>
      <c r="J88" s="602"/>
      <c r="K88" s="602"/>
      <c r="L88" s="602"/>
      <c r="M88" s="602"/>
      <c r="N88" s="602"/>
      <c r="O88" s="602"/>
      <c r="R88" s="121"/>
    </row>
    <row r="89" spans="1:18">
      <c r="A89" s="121">
        <f t="shared" si="17"/>
        <v>89</v>
      </c>
      <c r="B89" s="323" t="s">
        <v>214</v>
      </c>
      <c r="C89" s="603">
        <v>0</v>
      </c>
      <c r="D89" s="603"/>
      <c r="E89" s="603"/>
      <c r="F89" s="603"/>
      <c r="G89" s="603"/>
      <c r="H89" s="603"/>
      <c r="I89" s="603"/>
      <c r="J89" s="603"/>
      <c r="K89" s="603"/>
      <c r="L89" s="603"/>
      <c r="M89" s="603"/>
      <c r="N89" s="603"/>
      <c r="O89" s="602"/>
      <c r="Q89" s="121" t="s">
        <v>17</v>
      </c>
      <c r="R89" s="310">
        <f>+SUM(C89:N89)</f>
        <v>0</v>
      </c>
    </row>
    <row r="90" spans="1:18">
      <c r="A90" s="121">
        <f t="shared" si="17"/>
        <v>90</v>
      </c>
      <c r="B90" s="127" t="s">
        <v>223</v>
      </c>
      <c r="C90" s="603">
        <v>1</v>
      </c>
      <c r="D90" s="603">
        <v>1</v>
      </c>
      <c r="E90" s="603">
        <v>1</v>
      </c>
      <c r="F90" s="603">
        <v>1</v>
      </c>
      <c r="G90" s="603">
        <v>1</v>
      </c>
      <c r="H90" s="603">
        <v>1</v>
      </c>
      <c r="I90" s="603">
        <v>1</v>
      </c>
      <c r="J90" s="603">
        <v>1</v>
      </c>
      <c r="K90" s="603">
        <v>1</v>
      </c>
      <c r="L90" s="603">
        <v>1</v>
      </c>
      <c r="M90" s="603">
        <v>1</v>
      </c>
      <c r="N90" s="603">
        <v>1</v>
      </c>
      <c r="O90" s="602">
        <f>AVERAGE(C90:N90)</f>
        <v>1</v>
      </c>
      <c r="Q90" s="121" t="s">
        <v>17</v>
      </c>
      <c r="R90" s="310">
        <f>+SUM(C90:N90)</f>
        <v>12</v>
      </c>
    </row>
    <row r="91" spans="1:18">
      <c r="A91" s="121">
        <f t="shared" si="17"/>
        <v>91</v>
      </c>
      <c r="B91" s="127" t="s">
        <v>224</v>
      </c>
      <c r="C91" s="603">
        <v>1</v>
      </c>
      <c r="D91" s="603">
        <v>1</v>
      </c>
      <c r="E91" s="603">
        <v>1</v>
      </c>
      <c r="F91" s="603">
        <v>1</v>
      </c>
      <c r="G91" s="603">
        <v>1</v>
      </c>
      <c r="H91" s="603">
        <v>1</v>
      </c>
      <c r="I91" s="603">
        <v>1</v>
      </c>
      <c r="J91" s="603">
        <v>1</v>
      </c>
      <c r="K91" s="603">
        <v>1</v>
      </c>
      <c r="L91" s="603">
        <v>1</v>
      </c>
      <c r="M91" s="603">
        <v>1</v>
      </c>
      <c r="N91" s="603">
        <v>1</v>
      </c>
      <c r="O91" s="602">
        <f>AVERAGE(C91:N91)</f>
        <v>1</v>
      </c>
      <c r="Q91" s="121" t="s">
        <v>16</v>
      </c>
      <c r="R91" s="310">
        <f>+SUM(C91:N91)</f>
        <v>12</v>
      </c>
    </row>
    <row r="92" spans="1:18">
      <c r="A92" s="121">
        <f t="shared" si="17"/>
        <v>92</v>
      </c>
      <c r="B92" s="127" t="s">
        <v>252</v>
      </c>
      <c r="C92" s="603">
        <v>1</v>
      </c>
      <c r="D92" s="603">
        <v>1</v>
      </c>
      <c r="E92" s="603">
        <v>1</v>
      </c>
      <c r="F92" s="603">
        <v>1</v>
      </c>
      <c r="G92" s="603">
        <v>1</v>
      </c>
      <c r="H92" s="603">
        <v>1</v>
      </c>
      <c r="I92" s="603">
        <v>1</v>
      </c>
      <c r="J92" s="603">
        <v>1</v>
      </c>
      <c r="K92" s="603">
        <v>1</v>
      </c>
      <c r="L92" s="603">
        <v>1</v>
      </c>
      <c r="M92" s="603">
        <v>1</v>
      </c>
      <c r="N92" s="603">
        <v>1</v>
      </c>
      <c r="O92" s="602">
        <f>AVERAGE(C92:N92)</f>
        <v>1</v>
      </c>
      <c r="Q92" s="121" t="s">
        <v>16</v>
      </c>
      <c r="R92" s="310">
        <f>+SUM(C92:N92)</f>
        <v>12</v>
      </c>
    </row>
    <row r="93" spans="1:18">
      <c r="A93" s="121">
        <f t="shared" si="17"/>
        <v>93</v>
      </c>
      <c r="B93" s="322" t="s">
        <v>226</v>
      </c>
      <c r="C93" s="604">
        <f>SUM(C89:C92)</f>
        <v>3</v>
      </c>
      <c r="D93" s="604">
        <f t="shared" ref="D93:O93" si="22">SUM(D89:D92)</f>
        <v>3</v>
      </c>
      <c r="E93" s="604">
        <f t="shared" si="22"/>
        <v>3</v>
      </c>
      <c r="F93" s="604">
        <f t="shared" si="22"/>
        <v>3</v>
      </c>
      <c r="G93" s="604">
        <f t="shared" si="22"/>
        <v>3</v>
      </c>
      <c r="H93" s="604">
        <f t="shared" si="22"/>
        <v>3</v>
      </c>
      <c r="I93" s="604">
        <f t="shared" si="22"/>
        <v>3</v>
      </c>
      <c r="J93" s="604">
        <f t="shared" si="22"/>
        <v>3</v>
      </c>
      <c r="K93" s="604">
        <f t="shared" si="22"/>
        <v>3</v>
      </c>
      <c r="L93" s="604">
        <f t="shared" si="22"/>
        <v>3</v>
      </c>
      <c r="M93" s="604">
        <f t="shared" si="22"/>
        <v>3</v>
      </c>
      <c r="N93" s="604">
        <f t="shared" si="22"/>
        <v>3</v>
      </c>
      <c r="O93" s="604">
        <f t="shared" si="22"/>
        <v>3</v>
      </c>
      <c r="R93" s="310">
        <f>+SUM(C93:N93)</f>
        <v>36</v>
      </c>
    </row>
    <row r="94" spans="1:18">
      <c r="A94" s="121">
        <f t="shared" si="17"/>
        <v>94</v>
      </c>
      <c r="B94" s="320"/>
      <c r="C94" s="602"/>
      <c r="D94" s="602"/>
      <c r="E94" s="602"/>
      <c r="F94" s="602"/>
      <c r="G94" s="602"/>
      <c r="H94" s="602"/>
      <c r="I94" s="602"/>
      <c r="J94" s="602"/>
      <c r="K94" s="602"/>
      <c r="L94" s="602"/>
      <c r="M94" s="602"/>
      <c r="N94" s="602"/>
      <c r="O94" s="602"/>
    </row>
    <row r="95" spans="1:18">
      <c r="A95" s="121">
        <f t="shared" si="17"/>
        <v>95</v>
      </c>
      <c r="B95" s="127"/>
      <c r="C95" s="603"/>
      <c r="D95" s="603"/>
      <c r="E95" s="603"/>
      <c r="F95" s="603"/>
      <c r="G95" s="603"/>
      <c r="H95" s="603"/>
      <c r="I95" s="603"/>
      <c r="J95" s="603"/>
      <c r="K95" s="603"/>
      <c r="L95" s="603"/>
      <c r="M95" s="603"/>
      <c r="N95" s="603"/>
      <c r="O95" s="602">
        <v>0</v>
      </c>
      <c r="Q95" s="121" t="s">
        <v>17</v>
      </c>
    </row>
    <row r="96" spans="1:18">
      <c r="A96" s="121">
        <f t="shared" si="17"/>
        <v>96</v>
      </c>
      <c r="B96" s="128" t="s">
        <v>207</v>
      </c>
      <c r="C96" s="603">
        <v>0</v>
      </c>
      <c r="D96" s="603">
        <v>0</v>
      </c>
      <c r="E96" s="603">
        <v>0</v>
      </c>
      <c r="F96" s="603">
        <v>0</v>
      </c>
      <c r="G96" s="603">
        <v>0</v>
      </c>
      <c r="H96" s="603">
        <v>0</v>
      </c>
      <c r="I96" s="603">
        <v>0</v>
      </c>
      <c r="J96" s="603">
        <v>0</v>
      </c>
      <c r="K96" s="603">
        <v>0</v>
      </c>
      <c r="L96" s="603">
        <v>0</v>
      </c>
      <c r="M96" s="603">
        <v>0</v>
      </c>
      <c r="N96" s="603"/>
      <c r="O96" s="602">
        <f>AVERAGE(C96:N96)</f>
        <v>0</v>
      </c>
      <c r="Q96" s="121" t="s">
        <v>17</v>
      </c>
      <c r="R96" s="310">
        <f>+SUM(C96:N96)</f>
        <v>0</v>
      </c>
    </row>
    <row r="97" spans="1:18">
      <c r="A97" s="121">
        <f t="shared" si="17"/>
        <v>97</v>
      </c>
      <c r="B97" s="322" t="s">
        <v>228</v>
      </c>
      <c r="C97" s="604">
        <f t="shared" ref="C97:N97" si="23">SUM(C95:C96)</f>
        <v>0</v>
      </c>
      <c r="D97" s="604">
        <f t="shared" si="23"/>
        <v>0</v>
      </c>
      <c r="E97" s="604">
        <f t="shared" si="23"/>
        <v>0</v>
      </c>
      <c r="F97" s="604">
        <f t="shared" si="23"/>
        <v>0</v>
      </c>
      <c r="G97" s="604">
        <f t="shared" si="23"/>
        <v>0</v>
      </c>
      <c r="H97" s="604">
        <f t="shared" si="23"/>
        <v>0</v>
      </c>
      <c r="I97" s="604">
        <f t="shared" si="23"/>
        <v>0</v>
      </c>
      <c r="J97" s="604">
        <f t="shared" si="23"/>
        <v>0</v>
      </c>
      <c r="K97" s="604">
        <f t="shared" si="23"/>
        <v>0</v>
      </c>
      <c r="L97" s="604">
        <f t="shared" si="23"/>
        <v>0</v>
      </c>
      <c r="M97" s="604">
        <f t="shared" si="23"/>
        <v>0</v>
      </c>
      <c r="N97" s="604">
        <f t="shared" si="23"/>
        <v>0</v>
      </c>
      <c r="O97" s="604">
        <f>AVERAGE(C97:N97)</f>
        <v>0</v>
      </c>
      <c r="R97" s="310">
        <f>+SUM(C97:N97)</f>
        <v>0</v>
      </c>
    </row>
    <row r="98" spans="1:18">
      <c r="A98" s="121">
        <f t="shared" si="17"/>
        <v>98</v>
      </c>
      <c r="B98" s="322"/>
      <c r="C98" s="602"/>
      <c r="D98" s="602"/>
      <c r="E98" s="602"/>
      <c r="F98" s="602"/>
      <c r="G98" s="602"/>
      <c r="H98" s="602"/>
      <c r="I98" s="602"/>
      <c r="J98" s="602"/>
      <c r="K98" s="602"/>
      <c r="L98" s="602"/>
      <c r="M98" s="602"/>
      <c r="N98" s="602"/>
      <c r="O98" s="602"/>
      <c r="R98" s="121"/>
    </row>
    <row r="99" spans="1:18">
      <c r="A99" s="121">
        <f t="shared" si="17"/>
        <v>99</v>
      </c>
      <c r="B99" s="324" t="s">
        <v>229</v>
      </c>
      <c r="C99" s="607">
        <f t="shared" ref="C99:N99" si="24">+C15+C24+C62+C71+C87+C93+C97</f>
        <v>81511</v>
      </c>
      <c r="D99" s="607">
        <f t="shared" si="24"/>
        <v>81671</v>
      </c>
      <c r="E99" s="607">
        <f t="shared" si="24"/>
        <v>81896</v>
      </c>
      <c r="F99" s="607">
        <f t="shared" si="24"/>
        <v>82601</v>
      </c>
      <c r="G99" s="607">
        <f t="shared" si="24"/>
        <v>82541</v>
      </c>
      <c r="H99" s="607">
        <f t="shared" si="24"/>
        <v>82805</v>
      </c>
      <c r="I99" s="607">
        <f t="shared" si="24"/>
        <v>83509</v>
      </c>
      <c r="J99" s="607">
        <f t="shared" si="24"/>
        <v>83116</v>
      </c>
      <c r="K99" s="607">
        <f t="shared" si="24"/>
        <v>83258</v>
      </c>
      <c r="L99" s="607">
        <f>+L15+L24+L62+L71+L87+L93+L97</f>
        <v>83405</v>
      </c>
      <c r="M99" s="607">
        <f t="shared" si="24"/>
        <v>83758</v>
      </c>
      <c r="N99" s="607">
        <f t="shared" si="24"/>
        <v>84196</v>
      </c>
      <c r="O99" s="608">
        <f>+O15+O24+O62+O71+O87+O93+O97</f>
        <v>82855.583333333328</v>
      </c>
      <c r="R99" s="121"/>
    </row>
    <row r="100" spans="1:18">
      <c r="A100" s="121">
        <f t="shared" si="17"/>
        <v>100</v>
      </c>
      <c r="B100" s="327" t="s">
        <v>230</v>
      </c>
      <c r="C100" s="602"/>
      <c r="D100" s="602"/>
      <c r="E100" s="60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R100" s="121"/>
    </row>
    <row r="101" spans="1:18">
      <c r="A101" s="121">
        <f t="shared" si="17"/>
        <v>101</v>
      </c>
      <c r="B101" s="127" t="s">
        <v>232</v>
      </c>
      <c r="C101" s="603">
        <v>1</v>
      </c>
      <c r="D101" s="603">
        <v>1</v>
      </c>
      <c r="E101" s="603">
        <v>1</v>
      </c>
      <c r="F101" s="603">
        <v>1</v>
      </c>
      <c r="G101" s="603">
        <v>1</v>
      </c>
      <c r="H101" s="603">
        <v>1</v>
      </c>
      <c r="I101" s="603">
        <v>1</v>
      </c>
      <c r="J101" s="603">
        <v>1</v>
      </c>
      <c r="K101" s="603">
        <v>1</v>
      </c>
      <c r="L101" s="603">
        <v>1</v>
      </c>
      <c r="M101" s="603">
        <v>1</v>
      </c>
      <c r="N101" s="603">
        <v>1</v>
      </c>
      <c r="O101" s="602">
        <f>AVERAGE(C101:N101)</f>
        <v>1</v>
      </c>
      <c r="Q101" s="121" t="s">
        <v>17</v>
      </c>
      <c r="R101" s="310">
        <f>+SUM(C101:N101)</f>
        <v>12</v>
      </c>
    </row>
    <row r="102" spans="1:18">
      <c r="A102" s="121">
        <f t="shared" si="17"/>
        <v>102</v>
      </c>
      <c r="B102" s="128" t="s">
        <v>233</v>
      </c>
      <c r="C102" s="603">
        <v>1</v>
      </c>
      <c r="D102" s="603">
        <v>1</v>
      </c>
      <c r="E102" s="603">
        <v>1</v>
      </c>
      <c r="F102" s="603">
        <v>1</v>
      </c>
      <c r="G102" s="603">
        <v>1</v>
      </c>
      <c r="H102" s="603">
        <v>1</v>
      </c>
      <c r="I102" s="603">
        <v>1</v>
      </c>
      <c r="J102" s="603">
        <v>1</v>
      </c>
      <c r="K102" s="603">
        <v>1</v>
      </c>
      <c r="L102" s="603">
        <v>1</v>
      </c>
      <c r="M102" s="603">
        <v>1</v>
      </c>
      <c r="N102" s="603">
        <v>1</v>
      </c>
      <c r="O102" s="606">
        <f>AVERAGE(C102:N102)</f>
        <v>1</v>
      </c>
      <c r="Q102" s="121" t="s">
        <v>17</v>
      </c>
      <c r="R102" s="310">
        <f>+SUM(C102:N102)</f>
        <v>12</v>
      </c>
    </row>
    <row r="103" spans="1:18">
      <c r="A103" s="121">
        <f t="shared" si="17"/>
        <v>103</v>
      </c>
      <c r="B103" s="322" t="s">
        <v>234</v>
      </c>
      <c r="C103" s="604">
        <f t="shared" ref="C103:N103" si="25">SUM(C101:C102)</f>
        <v>2</v>
      </c>
      <c r="D103" s="604">
        <f t="shared" si="25"/>
        <v>2</v>
      </c>
      <c r="E103" s="604">
        <f t="shared" si="25"/>
        <v>2</v>
      </c>
      <c r="F103" s="604">
        <f t="shared" si="25"/>
        <v>2</v>
      </c>
      <c r="G103" s="604">
        <f t="shared" si="25"/>
        <v>2</v>
      </c>
      <c r="H103" s="604">
        <f t="shared" si="25"/>
        <v>2</v>
      </c>
      <c r="I103" s="604">
        <f>SUM(I101:I102)</f>
        <v>2</v>
      </c>
      <c r="J103" s="604">
        <f t="shared" si="25"/>
        <v>2</v>
      </c>
      <c r="K103" s="604">
        <f t="shared" si="25"/>
        <v>2</v>
      </c>
      <c r="L103" s="604">
        <f t="shared" si="25"/>
        <v>2</v>
      </c>
      <c r="M103" s="604">
        <f t="shared" si="25"/>
        <v>2</v>
      </c>
      <c r="N103" s="604">
        <f t="shared" si="25"/>
        <v>2</v>
      </c>
      <c r="O103" s="602">
        <f>AVERAGE(C103:N103)</f>
        <v>2</v>
      </c>
      <c r="R103" s="310">
        <f>+SUM(C103:N103)</f>
        <v>24</v>
      </c>
    </row>
    <row r="104" spans="1:18">
      <c r="A104" s="121">
        <f t="shared" si="17"/>
        <v>104</v>
      </c>
      <c r="B104" s="320" t="s">
        <v>235</v>
      </c>
      <c r="C104" s="602"/>
      <c r="D104" s="602"/>
      <c r="E104" s="602"/>
      <c r="F104" s="602"/>
      <c r="G104" s="602"/>
      <c r="H104" s="602"/>
      <c r="I104" s="602"/>
      <c r="J104" s="602"/>
      <c r="K104" s="602"/>
      <c r="L104" s="602"/>
      <c r="M104" s="602"/>
      <c r="N104" s="602"/>
      <c r="O104" s="602"/>
      <c r="R104" s="121"/>
    </row>
    <row r="105" spans="1:18">
      <c r="A105" s="121">
        <f t="shared" si="17"/>
        <v>105</v>
      </c>
      <c r="B105" s="127" t="s">
        <v>236</v>
      </c>
      <c r="C105" s="603">
        <v>0</v>
      </c>
      <c r="D105" s="603"/>
      <c r="E105" s="603"/>
      <c r="F105" s="603"/>
      <c r="G105" s="603"/>
      <c r="H105" s="603"/>
      <c r="I105" s="603"/>
      <c r="J105" s="603"/>
      <c r="K105" s="603"/>
      <c r="L105" s="603"/>
      <c r="M105" s="603"/>
      <c r="N105" s="603"/>
      <c r="O105" s="602">
        <f>AVERAGE(C105:N105)</f>
        <v>0</v>
      </c>
      <c r="Q105" s="121" t="s">
        <v>253</v>
      </c>
      <c r="R105" s="310">
        <f>+SUM(C105:N105)</f>
        <v>0</v>
      </c>
    </row>
    <row r="106" spans="1:18">
      <c r="A106" s="121">
        <f t="shared" si="17"/>
        <v>106</v>
      </c>
      <c r="B106" s="127" t="s">
        <v>237</v>
      </c>
      <c r="C106" s="603">
        <v>1</v>
      </c>
      <c r="D106" s="603">
        <v>1</v>
      </c>
      <c r="E106" s="603">
        <v>1</v>
      </c>
      <c r="F106" s="603">
        <v>1</v>
      </c>
      <c r="G106" s="603">
        <v>1</v>
      </c>
      <c r="H106" s="603">
        <v>1</v>
      </c>
      <c r="I106" s="603">
        <v>1</v>
      </c>
      <c r="J106" s="603">
        <v>1</v>
      </c>
      <c r="K106" s="603">
        <v>1</v>
      </c>
      <c r="L106" s="603">
        <v>1</v>
      </c>
      <c r="M106" s="603">
        <v>1</v>
      </c>
      <c r="N106" s="603">
        <v>1</v>
      </c>
      <c r="O106" s="602">
        <f>AVERAGE(C106:N106)</f>
        <v>1</v>
      </c>
      <c r="Q106" s="121" t="s">
        <v>17</v>
      </c>
      <c r="R106" s="310">
        <f>+SUM(C106:N106)</f>
        <v>12</v>
      </c>
    </row>
    <row r="107" spans="1:18">
      <c r="A107" s="121">
        <f t="shared" si="17"/>
        <v>107</v>
      </c>
      <c r="B107" s="128" t="s">
        <v>238</v>
      </c>
      <c r="C107" s="603">
        <v>1</v>
      </c>
      <c r="D107" s="603">
        <v>1</v>
      </c>
      <c r="E107" s="603">
        <v>1</v>
      </c>
      <c r="F107" s="603">
        <v>1</v>
      </c>
      <c r="G107" s="603">
        <v>1</v>
      </c>
      <c r="H107" s="603">
        <v>1</v>
      </c>
      <c r="I107" s="603">
        <v>1</v>
      </c>
      <c r="J107" s="603">
        <v>1</v>
      </c>
      <c r="K107" s="603">
        <v>1</v>
      </c>
      <c r="L107" s="603">
        <v>1</v>
      </c>
      <c r="M107" s="603">
        <v>1</v>
      </c>
      <c r="N107" s="603">
        <v>1</v>
      </c>
      <c r="O107" s="606">
        <f>AVERAGE(C107:N107)</f>
        <v>1</v>
      </c>
      <c r="Q107" s="121" t="s">
        <v>17</v>
      </c>
      <c r="R107" s="310">
        <f>+SUM(C107:N107)</f>
        <v>12</v>
      </c>
    </row>
    <row r="108" spans="1:18">
      <c r="A108" s="121">
        <f t="shared" si="17"/>
        <v>108</v>
      </c>
      <c r="B108" s="322" t="s">
        <v>239</v>
      </c>
      <c r="C108" s="604">
        <f>SUM(C105:C107)</f>
        <v>2</v>
      </c>
      <c r="D108" s="604">
        <f t="shared" ref="D108:N108" si="26">SUM(D105:D107)</f>
        <v>2</v>
      </c>
      <c r="E108" s="604">
        <f t="shared" si="26"/>
        <v>2</v>
      </c>
      <c r="F108" s="604">
        <f t="shared" si="26"/>
        <v>2</v>
      </c>
      <c r="G108" s="604">
        <f t="shared" si="26"/>
        <v>2</v>
      </c>
      <c r="H108" s="604">
        <f t="shared" si="26"/>
        <v>2</v>
      </c>
      <c r="I108" s="604">
        <f t="shared" si="26"/>
        <v>2</v>
      </c>
      <c r="J108" s="604">
        <f t="shared" si="26"/>
        <v>2</v>
      </c>
      <c r="K108" s="604">
        <f t="shared" si="26"/>
        <v>2</v>
      </c>
      <c r="L108" s="604">
        <f t="shared" si="26"/>
        <v>2</v>
      </c>
      <c r="M108" s="604">
        <f t="shared" si="26"/>
        <v>2</v>
      </c>
      <c r="N108" s="604">
        <f t="shared" si="26"/>
        <v>2</v>
      </c>
      <c r="O108" s="602">
        <f>AVERAGE(C108:N108)</f>
        <v>2</v>
      </c>
      <c r="R108" s="310">
        <f>+SUM(C108:N108)</f>
        <v>24</v>
      </c>
    </row>
    <row r="109" spans="1:18">
      <c r="A109" s="121">
        <f t="shared" si="17"/>
        <v>109</v>
      </c>
      <c r="B109" s="322"/>
      <c r="C109" s="602"/>
      <c r="D109" s="602"/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2"/>
    </row>
    <row r="110" spans="1:18">
      <c r="A110" s="121">
        <f t="shared" si="17"/>
        <v>110</v>
      </c>
      <c r="B110" s="324" t="s">
        <v>240</v>
      </c>
      <c r="C110" s="607">
        <f t="shared" ref="C110:O110" si="27">+C103+C108</f>
        <v>4</v>
      </c>
      <c r="D110" s="607">
        <f t="shared" si="27"/>
        <v>4</v>
      </c>
      <c r="E110" s="607">
        <f t="shared" si="27"/>
        <v>4</v>
      </c>
      <c r="F110" s="607">
        <f t="shared" si="27"/>
        <v>4</v>
      </c>
      <c r="G110" s="607">
        <f t="shared" si="27"/>
        <v>4</v>
      </c>
      <c r="H110" s="607">
        <f t="shared" si="27"/>
        <v>4</v>
      </c>
      <c r="I110" s="607">
        <f t="shared" si="27"/>
        <v>4</v>
      </c>
      <c r="J110" s="607">
        <f t="shared" si="27"/>
        <v>4</v>
      </c>
      <c r="K110" s="607">
        <f t="shared" si="27"/>
        <v>4</v>
      </c>
      <c r="L110" s="607">
        <f t="shared" si="27"/>
        <v>4</v>
      </c>
      <c r="M110" s="607">
        <f t="shared" si="27"/>
        <v>4</v>
      </c>
      <c r="N110" s="607">
        <f t="shared" si="27"/>
        <v>4</v>
      </c>
      <c r="O110" s="608">
        <f t="shared" si="27"/>
        <v>4</v>
      </c>
      <c r="R110" s="310">
        <f>+SUM(C110:N110)</f>
        <v>48</v>
      </c>
    </row>
    <row r="111" spans="1:18">
      <c r="A111" s="121">
        <f t="shared" si="17"/>
        <v>111</v>
      </c>
      <c r="B111" s="328"/>
      <c r="C111" s="609"/>
      <c r="D111" s="609"/>
      <c r="E111" s="609"/>
      <c r="F111" s="609"/>
      <c r="G111" s="609"/>
      <c r="H111" s="609"/>
      <c r="I111" s="609"/>
      <c r="J111" s="609"/>
      <c r="K111" s="609"/>
      <c r="L111" s="609"/>
      <c r="M111" s="609"/>
      <c r="N111" s="609"/>
      <c r="O111" s="609"/>
    </row>
    <row r="112" spans="1:18">
      <c r="A112" s="121">
        <f t="shared" si="17"/>
        <v>112</v>
      </c>
      <c r="B112" s="330" t="s">
        <v>254</v>
      </c>
      <c r="C112" s="609"/>
      <c r="D112" s="609"/>
      <c r="E112" s="609"/>
      <c r="F112" s="609"/>
      <c r="G112" s="609"/>
      <c r="H112" s="609"/>
      <c r="I112" s="609"/>
      <c r="J112" s="609"/>
      <c r="K112" s="609"/>
      <c r="L112" s="609"/>
      <c r="M112" s="609"/>
      <c r="N112" s="609"/>
      <c r="O112" s="609"/>
    </row>
    <row r="113" spans="1:18">
      <c r="A113" s="121">
        <f t="shared" si="17"/>
        <v>113</v>
      </c>
      <c r="B113" s="331" t="s">
        <v>173</v>
      </c>
      <c r="C113" s="603">
        <v>178</v>
      </c>
      <c r="D113" s="603">
        <v>180</v>
      </c>
      <c r="E113" s="603">
        <v>177</v>
      </c>
      <c r="F113" s="603">
        <v>188</v>
      </c>
      <c r="G113" s="603">
        <f>229-53</f>
        <v>176</v>
      </c>
      <c r="H113" s="603">
        <v>178</v>
      </c>
      <c r="I113" s="603">
        <v>179</v>
      </c>
      <c r="J113" s="603">
        <v>180</v>
      </c>
      <c r="K113" s="603">
        <v>179</v>
      </c>
      <c r="L113" s="603">
        <v>182</v>
      </c>
      <c r="M113" s="603">
        <v>177</v>
      </c>
      <c r="N113" s="603">
        <v>175</v>
      </c>
      <c r="O113" s="602">
        <f t="shared" ref="O113:O118" si="28">AVERAGE(C113:N113)</f>
        <v>179.08333333333334</v>
      </c>
      <c r="R113" s="310">
        <f t="shared" ref="R113:R119" si="29">+SUM(C113:N113)</f>
        <v>2149</v>
      </c>
    </row>
    <row r="114" spans="1:18">
      <c r="A114" s="121">
        <f t="shared" si="17"/>
        <v>114</v>
      </c>
      <c r="B114" s="331" t="s">
        <v>176</v>
      </c>
      <c r="C114" s="603">
        <v>946</v>
      </c>
      <c r="D114" s="603">
        <v>955</v>
      </c>
      <c r="E114" s="603">
        <v>943</v>
      </c>
      <c r="F114" s="603">
        <v>953</v>
      </c>
      <c r="G114" s="603">
        <f>1266-317</f>
        <v>949</v>
      </c>
      <c r="H114" s="603">
        <v>945</v>
      </c>
      <c r="I114" s="603">
        <v>943</v>
      </c>
      <c r="J114" s="603">
        <v>943</v>
      </c>
      <c r="K114" s="603">
        <v>956</v>
      </c>
      <c r="L114" s="603">
        <v>989</v>
      </c>
      <c r="M114" s="603">
        <v>957</v>
      </c>
      <c r="N114" s="603">
        <v>954</v>
      </c>
      <c r="O114" s="602">
        <f t="shared" si="28"/>
        <v>952.75</v>
      </c>
      <c r="R114" s="310">
        <f t="shared" si="29"/>
        <v>11433</v>
      </c>
    </row>
    <row r="115" spans="1:18">
      <c r="A115" s="121">
        <f t="shared" si="17"/>
        <v>115</v>
      </c>
      <c r="B115" s="331" t="s">
        <v>180</v>
      </c>
      <c r="C115" s="603">
        <v>1166</v>
      </c>
      <c r="D115" s="603">
        <v>1179</v>
      </c>
      <c r="E115" s="603">
        <v>1175</v>
      </c>
      <c r="F115" s="603">
        <v>1185</v>
      </c>
      <c r="G115" s="603">
        <f>1658-487</f>
        <v>1171</v>
      </c>
      <c r="H115" s="603">
        <v>1170</v>
      </c>
      <c r="I115" s="603">
        <v>1173</v>
      </c>
      <c r="J115" s="603">
        <v>1175</v>
      </c>
      <c r="K115" s="603">
        <v>1185</v>
      </c>
      <c r="L115" s="603">
        <v>1230</v>
      </c>
      <c r="M115" s="603">
        <v>1189</v>
      </c>
      <c r="N115" s="603">
        <v>1178</v>
      </c>
      <c r="O115" s="602">
        <f t="shared" si="28"/>
        <v>1181.3333333333333</v>
      </c>
      <c r="R115" s="310">
        <f t="shared" si="29"/>
        <v>14176</v>
      </c>
    </row>
    <row r="116" spans="1:18">
      <c r="A116" s="121">
        <f t="shared" si="17"/>
        <v>116</v>
      </c>
      <c r="B116" s="331" t="s">
        <v>181</v>
      </c>
      <c r="C116" s="603">
        <v>57</v>
      </c>
      <c r="D116" s="603">
        <v>63</v>
      </c>
      <c r="E116" s="603">
        <v>52</v>
      </c>
      <c r="F116" s="603">
        <v>63</v>
      </c>
      <c r="G116" s="603">
        <f>57-6</f>
        <v>51</v>
      </c>
      <c r="H116" s="603">
        <v>65</v>
      </c>
      <c r="I116" s="603">
        <v>56</v>
      </c>
      <c r="J116" s="603">
        <v>57</v>
      </c>
      <c r="K116" s="603">
        <v>59</v>
      </c>
      <c r="L116" s="603">
        <v>56</v>
      </c>
      <c r="M116" s="603">
        <v>51</v>
      </c>
      <c r="N116" s="603">
        <v>51</v>
      </c>
      <c r="O116" s="602">
        <f t="shared" si="28"/>
        <v>56.75</v>
      </c>
      <c r="R116" s="310">
        <f t="shared" si="29"/>
        <v>681</v>
      </c>
    </row>
    <row r="117" spans="1:18">
      <c r="A117" s="121">
        <f t="shared" si="17"/>
        <v>117</v>
      </c>
      <c r="B117" s="331" t="s">
        <v>184</v>
      </c>
      <c r="C117" s="603">
        <v>18</v>
      </c>
      <c r="D117" s="603">
        <v>18</v>
      </c>
      <c r="E117" s="603">
        <v>18</v>
      </c>
      <c r="F117" s="603">
        <v>18</v>
      </c>
      <c r="G117" s="603">
        <v>18</v>
      </c>
      <c r="H117" s="603">
        <v>18</v>
      </c>
      <c r="I117" s="603">
        <v>18</v>
      </c>
      <c r="J117" s="603">
        <v>18</v>
      </c>
      <c r="K117" s="603">
        <v>18</v>
      </c>
      <c r="L117" s="603">
        <v>18</v>
      </c>
      <c r="M117" s="603">
        <v>18</v>
      </c>
      <c r="N117" s="603">
        <v>18</v>
      </c>
      <c r="O117" s="602">
        <f t="shared" si="28"/>
        <v>18</v>
      </c>
      <c r="R117" s="310">
        <f t="shared" si="29"/>
        <v>216</v>
      </c>
    </row>
    <row r="118" spans="1:18">
      <c r="A118" s="121">
        <f t="shared" si="17"/>
        <v>118</v>
      </c>
      <c r="B118" s="331" t="s">
        <v>255</v>
      </c>
      <c r="C118" s="603">
        <v>7</v>
      </c>
      <c r="D118" s="603">
        <v>7</v>
      </c>
      <c r="E118" s="603">
        <v>7</v>
      </c>
      <c r="F118" s="603">
        <v>7</v>
      </c>
      <c r="G118" s="603">
        <v>7</v>
      </c>
      <c r="H118" s="603">
        <v>7</v>
      </c>
      <c r="I118" s="603">
        <v>7</v>
      </c>
      <c r="J118" s="603">
        <v>7</v>
      </c>
      <c r="K118" s="603">
        <v>7</v>
      </c>
      <c r="L118" s="603">
        <v>7</v>
      </c>
      <c r="M118" s="603">
        <v>7</v>
      </c>
      <c r="N118" s="603">
        <v>7</v>
      </c>
      <c r="O118" s="602">
        <f t="shared" si="28"/>
        <v>7</v>
      </c>
      <c r="R118" s="310">
        <f t="shared" si="29"/>
        <v>84</v>
      </c>
    </row>
    <row r="119" spans="1:18">
      <c r="A119" s="121">
        <f t="shared" si="17"/>
        <v>119</v>
      </c>
      <c r="B119" s="332" t="s">
        <v>256</v>
      </c>
      <c r="C119" s="609">
        <f t="shared" ref="C119:O119" si="30">+SUM(C113:C118)</f>
        <v>2372</v>
      </c>
      <c r="D119" s="609">
        <f t="shared" si="30"/>
        <v>2402</v>
      </c>
      <c r="E119" s="609">
        <f t="shared" si="30"/>
        <v>2372</v>
      </c>
      <c r="F119" s="609">
        <f t="shared" si="30"/>
        <v>2414</v>
      </c>
      <c r="G119" s="609">
        <f t="shared" si="30"/>
        <v>2372</v>
      </c>
      <c r="H119" s="609">
        <f t="shared" si="30"/>
        <v>2383</v>
      </c>
      <c r="I119" s="609">
        <f t="shared" si="30"/>
        <v>2376</v>
      </c>
      <c r="J119" s="609">
        <f t="shared" si="30"/>
        <v>2380</v>
      </c>
      <c r="K119" s="609">
        <f t="shared" si="30"/>
        <v>2404</v>
      </c>
      <c r="L119" s="609">
        <f t="shared" si="30"/>
        <v>2482</v>
      </c>
      <c r="M119" s="609">
        <f t="shared" si="30"/>
        <v>2399</v>
      </c>
      <c r="N119" s="609">
        <f t="shared" si="30"/>
        <v>2383</v>
      </c>
      <c r="O119" s="609">
        <f t="shared" si="30"/>
        <v>2394.9166666666665</v>
      </c>
      <c r="R119" s="310">
        <f t="shared" si="29"/>
        <v>28739</v>
      </c>
    </row>
    <row r="120" spans="1:18">
      <c r="A120" s="121">
        <f t="shared" si="17"/>
        <v>120</v>
      </c>
      <c r="B120" s="332"/>
      <c r="C120" s="609"/>
      <c r="D120" s="609"/>
      <c r="E120" s="609"/>
      <c r="F120" s="609"/>
      <c r="G120" s="609"/>
      <c r="H120" s="609"/>
      <c r="I120" s="609"/>
      <c r="J120" s="609"/>
      <c r="K120" s="609"/>
      <c r="L120" s="609"/>
      <c r="M120" s="609"/>
      <c r="N120" s="609"/>
      <c r="O120" s="609"/>
    </row>
    <row r="121" spans="1:18">
      <c r="A121" s="121">
        <f t="shared" si="17"/>
        <v>121</v>
      </c>
      <c r="B121" s="330" t="s">
        <v>257</v>
      </c>
      <c r="C121" s="609"/>
      <c r="D121" s="609"/>
      <c r="E121" s="609"/>
      <c r="F121" s="609"/>
      <c r="G121" s="609"/>
      <c r="H121" s="609"/>
      <c r="I121" s="609"/>
      <c r="J121" s="609"/>
      <c r="K121" s="609"/>
      <c r="L121" s="609"/>
      <c r="M121" s="609"/>
      <c r="N121" s="609"/>
      <c r="O121" s="609"/>
    </row>
    <row r="122" spans="1:18">
      <c r="A122" s="121">
        <f t="shared" si="17"/>
        <v>122</v>
      </c>
      <c r="B122" s="331" t="s">
        <v>181</v>
      </c>
      <c r="C122" s="603">
        <v>37</v>
      </c>
      <c r="D122" s="603">
        <v>38</v>
      </c>
      <c r="E122" s="603">
        <v>38</v>
      </c>
      <c r="F122" s="603">
        <v>38</v>
      </c>
      <c r="G122" s="603">
        <v>40</v>
      </c>
      <c r="H122" s="603">
        <v>36</v>
      </c>
      <c r="I122" s="603">
        <v>36</v>
      </c>
      <c r="J122" s="603">
        <v>39</v>
      </c>
      <c r="K122" s="603">
        <v>39</v>
      </c>
      <c r="L122" s="603">
        <v>39</v>
      </c>
      <c r="M122" s="603">
        <v>39</v>
      </c>
      <c r="N122" s="603">
        <v>39</v>
      </c>
      <c r="O122" s="602">
        <f>AVERAGE(C122:N122)</f>
        <v>38.166666666666664</v>
      </c>
      <c r="R122" s="310">
        <f>+SUM(C122:N122)</f>
        <v>458</v>
      </c>
    </row>
    <row r="123" spans="1:18">
      <c r="A123" s="121">
        <f t="shared" si="17"/>
        <v>123</v>
      </c>
      <c r="B123" s="331" t="s">
        <v>184</v>
      </c>
      <c r="C123" s="603">
        <v>17</v>
      </c>
      <c r="D123" s="603">
        <v>17</v>
      </c>
      <c r="E123" s="603">
        <v>17</v>
      </c>
      <c r="F123" s="603">
        <v>17</v>
      </c>
      <c r="G123" s="603">
        <v>17</v>
      </c>
      <c r="H123" s="603">
        <v>17</v>
      </c>
      <c r="I123" s="603">
        <v>17</v>
      </c>
      <c r="J123" s="603">
        <v>17</v>
      </c>
      <c r="K123" s="603">
        <v>17</v>
      </c>
      <c r="L123" s="603">
        <v>17</v>
      </c>
      <c r="M123" s="603">
        <v>17</v>
      </c>
      <c r="N123" s="603">
        <v>17</v>
      </c>
      <c r="O123" s="602">
        <f>AVERAGE(C123:N123)</f>
        <v>17</v>
      </c>
      <c r="R123" s="310">
        <f>+SUM(C123:N123)</f>
        <v>204</v>
      </c>
    </row>
    <row r="124" spans="1:18">
      <c r="A124" s="121">
        <f t="shared" si="17"/>
        <v>124</v>
      </c>
      <c r="B124" s="332" t="s">
        <v>258</v>
      </c>
      <c r="C124" s="602">
        <f t="shared" ref="C124:O124" si="31">+SUM(C122:C123)</f>
        <v>54</v>
      </c>
      <c r="D124" s="602">
        <f t="shared" si="31"/>
        <v>55</v>
      </c>
      <c r="E124" s="602">
        <f t="shared" si="31"/>
        <v>55</v>
      </c>
      <c r="F124" s="602">
        <f t="shared" si="31"/>
        <v>55</v>
      </c>
      <c r="G124" s="602">
        <f t="shared" si="31"/>
        <v>57</v>
      </c>
      <c r="H124" s="602">
        <f t="shared" si="31"/>
        <v>53</v>
      </c>
      <c r="I124" s="602">
        <f t="shared" si="31"/>
        <v>53</v>
      </c>
      <c r="J124" s="602">
        <f t="shared" si="31"/>
        <v>56</v>
      </c>
      <c r="K124" s="602">
        <f t="shared" si="31"/>
        <v>56</v>
      </c>
      <c r="L124" s="602">
        <f t="shared" si="31"/>
        <v>56</v>
      </c>
      <c r="M124" s="602">
        <f t="shared" si="31"/>
        <v>56</v>
      </c>
      <c r="N124" s="602">
        <f t="shared" si="31"/>
        <v>56</v>
      </c>
      <c r="O124" s="602">
        <f t="shared" si="31"/>
        <v>55.166666666666664</v>
      </c>
      <c r="R124" s="310">
        <f>+SUM(C124:N124)</f>
        <v>662</v>
      </c>
    </row>
    <row r="125" spans="1:18">
      <c r="A125" s="121">
        <f t="shared" si="17"/>
        <v>125</v>
      </c>
      <c r="B125" s="332"/>
      <c r="C125" s="602"/>
      <c r="D125" s="602"/>
      <c r="E125" s="602"/>
      <c r="F125" s="602"/>
      <c r="G125" s="602"/>
      <c r="H125" s="602"/>
      <c r="I125" s="602"/>
      <c r="J125" s="602"/>
      <c r="K125" s="602"/>
      <c r="L125" s="602"/>
      <c r="M125" s="602"/>
      <c r="N125" s="602"/>
      <c r="O125" s="602"/>
    </row>
    <row r="126" spans="1:18">
      <c r="A126" s="121">
        <f t="shared" si="17"/>
        <v>126</v>
      </c>
      <c r="B126" s="324" t="s">
        <v>241</v>
      </c>
      <c r="C126" s="607">
        <f t="shared" ref="C126:O126" si="32">+C99+C110</f>
        <v>81515</v>
      </c>
      <c r="D126" s="607">
        <f t="shared" si="32"/>
        <v>81675</v>
      </c>
      <c r="E126" s="607">
        <f t="shared" si="32"/>
        <v>81900</v>
      </c>
      <c r="F126" s="607">
        <f t="shared" si="32"/>
        <v>82605</v>
      </c>
      <c r="G126" s="607">
        <f t="shared" si="32"/>
        <v>82545</v>
      </c>
      <c r="H126" s="607">
        <f t="shared" si="32"/>
        <v>82809</v>
      </c>
      <c r="I126" s="607">
        <f t="shared" si="32"/>
        <v>83513</v>
      </c>
      <c r="J126" s="607">
        <f t="shared" si="32"/>
        <v>83120</v>
      </c>
      <c r="K126" s="607">
        <f t="shared" si="32"/>
        <v>83262</v>
      </c>
      <c r="L126" s="607">
        <f>+L99+L110</f>
        <v>83409</v>
      </c>
      <c r="M126" s="607">
        <f t="shared" si="32"/>
        <v>83762</v>
      </c>
      <c r="N126" s="607">
        <f t="shared" si="32"/>
        <v>84200</v>
      </c>
      <c r="O126" s="608">
        <f t="shared" si="32"/>
        <v>82859.583333333328</v>
      </c>
      <c r="R126" s="310">
        <f>+SUM(C126:N126)</f>
        <v>994315</v>
      </c>
    </row>
    <row r="127" spans="1:18">
      <c r="A127" s="121">
        <f t="shared" si="17"/>
        <v>127</v>
      </c>
      <c r="B127" s="311" t="s">
        <v>158</v>
      </c>
      <c r="C127" s="602"/>
      <c r="D127" s="602"/>
      <c r="E127" s="602"/>
      <c r="F127" s="602"/>
      <c r="G127" s="602"/>
      <c r="H127" s="602"/>
      <c r="I127" s="602"/>
      <c r="J127" s="602"/>
      <c r="K127" s="602"/>
      <c r="L127" s="602"/>
      <c r="M127" s="602"/>
      <c r="N127" s="602"/>
      <c r="O127" s="602"/>
    </row>
    <row r="128" spans="1:18">
      <c r="A128" s="121">
        <f t="shared" si="17"/>
        <v>128</v>
      </c>
      <c r="B128" s="312" t="s">
        <v>114</v>
      </c>
      <c r="C128" s="602">
        <f t="shared" ref="C128:C138" si="33">+C4</f>
        <v>1167</v>
      </c>
      <c r="D128" s="602">
        <f t="shared" ref="D128:D138" si="34">AVERAGE(C4:D4)</f>
        <v>1166</v>
      </c>
      <c r="E128" s="602">
        <f t="shared" ref="E128:E138" si="35">AVERAGE(C4:E4)</f>
        <v>1165.6666666666667</v>
      </c>
      <c r="F128" s="602">
        <f t="shared" ref="F128:F138" si="36">AVERAGE(C4:F4)</f>
        <v>1165</v>
      </c>
      <c r="G128" s="602">
        <f t="shared" ref="G128:G138" si="37">AVERAGE(C4:G4)</f>
        <v>1162.4000000000001</v>
      </c>
      <c r="H128" s="602">
        <f t="shared" ref="H128:H138" si="38">AVERAGE(C4:H4)</f>
        <v>1160.5</v>
      </c>
      <c r="I128" s="602">
        <f t="shared" ref="I128:I138" si="39">AVERAGE(C4:I4)</f>
        <v>1158.8571428571429</v>
      </c>
      <c r="J128" s="602">
        <f t="shared" ref="J128:J138" si="40">AVERAGE(C4:J4)</f>
        <v>1157.375</v>
      </c>
      <c r="K128" s="602">
        <f t="shared" ref="K128:K138" si="41">AVERAGE(C4:K4)</f>
        <v>1155.1111111111111</v>
      </c>
      <c r="L128" s="602">
        <f t="shared" ref="L128:L138" si="42">AVERAGE(C4:L4)</f>
        <v>1153.2</v>
      </c>
      <c r="M128" s="602">
        <f t="shared" ref="M128:M138" si="43">AVERAGE(C4:M4)</f>
        <v>1151.909090909091</v>
      </c>
      <c r="N128" s="602">
        <f t="shared" ref="N128:N138" si="44">AVERAGE(C4:N4)</f>
        <v>1151.3333333333333</v>
      </c>
      <c r="O128" s="602">
        <f t="shared" ref="O128:O137" si="45">SUM(C128:N128)</f>
        <v>13914.352344877347</v>
      </c>
    </row>
    <row r="129" spans="1:18">
      <c r="A129" s="121">
        <f t="shared" si="17"/>
        <v>129</v>
      </c>
      <c r="B129" s="312" t="s">
        <v>115</v>
      </c>
      <c r="C129" s="602">
        <f t="shared" si="33"/>
        <v>2273</v>
      </c>
      <c r="D129" s="602">
        <f t="shared" si="34"/>
        <v>2277</v>
      </c>
      <c r="E129" s="602">
        <f t="shared" si="35"/>
        <v>2277.6666666666665</v>
      </c>
      <c r="F129" s="602">
        <f t="shared" si="36"/>
        <v>2278.75</v>
      </c>
      <c r="G129" s="602">
        <f t="shared" si="37"/>
        <v>2275.1999999999998</v>
      </c>
      <c r="H129" s="602">
        <f t="shared" si="38"/>
        <v>2269.3333333333335</v>
      </c>
      <c r="I129" s="602">
        <f t="shared" si="39"/>
        <v>2266.8571428571427</v>
      </c>
      <c r="J129" s="602">
        <f t="shared" si="40"/>
        <v>2263.5</v>
      </c>
      <c r="K129" s="602">
        <f t="shared" si="41"/>
        <v>2261.5555555555557</v>
      </c>
      <c r="L129" s="602">
        <f t="shared" si="42"/>
        <v>2258.1</v>
      </c>
      <c r="M129" s="602">
        <f t="shared" si="43"/>
        <v>2254.909090909091</v>
      </c>
      <c r="N129" s="602">
        <f t="shared" si="44"/>
        <v>2253.75</v>
      </c>
      <c r="O129" s="602">
        <f t="shared" si="45"/>
        <v>27209.621789321787</v>
      </c>
    </row>
    <row r="130" spans="1:18">
      <c r="A130" s="121">
        <f t="shared" si="17"/>
        <v>130</v>
      </c>
      <c r="B130" s="312" t="s">
        <v>116</v>
      </c>
      <c r="C130" s="602">
        <f t="shared" si="33"/>
        <v>11943</v>
      </c>
      <c r="D130" s="602">
        <f t="shared" si="34"/>
        <v>11987.5</v>
      </c>
      <c r="E130" s="602">
        <f t="shared" si="35"/>
        <v>12030.666666666666</v>
      </c>
      <c r="F130" s="602">
        <f t="shared" si="36"/>
        <v>12087.5</v>
      </c>
      <c r="G130" s="602">
        <f t="shared" si="37"/>
        <v>12121.2</v>
      </c>
      <c r="H130" s="602">
        <f t="shared" si="38"/>
        <v>12152.166666666666</v>
      </c>
      <c r="I130" s="602">
        <f t="shared" si="39"/>
        <v>12180.428571428571</v>
      </c>
      <c r="J130" s="602">
        <f t="shared" si="40"/>
        <v>12216.375</v>
      </c>
      <c r="K130" s="602">
        <f t="shared" si="41"/>
        <v>12248.111111111111</v>
      </c>
      <c r="L130" s="602">
        <f t="shared" si="42"/>
        <v>12276.8</v>
      </c>
      <c r="M130" s="602">
        <f t="shared" si="43"/>
        <v>12309.454545454546</v>
      </c>
      <c r="N130" s="602">
        <f t="shared" si="44"/>
        <v>12342.333333333334</v>
      </c>
      <c r="O130" s="602">
        <f t="shared" si="45"/>
        <v>145895.53589466092</v>
      </c>
    </row>
    <row r="131" spans="1:18">
      <c r="A131" s="121">
        <f t="shared" ref="A131:A194" si="46">+A130+1</f>
        <v>131</v>
      </c>
      <c r="B131" s="312" t="s">
        <v>117</v>
      </c>
      <c r="C131" s="602">
        <f t="shared" si="33"/>
        <v>731</v>
      </c>
      <c r="D131" s="602">
        <f t="shared" si="34"/>
        <v>729.5</v>
      </c>
      <c r="E131" s="602">
        <f t="shared" si="35"/>
        <v>727.66666666666663</v>
      </c>
      <c r="F131" s="602">
        <f t="shared" si="36"/>
        <v>728.5</v>
      </c>
      <c r="G131" s="602">
        <f t="shared" si="37"/>
        <v>729</v>
      </c>
      <c r="H131" s="602">
        <f t="shared" si="38"/>
        <v>729</v>
      </c>
      <c r="I131" s="602">
        <f t="shared" si="39"/>
        <v>728.14285714285711</v>
      </c>
      <c r="J131" s="602">
        <f t="shared" si="40"/>
        <v>728</v>
      </c>
      <c r="K131" s="602">
        <f t="shared" si="41"/>
        <v>728</v>
      </c>
      <c r="L131" s="602">
        <f t="shared" si="42"/>
        <v>728.2</v>
      </c>
      <c r="M131" s="602">
        <f t="shared" si="43"/>
        <v>728.27272727272725</v>
      </c>
      <c r="N131" s="602">
        <f t="shared" si="44"/>
        <v>728.5</v>
      </c>
      <c r="O131" s="602">
        <f t="shared" si="45"/>
        <v>8743.7822510822498</v>
      </c>
    </row>
    <row r="132" spans="1:18">
      <c r="A132" s="121">
        <f t="shared" si="46"/>
        <v>132</v>
      </c>
      <c r="B132" s="312" t="s">
        <v>118</v>
      </c>
      <c r="C132" s="602">
        <f t="shared" si="33"/>
        <v>482</v>
      </c>
      <c r="D132" s="602">
        <f t="shared" si="34"/>
        <v>481</v>
      </c>
      <c r="E132" s="602">
        <f t="shared" si="35"/>
        <v>481.33333333333331</v>
      </c>
      <c r="F132" s="602">
        <f t="shared" si="36"/>
        <v>481.25</v>
      </c>
      <c r="G132" s="602">
        <f t="shared" si="37"/>
        <v>481.8</v>
      </c>
      <c r="H132" s="602">
        <f t="shared" si="38"/>
        <v>481.66666666666669</v>
      </c>
      <c r="I132" s="602">
        <f t="shared" si="39"/>
        <v>482.71428571428572</v>
      </c>
      <c r="J132" s="602">
        <f t="shared" si="40"/>
        <v>482.75</v>
      </c>
      <c r="K132" s="602">
        <f t="shared" si="41"/>
        <v>482.77777777777777</v>
      </c>
      <c r="L132" s="602">
        <f t="shared" si="42"/>
        <v>482.8</v>
      </c>
      <c r="M132" s="602">
        <f t="shared" si="43"/>
        <v>482.72727272727275</v>
      </c>
      <c r="N132" s="602">
        <f t="shared" si="44"/>
        <v>482.41666666666669</v>
      </c>
      <c r="O132" s="602">
        <f t="shared" si="45"/>
        <v>5785.236002886003</v>
      </c>
    </row>
    <row r="133" spans="1:18">
      <c r="A133" s="121">
        <f t="shared" si="46"/>
        <v>133</v>
      </c>
      <c r="B133" s="315" t="s">
        <v>119</v>
      </c>
      <c r="C133" s="602">
        <f t="shared" si="33"/>
        <v>16</v>
      </c>
      <c r="D133" s="602">
        <f t="shared" si="34"/>
        <v>16</v>
      </c>
      <c r="E133" s="602">
        <f t="shared" si="35"/>
        <v>16</v>
      </c>
      <c r="F133" s="602">
        <f t="shared" si="36"/>
        <v>16</v>
      </c>
      <c r="G133" s="602">
        <f t="shared" si="37"/>
        <v>16</v>
      </c>
      <c r="H133" s="602">
        <f t="shared" si="38"/>
        <v>16</v>
      </c>
      <c r="I133" s="602">
        <f t="shared" si="39"/>
        <v>16.142857142857142</v>
      </c>
      <c r="J133" s="602">
        <f t="shared" si="40"/>
        <v>16.125</v>
      </c>
      <c r="K133" s="602">
        <f t="shared" si="41"/>
        <v>16.111111111111111</v>
      </c>
      <c r="L133" s="602">
        <f t="shared" si="42"/>
        <v>16.100000000000001</v>
      </c>
      <c r="M133" s="602">
        <f t="shared" si="43"/>
        <v>16.09090909090909</v>
      </c>
      <c r="N133" s="602">
        <f t="shared" si="44"/>
        <v>16.083333333333332</v>
      </c>
      <c r="O133" s="602">
        <f t="shared" si="45"/>
        <v>192.65321067821068</v>
      </c>
    </row>
    <row r="134" spans="1:18">
      <c r="A134" s="121">
        <f t="shared" si="46"/>
        <v>134</v>
      </c>
      <c r="B134" s="315" t="s">
        <v>120</v>
      </c>
      <c r="C134" s="602">
        <f t="shared" si="33"/>
        <v>0</v>
      </c>
      <c r="D134" s="602">
        <f t="shared" si="34"/>
        <v>0</v>
      </c>
      <c r="E134" s="602">
        <f t="shared" si="35"/>
        <v>0</v>
      </c>
      <c r="F134" s="602">
        <f t="shared" si="36"/>
        <v>0</v>
      </c>
      <c r="G134" s="602">
        <f t="shared" si="37"/>
        <v>0</v>
      </c>
      <c r="H134" s="602">
        <f t="shared" si="38"/>
        <v>0</v>
      </c>
      <c r="I134" s="602">
        <f t="shared" si="39"/>
        <v>0</v>
      </c>
      <c r="J134" s="602">
        <f t="shared" si="40"/>
        <v>0</v>
      </c>
      <c r="K134" s="602">
        <f t="shared" si="41"/>
        <v>0</v>
      </c>
      <c r="L134" s="602">
        <f t="shared" si="42"/>
        <v>0</v>
      </c>
      <c r="M134" s="602">
        <f t="shared" si="43"/>
        <v>0</v>
      </c>
      <c r="N134" s="602">
        <f t="shared" si="44"/>
        <v>0</v>
      </c>
      <c r="O134" s="602">
        <f t="shared" si="45"/>
        <v>0</v>
      </c>
    </row>
    <row r="135" spans="1:18">
      <c r="A135" s="121">
        <f t="shared" si="46"/>
        <v>135</v>
      </c>
      <c r="B135" s="315" t="s">
        <v>161</v>
      </c>
      <c r="C135" s="602">
        <f t="shared" si="33"/>
        <v>55006</v>
      </c>
      <c r="D135" s="602">
        <f t="shared" si="34"/>
        <v>55027</v>
      </c>
      <c r="E135" s="602">
        <f t="shared" si="35"/>
        <v>55083</v>
      </c>
      <c r="F135" s="602">
        <f t="shared" si="36"/>
        <v>55227.25</v>
      </c>
      <c r="G135" s="602">
        <f t="shared" si="37"/>
        <v>55264</v>
      </c>
      <c r="H135" s="602">
        <f t="shared" si="38"/>
        <v>55369</v>
      </c>
      <c r="I135" s="602">
        <f t="shared" si="39"/>
        <v>55535.857142857145</v>
      </c>
      <c r="J135" s="602">
        <f t="shared" si="40"/>
        <v>55595.25</v>
      </c>
      <c r="K135" s="602">
        <f t="shared" si="41"/>
        <v>55654.888888888891</v>
      </c>
      <c r="L135" s="602">
        <f t="shared" si="42"/>
        <v>55700.5</v>
      </c>
      <c r="M135" s="602">
        <f t="shared" si="43"/>
        <v>55770.090909090912</v>
      </c>
      <c r="N135" s="602">
        <f t="shared" si="44"/>
        <v>55854.666666666664</v>
      </c>
      <c r="O135" s="602">
        <f t="shared" si="45"/>
        <v>665087.5036075036</v>
      </c>
    </row>
    <row r="136" spans="1:18">
      <c r="A136" s="121">
        <f t="shared" si="46"/>
        <v>136</v>
      </c>
      <c r="B136" s="315" t="s">
        <v>163</v>
      </c>
      <c r="C136" s="602">
        <f t="shared" si="33"/>
        <v>504</v>
      </c>
      <c r="D136" s="602">
        <f t="shared" si="34"/>
        <v>509</v>
      </c>
      <c r="E136" s="602">
        <f t="shared" si="35"/>
        <v>511</v>
      </c>
      <c r="F136" s="602">
        <f t="shared" si="36"/>
        <v>516.5</v>
      </c>
      <c r="G136" s="602">
        <f t="shared" si="37"/>
        <v>569.79999999999995</v>
      </c>
      <c r="H136" s="602">
        <f t="shared" si="38"/>
        <v>563.33333333333337</v>
      </c>
      <c r="I136" s="602">
        <f t="shared" si="39"/>
        <v>560.14285714285711</v>
      </c>
      <c r="J136" s="602">
        <f t="shared" si="40"/>
        <v>559</v>
      </c>
      <c r="K136" s="602">
        <f t="shared" si="41"/>
        <v>558.88888888888891</v>
      </c>
      <c r="L136" s="602">
        <f t="shared" si="42"/>
        <v>570.6</v>
      </c>
      <c r="M136" s="602">
        <f t="shared" si="43"/>
        <v>569.81818181818187</v>
      </c>
      <c r="N136" s="602">
        <f t="shared" si="44"/>
        <v>568.91666666666663</v>
      </c>
      <c r="O136" s="602">
        <f t="shared" si="45"/>
        <v>6560.999927849929</v>
      </c>
    </row>
    <row r="137" spans="1:18">
      <c r="A137" s="121">
        <f t="shared" si="46"/>
        <v>137</v>
      </c>
      <c r="B137" s="315" t="s">
        <v>111</v>
      </c>
      <c r="C137" s="602">
        <f t="shared" si="33"/>
        <v>564</v>
      </c>
      <c r="D137" s="602">
        <f t="shared" si="34"/>
        <v>566</v>
      </c>
      <c r="E137" s="602">
        <f t="shared" si="35"/>
        <v>566.33333333333337</v>
      </c>
      <c r="F137" s="602">
        <f t="shared" si="36"/>
        <v>567.25</v>
      </c>
      <c r="G137" s="602">
        <f t="shared" si="37"/>
        <v>566</v>
      </c>
      <c r="H137" s="602">
        <f t="shared" si="38"/>
        <v>564.66666666666663</v>
      </c>
      <c r="I137" s="602">
        <f t="shared" si="39"/>
        <v>563.14285714285711</v>
      </c>
      <c r="J137" s="602">
        <f t="shared" si="40"/>
        <v>562</v>
      </c>
      <c r="K137" s="602">
        <f t="shared" si="41"/>
        <v>561</v>
      </c>
      <c r="L137" s="602">
        <f t="shared" si="42"/>
        <v>560.5</v>
      </c>
      <c r="M137" s="602">
        <f t="shared" si="43"/>
        <v>559.90909090909088</v>
      </c>
      <c r="N137" s="602">
        <f t="shared" si="44"/>
        <v>560</v>
      </c>
      <c r="O137" s="602">
        <f t="shared" si="45"/>
        <v>6760.8019480519479</v>
      </c>
    </row>
    <row r="138" spans="1:18">
      <c r="A138" s="121">
        <f t="shared" si="46"/>
        <v>138</v>
      </c>
      <c r="B138" s="315" t="s">
        <v>105</v>
      </c>
      <c r="C138" s="606">
        <f t="shared" si="33"/>
        <v>669</v>
      </c>
      <c r="D138" s="606">
        <f t="shared" si="34"/>
        <v>668</v>
      </c>
      <c r="E138" s="606">
        <f t="shared" si="35"/>
        <v>668.66666666666663</v>
      </c>
      <c r="F138" s="606">
        <f t="shared" si="36"/>
        <v>669</v>
      </c>
      <c r="G138" s="606">
        <f t="shared" si="37"/>
        <v>669</v>
      </c>
      <c r="H138" s="606">
        <f t="shared" si="38"/>
        <v>669.33333333333337</v>
      </c>
      <c r="I138" s="606">
        <f t="shared" si="39"/>
        <v>669.28571428571433</v>
      </c>
      <c r="J138" s="606">
        <f t="shared" si="40"/>
        <v>669.25</v>
      </c>
      <c r="K138" s="606">
        <f t="shared" si="41"/>
        <v>669</v>
      </c>
      <c r="L138" s="606">
        <f t="shared" si="42"/>
        <v>669.5</v>
      </c>
      <c r="M138" s="606">
        <f t="shared" si="43"/>
        <v>669.63636363636363</v>
      </c>
      <c r="N138" s="606">
        <f t="shared" si="44"/>
        <v>669.33333333333337</v>
      </c>
      <c r="O138" s="606">
        <f>SUM(C138:N138)</f>
        <v>8029.0054112554117</v>
      </c>
    </row>
    <row r="139" spans="1:18">
      <c r="A139" s="121">
        <f t="shared" si="46"/>
        <v>139</v>
      </c>
      <c r="B139" s="316" t="s">
        <v>166</v>
      </c>
      <c r="C139" s="602">
        <f t="shared" ref="C139:O139" si="47">SUM(C128:C138)</f>
        <v>73355</v>
      </c>
      <c r="D139" s="602">
        <f t="shared" si="47"/>
        <v>73427</v>
      </c>
      <c r="E139" s="602">
        <f t="shared" si="47"/>
        <v>73528</v>
      </c>
      <c r="F139" s="602">
        <f t="shared" si="47"/>
        <v>73737</v>
      </c>
      <c r="G139" s="602">
        <f t="shared" si="47"/>
        <v>73854.400000000009</v>
      </c>
      <c r="H139" s="602">
        <f t="shared" si="47"/>
        <v>73975</v>
      </c>
      <c r="I139" s="602">
        <f t="shared" si="47"/>
        <v>74161.57142857142</v>
      </c>
      <c r="J139" s="602">
        <f t="shared" si="47"/>
        <v>74249.625</v>
      </c>
      <c r="K139" s="602">
        <f t="shared" si="47"/>
        <v>74335.444444444453</v>
      </c>
      <c r="L139" s="602">
        <f t="shared" si="47"/>
        <v>74416.3</v>
      </c>
      <c r="M139" s="602">
        <f t="shared" si="47"/>
        <v>74512.818181818177</v>
      </c>
      <c r="N139" s="602">
        <f t="shared" si="47"/>
        <v>74627.333333333328</v>
      </c>
      <c r="O139" s="602">
        <f t="shared" si="47"/>
        <v>888179.49238816742</v>
      </c>
    </row>
    <row r="140" spans="1:18">
      <c r="A140" s="121">
        <f t="shared" si="46"/>
        <v>140</v>
      </c>
      <c r="B140" s="311" t="s">
        <v>167</v>
      </c>
      <c r="C140" s="602"/>
      <c r="D140" s="602"/>
      <c r="E140" s="602"/>
      <c r="F140" s="602"/>
      <c r="G140" s="602"/>
      <c r="H140" s="602"/>
      <c r="I140" s="602"/>
      <c r="J140" s="602"/>
      <c r="K140" s="602"/>
      <c r="L140" s="602"/>
      <c r="M140" s="602"/>
      <c r="N140" s="602"/>
      <c r="O140" s="602"/>
      <c r="R140" s="121"/>
    </row>
    <row r="141" spans="1:18">
      <c r="A141" s="121">
        <f t="shared" si="46"/>
        <v>141</v>
      </c>
      <c r="B141" s="312" t="s">
        <v>114</v>
      </c>
      <c r="C141" s="602">
        <f t="shared" ref="C141:C147" si="48">+C17</f>
        <v>34</v>
      </c>
      <c r="D141" s="602">
        <f t="shared" ref="D141:D147" si="49">AVERAGE(C17:D17)</f>
        <v>34</v>
      </c>
      <c r="E141" s="602">
        <f t="shared" ref="E141:E147" si="50">AVERAGE(C17:E17)</f>
        <v>34.333333333333336</v>
      </c>
      <c r="F141" s="602">
        <f t="shared" ref="F141:F147" si="51">AVERAGE(C17:F17)</f>
        <v>34.25</v>
      </c>
      <c r="G141" s="602">
        <f t="shared" ref="G141:G147" si="52">AVERAGE(C17:G17)</f>
        <v>33.6</v>
      </c>
      <c r="H141" s="602">
        <f t="shared" ref="H141:H147" si="53">AVERAGE(C17:H17)</f>
        <v>33</v>
      </c>
      <c r="I141" s="602">
        <f t="shared" ref="I141:I147" si="54">AVERAGE(C17:I17)</f>
        <v>32.428571428571431</v>
      </c>
      <c r="J141" s="602">
        <f t="shared" ref="J141:J147" si="55">AVERAGE(C17:J17)</f>
        <v>32.125</v>
      </c>
      <c r="K141" s="602">
        <f t="shared" ref="K141:K147" si="56">AVERAGE(C17:K17)</f>
        <v>31.666666666666668</v>
      </c>
      <c r="L141" s="602">
        <f t="shared" ref="L141:L147" si="57">AVERAGE(C17:L17)</f>
        <v>31.6</v>
      </c>
      <c r="M141" s="602">
        <f t="shared" ref="M141:M147" si="58">AVERAGE(C17:M17)</f>
        <v>31.636363636363637</v>
      </c>
      <c r="N141" s="602">
        <f t="shared" ref="N141:N147" si="59">AVERAGE(C17:N17)</f>
        <v>31.75</v>
      </c>
      <c r="O141" s="602">
        <f t="shared" ref="O141:O147" si="60">SUM(C141:N141)</f>
        <v>394.38993506493512</v>
      </c>
      <c r="R141" s="121"/>
    </row>
    <row r="142" spans="1:18">
      <c r="A142" s="121">
        <f t="shared" si="46"/>
        <v>142</v>
      </c>
      <c r="B142" s="312" t="s">
        <v>115</v>
      </c>
      <c r="C142" s="602">
        <f t="shared" si="48"/>
        <v>61</v>
      </c>
      <c r="D142" s="602">
        <f t="shared" si="49"/>
        <v>61.5</v>
      </c>
      <c r="E142" s="602">
        <f t="shared" si="50"/>
        <v>61.333333333333336</v>
      </c>
      <c r="F142" s="602">
        <f t="shared" si="51"/>
        <v>61.5</v>
      </c>
      <c r="G142" s="602">
        <f t="shared" si="52"/>
        <v>61.6</v>
      </c>
      <c r="H142" s="602">
        <f t="shared" si="53"/>
        <v>61.666666666666664</v>
      </c>
      <c r="I142" s="602">
        <f t="shared" si="54"/>
        <v>61.571428571428569</v>
      </c>
      <c r="J142" s="602">
        <f t="shared" si="55"/>
        <v>61.375</v>
      </c>
      <c r="K142" s="602">
        <f t="shared" si="56"/>
        <v>61.222222222222221</v>
      </c>
      <c r="L142" s="602">
        <f t="shared" si="57"/>
        <v>61.4</v>
      </c>
      <c r="M142" s="602">
        <f t="shared" si="58"/>
        <v>61.454545454545453</v>
      </c>
      <c r="N142" s="602">
        <f t="shared" si="59"/>
        <v>61.666666666666664</v>
      </c>
      <c r="O142" s="602">
        <f t="shared" si="60"/>
        <v>737.28986291486285</v>
      </c>
      <c r="R142" s="121"/>
    </row>
    <row r="143" spans="1:18">
      <c r="A143" s="121">
        <f t="shared" si="46"/>
        <v>143</v>
      </c>
      <c r="B143" s="312" t="s">
        <v>116</v>
      </c>
      <c r="C143" s="602">
        <f t="shared" si="48"/>
        <v>166</v>
      </c>
      <c r="D143" s="602">
        <f t="shared" si="49"/>
        <v>166</v>
      </c>
      <c r="E143" s="602">
        <f t="shared" si="50"/>
        <v>165.66666666666666</v>
      </c>
      <c r="F143" s="602">
        <f t="shared" si="51"/>
        <v>165.25</v>
      </c>
      <c r="G143" s="602">
        <f t="shared" si="52"/>
        <v>165.2</v>
      </c>
      <c r="H143" s="602">
        <f t="shared" si="53"/>
        <v>165.33333333333334</v>
      </c>
      <c r="I143" s="602">
        <f t="shared" si="54"/>
        <v>165.71428571428572</v>
      </c>
      <c r="J143" s="602">
        <f t="shared" si="55"/>
        <v>166</v>
      </c>
      <c r="K143" s="602">
        <f t="shared" si="56"/>
        <v>166.11111111111111</v>
      </c>
      <c r="L143" s="602">
        <f t="shared" si="57"/>
        <v>166.2</v>
      </c>
      <c r="M143" s="602">
        <f t="shared" si="58"/>
        <v>166.27272727272728</v>
      </c>
      <c r="N143" s="602">
        <f t="shared" si="59"/>
        <v>166.33333333333334</v>
      </c>
      <c r="O143" s="602">
        <f t="shared" si="60"/>
        <v>1990.0814574314572</v>
      </c>
      <c r="R143" s="121"/>
    </row>
    <row r="144" spans="1:18">
      <c r="A144" s="121">
        <f t="shared" si="46"/>
        <v>144</v>
      </c>
      <c r="B144" s="312" t="s">
        <v>117</v>
      </c>
      <c r="C144" s="602">
        <f t="shared" si="48"/>
        <v>19</v>
      </c>
      <c r="D144" s="602">
        <f t="shared" si="49"/>
        <v>19</v>
      </c>
      <c r="E144" s="602">
        <f t="shared" si="50"/>
        <v>19</v>
      </c>
      <c r="F144" s="602">
        <f t="shared" si="51"/>
        <v>19</v>
      </c>
      <c r="G144" s="602">
        <f t="shared" si="52"/>
        <v>19</v>
      </c>
      <c r="H144" s="602">
        <f t="shared" si="53"/>
        <v>18.833333333333332</v>
      </c>
      <c r="I144" s="602">
        <f t="shared" si="54"/>
        <v>18.714285714285715</v>
      </c>
      <c r="J144" s="602">
        <f t="shared" si="55"/>
        <v>18.625</v>
      </c>
      <c r="K144" s="602">
        <f t="shared" si="56"/>
        <v>18.555555555555557</v>
      </c>
      <c r="L144" s="602">
        <f t="shared" si="57"/>
        <v>18.5</v>
      </c>
      <c r="M144" s="602">
        <f t="shared" si="58"/>
        <v>18.545454545454547</v>
      </c>
      <c r="N144" s="602">
        <f t="shared" si="59"/>
        <v>18.583333333333332</v>
      </c>
      <c r="O144" s="602">
        <f t="shared" si="60"/>
        <v>225.35696248196248</v>
      </c>
      <c r="R144" s="121"/>
    </row>
    <row r="145" spans="1:18">
      <c r="A145" s="121">
        <f t="shared" si="46"/>
        <v>145</v>
      </c>
      <c r="B145" s="312" t="s">
        <v>118</v>
      </c>
      <c r="C145" s="602">
        <f t="shared" si="48"/>
        <v>9</v>
      </c>
      <c r="D145" s="602">
        <f t="shared" si="49"/>
        <v>9</v>
      </c>
      <c r="E145" s="602">
        <f t="shared" si="50"/>
        <v>9</v>
      </c>
      <c r="F145" s="602">
        <f t="shared" si="51"/>
        <v>9</v>
      </c>
      <c r="G145" s="602">
        <f t="shared" si="52"/>
        <v>9</v>
      </c>
      <c r="H145" s="602">
        <f t="shared" si="53"/>
        <v>9</v>
      </c>
      <c r="I145" s="602">
        <f t="shared" si="54"/>
        <v>9</v>
      </c>
      <c r="J145" s="602">
        <f t="shared" si="55"/>
        <v>9</v>
      </c>
      <c r="K145" s="602">
        <f t="shared" si="56"/>
        <v>9.1111111111111107</v>
      </c>
      <c r="L145" s="602">
        <f t="shared" si="57"/>
        <v>9</v>
      </c>
      <c r="M145" s="602">
        <f t="shared" si="58"/>
        <v>8.9090909090909083</v>
      </c>
      <c r="N145" s="602">
        <f t="shared" si="59"/>
        <v>8.8333333333333339</v>
      </c>
      <c r="O145" s="602">
        <f t="shared" si="60"/>
        <v>107.85353535353535</v>
      </c>
      <c r="R145" s="121"/>
    </row>
    <row r="146" spans="1:18">
      <c r="A146" s="121">
        <f t="shared" si="46"/>
        <v>146</v>
      </c>
      <c r="B146" s="315" t="s">
        <v>119</v>
      </c>
      <c r="C146" s="602">
        <f t="shared" si="48"/>
        <v>0</v>
      </c>
      <c r="D146" s="602">
        <f t="shared" si="49"/>
        <v>0</v>
      </c>
      <c r="E146" s="602">
        <f t="shared" si="50"/>
        <v>0</v>
      </c>
      <c r="F146" s="602">
        <f t="shared" si="51"/>
        <v>0</v>
      </c>
      <c r="G146" s="602">
        <f t="shared" si="52"/>
        <v>0</v>
      </c>
      <c r="H146" s="602">
        <f t="shared" si="53"/>
        <v>0</v>
      </c>
      <c r="I146" s="602">
        <f t="shared" si="54"/>
        <v>0</v>
      </c>
      <c r="J146" s="602">
        <f t="shared" si="55"/>
        <v>0</v>
      </c>
      <c r="K146" s="602">
        <f t="shared" si="56"/>
        <v>0</v>
      </c>
      <c r="L146" s="602">
        <f t="shared" si="57"/>
        <v>0</v>
      </c>
      <c r="M146" s="602">
        <f t="shared" si="58"/>
        <v>0</v>
      </c>
      <c r="N146" s="602">
        <f t="shared" si="59"/>
        <v>0</v>
      </c>
      <c r="O146" s="602">
        <f t="shared" si="60"/>
        <v>0</v>
      </c>
      <c r="R146" s="121"/>
    </row>
    <row r="147" spans="1:18">
      <c r="A147" s="121">
        <f t="shared" si="46"/>
        <v>147</v>
      </c>
      <c r="B147" s="315" t="s">
        <v>120</v>
      </c>
      <c r="C147" s="606">
        <f t="shared" si="48"/>
        <v>0</v>
      </c>
      <c r="D147" s="606">
        <f t="shared" si="49"/>
        <v>0</v>
      </c>
      <c r="E147" s="606">
        <f t="shared" si="50"/>
        <v>0</v>
      </c>
      <c r="F147" s="606">
        <f t="shared" si="51"/>
        <v>0</v>
      </c>
      <c r="G147" s="606">
        <f t="shared" si="52"/>
        <v>0</v>
      </c>
      <c r="H147" s="606">
        <f t="shared" si="53"/>
        <v>0</v>
      </c>
      <c r="I147" s="606">
        <f t="shared" si="54"/>
        <v>0</v>
      </c>
      <c r="J147" s="606">
        <f t="shared" si="55"/>
        <v>0</v>
      </c>
      <c r="K147" s="606">
        <f t="shared" si="56"/>
        <v>0</v>
      </c>
      <c r="L147" s="606">
        <f t="shared" si="57"/>
        <v>0</v>
      </c>
      <c r="M147" s="606">
        <f t="shared" si="58"/>
        <v>0</v>
      </c>
      <c r="N147" s="606">
        <f t="shared" si="59"/>
        <v>0</v>
      </c>
      <c r="O147" s="606">
        <f t="shared" si="60"/>
        <v>0</v>
      </c>
      <c r="R147" s="121"/>
    </row>
    <row r="148" spans="1:18">
      <c r="A148" s="121">
        <f t="shared" si="46"/>
        <v>148</v>
      </c>
      <c r="B148" s="316" t="s">
        <v>169</v>
      </c>
      <c r="C148" s="602">
        <f t="shared" ref="C148:O148" si="61">SUM(C141:C147)</f>
        <v>289</v>
      </c>
      <c r="D148" s="602">
        <f t="shared" si="61"/>
        <v>289.5</v>
      </c>
      <c r="E148" s="602">
        <f t="shared" si="61"/>
        <v>289.33333333333331</v>
      </c>
      <c r="F148" s="602">
        <f t="shared" si="61"/>
        <v>289</v>
      </c>
      <c r="G148" s="602">
        <f t="shared" si="61"/>
        <v>288.39999999999998</v>
      </c>
      <c r="H148" s="602">
        <f t="shared" si="61"/>
        <v>287.83333333333331</v>
      </c>
      <c r="I148" s="602">
        <f t="shared" si="61"/>
        <v>287.42857142857144</v>
      </c>
      <c r="J148" s="602">
        <f t="shared" si="61"/>
        <v>287.125</v>
      </c>
      <c r="K148" s="602">
        <f t="shared" si="61"/>
        <v>286.66666666666663</v>
      </c>
      <c r="L148" s="602">
        <f t="shared" si="61"/>
        <v>286.7</v>
      </c>
      <c r="M148" s="602">
        <f t="shared" si="61"/>
        <v>286.81818181818187</v>
      </c>
      <c r="N148" s="602">
        <f t="shared" si="61"/>
        <v>287.16666666666663</v>
      </c>
      <c r="O148" s="602">
        <f t="shared" si="61"/>
        <v>3454.971753246753</v>
      </c>
      <c r="R148" s="121"/>
    </row>
    <row r="149" spans="1:18">
      <c r="A149" s="121">
        <f t="shared" si="46"/>
        <v>149</v>
      </c>
      <c r="B149" s="320" t="s">
        <v>170</v>
      </c>
      <c r="C149" s="602"/>
      <c r="D149" s="602"/>
      <c r="E149" s="602"/>
      <c r="F149" s="602"/>
      <c r="G149" s="602"/>
      <c r="H149" s="602"/>
      <c r="I149" s="602"/>
      <c r="J149" s="602"/>
      <c r="K149" s="602"/>
      <c r="L149" s="602"/>
      <c r="M149" s="602"/>
      <c r="N149" s="602"/>
      <c r="O149" s="602"/>
      <c r="R149" s="121"/>
    </row>
    <row r="150" spans="1:18">
      <c r="A150" s="121">
        <f t="shared" si="46"/>
        <v>150</v>
      </c>
      <c r="B150" s="312" t="s">
        <v>114</v>
      </c>
      <c r="C150" s="602">
        <f t="shared" ref="C150:C185" si="62">+C26</f>
        <v>12</v>
      </c>
      <c r="D150" s="602">
        <f t="shared" ref="D150:D185" si="63">AVERAGE(C26:D26)</f>
        <v>12</v>
      </c>
      <c r="E150" s="602">
        <f t="shared" ref="E150:E185" si="64">AVERAGE(C26:E26)</f>
        <v>12</v>
      </c>
      <c r="F150" s="602">
        <f t="shared" ref="F150:F185" si="65">AVERAGE(C26:F26)</f>
        <v>12</v>
      </c>
      <c r="G150" s="602">
        <f t="shared" ref="G150:G185" si="66">AVERAGE(C26:G26)</f>
        <v>11.8</v>
      </c>
      <c r="H150" s="602">
        <f t="shared" ref="H150:H185" si="67">AVERAGE(C26:H26)</f>
        <v>11.666666666666666</v>
      </c>
      <c r="I150" s="602">
        <f t="shared" ref="I150:I185" si="68">AVERAGE(C26:I26)</f>
        <v>11.571428571428571</v>
      </c>
      <c r="J150" s="602">
        <f t="shared" ref="J150:J185" si="69">AVERAGE(C26:J26)</f>
        <v>11.5</v>
      </c>
      <c r="K150" s="602">
        <f t="shared" ref="K150:K185" si="70">AVERAGE(C26:K26)</f>
        <v>11.444444444444445</v>
      </c>
      <c r="L150" s="602">
        <f t="shared" ref="L150:L185" si="71">AVERAGE(C26:L26)</f>
        <v>11.4</v>
      </c>
      <c r="M150" s="602">
        <f t="shared" ref="M150:M185" si="72">AVERAGE(C26:M26)</f>
        <v>11.363636363636363</v>
      </c>
      <c r="N150" s="602">
        <f t="shared" ref="N150:N185" si="73">AVERAGE(C26:N26)</f>
        <v>11.25</v>
      </c>
      <c r="O150" s="602">
        <f t="shared" ref="O150:O182" si="74">SUM(C150:N150)</f>
        <v>139.99617604617606</v>
      </c>
      <c r="R150" s="121"/>
    </row>
    <row r="151" spans="1:18">
      <c r="A151" s="121">
        <f t="shared" si="46"/>
        <v>151</v>
      </c>
      <c r="B151" s="312" t="s">
        <v>115</v>
      </c>
      <c r="C151" s="602">
        <f t="shared" si="62"/>
        <v>7</v>
      </c>
      <c r="D151" s="602">
        <f t="shared" si="63"/>
        <v>7</v>
      </c>
      <c r="E151" s="602">
        <f t="shared" si="64"/>
        <v>7</v>
      </c>
      <c r="F151" s="602">
        <f t="shared" si="65"/>
        <v>7</v>
      </c>
      <c r="G151" s="602">
        <f t="shared" si="66"/>
        <v>7</v>
      </c>
      <c r="H151" s="602">
        <f t="shared" si="67"/>
        <v>6.833333333333333</v>
      </c>
      <c r="I151" s="602">
        <f t="shared" si="68"/>
        <v>6.7142857142857144</v>
      </c>
      <c r="J151" s="602">
        <f t="shared" si="69"/>
        <v>6.625</v>
      </c>
      <c r="K151" s="602">
        <f t="shared" si="70"/>
        <v>6.5555555555555554</v>
      </c>
      <c r="L151" s="602">
        <f t="shared" si="71"/>
        <v>6.5</v>
      </c>
      <c r="M151" s="602">
        <f t="shared" si="72"/>
        <v>6.5454545454545459</v>
      </c>
      <c r="N151" s="602">
        <f t="shared" si="73"/>
        <v>6.583333333333333</v>
      </c>
      <c r="O151" s="602">
        <f t="shared" si="74"/>
        <v>81.356962481962483</v>
      </c>
      <c r="R151" s="121"/>
    </row>
    <row r="152" spans="1:18">
      <c r="A152" s="121">
        <f t="shared" si="46"/>
        <v>152</v>
      </c>
      <c r="B152" s="312" t="s">
        <v>116</v>
      </c>
      <c r="C152" s="602">
        <f t="shared" si="62"/>
        <v>230</v>
      </c>
      <c r="D152" s="602">
        <f t="shared" si="63"/>
        <v>229</v>
      </c>
      <c r="E152" s="602">
        <f t="shared" si="64"/>
        <v>228.66666666666666</v>
      </c>
      <c r="F152" s="602">
        <f t="shared" si="65"/>
        <v>229.25</v>
      </c>
      <c r="G152" s="602">
        <f t="shared" si="66"/>
        <v>229.6</v>
      </c>
      <c r="H152" s="602">
        <f t="shared" si="67"/>
        <v>229.83333333333334</v>
      </c>
      <c r="I152" s="602">
        <f t="shared" si="68"/>
        <v>230</v>
      </c>
      <c r="J152" s="602">
        <f t="shared" si="69"/>
        <v>230.25</v>
      </c>
      <c r="K152" s="602">
        <f t="shared" si="70"/>
        <v>230.55555555555554</v>
      </c>
      <c r="L152" s="602">
        <f t="shared" si="71"/>
        <v>230.4</v>
      </c>
      <c r="M152" s="602">
        <f t="shared" si="72"/>
        <v>230.09090909090909</v>
      </c>
      <c r="N152" s="602">
        <f t="shared" si="73"/>
        <v>230</v>
      </c>
      <c r="O152" s="602">
        <f t="shared" si="74"/>
        <v>2757.6464646464647</v>
      </c>
      <c r="R152" s="121"/>
    </row>
    <row r="153" spans="1:18">
      <c r="A153" s="121">
        <f t="shared" si="46"/>
        <v>153</v>
      </c>
      <c r="B153" s="312" t="s">
        <v>117</v>
      </c>
      <c r="C153" s="602">
        <f t="shared" si="62"/>
        <v>94</v>
      </c>
      <c r="D153" s="602">
        <f t="shared" si="63"/>
        <v>93</v>
      </c>
      <c r="E153" s="602">
        <f t="shared" si="64"/>
        <v>93</v>
      </c>
      <c r="F153" s="602">
        <f t="shared" si="65"/>
        <v>93.5</v>
      </c>
      <c r="G153" s="602">
        <f t="shared" si="66"/>
        <v>93.6</v>
      </c>
      <c r="H153" s="602">
        <f t="shared" si="67"/>
        <v>93.833333333333329</v>
      </c>
      <c r="I153" s="602">
        <f t="shared" si="68"/>
        <v>94</v>
      </c>
      <c r="J153" s="602">
        <f t="shared" si="69"/>
        <v>94.25</v>
      </c>
      <c r="K153" s="602">
        <f t="shared" si="70"/>
        <v>94.222222222222229</v>
      </c>
      <c r="L153" s="602">
        <f t="shared" si="71"/>
        <v>94.4</v>
      </c>
      <c r="M153" s="602">
        <f t="shared" si="72"/>
        <v>94.63636363636364</v>
      </c>
      <c r="N153" s="602">
        <f t="shared" si="73"/>
        <v>95</v>
      </c>
      <c r="O153" s="602">
        <f t="shared" si="74"/>
        <v>1127.4419191919192</v>
      </c>
      <c r="R153" s="121"/>
    </row>
    <row r="154" spans="1:18">
      <c r="A154" s="121">
        <f t="shared" si="46"/>
        <v>154</v>
      </c>
      <c r="B154" s="312" t="s">
        <v>118</v>
      </c>
      <c r="C154" s="602">
        <f t="shared" si="62"/>
        <v>194</v>
      </c>
      <c r="D154" s="602">
        <f t="shared" si="63"/>
        <v>195</v>
      </c>
      <c r="E154" s="602">
        <f t="shared" si="64"/>
        <v>196.66666666666666</v>
      </c>
      <c r="F154" s="602">
        <f t="shared" si="65"/>
        <v>197</v>
      </c>
      <c r="G154" s="602">
        <f t="shared" si="66"/>
        <v>197.4</v>
      </c>
      <c r="H154" s="602">
        <f t="shared" si="67"/>
        <v>197.66666666666666</v>
      </c>
      <c r="I154" s="602">
        <f t="shared" si="68"/>
        <v>198.14285714285714</v>
      </c>
      <c r="J154" s="602">
        <f t="shared" si="69"/>
        <v>199</v>
      </c>
      <c r="K154" s="602">
        <f t="shared" si="70"/>
        <v>199.44444444444446</v>
      </c>
      <c r="L154" s="602">
        <f t="shared" si="71"/>
        <v>199.7</v>
      </c>
      <c r="M154" s="602">
        <f t="shared" si="72"/>
        <v>200.45454545454547</v>
      </c>
      <c r="N154" s="602">
        <f t="shared" si="73"/>
        <v>201.25</v>
      </c>
      <c r="O154" s="602">
        <f t="shared" si="74"/>
        <v>2375.7251803751801</v>
      </c>
      <c r="R154" s="121"/>
    </row>
    <row r="155" spans="1:18">
      <c r="A155" s="121">
        <f t="shared" si="46"/>
        <v>155</v>
      </c>
      <c r="B155" s="315" t="s">
        <v>119</v>
      </c>
      <c r="C155" s="602">
        <f t="shared" si="62"/>
        <v>265</v>
      </c>
      <c r="D155" s="602">
        <f t="shared" si="63"/>
        <v>266</v>
      </c>
      <c r="E155" s="602">
        <f t="shared" si="64"/>
        <v>266.66666666666669</v>
      </c>
      <c r="F155" s="602">
        <f t="shared" si="65"/>
        <v>268</v>
      </c>
      <c r="G155" s="602">
        <f t="shared" si="66"/>
        <v>268</v>
      </c>
      <c r="H155" s="602">
        <f t="shared" si="67"/>
        <v>268.33333333333331</v>
      </c>
      <c r="I155" s="602">
        <f t="shared" si="68"/>
        <v>269.28571428571428</v>
      </c>
      <c r="J155" s="602">
        <f t="shared" si="69"/>
        <v>269.75</v>
      </c>
      <c r="K155" s="602">
        <f t="shared" si="70"/>
        <v>269.88888888888891</v>
      </c>
      <c r="L155" s="602">
        <f t="shared" si="71"/>
        <v>270.10000000000002</v>
      </c>
      <c r="M155" s="602">
        <f t="shared" si="72"/>
        <v>270.54545454545456</v>
      </c>
      <c r="N155" s="602">
        <f t="shared" si="73"/>
        <v>270.91666666666669</v>
      </c>
      <c r="O155" s="602">
        <f t="shared" si="74"/>
        <v>3222.4867243867243</v>
      </c>
      <c r="R155" s="121"/>
    </row>
    <row r="156" spans="1:18">
      <c r="A156" s="121">
        <f t="shared" si="46"/>
        <v>156</v>
      </c>
      <c r="B156" s="315" t="s">
        <v>120</v>
      </c>
      <c r="C156" s="602">
        <f t="shared" si="62"/>
        <v>330</v>
      </c>
      <c r="D156" s="602">
        <f t="shared" si="63"/>
        <v>329.5</v>
      </c>
      <c r="E156" s="602">
        <f t="shared" si="64"/>
        <v>329.66666666666669</v>
      </c>
      <c r="F156" s="602">
        <f t="shared" si="65"/>
        <v>330.75</v>
      </c>
      <c r="G156" s="602">
        <f t="shared" si="66"/>
        <v>331.4</v>
      </c>
      <c r="H156" s="602">
        <f t="shared" si="67"/>
        <v>331.16666666666669</v>
      </c>
      <c r="I156" s="602">
        <f t="shared" si="68"/>
        <v>331.14285714285717</v>
      </c>
      <c r="J156" s="602">
        <f t="shared" si="69"/>
        <v>331.125</v>
      </c>
      <c r="K156" s="602">
        <f t="shared" si="70"/>
        <v>330.88888888888891</v>
      </c>
      <c r="L156" s="602">
        <f t="shared" si="71"/>
        <v>330.7</v>
      </c>
      <c r="M156" s="602">
        <f t="shared" si="72"/>
        <v>330.36363636363637</v>
      </c>
      <c r="N156" s="602">
        <f t="shared" si="73"/>
        <v>330.58333333333331</v>
      </c>
      <c r="O156" s="602">
        <f t="shared" si="74"/>
        <v>3967.2870490620489</v>
      </c>
      <c r="R156" s="121"/>
    </row>
    <row r="157" spans="1:18">
      <c r="A157" s="121">
        <f t="shared" si="46"/>
        <v>157</v>
      </c>
      <c r="B157" s="315" t="s">
        <v>121</v>
      </c>
      <c r="C157" s="602">
        <f t="shared" si="62"/>
        <v>208</v>
      </c>
      <c r="D157" s="602">
        <f t="shared" si="63"/>
        <v>208</v>
      </c>
      <c r="E157" s="602">
        <f t="shared" si="64"/>
        <v>208</v>
      </c>
      <c r="F157" s="602">
        <f t="shared" si="65"/>
        <v>209</v>
      </c>
      <c r="G157" s="602">
        <f t="shared" si="66"/>
        <v>208.8</v>
      </c>
      <c r="H157" s="602">
        <f t="shared" si="67"/>
        <v>209</v>
      </c>
      <c r="I157" s="602">
        <f t="shared" si="68"/>
        <v>209.28571428571428</v>
      </c>
      <c r="J157" s="602">
        <f t="shared" si="69"/>
        <v>210</v>
      </c>
      <c r="K157" s="602">
        <f t="shared" si="70"/>
        <v>210</v>
      </c>
      <c r="L157" s="602">
        <f t="shared" si="71"/>
        <v>210.2</v>
      </c>
      <c r="M157" s="602">
        <f t="shared" si="72"/>
        <v>210.18181818181819</v>
      </c>
      <c r="N157" s="602">
        <f t="shared" si="73"/>
        <v>210.16666666666666</v>
      </c>
      <c r="O157" s="602">
        <f t="shared" si="74"/>
        <v>2510.6341991341988</v>
      </c>
      <c r="R157" s="121"/>
    </row>
    <row r="158" spans="1:18">
      <c r="A158" s="121">
        <f t="shared" si="46"/>
        <v>158</v>
      </c>
      <c r="B158" s="315" t="s">
        <v>142</v>
      </c>
      <c r="C158" s="602">
        <f t="shared" si="62"/>
        <v>34</v>
      </c>
      <c r="D158" s="602">
        <f t="shared" si="63"/>
        <v>34</v>
      </c>
      <c r="E158" s="602">
        <f t="shared" si="64"/>
        <v>34</v>
      </c>
      <c r="F158" s="602">
        <f t="shared" si="65"/>
        <v>34</v>
      </c>
      <c r="G158" s="602">
        <f t="shared" si="66"/>
        <v>34</v>
      </c>
      <c r="H158" s="602">
        <f t="shared" si="67"/>
        <v>34</v>
      </c>
      <c r="I158" s="602">
        <f t="shared" si="68"/>
        <v>34.285714285714285</v>
      </c>
      <c r="J158" s="602">
        <f t="shared" si="69"/>
        <v>34.25</v>
      </c>
      <c r="K158" s="602">
        <f t="shared" si="70"/>
        <v>34.222222222222221</v>
      </c>
      <c r="L158" s="602">
        <f t="shared" si="71"/>
        <v>34.299999999999997</v>
      </c>
      <c r="M158" s="602">
        <f t="shared" si="72"/>
        <v>34.363636363636367</v>
      </c>
      <c r="N158" s="602">
        <f t="shared" si="73"/>
        <v>34.5</v>
      </c>
      <c r="O158" s="602">
        <f t="shared" si="74"/>
        <v>409.92157287157289</v>
      </c>
      <c r="R158" s="121"/>
    </row>
    <row r="159" spans="1:18">
      <c r="A159" s="121">
        <f t="shared" si="46"/>
        <v>159</v>
      </c>
      <c r="B159" s="315" t="s">
        <v>143</v>
      </c>
      <c r="C159" s="602">
        <f t="shared" si="62"/>
        <v>26</v>
      </c>
      <c r="D159" s="602">
        <f t="shared" si="63"/>
        <v>26</v>
      </c>
      <c r="E159" s="602">
        <f t="shared" si="64"/>
        <v>26</v>
      </c>
      <c r="F159" s="602">
        <f t="shared" si="65"/>
        <v>26</v>
      </c>
      <c r="G159" s="602">
        <f t="shared" si="66"/>
        <v>26</v>
      </c>
      <c r="H159" s="602">
        <f t="shared" si="67"/>
        <v>26</v>
      </c>
      <c r="I159" s="602">
        <f t="shared" si="68"/>
        <v>26</v>
      </c>
      <c r="J159" s="602">
        <f t="shared" si="69"/>
        <v>26.125</v>
      </c>
      <c r="K159" s="602">
        <f t="shared" si="70"/>
        <v>26</v>
      </c>
      <c r="L159" s="602">
        <f t="shared" si="71"/>
        <v>26</v>
      </c>
      <c r="M159" s="602">
        <f t="shared" si="72"/>
        <v>26</v>
      </c>
      <c r="N159" s="602">
        <f t="shared" si="73"/>
        <v>26</v>
      </c>
      <c r="O159" s="602">
        <f t="shared" si="74"/>
        <v>312.125</v>
      </c>
      <c r="R159" s="121"/>
    </row>
    <row r="160" spans="1:18">
      <c r="A160" s="121">
        <f t="shared" si="46"/>
        <v>160</v>
      </c>
      <c r="B160" s="315" t="s">
        <v>144</v>
      </c>
      <c r="C160" s="602">
        <f t="shared" si="62"/>
        <v>22</v>
      </c>
      <c r="D160" s="602">
        <f t="shared" si="63"/>
        <v>22</v>
      </c>
      <c r="E160" s="602">
        <f t="shared" si="64"/>
        <v>22</v>
      </c>
      <c r="F160" s="602">
        <f t="shared" si="65"/>
        <v>22</v>
      </c>
      <c r="G160" s="602">
        <f t="shared" si="66"/>
        <v>22</v>
      </c>
      <c r="H160" s="602">
        <f t="shared" si="67"/>
        <v>22</v>
      </c>
      <c r="I160" s="602">
        <f t="shared" si="68"/>
        <v>22</v>
      </c>
      <c r="J160" s="602">
        <f t="shared" si="69"/>
        <v>22.375</v>
      </c>
      <c r="K160" s="602">
        <f t="shared" si="70"/>
        <v>22.444444444444443</v>
      </c>
      <c r="L160" s="602">
        <f t="shared" si="71"/>
        <v>22.5</v>
      </c>
      <c r="M160" s="602">
        <f t="shared" si="72"/>
        <v>22.545454545454547</v>
      </c>
      <c r="N160" s="602">
        <f t="shared" si="73"/>
        <v>22.583333333333332</v>
      </c>
      <c r="O160" s="602">
        <f t="shared" si="74"/>
        <v>266.44823232323233</v>
      </c>
      <c r="R160" s="121"/>
    </row>
    <row r="161" spans="1:18">
      <c r="A161" s="121">
        <f t="shared" si="46"/>
        <v>161</v>
      </c>
      <c r="B161" s="315" t="s">
        <v>145</v>
      </c>
      <c r="C161" s="602">
        <f t="shared" si="62"/>
        <v>17</v>
      </c>
      <c r="D161" s="602">
        <f t="shared" si="63"/>
        <v>17</v>
      </c>
      <c r="E161" s="602">
        <f t="shared" si="64"/>
        <v>17</v>
      </c>
      <c r="F161" s="602">
        <f t="shared" si="65"/>
        <v>17</v>
      </c>
      <c r="G161" s="602">
        <f t="shared" si="66"/>
        <v>17</v>
      </c>
      <c r="H161" s="602">
        <f t="shared" si="67"/>
        <v>17</v>
      </c>
      <c r="I161" s="602">
        <f t="shared" si="68"/>
        <v>17.285714285714285</v>
      </c>
      <c r="J161" s="602">
        <f t="shared" si="69"/>
        <v>17.375</v>
      </c>
      <c r="K161" s="602">
        <f t="shared" si="70"/>
        <v>17.333333333333332</v>
      </c>
      <c r="L161" s="602">
        <f t="shared" si="71"/>
        <v>17.3</v>
      </c>
      <c r="M161" s="602">
        <f t="shared" si="72"/>
        <v>17.181818181818183</v>
      </c>
      <c r="N161" s="602">
        <f t="shared" si="73"/>
        <v>17.25</v>
      </c>
      <c r="O161" s="602">
        <f t="shared" si="74"/>
        <v>205.72586580086582</v>
      </c>
      <c r="R161" s="121"/>
    </row>
    <row r="162" spans="1:18">
      <c r="A162" s="121">
        <f t="shared" si="46"/>
        <v>162</v>
      </c>
      <c r="B162" s="315" t="s">
        <v>146</v>
      </c>
      <c r="C162" s="602">
        <f t="shared" si="62"/>
        <v>7</v>
      </c>
      <c r="D162" s="602">
        <f t="shared" si="63"/>
        <v>7</v>
      </c>
      <c r="E162" s="602">
        <f t="shared" si="64"/>
        <v>7</v>
      </c>
      <c r="F162" s="602">
        <f t="shared" si="65"/>
        <v>7</v>
      </c>
      <c r="G162" s="602">
        <f t="shared" si="66"/>
        <v>7</v>
      </c>
      <c r="H162" s="602">
        <f t="shared" si="67"/>
        <v>7</v>
      </c>
      <c r="I162" s="602">
        <f t="shared" si="68"/>
        <v>7</v>
      </c>
      <c r="J162" s="602">
        <f t="shared" si="69"/>
        <v>6.875</v>
      </c>
      <c r="K162" s="602">
        <f t="shared" si="70"/>
        <v>6.7777777777777777</v>
      </c>
      <c r="L162" s="602">
        <f t="shared" si="71"/>
        <v>6.7</v>
      </c>
      <c r="M162" s="602">
        <f t="shared" si="72"/>
        <v>6.6363636363636367</v>
      </c>
      <c r="N162" s="602">
        <f t="shared" si="73"/>
        <v>6.583333333333333</v>
      </c>
      <c r="O162" s="602">
        <f t="shared" si="74"/>
        <v>82.572474747474743</v>
      </c>
      <c r="R162" s="121"/>
    </row>
    <row r="163" spans="1:18">
      <c r="A163" s="121">
        <f t="shared" si="46"/>
        <v>163</v>
      </c>
      <c r="B163" s="315" t="s">
        <v>147</v>
      </c>
      <c r="C163" s="602">
        <f t="shared" si="62"/>
        <v>3</v>
      </c>
      <c r="D163" s="602">
        <f t="shared" si="63"/>
        <v>3</v>
      </c>
      <c r="E163" s="602">
        <f t="shared" si="64"/>
        <v>3</v>
      </c>
      <c r="F163" s="602">
        <f t="shared" si="65"/>
        <v>3</v>
      </c>
      <c r="G163" s="602">
        <f t="shared" si="66"/>
        <v>3</v>
      </c>
      <c r="H163" s="602">
        <f t="shared" si="67"/>
        <v>3</v>
      </c>
      <c r="I163" s="602">
        <f t="shared" si="68"/>
        <v>3</v>
      </c>
      <c r="J163" s="602">
        <f t="shared" si="69"/>
        <v>3</v>
      </c>
      <c r="K163" s="602">
        <f t="shared" si="70"/>
        <v>3</v>
      </c>
      <c r="L163" s="602">
        <f t="shared" si="71"/>
        <v>3</v>
      </c>
      <c r="M163" s="602">
        <f t="shared" si="72"/>
        <v>3</v>
      </c>
      <c r="N163" s="602">
        <f t="shared" si="73"/>
        <v>3</v>
      </c>
      <c r="O163" s="602">
        <f t="shared" si="74"/>
        <v>36</v>
      </c>
      <c r="R163" s="121"/>
    </row>
    <row r="164" spans="1:18">
      <c r="A164" s="121">
        <f t="shared" si="46"/>
        <v>164</v>
      </c>
      <c r="B164" s="315" t="s">
        <v>148</v>
      </c>
      <c r="C164" s="602">
        <f t="shared" si="62"/>
        <v>2</v>
      </c>
      <c r="D164" s="602">
        <f t="shared" si="63"/>
        <v>2</v>
      </c>
      <c r="E164" s="602">
        <f t="shared" si="64"/>
        <v>2</v>
      </c>
      <c r="F164" s="602">
        <f t="shared" si="65"/>
        <v>1.75</v>
      </c>
      <c r="G164" s="602">
        <f t="shared" si="66"/>
        <v>1.6</v>
      </c>
      <c r="H164" s="602">
        <f t="shared" si="67"/>
        <v>1.5</v>
      </c>
      <c r="I164" s="602">
        <f t="shared" si="68"/>
        <v>1.4285714285714286</v>
      </c>
      <c r="J164" s="602">
        <f t="shared" si="69"/>
        <v>1.375</v>
      </c>
      <c r="K164" s="602">
        <f t="shared" si="70"/>
        <v>1.3333333333333333</v>
      </c>
      <c r="L164" s="602">
        <f t="shared" si="71"/>
        <v>1.3</v>
      </c>
      <c r="M164" s="602">
        <f t="shared" si="72"/>
        <v>1.2727272727272727</v>
      </c>
      <c r="N164" s="602">
        <f t="shared" si="73"/>
        <v>1.25</v>
      </c>
      <c r="O164" s="602">
        <f t="shared" si="74"/>
        <v>18.809632034632035</v>
      </c>
      <c r="R164" s="121"/>
    </row>
    <row r="165" spans="1:18">
      <c r="A165" s="121">
        <f t="shared" si="46"/>
        <v>165</v>
      </c>
      <c r="B165" s="315" t="s">
        <v>149</v>
      </c>
      <c r="C165" s="602">
        <f t="shared" si="62"/>
        <v>4</v>
      </c>
      <c r="D165" s="602">
        <f t="shared" si="63"/>
        <v>4</v>
      </c>
      <c r="E165" s="602">
        <f t="shared" si="64"/>
        <v>4</v>
      </c>
      <c r="F165" s="602">
        <f t="shared" si="65"/>
        <v>4</v>
      </c>
      <c r="G165" s="602">
        <f t="shared" si="66"/>
        <v>4.2</v>
      </c>
      <c r="H165" s="602">
        <f t="shared" si="67"/>
        <v>4.333333333333333</v>
      </c>
      <c r="I165" s="602">
        <f>AVERAGE(C41:I41)</f>
        <v>4.4285714285714288</v>
      </c>
      <c r="J165" s="602">
        <f t="shared" si="69"/>
        <v>4.5</v>
      </c>
      <c r="K165" s="602">
        <f t="shared" si="70"/>
        <v>4.5555555555555554</v>
      </c>
      <c r="L165" s="602">
        <f t="shared" si="71"/>
        <v>4.5999999999999996</v>
      </c>
      <c r="M165" s="602">
        <f t="shared" si="72"/>
        <v>4.6363636363636367</v>
      </c>
      <c r="N165" s="602">
        <f t="shared" si="73"/>
        <v>4.666666666666667</v>
      </c>
      <c r="O165" s="602">
        <f t="shared" si="74"/>
        <v>51.920490620490618</v>
      </c>
      <c r="R165" s="121"/>
    </row>
    <row r="166" spans="1:18">
      <c r="A166" s="121">
        <f t="shared" si="46"/>
        <v>166</v>
      </c>
      <c r="B166" s="315" t="s">
        <v>976</v>
      </c>
      <c r="C166" s="602">
        <f t="shared" si="62"/>
        <v>0</v>
      </c>
      <c r="D166" s="602">
        <f t="shared" si="63"/>
        <v>0</v>
      </c>
      <c r="E166" s="602">
        <f t="shared" si="64"/>
        <v>0</v>
      </c>
      <c r="F166" s="602">
        <f>AVERAGE(C42:F42)</f>
        <v>0.33333333333333331</v>
      </c>
      <c r="G166" s="602">
        <f t="shared" si="66"/>
        <v>0.5</v>
      </c>
      <c r="H166" s="602">
        <f t="shared" si="67"/>
        <v>0.6</v>
      </c>
      <c r="I166" s="602">
        <f t="shared" si="68"/>
        <v>0.66666666666666663</v>
      </c>
      <c r="J166" s="602">
        <f t="shared" si="69"/>
        <v>0.7142857142857143</v>
      </c>
      <c r="K166" s="602">
        <f t="shared" si="70"/>
        <v>0.75</v>
      </c>
      <c r="L166" s="602">
        <f t="shared" si="71"/>
        <v>0.77777777777777779</v>
      </c>
      <c r="M166" s="602">
        <f t="shared" si="72"/>
        <v>0.8</v>
      </c>
      <c r="N166" s="602">
        <f t="shared" si="73"/>
        <v>0.81818181818181823</v>
      </c>
      <c r="O166" s="602">
        <f t="shared" si="74"/>
        <v>5.9602453102453099</v>
      </c>
      <c r="R166" s="121"/>
    </row>
    <row r="167" spans="1:18">
      <c r="A167" s="121">
        <f t="shared" si="46"/>
        <v>167</v>
      </c>
      <c r="B167" s="315" t="s">
        <v>113</v>
      </c>
      <c r="C167" s="602">
        <f t="shared" si="62"/>
        <v>889</v>
      </c>
      <c r="D167" s="602">
        <f t="shared" si="63"/>
        <v>888.5</v>
      </c>
      <c r="E167" s="602">
        <f t="shared" si="64"/>
        <v>888.33333333333337</v>
      </c>
      <c r="F167" s="602">
        <f t="shared" si="65"/>
        <v>889.75</v>
      </c>
      <c r="G167" s="602">
        <f t="shared" si="66"/>
        <v>889.4</v>
      </c>
      <c r="H167" s="602">
        <f t="shared" si="67"/>
        <v>889</v>
      </c>
      <c r="I167" s="602">
        <f t="shared" si="68"/>
        <v>888.85714285714289</v>
      </c>
      <c r="J167" s="602">
        <f t="shared" si="69"/>
        <v>888.375</v>
      </c>
      <c r="K167" s="602">
        <f t="shared" si="70"/>
        <v>888.55555555555554</v>
      </c>
      <c r="L167" s="602">
        <f t="shared" si="71"/>
        <v>898</v>
      </c>
      <c r="M167" s="602">
        <f t="shared" si="72"/>
        <v>897.36363636363637</v>
      </c>
      <c r="N167" s="602">
        <f t="shared" si="73"/>
        <v>897.08333333333337</v>
      </c>
      <c r="O167" s="602">
        <f t="shared" si="74"/>
        <v>10692.218001443003</v>
      </c>
      <c r="R167" s="121"/>
    </row>
    <row r="168" spans="1:18">
      <c r="A168" s="121">
        <f t="shared" si="46"/>
        <v>168</v>
      </c>
      <c r="B168" s="315" t="s">
        <v>173</v>
      </c>
      <c r="C168" s="602">
        <f t="shared" si="62"/>
        <v>362</v>
      </c>
      <c r="D168" s="602">
        <f t="shared" si="63"/>
        <v>363</v>
      </c>
      <c r="E168" s="602">
        <f t="shared" si="64"/>
        <v>361.66666666666669</v>
      </c>
      <c r="F168" s="602">
        <f t="shared" si="65"/>
        <v>364.25</v>
      </c>
      <c r="G168" s="602">
        <f t="shared" si="66"/>
        <v>362.2</v>
      </c>
      <c r="H168" s="602">
        <f t="shared" si="67"/>
        <v>361.66666666666669</v>
      </c>
      <c r="I168" s="602">
        <f t="shared" si="68"/>
        <v>361.71428571428572</v>
      </c>
      <c r="J168" s="602">
        <f t="shared" si="69"/>
        <v>362</v>
      </c>
      <c r="K168" s="602">
        <f t="shared" si="70"/>
        <v>361.88888888888891</v>
      </c>
      <c r="L168" s="602">
        <f t="shared" si="71"/>
        <v>363.9</v>
      </c>
      <c r="M168" s="602">
        <f t="shared" si="72"/>
        <v>363.72727272727275</v>
      </c>
      <c r="N168" s="602">
        <f t="shared" si="73"/>
        <v>363.5</v>
      </c>
      <c r="O168" s="602">
        <f t="shared" si="74"/>
        <v>4351.5137806637804</v>
      </c>
      <c r="R168" s="121"/>
    </row>
    <row r="169" spans="1:18">
      <c r="A169" s="121">
        <f t="shared" si="46"/>
        <v>169</v>
      </c>
      <c r="B169" s="315" t="s">
        <v>175</v>
      </c>
      <c r="C169" s="602">
        <f t="shared" si="62"/>
        <v>2050</v>
      </c>
      <c r="D169" s="602">
        <f t="shared" si="63"/>
        <v>2056</v>
      </c>
      <c r="E169" s="602">
        <f t="shared" si="64"/>
        <v>2056.3333333333335</v>
      </c>
      <c r="F169" s="602">
        <f t="shared" si="65"/>
        <v>2061.5</v>
      </c>
      <c r="G169" s="602">
        <f t="shared" si="66"/>
        <v>2067.6</v>
      </c>
      <c r="H169" s="602">
        <f t="shared" si="67"/>
        <v>2072.1666666666665</v>
      </c>
      <c r="I169" s="602">
        <f t="shared" si="68"/>
        <v>2074.1428571428573</v>
      </c>
      <c r="J169" s="602">
        <f t="shared" si="69"/>
        <v>2077.125</v>
      </c>
      <c r="K169" s="602">
        <f t="shared" si="70"/>
        <v>2079.8888888888887</v>
      </c>
      <c r="L169" s="602">
        <f t="shared" si="71"/>
        <v>2072.3000000000002</v>
      </c>
      <c r="M169" s="602">
        <f t="shared" si="72"/>
        <v>2076.6363636363635</v>
      </c>
      <c r="N169" s="602">
        <f t="shared" si="73"/>
        <v>2080.3333333333335</v>
      </c>
      <c r="O169" s="602">
        <f t="shared" si="74"/>
        <v>24824.026443001439</v>
      </c>
      <c r="R169" s="121"/>
    </row>
    <row r="170" spans="1:18">
      <c r="A170" s="121">
        <f t="shared" si="46"/>
        <v>170</v>
      </c>
      <c r="B170" s="315" t="s">
        <v>176</v>
      </c>
      <c r="C170" s="602">
        <f t="shared" si="62"/>
        <v>780</v>
      </c>
      <c r="D170" s="602">
        <f t="shared" si="63"/>
        <v>779.5</v>
      </c>
      <c r="E170" s="602">
        <f t="shared" si="64"/>
        <v>781</v>
      </c>
      <c r="F170" s="602">
        <f t="shared" si="65"/>
        <v>779.75</v>
      </c>
      <c r="G170" s="602">
        <f t="shared" si="66"/>
        <v>781.4</v>
      </c>
      <c r="H170" s="602">
        <f t="shared" si="67"/>
        <v>781.66666666666663</v>
      </c>
      <c r="I170" s="602">
        <f t="shared" si="68"/>
        <v>783.28571428571433</v>
      </c>
      <c r="J170" s="602">
        <f t="shared" si="69"/>
        <v>784.25</v>
      </c>
      <c r="K170" s="602">
        <f t="shared" si="70"/>
        <v>785.33333333333337</v>
      </c>
      <c r="L170" s="602">
        <f t="shared" si="71"/>
        <v>784.1</v>
      </c>
      <c r="M170" s="602">
        <f t="shared" si="72"/>
        <v>785</v>
      </c>
      <c r="N170" s="602">
        <f t="shared" si="73"/>
        <v>786.58333333333337</v>
      </c>
      <c r="O170" s="602">
        <f t="shared" si="74"/>
        <v>9391.8690476190477</v>
      </c>
      <c r="R170" s="121"/>
    </row>
    <row r="171" spans="1:18">
      <c r="A171" s="121">
        <f t="shared" si="46"/>
        <v>171</v>
      </c>
      <c r="B171" s="315" t="s">
        <v>177</v>
      </c>
      <c r="C171" s="602">
        <f t="shared" si="62"/>
        <v>237</v>
      </c>
      <c r="D171" s="602">
        <f t="shared" si="63"/>
        <v>236</v>
      </c>
      <c r="E171" s="602">
        <f t="shared" si="64"/>
        <v>236</v>
      </c>
      <c r="F171" s="602">
        <f t="shared" si="65"/>
        <v>237.5</v>
      </c>
      <c r="G171" s="602">
        <f t="shared" si="66"/>
        <v>237</v>
      </c>
      <c r="H171" s="602">
        <f t="shared" si="67"/>
        <v>236.66666666666666</v>
      </c>
      <c r="I171" s="602">
        <f t="shared" si="68"/>
        <v>236.85714285714286</v>
      </c>
      <c r="J171" s="602">
        <f t="shared" si="69"/>
        <v>237.125</v>
      </c>
      <c r="K171" s="602">
        <f t="shared" si="70"/>
        <v>237.33333333333334</v>
      </c>
      <c r="L171" s="602">
        <f t="shared" si="71"/>
        <v>240</v>
      </c>
      <c r="M171" s="602">
        <f t="shared" si="72"/>
        <v>240.63636363636363</v>
      </c>
      <c r="N171" s="602">
        <f t="shared" si="73"/>
        <v>240.83333333333334</v>
      </c>
      <c r="O171" s="602">
        <f t="shared" si="74"/>
        <v>2852.9518398268401</v>
      </c>
      <c r="R171" s="121"/>
    </row>
    <row r="172" spans="1:18">
      <c r="A172" s="121">
        <f t="shared" si="46"/>
        <v>172</v>
      </c>
      <c r="B172" s="315" t="s">
        <v>178</v>
      </c>
      <c r="C172" s="602">
        <f t="shared" si="62"/>
        <v>666</v>
      </c>
      <c r="D172" s="602">
        <f t="shared" si="63"/>
        <v>666</v>
      </c>
      <c r="E172" s="602">
        <f t="shared" si="64"/>
        <v>661.33333333333337</v>
      </c>
      <c r="F172" s="602">
        <f t="shared" si="65"/>
        <v>661.75</v>
      </c>
      <c r="G172" s="602">
        <f t="shared" si="66"/>
        <v>661.2</v>
      </c>
      <c r="H172" s="602">
        <f t="shared" si="67"/>
        <v>660.66666666666663</v>
      </c>
      <c r="I172" s="602">
        <f t="shared" si="68"/>
        <v>659.14285714285711</v>
      </c>
      <c r="J172" s="602">
        <f t="shared" si="69"/>
        <v>659</v>
      </c>
      <c r="K172" s="602">
        <f t="shared" si="70"/>
        <v>658.55555555555554</v>
      </c>
      <c r="L172" s="602">
        <f t="shared" si="71"/>
        <v>657.8</v>
      </c>
      <c r="M172" s="602">
        <f t="shared" si="72"/>
        <v>656.81818181818187</v>
      </c>
      <c r="N172" s="602">
        <f t="shared" si="73"/>
        <v>656.08333333333337</v>
      </c>
      <c r="O172" s="602">
        <f t="shared" si="74"/>
        <v>7924.3499278499285</v>
      </c>
      <c r="R172" s="121"/>
    </row>
    <row r="173" spans="1:18">
      <c r="A173" s="121">
        <f t="shared" si="46"/>
        <v>173</v>
      </c>
      <c r="B173" s="315" t="s">
        <v>180</v>
      </c>
      <c r="C173" s="602">
        <f t="shared" si="62"/>
        <v>0</v>
      </c>
      <c r="D173" s="602">
        <f t="shared" si="63"/>
        <v>0</v>
      </c>
      <c r="E173" s="602">
        <f t="shared" si="64"/>
        <v>0</v>
      </c>
      <c r="F173" s="602">
        <f t="shared" si="65"/>
        <v>0</v>
      </c>
      <c r="G173" s="602">
        <f t="shared" si="66"/>
        <v>0</v>
      </c>
      <c r="H173" s="602">
        <f t="shared" si="67"/>
        <v>0</v>
      </c>
      <c r="I173" s="602">
        <f t="shared" si="68"/>
        <v>0</v>
      </c>
      <c r="J173" s="602">
        <f t="shared" si="69"/>
        <v>0</v>
      </c>
      <c r="K173" s="602">
        <f t="shared" si="70"/>
        <v>0</v>
      </c>
      <c r="L173" s="602">
        <f t="shared" si="71"/>
        <v>0</v>
      </c>
      <c r="M173" s="602">
        <f t="shared" si="72"/>
        <v>0</v>
      </c>
      <c r="N173" s="602">
        <f t="shared" si="73"/>
        <v>0</v>
      </c>
      <c r="O173" s="602">
        <f t="shared" si="74"/>
        <v>0</v>
      </c>
      <c r="R173" s="121"/>
    </row>
    <row r="174" spans="1:18">
      <c r="A174" s="121">
        <f t="shared" si="46"/>
        <v>174</v>
      </c>
      <c r="B174" s="315" t="s">
        <v>181</v>
      </c>
      <c r="C174" s="602">
        <f t="shared" si="62"/>
        <v>1225</v>
      </c>
      <c r="D174" s="602">
        <f t="shared" si="63"/>
        <v>1228</v>
      </c>
      <c r="E174" s="602">
        <f t="shared" si="64"/>
        <v>1231</v>
      </c>
      <c r="F174" s="602">
        <f t="shared" si="65"/>
        <v>1234.25</v>
      </c>
      <c r="G174" s="602">
        <f t="shared" si="66"/>
        <v>1236.8</v>
      </c>
      <c r="H174" s="602">
        <f t="shared" si="67"/>
        <v>1239.8333333333333</v>
      </c>
      <c r="I174" s="602">
        <f t="shared" si="68"/>
        <v>1240.2857142857142</v>
      </c>
      <c r="J174" s="602">
        <f t="shared" si="69"/>
        <v>1240</v>
      </c>
      <c r="K174" s="602">
        <f t="shared" si="70"/>
        <v>1240.5555555555557</v>
      </c>
      <c r="L174" s="602">
        <f t="shared" si="71"/>
        <v>1241.2</v>
      </c>
      <c r="M174" s="602">
        <f t="shared" si="72"/>
        <v>1242.4545454545455</v>
      </c>
      <c r="N174" s="602">
        <f t="shared" si="73"/>
        <v>1243.5833333333333</v>
      </c>
      <c r="O174" s="602">
        <f t="shared" si="74"/>
        <v>14842.962481962484</v>
      </c>
      <c r="R174" s="121"/>
    </row>
    <row r="175" spans="1:18">
      <c r="A175" s="121">
        <f t="shared" si="46"/>
        <v>175</v>
      </c>
      <c r="B175" s="315" t="s">
        <v>183</v>
      </c>
      <c r="C175" s="602">
        <f t="shared" si="62"/>
        <v>0</v>
      </c>
      <c r="D175" s="602">
        <f t="shared" si="63"/>
        <v>0</v>
      </c>
      <c r="E175" s="602">
        <f t="shared" si="64"/>
        <v>0</v>
      </c>
      <c r="F175" s="602">
        <f t="shared" si="65"/>
        <v>0</v>
      </c>
      <c r="G175" s="602">
        <f t="shared" si="66"/>
        <v>0</v>
      </c>
      <c r="H175" s="602">
        <f t="shared" si="67"/>
        <v>0</v>
      </c>
      <c r="I175" s="602">
        <f t="shared" si="68"/>
        <v>0</v>
      </c>
      <c r="J175" s="602">
        <f t="shared" si="69"/>
        <v>0</v>
      </c>
      <c r="K175" s="602">
        <f t="shared" si="70"/>
        <v>0</v>
      </c>
      <c r="L175" s="602">
        <f t="shared" si="71"/>
        <v>0</v>
      </c>
      <c r="M175" s="602">
        <f t="shared" si="72"/>
        <v>0</v>
      </c>
      <c r="N175" s="602">
        <f t="shared" si="73"/>
        <v>0</v>
      </c>
      <c r="O175" s="602">
        <f t="shared" si="74"/>
        <v>0</v>
      </c>
      <c r="R175" s="121"/>
    </row>
    <row r="176" spans="1:18">
      <c r="A176" s="121">
        <f t="shared" si="46"/>
        <v>176</v>
      </c>
      <c r="B176" s="315" t="s">
        <v>184</v>
      </c>
      <c r="C176" s="602">
        <f t="shared" si="62"/>
        <v>18</v>
      </c>
      <c r="D176" s="602">
        <f t="shared" si="63"/>
        <v>18</v>
      </c>
      <c r="E176" s="602">
        <f t="shared" si="64"/>
        <v>18</v>
      </c>
      <c r="F176" s="602">
        <f t="shared" si="65"/>
        <v>18</v>
      </c>
      <c r="G176" s="602">
        <f t="shared" si="66"/>
        <v>18</v>
      </c>
      <c r="H176" s="602">
        <f t="shared" si="67"/>
        <v>18</v>
      </c>
      <c r="I176" s="602">
        <f t="shared" si="68"/>
        <v>18</v>
      </c>
      <c r="J176" s="602">
        <f t="shared" si="69"/>
        <v>18</v>
      </c>
      <c r="K176" s="602">
        <f t="shared" si="70"/>
        <v>18</v>
      </c>
      <c r="L176" s="602">
        <f t="shared" si="71"/>
        <v>18</v>
      </c>
      <c r="M176" s="602">
        <f t="shared" si="72"/>
        <v>18</v>
      </c>
      <c r="N176" s="602">
        <f t="shared" si="73"/>
        <v>18</v>
      </c>
      <c r="O176" s="602">
        <f t="shared" si="74"/>
        <v>216</v>
      </c>
      <c r="R176" s="121"/>
    </row>
    <row r="177" spans="1:18">
      <c r="A177" s="121">
        <f t="shared" si="46"/>
        <v>177</v>
      </c>
      <c r="B177" s="315" t="s">
        <v>186</v>
      </c>
      <c r="C177" s="602">
        <f t="shared" si="62"/>
        <v>40</v>
      </c>
      <c r="D177" s="602">
        <f t="shared" si="63"/>
        <v>40</v>
      </c>
      <c r="E177" s="602">
        <f t="shared" si="64"/>
        <v>40</v>
      </c>
      <c r="F177" s="602">
        <f t="shared" si="65"/>
        <v>40.5</v>
      </c>
      <c r="G177" s="602">
        <f t="shared" si="66"/>
        <v>39.6</v>
      </c>
      <c r="H177" s="602">
        <f t="shared" si="67"/>
        <v>39</v>
      </c>
      <c r="I177" s="602">
        <f t="shared" si="68"/>
        <v>38.428571428571431</v>
      </c>
      <c r="J177" s="602">
        <f t="shared" si="69"/>
        <v>38.125</v>
      </c>
      <c r="K177" s="602">
        <f t="shared" si="70"/>
        <v>37.444444444444443</v>
      </c>
      <c r="L177" s="602">
        <f t="shared" si="71"/>
        <v>36.9</v>
      </c>
      <c r="M177" s="602">
        <f t="shared" si="72"/>
        <v>36.454545454545453</v>
      </c>
      <c r="N177" s="602">
        <f t="shared" si="73"/>
        <v>36.083333333333336</v>
      </c>
      <c r="O177" s="602">
        <f t="shared" si="74"/>
        <v>462.5358946608946</v>
      </c>
      <c r="R177" s="121"/>
    </row>
    <row r="178" spans="1:18">
      <c r="A178" s="121">
        <f t="shared" si="46"/>
        <v>178</v>
      </c>
      <c r="B178" s="315" t="s">
        <v>188</v>
      </c>
      <c r="C178" s="602">
        <f t="shared" si="62"/>
        <v>0</v>
      </c>
      <c r="D178" s="602">
        <f t="shared" si="63"/>
        <v>0</v>
      </c>
      <c r="E178" s="602">
        <f t="shared" si="64"/>
        <v>0</v>
      </c>
      <c r="F178" s="602">
        <f t="shared" si="65"/>
        <v>0</v>
      </c>
      <c r="G178" s="602">
        <f t="shared" si="66"/>
        <v>0</v>
      </c>
      <c r="H178" s="602">
        <f t="shared" si="67"/>
        <v>0</v>
      </c>
      <c r="I178" s="602">
        <f t="shared" si="68"/>
        <v>0</v>
      </c>
      <c r="J178" s="602">
        <f t="shared" si="69"/>
        <v>0</v>
      </c>
      <c r="K178" s="602">
        <f t="shared" si="70"/>
        <v>0</v>
      </c>
      <c r="L178" s="602">
        <f t="shared" si="71"/>
        <v>0</v>
      </c>
      <c r="M178" s="602">
        <f t="shared" si="72"/>
        <v>0</v>
      </c>
      <c r="N178" s="602">
        <f t="shared" si="73"/>
        <v>0</v>
      </c>
      <c r="O178" s="602">
        <f>SUM(C178:N178)</f>
        <v>0</v>
      </c>
      <c r="R178" s="121"/>
    </row>
    <row r="179" spans="1:18">
      <c r="A179" s="121">
        <f t="shared" si="46"/>
        <v>179</v>
      </c>
      <c r="B179" s="315" t="s">
        <v>242</v>
      </c>
      <c r="C179" s="602">
        <f t="shared" si="62"/>
        <v>2</v>
      </c>
      <c r="D179" s="602">
        <f t="shared" si="63"/>
        <v>2</v>
      </c>
      <c r="E179" s="602">
        <f t="shared" si="64"/>
        <v>2</v>
      </c>
      <c r="F179" s="602">
        <f t="shared" si="65"/>
        <v>2</v>
      </c>
      <c r="G179" s="602">
        <f t="shared" si="66"/>
        <v>2</v>
      </c>
      <c r="H179" s="602">
        <f t="shared" si="67"/>
        <v>2</v>
      </c>
      <c r="I179" s="602">
        <f t="shared" si="68"/>
        <v>2</v>
      </c>
      <c r="J179" s="602">
        <f t="shared" si="69"/>
        <v>2</v>
      </c>
      <c r="K179" s="602">
        <f t="shared" si="70"/>
        <v>2</v>
      </c>
      <c r="L179" s="602">
        <f t="shared" si="71"/>
        <v>2</v>
      </c>
      <c r="M179" s="602">
        <f t="shared" si="72"/>
        <v>2</v>
      </c>
      <c r="N179" s="602">
        <f t="shared" si="73"/>
        <v>2</v>
      </c>
      <c r="O179" s="602">
        <f>SUM(C179:N179)</f>
        <v>24</v>
      </c>
      <c r="R179" s="121"/>
    </row>
    <row r="180" spans="1:18">
      <c r="A180" s="121">
        <f t="shared" si="46"/>
        <v>180</v>
      </c>
      <c r="B180" s="315" t="s">
        <v>190</v>
      </c>
      <c r="C180" s="602">
        <f t="shared" si="62"/>
        <v>4</v>
      </c>
      <c r="D180" s="602">
        <f t="shared" si="63"/>
        <v>4</v>
      </c>
      <c r="E180" s="602">
        <f t="shared" si="64"/>
        <v>4</v>
      </c>
      <c r="F180" s="602">
        <f t="shared" si="65"/>
        <v>4</v>
      </c>
      <c r="G180" s="602">
        <f t="shared" si="66"/>
        <v>4</v>
      </c>
      <c r="H180" s="602">
        <f t="shared" si="67"/>
        <v>4</v>
      </c>
      <c r="I180" s="602">
        <f t="shared" si="68"/>
        <v>4</v>
      </c>
      <c r="J180" s="602">
        <f t="shared" si="69"/>
        <v>4</v>
      </c>
      <c r="K180" s="602">
        <f t="shared" si="70"/>
        <v>4</v>
      </c>
      <c r="L180" s="602">
        <f t="shared" si="71"/>
        <v>4</v>
      </c>
      <c r="M180" s="602">
        <f t="shared" si="72"/>
        <v>4</v>
      </c>
      <c r="N180" s="602">
        <f t="shared" si="73"/>
        <v>4</v>
      </c>
      <c r="O180" s="602">
        <f t="shared" si="74"/>
        <v>48</v>
      </c>
      <c r="R180" s="121"/>
    </row>
    <row r="181" spans="1:18">
      <c r="A181" s="121">
        <f t="shared" si="46"/>
        <v>181</v>
      </c>
      <c r="B181" s="315" t="s">
        <v>192</v>
      </c>
      <c r="C181" s="602">
        <f t="shared" si="62"/>
        <v>16</v>
      </c>
      <c r="D181" s="602">
        <f t="shared" si="63"/>
        <v>15.5</v>
      </c>
      <c r="E181" s="602">
        <f t="shared" si="64"/>
        <v>15.333333333333334</v>
      </c>
      <c r="F181" s="602">
        <f t="shared" si="65"/>
        <v>15.25</v>
      </c>
      <c r="G181" s="602">
        <f t="shared" si="66"/>
        <v>15.4</v>
      </c>
      <c r="H181" s="602">
        <f t="shared" si="67"/>
        <v>15.666666666666666</v>
      </c>
      <c r="I181" s="602">
        <f t="shared" si="68"/>
        <v>15.857142857142858</v>
      </c>
      <c r="J181" s="602">
        <f t="shared" si="69"/>
        <v>16</v>
      </c>
      <c r="K181" s="602">
        <f t="shared" si="70"/>
        <v>16.111111111111111</v>
      </c>
      <c r="L181" s="602">
        <f t="shared" si="71"/>
        <v>16.2</v>
      </c>
      <c r="M181" s="602">
        <f t="shared" si="72"/>
        <v>16.363636363636363</v>
      </c>
      <c r="N181" s="602">
        <f t="shared" si="73"/>
        <v>16.5</v>
      </c>
      <c r="O181" s="602">
        <f t="shared" si="74"/>
        <v>190.18189033189034</v>
      </c>
      <c r="R181" s="121"/>
    </row>
    <row r="182" spans="1:18">
      <c r="A182" s="121">
        <f t="shared" si="46"/>
        <v>182</v>
      </c>
      <c r="B182" s="315" t="s">
        <v>194</v>
      </c>
      <c r="C182" s="602">
        <f t="shared" si="62"/>
        <v>7</v>
      </c>
      <c r="D182" s="602">
        <f t="shared" si="63"/>
        <v>7</v>
      </c>
      <c r="E182" s="602">
        <f t="shared" si="64"/>
        <v>7</v>
      </c>
      <c r="F182" s="602">
        <f t="shared" si="65"/>
        <v>7</v>
      </c>
      <c r="G182" s="602">
        <f t="shared" si="66"/>
        <v>7</v>
      </c>
      <c r="H182" s="602">
        <f t="shared" si="67"/>
        <v>7</v>
      </c>
      <c r="I182" s="602">
        <f t="shared" si="68"/>
        <v>7</v>
      </c>
      <c r="J182" s="602">
        <f t="shared" si="69"/>
        <v>7</v>
      </c>
      <c r="K182" s="602">
        <f t="shared" si="70"/>
        <v>7</v>
      </c>
      <c r="L182" s="602">
        <f t="shared" si="71"/>
        <v>7</v>
      </c>
      <c r="M182" s="602">
        <f t="shared" si="72"/>
        <v>7</v>
      </c>
      <c r="N182" s="602">
        <f t="shared" si="73"/>
        <v>7</v>
      </c>
      <c r="O182" s="602">
        <f t="shared" si="74"/>
        <v>84</v>
      </c>
      <c r="R182" s="121"/>
    </row>
    <row r="183" spans="1:18">
      <c r="A183" s="121">
        <f t="shared" si="46"/>
        <v>183</v>
      </c>
      <c r="B183" s="312" t="s">
        <v>107</v>
      </c>
      <c r="C183" s="602">
        <f t="shared" si="62"/>
        <v>23</v>
      </c>
      <c r="D183" s="602">
        <f t="shared" si="63"/>
        <v>23</v>
      </c>
      <c r="E183" s="602">
        <f t="shared" si="64"/>
        <v>23</v>
      </c>
      <c r="F183" s="602">
        <f t="shared" si="65"/>
        <v>23</v>
      </c>
      <c r="G183" s="602">
        <f t="shared" si="66"/>
        <v>23</v>
      </c>
      <c r="H183" s="602">
        <f t="shared" si="67"/>
        <v>23</v>
      </c>
      <c r="I183" s="602">
        <f t="shared" si="68"/>
        <v>23</v>
      </c>
      <c r="J183" s="602">
        <f t="shared" si="69"/>
        <v>23</v>
      </c>
      <c r="K183" s="602">
        <f t="shared" si="70"/>
        <v>22.888888888888889</v>
      </c>
      <c r="L183" s="602">
        <f t="shared" si="71"/>
        <v>22.8</v>
      </c>
      <c r="M183" s="602">
        <f t="shared" si="72"/>
        <v>22.727272727272727</v>
      </c>
      <c r="N183" s="602">
        <f t="shared" si="73"/>
        <v>22.666666666666668</v>
      </c>
      <c r="O183" s="602">
        <f>SUM(C183:N183)</f>
        <v>275.0828282828283</v>
      </c>
      <c r="R183" s="121"/>
    </row>
    <row r="184" spans="1:18">
      <c r="A184" s="121">
        <f t="shared" si="46"/>
        <v>184</v>
      </c>
      <c r="B184" s="312" t="s">
        <v>108</v>
      </c>
      <c r="C184" s="602">
        <f t="shared" si="62"/>
        <v>1</v>
      </c>
      <c r="D184" s="602">
        <f t="shared" si="63"/>
        <v>1</v>
      </c>
      <c r="E184" s="602">
        <f t="shared" si="64"/>
        <v>1</v>
      </c>
      <c r="F184" s="602">
        <f t="shared" si="65"/>
        <v>1</v>
      </c>
      <c r="G184" s="602">
        <f t="shared" si="66"/>
        <v>1</v>
      </c>
      <c r="H184" s="602">
        <f t="shared" si="67"/>
        <v>1</v>
      </c>
      <c r="I184" s="602">
        <f t="shared" si="68"/>
        <v>1</v>
      </c>
      <c r="J184" s="602">
        <f t="shared" si="69"/>
        <v>1</v>
      </c>
      <c r="K184" s="602">
        <f t="shared" si="70"/>
        <v>1</v>
      </c>
      <c r="L184" s="602">
        <f t="shared" si="71"/>
        <v>1</v>
      </c>
      <c r="M184" s="602">
        <f t="shared" si="72"/>
        <v>1</v>
      </c>
      <c r="N184" s="602">
        <f t="shared" si="73"/>
        <v>1</v>
      </c>
      <c r="O184" s="602">
        <f>SUM(C184:N184)</f>
        <v>12</v>
      </c>
      <c r="R184" s="121"/>
    </row>
    <row r="185" spans="1:18">
      <c r="A185" s="121">
        <f t="shared" si="46"/>
        <v>185</v>
      </c>
      <c r="B185" s="321" t="s">
        <v>109</v>
      </c>
      <c r="C185" s="606">
        <f t="shared" si="62"/>
        <v>2</v>
      </c>
      <c r="D185" s="606">
        <f t="shared" si="63"/>
        <v>2</v>
      </c>
      <c r="E185" s="606">
        <f t="shared" si="64"/>
        <v>2</v>
      </c>
      <c r="F185" s="606">
        <f t="shared" si="65"/>
        <v>2</v>
      </c>
      <c r="G185" s="606">
        <f t="shared" si="66"/>
        <v>2</v>
      </c>
      <c r="H185" s="606">
        <f t="shared" si="67"/>
        <v>2</v>
      </c>
      <c r="I185" s="606">
        <f t="shared" si="68"/>
        <v>2</v>
      </c>
      <c r="J185" s="606">
        <f t="shared" si="69"/>
        <v>2</v>
      </c>
      <c r="K185" s="606">
        <f t="shared" si="70"/>
        <v>2</v>
      </c>
      <c r="L185" s="606">
        <f t="shared" si="71"/>
        <v>2</v>
      </c>
      <c r="M185" s="606">
        <f t="shared" si="72"/>
        <v>2</v>
      </c>
      <c r="N185" s="606">
        <f t="shared" si="73"/>
        <v>2</v>
      </c>
      <c r="O185" s="606">
        <f>SUM(C185:N185)</f>
        <v>24</v>
      </c>
      <c r="R185" s="121"/>
    </row>
    <row r="186" spans="1:18">
      <c r="A186" s="121">
        <f t="shared" si="46"/>
        <v>186</v>
      </c>
      <c r="B186" s="322" t="s">
        <v>199</v>
      </c>
      <c r="C186" s="602">
        <f t="shared" ref="C186:O186" si="75">SUM(C150:C185)</f>
        <v>7777</v>
      </c>
      <c r="D186" s="602">
        <f t="shared" si="75"/>
        <v>7784</v>
      </c>
      <c r="E186" s="602">
        <f t="shared" si="75"/>
        <v>7784.6666666666661</v>
      </c>
      <c r="F186" s="602">
        <f t="shared" si="75"/>
        <v>7803.083333333333</v>
      </c>
      <c r="G186" s="602">
        <f t="shared" si="75"/>
        <v>7810.4999999999991</v>
      </c>
      <c r="H186" s="602">
        <f t="shared" si="75"/>
        <v>7817.1</v>
      </c>
      <c r="I186" s="602">
        <f t="shared" si="75"/>
        <v>7821.8095238095239</v>
      </c>
      <c r="J186" s="602">
        <f t="shared" si="75"/>
        <v>7828.0892857142862</v>
      </c>
      <c r="K186" s="602">
        <f t="shared" si="75"/>
        <v>7831.9722222222217</v>
      </c>
      <c r="L186" s="602">
        <f t="shared" si="75"/>
        <v>7837.0777777777785</v>
      </c>
      <c r="M186" s="602">
        <f t="shared" si="75"/>
        <v>7842.8000000000011</v>
      </c>
      <c r="N186" s="602">
        <f t="shared" si="75"/>
        <v>7849.6515151515141</v>
      </c>
      <c r="O186" s="602">
        <f t="shared" si="75"/>
        <v>93787.750324675319</v>
      </c>
      <c r="R186" s="121"/>
    </row>
    <row r="187" spans="1:18">
      <c r="A187" s="121">
        <f t="shared" si="46"/>
        <v>187</v>
      </c>
      <c r="B187" s="320" t="s">
        <v>200</v>
      </c>
      <c r="C187" s="602"/>
      <c r="D187" s="602"/>
      <c r="E187" s="602"/>
      <c r="F187" s="602"/>
      <c r="G187" s="602"/>
      <c r="H187" s="602"/>
      <c r="I187" s="602"/>
      <c r="J187" s="602"/>
      <c r="K187" s="602"/>
      <c r="L187" s="602"/>
      <c r="M187" s="602"/>
      <c r="N187" s="602"/>
      <c r="O187" s="602"/>
      <c r="R187" s="121"/>
    </row>
    <row r="188" spans="1:18">
      <c r="A188" s="121">
        <f t="shared" si="46"/>
        <v>188</v>
      </c>
      <c r="B188" s="312" t="s">
        <v>114</v>
      </c>
      <c r="C188" s="602">
        <f t="shared" ref="C188:C194" si="76">+C64</f>
        <v>0</v>
      </c>
      <c r="D188" s="602">
        <f t="shared" ref="D188:D194" si="77">AVERAGE(C64:D64)</f>
        <v>0</v>
      </c>
      <c r="E188" s="602">
        <f t="shared" ref="E188:E194" si="78">AVERAGE(C64:E64)</f>
        <v>0</v>
      </c>
      <c r="F188" s="602">
        <f t="shared" ref="F188:F194" si="79">AVERAGE(C64:F64)</f>
        <v>0</v>
      </c>
      <c r="G188" s="602">
        <f t="shared" ref="G188:G194" si="80">AVERAGE(C64:G64)</f>
        <v>0</v>
      </c>
      <c r="H188" s="602">
        <f t="shared" ref="H188:H194" si="81">AVERAGE(C64:H64)</f>
        <v>0</v>
      </c>
      <c r="I188" s="602">
        <f t="shared" ref="I188:I194" si="82">AVERAGE(C64:I64)</f>
        <v>0</v>
      </c>
      <c r="J188" s="602">
        <f t="shared" ref="J188:J194" si="83">AVERAGE(C64:J64)</f>
        <v>0</v>
      </c>
      <c r="K188" s="602">
        <f t="shared" ref="K188:K194" si="84">AVERAGE(C64:K64)</f>
        <v>0</v>
      </c>
      <c r="L188" s="602">
        <f t="shared" ref="L188:L194" si="85">AVERAGE(C64:L64)</f>
        <v>0</v>
      </c>
      <c r="M188" s="602">
        <f t="shared" ref="M188:M194" si="86">AVERAGE(C64:M64)</f>
        <v>0</v>
      </c>
      <c r="N188" s="602">
        <f t="shared" ref="N188:N194" si="87">AVERAGE(C64:N64)</f>
        <v>0</v>
      </c>
      <c r="O188" s="602">
        <f t="shared" ref="O188:O194" si="88">SUM(C188:N188)</f>
        <v>0</v>
      </c>
      <c r="R188" s="121"/>
    </row>
    <row r="189" spans="1:18">
      <c r="A189" s="121">
        <f t="shared" si="46"/>
        <v>189</v>
      </c>
      <c r="B189" s="312" t="s">
        <v>115</v>
      </c>
      <c r="C189" s="602">
        <f t="shared" si="76"/>
        <v>1</v>
      </c>
      <c r="D189" s="602">
        <f t="shared" si="77"/>
        <v>1</v>
      </c>
      <c r="E189" s="602">
        <f t="shared" si="78"/>
        <v>1</v>
      </c>
      <c r="F189" s="602">
        <f t="shared" si="79"/>
        <v>1</v>
      </c>
      <c r="G189" s="602">
        <f t="shared" si="80"/>
        <v>1</v>
      </c>
      <c r="H189" s="602">
        <f t="shared" si="81"/>
        <v>1</v>
      </c>
      <c r="I189" s="602">
        <f t="shared" si="82"/>
        <v>1</v>
      </c>
      <c r="J189" s="602">
        <f t="shared" si="83"/>
        <v>1</v>
      </c>
      <c r="K189" s="602">
        <f t="shared" si="84"/>
        <v>1</v>
      </c>
      <c r="L189" s="602">
        <f t="shared" si="85"/>
        <v>1</v>
      </c>
      <c r="M189" s="602">
        <f t="shared" si="86"/>
        <v>1</v>
      </c>
      <c r="N189" s="602">
        <f t="shared" si="87"/>
        <v>1</v>
      </c>
      <c r="O189" s="602">
        <f t="shared" si="88"/>
        <v>12</v>
      </c>
      <c r="R189" s="121"/>
    </row>
    <row r="190" spans="1:18">
      <c r="A190" s="121">
        <f t="shared" si="46"/>
        <v>190</v>
      </c>
      <c r="B190" s="312" t="s">
        <v>116</v>
      </c>
      <c r="C190" s="602">
        <f t="shared" si="76"/>
        <v>32</v>
      </c>
      <c r="D190" s="602">
        <f t="shared" si="77"/>
        <v>32</v>
      </c>
      <c r="E190" s="602">
        <f t="shared" si="78"/>
        <v>32</v>
      </c>
      <c r="F190" s="602">
        <f t="shared" si="79"/>
        <v>32</v>
      </c>
      <c r="G190" s="602">
        <f t="shared" si="80"/>
        <v>32</v>
      </c>
      <c r="H190" s="602">
        <f t="shared" si="81"/>
        <v>32</v>
      </c>
      <c r="I190" s="602">
        <f t="shared" si="82"/>
        <v>32</v>
      </c>
      <c r="J190" s="602">
        <f t="shared" si="83"/>
        <v>32</v>
      </c>
      <c r="K190" s="602">
        <f t="shared" si="84"/>
        <v>32</v>
      </c>
      <c r="L190" s="602">
        <f t="shared" si="85"/>
        <v>32.1</v>
      </c>
      <c r="M190" s="602">
        <f t="shared" si="86"/>
        <v>32.18181818181818</v>
      </c>
      <c r="N190" s="602">
        <f t="shared" si="87"/>
        <v>32.333333333333336</v>
      </c>
      <c r="O190" s="602">
        <f t="shared" si="88"/>
        <v>384.61515151515152</v>
      </c>
      <c r="R190" s="121"/>
    </row>
    <row r="191" spans="1:18">
      <c r="A191" s="121">
        <f t="shared" si="46"/>
        <v>191</v>
      </c>
      <c r="B191" s="312" t="s">
        <v>117</v>
      </c>
      <c r="C191" s="602">
        <f t="shared" si="76"/>
        <v>5</v>
      </c>
      <c r="D191" s="602">
        <f t="shared" si="77"/>
        <v>5</v>
      </c>
      <c r="E191" s="602">
        <f t="shared" si="78"/>
        <v>5</v>
      </c>
      <c r="F191" s="602">
        <f t="shared" si="79"/>
        <v>5</v>
      </c>
      <c r="G191" s="602">
        <f t="shared" si="80"/>
        <v>5</v>
      </c>
      <c r="H191" s="602">
        <f t="shared" si="81"/>
        <v>5.166666666666667</v>
      </c>
      <c r="I191" s="602">
        <f t="shared" si="82"/>
        <v>5.2857142857142856</v>
      </c>
      <c r="J191" s="602">
        <f t="shared" si="83"/>
        <v>5.375</v>
      </c>
      <c r="K191" s="602">
        <f t="shared" si="84"/>
        <v>5.333333333333333</v>
      </c>
      <c r="L191" s="602">
        <f t="shared" si="85"/>
        <v>5.3</v>
      </c>
      <c r="M191" s="602">
        <f t="shared" si="86"/>
        <v>5.2727272727272725</v>
      </c>
      <c r="N191" s="602">
        <f t="shared" si="87"/>
        <v>5.25</v>
      </c>
      <c r="O191" s="602">
        <f t="shared" si="88"/>
        <v>61.983441558441562</v>
      </c>
      <c r="R191" s="121"/>
    </row>
    <row r="192" spans="1:18">
      <c r="A192" s="121">
        <f t="shared" si="46"/>
        <v>192</v>
      </c>
      <c r="B192" s="312" t="s">
        <v>118</v>
      </c>
      <c r="C192" s="602">
        <f t="shared" si="76"/>
        <v>11</v>
      </c>
      <c r="D192" s="602">
        <f t="shared" si="77"/>
        <v>11</v>
      </c>
      <c r="E192" s="602">
        <f t="shared" si="78"/>
        <v>11</v>
      </c>
      <c r="F192" s="602">
        <f t="shared" si="79"/>
        <v>11</v>
      </c>
      <c r="G192" s="602">
        <f t="shared" si="80"/>
        <v>11</v>
      </c>
      <c r="H192" s="602">
        <f t="shared" si="81"/>
        <v>11</v>
      </c>
      <c r="I192" s="602">
        <f t="shared" si="82"/>
        <v>11</v>
      </c>
      <c r="J192" s="602">
        <f t="shared" si="83"/>
        <v>11</v>
      </c>
      <c r="K192" s="602">
        <f t="shared" si="84"/>
        <v>10.888888888888889</v>
      </c>
      <c r="L192" s="602">
        <f t="shared" si="85"/>
        <v>10.8</v>
      </c>
      <c r="M192" s="602">
        <f t="shared" si="86"/>
        <v>10.727272727272727</v>
      </c>
      <c r="N192" s="602">
        <f t="shared" si="87"/>
        <v>10.666666666666666</v>
      </c>
      <c r="O192" s="602">
        <f t="shared" si="88"/>
        <v>131.08282828282827</v>
      </c>
      <c r="R192" s="121"/>
    </row>
    <row r="193" spans="1:18">
      <c r="A193" s="121">
        <f t="shared" si="46"/>
        <v>193</v>
      </c>
      <c r="B193" s="315" t="s">
        <v>119</v>
      </c>
      <c r="C193" s="602">
        <f t="shared" si="76"/>
        <v>16</v>
      </c>
      <c r="D193" s="602">
        <f t="shared" si="77"/>
        <v>16.5</v>
      </c>
      <c r="E193" s="602">
        <f t="shared" si="78"/>
        <v>16.666666666666668</v>
      </c>
      <c r="F193" s="602">
        <f t="shared" si="79"/>
        <v>16.75</v>
      </c>
      <c r="G193" s="602">
        <f t="shared" si="80"/>
        <v>16.8</v>
      </c>
      <c r="H193" s="602">
        <f t="shared" si="81"/>
        <v>16.833333333333332</v>
      </c>
      <c r="I193" s="602">
        <f t="shared" si="82"/>
        <v>17</v>
      </c>
      <c r="J193" s="602">
        <f t="shared" si="83"/>
        <v>17.125</v>
      </c>
      <c r="K193" s="602">
        <f t="shared" si="84"/>
        <v>17.222222222222221</v>
      </c>
      <c r="L193" s="602">
        <f t="shared" si="85"/>
        <v>17.3</v>
      </c>
      <c r="M193" s="602">
        <f t="shared" si="86"/>
        <v>17.454545454545453</v>
      </c>
      <c r="N193" s="602">
        <f t="shared" si="87"/>
        <v>17.583333333333332</v>
      </c>
      <c r="O193" s="602">
        <f t="shared" si="88"/>
        <v>203.23510101010103</v>
      </c>
      <c r="R193" s="121"/>
    </row>
    <row r="194" spans="1:18">
      <c r="A194" s="121">
        <f t="shared" si="46"/>
        <v>194</v>
      </c>
      <c r="B194" s="321" t="s">
        <v>120</v>
      </c>
      <c r="C194" s="606">
        <f t="shared" si="76"/>
        <v>7</v>
      </c>
      <c r="D194" s="606">
        <f t="shared" si="77"/>
        <v>7</v>
      </c>
      <c r="E194" s="606">
        <f t="shared" si="78"/>
        <v>7</v>
      </c>
      <c r="F194" s="606">
        <f t="shared" si="79"/>
        <v>7</v>
      </c>
      <c r="G194" s="606">
        <f t="shared" si="80"/>
        <v>7</v>
      </c>
      <c r="H194" s="606">
        <f t="shared" si="81"/>
        <v>7</v>
      </c>
      <c r="I194" s="606">
        <f t="shared" si="82"/>
        <v>7</v>
      </c>
      <c r="J194" s="606">
        <f t="shared" si="83"/>
        <v>7</v>
      </c>
      <c r="K194" s="606">
        <f t="shared" si="84"/>
        <v>7</v>
      </c>
      <c r="L194" s="606">
        <f t="shared" si="85"/>
        <v>7</v>
      </c>
      <c r="M194" s="606">
        <f t="shared" si="86"/>
        <v>7</v>
      </c>
      <c r="N194" s="606">
        <f t="shared" si="87"/>
        <v>7</v>
      </c>
      <c r="O194" s="606">
        <f t="shared" si="88"/>
        <v>84</v>
      </c>
      <c r="R194" s="121"/>
    </row>
    <row r="195" spans="1:18">
      <c r="A195" s="121">
        <f t="shared" ref="A195:A244" si="89">+A194+1</f>
        <v>195</v>
      </c>
      <c r="B195" s="322" t="s">
        <v>202</v>
      </c>
      <c r="C195" s="602">
        <f t="shared" ref="C195:O195" si="90">SUM(C188:C194)</f>
        <v>72</v>
      </c>
      <c r="D195" s="602">
        <f t="shared" si="90"/>
        <v>72.5</v>
      </c>
      <c r="E195" s="602">
        <f t="shared" si="90"/>
        <v>72.666666666666671</v>
      </c>
      <c r="F195" s="602">
        <f t="shared" si="90"/>
        <v>72.75</v>
      </c>
      <c r="G195" s="602">
        <f t="shared" si="90"/>
        <v>72.8</v>
      </c>
      <c r="H195" s="602">
        <f t="shared" si="90"/>
        <v>73</v>
      </c>
      <c r="I195" s="602">
        <f t="shared" si="90"/>
        <v>73.285714285714278</v>
      </c>
      <c r="J195" s="602">
        <f t="shared" si="90"/>
        <v>73.5</v>
      </c>
      <c r="K195" s="602">
        <f t="shared" si="90"/>
        <v>73.444444444444457</v>
      </c>
      <c r="L195" s="602">
        <f t="shared" si="90"/>
        <v>73.5</v>
      </c>
      <c r="M195" s="602">
        <f t="shared" si="90"/>
        <v>73.636363636363626</v>
      </c>
      <c r="N195" s="602">
        <f t="shared" si="90"/>
        <v>73.833333333333329</v>
      </c>
      <c r="O195" s="602">
        <f t="shared" si="90"/>
        <v>876.91652236652237</v>
      </c>
      <c r="R195" s="121"/>
    </row>
    <row r="196" spans="1:18">
      <c r="A196" s="121">
        <f t="shared" si="89"/>
        <v>196</v>
      </c>
      <c r="B196" s="320" t="s">
        <v>203</v>
      </c>
      <c r="C196" s="602"/>
      <c r="D196" s="602"/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R196" s="121"/>
    </row>
    <row r="197" spans="1:18">
      <c r="A197" s="121">
        <f t="shared" si="89"/>
        <v>197</v>
      </c>
      <c r="B197" s="127" t="s">
        <v>204</v>
      </c>
      <c r="C197" s="602">
        <f t="shared" ref="C197:C204" si="91">+C73</f>
        <v>2</v>
      </c>
      <c r="D197" s="602">
        <f>AVERAGE(C73:D73)</f>
        <v>2</v>
      </c>
      <c r="E197" s="602">
        <f>AVERAGE(C73:E73)</f>
        <v>2</v>
      </c>
      <c r="F197" s="602">
        <f>AVERAGE(C73:F73)</f>
        <v>2</v>
      </c>
      <c r="G197" s="602">
        <f>AVERAGE(C73:G73)</f>
        <v>2</v>
      </c>
      <c r="H197" s="602">
        <f>AVERAGE(C73:H73)</f>
        <v>2</v>
      </c>
      <c r="I197" s="602">
        <f>AVERAGE(C73:I73)</f>
        <v>2</v>
      </c>
      <c r="J197" s="602">
        <f>AVERAGE(C73:J73)</f>
        <v>2</v>
      </c>
      <c r="K197" s="602">
        <f>AVERAGE(C73:K73)</f>
        <v>2</v>
      </c>
      <c r="L197" s="602">
        <f>AVERAGE(C73:L73)</f>
        <v>2</v>
      </c>
      <c r="M197" s="602">
        <f>AVERAGE(C73:M73)</f>
        <v>2</v>
      </c>
      <c r="N197" s="602">
        <f>AVERAGE(C73:N73)</f>
        <v>2</v>
      </c>
      <c r="O197" s="602">
        <f t="shared" ref="O197:O205" si="92">SUM(C197:N197)</f>
        <v>24</v>
      </c>
      <c r="R197" s="121"/>
    </row>
    <row r="198" spans="1:18">
      <c r="A198" s="121">
        <f t="shared" si="89"/>
        <v>198</v>
      </c>
      <c r="B198" s="127" t="s">
        <v>206</v>
      </c>
      <c r="C198" s="602">
        <f t="shared" si="91"/>
        <v>1</v>
      </c>
      <c r="D198" s="602">
        <f>AVERAGE(C74:D74)</f>
        <v>1</v>
      </c>
      <c r="E198" s="602">
        <f>AVERAGE(C74:E74)</f>
        <v>1</v>
      </c>
      <c r="F198" s="602">
        <f>AVERAGE(C74:F74)</f>
        <v>1</v>
      </c>
      <c r="G198" s="602">
        <f>AVERAGE(C74:G74)</f>
        <v>1</v>
      </c>
      <c r="H198" s="602">
        <f>AVERAGE(C74:H74)</f>
        <v>1</v>
      </c>
      <c r="I198" s="602">
        <f>AVERAGE(C74:I74)</f>
        <v>1</v>
      </c>
      <c r="J198" s="602">
        <f>AVERAGE(C74:J74)</f>
        <v>1</v>
      </c>
      <c r="K198" s="602">
        <f>AVERAGE(C74:K74)</f>
        <v>1</v>
      </c>
      <c r="L198" s="602">
        <f>AVERAGE(C74:L74)</f>
        <v>1</v>
      </c>
      <c r="M198" s="602">
        <f>AVERAGE(C74:M74)</f>
        <v>1</v>
      </c>
      <c r="N198" s="602">
        <f>AVERAGE(C74:N74)</f>
        <v>1</v>
      </c>
      <c r="O198" s="602">
        <f t="shared" si="92"/>
        <v>12</v>
      </c>
      <c r="R198" s="121"/>
    </row>
    <row r="199" spans="1:18">
      <c r="A199" s="121">
        <f t="shared" si="89"/>
        <v>199</v>
      </c>
      <c r="B199" s="127" t="s">
        <v>207</v>
      </c>
      <c r="C199" s="602">
        <f t="shared" si="91"/>
        <v>1</v>
      </c>
      <c r="D199" s="602">
        <f>AVERAGE(C75:D75)</f>
        <v>1</v>
      </c>
      <c r="E199" s="602">
        <f>AVERAGE(C75:E75)</f>
        <v>1</v>
      </c>
      <c r="F199" s="602">
        <f>AVERAGE(C75:F75)</f>
        <v>1</v>
      </c>
      <c r="G199" s="602">
        <f>AVERAGE(C75:G75)</f>
        <v>1</v>
      </c>
      <c r="H199" s="602">
        <f>AVERAGE(C75:H75)</f>
        <v>1</v>
      </c>
      <c r="I199" s="602">
        <f>AVERAGE(C75:I75)</f>
        <v>1</v>
      </c>
      <c r="J199" s="602">
        <f>AVERAGE(C75:J75)</f>
        <v>1</v>
      </c>
      <c r="K199" s="602">
        <f>AVERAGE(C75:K75)</f>
        <v>1</v>
      </c>
      <c r="L199" s="602">
        <f>AVERAGE(C75:L75)</f>
        <v>1</v>
      </c>
      <c r="M199" s="602">
        <f>AVERAGE(C75:M75)</f>
        <v>1</v>
      </c>
      <c r="N199" s="602">
        <f>AVERAGE(C75:N75)</f>
        <v>1</v>
      </c>
      <c r="O199" s="602">
        <f t="shared" si="92"/>
        <v>12</v>
      </c>
      <c r="R199" s="121"/>
    </row>
    <row r="200" spans="1:18">
      <c r="A200" s="121">
        <f t="shared" si="89"/>
        <v>200</v>
      </c>
      <c r="B200" s="127" t="s">
        <v>208</v>
      </c>
      <c r="C200" s="602">
        <f t="shared" si="91"/>
        <v>1</v>
      </c>
      <c r="D200" s="602">
        <f>AVERAGE(C76:D76)</f>
        <v>1</v>
      </c>
      <c r="E200" s="602">
        <f>AVERAGE(C76:E76)</f>
        <v>1</v>
      </c>
      <c r="F200" s="602">
        <f>AVERAGE(C76:F76)</f>
        <v>1</v>
      </c>
      <c r="G200" s="602">
        <f>AVERAGE(C76:G76)</f>
        <v>1</v>
      </c>
      <c r="H200" s="602">
        <f>AVERAGE(C76:H76)</f>
        <v>1</v>
      </c>
      <c r="I200" s="602">
        <f>AVERAGE(C76:I76)</f>
        <v>1</v>
      </c>
      <c r="J200" s="602">
        <f>AVERAGE(C76:J76)</f>
        <v>1</v>
      </c>
      <c r="K200" s="602">
        <f>AVERAGE(C76:K76)</f>
        <v>1</v>
      </c>
      <c r="L200" s="602">
        <f>AVERAGE(C76:L76)</f>
        <v>1</v>
      </c>
      <c r="M200" s="602">
        <f>AVERAGE(C76:M76)</f>
        <v>1</v>
      </c>
      <c r="N200" s="602">
        <f>AVERAGE(C76:N76)</f>
        <v>1</v>
      </c>
      <c r="O200" s="602">
        <f t="shared" si="92"/>
        <v>12</v>
      </c>
      <c r="R200" s="121"/>
    </row>
    <row r="201" spans="1:18">
      <c r="A201" s="121">
        <f t="shared" si="89"/>
        <v>201</v>
      </c>
      <c r="B201" s="127" t="s">
        <v>209</v>
      </c>
      <c r="C201" s="602">
        <f t="shared" si="91"/>
        <v>1</v>
      </c>
      <c r="D201" s="602">
        <f>AVERAGE(C77:D77)</f>
        <v>1</v>
      </c>
      <c r="E201" s="602">
        <f>AVERAGE(C77:E77)</f>
        <v>1</v>
      </c>
      <c r="F201" s="602">
        <f>AVERAGE(C77:F77)</f>
        <v>1</v>
      </c>
      <c r="G201" s="602">
        <f>AVERAGE(C77:G77)</f>
        <v>1</v>
      </c>
      <c r="H201" s="602">
        <f>AVERAGE(C77:H77)</f>
        <v>1</v>
      </c>
      <c r="I201" s="602">
        <f>AVERAGE(C77:I77)</f>
        <v>1</v>
      </c>
      <c r="J201" s="602">
        <f>AVERAGE(C77:J77)</f>
        <v>1</v>
      </c>
      <c r="K201" s="602">
        <f>AVERAGE(C77:K77)</f>
        <v>0.88888888888888884</v>
      </c>
      <c r="L201" s="602">
        <f>AVERAGE(C77:L77)</f>
        <v>0.8</v>
      </c>
      <c r="M201" s="602">
        <f>AVERAGE(C77:M77)</f>
        <v>0.72727272727272729</v>
      </c>
      <c r="N201" s="602">
        <f>AVERAGE(C77:N77)</f>
        <v>0.66666666666666663</v>
      </c>
      <c r="O201" s="602">
        <f t="shared" si="92"/>
        <v>11.082828282828283</v>
      </c>
      <c r="R201" s="121"/>
    </row>
    <row r="202" spans="1:18">
      <c r="A202" s="121">
        <f t="shared" si="89"/>
        <v>202</v>
      </c>
      <c r="B202" s="127" t="s">
        <v>210</v>
      </c>
      <c r="C202" s="602">
        <f t="shared" si="91"/>
        <v>1</v>
      </c>
      <c r="D202" s="602">
        <f>IFERROR(AVERAGE($C$78:D78),0)</f>
        <v>1</v>
      </c>
      <c r="E202" s="602">
        <f>IFERROR(AVERAGE($C$78:E78),0)</f>
        <v>1</v>
      </c>
      <c r="F202" s="602">
        <f>IFERROR(AVERAGE($C$78:F78),0)</f>
        <v>1</v>
      </c>
      <c r="G202" s="602">
        <f>IFERROR(AVERAGE($C$78:G78),0)</f>
        <v>1</v>
      </c>
      <c r="H202" s="602">
        <f>IFERROR(AVERAGE($C$78:H78),0)</f>
        <v>1</v>
      </c>
      <c r="I202" s="602">
        <f>IFERROR(AVERAGE($C$78:I78),0)</f>
        <v>1</v>
      </c>
      <c r="J202" s="602">
        <f>IFERROR(AVERAGE($C$78:J78),0)</f>
        <v>1</v>
      </c>
      <c r="K202" s="602">
        <f>IFERROR(AVERAGE($C$78:K78),0)</f>
        <v>1</v>
      </c>
      <c r="L202" s="602">
        <f>IFERROR(AVERAGE($C$78:L78),0)</f>
        <v>1</v>
      </c>
      <c r="M202" s="602">
        <f>IFERROR(AVERAGE($C$78:M78),0)</f>
        <v>1</v>
      </c>
      <c r="N202" s="602">
        <f>IFERROR(AVERAGE($C$78:N78),0)</f>
        <v>1</v>
      </c>
      <c r="O202" s="602">
        <f>IFERROR(AVERAGE($C$78:O78),0)</f>
        <v>1</v>
      </c>
      <c r="R202" s="121"/>
    </row>
    <row r="203" spans="1:18">
      <c r="A203" s="121">
        <f t="shared" si="89"/>
        <v>203</v>
      </c>
      <c r="B203" s="127" t="s">
        <v>211</v>
      </c>
      <c r="C203" s="602">
        <f t="shared" si="91"/>
        <v>1</v>
      </c>
      <c r="D203" s="602">
        <f>AVERAGE(C79:D79)</f>
        <v>1</v>
      </c>
      <c r="E203" s="602">
        <f>AVERAGE(C79:E79)</f>
        <v>1</v>
      </c>
      <c r="F203" s="602">
        <f>AVERAGE(C79:F79)</f>
        <v>1</v>
      </c>
      <c r="G203" s="602">
        <f>AVERAGE(C79:G79)</f>
        <v>1</v>
      </c>
      <c r="H203" s="602">
        <f>AVERAGE(C79:H79)</f>
        <v>1</v>
      </c>
      <c r="I203" s="602">
        <f>AVERAGE(C79:I79)</f>
        <v>1</v>
      </c>
      <c r="J203" s="602">
        <f>AVERAGE(C79:J79)</f>
        <v>1</v>
      </c>
      <c r="K203" s="602">
        <f>AVERAGE(C79:K79)</f>
        <v>1</v>
      </c>
      <c r="L203" s="602">
        <f>AVERAGE(C79:L79)</f>
        <v>1</v>
      </c>
      <c r="M203" s="602">
        <f>AVERAGE(C79:M79)</f>
        <v>1</v>
      </c>
      <c r="N203" s="602">
        <f>AVERAGE(C79:N79)</f>
        <v>1</v>
      </c>
      <c r="O203" s="602">
        <f t="shared" si="92"/>
        <v>12</v>
      </c>
      <c r="R203" s="121"/>
    </row>
    <row r="204" spans="1:18">
      <c r="A204" s="121">
        <f t="shared" si="89"/>
        <v>204</v>
      </c>
      <c r="B204" s="127" t="s">
        <v>212</v>
      </c>
      <c r="C204" s="602">
        <f t="shared" si="91"/>
        <v>1</v>
      </c>
      <c r="D204" s="602">
        <f>AVERAGE(C80:D80)</f>
        <v>1</v>
      </c>
      <c r="E204" s="602">
        <f>AVERAGE(C80:E80)</f>
        <v>1</v>
      </c>
      <c r="F204" s="602">
        <f>AVERAGE(C80:F80)</f>
        <v>1</v>
      </c>
      <c r="G204" s="602">
        <f>AVERAGE(C80:G80)</f>
        <v>1</v>
      </c>
      <c r="H204" s="602">
        <f>AVERAGE(C80:H80)</f>
        <v>1</v>
      </c>
      <c r="I204" s="602">
        <f>AVERAGE(C80:I80)</f>
        <v>1</v>
      </c>
      <c r="J204" s="602">
        <f>AVERAGE(C80:J80)</f>
        <v>1</v>
      </c>
      <c r="K204" s="602">
        <f>AVERAGE(C80:K80)</f>
        <v>1</v>
      </c>
      <c r="L204" s="602">
        <f>AVERAGE(C80:L80)</f>
        <v>1</v>
      </c>
      <c r="M204" s="602">
        <f>AVERAGE(C80:M80)</f>
        <v>1</v>
      </c>
      <c r="N204" s="602">
        <f>AVERAGE(C80:N80)</f>
        <v>1</v>
      </c>
      <c r="O204" s="602">
        <f t="shared" si="92"/>
        <v>12</v>
      </c>
      <c r="R204" s="121"/>
    </row>
    <row r="205" spans="1:18">
      <c r="A205" s="121">
        <f t="shared" si="89"/>
        <v>205</v>
      </c>
      <c r="B205" s="323" t="s">
        <v>214</v>
      </c>
      <c r="C205" s="606">
        <f>+C86</f>
        <v>1</v>
      </c>
      <c r="D205" s="606">
        <f>AVERAGE(C86:D86)</f>
        <v>1</v>
      </c>
      <c r="E205" s="606">
        <f>AVERAGE(C86:E86)</f>
        <v>1</v>
      </c>
      <c r="F205" s="606">
        <f>AVERAGE(C86:F86)</f>
        <v>1</v>
      </c>
      <c r="G205" s="606">
        <f>AVERAGE(C86:G86)</f>
        <v>1</v>
      </c>
      <c r="H205" s="606">
        <f>AVERAGE(C86:H86)</f>
        <v>1</v>
      </c>
      <c r="I205" s="606">
        <f>AVERAGE(C86:I86)</f>
        <v>1</v>
      </c>
      <c r="J205" s="606">
        <f>AVERAGE(C86:J86)</f>
        <v>1</v>
      </c>
      <c r="K205" s="606">
        <f>AVERAGE(C86:K86)</f>
        <v>1</v>
      </c>
      <c r="L205" s="606">
        <f>AVERAGE(C86:L86)</f>
        <v>1</v>
      </c>
      <c r="M205" s="606">
        <f>AVERAGE(C86:M86)</f>
        <v>1</v>
      </c>
      <c r="N205" s="606">
        <f>AVERAGE(C86:N86)</f>
        <v>1</v>
      </c>
      <c r="O205" s="606">
        <f t="shared" si="92"/>
        <v>12</v>
      </c>
      <c r="R205" s="121"/>
    </row>
    <row r="206" spans="1:18">
      <c r="A206" s="121">
        <f t="shared" si="89"/>
        <v>206</v>
      </c>
      <c r="B206" s="322" t="s">
        <v>221</v>
      </c>
      <c r="C206" s="602">
        <f t="shared" ref="C206:O206" si="93">SUM(C197:C205)</f>
        <v>10</v>
      </c>
      <c r="D206" s="602">
        <f t="shared" si="93"/>
        <v>10</v>
      </c>
      <c r="E206" s="602">
        <f t="shared" si="93"/>
        <v>10</v>
      </c>
      <c r="F206" s="602">
        <f t="shared" si="93"/>
        <v>10</v>
      </c>
      <c r="G206" s="602">
        <f t="shared" si="93"/>
        <v>10</v>
      </c>
      <c r="H206" s="602">
        <f t="shared" si="93"/>
        <v>10</v>
      </c>
      <c r="I206" s="602">
        <f t="shared" si="93"/>
        <v>10</v>
      </c>
      <c r="J206" s="602">
        <f t="shared" si="93"/>
        <v>10</v>
      </c>
      <c r="K206" s="602">
        <f t="shared" si="93"/>
        <v>9.8888888888888893</v>
      </c>
      <c r="L206" s="602">
        <f t="shared" si="93"/>
        <v>9.8000000000000007</v>
      </c>
      <c r="M206" s="602">
        <f t="shared" si="93"/>
        <v>9.7272727272727266</v>
      </c>
      <c r="N206" s="602">
        <f t="shared" si="93"/>
        <v>9.6666666666666679</v>
      </c>
      <c r="O206" s="602">
        <f t="shared" si="93"/>
        <v>108.08282828282829</v>
      </c>
      <c r="R206" s="121"/>
    </row>
    <row r="207" spans="1:18">
      <c r="A207" s="121">
        <f t="shared" si="89"/>
        <v>207</v>
      </c>
      <c r="B207" s="320" t="s">
        <v>222</v>
      </c>
      <c r="C207" s="602"/>
      <c r="D207" s="602"/>
      <c r="E207" s="602"/>
      <c r="F207" s="602"/>
      <c r="G207" s="602"/>
      <c r="H207" s="602"/>
      <c r="I207" s="602"/>
      <c r="J207" s="602"/>
      <c r="K207" s="602"/>
      <c r="L207" s="602"/>
      <c r="M207" s="602"/>
      <c r="N207" s="602"/>
      <c r="O207" s="602"/>
      <c r="R207" s="121"/>
    </row>
    <row r="208" spans="1:18">
      <c r="A208" s="121">
        <f t="shared" si="89"/>
        <v>208</v>
      </c>
      <c r="B208" s="323" t="s">
        <v>214</v>
      </c>
      <c r="C208" s="602">
        <v>0</v>
      </c>
      <c r="D208" s="602">
        <v>0</v>
      </c>
      <c r="E208" s="602">
        <v>0</v>
      </c>
      <c r="F208" s="602">
        <v>0</v>
      </c>
      <c r="G208" s="602">
        <v>0</v>
      </c>
      <c r="H208" s="602">
        <v>0</v>
      </c>
      <c r="I208" s="602">
        <v>0</v>
      </c>
      <c r="J208" s="602">
        <v>0</v>
      </c>
      <c r="K208" s="602">
        <v>0</v>
      </c>
      <c r="L208" s="602">
        <v>0</v>
      </c>
      <c r="M208" s="602">
        <v>0</v>
      </c>
      <c r="N208" s="602">
        <v>0</v>
      </c>
      <c r="O208" s="602">
        <f>SUM(C208:N208)</f>
        <v>0</v>
      </c>
      <c r="R208" s="121"/>
    </row>
    <row r="209" spans="1:18">
      <c r="A209" s="121">
        <f t="shared" si="89"/>
        <v>209</v>
      </c>
      <c r="B209" s="127" t="s">
        <v>223</v>
      </c>
      <c r="C209" s="602">
        <f>+C90</f>
        <v>1</v>
      </c>
      <c r="D209" s="602">
        <f>AVERAGE(C90:D90)</f>
        <v>1</v>
      </c>
      <c r="E209" s="602">
        <f>AVERAGE(C90:E90)</f>
        <v>1</v>
      </c>
      <c r="F209" s="602">
        <f>AVERAGE(C90:F90)</f>
        <v>1</v>
      </c>
      <c r="G209" s="602">
        <f>AVERAGE(C90:G90)</f>
        <v>1</v>
      </c>
      <c r="H209" s="602">
        <f>AVERAGE(C90:H90)</f>
        <v>1</v>
      </c>
      <c r="I209" s="602">
        <f>AVERAGE(C90:I90)</f>
        <v>1</v>
      </c>
      <c r="J209" s="602">
        <f>AVERAGE(C90:J90)</f>
        <v>1</v>
      </c>
      <c r="K209" s="602">
        <f>AVERAGE(C90:K90)</f>
        <v>1</v>
      </c>
      <c r="L209" s="602">
        <f>AVERAGE(C90:L90)</f>
        <v>1</v>
      </c>
      <c r="M209" s="602">
        <f>AVERAGE(C90:M90)</f>
        <v>1</v>
      </c>
      <c r="N209" s="602">
        <f>AVERAGE(C90:N90)</f>
        <v>1</v>
      </c>
      <c r="O209" s="602">
        <f>SUM(C209:N209)</f>
        <v>12</v>
      </c>
      <c r="R209" s="121"/>
    </row>
    <row r="210" spans="1:18">
      <c r="A210" s="121">
        <f t="shared" si="89"/>
        <v>210</v>
      </c>
      <c r="B210" s="127" t="s">
        <v>224</v>
      </c>
      <c r="C210" s="602">
        <f>+C91</f>
        <v>1</v>
      </c>
      <c r="D210" s="602">
        <f>AVERAGE(C91:D91)</f>
        <v>1</v>
      </c>
      <c r="E210" s="602">
        <f>AVERAGE(C91:E91)</f>
        <v>1</v>
      </c>
      <c r="F210" s="602">
        <f>AVERAGE(C91:F91)</f>
        <v>1</v>
      </c>
      <c r="G210" s="602">
        <f>AVERAGE(C91:G91)</f>
        <v>1</v>
      </c>
      <c r="H210" s="602">
        <f>AVERAGE(C91:H91)</f>
        <v>1</v>
      </c>
      <c r="I210" s="602">
        <f>AVERAGE(C91:I91)</f>
        <v>1</v>
      </c>
      <c r="J210" s="602">
        <f>AVERAGE(C91:J91)</f>
        <v>1</v>
      </c>
      <c r="K210" s="602">
        <f>AVERAGE(C91:K91)</f>
        <v>1</v>
      </c>
      <c r="L210" s="602">
        <f>AVERAGE(C91:L91)</f>
        <v>1</v>
      </c>
      <c r="M210" s="602">
        <f>AVERAGE(C91:M91)</f>
        <v>1</v>
      </c>
      <c r="N210" s="602">
        <f>AVERAGE(C91:N91)</f>
        <v>1</v>
      </c>
      <c r="O210" s="602">
        <f>SUM(C210:N210)</f>
        <v>12</v>
      </c>
      <c r="R210" s="121"/>
    </row>
    <row r="211" spans="1:18">
      <c r="A211" s="121">
        <f t="shared" si="89"/>
        <v>211</v>
      </c>
      <c r="B211" s="322" t="s">
        <v>226</v>
      </c>
      <c r="C211" s="604">
        <f t="shared" ref="C211:N211" si="94">SUM(C208:C209)</f>
        <v>1</v>
      </c>
      <c r="D211" s="604">
        <f t="shared" si="94"/>
        <v>1</v>
      </c>
      <c r="E211" s="604">
        <f t="shared" si="94"/>
        <v>1</v>
      </c>
      <c r="F211" s="604">
        <f t="shared" si="94"/>
        <v>1</v>
      </c>
      <c r="G211" s="604">
        <f t="shared" si="94"/>
        <v>1</v>
      </c>
      <c r="H211" s="604">
        <f t="shared" si="94"/>
        <v>1</v>
      </c>
      <c r="I211" s="604">
        <f t="shared" si="94"/>
        <v>1</v>
      </c>
      <c r="J211" s="604">
        <f t="shared" si="94"/>
        <v>1</v>
      </c>
      <c r="K211" s="604">
        <f t="shared" si="94"/>
        <v>1</v>
      </c>
      <c r="L211" s="604">
        <f t="shared" si="94"/>
        <v>1</v>
      </c>
      <c r="M211" s="604">
        <f t="shared" si="94"/>
        <v>1</v>
      </c>
      <c r="N211" s="604">
        <f t="shared" si="94"/>
        <v>1</v>
      </c>
      <c r="O211" s="604">
        <f>SUM(C211:N211)</f>
        <v>12</v>
      </c>
      <c r="R211" s="121"/>
    </row>
    <row r="212" spans="1:18">
      <c r="A212" s="121">
        <f t="shared" si="89"/>
        <v>212</v>
      </c>
      <c r="B212" s="320" t="s">
        <v>227</v>
      </c>
      <c r="C212" s="602"/>
      <c r="D212" s="602"/>
      <c r="E212" s="602"/>
      <c r="F212" s="602"/>
      <c r="G212" s="602"/>
      <c r="H212" s="602"/>
      <c r="I212" s="602"/>
      <c r="J212" s="602"/>
      <c r="K212" s="602"/>
      <c r="L212" s="602"/>
      <c r="M212" s="602"/>
      <c r="N212" s="602"/>
      <c r="O212" s="602"/>
      <c r="R212" s="121"/>
    </row>
    <row r="213" spans="1:18">
      <c r="A213" s="121">
        <f t="shared" si="89"/>
        <v>213</v>
      </c>
      <c r="B213" s="127"/>
      <c r="C213" s="602"/>
      <c r="D213" s="602"/>
      <c r="E213" s="602"/>
      <c r="F213" s="602"/>
      <c r="G213" s="602"/>
      <c r="H213" s="602"/>
      <c r="I213" s="602"/>
      <c r="J213" s="602"/>
      <c r="K213" s="602"/>
      <c r="L213" s="602"/>
      <c r="M213" s="602"/>
      <c r="N213" s="602"/>
      <c r="O213" s="602"/>
      <c r="R213" s="121"/>
    </row>
    <row r="214" spans="1:18">
      <c r="A214" s="121">
        <f t="shared" si="89"/>
        <v>214</v>
      </c>
      <c r="B214" s="127" t="s">
        <v>207</v>
      </c>
      <c r="C214" s="606">
        <f>+C96</f>
        <v>0</v>
      </c>
      <c r="D214" s="606">
        <f>AVERAGE(C96:D96)</f>
        <v>0</v>
      </c>
      <c r="E214" s="606">
        <f>AVERAGE(C96:E96)</f>
        <v>0</v>
      </c>
      <c r="F214" s="606">
        <f>AVERAGE(C96:F96)</f>
        <v>0</v>
      </c>
      <c r="G214" s="606">
        <f>AVERAGE(C96:G96)</f>
        <v>0</v>
      </c>
      <c r="H214" s="606">
        <f>AVERAGE(C96:H96)</f>
        <v>0</v>
      </c>
      <c r="I214" s="606">
        <f>AVERAGE(C96:I96)</f>
        <v>0</v>
      </c>
      <c r="J214" s="606">
        <f>AVERAGE(C96:J96)</f>
        <v>0</v>
      </c>
      <c r="K214" s="606">
        <f>AVERAGE(C96:K96)</f>
        <v>0</v>
      </c>
      <c r="L214" s="606">
        <f>AVERAGE(C96:L96)</f>
        <v>0</v>
      </c>
      <c r="M214" s="606">
        <f>AVERAGE(C96:M96)</f>
        <v>0</v>
      </c>
      <c r="N214" s="606">
        <f>AVERAGE(C96:N96)</f>
        <v>0</v>
      </c>
      <c r="O214" s="606">
        <f>SUM(C214:N214)</f>
        <v>0</v>
      </c>
      <c r="R214" s="121"/>
    </row>
    <row r="215" spans="1:18">
      <c r="A215" s="121">
        <f t="shared" si="89"/>
        <v>215</v>
      </c>
      <c r="B215" s="322" t="s">
        <v>228</v>
      </c>
      <c r="C215" s="602">
        <f t="shared" ref="C215:O215" si="95">SUM(C213:C214)</f>
        <v>0</v>
      </c>
      <c r="D215" s="602">
        <f t="shared" si="95"/>
        <v>0</v>
      </c>
      <c r="E215" s="602">
        <f t="shared" si="95"/>
        <v>0</v>
      </c>
      <c r="F215" s="602">
        <f t="shared" si="95"/>
        <v>0</v>
      </c>
      <c r="G215" s="602">
        <f t="shared" si="95"/>
        <v>0</v>
      </c>
      <c r="H215" s="602">
        <f t="shared" si="95"/>
        <v>0</v>
      </c>
      <c r="I215" s="602">
        <f t="shared" si="95"/>
        <v>0</v>
      </c>
      <c r="J215" s="602">
        <f t="shared" si="95"/>
        <v>0</v>
      </c>
      <c r="K215" s="602">
        <f t="shared" si="95"/>
        <v>0</v>
      </c>
      <c r="L215" s="602">
        <f t="shared" si="95"/>
        <v>0</v>
      </c>
      <c r="M215" s="602">
        <f t="shared" si="95"/>
        <v>0</v>
      </c>
      <c r="N215" s="602">
        <f t="shared" si="95"/>
        <v>0</v>
      </c>
      <c r="O215" s="602">
        <f t="shared" si="95"/>
        <v>0</v>
      </c>
      <c r="R215" s="121"/>
    </row>
    <row r="216" spans="1:18">
      <c r="A216" s="121">
        <f t="shared" si="89"/>
        <v>216</v>
      </c>
      <c r="B216" s="322"/>
      <c r="C216" s="602"/>
      <c r="D216" s="602"/>
      <c r="E216" s="602"/>
      <c r="F216" s="602"/>
      <c r="G216" s="602"/>
      <c r="H216" s="602"/>
      <c r="I216" s="602"/>
      <c r="J216" s="602"/>
      <c r="K216" s="602"/>
      <c r="L216" s="602"/>
      <c r="M216" s="602"/>
      <c r="N216" s="602"/>
      <c r="O216" s="602"/>
      <c r="R216" s="121"/>
    </row>
    <row r="217" spans="1:18">
      <c r="A217" s="121">
        <f t="shared" si="89"/>
        <v>217</v>
      </c>
      <c r="B217" s="324" t="s">
        <v>229</v>
      </c>
      <c r="C217" s="607">
        <f t="shared" ref="C217:O217" si="96">+C139+C148+C186+C195+C206+C211+C215</f>
        <v>81504</v>
      </c>
      <c r="D217" s="607">
        <f t="shared" si="96"/>
        <v>81584</v>
      </c>
      <c r="E217" s="607">
        <f t="shared" si="96"/>
        <v>81685.666666666672</v>
      </c>
      <c r="F217" s="607">
        <f t="shared" si="96"/>
        <v>81912.833333333328</v>
      </c>
      <c r="G217" s="607">
        <f t="shared" si="96"/>
        <v>82037.100000000006</v>
      </c>
      <c r="H217" s="607">
        <f t="shared" si="96"/>
        <v>82163.933333333334</v>
      </c>
      <c r="I217" s="607">
        <f t="shared" si="96"/>
        <v>82355.095238095222</v>
      </c>
      <c r="J217" s="607">
        <f t="shared" si="96"/>
        <v>82449.33928571429</v>
      </c>
      <c r="K217" s="607">
        <f t="shared" si="96"/>
        <v>82538.416666666672</v>
      </c>
      <c r="L217" s="607">
        <f t="shared" si="96"/>
        <v>82624.377777777787</v>
      </c>
      <c r="M217" s="607">
        <f t="shared" si="96"/>
        <v>82726.8</v>
      </c>
      <c r="N217" s="607">
        <f t="shared" si="96"/>
        <v>82848.65151515152</v>
      </c>
      <c r="O217" s="608">
        <f t="shared" si="96"/>
        <v>986419.21381673892</v>
      </c>
      <c r="R217" s="121"/>
    </row>
    <row r="218" spans="1:18">
      <c r="A218" s="121">
        <f t="shared" si="89"/>
        <v>218</v>
      </c>
      <c r="B218" s="327" t="s">
        <v>230</v>
      </c>
      <c r="C218" s="602"/>
      <c r="D218" s="602"/>
      <c r="E218" s="602"/>
      <c r="F218" s="602"/>
      <c r="G218" s="602"/>
      <c r="H218" s="602"/>
      <c r="I218" s="602"/>
      <c r="J218" s="602"/>
      <c r="K218" s="602"/>
      <c r="L218" s="602"/>
      <c r="M218" s="602"/>
      <c r="N218" s="602"/>
      <c r="O218" s="602"/>
      <c r="R218" s="121"/>
    </row>
    <row r="219" spans="1:18">
      <c r="A219" s="121">
        <f t="shared" si="89"/>
        <v>219</v>
      </c>
      <c r="B219" s="127" t="s">
        <v>232</v>
      </c>
      <c r="C219" s="602">
        <f>+C101</f>
        <v>1</v>
      </c>
      <c r="D219" s="602">
        <f>AVERAGE(C101:D101)</f>
        <v>1</v>
      </c>
      <c r="E219" s="602">
        <f>AVERAGE(C101:E101)</f>
        <v>1</v>
      </c>
      <c r="F219" s="602">
        <f>AVERAGE(C101:F101)</f>
        <v>1</v>
      </c>
      <c r="G219" s="602">
        <f>AVERAGE(C101:G101)</f>
        <v>1</v>
      </c>
      <c r="H219" s="602">
        <f>AVERAGE(C101:H101)</f>
        <v>1</v>
      </c>
      <c r="I219" s="602">
        <f>AVERAGE(C101:I101)</f>
        <v>1</v>
      </c>
      <c r="J219" s="602">
        <f>AVERAGE(C101:J101)</f>
        <v>1</v>
      </c>
      <c r="K219" s="602">
        <f>AVERAGE(C101:K101)</f>
        <v>1</v>
      </c>
      <c r="L219" s="602">
        <f>AVERAGE(C101:L101)</f>
        <v>1</v>
      </c>
      <c r="M219" s="602">
        <f>AVERAGE(C101:M101)</f>
        <v>1</v>
      </c>
      <c r="N219" s="602">
        <f>AVERAGE(C101:N101)</f>
        <v>1</v>
      </c>
      <c r="O219" s="602">
        <f>SUM(C219:N219)</f>
        <v>12</v>
      </c>
      <c r="R219" s="121"/>
    </row>
    <row r="220" spans="1:18">
      <c r="A220" s="121">
        <f t="shared" si="89"/>
        <v>220</v>
      </c>
      <c r="B220" s="128" t="s">
        <v>233</v>
      </c>
      <c r="C220" s="606">
        <f>+C102</f>
        <v>1</v>
      </c>
      <c r="D220" s="606">
        <f>AVERAGE(C102:D102)</f>
        <v>1</v>
      </c>
      <c r="E220" s="606">
        <f>AVERAGE(C102:E102)</f>
        <v>1</v>
      </c>
      <c r="F220" s="606">
        <f>AVERAGE(C102:F102)</f>
        <v>1</v>
      </c>
      <c r="G220" s="606">
        <f>AVERAGE(C102:G102)</f>
        <v>1</v>
      </c>
      <c r="H220" s="606">
        <f>AVERAGE(C102:H102)</f>
        <v>1</v>
      </c>
      <c r="I220" s="606">
        <f>AVERAGE(C102:I102)</f>
        <v>1</v>
      </c>
      <c r="J220" s="606">
        <f>AVERAGE(C102:J102)</f>
        <v>1</v>
      </c>
      <c r="K220" s="606">
        <f>AVERAGE(C102:K102)</f>
        <v>1</v>
      </c>
      <c r="L220" s="606">
        <f>AVERAGE(C102:L102)</f>
        <v>1</v>
      </c>
      <c r="M220" s="606">
        <f>AVERAGE(C102:M102)</f>
        <v>1</v>
      </c>
      <c r="N220" s="606">
        <f>AVERAGE(C102:N102)</f>
        <v>1</v>
      </c>
      <c r="O220" s="606">
        <f>SUM(C220:N220)</f>
        <v>12</v>
      </c>
      <c r="R220" s="121"/>
    </row>
    <row r="221" spans="1:18">
      <c r="A221" s="121">
        <f t="shared" si="89"/>
        <v>221</v>
      </c>
      <c r="B221" s="322" t="s">
        <v>234</v>
      </c>
      <c r="C221" s="602">
        <f t="shared" ref="C221:N221" si="97">SUM(C219:C220)</f>
        <v>2</v>
      </c>
      <c r="D221" s="602">
        <f t="shared" si="97"/>
        <v>2</v>
      </c>
      <c r="E221" s="602">
        <f t="shared" si="97"/>
        <v>2</v>
      </c>
      <c r="F221" s="602">
        <f t="shared" si="97"/>
        <v>2</v>
      </c>
      <c r="G221" s="602">
        <f t="shared" si="97"/>
        <v>2</v>
      </c>
      <c r="H221" s="602">
        <f t="shared" si="97"/>
        <v>2</v>
      </c>
      <c r="I221" s="602">
        <f t="shared" si="97"/>
        <v>2</v>
      </c>
      <c r="J221" s="602">
        <f t="shared" si="97"/>
        <v>2</v>
      </c>
      <c r="K221" s="602">
        <f t="shared" si="97"/>
        <v>2</v>
      </c>
      <c r="L221" s="602">
        <f t="shared" si="97"/>
        <v>2</v>
      </c>
      <c r="M221" s="602">
        <f t="shared" si="97"/>
        <v>2</v>
      </c>
      <c r="N221" s="602">
        <f t="shared" si="97"/>
        <v>2</v>
      </c>
      <c r="O221" s="602">
        <f>SUM(C221:N221)</f>
        <v>24</v>
      </c>
      <c r="R221" s="121"/>
    </row>
    <row r="222" spans="1:18">
      <c r="A222" s="121">
        <f t="shared" si="89"/>
        <v>222</v>
      </c>
      <c r="B222" s="320" t="s">
        <v>235</v>
      </c>
      <c r="C222" s="602"/>
      <c r="D222" s="602"/>
      <c r="E222" s="602"/>
      <c r="F222" s="602"/>
      <c r="G222" s="602"/>
      <c r="H222" s="602"/>
      <c r="I222" s="602"/>
      <c r="J222" s="602"/>
      <c r="K222" s="602"/>
      <c r="L222" s="602"/>
      <c r="M222" s="602"/>
      <c r="N222" s="602"/>
      <c r="O222" s="602"/>
      <c r="R222" s="121"/>
    </row>
    <row r="223" spans="1:18">
      <c r="A223" s="121">
        <f t="shared" si="89"/>
        <v>223</v>
      </c>
      <c r="B223" s="127" t="s">
        <v>237</v>
      </c>
      <c r="C223" s="602">
        <f>+C106</f>
        <v>1</v>
      </c>
      <c r="D223" s="602">
        <f>AVERAGE(C106:D106)</f>
        <v>1</v>
      </c>
      <c r="E223" s="602">
        <f>AVERAGE(C106:E106)</f>
        <v>1</v>
      </c>
      <c r="F223" s="602">
        <f>AVERAGE(C106:F106)</f>
        <v>1</v>
      </c>
      <c r="G223" s="602">
        <f>AVERAGE(C106:G106)</f>
        <v>1</v>
      </c>
      <c r="H223" s="602">
        <f>AVERAGE(C106:H106)</f>
        <v>1</v>
      </c>
      <c r="I223" s="602">
        <f>AVERAGE(C106:I106)</f>
        <v>1</v>
      </c>
      <c r="J223" s="602">
        <f>AVERAGE(C106:J106)</f>
        <v>1</v>
      </c>
      <c r="K223" s="602">
        <f>AVERAGE(C106:K106)</f>
        <v>1</v>
      </c>
      <c r="L223" s="602">
        <f>AVERAGE(C106:L106)</f>
        <v>1</v>
      </c>
      <c r="M223" s="602">
        <f>AVERAGE(C106:M106)</f>
        <v>1</v>
      </c>
      <c r="N223" s="602">
        <f>AVERAGE(C106:N106)</f>
        <v>1</v>
      </c>
      <c r="O223" s="602">
        <f>SUM(C223:N223)</f>
        <v>12</v>
      </c>
      <c r="R223" s="121"/>
    </row>
    <row r="224" spans="1:18">
      <c r="A224" s="121">
        <f t="shared" si="89"/>
        <v>224</v>
      </c>
      <c r="B224" s="128" t="s">
        <v>238</v>
      </c>
      <c r="C224" s="606">
        <f>+C107</f>
        <v>1</v>
      </c>
      <c r="D224" s="606">
        <f>AVERAGE(C107:D107)</f>
        <v>1</v>
      </c>
      <c r="E224" s="606">
        <f>AVERAGE(C107:E107)</f>
        <v>1</v>
      </c>
      <c r="F224" s="606">
        <f>AVERAGE(C107:F107)</f>
        <v>1</v>
      </c>
      <c r="G224" s="606">
        <f>AVERAGE(C107:G107)</f>
        <v>1</v>
      </c>
      <c r="H224" s="606">
        <f>AVERAGE(C107:H107)</f>
        <v>1</v>
      </c>
      <c r="I224" s="606">
        <f>AVERAGE(C107:I107)</f>
        <v>1</v>
      </c>
      <c r="J224" s="606">
        <f>AVERAGE(C107:J107)</f>
        <v>1</v>
      </c>
      <c r="K224" s="606">
        <f>AVERAGE(C107:K107)</f>
        <v>1</v>
      </c>
      <c r="L224" s="606">
        <f>AVERAGE(C107:L107)</f>
        <v>1</v>
      </c>
      <c r="M224" s="606">
        <f>AVERAGE(C107:M107)</f>
        <v>1</v>
      </c>
      <c r="N224" s="606">
        <f>AVERAGE(C107:N107)</f>
        <v>1</v>
      </c>
      <c r="O224" s="606">
        <f>SUM(C224:N224)</f>
        <v>12</v>
      </c>
    </row>
    <row r="225" spans="1:15">
      <c r="A225" s="121">
        <f t="shared" si="89"/>
        <v>225</v>
      </c>
      <c r="B225" s="322" t="s">
        <v>239</v>
      </c>
      <c r="C225" s="602">
        <f t="shared" ref="C225:N225" si="98">SUM(C223:C224)</f>
        <v>2</v>
      </c>
      <c r="D225" s="602">
        <f t="shared" si="98"/>
        <v>2</v>
      </c>
      <c r="E225" s="602">
        <f t="shared" si="98"/>
        <v>2</v>
      </c>
      <c r="F225" s="602">
        <f t="shared" si="98"/>
        <v>2</v>
      </c>
      <c r="G225" s="602">
        <f t="shared" si="98"/>
        <v>2</v>
      </c>
      <c r="H225" s="602">
        <f t="shared" si="98"/>
        <v>2</v>
      </c>
      <c r="I225" s="602">
        <f t="shared" si="98"/>
        <v>2</v>
      </c>
      <c r="J225" s="602">
        <f t="shared" si="98"/>
        <v>2</v>
      </c>
      <c r="K225" s="602">
        <f t="shared" si="98"/>
        <v>2</v>
      </c>
      <c r="L225" s="602">
        <f t="shared" si="98"/>
        <v>2</v>
      </c>
      <c r="M225" s="602">
        <f t="shared" si="98"/>
        <v>2</v>
      </c>
      <c r="N225" s="602">
        <f t="shared" si="98"/>
        <v>2</v>
      </c>
      <c r="O225" s="602">
        <f>SUM(C225:N225)</f>
        <v>24</v>
      </c>
    </row>
    <row r="226" spans="1:15">
      <c r="A226" s="121">
        <f t="shared" si="89"/>
        <v>226</v>
      </c>
      <c r="B226" s="322"/>
      <c r="C226" s="602"/>
      <c r="D226" s="602"/>
      <c r="E226" s="602"/>
      <c r="F226" s="602"/>
      <c r="G226" s="602"/>
      <c r="H226" s="602"/>
      <c r="I226" s="602"/>
      <c r="J226" s="602"/>
      <c r="K226" s="602"/>
      <c r="L226" s="602"/>
      <c r="M226" s="602"/>
      <c r="N226" s="602"/>
      <c r="O226" s="602"/>
    </row>
    <row r="227" spans="1:15">
      <c r="A227" s="121">
        <f t="shared" si="89"/>
        <v>227</v>
      </c>
      <c r="B227" s="324" t="s">
        <v>240</v>
      </c>
      <c r="C227" s="607">
        <f t="shared" ref="C227:O227" si="99">+C221+C225</f>
        <v>4</v>
      </c>
      <c r="D227" s="607">
        <f t="shared" si="99"/>
        <v>4</v>
      </c>
      <c r="E227" s="607">
        <f t="shared" si="99"/>
        <v>4</v>
      </c>
      <c r="F227" s="607">
        <f t="shared" si="99"/>
        <v>4</v>
      </c>
      <c r="G227" s="607">
        <f t="shared" si="99"/>
        <v>4</v>
      </c>
      <c r="H227" s="607">
        <f t="shared" si="99"/>
        <v>4</v>
      </c>
      <c r="I227" s="607">
        <f t="shared" si="99"/>
        <v>4</v>
      </c>
      <c r="J227" s="607">
        <f t="shared" si="99"/>
        <v>4</v>
      </c>
      <c r="K227" s="607">
        <f t="shared" si="99"/>
        <v>4</v>
      </c>
      <c r="L227" s="607">
        <f t="shared" si="99"/>
        <v>4</v>
      </c>
      <c r="M227" s="607">
        <f t="shared" si="99"/>
        <v>4</v>
      </c>
      <c r="N227" s="607">
        <f t="shared" si="99"/>
        <v>4</v>
      </c>
      <c r="O227" s="608">
        <f t="shared" si="99"/>
        <v>48</v>
      </c>
    </row>
    <row r="228" spans="1:15">
      <c r="A228" s="121">
        <f t="shared" si="89"/>
        <v>228</v>
      </c>
      <c r="B228" s="322"/>
      <c r="C228" s="602"/>
      <c r="D228" s="602"/>
      <c r="E228" s="602"/>
      <c r="F228" s="602"/>
      <c r="G228" s="602"/>
      <c r="H228" s="602"/>
      <c r="I228" s="602"/>
      <c r="J228" s="602"/>
      <c r="K228" s="602"/>
      <c r="L228" s="602"/>
      <c r="M228" s="602"/>
      <c r="N228" s="602"/>
      <c r="O228" s="602"/>
    </row>
    <row r="229" spans="1:15">
      <c r="A229" s="121">
        <f t="shared" si="89"/>
        <v>229</v>
      </c>
      <c r="B229" s="324" t="s">
        <v>241</v>
      </c>
      <c r="C229" s="607">
        <f t="shared" ref="C229:O229" si="100">+C217+C227</f>
        <v>81508</v>
      </c>
      <c r="D229" s="607">
        <f t="shared" si="100"/>
        <v>81588</v>
      </c>
      <c r="E229" s="607">
        <f t="shared" si="100"/>
        <v>81689.666666666672</v>
      </c>
      <c r="F229" s="607">
        <f t="shared" si="100"/>
        <v>81916.833333333328</v>
      </c>
      <c r="G229" s="607">
        <f t="shared" si="100"/>
        <v>82041.100000000006</v>
      </c>
      <c r="H229" s="607">
        <f t="shared" si="100"/>
        <v>82167.933333333334</v>
      </c>
      <c r="I229" s="607">
        <f t="shared" si="100"/>
        <v>82359.095238095222</v>
      </c>
      <c r="J229" s="607">
        <f t="shared" si="100"/>
        <v>82453.33928571429</v>
      </c>
      <c r="K229" s="607">
        <f t="shared" si="100"/>
        <v>82542.416666666672</v>
      </c>
      <c r="L229" s="607">
        <f t="shared" si="100"/>
        <v>82628.377777777787</v>
      </c>
      <c r="M229" s="607">
        <f t="shared" si="100"/>
        <v>82730.8</v>
      </c>
      <c r="N229" s="607">
        <f t="shared" si="100"/>
        <v>82852.65151515152</v>
      </c>
      <c r="O229" s="608">
        <f t="shared" si="100"/>
        <v>986467.21381673892</v>
      </c>
    </row>
    <row r="230" spans="1:15">
      <c r="A230" s="121">
        <f t="shared" si="89"/>
        <v>230</v>
      </c>
    </row>
    <row r="231" spans="1:15">
      <c r="A231" s="121">
        <f t="shared" si="89"/>
        <v>231</v>
      </c>
      <c r="B231" s="330" t="s">
        <v>254</v>
      </c>
      <c r="C231" s="609"/>
      <c r="D231" s="609"/>
      <c r="E231" s="609"/>
      <c r="F231" s="609"/>
      <c r="G231" s="609"/>
      <c r="H231" s="609"/>
      <c r="I231" s="609"/>
      <c r="J231" s="609"/>
      <c r="K231" s="609"/>
      <c r="L231" s="609"/>
      <c r="M231" s="609"/>
      <c r="N231" s="609"/>
      <c r="O231" s="609"/>
    </row>
    <row r="232" spans="1:15">
      <c r="A232" s="121">
        <f t="shared" si="89"/>
        <v>232</v>
      </c>
      <c r="B232" s="331" t="s">
        <v>173</v>
      </c>
      <c r="C232" s="602">
        <f t="shared" ref="C232:C237" si="101">+C113</f>
        <v>178</v>
      </c>
      <c r="D232" s="602">
        <f>AVERAGE($C113:D113)</f>
        <v>179</v>
      </c>
      <c r="E232" s="602">
        <f>AVERAGE($C113:E113)</f>
        <v>178.33333333333334</v>
      </c>
      <c r="F232" s="602">
        <f>AVERAGE($C113:F113)</f>
        <v>180.75</v>
      </c>
      <c r="G232" s="602">
        <f>AVERAGE($C113:G113)</f>
        <v>179.8</v>
      </c>
      <c r="H232" s="602">
        <f>AVERAGE($C113:H113)</f>
        <v>179.5</v>
      </c>
      <c r="I232" s="602">
        <f>AVERAGE($C113:I113)</f>
        <v>179.42857142857142</v>
      </c>
      <c r="J232" s="602">
        <f>AVERAGE($C113:J113)</f>
        <v>179.5</v>
      </c>
      <c r="K232" s="602">
        <f>AVERAGE($C113:K113)</f>
        <v>179.44444444444446</v>
      </c>
      <c r="L232" s="602">
        <f>AVERAGE($C113:L113)</f>
        <v>179.7</v>
      </c>
      <c r="M232" s="602">
        <f>AVERAGE($C113:M113)</f>
        <v>179.45454545454547</v>
      </c>
      <c r="N232" s="602">
        <f>AVERAGE($C113:N113)</f>
        <v>179.08333333333334</v>
      </c>
      <c r="O232" s="602">
        <f t="shared" ref="O232:O237" si="102">AVERAGE(C232:N232)</f>
        <v>179.33285233285233</v>
      </c>
    </row>
    <row r="233" spans="1:15">
      <c r="A233" s="121">
        <f t="shared" si="89"/>
        <v>233</v>
      </c>
      <c r="B233" s="331" t="s">
        <v>176</v>
      </c>
      <c r="C233" s="602">
        <f t="shared" si="101"/>
        <v>946</v>
      </c>
      <c r="D233" s="602">
        <f>AVERAGE($C114:D114)</f>
        <v>950.5</v>
      </c>
      <c r="E233" s="602">
        <f>AVERAGE($C114:E114)</f>
        <v>948</v>
      </c>
      <c r="F233" s="602">
        <f>AVERAGE($C114:F114)</f>
        <v>949.25</v>
      </c>
      <c r="G233" s="602">
        <f>AVERAGE($C114:G114)</f>
        <v>949.2</v>
      </c>
      <c r="H233" s="602">
        <f>AVERAGE($C114:H114)</f>
        <v>948.5</v>
      </c>
      <c r="I233" s="602">
        <f>AVERAGE($C114:I114)</f>
        <v>947.71428571428567</v>
      </c>
      <c r="J233" s="602">
        <f>AVERAGE($C114:J114)</f>
        <v>947.125</v>
      </c>
      <c r="K233" s="602">
        <f>AVERAGE($C114:K114)</f>
        <v>948.11111111111109</v>
      </c>
      <c r="L233" s="602">
        <f>AVERAGE($C114:L114)</f>
        <v>952.2</v>
      </c>
      <c r="M233" s="602">
        <f>AVERAGE($C114:M114)</f>
        <v>952.63636363636363</v>
      </c>
      <c r="N233" s="602">
        <f>AVERAGE($C114:N114)</f>
        <v>952.75</v>
      </c>
      <c r="O233" s="602">
        <f t="shared" si="102"/>
        <v>949.33223003848013</v>
      </c>
    </row>
    <row r="234" spans="1:15">
      <c r="A234" s="121">
        <f t="shared" si="89"/>
        <v>234</v>
      </c>
      <c r="B234" s="331" t="s">
        <v>180</v>
      </c>
      <c r="C234" s="602">
        <f t="shared" si="101"/>
        <v>1166</v>
      </c>
      <c r="D234" s="602">
        <f>AVERAGE($C115:D115)</f>
        <v>1172.5</v>
      </c>
      <c r="E234" s="602">
        <f>AVERAGE($C115:E115)</f>
        <v>1173.3333333333333</v>
      </c>
      <c r="F234" s="602">
        <f>AVERAGE($C115:F115)</f>
        <v>1176.25</v>
      </c>
      <c r="G234" s="602">
        <f>AVERAGE($C115:G115)</f>
        <v>1175.2</v>
      </c>
      <c r="H234" s="602">
        <f>AVERAGE($C115:H115)</f>
        <v>1174.3333333333333</v>
      </c>
      <c r="I234" s="602">
        <f>AVERAGE($C115:I115)</f>
        <v>1174.1428571428571</v>
      </c>
      <c r="J234" s="602">
        <f>AVERAGE($C115:J115)</f>
        <v>1174.25</v>
      </c>
      <c r="K234" s="602">
        <f>AVERAGE($C115:K115)</f>
        <v>1175.4444444444443</v>
      </c>
      <c r="L234" s="602">
        <f>AVERAGE($C115:L115)</f>
        <v>1180.9000000000001</v>
      </c>
      <c r="M234" s="602">
        <f>AVERAGE($C115:M115)</f>
        <v>1181.6363636363637</v>
      </c>
      <c r="N234" s="602">
        <f>AVERAGE($C115:N115)</f>
        <v>1181.3333333333333</v>
      </c>
      <c r="O234" s="602">
        <f t="shared" si="102"/>
        <v>1175.4436387686389</v>
      </c>
    </row>
    <row r="235" spans="1:15">
      <c r="A235" s="121">
        <f t="shared" si="89"/>
        <v>235</v>
      </c>
      <c r="B235" s="331" t="s">
        <v>181</v>
      </c>
      <c r="C235" s="602">
        <f t="shared" si="101"/>
        <v>57</v>
      </c>
      <c r="D235" s="602">
        <f>AVERAGE($C116:D116)</f>
        <v>60</v>
      </c>
      <c r="E235" s="602">
        <f>AVERAGE($C116:E116)</f>
        <v>57.333333333333336</v>
      </c>
      <c r="F235" s="602">
        <f>AVERAGE($C116:F116)</f>
        <v>58.75</v>
      </c>
      <c r="G235" s="602">
        <f>AVERAGE($C116:G116)</f>
        <v>57.2</v>
      </c>
      <c r="H235" s="602">
        <f>AVERAGE($C116:H116)</f>
        <v>58.5</v>
      </c>
      <c r="I235" s="602">
        <f>AVERAGE($C116:I116)</f>
        <v>58.142857142857146</v>
      </c>
      <c r="J235" s="602">
        <f>AVERAGE($C116:J116)</f>
        <v>58</v>
      </c>
      <c r="K235" s="602">
        <f>AVERAGE($C116:K116)</f>
        <v>58.111111111111114</v>
      </c>
      <c r="L235" s="602">
        <f>AVERAGE($C116:L116)</f>
        <v>57.9</v>
      </c>
      <c r="M235" s="602">
        <f>AVERAGE($C116:M116)</f>
        <v>57.272727272727273</v>
      </c>
      <c r="N235" s="602">
        <f>AVERAGE($C116:N116)</f>
        <v>56.75</v>
      </c>
      <c r="O235" s="602">
        <f t="shared" si="102"/>
        <v>57.913335738335739</v>
      </c>
    </row>
    <row r="236" spans="1:15">
      <c r="A236" s="121">
        <f t="shared" si="89"/>
        <v>236</v>
      </c>
      <c r="B236" s="331" t="s">
        <v>184</v>
      </c>
      <c r="C236" s="602">
        <f t="shared" si="101"/>
        <v>18</v>
      </c>
      <c r="D236" s="602">
        <f>AVERAGE($C117:D117)</f>
        <v>18</v>
      </c>
      <c r="E236" s="602">
        <f>AVERAGE($C117:E117)</f>
        <v>18</v>
      </c>
      <c r="F236" s="602">
        <f>AVERAGE($C117:F117)</f>
        <v>18</v>
      </c>
      <c r="G236" s="602">
        <f>AVERAGE($C117:G117)</f>
        <v>18</v>
      </c>
      <c r="H236" s="602">
        <f>AVERAGE($C117:H117)</f>
        <v>18</v>
      </c>
      <c r="I236" s="602">
        <f>AVERAGE($C117:I117)</f>
        <v>18</v>
      </c>
      <c r="J236" s="602">
        <f>AVERAGE($C117:J117)</f>
        <v>18</v>
      </c>
      <c r="K236" s="602">
        <f>AVERAGE($C117:K117)</f>
        <v>18</v>
      </c>
      <c r="L236" s="602">
        <f>AVERAGE($C117:L117)</f>
        <v>18</v>
      </c>
      <c r="M236" s="602">
        <f>AVERAGE($C117:M117)</f>
        <v>18</v>
      </c>
      <c r="N236" s="602">
        <f>AVERAGE($C117:N117)</f>
        <v>18</v>
      </c>
      <c r="O236" s="602">
        <f t="shared" si="102"/>
        <v>18</v>
      </c>
    </row>
    <row r="237" spans="1:15">
      <c r="A237" s="121">
        <f t="shared" si="89"/>
        <v>237</v>
      </c>
      <c r="B237" s="331" t="s">
        <v>255</v>
      </c>
      <c r="C237" s="602">
        <f t="shared" si="101"/>
        <v>7</v>
      </c>
      <c r="D237" s="602">
        <f>AVERAGE($C118:D118)</f>
        <v>7</v>
      </c>
      <c r="E237" s="602">
        <f>AVERAGE($C118:E118)</f>
        <v>7</v>
      </c>
      <c r="F237" s="602">
        <f>AVERAGE($C118:F118)</f>
        <v>7</v>
      </c>
      <c r="G237" s="602">
        <f>AVERAGE($C118:G118)</f>
        <v>7</v>
      </c>
      <c r="H237" s="602">
        <f>AVERAGE($C118:H118)</f>
        <v>7</v>
      </c>
      <c r="I237" s="602">
        <f>AVERAGE($C118:I118)</f>
        <v>7</v>
      </c>
      <c r="J237" s="602">
        <f>AVERAGE($C118:J118)</f>
        <v>7</v>
      </c>
      <c r="K237" s="602">
        <f>AVERAGE($C118:K118)</f>
        <v>7</v>
      </c>
      <c r="L237" s="602">
        <f>AVERAGE($C118:L118)</f>
        <v>7</v>
      </c>
      <c r="M237" s="602">
        <f>AVERAGE($C118:M118)</f>
        <v>7</v>
      </c>
      <c r="N237" s="602">
        <f>AVERAGE($C118:N118)</f>
        <v>7</v>
      </c>
      <c r="O237" s="602">
        <f t="shared" si="102"/>
        <v>7</v>
      </c>
    </row>
    <row r="238" spans="1:15">
      <c r="A238" s="121">
        <f t="shared" si="89"/>
        <v>238</v>
      </c>
      <c r="B238" s="332" t="s">
        <v>256</v>
      </c>
      <c r="C238" s="609">
        <f t="shared" ref="C238:O238" si="103">+SUM(C232:C237)</f>
        <v>2372</v>
      </c>
      <c r="D238" s="609">
        <f t="shared" si="103"/>
        <v>2387</v>
      </c>
      <c r="E238" s="609">
        <f t="shared" si="103"/>
        <v>2382</v>
      </c>
      <c r="F238" s="609">
        <f t="shared" si="103"/>
        <v>2390</v>
      </c>
      <c r="G238" s="609">
        <f t="shared" si="103"/>
        <v>2386.3999999999996</v>
      </c>
      <c r="H238" s="609">
        <f t="shared" si="103"/>
        <v>2385.833333333333</v>
      </c>
      <c r="I238" s="609">
        <f t="shared" si="103"/>
        <v>2384.4285714285716</v>
      </c>
      <c r="J238" s="609">
        <f t="shared" si="103"/>
        <v>2383.875</v>
      </c>
      <c r="K238" s="609">
        <f t="shared" si="103"/>
        <v>2386.1111111111113</v>
      </c>
      <c r="L238" s="609">
        <f t="shared" si="103"/>
        <v>2395.7000000000003</v>
      </c>
      <c r="M238" s="609">
        <f t="shared" si="103"/>
        <v>2396.0000000000005</v>
      </c>
      <c r="N238" s="609">
        <f t="shared" si="103"/>
        <v>2394.9166666666665</v>
      </c>
      <c r="O238" s="609">
        <f t="shared" si="103"/>
        <v>2387.0220568783075</v>
      </c>
    </row>
    <row r="239" spans="1:15">
      <c r="A239" s="121">
        <f t="shared" si="89"/>
        <v>239</v>
      </c>
      <c r="B239" s="332"/>
      <c r="C239" s="609"/>
      <c r="D239" s="609"/>
      <c r="E239" s="609"/>
      <c r="F239" s="609"/>
      <c r="G239" s="609"/>
      <c r="H239" s="609"/>
      <c r="I239" s="609"/>
      <c r="J239" s="609"/>
      <c r="K239" s="609"/>
      <c r="L239" s="609"/>
      <c r="M239" s="609"/>
      <c r="N239" s="609"/>
      <c r="O239" s="609"/>
    </row>
    <row r="240" spans="1:15">
      <c r="A240" s="121">
        <f t="shared" si="89"/>
        <v>240</v>
      </c>
      <c r="B240" s="330" t="s">
        <v>257</v>
      </c>
      <c r="C240" s="609"/>
      <c r="D240" s="609"/>
      <c r="E240" s="609"/>
      <c r="F240" s="609"/>
      <c r="G240" s="609"/>
      <c r="H240" s="609"/>
      <c r="I240" s="609"/>
      <c r="J240" s="609"/>
      <c r="K240" s="609"/>
      <c r="L240" s="609"/>
      <c r="M240" s="609"/>
      <c r="N240" s="609"/>
      <c r="O240" s="609"/>
    </row>
    <row r="241" spans="1:21">
      <c r="A241" s="121">
        <f t="shared" si="89"/>
        <v>241</v>
      </c>
      <c r="B241" s="331" t="s">
        <v>181</v>
      </c>
      <c r="C241" s="602">
        <f>+C122</f>
        <v>37</v>
      </c>
      <c r="D241" s="602">
        <f>AVERAGE($C122:D122)</f>
        <v>37.5</v>
      </c>
      <c r="E241" s="602">
        <f>AVERAGE($C122:E122)</f>
        <v>37.666666666666664</v>
      </c>
      <c r="F241" s="602">
        <f>AVERAGE($C122:F122)</f>
        <v>37.75</v>
      </c>
      <c r="G241" s="602">
        <f>AVERAGE($C122:G122)</f>
        <v>38.200000000000003</v>
      </c>
      <c r="H241" s="602">
        <f>AVERAGE($C122:H122)</f>
        <v>37.833333333333336</v>
      </c>
      <c r="I241" s="602">
        <f>AVERAGE($C122:I122)</f>
        <v>37.571428571428569</v>
      </c>
      <c r="J241" s="602">
        <f>AVERAGE($C122:J122)</f>
        <v>37.75</v>
      </c>
      <c r="K241" s="602">
        <f>AVERAGE($C122:K122)</f>
        <v>37.888888888888886</v>
      </c>
      <c r="L241" s="602">
        <f>AVERAGE($C122:L122)</f>
        <v>38</v>
      </c>
      <c r="M241" s="602">
        <f>AVERAGE($C122:M122)</f>
        <v>38.090909090909093</v>
      </c>
      <c r="N241" s="602">
        <f>AVERAGE($C122:N122)</f>
        <v>38.166666666666664</v>
      </c>
      <c r="O241" s="602">
        <f>AVERAGE(C241:N241)</f>
        <v>37.784824434824444</v>
      </c>
    </row>
    <row r="242" spans="1:21">
      <c r="A242" s="121">
        <f t="shared" si="89"/>
        <v>242</v>
      </c>
      <c r="B242" s="331" t="s">
        <v>184</v>
      </c>
      <c r="C242" s="602">
        <f>+C123</f>
        <v>17</v>
      </c>
      <c r="D242" s="602">
        <f>AVERAGE($C123:D123)</f>
        <v>17</v>
      </c>
      <c r="E242" s="602">
        <f>AVERAGE($C123:E123)</f>
        <v>17</v>
      </c>
      <c r="F242" s="602">
        <f>AVERAGE($C123:F123)</f>
        <v>17</v>
      </c>
      <c r="G242" s="602">
        <f>AVERAGE($C123:G123)</f>
        <v>17</v>
      </c>
      <c r="H242" s="602">
        <f>AVERAGE($C123:H123)</f>
        <v>17</v>
      </c>
      <c r="I242" s="602">
        <f>AVERAGE($C123:I123)</f>
        <v>17</v>
      </c>
      <c r="J242" s="602">
        <f>AVERAGE($C123:J123)</f>
        <v>17</v>
      </c>
      <c r="K242" s="602">
        <f>AVERAGE($C123:K123)</f>
        <v>17</v>
      </c>
      <c r="L242" s="602">
        <f>AVERAGE($C123:L123)</f>
        <v>17</v>
      </c>
      <c r="M242" s="602">
        <f>AVERAGE($C123:M123)</f>
        <v>17</v>
      </c>
      <c r="N242" s="602">
        <f>AVERAGE($C123:N123)</f>
        <v>17</v>
      </c>
      <c r="O242" s="602">
        <f>AVERAGE(C242:N242)</f>
        <v>17</v>
      </c>
    </row>
    <row r="243" spans="1:21">
      <c r="A243" s="121">
        <f t="shared" si="89"/>
        <v>243</v>
      </c>
      <c r="B243" s="332" t="s">
        <v>258</v>
      </c>
      <c r="C243" s="602">
        <f t="shared" ref="C243:O243" si="104">+SUM(C241:C242)</f>
        <v>54</v>
      </c>
      <c r="D243" s="602">
        <f t="shared" si="104"/>
        <v>54.5</v>
      </c>
      <c r="E243" s="602">
        <f t="shared" si="104"/>
        <v>54.666666666666664</v>
      </c>
      <c r="F243" s="602">
        <f t="shared" si="104"/>
        <v>54.75</v>
      </c>
      <c r="G243" s="602">
        <f t="shared" si="104"/>
        <v>55.2</v>
      </c>
      <c r="H243" s="602">
        <f t="shared" si="104"/>
        <v>54.833333333333336</v>
      </c>
      <c r="I243" s="602">
        <f t="shared" si="104"/>
        <v>54.571428571428569</v>
      </c>
      <c r="J243" s="602">
        <f t="shared" si="104"/>
        <v>54.75</v>
      </c>
      <c r="K243" s="602">
        <f t="shared" si="104"/>
        <v>54.888888888888886</v>
      </c>
      <c r="L243" s="602">
        <f t="shared" si="104"/>
        <v>55</v>
      </c>
      <c r="M243" s="602">
        <f t="shared" si="104"/>
        <v>55.090909090909093</v>
      </c>
      <c r="N243" s="602">
        <f t="shared" si="104"/>
        <v>55.166666666666664</v>
      </c>
      <c r="O243" s="602">
        <f t="shared" si="104"/>
        <v>54.784824434824444</v>
      </c>
    </row>
    <row r="244" spans="1:21">
      <c r="A244" s="121">
        <f t="shared" si="89"/>
        <v>244</v>
      </c>
      <c r="B244" s="332"/>
      <c r="C244" s="602"/>
      <c r="D244" s="602"/>
      <c r="E244" s="602"/>
      <c r="F244" s="602"/>
      <c r="G244" s="602"/>
      <c r="H244" s="602"/>
      <c r="I244" s="602"/>
      <c r="J244" s="602"/>
      <c r="K244" s="602"/>
      <c r="L244" s="602"/>
      <c r="M244" s="602"/>
      <c r="N244" s="602"/>
      <c r="O244" s="602"/>
    </row>
    <row r="245" spans="1:21">
      <c r="R245" s="333"/>
      <c r="S245" s="126"/>
    </row>
    <row r="246" spans="1:21">
      <c r="R246" s="333"/>
      <c r="S246" s="126"/>
    </row>
    <row r="247" spans="1:21">
      <c r="B247" s="333"/>
      <c r="R247" s="333"/>
      <c r="S247" s="126"/>
    </row>
    <row r="248" spans="1:21">
      <c r="B248" s="333"/>
      <c r="R248" s="333"/>
      <c r="S248" s="126"/>
    </row>
    <row r="249" spans="1:21">
      <c r="B249" s="333"/>
      <c r="D249" s="603"/>
      <c r="E249" s="603"/>
      <c r="F249" s="603"/>
      <c r="G249" s="603"/>
      <c r="H249" s="603"/>
      <c r="I249" s="603"/>
      <c r="J249" s="603"/>
      <c r="K249" s="603"/>
      <c r="L249" s="603"/>
    </row>
    <row r="250" spans="1:21">
      <c r="B250" s="333"/>
      <c r="D250" s="602"/>
      <c r="E250" s="602"/>
      <c r="F250" s="602"/>
      <c r="G250" s="602"/>
      <c r="H250" s="602"/>
      <c r="I250" s="602"/>
      <c r="J250" s="602"/>
      <c r="K250" s="602"/>
      <c r="L250" s="602"/>
      <c r="M250" s="602"/>
      <c r="N250" s="602"/>
    </row>
    <row r="251" spans="1:21">
      <c r="C251" s="611"/>
      <c r="D251" s="611"/>
      <c r="E251" s="611"/>
      <c r="F251" s="611"/>
      <c r="G251" s="611"/>
      <c r="H251" s="611"/>
      <c r="I251" s="611"/>
      <c r="J251" s="611"/>
      <c r="K251" s="611"/>
      <c r="L251" s="611"/>
      <c r="M251" s="611"/>
      <c r="N251" s="611"/>
    </row>
    <row r="252" spans="1:21">
      <c r="B252" s="298" t="s">
        <v>706</v>
      </c>
      <c r="C252" s="612">
        <v>16</v>
      </c>
      <c r="D252" s="612">
        <v>15</v>
      </c>
      <c r="E252" s="612">
        <v>15</v>
      </c>
      <c r="F252" s="612">
        <v>15</v>
      </c>
      <c r="G252" s="612">
        <v>15</v>
      </c>
      <c r="H252" s="612">
        <v>16</v>
      </c>
      <c r="I252" s="612">
        <v>16</v>
      </c>
      <c r="J252" s="612">
        <v>16</v>
      </c>
      <c r="K252" s="612">
        <v>16</v>
      </c>
      <c r="L252" s="612">
        <v>16</v>
      </c>
      <c r="M252" s="612">
        <v>17</v>
      </c>
      <c r="N252" s="612">
        <v>17</v>
      </c>
      <c r="O252" s="612">
        <f t="shared" ref="O252:O257" si="105">SUM(C252:N252)</f>
        <v>190</v>
      </c>
      <c r="P252" s="298"/>
      <c r="Q252" s="334" t="s">
        <v>14</v>
      </c>
      <c r="R252" s="334">
        <f t="shared" ref="R252:R257" si="106">O252</f>
        <v>190</v>
      </c>
      <c r="S252" s="298" t="s">
        <v>706</v>
      </c>
      <c r="T252" s="298"/>
      <c r="U252" s="298" t="s">
        <v>1245</v>
      </c>
    </row>
    <row r="253" spans="1:21">
      <c r="B253" s="298" t="s">
        <v>709</v>
      </c>
      <c r="C253" s="612">
        <v>3</v>
      </c>
      <c r="D253" s="612">
        <v>3</v>
      </c>
      <c r="E253" s="612">
        <v>3</v>
      </c>
      <c r="F253" s="612">
        <v>3</v>
      </c>
      <c r="G253" s="612">
        <v>4</v>
      </c>
      <c r="H253" s="612">
        <v>4</v>
      </c>
      <c r="I253" s="612">
        <v>4</v>
      </c>
      <c r="J253" s="612">
        <v>4</v>
      </c>
      <c r="K253" s="612">
        <v>4</v>
      </c>
      <c r="L253" s="612">
        <v>4</v>
      </c>
      <c r="M253" s="612">
        <v>4</v>
      </c>
      <c r="N253" s="612">
        <v>4</v>
      </c>
      <c r="O253" s="612">
        <f t="shared" si="105"/>
        <v>44</v>
      </c>
      <c r="P253" s="298"/>
      <c r="Q253" s="334" t="s">
        <v>14</v>
      </c>
      <c r="R253" s="334">
        <f t="shared" si="106"/>
        <v>44</v>
      </c>
      <c r="S253" s="298" t="s">
        <v>709</v>
      </c>
      <c r="T253" s="298"/>
      <c r="U253" s="298" t="s">
        <v>1245</v>
      </c>
    </row>
    <row r="254" spans="1:21">
      <c r="B254" s="298" t="s">
        <v>711</v>
      </c>
      <c r="C254" s="612"/>
      <c r="D254" s="612"/>
      <c r="E254" s="612"/>
      <c r="F254" s="612"/>
      <c r="G254" s="612"/>
      <c r="H254" s="612">
        <v>2</v>
      </c>
      <c r="I254" s="612">
        <v>2</v>
      </c>
      <c r="J254" s="612">
        <v>2</v>
      </c>
      <c r="K254" s="612">
        <v>2</v>
      </c>
      <c r="L254" s="612">
        <v>2</v>
      </c>
      <c r="M254" s="612">
        <v>2</v>
      </c>
      <c r="N254" s="612">
        <v>2</v>
      </c>
      <c r="O254" s="612">
        <f t="shared" si="105"/>
        <v>14</v>
      </c>
      <c r="P254" s="298"/>
      <c r="Q254" s="334" t="s">
        <v>14</v>
      </c>
      <c r="R254" s="334">
        <f t="shared" si="106"/>
        <v>14</v>
      </c>
      <c r="S254" s="298" t="s">
        <v>713</v>
      </c>
      <c r="T254" s="298"/>
      <c r="U254" s="298" t="s">
        <v>1245</v>
      </c>
    </row>
    <row r="255" spans="1:21">
      <c r="B255" s="298" t="s">
        <v>713</v>
      </c>
      <c r="C255" s="612"/>
      <c r="D255" s="612"/>
      <c r="E255" s="612"/>
      <c r="F255" s="612"/>
      <c r="G255" s="612">
        <v>1</v>
      </c>
      <c r="H255" s="612">
        <v>1</v>
      </c>
      <c r="I255" s="612">
        <v>1</v>
      </c>
      <c r="J255" s="612">
        <v>2</v>
      </c>
      <c r="K255" s="612">
        <v>2</v>
      </c>
      <c r="L255" s="612">
        <v>2</v>
      </c>
      <c r="M255" s="612">
        <v>2</v>
      </c>
      <c r="N255" s="612">
        <v>2</v>
      </c>
      <c r="O255" s="612">
        <f t="shared" si="105"/>
        <v>13</v>
      </c>
      <c r="P255" s="298"/>
      <c r="Q255" s="334" t="s">
        <v>14</v>
      </c>
      <c r="R255" s="334">
        <f t="shared" si="106"/>
        <v>13</v>
      </c>
      <c r="S255" s="298" t="s">
        <v>713</v>
      </c>
      <c r="T255" s="298"/>
      <c r="U255" s="298" t="s">
        <v>1245</v>
      </c>
    </row>
    <row r="256" spans="1:21">
      <c r="B256" s="298" t="s">
        <v>716</v>
      </c>
      <c r="C256" s="612">
        <v>4</v>
      </c>
      <c r="D256" s="612">
        <v>4</v>
      </c>
      <c r="E256" s="612">
        <v>4</v>
      </c>
      <c r="F256" s="612">
        <v>4</v>
      </c>
      <c r="G256" s="612">
        <v>4</v>
      </c>
      <c r="H256" s="612">
        <v>4</v>
      </c>
      <c r="I256" s="612">
        <v>4</v>
      </c>
      <c r="J256" s="612">
        <v>4</v>
      </c>
      <c r="K256" s="612">
        <v>4</v>
      </c>
      <c r="L256" s="612">
        <v>4</v>
      </c>
      <c r="M256" s="612">
        <v>4</v>
      </c>
      <c r="N256" s="612">
        <v>4</v>
      </c>
      <c r="O256" s="612">
        <f t="shared" si="105"/>
        <v>48</v>
      </c>
      <c r="P256" s="298"/>
      <c r="Q256" s="334" t="s">
        <v>14</v>
      </c>
      <c r="R256" s="334">
        <f t="shared" si="106"/>
        <v>48</v>
      </c>
      <c r="S256" s="298" t="s">
        <v>706</v>
      </c>
      <c r="T256" s="298"/>
      <c r="U256" s="298" t="s">
        <v>1245</v>
      </c>
    </row>
    <row r="257" spans="2:21">
      <c r="B257" s="298" t="s">
        <v>719</v>
      </c>
      <c r="C257" s="612">
        <v>4</v>
      </c>
      <c r="D257" s="612">
        <v>4</v>
      </c>
      <c r="E257" s="612">
        <v>4</v>
      </c>
      <c r="F257" s="612">
        <v>4</v>
      </c>
      <c r="G257" s="612">
        <v>4</v>
      </c>
      <c r="H257" s="612">
        <v>4</v>
      </c>
      <c r="I257" s="612">
        <v>4</v>
      </c>
      <c r="J257" s="612">
        <v>4</v>
      </c>
      <c r="K257" s="612">
        <v>4</v>
      </c>
      <c r="L257" s="612">
        <v>4</v>
      </c>
      <c r="M257" s="612">
        <v>4</v>
      </c>
      <c r="N257" s="612">
        <v>4</v>
      </c>
      <c r="O257" s="612">
        <f t="shared" si="105"/>
        <v>48</v>
      </c>
      <c r="P257" s="298"/>
      <c r="Q257" s="334" t="s">
        <v>14</v>
      </c>
      <c r="R257" s="334">
        <f t="shared" si="106"/>
        <v>48</v>
      </c>
      <c r="S257" s="298" t="s">
        <v>709</v>
      </c>
      <c r="T257" s="298"/>
      <c r="U257" s="298" t="s">
        <v>1245</v>
      </c>
    </row>
  </sheetData>
  <pageMargins left="0.75" right="0.5" top="0.75" bottom="0.75" header="1" footer="0"/>
  <pageSetup scale="53" fitToHeight="2" orientation="portrait" r:id="rId1"/>
  <headerFooter alignWithMargins="0"/>
  <rowBreaks count="1" manualBreakCount="1">
    <brk id="12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29255-D84D-4250-89B3-DD7E111F6A24}">
  <sheetPr codeName="Sheet41">
    <tabColor theme="0" tint="-0.34998626667073579"/>
  </sheetPr>
  <dimension ref="A1:V254"/>
  <sheetViews>
    <sheetView workbookViewId="0"/>
  </sheetViews>
  <sheetFormatPr defaultColWidth="9.140625" defaultRowHeight="12.75"/>
  <cols>
    <col min="1" max="1" width="3.5703125" style="121" customWidth="1"/>
    <col min="2" max="2" width="39" style="121" bestFit="1" customWidth="1"/>
    <col min="3" max="3" width="13.28515625" style="121" bestFit="1" customWidth="1"/>
    <col min="4" max="4" width="11.85546875" style="121" bestFit="1" customWidth="1"/>
    <col min="5" max="5" width="11.5703125" style="121" customWidth="1"/>
    <col min="6" max="6" width="11.85546875" style="121" customWidth="1"/>
    <col min="7" max="7" width="11.5703125" style="121" customWidth="1"/>
    <col min="8" max="9" width="11.85546875" style="121" customWidth="1"/>
    <col min="10" max="10" width="12.5703125" style="121" customWidth="1"/>
    <col min="11" max="11" width="11.85546875" style="121" customWidth="1"/>
    <col min="12" max="14" width="12.5703125" style="121" customWidth="1"/>
    <col min="15" max="15" width="13.85546875" style="121" customWidth="1"/>
    <col min="16" max="16" width="9.140625" style="121" customWidth="1"/>
    <col min="17" max="17" width="4.5703125" style="121" bestFit="1" customWidth="1"/>
    <col min="18" max="18" width="20.28515625" style="121" bestFit="1" customWidth="1"/>
    <col min="19" max="19" width="12.5703125" style="121" bestFit="1" customWidth="1"/>
    <col min="20" max="20" width="27" style="121" bestFit="1" customWidth="1"/>
    <col min="21" max="21" width="14.140625" style="121" bestFit="1" customWidth="1"/>
    <col min="22" max="22" width="9.140625" style="121" bestFit="1" customWidth="1"/>
    <col min="23" max="16384" width="9.140625" style="121"/>
  </cols>
  <sheetData>
    <row r="1" spans="1:22" ht="13.5" thickBot="1">
      <c r="B1" s="306" t="s">
        <v>155</v>
      </c>
      <c r="C1" s="260">
        <v>1</v>
      </c>
      <c r="D1" s="260">
        <v>2</v>
      </c>
      <c r="E1" s="260">
        <v>3</v>
      </c>
      <c r="F1" s="260">
        <v>4</v>
      </c>
      <c r="G1" s="260">
        <v>5</v>
      </c>
      <c r="H1" s="260">
        <v>6</v>
      </c>
      <c r="I1" s="260">
        <v>7</v>
      </c>
      <c r="J1" s="260">
        <v>8</v>
      </c>
      <c r="K1" s="260">
        <v>9</v>
      </c>
      <c r="L1" s="260">
        <v>10</v>
      </c>
      <c r="M1" s="260">
        <v>11</v>
      </c>
      <c r="N1" s="260">
        <v>12</v>
      </c>
      <c r="O1" s="260" t="s">
        <v>156</v>
      </c>
      <c r="U1" s="121" t="s">
        <v>1403</v>
      </c>
      <c r="V1" s="121" t="s">
        <v>1405</v>
      </c>
    </row>
    <row r="2" spans="1:22" ht="13.5" thickBot="1">
      <c r="A2" s="121">
        <v>2</v>
      </c>
      <c r="B2" s="308" t="s">
        <v>157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10"/>
    </row>
    <row r="3" spans="1:22">
      <c r="A3" s="121">
        <f t="shared" ref="A3:A66" si="0">+A2+1</f>
        <v>3</v>
      </c>
      <c r="B3" s="311" t="s">
        <v>158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R3" s="121" t="s">
        <v>19</v>
      </c>
      <c r="T3" s="121" t="s">
        <v>159</v>
      </c>
    </row>
    <row r="4" spans="1:22">
      <c r="A4" s="121">
        <f t="shared" si="0"/>
        <v>4</v>
      </c>
      <c r="B4" s="312" t="s">
        <v>114</v>
      </c>
      <c r="C4" s="335">
        <v>9423.5299999999297</v>
      </c>
      <c r="D4" s="335">
        <v>8896.9899999999307</v>
      </c>
      <c r="E4" s="335">
        <v>7627.8999999999896</v>
      </c>
      <c r="F4" s="335">
        <v>7536.7400000000498</v>
      </c>
      <c r="G4" s="335">
        <v>6514.1400000000403</v>
      </c>
      <c r="H4" s="335">
        <v>5870.3799999999801</v>
      </c>
      <c r="I4" s="335">
        <v>5245.4699999999402</v>
      </c>
      <c r="J4" s="335">
        <v>5715.8999999999796</v>
      </c>
      <c r="K4" s="335">
        <v>5760.70999999997</v>
      </c>
      <c r="L4" s="335">
        <v>5815.77</v>
      </c>
      <c r="M4" s="335">
        <v>6676.58</v>
      </c>
      <c r="N4" s="335">
        <v>8907.9699999999502</v>
      </c>
      <c r="O4" s="310">
        <f t="shared" ref="O4:O15" si="1">SUM(C4:N4)</f>
        <v>83992.079999999783</v>
      </c>
      <c r="Q4" s="121" t="s">
        <v>17</v>
      </c>
      <c r="R4" s="121" t="str">
        <f>CONCATENATE(Q4," - ",B4, " R")</f>
        <v>CFG - FTS-A R</v>
      </c>
      <c r="T4" s="121" t="s">
        <v>160</v>
      </c>
      <c r="U4" s="257">
        <f>MAX(C4:N4)</f>
        <v>9423.5299999999297</v>
      </c>
      <c r="V4" s="257">
        <f>IFERROR(INDEX($C$1:$N$1,MATCH(U4,C4:N4,0)),0)</f>
        <v>1</v>
      </c>
    </row>
    <row r="5" spans="1:22">
      <c r="A5" s="121">
        <f t="shared" si="0"/>
        <v>5</v>
      </c>
      <c r="B5" s="312" t="s">
        <v>115</v>
      </c>
      <c r="C5" s="335">
        <v>33265.11</v>
      </c>
      <c r="D5" s="335">
        <v>31765.3</v>
      </c>
      <c r="E5" s="335">
        <v>25003.739999999802</v>
      </c>
      <c r="F5" s="335">
        <v>23967.940000000199</v>
      </c>
      <c r="G5" s="335">
        <v>22011.950000000201</v>
      </c>
      <c r="H5" s="335">
        <v>19550.789999999899</v>
      </c>
      <c r="I5" s="335">
        <v>17081.460000000199</v>
      </c>
      <c r="J5" s="335">
        <v>18953.569999999901</v>
      </c>
      <c r="K5" s="335">
        <v>19642.8200000002</v>
      </c>
      <c r="L5" s="335">
        <v>18839.949999999801</v>
      </c>
      <c r="M5" s="335">
        <v>22284.4899999999</v>
      </c>
      <c r="N5" s="335">
        <v>30310.140000000301</v>
      </c>
      <c r="O5" s="310">
        <f t="shared" si="1"/>
        <v>282677.26000000042</v>
      </c>
      <c r="Q5" s="121" t="s">
        <v>17</v>
      </c>
      <c r="R5" s="121" t="str">
        <f>CONCATENATE(Q5," - ",B5, " R")</f>
        <v>CFG - FTS-B R</v>
      </c>
      <c r="T5" s="121" t="s">
        <v>160</v>
      </c>
      <c r="U5" s="257">
        <f t="shared" ref="U5:U68" si="2">MAX(C5:N5)</f>
        <v>33265.11</v>
      </c>
      <c r="V5" s="257">
        <f t="shared" ref="V5:V68" si="3">IFERROR(INDEX($C$1:$N$1,MATCH(U5,C5:N5,0)),0)</f>
        <v>1</v>
      </c>
    </row>
    <row r="6" spans="1:22">
      <c r="A6" s="121">
        <f t="shared" si="0"/>
        <v>6</v>
      </c>
      <c r="B6" s="312" t="s">
        <v>116</v>
      </c>
      <c r="C6" s="335">
        <v>269710.09000000003</v>
      </c>
      <c r="D6" s="335">
        <v>252803.94999999899</v>
      </c>
      <c r="E6" s="335">
        <v>199152.19000000501</v>
      </c>
      <c r="F6" s="335">
        <v>195438.47999999</v>
      </c>
      <c r="G6" s="335">
        <v>158302.43999999401</v>
      </c>
      <c r="H6" s="335">
        <v>133567.26000000301</v>
      </c>
      <c r="I6" s="335">
        <v>112512.620000001</v>
      </c>
      <c r="J6" s="335">
        <v>127141.840000001</v>
      </c>
      <c r="K6" s="335">
        <v>122288.75999999</v>
      </c>
      <c r="L6" s="335">
        <v>133142.790000001</v>
      </c>
      <c r="M6" s="335">
        <v>171976.30999999799</v>
      </c>
      <c r="N6" s="335">
        <v>251700.88000000099</v>
      </c>
      <c r="O6" s="310">
        <f t="shared" si="1"/>
        <v>2127737.6099999826</v>
      </c>
      <c r="Q6" s="121" t="s">
        <v>17</v>
      </c>
      <c r="R6" s="121" t="str">
        <f>CONCATENATE(Q6," - ",B6," R")</f>
        <v>CFG - FTS-1 R</v>
      </c>
      <c r="T6" s="121" t="s">
        <v>160</v>
      </c>
      <c r="U6" s="257">
        <f t="shared" si="2"/>
        <v>269710.09000000003</v>
      </c>
      <c r="V6" s="257">
        <f t="shared" si="3"/>
        <v>1</v>
      </c>
    </row>
    <row r="7" spans="1:22">
      <c r="A7" s="121">
        <f t="shared" si="0"/>
        <v>7</v>
      </c>
      <c r="B7" s="312" t="s">
        <v>117</v>
      </c>
      <c r="C7" s="335">
        <v>78576.679999999993</v>
      </c>
      <c r="D7" s="335">
        <v>67008.67</v>
      </c>
      <c r="E7" s="335">
        <v>65479.76</v>
      </c>
      <c r="F7" s="335">
        <v>62562.42</v>
      </c>
      <c r="G7" s="335">
        <v>33406.26</v>
      </c>
      <c r="H7" s="335">
        <v>18103.939999999999</v>
      </c>
      <c r="I7" s="335">
        <v>15051.75</v>
      </c>
      <c r="J7" s="335">
        <v>15654.4</v>
      </c>
      <c r="K7" s="335">
        <v>13904.81</v>
      </c>
      <c r="L7" s="335">
        <v>20371.57</v>
      </c>
      <c r="M7" s="335">
        <v>37083.129999999997</v>
      </c>
      <c r="N7" s="335">
        <v>61065.72</v>
      </c>
      <c r="O7" s="310">
        <f t="shared" si="1"/>
        <v>488269.11</v>
      </c>
      <c r="Q7" s="121" t="s">
        <v>17</v>
      </c>
      <c r="R7" s="121" t="str">
        <f>CONCATENATE(Q7," - ",B7," R")</f>
        <v>CFG - FTS-2 R</v>
      </c>
      <c r="T7" s="121" t="s">
        <v>160</v>
      </c>
      <c r="U7" s="257">
        <f t="shared" si="2"/>
        <v>78576.679999999993</v>
      </c>
      <c r="V7" s="257">
        <f t="shared" si="3"/>
        <v>1</v>
      </c>
    </row>
    <row r="8" spans="1:22">
      <c r="A8" s="121">
        <f t="shared" si="0"/>
        <v>8</v>
      </c>
      <c r="B8" s="312" t="s">
        <v>118</v>
      </c>
      <c r="C8" s="335">
        <v>86443.66</v>
      </c>
      <c r="D8" s="335">
        <v>79997.03</v>
      </c>
      <c r="E8" s="335">
        <v>74972.45</v>
      </c>
      <c r="F8" s="335">
        <v>71962.469999999899</v>
      </c>
      <c r="G8" s="335">
        <v>36251.82</v>
      </c>
      <c r="H8" s="335">
        <v>17080.919999999998</v>
      </c>
      <c r="I8" s="335">
        <v>12942.77</v>
      </c>
      <c r="J8" s="335">
        <v>14299.47</v>
      </c>
      <c r="K8" s="335">
        <v>11473.6</v>
      </c>
      <c r="L8" s="335">
        <v>20845.349999999999</v>
      </c>
      <c r="M8" s="335">
        <v>40054.9</v>
      </c>
      <c r="N8" s="335">
        <v>67812.390000000101</v>
      </c>
      <c r="O8" s="310">
        <f t="shared" si="1"/>
        <v>534136.82999999996</v>
      </c>
      <c r="Q8" s="121" t="s">
        <v>17</v>
      </c>
      <c r="R8" s="121" t="str">
        <f>CONCATENATE(Q8," - ",B8," R")</f>
        <v>CFG - FTS-2.1 R</v>
      </c>
      <c r="T8" s="121" t="s">
        <v>160</v>
      </c>
      <c r="U8" s="257">
        <f t="shared" si="2"/>
        <v>86443.66</v>
      </c>
      <c r="V8" s="257">
        <f t="shared" si="3"/>
        <v>1</v>
      </c>
    </row>
    <row r="9" spans="1:22">
      <c r="A9" s="121">
        <f t="shared" si="0"/>
        <v>9</v>
      </c>
      <c r="B9" s="315" t="s">
        <v>119</v>
      </c>
      <c r="C9" s="335">
        <v>6751.84</v>
      </c>
      <c r="D9" s="335">
        <v>4803.74</v>
      </c>
      <c r="E9" s="335">
        <v>4747.24</v>
      </c>
      <c r="F9" s="335">
        <v>3848.67</v>
      </c>
      <c r="G9" s="335">
        <v>2056.2800000000002</v>
      </c>
      <c r="H9" s="335">
        <v>1060.4000000000001</v>
      </c>
      <c r="I9" s="335">
        <v>535.37</v>
      </c>
      <c r="J9" s="335">
        <v>591.44000000000005</v>
      </c>
      <c r="K9" s="335">
        <v>577.42999999999995</v>
      </c>
      <c r="L9" s="335">
        <v>1496.72</v>
      </c>
      <c r="M9" s="335">
        <v>3834.19</v>
      </c>
      <c r="N9" s="335">
        <v>6613.83</v>
      </c>
      <c r="O9" s="310">
        <f t="shared" si="1"/>
        <v>36917.149999999994</v>
      </c>
      <c r="Q9" s="121" t="s">
        <v>17</v>
      </c>
      <c r="R9" s="121" t="str">
        <f>CONCATENATE(Q9," - ",B9, " R")</f>
        <v>CFG - FTS-3 R</v>
      </c>
      <c r="T9" s="121" t="s">
        <v>160</v>
      </c>
      <c r="U9" s="257">
        <f t="shared" si="2"/>
        <v>6751.84</v>
      </c>
      <c r="V9" s="257">
        <f t="shared" si="3"/>
        <v>1</v>
      </c>
    </row>
    <row r="10" spans="1:22">
      <c r="A10" s="121">
        <f t="shared" si="0"/>
        <v>10</v>
      </c>
      <c r="B10" s="315" t="s">
        <v>120</v>
      </c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10">
        <f t="shared" si="1"/>
        <v>0</v>
      </c>
      <c r="Q10" s="121" t="s">
        <v>17</v>
      </c>
      <c r="R10" s="121" t="str">
        <f>CONCATENATE(Q10," - ",B10, " R")</f>
        <v>CFG - FTS-3.1 R</v>
      </c>
      <c r="T10" s="121" t="s">
        <v>160</v>
      </c>
      <c r="U10" s="257">
        <f t="shared" si="2"/>
        <v>0</v>
      </c>
      <c r="V10" s="257">
        <f t="shared" si="3"/>
        <v>0</v>
      </c>
    </row>
    <row r="11" spans="1:22">
      <c r="A11" s="121">
        <f t="shared" si="0"/>
        <v>11</v>
      </c>
      <c r="B11" s="315" t="s">
        <v>161</v>
      </c>
      <c r="C11" s="335">
        <v>1942288.4800000344</v>
      </c>
      <c r="D11" s="335">
        <v>1684907.7400000058</v>
      </c>
      <c r="E11" s="335">
        <v>1348341.0500000133</v>
      </c>
      <c r="F11" s="335">
        <v>1278430.430000023</v>
      </c>
      <c r="G11" s="335">
        <v>1019756.9100000465</v>
      </c>
      <c r="H11" s="335">
        <v>812919.29000003298</v>
      </c>
      <c r="I11" s="335">
        <v>668340.80000001949</v>
      </c>
      <c r="J11" s="335">
        <v>686050.9800000207</v>
      </c>
      <c r="K11" s="335">
        <v>744923.11000003084</v>
      </c>
      <c r="L11" s="336">
        <v>779872.22000002989</v>
      </c>
      <c r="M11" s="335">
        <v>1048476.6200000342</v>
      </c>
      <c r="N11" s="335">
        <v>1664736.9500000374</v>
      </c>
      <c r="O11" s="310">
        <f t="shared" si="1"/>
        <v>13679044.58000033</v>
      </c>
      <c r="Q11" s="121" t="s">
        <v>16</v>
      </c>
      <c r="R11" s="121" t="str">
        <f>CONCATENATE(Q11," - ",B11)</f>
        <v>FPU - FPU - RS</v>
      </c>
      <c r="T11" s="121" t="s">
        <v>162</v>
      </c>
      <c r="U11" s="257">
        <f t="shared" si="2"/>
        <v>1942288.4800000344</v>
      </c>
      <c r="V11" s="257">
        <f t="shared" si="3"/>
        <v>1</v>
      </c>
    </row>
    <row r="12" spans="1:22">
      <c r="A12" s="121">
        <f t="shared" si="0"/>
        <v>12</v>
      </c>
      <c r="B12" s="315" t="s">
        <v>163</v>
      </c>
      <c r="C12" s="335">
        <v>9368.5900000000038</v>
      </c>
      <c r="D12" s="335">
        <v>6527.1100000000051</v>
      </c>
      <c r="E12" s="335">
        <v>6035.6399999999976</v>
      </c>
      <c r="F12" s="335">
        <v>6649.3000000000038</v>
      </c>
      <c r="G12" s="335">
        <v>5298.9400000000151</v>
      </c>
      <c r="H12" s="335">
        <v>3360.6600000000012</v>
      </c>
      <c r="I12" s="335">
        <v>2107.559999999999</v>
      </c>
      <c r="J12" s="335">
        <v>2337.4399999999978</v>
      </c>
      <c r="K12" s="335">
        <v>3180.4699999999975</v>
      </c>
      <c r="L12" s="335">
        <v>3141.4399999999996</v>
      </c>
      <c r="M12" s="335">
        <v>4965.8900000000021</v>
      </c>
      <c r="N12" s="335">
        <v>7668.1600000000008</v>
      </c>
      <c r="O12" s="310">
        <f t="shared" si="1"/>
        <v>60641.200000000026</v>
      </c>
      <c r="Q12" s="121" t="s">
        <v>16</v>
      </c>
      <c r="R12" s="121" t="str">
        <f>CONCATENATE(Q12," - ",B12)</f>
        <v>FPU - FPU - RS-GS</v>
      </c>
      <c r="T12" s="121" t="s">
        <v>162</v>
      </c>
      <c r="U12" s="257">
        <f t="shared" si="2"/>
        <v>9368.5900000000038</v>
      </c>
      <c r="V12" s="257">
        <f t="shared" si="3"/>
        <v>1</v>
      </c>
    </row>
    <row r="13" spans="1:22">
      <c r="A13" s="121">
        <f t="shared" si="0"/>
        <v>13</v>
      </c>
      <c r="B13" s="315" t="s">
        <v>111</v>
      </c>
      <c r="C13" s="335">
        <v>9567.3800000000228</v>
      </c>
      <c r="D13" s="335">
        <v>9064.0400000000118</v>
      </c>
      <c r="E13" s="335">
        <v>5882.6399999999667</v>
      </c>
      <c r="F13" s="335">
        <v>5806.7899999999681</v>
      </c>
      <c r="G13" s="335">
        <v>5199.0499999999838</v>
      </c>
      <c r="H13" s="335">
        <v>4612.7999999999993</v>
      </c>
      <c r="I13" s="335">
        <v>3950.8200000000065</v>
      </c>
      <c r="J13" s="335">
        <v>4288.6500000000033</v>
      </c>
      <c r="K13" s="335">
        <v>4189.7</v>
      </c>
      <c r="L13" s="335">
        <v>4373</v>
      </c>
      <c r="M13" s="335">
        <v>4843.2699999999877</v>
      </c>
      <c r="N13" s="335">
        <v>7729.09</v>
      </c>
      <c r="O13" s="310">
        <f t="shared" si="1"/>
        <v>69507.229999999952</v>
      </c>
      <c r="Q13" s="121" t="s">
        <v>14</v>
      </c>
      <c r="R13" s="121" t="str">
        <f>CONCATENATE(Q13," - ",B13)</f>
        <v>FT - FT-RS</v>
      </c>
      <c r="T13" s="121" t="s">
        <v>164</v>
      </c>
      <c r="U13" s="257">
        <f t="shared" si="2"/>
        <v>9567.3800000000228</v>
      </c>
      <c r="V13" s="257">
        <f t="shared" si="3"/>
        <v>1</v>
      </c>
    </row>
    <row r="14" spans="1:22">
      <c r="A14" s="121">
        <f t="shared" si="0"/>
        <v>14</v>
      </c>
      <c r="B14" s="315" t="s">
        <v>105</v>
      </c>
      <c r="C14" s="335">
        <v>11154.030000000035</v>
      </c>
      <c r="D14" s="335">
        <v>10010.990000000005</v>
      </c>
      <c r="E14" s="335">
        <v>10109.27000000001</v>
      </c>
      <c r="F14" s="335">
        <v>9733.7700000000023</v>
      </c>
      <c r="G14" s="335">
        <v>10057.659999999996</v>
      </c>
      <c r="H14" s="335">
        <v>8428.7499999999782</v>
      </c>
      <c r="I14" s="335">
        <v>8761.3299999999908</v>
      </c>
      <c r="J14" s="335">
        <v>8513.5500000000065</v>
      </c>
      <c r="K14" s="335">
        <v>8570.73</v>
      </c>
      <c r="L14" s="335">
        <v>9414.6200000000044</v>
      </c>
      <c r="M14" s="335">
        <v>9228.58</v>
      </c>
      <c r="N14" s="335">
        <v>10659.200000000004</v>
      </c>
      <c r="O14" s="319">
        <f t="shared" si="1"/>
        <v>114642.48000000004</v>
      </c>
      <c r="Q14" s="121" t="s">
        <v>13</v>
      </c>
      <c r="R14" s="121" t="str">
        <f>CONCATENATE(Q14," - ",B14)</f>
        <v>IGC - IGC - TS1</v>
      </c>
      <c r="T14" s="121" t="s">
        <v>165</v>
      </c>
      <c r="U14" s="257">
        <f t="shared" si="2"/>
        <v>11154.030000000035</v>
      </c>
      <c r="V14" s="257">
        <f t="shared" si="3"/>
        <v>1</v>
      </c>
    </row>
    <row r="15" spans="1:22">
      <c r="A15" s="121">
        <f t="shared" si="0"/>
        <v>15</v>
      </c>
      <c r="B15" s="316" t="s">
        <v>166</v>
      </c>
      <c r="C15" s="310">
        <f t="shared" ref="C15:N15" si="4">SUM(C4:C14)</f>
        <v>2456549.3900000346</v>
      </c>
      <c r="D15" s="310">
        <f t="shared" si="4"/>
        <v>2155785.5600000047</v>
      </c>
      <c r="E15" s="310">
        <f t="shared" si="4"/>
        <v>1747351.880000018</v>
      </c>
      <c r="F15" s="310">
        <f t="shared" si="4"/>
        <v>1665937.0100000133</v>
      </c>
      <c r="G15" s="310">
        <f t="shared" si="4"/>
        <v>1298855.4500000407</v>
      </c>
      <c r="H15" s="310">
        <f t="shared" si="4"/>
        <v>1024555.1900000359</v>
      </c>
      <c r="I15" s="310">
        <f t="shared" si="4"/>
        <v>846529.95000002056</v>
      </c>
      <c r="J15" s="310">
        <f t="shared" si="4"/>
        <v>883547.24000002153</v>
      </c>
      <c r="K15" s="310">
        <f t="shared" si="4"/>
        <v>934512.14000002085</v>
      </c>
      <c r="L15" s="310">
        <f>SUM(L4:L14)</f>
        <v>997313.43000003067</v>
      </c>
      <c r="M15" s="310">
        <f t="shared" si="4"/>
        <v>1349423.9600000321</v>
      </c>
      <c r="N15" s="310">
        <f t="shared" si="4"/>
        <v>2117204.3300000387</v>
      </c>
      <c r="O15" s="310">
        <f t="shared" si="1"/>
        <v>17477565.53000031</v>
      </c>
      <c r="S15" s="337"/>
      <c r="U15" s="257"/>
      <c r="V15" s="257"/>
    </row>
    <row r="16" spans="1:22">
      <c r="A16" s="121">
        <f t="shared" si="0"/>
        <v>16</v>
      </c>
      <c r="B16" s="311" t="s">
        <v>167</v>
      </c>
      <c r="C16" s="310"/>
      <c r="D16" s="310"/>
      <c r="E16" s="310"/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U16" s="257"/>
      <c r="V16" s="257"/>
    </row>
    <row r="17" spans="1:22">
      <c r="A17" s="121">
        <f t="shared" si="0"/>
        <v>17</v>
      </c>
      <c r="B17" s="312" t="s">
        <v>114</v>
      </c>
      <c r="C17" s="335">
        <v>303.70999999999998</v>
      </c>
      <c r="D17" s="335">
        <v>321.74</v>
      </c>
      <c r="E17" s="335">
        <v>297.83</v>
      </c>
      <c r="F17" s="338">
        <v>244.94</v>
      </c>
      <c r="G17" s="335">
        <v>195.1</v>
      </c>
      <c r="H17" s="335">
        <v>173.47</v>
      </c>
      <c r="I17" s="335">
        <v>140.43</v>
      </c>
      <c r="J17" s="335">
        <v>135.35</v>
      </c>
      <c r="K17" s="335">
        <v>143.68</v>
      </c>
      <c r="L17" s="335">
        <v>162.34</v>
      </c>
      <c r="M17" s="335">
        <v>207.76</v>
      </c>
      <c r="N17" s="335">
        <v>323.95999999999998</v>
      </c>
      <c r="O17" s="310">
        <f t="shared" ref="O17:O24" si="5">SUM(C17:N17)</f>
        <v>2650.3100000000004</v>
      </c>
      <c r="Q17" s="121" t="s">
        <v>17</v>
      </c>
      <c r="R17" s="121" t="str">
        <f>CONCATENATE(Q17," - ",B17," - ",S17)</f>
        <v>CFG - FTS-A - Fixed R</v>
      </c>
      <c r="S17" s="121" t="s">
        <v>168</v>
      </c>
      <c r="T17" s="121" t="s">
        <v>160</v>
      </c>
      <c r="U17" s="257">
        <f t="shared" si="2"/>
        <v>323.95999999999998</v>
      </c>
      <c r="V17" s="257">
        <f t="shared" si="3"/>
        <v>12</v>
      </c>
    </row>
    <row r="18" spans="1:22">
      <c r="A18" s="121">
        <f t="shared" si="0"/>
        <v>18</v>
      </c>
      <c r="B18" s="312" t="s">
        <v>115</v>
      </c>
      <c r="C18" s="335">
        <v>928.03</v>
      </c>
      <c r="D18" s="335">
        <v>896.84</v>
      </c>
      <c r="E18" s="335">
        <v>716.06</v>
      </c>
      <c r="F18" s="338">
        <v>684.31</v>
      </c>
      <c r="G18" s="335">
        <v>666.25</v>
      </c>
      <c r="H18" s="335">
        <v>534.03</v>
      </c>
      <c r="I18" s="335">
        <v>494.37</v>
      </c>
      <c r="J18" s="335">
        <v>556.51</v>
      </c>
      <c r="K18" s="335">
        <v>555.27</v>
      </c>
      <c r="L18" s="335">
        <v>587.13</v>
      </c>
      <c r="M18" s="335">
        <v>696.83</v>
      </c>
      <c r="N18" s="335">
        <v>965.81</v>
      </c>
      <c r="O18" s="310">
        <f t="shared" si="5"/>
        <v>8281.44</v>
      </c>
      <c r="Q18" s="121" t="s">
        <v>17</v>
      </c>
      <c r="R18" s="121" t="str">
        <f t="shared" ref="R18:R23" si="6">CONCATENATE(Q18," - ",B18," - ",S18)</f>
        <v>CFG - FTS-B - Fixed R</v>
      </c>
      <c r="S18" s="121" t="s">
        <v>168</v>
      </c>
      <c r="T18" s="121" t="s">
        <v>160</v>
      </c>
      <c r="U18" s="257">
        <f t="shared" si="2"/>
        <v>965.81</v>
      </c>
      <c r="V18" s="257">
        <f t="shared" si="3"/>
        <v>12</v>
      </c>
    </row>
    <row r="19" spans="1:22">
      <c r="A19" s="121">
        <f t="shared" si="0"/>
        <v>19</v>
      </c>
      <c r="B19" s="312" t="s">
        <v>116</v>
      </c>
      <c r="C19" s="335">
        <v>4122.12</v>
      </c>
      <c r="D19" s="335">
        <v>3785.21</v>
      </c>
      <c r="E19" s="335">
        <v>2619.5300000000002</v>
      </c>
      <c r="F19" s="338">
        <v>2632.9</v>
      </c>
      <c r="G19" s="335">
        <v>2207.85</v>
      </c>
      <c r="H19" s="335">
        <v>2169.2600000000002</v>
      </c>
      <c r="I19" s="335">
        <v>1575.84</v>
      </c>
      <c r="J19" s="335">
        <v>1753.02</v>
      </c>
      <c r="K19" s="335">
        <v>1820.18</v>
      </c>
      <c r="L19" s="335">
        <v>1885.66</v>
      </c>
      <c r="M19" s="335">
        <v>2480.88</v>
      </c>
      <c r="N19" s="335">
        <v>3483.45</v>
      </c>
      <c r="O19" s="310">
        <f t="shared" si="5"/>
        <v>30535.900000000005</v>
      </c>
      <c r="Q19" s="121" t="s">
        <v>17</v>
      </c>
      <c r="R19" s="121" t="str">
        <f t="shared" si="6"/>
        <v>CFG - FTS-1 - Fixed R</v>
      </c>
      <c r="S19" s="121" t="s">
        <v>168</v>
      </c>
      <c r="T19" s="121" t="s">
        <v>160</v>
      </c>
      <c r="U19" s="257">
        <f t="shared" si="2"/>
        <v>4122.12</v>
      </c>
      <c r="V19" s="257">
        <f t="shared" si="3"/>
        <v>1</v>
      </c>
    </row>
    <row r="20" spans="1:22">
      <c r="A20" s="121">
        <f t="shared" si="0"/>
        <v>20</v>
      </c>
      <c r="B20" s="312" t="s">
        <v>117</v>
      </c>
      <c r="C20" s="335">
        <v>1584.92</v>
      </c>
      <c r="D20" s="335">
        <v>1241.08</v>
      </c>
      <c r="E20" s="335">
        <v>1347.06</v>
      </c>
      <c r="F20" s="338">
        <v>1623.03</v>
      </c>
      <c r="G20" s="335">
        <v>662.53</v>
      </c>
      <c r="H20" s="335">
        <v>399.43</v>
      </c>
      <c r="I20" s="335">
        <v>322.98</v>
      </c>
      <c r="J20" s="335">
        <v>402.04</v>
      </c>
      <c r="K20" s="335">
        <v>301.51</v>
      </c>
      <c r="L20" s="335">
        <v>382.19</v>
      </c>
      <c r="M20" s="335">
        <v>793.03</v>
      </c>
      <c r="N20" s="335">
        <v>1779.25</v>
      </c>
      <c r="O20" s="310">
        <f t="shared" si="5"/>
        <v>10839.05</v>
      </c>
      <c r="Q20" s="121" t="s">
        <v>17</v>
      </c>
      <c r="R20" s="121" t="str">
        <f t="shared" si="6"/>
        <v>CFG - FTS-2 - Fixed R</v>
      </c>
      <c r="S20" s="121" t="s">
        <v>168</v>
      </c>
      <c r="T20" s="121" t="s">
        <v>160</v>
      </c>
      <c r="U20" s="257">
        <f t="shared" si="2"/>
        <v>1779.25</v>
      </c>
      <c r="V20" s="257">
        <f t="shared" si="3"/>
        <v>12</v>
      </c>
    </row>
    <row r="21" spans="1:22">
      <c r="A21" s="121">
        <f t="shared" si="0"/>
        <v>21</v>
      </c>
      <c r="B21" s="312" t="s">
        <v>118</v>
      </c>
      <c r="C21" s="335">
        <v>1739.96</v>
      </c>
      <c r="D21" s="335">
        <v>1237.33</v>
      </c>
      <c r="E21" s="335">
        <v>1143.5899999999999</v>
      </c>
      <c r="F21" s="338">
        <v>1105.96</v>
      </c>
      <c r="G21" s="335">
        <v>510.27</v>
      </c>
      <c r="H21" s="335">
        <v>247.02</v>
      </c>
      <c r="I21" s="335">
        <v>173.62</v>
      </c>
      <c r="J21" s="335">
        <v>199.71</v>
      </c>
      <c r="K21" s="335">
        <v>103.25</v>
      </c>
      <c r="L21" s="335">
        <v>353</v>
      </c>
      <c r="M21" s="335">
        <v>1122.79</v>
      </c>
      <c r="N21" s="335">
        <v>1784.14</v>
      </c>
      <c r="O21" s="310">
        <f t="shared" si="5"/>
        <v>9720.6400000000012</v>
      </c>
      <c r="Q21" s="121" t="s">
        <v>17</v>
      </c>
      <c r="R21" s="121" t="str">
        <f t="shared" si="6"/>
        <v>CFG - FTS-2.1 - Fixed R</v>
      </c>
      <c r="S21" s="121" t="s">
        <v>168</v>
      </c>
      <c r="T21" s="121" t="s">
        <v>160</v>
      </c>
      <c r="U21" s="257">
        <f t="shared" si="2"/>
        <v>1784.14</v>
      </c>
      <c r="V21" s="257">
        <f t="shared" si="3"/>
        <v>12</v>
      </c>
    </row>
    <row r="22" spans="1:22">
      <c r="A22" s="121">
        <f t="shared" si="0"/>
        <v>22</v>
      </c>
      <c r="B22" s="315" t="s">
        <v>119</v>
      </c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10">
        <f t="shared" si="5"/>
        <v>0</v>
      </c>
      <c r="Q22" s="121" t="s">
        <v>17</v>
      </c>
      <c r="R22" s="121" t="str">
        <f t="shared" si="6"/>
        <v>CFG - FTS-3 - Fixed R</v>
      </c>
      <c r="S22" s="121" t="s">
        <v>168</v>
      </c>
      <c r="T22" s="121" t="s">
        <v>160</v>
      </c>
      <c r="U22" s="257">
        <f t="shared" si="2"/>
        <v>0</v>
      </c>
      <c r="V22" s="257">
        <f t="shared" si="3"/>
        <v>0</v>
      </c>
    </row>
    <row r="23" spans="1:22">
      <c r="A23" s="121">
        <f t="shared" si="0"/>
        <v>23</v>
      </c>
      <c r="B23" s="315" t="s">
        <v>120</v>
      </c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19">
        <f t="shared" si="5"/>
        <v>0</v>
      </c>
      <c r="Q23" s="121" t="s">
        <v>17</v>
      </c>
      <c r="R23" s="121" t="str">
        <f t="shared" si="6"/>
        <v>CFG - FTS-3.1 - Fixed R</v>
      </c>
      <c r="S23" s="121" t="s">
        <v>168</v>
      </c>
      <c r="T23" s="121" t="s">
        <v>160</v>
      </c>
      <c r="U23" s="257">
        <f t="shared" si="2"/>
        <v>0</v>
      </c>
      <c r="V23" s="257">
        <f t="shared" si="3"/>
        <v>0</v>
      </c>
    </row>
    <row r="24" spans="1:22">
      <c r="A24" s="121">
        <f t="shared" si="0"/>
        <v>24</v>
      </c>
      <c r="B24" s="316" t="s">
        <v>169</v>
      </c>
      <c r="C24" s="310">
        <f t="shared" ref="C24:N24" si="7">SUM(C17:C23)</f>
        <v>8678.74</v>
      </c>
      <c r="D24" s="310">
        <f t="shared" si="7"/>
        <v>7482.2</v>
      </c>
      <c r="E24" s="310">
        <f t="shared" si="7"/>
        <v>6124.07</v>
      </c>
      <c r="F24" s="310">
        <f t="shared" si="7"/>
        <v>6291.14</v>
      </c>
      <c r="G24" s="310">
        <f t="shared" si="7"/>
        <v>4242</v>
      </c>
      <c r="H24" s="310">
        <f t="shared" si="7"/>
        <v>3523.21</v>
      </c>
      <c r="I24" s="310">
        <f t="shared" si="7"/>
        <v>2707.24</v>
      </c>
      <c r="J24" s="310">
        <f t="shared" si="7"/>
        <v>3046.63</v>
      </c>
      <c r="K24" s="310">
        <f t="shared" si="7"/>
        <v>2923.8900000000003</v>
      </c>
      <c r="L24" s="310">
        <f>SUM(L17:L23)</f>
        <v>3370.32</v>
      </c>
      <c r="M24" s="310">
        <f t="shared" si="7"/>
        <v>5301.29</v>
      </c>
      <c r="N24" s="310">
        <f t="shared" si="7"/>
        <v>8336.6099999999988</v>
      </c>
      <c r="O24" s="310">
        <f t="shared" si="5"/>
        <v>62027.339999999989</v>
      </c>
      <c r="U24" s="257"/>
      <c r="V24" s="257"/>
    </row>
    <row r="25" spans="1:22">
      <c r="A25" s="121">
        <f t="shared" si="0"/>
        <v>25</v>
      </c>
      <c r="B25" s="320" t="s">
        <v>170</v>
      </c>
      <c r="C25" s="339"/>
      <c r="D25" s="339"/>
      <c r="E25" s="340"/>
      <c r="F25" s="340"/>
      <c r="G25" s="340"/>
      <c r="H25" s="340"/>
      <c r="I25" s="341"/>
      <c r="J25" s="341"/>
      <c r="K25" s="341"/>
      <c r="L25" s="340"/>
      <c r="M25" s="341"/>
      <c r="N25" s="341"/>
      <c r="O25" s="310"/>
      <c r="U25" s="257"/>
      <c r="V25" s="257"/>
    </row>
    <row r="26" spans="1:22">
      <c r="A26" s="121">
        <f t="shared" si="0"/>
        <v>26</v>
      </c>
      <c r="B26" s="312" t="s">
        <v>114</v>
      </c>
      <c r="C26" s="335">
        <v>29.05</v>
      </c>
      <c r="D26" s="335">
        <v>35.29</v>
      </c>
      <c r="E26" s="335">
        <v>37.369999999999997</v>
      </c>
      <c r="F26" s="335">
        <v>29.02</v>
      </c>
      <c r="G26" s="335">
        <v>27.97</v>
      </c>
      <c r="H26" s="335">
        <v>25.92</v>
      </c>
      <c r="I26" s="335">
        <v>29.61</v>
      </c>
      <c r="J26" s="335">
        <v>30.7</v>
      </c>
      <c r="K26" s="335">
        <v>36.44</v>
      </c>
      <c r="L26" s="335">
        <v>22.89</v>
      </c>
      <c r="M26" s="335">
        <v>30.2</v>
      </c>
      <c r="N26" s="335">
        <v>35.380000000000003</v>
      </c>
      <c r="O26" s="310">
        <f t="shared" ref="O26:O62" si="8">SUM(C26:N26)</f>
        <v>369.84</v>
      </c>
      <c r="Q26" s="121" t="s">
        <v>17</v>
      </c>
      <c r="R26" s="121" t="str">
        <f t="shared" ref="R26:R32" si="9">CONCATENATE(Q26," - ",B26," NR")</f>
        <v>CFG - FTS-A NR</v>
      </c>
      <c r="T26" s="121" t="s">
        <v>171</v>
      </c>
      <c r="U26" s="257">
        <f t="shared" si="2"/>
        <v>37.369999999999997</v>
      </c>
      <c r="V26" s="257">
        <f t="shared" si="3"/>
        <v>3</v>
      </c>
    </row>
    <row r="27" spans="1:22">
      <c r="A27" s="121">
        <f t="shared" si="0"/>
        <v>27</v>
      </c>
      <c r="B27" s="312" t="s">
        <v>115</v>
      </c>
      <c r="C27" s="335">
        <v>109.42</v>
      </c>
      <c r="D27" s="335">
        <v>87.81</v>
      </c>
      <c r="E27" s="335">
        <v>63.71</v>
      </c>
      <c r="F27" s="335">
        <v>70.06</v>
      </c>
      <c r="G27" s="335">
        <v>49.2</v>
      </c>
      <c r="H27" s="335">
        <v>53.29</v>
      </c>
      <c r="I27" s="335">
        <v>45.85</v>
      </c>
      <c r="J27" s="335">
        <v>44.75</v>
      </c>
      <c r="K27" s="335">
        <v>51.48</v>
      </c>
      <c r="L27" s="335">
        <v>50.35</v>
      </c>
      <c r="M27" s="335">
        <v>60.92</v>
      </c>
      <c r="N27" s="335">
        <v>73.08</v>
      </c>
      <c r="O27" s="310">
        <f t="shared" si="8"/>
        <v>759.92000000000007</v>
      </c>
      <c r="Q27" s="121" t="s">
        <v>17</v>
      </c>
      <c r="R27" s="121" t="str">
        <f t="shared" si="9"/>
        <v>CFG - FTS-B NR</v>
      </c>
      <c r="T27" s="121" t="s">
        <v>171</v>
      </c>
      <c r="U27" s="257">
        <f t="shared" si="2"/>
        <v>109.42</v>
      </c>
      <c r="V27" s="257">
        <f t="shared" si="3"/>
        <v>1</v>
      </c>
    </row>
    <row r="28" spans="1:22">
      <c r="A28" s="121">
        <f t="shared" si="0"/>
        <v>28</v>
      </c>
      <c r="B28" s="312" t="s">
        <v>116</v>
      </c>
      <c r="C28" s="335">
        <v>5095.8100000000104</v>
      </c>
      <c r="D28" s="335">
        <v>5370.57</v>
      </c>
      <c r="E28" s="335">
        <v>4272.12</v>
      </c>
      <c r="F28" s="335">
        <v>4797.32</v>
      </c>
      <c r="G28" s="335">
        <v>6098.04</v>
      </c>
      <c r="H28" s="335">
        <v>3878.36</v>
      </c>
      <c r="I28" s="335">
        <v>3261.01</v>
      </c>
      <c r="J28" s="335">
        <v>3872.4</v>
      </c>
      <c r="K28" s="335">
        <v>3747.55</v>
      </c>
      <c r="L28" s="335">
        <v>3512.4</v>
      </c>
      <c r="M28" s="335">
        <v>4898.82</v>
      </c>
      <c r="N28" s="335">
        <v>5243.94</v>
      </c>
      <c r="O28" s="310">
        <f t="shared" si="8"/>
        <v>54048.340000000018</v>
      </c>
      <c r="Q28" s="121" t="s">
        <v>17</v>
      </c>
      <c r="R28" s="121" t="str">
        <f t="shared" si="9"/>
        <v>CFG - FTS-1 NR</v>
      </c>
      <c r="T28" s="121" t="s">
        <v>171</v>
      </c>
      <c r="U28" s="257">
        <f t="shared" si="2"/>
        <v>6098.04</v>
      </c>
      <c r="V28" s="257">
        <f t="shared" si="3"/>
        <v>5</v>
      </c>
    </row>
    <row r="29" spans="1:22">
      <c r="A29" s="121">
        <f t="shared" si="0"/>
        <v>29</v>
      </c>
      <c r="B29" s="312" t="s">
        <v>117</v>
      </c>
      <c r="C29" s="335">
        <v>8803.69</v>
      </c>
      <c r="D29" s="335">
        <v>8085.74</v>
      </c>
      <c r="E29" s="335">
        <v>7558.36</v>
      </c>
      <c r="F29" s="335">
        <v>6234.09</v>
      </c>
      <c r="G29" s="335">
        <v>5642.9</v>
      </c>
      <c r="H29" s="335">
        <v>5093.1000000000004</v>
      </c>
      <c r="I29" s="335">
        <v>3990.01</v>
      </c>
      <c r="J29" s="335">
        <v>4801.49</v>
      </c>
      <c r="K29" s="335">
        <v>4672.8900000000003</v>
      </c>
      <c r="L29" s="335">
        <v>5091.1899999999996</v>
      </c>
      <c r="M29" s="335">
        <v>6517.27</v>
      </c>
      <c r="N29" s="335">
        <v>7838.91</v>
      </c>
      <c r="O29" s="310">
        <f t="shared" si="8"/>
        <v>74329.64</v>
      </c>
      <c r="Q29" s="121" t="s">
        <v>17</v>
      </c>
      <c r="R29" s="121" t="str">
        <f t="shared" si="9"/>
        <v>CFG - FTS-2 NR</v>
      </c>
      <c r="T29" s="121" t="s">
        <v>171</v>
      </c>
      <c r="U29" s="257">
        <f t="shared" si="2"/>
        <v>8803.69</v>
      </c>
      <c r="V29" s="257">
        <f t="shared" si="3"/>
        <v>1</v>
      </c>
    </row>
    <row r="30" spans="1:22">
      <c r="A30" s="121">
        <f t="shared" si="0"/>
        <v>30</v>
      </c>
      <c r="B30" s="312" t="s">
        <v>118</v>
      </c>
      <c r="C30" s="335">
        <v>36791.160000000003</v>
      </c>
      <c r="D30" s="335">
        <v>36394.25</v>
      </c>
      <c r="E30" s="335">
        <v>35747.49</v>
      </c>
      <c r="F30" s="335">
        <v>28696.35</v>
      </c>
      <c r="G30" s="335">
        <v>32983.85</v>
      </c>
      <c r="H30" s="335">
        <v>28355.39</v>
      </c>
      <c r="I30" s="335">
        <v>23829.27</v>
      </c>
      <c r="J30" s="335">
        <v>27101.06</v>
      </c>
      <c r="K30" s="335">
        <v>29564.67</v>
      </c>
      <c r="L30" s="335">
        <v>29540.52</v>
      </c>
      <c r="M30" s="335">
        <v>32114.38</v>
      </c>
      <c r="N30" s="335">
        <v>37212.589999999997</v>
      </c>
      <c r="O30" s="310">
        <f t="shared" si="8"/>
        <v>378330.98</v>
      </c>
      <c r="Q30" s="121" t="s">
        <v>17</v>
      </c>
      <c r="R30" s="121" t="str">
        <f t="shared" si="9"/>
        <v>CFG - FTS-2.1 NR</v>
      </c>
      <c r="T30" s="121" t="s">
        <v>171</v>
      </c>
      <c r="U30" s="257">
        <f t="shared" si="2"/>
        <v>37212.589999999997</v>
      </c>
      <c r="V30" s="257">
        <f t="shared" si="3"/>
        <v>12</v>
      </c>
    </row>
    <row r="31" spans="1:22">
      <c r="A31" s="121">
        <f t="shared" si="0"/>
        <v>31</v>
      </c>
      <c r="B31" s="315" t="s">
        <v>119</v>
      </c>
      <c r="C31" s="335">
        <v>92323.3100000001</v>
      </c>
      <c r="D31" s="335">
        <v>95412.460000000094</v>
      </c>
      <c r="E31" s="335">
        <v>86516.43</v>
      </c>
      <c r="F31" s="335">
        <v>91622.42</v>
      </c>
      <c r="G31" s="335">
        <v>87001.26</v>
      </c>
      <c r="H31" s="335">
        <v>81679.890000000101</v>
      </c>
      <c r="I31" s="335">
        <v>71437.019999999902</v>
      </c>
      <c r="J31" s="335">
        <v>77438.600000000093</v>
      </c>
      <c r="K31" s="335">
        <v>83782.87</v>
      </c>
      <c r="L31" s="335">
        <v>84475.06</v>
      </c>
      <c r="M31" s="335">
        <v>94499.8</v>
      </c>
      <c r="N31" s="335">
        <v>100025.68</v>
      </c>
      <c r="O31" s="310">
        <f t="shared" si="8"/>
        <v>1046214.8000000003</v>
      </c>
      <c r="Q31" s="121" t="s">
        <v>17</v>
      </c>
      <c r="R31" s="121" t="str">
        <f t="shared" si="9"/>
        <v>CFG - FTS-3 NR</v>
      </c>
      <c r="T31" s="121" t="s">
        <v>171</v>
      </c>
      <c r="U31" s="257">
        <f t="shared" si="2"/>
        <v>100025.68</v>
      </c>
      <c r="V31" s="257">
        <f t="shared" si="3"/>
        <v>12</v>
      </c>
    </row>
    <row r="32" spans="1:22">
      <c r="A32" s="121">
        <f t="shared" si="0"/>
        <v>32</v>
      </c>
      <c r="B32" s="315" t="s">
        <v>120</v>
      </c>
      <c r="C32" s="335">
        <v>223570</v>
      </c>
      <c r="D32" s="335">
        <v>225861.64</v>
      </c>
      <c r="E32" s="335">
        <v>202250.93</v>
      </c>
      <c r="F32" s="335">
        <v>203164.43</v>
      </c>
      <c r="G32" s="335">
        <v>197716.04</v>
      </c>
      <c r="H32" s="335">
        <v>203665.85</v>
      </c>
      <c r="I32" s="335">
        <v>172080.8</v>
      </c>
      <c r="J32" s="335">
        <v>173755.53</v>
      </c>
      <c r="K32" s="335">
        <v>184784.49</v>
      </c>
      <c r="L32" s="335">
        <v>177679.69</v>
      </c>
      <c r="M32" s="335">
        <v>189912.36</v>
      </c>
      <c r="N32" s="335">
        <v>220694.24</v>
      </c>
      <c r="O32" s="310">
        <f t="shared" si="8"/>
        <v>2375136</v>
      </c>
      <c r="Q32" s="121" t="s">
        <v>17</v>
      </c>
      <c r="R32" s="121" t="str">
        <f t="shared" si="9"/>
        <v>CFG - FTS-3.1 NR</v>
      </c>
      <c r="T32" s="121" t="s">
        <v>171</v>
      </c>
      <c r="U32" s="257">
        <f t="shared" si="2"/>
        <v>225861.64</v>
      </c>
      <c r="V32" s="257">
        <f t="shared" si="3"/>
        <v>2</v>
      </c>
    </row>
    <row r="33" spans="1:22">
      <c r="A33" s="121">
        <f t="shared" si="0"/>
        <v>33</v>
      </c>
      <c r="B33" s="315" t="s">
        <v>121</v>
      </c>
      <c r="C33" s="335">
        <v>322670.89</v>
      </c>
      <c r="D33" s="335">
        <v>308646.88</v>
      </c>
      <c r="E33" s="335">
        <v>279161.69</v>
      </c>
      <c r="F33" s="335">
        <v>282815.14</v>
      </c>
      <c r="G33" s="335">
        <v>246554.79</v>
      </c>
      <c r="H33" s="335">
        <v>234525.95</v>
      </c>
      <c r="I33" s="335">
        <v>223990.53</v>
      </c>
      <c r="J33" s="335">
        <v>199710.04</v>
      </c>
      <c r="K33" s="335">
        <v>221060.94</v>
      </c>
      <c r="L33" s="335">
        <v>235314.12</v>
      </c>
      <c r="M33" s="335">
        <v>276172.09999999998</v>
      </c>
      <c r="N33" s="335">
        <v>346737.94</v>
      </c>
      <c r="O33" s="310">
        <f t="shared" si="8"/>
        <v>3177361.0100000002</v>
      </c>
      <c r="Q33" s="121" t="s">
        <v>17</v>
      </c>
      <c r="R33" s="121" t="str">
        <f t="shared" ref="R33:R61" si="10">CONCATENATE(Q33," - ",B33)</f>
        <v>CFG - FTS-4</v>
      </c>
      <c r="T33" s="121" t="s">
        <v>171</v>
      </c>
      <c r="U33" s="257">
        <f t="shared" si="2"/>
        <v>346737.94</v>
      </c>
      <c r="V33" s="257">
        <f t="shared" si="3"/>
        <v>12</v>
      </c>
    </row>
    <row r="34" spans="1:22">
      <c r="A34" s="121">
        <f t="shared" si="0"/>
        <v>34</v>
      </c>
      <c r="B34" s="315" t="s">
        <v>142</v>
      </c>
      <c r="C34" s="335">
        <v>112552.44</v>
      </c>
      <c r="D34" s="335">
        <v>97652.76</v>
      </c>
      <c r="E34" s="335">
        <v>98514.3</v>
      </c>
      <c r="F34" s="335">
        <v>92204.17</v>
      </c>
      <c r="G34" s="335">
        <v>95365.1</v>
      </c>
      <c r="H34" s="335">
        <v>80223.3</v>
      </c>
      <c r="I34" s="335">
        <v>76350.820000000007</v>
      </c>
      <c r="J34" s="335">
        <v>74427.649999999994</v>
      </c>
      <c r="K34" s="335">
        <v>80604.320000000007</v>
      </c>
      <c r="L34" s="335">
        <v>69787.55</v>
      </c>
      <c r="M34" s="335">
        <v>85004.36</v>
      </c>
      <c r="N34" s="335">
        <v>92703.75</v>
      </c>
      <c r="O34" s="310">
        <f t="shared" si="8"/>
        <v>1055390.52</v>
      </c>
      <c r="Q34" s="121" t="s">
        <v>17</v>
      </c>
      <c r="R34" s="121" t="str">
        <f t="shared" si="10"/>
        <v>CFG - FTS-5</v>
      </c>
      <c r="T34" s="121" t="s">
        <v>171</v>
      </c>
      <c r="U34" s="257">
        <f t="shared" si="2"/>
        <v>112552.44</v>
      </c>
      <c r="V34" s="257">
        <f t="shared" si="3"/>
        <v>1</v>
      </c>
    </row>
    <row r="35" spans="1:22">
      <c r="A35" s="121">
        <f t="shared" si="0"/>
        <v>35</v>
      </c>
      <c r="B35" s="315" t="s">
        <v>143</v>
      </c>
      <c r="C35" s="335">
        <v>186456.89</v>
      </c>
      <c r="D35" s="335">
        <v>147191.14000000001</v>
      </c>
      <c r="E35" s="335">
        <v>136772.51999999999</v>
      </c>
      <c r="F35" s="335">
        <v>160421.25</v>
      </c>
      <c r="G35" s="335">
        <v>148621.65</v>
      </c>
      <c r="H35" s="335">
        <v>142643.20000000001</v>
      </c>
      <c r="I35" s="335">
        <v>149115.15</v>
      </c>
      <c r="J35" s="335">
        <v>146760.68</v>
      </c>
      <c r="K35" s="335">
        <v>135285.41</v>
      </c>
      <c r="L35" s="335">
        <v>129928.81</v>
      </c>
      <c r="M35" s="335">
        <v>134341.78</v>
      </c>
      <c r="N35" s="335">
        <v>149077.64000000001</v>
      </c>
      <c r="O35" s="310">
        <f t="shared" si="8"/>
        <v>1766616.12</v>
      </c>
      <c r="Q35" s="121" t="s">
        <v>17</v>
      </c>
      <c r="R35" s="121" t="str">
        <f t="shared" si="10"/>
        <v>CFG - FTS-6</v>
      </c>
      <c r="T35" s="121" t="s">
        <v>171</v>
      </c>
      <c r="U35" s="257">
        <f t="shared" si="2"/>
        <v>186456.89</v>
      </c>
      <c r="V35" s="257">
        <f t="shared" si="3"/>
        <v>1</v>
      </c>
    </row>
    <row r="36" spans="1:22">
      <c r="A36" s="121">
        <f t="shared" si="0"/>
        <v>36</v>
      </c>
      <c r="B36" s="315" t="s">
        <v>144</v>
      </c>
      <c r="C36" s="335">
        <v>363983.63</v>
      </c>
      <c r="D36" s="335">
        <v>317150.26</v>
      </c>
      <c r="E36" s="335">
        <v>330053.94</v>
      </c>
      <c r="F36" s="335">
        <v>308370.13</v>
      </c>
      <c r="G36" s="335">
        <v>301402.5</v>
      </c>
      <c r="H36" s="335">
        <v>271455.90999999997</v>
      </c>
      <c r="I36" s="335">
        <v>281036.27</v>
      </c>
      <c r="J36" s="335">
        <v>284605.8</v>
      </c>
      <c r="K36" s="335">
        <v>269100.78000000003</v>
      </c>
      <c r="L36" s="335">
        <v>313173.86</v>
      </c>
      <c r="M36" s="335">
        <v>307116.02</v>
      </c>
      <c r="N36" s="335">
        <v>323870.53999999998</v>
      </c>
      <c r="O36" s="310">
        <f t="shared" si="8"/>
        <v>3671319.6399999997</v>
      </c>
      <c r="Q36" s="121" t="s">
        <v>17</v>
      </c>
      <c r="R36" s="121" t="str">
        <f t="shared" si="10"/>
        <v>CFG - FTS-7</v>
      </c>
      <c r="T36" s="121" t="s">
        <v>171</v>
      </c>
      <c r="U36" s="257">
        <f t="shared" si="2"/>
        <v>363983.63</v>
      </c>
      <c r="V36" s="257">
        <f t="shared" si="3"/>
        <v>1</v>
      </c>
    </row>
    <row r="37" spans="1:22">
      <c r="A37" s="121">
        <f t="shared" si="0"/>
        <v>37</v>
      </c>
      <c r="B37" s="315" t="s">
        <v>145</v>
      </c>
      <c r="C37" s="335">
        <v>489449.3</v>
      </c>
      <c r="D37" s="335">
        <v>437996.87</v>
      </c>
      <c r="E37" s="335">
        <v>480877.57</v>
      </c>
      <c r="F37" s="335">
        <v>373428.64</v>
      </c>
      <c r="G37" s="335">
        <v>351481.62</v>
      </c>
      <c r="H37" s="335">
        <v>379302.45</v>
      </c>
      <c r="I37" s="335">
        <v>369319.59</v>
      </c>
      <c r="J37" s="335">
        <v>393339.09</v>
      </c>
      <c r="K37" s="335">
        <v>349864.47</v>
      </c>
      <c r="L37" s="335">
        <v>424714.26</v>
      </c>
      <c r="M37" s="335">
        <v>433577.47</v>
      </c>
      <c r="N37" s="335">
        <v>491089.52</v>
      </c>
      <c r="O37" s="310">
        <f t="shared" si="8"/>
        <v>4974440.8499999996</v>
      </c>
      <c r="Q37" s="121" t="s">
        <v>17</v>
      </c>
      <c r="R37" s="121" t="str">
        <f t="shared" si="10"/>
        <v>CFG - FTS-8</v>
      </c>
      <c r="T37" s="121" t="s">
        <v>171</v>
      </c>
      <c r="U37" s="257">
        <f t="shared" si="2"/>
        <v>491089.52</v>
      </c>
      <c r="V37" s="257">
        <f t="shared" si="3"/>
        <v>12</v>
      </c>
    </row>
    <row r="38" spans="1:22">
      <c r="A38" s="121">
        <f t="shared" si="0"/>
        <v>38</v>
      </c>
      <c r="B38" s="315" t="s">
        <v>146</v>
      </c>
      <c r="C38" s="335">
        <v>361022.2</v>
      </c>
      <c r="D38" s="335">
        <v>317880.08</v>
      </c>
      <c r="E38" s="335">
        <v>323632.40999999997</v>
      </c>
      <c r="F38" s="335">
        <v>323331.27</v>
      </c>
      <c r="G38" s="335">
        <v>314227.31</v>
      </c>
      <c r="H38" s="335">
        <v>302439.11</v>
      </c>
      <c r="I38" s="335">
        <v>302813.90000000002</v>
      </c>
      <c r="J38" s="335">
        <v>305295.59000000003</v>
      </c>
      <c r="K38" s="335">
        <v>290221.74</v>
      </c>
      <c r="L38" s="335">
        <v>322664.71999999997</v>
      </c>
      <c r="M38" s="335">
        <v>296890.55</v>
      </c>
      <c r="N38" s="335">
        <v>304805.96999999997</v>
      </c>
      <c r="O38" s="310">
        <f t="shared" si="8"/>
        <v>3765224.8499999987</v>
      </c>
      <c r="Q38" s="121" t="s">
        <v>17</v>
      </c>
      <c r="R38" s="121" t="str">
        <f t="shared" si="10"/>
        <v>CFG - FTS-9</v>
      </c>
      <c r="T38" s="121" t="s">
        <v>171</v>
      </c>
      <c r="U38" s="257">
        <f t="shared" si="2"/>
        <v>361022.2</v>
      </c>
      <c r="V38" s="257">
        <f t="shared" si="3"/>
        <v>1</v>
      </c>
    </row>
    <row r="39" spans="1:22">
      <c r="A39" s="121">
        <f t="shared" si="0"/>
        <v>39</v>
      </c>
      <c r="B39" s="315" t="s">
        <v>147</v>
      </c>
      <c r="C39" s="335">
        <v>239601.93</v>
      </c>
      <c r="D39" s="335">
        <v>210362.09</v>
      </c>
      <c r="E39" s="335">
        <v>234976.08</v>
      </c>
      <c r="F39" s="335">
        <v>228450.29</v>
      </c>
      <c r="G39" s="335">
        <v>211952.08</v>
      </c>
      <c r="H39" s="335">
        <v>186404.8</v>
      </c>
      <c r="I39" s="335">
        <v>157973.16</v>
      </c>
      <c r="J39" s="335">
        <v>186918.41</v>
      </c>
      <c r="K39" s="335">
        <v>184300.17</v>
      </c>
      <c r="L39" s="335">
        <v>205926.24</v>
      </c>
      <c r="M39" s="335">
        <v>208155.4</v>
      </c>
      <c r="N39" s="335">
        <v>201414.66</v>
      </c>
      <c r="O39" s="310">
        <f t="shared" si="8"/>
        <v>2456435.31</v>
      </c>
      <c r="Q39" s="121" t="s">
        <v>17</v>
      </c>
      <c r="R39" s="121" t="str">
        <f t="shared" si="10"/>
        <v>CFG - FTS-10</v>
      </c>
      <c r="T39" s="121" t="s">
        <v>171</v>
      </c>
      <c r="U39" s="257">
        <f t="shared" si="2"/>
        <v>239601.93</v>
      </c>
      <c r="V39" s="257">
        <f t="shared" si="3"/>
        <v>1</v>
      </c>
    </row>
    <row r="40" spans="1:22">
      <c r="A40" s="121">
        <f t="shared" si="0"/>
        <v>40</v>
      </c>
      <c r="B40" s="315" t="s">
        <v>148</v>
      </c>
      <c r="C40" s="335">
        <v>436829.31</v>
      </c>
      <c r="D40" s="335">
        <v>365645.74</v>
      </c>
      <c r="E40" s="335">
        <v>399252.69</v>
      </c>
      <c r="F40" s="335">
        <v>200793.19</v>
      </c>
      <c r="G40" s="335">
        <v>243187.86</v>
      </c>
      <c r="H40" s="335">
        <v>216558.34</v>
      </c>
      <c r="I40" s="335">
        <v>199991.59</v>
      </c>
      <c r="J40" s="335">
        <v>215654.9</v>
      </c>
      <c r="K40" s="335">
        <v>208652.86</v>
      </c>
      <c r="L40" s="335">
        <v>187856.1</v>
      </c>
      <c r="M40" s="335">
        <v>222918.21</v>
      </c>
      <c r="N40" s="335">
        <v>204962.93</v>
      </c>
      <c r="O40" s="310">
        <f t="shared" si="8"/>
        <v>3102303.72</v>
      </c>
      <c r="Q40" s="121" t="s">
        <v>17</v>
      </c>
      <c r="R40" s="121" t="str">
        <f t="shared" si="10"/>
        <v>CFG - FTS-11</v>
      </c>
      <c r="T40" s="121" t="s">
        <v>171</v>
      </c>
      <c r="U40" s="257">
        <f t="shared" si="2"/>
        <v>436829.31</v>
      </c>
      <c r="V40" s="257">
        <f t="shared" si="3"/>
        <v>1</v>
      </c>
    </row>
    <row r="41" spans="1:22">
      <c r="A41" s="121">
        <f t="shared" si="0"/>
        <v>41</v>
      </c>
      <c r="B41" s="315" t="s">
        <v>149</v>
      </c>
      <c r="C41" s="335">
        <v>1484735.7</v>
      </c>
      <c r="D41" s="335">
        <v>1335174.83</v>
      </c>
      <c r="E41" s="335">
        <v>1559896.51</v>
      </c>
      <c r="F41" s="335">
        <v>1498968.49</v>
      </c>
      <c r="G41" s="335">
        <v>1661854.09</v>
      </c>
      <c r="H41" s="335">
        <v>1559113.09</v>
      </c>
      <c r="I41" s="335">
        <v>1622479.43</v>
      </c>
      <c r="J41" s="335">
        <v>1485011.55</v>
      </c>
      <c r="K41" s="335">
        <v>1141517.67</v>
      </c>
      <c r="L41" s="335">
        <v>1326368.17</v>
      </c>
      <c r="M41" s="335">
        <v>1434005.38</v>
      </c>
      <c r="N41" s="335">
        <v>1347608.88</v>
      </c>
      <c r="O41" s="310">
        <f t="shared" si="8"/>
        <v>17456733.789999999</v>
      </c>
      <c r="Q41" s="121" t="s">
        <v>17</v>
      </c>
      <c r="R41" s="121" t="str">
        <f t="shared" si="10"/>
        <v>CFG - FTS-12</v>
      </c>
      <c r="T41" s="121" t="s">
        <v>171</v>
      </c>
      <c r="U41" s="257">
        <f t="shared" si="2"/>
        <v>1661854.09</v>
      </c>
      <c r="V41" s="257">
        <f t="shared" si="3"/>
        <v>5</v>
      </c>
    </row>
    <row r="42" spans="1:22" ht="12" customHeight="1">
      <c r="A42" s="121">
        <f t="shared" si="0"/>
        <v>42</v>
      </c>
      <c r="B42" s="315" t="s">
        <v>150</v>
      </c>
      <c r="C42" s="335"/>
      <c r="D42" s="335"/>
      <c r="E42" s="335"/>
      <c r="F42" s="336">
        <v>190819</v>
      </c>
      <c r="G42" s="336">
        <v>202376</v>
      </c>
      <c r="H42" s="336">
        <v>193570</v>
      </c>
      <c r="I42" s="336">
        <v>203154</v>
      </c>
      <c r="J42" s="336">
        <v>196843</v>
      </c>
      <c r="K42" s="336">
        <v>192031</v>
      </c>
      <c r="L42" s="336">
        <v>175928.4</v>
      </c>
      <c r="M42" s="335">
        <v>151375.10999999999</v>
      </c>
      <c r="N42" s="335">
        <v>139744.84</v>
      </c>
      <c r="O42" s="310">
        <f t="shared" si="8"/>
        <v>1645841.3499999999</v>
      </c>
      <c r="Q42" s="121" t="s">
        <v>17</v>
      </c>
      <c r="R42" s="121" t="str">
        <f t="shared" si="10"/>
        <v>CFG - FTS-NGV</v>
      </c>
      <c r="T42" s="121" t="s">
        <v>171</v>
      </c>
      <c r="U42" s="257">
        <f t="shared" si="2"/>
        <v>203154</v>
      </c>
      <c r="V42" s="257">
        <f t="shared" si="3"/>
        <v>7</v>
      </c>
    </row>
    <row r="43" spans="1:22">
      <c r="A43" s="121">
        <f t="shared" si="0"/>
        <v>43</v>
      </c>
      <c r="B43" s="315" t="s">
        <v>113</v>
      </c>
      <c r="C43" s="335">
        <v>104882.68999999999</v>
      </c>
      <c r="D43" s="335">
        <v>100675.17999999992</v>
      </c>
      <c r="E43" s="335">
        <v>83859.719999999972</v>
      </c>
      <c r="F43" s="335">
        <v>90093.059999999939</v>
      </c>
      <c r="G43" s="335">
        <v>75976.930000000109</v>
      </c>
      <c r="H43" s="335">
        <v>69818.949999999968</v>
      </c>
      <c r="I43" s="335">
        <v>55014.64999999998</v>
      </c>
      <c r="J43" s="335">
        <v>63249.129999999983</v>
      </c>
      <c r="K43" s="335">
        <v>69216.620000000024</v>
      </c>
      <c r="L43" s="335">
        <v>73985.719999999972</v>
      </c>
      <c r="M43" s="335">
        <v>91244.209999999963</v>
      </c>
      <c r="N43" s="335">
        <v>103246.34</v>
      </c>
      <c r="O43" s="310">
        <f t="shared" si="8"/>
        <v>981263.19999999984</v>
      </c>
      <c r="Q43" s="121" t="s">
        <v>16</v>
      </c>
      <c r="R43" s="121" t="str">
        <f t="shared" si="10"/>
        <v>FPU - FPU - GS - 1</v>
      </c>
      <c r="T43" s="121" t="s">
        <v>172</v>
      </c>
      <c r="U43" s="257">
        <f t="shared" si="2"/>
        <v>104882.68999999999</v>
      </c>
      <c r="V43" s="257">
        <f t="shared" si="3"/>
        <v>1</v>
      </c>
    </row>
    <row r="44" spans="1:22">
      <c r="A44" s="121">
        <f t="shared" si="0"/>
        <v>44</v>
      </c>
      <c r="B44" s="315" t="s">
        <v>173</v>
      </c>
      <c r="C44" s="335">
        <v>74064.23000000001</v>
      </c>
      <c r="D44" s="335">
        <v>74582.869999999981</v>
      </c>
      <c r="E44" s="335">
        <v>62878.2</v>
      </c>
      <c r="F44" s="335">
        <v>61713.160000000018</v>
      </c>
      <c r="G44" s="335">
        <v>53251.269999999982</v>
      </c>
      <c r="H44" s="335">
        <v>47057.820000000022</v>
      </c>
      <c r="I44" s="335">
        <v>43895.249999999993</v>
      </c>
      <c r="J44" s="335">
        <v>52444.80999999999</v>
      </c>
      <c r="K44" s="335">
        <v>47718.609999999993</v>
      </c>
      <c r="L44" s="335">
        <v>47390.090000000033</v>
      </c>
      <c r="M44" s="335">
        <v>51947.300000000025</v>
      </c>
      <c r="N44" s="335">
        <v>64346.779999999992</v>
      </c>
      <c r="O44" s="310">
        <f t="shared" si="8"/>
        <v>681290.39000000013</v>
      </c>
      <c r="Q44" s="121" t="s">
        <v>16</v>
      </c>
      <c r="R44" s="121" t="str">
        <f t="shared" si="10"/>
        <v>FPU - FPU - GSTS - 1</v>
      </c>
      <c r="T44" s="121" t="s">
        <v>174</v>
      </c>
      <c r="U44" s="257">
        <f t="shared" si="2"/>
        <v>74582.869999999981</v>
      </c>
      <c r="V44" s="257">
        <f t="shared" si="3"/>
        <v>2</v>
      </c>
    </row>
    <row r="45" spans="1:22">
      <c r="A45" s="121">
        <f t="shared" si="0"/>
        <v>45</v>
      </c>
      <c r="B45" s="315" t="s">
        <v>175</v>
      </c>
      <c r="C45" s="335">
        <v>746543.57999999938</v>
      </c>
      <c r="D45" s="335">
        <v>720253.33999999892</v>
      </c>
      <c r="E45" s="335">
        <v>612709.96</v>
      </c>
      <c r="F45" s="335">
        <v>595580.43000000052</v>
      </c>
      <c r="G45" s="335">
        <v>528995.59000000043</v>
      </c>
      <c r="H45" s="335">
        <v>497017.20000000036</v>
      </c>
      <c r="I45" s="335">
        <v>367311.72000000061</v>
      </c>
      <c r="J45" s="335">
        <v>455320.84999999881</v>
      </c>
      <c r="K45" s="335">
        <v>459653.79000000004</v>
      </c>
      <c r="L45" s="335">
        <v>471510.91999999934</v>
      </c>
      <c r="M45" s="335">
        <v>558145.07999999996</v>
      </c>
      <c r="N45" s="335">
        <v>689893.54000000027</v>
      </c>
      <c r="O45" s="310">
        <f t="shared" si="8"/>
        <v>6702935.9999999981</v>
      </c>
      <c r="Q45" s="121" t="s">
        <v>16</v>
      </c>
      <c r="R45" s="121" t="str">
        <f t="shared" si="10"/>
        <v>FPU - FPU - GS - 2</v>
      </c>
      <c r="T45" s="121" t="s">
        <v>172</v>
      </c>
      <c r="U45" s="257">
        <f t="shared" si="2"/>
        <v>746543.57999999938</v>
      </c>
      <c r="V45" s="257">
        <f t="shared" si="3"/>
        <v>1</v>
      </c>
    </row>
    <row r="46" spans="1:22">
      <c r="A46" s="121">
        <f t="shared" si="0"/>
        <v>46</v>
      </c>
      <c r="B46" s="315" t="s">
        <v>176</v>
      </c>
      <c r="C46" s="335">
        <v>531260.33999999973</v>
      </c>
      <c r="D46" s="335">
        <v>510486.36</v>
      </c>
      <c r="E46" s="335">
        <v>465468.71999999945</v>
      </c>
      <c r="F46" s="335">
        <v>465455.00000000035</v>
      </c>
      <c r="G46" s="335">
        <v>433433.87000000005</v>
      </c>
      <c r="H46" s="335">
        <v>413280.03000000009</v>
      </c>
      <c r="I46" s="335">
        <v>360089.40999999968</v>
      </c>
      <c r="J46" s="335">
        <v>379069.7300000001</v>
      </c>
      <c r="K46" s="335">
        <v>380204.36000000022</v>
      </c>
      <c r="L46" s="335">
        <v>383228.70999999921</v>
      </c>
      <c r="M46" s="335">
        <v>448050.16999999981</v>
      </c>
      <c r="N46" s="335">
        <v>515518.16</v>
      </c>
      <c r="O46" s="310">
        <f t="shared" si="8"/>
        <v>5285544.8599999994</v>
      </c>
      <c r="Q46" s="121" t="s">
        <v>16</v>
      </c>
      <c r="R46" s="121" t="str">
        <f t="shared" si="10"/>
        <v>FPU - FPU - GSTS - 2</v>
      </c>
      <c r="T46" s="121" t="s">
        <v>174</v>
      </c>
      <c r="U46" s="257">
        <f t="shared" si="2"/>
        <v>531260.33999999973</v>
      </c>
      <c r="V46" s="257">
        <f t="shared" si="3"/>
        <v>1</v>
      </c>
    </row>
    <row r="47" spans="1:22">
      <c r="A47" s="121">
        <f t="shared" si="0"/>
        <v>47</v>
      </c>
      <c r="B47" s="315" t="s">
        <v>177</v>
      </c>
      <c r="C47" s="335">
        <v>3766.7699999999995</v>
      </c>
      <c r="D47" s="335">
        <v>3584.46</v>
      </c>
      <c r="E47" s="335">
        <v>3301.550000000002</v>
      </c>
      <c r="F47" s="335">
        <v>3256.6999999999989</v>
      </c>
      <c r="G47" s="335">
        <v>3750.3700000000003</v>
      </c>
      <c r="H47" s="335">
        <v>3393.18</v>
      </c>
      <c r="I47" s="335">
        <v>2772.1099999999997</v>
      </c>
      <c r="J47" s="335">
        <v>3302.85</v>
      </c>
      <c r="K47" s="335">
        <v>3667.1199999999976</v>
      </c>
      <c r="L47" s="335">
        <v>5028.5100000000011</v>
      </c>
      <c r="M47" s="335">
        <v>4726.9199999999983</v>
      </c>
      <c r="N47" s="335">
        <v>7099.0399999999991</v>
      </c>
      <c r="O47" s="310">
        <f t="shared" si="8"/>
        <v>47649.58</v>
      </c>
      <c r="Q47" s="121" t="s">
        <v>16</v>
      </c>
      <c r="R47" s="121" t="str">
        <f t="shared" si="10"/>
        <v>FPU - FPU - CS - GS</v>
      </c>
      <c r="T47" s="121" t="s">
        <v>172</v>
      </c>
      <c r="U47" s="257">
        <f t="shared" si="2"/>
        <v>7099.0399999999991</v>
      </c>
      <c r="V47" s="257">
        <f t="shared" si="3"/>
        <v>12</v>
      </c>
    </row>
    <row r="48" spans="1:22">
      <c r="A48" s="121">
        <f t="shared" si="0"/>
        <v>48</v>
      </c>
      <c r="B48" s="315" t="s">
        <v>178</v>
      </c>
      <c r="C48" s="335">
        <v>947194.23000000056</v>
      </c>
      <c r="D48" s="335">
        <v>869963.99999999942</v>
      </c>
      <c r="E48" s="335">
        <v>768394.69000000018</v>
      </c>
      <c r="F48" s="335">
        <v>851475.99000000069</v>
      </c>
      <c r="G48" s="335">
        <v>749208.3399999995</v>
      </c>
      <c r="H48" s="335">
        <v>731512.10999999952</v>
      </c>
      <c r="I48" s="335">
        <v>642124.59000000008</v>
      </c>
      <c r="J48" s="335">
        <v>672481.29000000062</v>
      </c>
      <c r="K48" s="335">
        <v>580866.3399999995</v>
      </c>
      <c r="L48" s="335">
        <v>637929.98999999987</v>
      </c>
      <c r="M48" s="335">
        <v>763358.9100000005</v>
      </c>
      <c r="N48" s="335">
        <v>880746.43000000017</v>
      </c>
      <c r="O48" s="310">
        <f t="shared" si="8"/>
        <v>9095256.9100000001</v>
      </c>
      <c r="Q48" s="121" t="s">
        <v>16</v>
      </c>
      <c r="R48" s="121" t="str">
        <f t="shared" si="10"/>
        <v>FPU - FPU - LVS</v>
      </c>
      <c r="T48" s="121" t="s">
        <v>179</v>
      </c>
      <c r="U48" s="257">
        <f t="shared" si="2"/>
        <v>947194.23000000056</v>
      </c>
      <c r="V48" s="257">
        <f t="shared" si="3"/>
        <v>1</v>
      </c>
    </row>
    <row r="49" spans="1:22">
      <c r="A49" s="121">
        <f t="shared" si="0"/>
        <v>49</v>
      </c>
      <c r="B49" s="315" t="s">
        <v>180</v>
      </c>
      <c r="C49" s="335">
        <v>0</v>
      </c>
      <c r="D49" s="335">
        <v>0</v>
      </c>
      <c r="E49" s="335">
        <v>0</v>
      </c>
      <c r="F49" s="335">
        <v>0</v>
      </c>
      <c r="G49" s="335">
        <v>0</v>
      </c>
      <c r="H49" s="335">
        <v>0</v>
      </c>
      <c r="I49" s="335">
        <v>0</v>
      </c>
      <c r="J49" s="335">
        <v>0</v>
      </c>
      <c r="K49" s="335"/>
      <c r="L49" s="335">
        <v>0</v>
      </c>
      <c r="M49" s="335">
        <v>0</v>
      </c>
      <c r="N49" s="335">
        <v>0</v>
      </c>
      <c r="O49" s="310">
        <f t="shared" si="8"/>
        <v>0</v>
      </c>
      <c r="Q49" s="121" t="s">
        <v>16</v>
      </c>
      <c r="R49" s="121" t="str">
        <f t="shared" si="10"/>
        <v>FPU - FPU - LVTS &lt;50k</v>
      </c>
      <c r="U49" s="257">
        <f t="shared" si="2"/>
        <v>0</v>
      </c>
      <c r="V49" s="257">
        <f t="shared" si="3"/>
        <v>1</v>
      </c>
    </row>
    <row r="50" spans="1:22">
      <c r="A50" s="121">
        <f t="shared" si="0"/>
        <v>50</v>
      </c>
      <c r="B50" s="315" t="s">
        <v>181</v>
      </c>
      <c r="C50" s="335">
        <v>3285817.3499999973</v>
      </c>
      <c r="D50" s="335">
        <v>2917290.27</v>
      </c>
      <c r="E50" s="335">
        <v>2850994.7000000011</v>
      </c>
      <c r="F50" s="335">
        <v>2824900.299999998</v>
      </c>
      <c r="G50" s="335">
        <v>2780252.489999996</v>
      </c>
      <c r="H50" s="335">
        <v>2537660.9199999981</v>
      </c>
      <c r="I50" s="335">
        <v>2388022.4999999991</v>
      </c>
      <c r="J50" s="335">
        <v>2503486.8600000013</v>
      </c>
      <c r="K50" s="335">
        <v>2396999.23</v>
      </c>
      <c r="L50" s="335">
        <v>2550170.6100000022</v>
      </c>
      <c r="M50" s="335">
        <v>2851256.73</v>
      </c>
      <c r="N50" s="335">
        <v>3110594.5999999959</v>
      </c>
      <c r="O50" s="310">
        <f t="shared" si="8"/>
        <v>32997446.559999995</v>
      </c>
      <c r="Q50" s="121" t="s">
        <v>16</v>
      </c>
      <c r="R50" s="121" t="str">
        <f t="shared" si="10"/>
        <v>FPU - FPU - LVTS &gt;50k</v>
      </c>
      <c r="T50" s="121" t="s">
        <v>182</v>
      </c>
      <c r="U50" s="257">
        <f t="shared" si="2"/>
        <v>3285817.3499999973</v>
      </c>
      <c r="V50" s="257">
        <f t="shared" si="3"/>
        <v>1</v>
      </c>
    </row>
    <row r="51" spans="1:22">
      <c r="A51" s="121">
        <f t="shared" si="0"/>
        <v>51</v>
      </c>
      <c r="B51" s="315" t="s">
        <v>183</v>
      </c>
      <c r="C51" s="335">
        <v>0</v>
      </c>
      <c r="D51" s="335">
        <v>0</v>
      </c>
      <c r="E51" s="335">
        <v>0</v>
      </c>
      <c r="F51" s="335">
        <v>0</v>
      </c>
      <c r="G51" s="335">
        <v>0</v>
      </c>
      <c r="H51" s="335">
        <v>0</v>
      </c>
      <c r="I51" s="335">
        <v>0</v>
      </c>
      <c r="J51" s="335">
        <v>0</v>
      </c>
      <c r="K51" s="335"/>
      <c r="L51" s="335">
        <v>0</v>
      </c>
      <c r="M51" s="335">
        <v>0</v>
      </c>
      <c r="N51" s="335">
        <v>0</v>
      </c>
      <c r="O51" s="310">
        <f t="shared" si="8"/>
        <v>0</v>
      </c>
      <c r="Q51" s="121" t="s">
        <v>16</v>
      </c>
      <c r="R51" s="121" t="str">
        <f t="shared" si="10"/>
        <v>FPU - FPU - IS</v>
      </c>
      <c r="U51" s="257">
        <f t="shared" si="2"/>
        <v>0</v>
      </c>
      <c r="V51" s="257">
        <f t="shared" si="3"/>
        <v>1</v>
      </c>
    </row>
    <row r="52" spans="1:22">
      <c r="A52" s="121">
        <f t="shared" si="0"/>
        <v>52</v>
      </c>
      <c r="B52" s="315" t="s">
        <v>184</v>
      </c>
      <c r="C52" s="335">
        <v>907429.37000000011</v>
      </c>
      <c r="D52" s="335">
        <v>802911.97999999986</v>
      </c>
      <c r="E52" s="335">
        <v>836572.22</v>
      </c>
      <c r="F52" s="335">
        <v>858687.07000000018</v>
      </c>
      <c r="G52" s="335">
        <v>804128.58</v>
      </c>
      <c r="H52" s="335">
        <v>825504.08</v>
      </c>
      <c r="I52" s="335">
        <v>832482.20000000007</v>
      </c>
      <c r="J52" s="335">
        <v>781958.63</v>
      </c>
      <c r="K52" s="335">
        <v>775286.75</v>
      </c>
      <c r="L52" s="335">
        <v>872856.05999999994</v>
      </c>
      <c r="M52" s="335">
        <v>830506.62</v>
      </c>
      <c r="N52" s="335">
        <v>862879.25000000012</v>
      </c>
      <c r="O52" s="310">
        <f t="shared" si="8"/>
        <v>9991202.8100000005</v>
      </c>
      <c r="Q52" s="121" t="s">
        <v>16</v>
      </c>
      <c r="R52" s="121" t="str">
        <f t="shared" si="10"/>
        <v>FPU - FPU - ITS</v>
      </c>
      <c r="T52" s="121" t="s">
        <v>185</v>
      </c>
      <c r="U52" s="257">
        <f t="shared" si="2"/>
        <v>907429.37000000011</v>
      </c>
      <c r="V52" s="257">
        <f t="shared" si="3"/>
        <v>1</v>
      </c>
    </row>
    <row r="53" spans="1:22">
      <c r="A53" s="121">
        <f t="shared" si="0"/>
        <v>53</v>
      </c>
      <c r="B53" s="315" t="s">
        <v>186</v>
      </c>
      <c r="C53" s="335">
        <v>11878.22</v>
      </c>
      <c r="D53" s="335">
        <v>11878.22</v>
      </c>
      <c r="E53" s="335">
        <v>11878.22</v>
      </c>
      <c r="F53" s="335">
        <v>10501.22</v>
      </c>
      <c r="G53" s="335">
        <v>10960.22</v>
      </c>
      <c r="H53" s="335">
        <v>10960.22</v>
      </c>
      <c r="I53" s="335">
        <v>10150.219999999999</v>
      </c>
      <c r="J53" s="335">
        <v>9365.2200000000012</v>
      </c>
      <c r="K53" s="335">
        <v>9526.2199999999993</v>
      </c>
      <c r="L53" s="335">
        <v>9526.2199999999993</v>
      </c>
      <c r="M53" s="335">
        <v>9526.2199999999993</v>
      </c>
      <c r="N53" s="335">
        <v>9526.2199999999993</v>
      </c>
      <c r="O53" s="310">
        <f t="shared" si="8"/>
        <v>125676.64</v>
      </c>
      <c r="Q53" s="121" t="s">
        <v>16</v>
      </c>
      <c r="R53" s="121" t="str">
        <f t="shared" si="10"/>
        <v>FPU - FPU - GLS</v>
      </c>
      <c r="T53" s="121" t="s">
        <v>187</v>
      </c>
      <c r="U53" s="257">
        <f t="shared" si="2"/>
        <v>11878.22</v>
      </c>
      <c r="V53" s="257">
        <f t="shared" si="3"/>
        <v>1</v>
      </c>
    </row>
    <row r="54" spans="1:22">
      <c r="A54" s="121">
        <f t="shared" si="0"/>
        <v>54</v>
      </c>
      <c r="B54" s="315" t="s">
        <v>188</v>
      </c>
      <c r="C54" s="335">
        <v>0</v>
      </c>
      <c r="D54" s="335">
        <v>0</v>
      </c>
      <c r="E54" s="335">
        <v>0</v>
      </c>
      <c r="F54" s="335">
        <v>0</v>
      </c>
      <c r="G54" s="335">
        <v>0</v>
      </c>
      <c r="H54" s="335">
        <v>0</v>
      </c>
      <c r="I54" s="335">
        <v>0</v>
      </c>
      <c r="J54" s="335">
        <v>0</v>
      </c>
      <c r="K54" s="335"/>
      <c r="L54" s="335">
        <v>0</v>
      </c>
      <c r="M54" s="335">
        <v>0</v>
      </c>
      <c r="N54" s="335">
        <v>0</v>
      </c>
      <c r="O54" s="310">
        <f t="shared" si="8"/>
        <v>0</v>
      </c>
      <c r="Q54" s="121" t="s">
        <v>16</v>
      </c>
      <c r="R54" s="121" t="str">
        <f t="shared" si="10"/>
        <v>FPU - FPU-NGVS</v>
      </c>
      <c r="U54" s="257">
        <f t="shared" si="2"/>
        <v>0</v>
      </c>
      <c r="V54" s="257">
        <f t="shared" si="3"/>
        <v>1</v>
      </c>
    </row>
    <row r="55" spans="1:22">
      <c r="A55" s="121">
        <f t="shared" si="0"/>
        <v>55</v>
      </c>
      <c r="B55" s="315" t="s">
        <v>189</v>
      </c>
      <c r="C55" s="335">
        <v>56506.71</v>
      </c>
      <c r="D55" s="335">
        <v>45450.78</v>
      </c>
      <c r="E55" s="335">
        <v>50660.5</v>
      </c>
      <c r="F55" s="335">
        <v>52911.819999999992</v>
      </c>
      <c r="G55" s="335">
        <v>56943.81</v>
      </c>
      <c r="H55" s="335">
        <v>52555.76</v>
      </c>
      <c r="I55" s="335">
        <v>65166.81</v>
      </c>
      <c r="J55" s="335">
        <v>70954.8</v>
      </c>
      <c r="K55" s="335">
        <v>65809.789999999994</v>
      </c>
      <c r="L55" s="335">
        <v>74965.25</v>
      </c>
      <c r="M55" s="335">
        <v>69884.099999999991</v>
      </c>
      <c r="N55" s="335">
        <v>70163.64</v>
      </c>
      <c r="O55" s="310">
        <f t="shared" si="8"/>
        <v>731973.77</v>
      </c>
      <c r="Q55" s="121" t="s">
        <v>16</v>
      </c>
      <c r="R55" s="121" t="str">
        <f t="shared" si="10"/>
        <v>FPU - FPU- NGVTS</v>
      </c>
      <c r="T55" s="121" t="s">
        <v>174</v>
      </c>
      <c r="U55" s="257">
        <f t="shared" si="2"/>
        <v>74965.25</v>
      </c>
      <c r="V55" s="257">
        <f t="shared" si="3"/>
        <v>10</v>
      </c>
    </row>
    <row r="56" spans="1:22">
      <c r="A56" s="121">
        <f t="shared" si="0"/>
        <v>56</v>
      </c>
      <c r="B56" s="315" t="s">
        <v>190</v>
      </c>
      <c r="C56" s="335">
        <v>61.35</v>
      </c>
      <c r="D56" s="335">
        <v>84</v>
      </c>
      <c r="E56" s="335">
        <v>17</v>
      </c>
      <c r="F56" s="335">
        <v>10.540000000000001</v>
      </c>
      <c r="G56" s="335">
        <v>2.09</v>
      </c>
      <c r="H56" s="335">
        <v>0</v>
      </c>
      <c r="I56" s="335">
        <v>2.08</v>
      </c>
      <c r="J56" s="335">
        <v>6.24</v>
      </c>
      <c r="K56" s="335">
        <v>18.72</v>
      </c>
      <c r="L56" s="335">
        <v>5.2</v>
      </c>
      <c r="M56" s="335">
        <v>15.6</v>
      </c>
      <c r="N56" s="335">
        <v>89.79</v>
      </c>
      <c r="O56" s="310">
        <f t="shared" si="8"/>
        <v>312.61</v>
      </c>
      <c r="Q56" s="121" t="s">
        <v>14</v>
      </c>
      <c r="R56" s="121" t="str">
        <f t="shared" si="10"/>
        <v>FT - FT-Comm PA</v>
      </c>
      <c r="S56" s="121" t="s">
        <v>100</v>
      </c>
      <c r="T56" s="121" t="s">
        <v>191</v>
      </c>
      <c r="U56" s="257">
        <f t="shared" si="2"/>
        <v>89.79</v>
      </c>
      <c r="V56" s="257">
        <f t="shared" si="3"/>
        <v>12</v>
      </c>
    </row>
    <row r="57" spans="1:22">
      <c r="A57" s="121">
        <f t="shared" si="0"/>
        <v>57</v>
      </c>
      <c r="B57" s="315" t="s">
        <v>192</v>
      </c>
      <c r="C57" s="335">
        <v>7463.34</v>
      </c>
      <c r="D57" s="335">
        <v>6005</v>
      </c>
      <c r="E57" s="335">
        <v>4016</v>
      </c>
      <c r="F57" s="335">
        <v>4213.58</v>
      </c>
      <c r="G57" s="335">
        <v>3540.98</v>
      </c>
      <c r="H57" s="335">
        <v>3452.21</v>
      </c>
      <c r="I57" s="335">
        <v>2059.2200000000003</v>
      </c>
      <c r="J57" s="335">
        <v>10567.42</v>
      </c>
      <c r="K57" s="335">
        <v>9780.82</v>
      </c>
      <c r="L57" s="335">
        <v>12903.29</v>
      </c>
      <c r="M57" s="335">
        <v>16376.58</v>
      </c>
      <c r="N57" s="335">
        <v>24866.559999999998</v>
      </c>
      <c r="O57" s="310">
        <f t="shared" si="8"/>
        <v>105245</v>
      </c>
      <c r="Q57" s="121" t="s">
        <v>14</v>
      </c>
      <c r="R57" s="121" t="str">
        <f t="shared" si="10"/>
        <v>FT - FT-Comm Small</v>
      </c>
      <c r="S57" s="121" t="s">
        <v>193</v>
      </c>
      <c r="T57" s="121" t="s">
        <v>191</v>
      </c>
      <c r="U57" s="257">
        <f t="shared" si="2"/>
        <v>24866.559999999998</v>
      </c>
      <c r="V57" s="257">
        <f t="shared" si="3"/>
        <v>12</v>
      </c>
    </row>
    <row r="58" spans="1:22">
      <c r="A58" s="121">
        <f t="shared" si="0"/>
        <v>58</v>
      </c>
      <c r="B58" s="315" t="s">
        <v>194</v>
      </c>
      <c r="C58" s="335">
        <f>1856+667</f>
        <v>2523</v>
      </c>
      <c r="D58" s="335">
        <f>1713+519</f>
        <v>2232</v>
      </c>
      <c r="E58" s="335">
        <v>2450</v>
      </c>
      <c r="F58" s="335">
        <v>2187</v>
      </c>
      <c r="G58" s="335">
        <v>2308.7399999999998</v>
      </c>
      <c r="H58" s="335">
        <v>1971.46</v>
      </c>
      <c r="I58" s="335">
        <v>1621.58</v>
      </c>
      <c r="J58" s="335">
        <v>1946.47</v>
      </c>
      <c r="K58" s="335">
        <v>2162.8200000000002</v>
      </c>
      <c r="L58" s="335">
        <v>2207.62</v>
      </c>
      <c r="M58" s="335">
        <v>2192.12</v>
      </c>
      <c r="N58" s="335">
        <v>2215.41</v>
      </c>
      <c r="O58" s="310">
        <f t="shared" si="8"/>
        <v>26018.219999999998</v>
      </c>
      <c r="Q58" s="121" t="s">
        <v>14</v>
      </c>
      <c r="R58" s="121" t="str">
        <f t="shared" si="10"/>
        <v>FT - FT-Transportation</v>
      </c>
      <c r="S58" s="121" t="s">
        <v>193</v>
      </c>
      <c r="T58" s="121" t="s">
        <v>195</v>
      </c>
      <c r="U58" s="257">
        <f t="shared" si="2"/>
        <v>2523</v>
      </c>
      <c r="V58" s="257">
        <f t="shared" si="3"/>
        <v>1</v>
      </c>
    </row>
    <row r="59" spans="1:22">
      <c r="A59" s="121">
        <f t="shared" si="0"/>
        <v>59</v>
      </c>
      <c r="B59" s="312" t="s">
        <v>107</v>
      </c>
      <c r="C59" s="335">
        <v>7078.9699999999993</v>
      </c>
      <c r="D59" s="335">
        <v>6864.81</v>
      </c>
      <c r="E59" s="335">
        <v>7091.27</v>
      </c>
      <c r="F59" s="335">
        <v>6953.58</v>
      </c>
      <c r="G59" s="335">
        <v>7347.97</v>
      </c>
      <c r="H59" s="335">
        <v>6512.81</v>
      </c>
      <c r="I59" s="335">
        <v>7009.5000000000009</v>
      </c>
      <c r="J59" s="335">
        <v>6164.6699999999983</v>
      </c>
      <c r="K59" s="335">
        <f>6497.55+36.28</f>
        <v>6533.83</v>
      </c>
      <c r="L59" s="335">
        <v>7296.1600000000017</v>
      </c>
      <c r="M59" s="335">
        <v>6681.9599999999991</v>
      </c>
      <c r="N59" s="335">
        <v>8000.81</v>
      </c>
      <c r="O59" s="310">
        <f t="shared" si="8"/>
        <v>83536.34</v>
      </c>
      <c r="Q59" s="121" t="s">
        <v>13</v>
      </c>
      <c r="R59" s="121" t="str">
        <f t="shared" si="10"/>
        <v>IGC - IGC - TS2</v>
      </c>
      <c r="T59" s="121" t="s">
        <v>196</v>
      </c>
      <c r="U59" s="257">
        <f t="shared" si="2"/>
        <v>8000.81</v>
      </c>
      <c r="V59" s="257">
        <f t="shared" si="3"/>
        <v>12</v>
      </c>
    </row>
    <row r="60" spans="1:22">
      <c r="A60" s="121">
        <f t="shared" si="0"/>
        <v>60</v>
      </c>
      <c r="B60" s="312" t="s">
        <v>108</v>
      </c>
      <c r="C60" s="335">
        <v>445.11</v>
      </c>
      <c r="D60" s="335">
        <v>341.07</v>
      </c>
      <c r="E60" s="335">
        <v>222.51</v>
      </c>
      <c r="F60" s="335">
        <v>235.01</v>
      </c>
      <c r="G60" s="335">
        <v>382.05</v>
      </c>
      <c r="H60" s="335">
        <v>406</v>
      </c>
      <c r="I60" s="335">
        <v>430.46</v>
      </c>
      <c r="J60" s="335">
        <v>266.26</v>
      </c>
      <c r="K60" s="335">
        <v>411.79</v>
      </c>
      <c r="L60" s="335">
        <v>196.56</v>
      </c>
      <c r="M60" s="335">
        <v>243.9</v>
      </c>
      <c r="N60" s="335">
        <v>289.37</v>
      </c>
      <c r="O60" s="310">
        <f t="shared" si="8"/>
        <v>3870.09</v>
      </c>
      <c r="Q60" s="121" t="s">
        <v>13</v>
      </c>
      <c r="R60" s="121" t="str">
        <f t="shared" si="10"/>
        <v>IGC - IGC - TS3</v>
      </c>
      <c r="T60" s="121" t="s">
        <v>197</v>
      </c>
      <c r="U60" s="257">
        <f t="shared" si="2"/>
        <v>445.11</v>
      </c>
      <c r="V60" s="257">
        <f t="shared" si="3"/>
        <v>1</v>
      </c>
    </row>
    <row r="61" spans="1:22">
      <c r="A61" s="121">
        <f t="shared" si="0"/>
        <v>61</v>
      </c>
      <c r="B61" s="321" t="s">
        <v>109</v>
      </c>
      <c r="C61" s="335">
        <v>0</v>
      </c>
      <c r="D61" s="335"/>
      <c r="E61" s="335"/>
      <c r="F61" s="335">
        <v>0</v>
      </c>
      <c r="G61" s="335">
        <v>0</v>
      </c>
      <c r="H61" s="335">
        <v>0</v>
      </c>
      <c r="I61" s="335"/>
      <c r="J61" s="335"/>
      <c r="K61" s="335">
        <v>0</v>
      </c>
      <c r="L61" s="335"/>
      <c r="M61" s="335"/>
      <c r="N61" s="335"/>
      <c r="O61" s="319">
        <f t="shared" si="8"/>
        <v>0</v>
      </c>
      <c r="Q61" s="121" t="s">
        <v>13</v>
      </c>
      <c r="R61" s="121" t="str">
        <f t="shared" si="10"/>
        <v>IGC - IGC - TS4</v>
      </c>
      <c r="T61" s="121" t="s">
        <v>198</v>
      </c>
      <c r="U61" s="257">
        <f t="shared" si="2"/>
        <v>0</v>
      </c>
      <c r="V61" s="257">
        <f t="shared" si="3"/>
        <v>1</v>
      </c>
    </row>
    <row r="62" spans="1:22">
      <c r="A62" s="121">
        <f t="shared" si="0"/>
        <v>62</v>
      </c>
      <c r="B62" s="322" t="s">
        <v>199</v>
      </c>
      <c r="C62" s="310">
        <f>SUM(C26:C61)</f>
        <v>11050939.99</v>
      </c>
      <c r="D62" s="310">
        <f t="shared" ref="D62:N62" si="11">SUM(D26:D61)</f>
        <v>9981552.75</v>
      </c>
      <c r="E62" s="310">
        <f t="shared" si="11"/>
        <v>9940099.3800000008</v>
      </c>
      <c r="F62" s="310">
        <f>SUM(F26:F61)</f>
        <v>9822389.7199999988</v>
      </c>
      <c r="G62" s="310">
        <f t="shared" si="11"/>
        <v>9617025.5600000005</v>
      </c>
      <c r="H62" s="310">
        <f t="shared" si="11"/>
        <v>9090090.7000000011</v>
      </c>
      <c r="I62" s="310">
        <f t="shared" si="11"/>
        <v>8639050.3100000005</v>
      </c>
      <c r="J62" s="310">
        <f t="shared" si="11"/>
        <v>8786196.4700000044</v>
      </c>
      <c r="K62" s="310">
        <f t="shared" si="11"/>
        <v>8187136.5600000005</v>
      </c>
      <c r="L62" s="310">
        <f t="shared" si="11"/>
        <v>8841235.2399999984</v>
      </c>
      <c r="M62" s="310">
        <f t="shared" si="11"/>
        <v>9581746.5499999989</v>
      </c>
      <c r="N62" s="310">
        <f t="shared" si="11"/>
        <v>10322616.429999996</v>
      </c>
      <c r="O62" s="310">
        <f t="shared" si="8"/>
        <v>113860079.66</v>
      </c>
      <c r="U62" s="257"/>
      <c r="V62" s="257"/>
    </row>
    <row r="63" spans="1:22">
      <c r="A63" s="121">
        <f t="shared" si="0"/>
        <v>63</v>
      </c>
      <c r="B63" s="320" t="s">
        <v>200</v>
      </c>
      <c r="C63" s="310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U63" s="257"/>
      <c r="V63" s="257"/>
    </row>
    <row r="64" spans="1:22">
      <c r="A64" s="121">
        <f t="shared" si="0"/>
        <v>64</v>
      </c>
      <c r="B64" s="312" t="s">
        <v>114</v>
      </c>
      <c r="C64" s="342"/>
      <c r="D64" s="342"/>
      <c r="E64" s="342"/>
      <c r="F64" s="342"/>
      <c r="G64" s="342"/>
      <c r="H64" s="342"/>
      <c r="I64" s="342"/>
      <c r="J64" s="342"/>
      <c r="K64" s="342"/>
      <c r="L64" s="342"/>
      <c r="M64" s="342"/>
      <c r="N64" s="342"/>
      <c r="O64" s="310">
        <f t="shared" ref="O64:O71" si="12">SUM(C64:N64)</f>
        <v>0</v>
      </c>
      <c r="Q64" s="121" t="s">
        <v>17</v>
      </c>
      <c r="R64" s="121" t="str">
        <f>CONCATENATE(Q64," - ",B64," - ",S64)</f>
        <v>CFG - FTS-A - Fixed NR</v>
      </c>
      <c r="S64" s="121" t="s">
        <v>201</v>
      </c>
      <c r="T64" s="121" t="s">
        <v>171</v>
      </c>
      <c r="U64" s="257">
        <f t="shared" si="2"/>
        <v>0</v>
      </c>
      <c r="V64" s="257">
        <f t="shared" si="3"/>
        <v>0</v>
      </c>
    </row>
    <row r="65" spans="1:22">
      <c r="A65" s="121">
        <f t="shared" si="0"/>
        <v>65</v>
      </c>
      <c r="B65" s="312" t="s">
        <v>115</v>
      </c>
      <c r="C65" s="342">
        <v>2.0699999999999998</v>
      </c>
      <c r="D65" s="342">
        <v>1.03</v>
      </c>
      <c r="E65" s="342">
        <v>2.0699999999999998</v>
      </c>
      <c r="F65" s="342">
        <v>2.0699999999999998</v>
      </c>
      <c r="G65" s="342">
        <v>1.03</v>
      </c>
      <c r="H65" s="342">
        <v>2.0699999999999998</v>
      </c>
      <c r="I65" s="342">
        <v>1.03</v>
      </c>
      <c r="J65" s="342">
        <v>2.08</v>
      </c>
      <c r="K65" s="342">
        <v>2.08</v>
      </c>
      <c r="L65" s="342">
        <v>1.03</v>
      </c>
      <c r="M65" s="342">
        <v>1.03</v>
      </c>
      <c r="N65" s="342">
        <v>2.0699999999999998</v>
      </c>
      <c r="O65" s="310">
        <f t="shared" si="12"/>
        <v>19.66</v>
      </c>
      <c r="Q65" s="121" t="s">
        <v>17</v>
      </c>
      <c r="R65" s="121" t="str">
        <f t="shared" ref="R65:R70" si="13">CONCATENATE(Q65," - ",B65," - ",S65)</f>
        <v>CFG - FTS-B - Fixed NR</v>
      </c>
      <c r="S65" s="121" t="s">
        <v>201</v>
      </c>
      <c r="T65" s="121" t="s">
        <v>171</v>
      </c>
      <c r="U65" s="257">
        <f t="shared" si="2"/>
        <v>2.08</v>
      </c>
      <c r="V65" s="257">
        <f t="shared" si="3"/>
        <v>8</v>
      </c>
    </row>
    <row r="66" spans="1:22">
      <c r="A66" s="121">
        <f t="shared" si="0"/>
        <v>66</v>
      </c>
      <c r="B66" s="312" t="s">
        <v>116</v>
      </c>
      <c r="C66" s="342">
        <v>552</v>
      </c>
      <c r="D66" s="342">
        <v>4155.09</v>
      </c>
      <c r="E66" s="342">
        <v>-2979.33</v>
      </c>
      <c r="F66" s="342">
        <v>565.6</v>
      </c>
      <c r="G66" s="342">
        <v>504.44</v>
      </c>
      <c r="H66" s="342">
        <v>436.25</v>
      </c>
      <c r="I66" s="342">
        <v>366.2</v>
      </c>
      <c r="J66" s="342">
        <v>411.6</v>
      </c>
      <c r="K66" s="342">
        <v>401.16</v>
      </c>
      <c r="L66" s="342">
        <v>426.3</v>
      </c>
      <c r="M66" s="342">
        <v>555</v>
      </c>
      <c r="N66" s="342">
        <v>589.16999999999996</v>
      </c>
      <c r="O66" s="310">
        <f t="shared" si="12"/>
        <v>5983.4800000000005</v>
      </c>
      <c r="Q66" s="121" t="s">
        <v>17</v>
      </c>
      <c r="R66" s="121" t="str">
        <f t="shared" si="13"/>
        <v>CFG - FTS-1 - Fixed NR</v>
      </c>
      <c r="S66" s="121" t="s">
        <v>201</v>
      </c>
      <c r="T66" s="121" t="s">
        <v>171</v>
      </c>
      <c r="U66" s="257">
        <f t="shared" si="2"/>
        <v>4155.09</v>
      </c>
      <c r="V66" s="257">
        <f t="shared" si="3"/>
        <v>2</v>
      </c>
    </row>
    <row r="67" spans="1:22">
      <c r="A67" s="121">
        <f t="shared" ref="A67:A130" si="14">+A66+1</f>
        <v>67</v>
      </c>
      <c r="B67" s="315" t="s">
        <v>117</v>
      </c>
      <c r="C67" s="342">
        <v>568.79</v>
      </c>
      <c r="D67" s="342">
        <v>461.55</v>
      </c>
      <c r="E67" s="342">
        <v>193.72</v>
      </c>
      <c r="F67" s="342">
        <v>555.21</v>
      </c>
      <c r="G67" s="342">
        <v>193.65</v>
      </c>
      <c r="H67" s="342">
        <v>674.21</v>
      </c>
      <c r="I67" s="342">
        <v>492.06</v>
      </c>
      <c r="J67" s="342">
        <v>425.89</v>
      </c>
      <c r="K67" s="342">
        <v>211.87</v>
      </c>
      <c r="L67" s="342">
        <v>220.77</v>
      </c>
      <c r="M67" s="342">
        <v>225.85</v>
      </c>
      <c r="N67" s="342">
        <v>228.53</v>
      </c>
      <c r="O67" s="310">
        <f t="shared" si="12"/>
        <v>4452.0999999999995</v>
      </c>
      <c r="Q67" s="121" t="s">
        <v>17</v>
      </c>
      <c r="R67" s="121" t="str">
        <f t="shared" si="13"/>
        <v>CFG - FTS-2 - Fixed NR</v>
      </c>
      <c r="S67" s="121" t="s">
        <v>201</v>
      </c>
      <c r="T67" s="121" t="s">
        <v>171</v>
      </c>
      <c r="U67" s="257">
        <f t="shared" si="2"/>
        <v>674.21</v>
      </c>
      <c r="V67" s="257">
        <f t="shared" si="3"/>
        <v>6</v>
      </c>
    </row>
    <row r="68" spans="1:22">
      <c r="A68" s="121">
        <f t="shared" si="14"/>
        <v>68</v>
      </c>
      <c r="B68" s="315" t="s">
        <v>118</v>
      </c>
      <c r="C68" s="342">
        <v>1856.49</v>
      </c>
      <c r="D68" s="342">
        <v>1888.86</v>
      </c>
      <c r="E68" s="342">
        <v>1630.9</v>
      </c>
      <c r="F68" s="342">
        <v>1681.54</v>
      </c>
      <c r="G68" s="342">
        <v>1616.98</v>
      </c>
      <c r="H68" s="342">
        <v>1486.73</v>
      </c>
      <c r="I68" s="342">
        <v>1205.9000000000001</v>
      </c>
      <c r="J68" s="342">
        <v>1391.78</v>
      </c>
      <c r="K68" s="342">
        <v>1416.03</v>
      </c>
      <c r="L68" s="342">
        <v>1387.19</v>
      </c>
      <c r="M68" s="342">
        <v>1439.8</v>
      </c>
      <c r="N68" s="342">
        <v>1483.19</v>
      </c>
      <c r="O68" s="310">
        <f t="shared" si="12"/>
        <v>18485.39</v>
      </c>
      <c r="Q68" s="121" t="s">
        <v>17</v>
      </c>
      <c r="R68" s="121" t="str">
        <f t="shared" si="13"/>
        <v>CFG - FTS-2.1 - Fixed NR</v>
      </c>
      <c r="S68" s="121" t="s">
        <v>201</v>
      </c>
      <c r="T68" s="121" t="s">
        <v>171</v>
      </c>
      <c r="U68" s="257">
        <f t="shared" si="2"/>
        <v>1888.86</v>
      </c>
      <c r="V68" s="257">
        <f t="shared" si="3"/>
        <v>2</v>
      </c>
    </row>
    <row r="69" spans="1:22">
      <c r="A69" s="121">
        <f t="shared" si="14"/>
        <v>69</v>
      </c>
      <c r="B69" s="315" t="s">
        <v>119</v>
      </c>
      <c r="C69" s="342">
        <v>4501.04</v>
      </c>
      <c r="D69" s="342">
        <v>4897.71</v>
      </c>
      <c r="E69" s="342">
        <v>5190.58</v>
      </c>
      <c r="F69" s="342">
        <v>5201.55</v>
      </c>
      <c r="G69" s="342">
        <v>5362.8</v>
      </c>
      <c r="H69" s="342">
        <v>5299.07</v>
      </c>
      <c r="I69" s="342">
        <v>4787.38</v>
      </c>
      <c r="J69" s="342">
        <v>5418.97</v>
      </c>
      <c r="K69" s="342">
        <v>5698.75</v>
      </c>
      <c r="L69" s="342">
        <v>5481.3</v>
      </c>
      <c r="M69" s="342">
        <v>6219.03</v>
      </c>
      <c r="N69" s="342">
        <v>5792.72</v>
      </c>
      <c r="O69" s="310">
        <f t="shared" si="12"/>
        <v>63850.9</v>
      </c>
      <c r="Q69" s="121" t="s">
        <v>17</v>
      </c>
      <c r="R69" s="121" t="str">
        <f t="shared" si="13"/>
        <v>CFG - FTS-3 - Fixed NR</v>
      </c>
      <c r="S69" s="121" t="s">
        <v>201</v>
      </c>
      <c r="T69" s="121" t="s">
        <v>171</v>
      </c>
      <c r="U69" s="257">
        <f>MAX(C69:N69)</f>
        <v>6219.03</v>
      </c>
      <c r="V69" s="257">
        <f>IFERROR(INDEX($C$1:$N$1,MATCH(U69,C69:N69,0)),0)</f>
        <v>11</v>
      </c>
    </row>
    <row r="70" spans="1:22">
      <c r="A70" s="121">
        <f t="shared" si="14"/>
        <v>70</v>
      </c>
      <c r="B70" s="321" t="s">
        <v>120</v>
      </c>
      <c r="C70" s="342">
        <v>3999.57</v>
      </c>
      <c r="D70" s="342">
        <v>4420.8599999999997</v>
      </c>
      <c r="E70" s="342">
        <v>3741.16</v>
      </c>
      <c r="F70" s="342">
        <v>4274.87</v>
      </c>
      <c r="G70" s="342">
        <v>3983.68</v>
      </c>
      <c r="H70" s="342">
        <v>3941.88</v>
      </c>
      <c r="I70" s="342">
        <v>3374.89</v>
      </c>
      <c r="J70" s="342">
        <v>3326.88</v>
      </c>
      <c r="K70" s="342">
        <v>3959.32</v>
      </c>
      <c r="L70" s="342">
        <v>3676.5</v>
      </c>
      <c r="M70" s="342">
        <v>4169.34</v>
      </c>
      <c r="N70" s="342">
        <v>4020.7</v>
      </c>
      <c r="O70" s="319">
        <f t="shared" si="12"/>
        <v>46889.649999999994</v>
      </c>
      <c r="Q70" s="121" t="s">
        <v>17</v>
      </c>
      <c r="R70" s="121" t="str">
        <f t="shared" si="13"/>
        <v>CFG - FTS-3.1 - Fixed NR</v>
      </c>
      <c r="S70" s="121" t="s">
        <v>201</v>
      </c>
      <c r="T70" s="121" t="s">
        <v>171</v>
      </c>
      <c r="U70" s="257">
        <f>MAX(C70:N70)</f>
        <v>4420.8599999999997</v>
      </c>
      <c r="V70" s="257">
        <f>IFERROR(INDEX($C$1:$N$1,MATCH(U70,C70:N70,0)),0)</f>
        <v>2</v>
      </c>
    </row>
    <row r="71" spans="1:22">
      <c r="A71" s="121">
        <f t="shared" si="14"/>
        <v>71</v>
      </c>
      <c r="B71" s="322" t="s">
        <v>202</v>
      </c>
      <c r="C71" s="310">
        <f>SUM(C64:C70)</f>
        <v>11479.960000000001</v>
      </c>
      <c r="D71" s="310">
        <f t="shared" ref="D71:N71" si="15">SUM(D64:D70)</f>
        <v>15825.099999999999</v>
      </c>
      <c r="E71" s="310">
        <f t="shared" si="15"/>
        <v>7779.1</v>
      </c>
      <c r="F71" s="310">
        <f t="shared" si="15"/>
        <v>12280.84</v>
      </c>
      <c r="G71" s="310">
        <f t="shared" si="15"/>
        <v>11662.58</v>
      </c>
      <c r="H71" s="310">
        <f t="shared" si="15"/>
        <v>11840.21</v>
      </c>
      <c r="I71" s="310">
        <f t="shared" si="15"/>
        <v>10227.459999999999</v>
      </c>
      <c r="J71" s="310">
        <f t="shared" si="15"/>
        <v>10977.2</v>
      </c>
      <c r="K71" s="310">
        <f t="shared" si="15"/>
        <v>11689.21</v>
      </c>
      <c r="L71" s="310">
        <f>SUM(L64:L70)</f>
        <v>11193.09</v>
      </c>
      <c r="M71" s="310">
        <f t="shared" si="15"/>
        <v>12610.05</v>
      </c>
      <c r="N71" s="310">
        <f t="shared" si="15"/>
        <v>12116.380000000001</v>
      </c>
      <c r="O71" s="310">
        <f t="shared" si="12"/>
        <v>139681.18</v>
      </c>
      <c r="U71" s="257"/>
      <c r="V71" s="257"/>
    </row>
    <row r="72" spans="1:22">
      <c r="A72" s="121">
        <f t="shared" si="14"/>
        <v>72</v>
      </c>
      <c r="B72" s="320" t="s">
        <v>203</v>
      </c>
      <c r="C72" s="310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R72" s="310"/>
      <c r="S72" s="257"/>
      <c r="U72" s="257"/>
      <c r="V72" s="257"/>
    </row>
    <row r="73" spans="1:22">
      <c r="A73" s="121">
        <f t="shared" si="14"/>
        <v>73</v>
      </c>
      <c r="B73" s="127" t="s">
        <v>204</v>
      </c>
      <c r="C73" s="342">
        <v>55742</v>
      </c>
      <c r="D73" s="342">
        <v>73589</v>
      </c>
      <c r="E73" s="342">
        <f>110636.11+1107</f>
        <v>111743.11</v>
      </c>
      <c r="F73" s="342">
        <v>188441.21</v>
      </c>
      <c r="G73" s="342">
        <v>130070.36</v>
      </c>
      <c r="H73" s="342">
        <v>90459.55</v>
      </c>
      <c r="I73" s="342">
        <v>118174.38</v>
      </c>
      <c r="J73" s="342">
        <v>122226</v>
      </c>
      <c r="K73" s="342">
        <v>15546.55</v>
      </c>
      <c r="L73" s="342">
        <f>119802.59+4986</f>
        <v>124788.59</v>
      </c>
      <c r="M73" s="342">
        <f>50719.13+5819</f>
        <v>56538.13</v>
      </c>
      <c r="N73" s="342">
        <f>40827+3403</f>
        <v>44230</v>
      </c>
      <c r="O73" s="310">
        <f t="shared" ref="O73:O86" si="16">SUM(C73:N73)</f>
        <v>1131548.8799999999</v>
      </c>
      <c r="Q73" s="121" t="s">
        <v>17</v>
      </c>
      <c r="T73" s="121" t="s">
        <v>205</v>
      </c>
      <c r="U73" s="257">
        <f t="shared" ref="U73:U96" si="17">MAX(C73:N73)</f>
        <v>188441.21</v>
      </c>
      <c r="V73" s="257">
        <f t="shared" ref="V73:V96" si="18">IFERROR(INDEX($C$1:$N$1,MATCH(U73,C73:N73,0)),0)</f>
        <v>4</v>
      </c>
    </row>
    <row r="74" spans="1:22">
      <c r="A74" s="121">
        <f t="shared" si="14"/>
        <v>74</v>
      </c>
      <c r="B74" s="127" t="s">
        <v>206</v>
      </c>
      <c r="C74" s="342">
        <v>27410.71</v>
      </c>
      <c r="D74" s="342">
        <v>17880.759999999998</v>
      </c>
      <c r="E74" s="342">
        <v>18584.73</v>
      </c>
      <c r="F74" s="342">
        <v>14891.42</v>
      </c>
      <c r="G74" s="342">
        <v>12839.6</v>
      </c>
      <c r="H74" s="342">
        <v>11564.47</v>
      </c>
      <c r="I74" s="342">
        <v>10945.56</v>
      </c>
      <c r="J74" s="342">
        <v>10126</v>
      </c>
      <c r="K74" s="342">
        <v>10039.39</v>
      </c>
      <c r="L74" s="342">
        <v>11622.83</v>
      </c>
      <c r="M74" s="342">
        <v>20584.75</v>
      </c>
      <c r="N74" s="342">
        <v>25554.02</v>
      </c>
      <c r="O74" s="310">
        <f t="shared" si="16"/>
        <v>192044.24</v>
      </c>
      <c r="Q74" s="121" t="s">
        <v>17</v>
      </c>
      <c r="T74" s="121" t="s">
        <v>205</v>
      </c>
      <c r="U74" s="257">
        <f t="shared" si="17"/>
        <v>27410.71</v>
      </c>
      <c r="V74" s="257">
        <f t="shared" si="18"/>
        <v>1</v>
      </c>
    </row>
    <row r="75" spans="1:22">
      <c r="A75" s="121">
        <f t="shared" si="14"/>
        <v>75</v>
      </c>
      <c r="B75" s="127" t="s">
        <v>207</v>
      </c>
      <c r="C75" s="342">
        <v>1790551.65</v>
      </c>
      <c r="D75" s="342">
        <v>1575547.75</v>
      </c>
      <c r="E75" s="342">
        <v>1788860.76</v>
      </c>
      <c r="F75" s="342">
        <v>463609.81</v>
      </c>
      <c r="G75" s="342">
        <v>1367430.49</v>
      </c>
      <c r="H75" s="342">
        <v>1674840.68</v>
      </c>
      <c r="I75" s="342">
        <v>1471649.68</v>
      </c>
      <c r="J75" s="342">
        <v>1794263</v>
      </c>
      <c r="K75" s="342">
        <v>1680118.32</v>
      </c>
      <c r="L75" s="342">
        <v>1712185.06</v>
      </c>
      <c r="M75" s="342">
        <v>1737993.74</v>
      </c>
      <c r="N75" s="342">
        <v>1735490.08</v>
      </c>
      <c r="O75" s="310">
        <f t="shared" si="16"/>
        <v>18792541.020000003</v>
      </c>
      <c r="Q75" s="121" t="s">
        <v>17</v>
      </c>
      <c r="T75" s="121" t="s">
        <v>205</v>
      </c>
      <c r="U75" s="257">
        <f t="shared" si="17"/>
        <v>1794263</v>
      </c>
      <c r="V75" s="257">
        <f t="shared" si="18"/>
        <v>8</v>
      </c>
    </row>
    <row r="76" spans="1:22">
      <c r="A76" s="121">
        <f t="shared" si="14"/>
        <v>76</v>
      </c>
      <c r="B76" s="127" t="s">
        <v>208</v>
      </c>
      <c r="C76" s="342">
        <v>876340.43</v>
      </c>
      <c r="D76" s="342">
        <v>91320.07</v>
      </c>
      <c r="E76" s="342">
        <v>749509.55</v>
      </c>
      <c r="F76" s="342">
        <v>1141300.49</v>
      </c>
      <c r="G76" s="342">
        <v>1905359.87</v>
      </c>
      <c r="H76" s="342">
        <v>1894649.55</v>
      </c>
      <c r="I76" s="342">
        <v>1615690.46</v>
      </c>
      <c r="J76" s="342">
        <v>2182770</v>
      </c>
      <c r="K76" s="342">
        <v>2066090.03</v>
      </c>
      <c r="L76" s="342">
        <v>1937969.6</v>
      </c>
      <c r="M76" s="342">
        <v>1679789.52</v>
      </c>
      <c r="N76" s="342">
        <v>1699469.56</v>
      </c>
      <c r="O76" s="310">
        <f t="shared" si="16"/>
        <v>17840259.129999999</v>
      </c>
      <c r="Q76" s="121" t="s">
        <v>17</v>
      </c>
      <c r="T76" s="121" t="s">
        <v>205</v>
      </c>
      <c r="U76" s="257">
        <f t="shared" si="17"/>
        <v>2182770</v>
      </c>
      <c r="V76" s="257">
        <f t="shared" si="18"/>
        <v>8</v>
      </c>
    </row>
    <row r="77" spans="1:22">
      <c r="A77" s="121">
        <f t="shared" si="14"/>
        <v>77</v>
      </c>
      <c r="B77" s="127" t="s">
        <v>209</v>
      </c>
      <c r="C77" s="342">
        <v>5699.04</v>
      </c>
      <c r="D77" s="342">
        <v>4453.2700000000004</v>
      </c>
      <c r="E77" s="342">
        <v>193</v>
      </c>
      <c r="F77" s="342">
        <v>0</v>
      </c>
      <c r="G77" s="342">
        <v>1283.78</v>
      </c>
      <c r="H77" s="342">
        <v>7863.26</v>
      </c>
      <c r="I77" s="342">
        <v>1107.26</v>
      </c>
      <c r="J77" s="342">
        <v>1026</v>
      </c>
      <c r="K77" s="342">
        <v>0</v>
      </c>
      <c r="L77" s="342">
        <v>0</v>
      </c>
      <c r="M77" s="342">
        <v>0</v>
      </c>
      <c r="N77" s="342"/>
      <c r="O77" s="310">
        <f t="shared" si="16"/>
        <v>21625.61</v>
      </c>
      <c r="Q77" s="121" t="s">
        <v>17</v>
      </c>
      <c r="T77" s="121" t="s">
        <v>205</v>
      </c>
      <c r="U77" s="257">
        <f t="shared" si="17"/>
        <v>7863.26</v>
      </c>
      <c r="V77" s="257">
        <f t="shared" si="18"/>
        <v>6</v>
      </c>
    </row>
    <row r="78" spans="1:22">
      <c r="A78" s="121">
        <f t="shared" si="14"/>
        <v>78</v>
      </c>
      <c r="B78" s="127" t="s">
        <v>210</v>
      </c>
      <c r="C78" s="342">
        <v>1030949.61</v>
      </c>
      <c r="D78" s="342">
        <v>703436.48</v>
      </c>
      <c r="E78" s="342">
        <v>952056.96</v>
      </c>
      <c r="F78" s="342">
        <v>794540.06</v>
      </c>
      <c r="G78" s="342">
        <v>896082.85</v>
      </c>
      <c r="H78" s="342">
        <v>836358.98</v>
      </c>
      <c r="I78" s="342">
        <v>813593.54</v>
      </c>
      <c r="J78" s="342">
        <v>982056</v>
      </c>
      <c r="K78" s="342">
        <v>961901.47</v>
      </c>
      <c r="L78" s="342">
        <v>1024155.02</v>
      </c>
      <c r="M78" s="342">
        <v>903668.9</v>
      </c>
      <c r="N78" s="342">
        <v>975542.75</v>
      </c>
      <c r="O78" s="310">
        <f t="shared" si="16"/>
        <v>10874342.619999999</v>
      </c>
      <c r="Q78" s="121" t="s">
        <v>17</v>
      </c>
      <c r="T78" s="121" t="s">
        <v>205</v>
      </c>
      <c r="U78" s="257">
        <f t="shared" si="17"/>
        <v>1030949.61</v>
      </c>
      <c r="V78" s="257">
        <f t="shared" si="18"/>
        <v>1</v>
      </c>
    </row>
    <row r="79" spans="1:22">
      <c r="A79" s="121">
        <f t="shared" si="14"/>
        <v>79</v>
      </c>
      <c r="B79" s="127" t="s">
        <v>211</v>
      </c>
      <c r="C79" s="342">
        <v>550103.87</v>
      </c>
      <c r="D79" s="342">
        <v>357579.54</v>
      </c>
      <c r="E79" s="342">
        <v>690013.66</v>
      </c>
      <c r="F79" s="342">
        <v>629681.19999999995</v>
      </c>
      <c r="G79" s="342">
        <v>547692.22</v>
      </c>
      <c r="H79" s="343">
        <v>71236.55</v>
      </c>
      <c r="I79" s="342">
        <v>71767.899999999994</v>
      </c>
      <c r="J79" s="342">
        <v>79561</v>
      </c>
      <c r="K79" s="342">
        <v>87137.57</v>
      </c>
      <c r="L79" s="342">
        <v>97878.97</v>
      </c>
      <c r="M79" s="342">
        <v>30336.62</v>
      </c>
      <c r="N79" s="342">
        <v>517115.46</v>
      </c>
      <c r="O79" s="310">
        <f t="shared" si="16"/>
        <v>3730104.5599999991</v>
      </c>
      <c r="Q79" s="121" t="s">
        <v>17</v>
      </c>
      <c r="T79" s="121" t="s">
        <v>205</v>
      </c>
      <c r="U79" s="257">
        <f t="shared" si="17"/>
        <v>690013.66</v>
      </c>
      <c r="V79" s="257">
        <f t="shared" si="18"/>
        <v>3</v>
      </c>
    </row>
    <row r="80" spans="1:22">
      <c r="A80" s="121">
        <f t="shared" si="14"/>
        <v>80</v>
      </c>
      <c r="B80" s="127" t="s">
        <v>212</v>
      </c>
      <c r="C80" s="342">
        <v>0</v>
      </c>
      <c r="D80" s="342">
        <v>0</v>
      </c>
      <c r="E80" s="342">
        <v>0</v>
      </c>
      <c r="F80" s="342">
        <v>0</v>
      </c>
      <c r="G80" s="342"/>
      <c r="H80" s="342"/>
      <c r="I80" s="342">
        <v>0</v>
      </c>
      <c r="J80" s="342"/>
      <c r="K80" s="342"/>
      <c r="L80" s="342"/>
      <c r="M80" s="342"/>
      <c r="N80" s="342"/>
      <c r="O80" s="310">
        <f t="shared" si="16"/>
        <v>0</v>
      </c>
      <c r="Q80" s="121" t="s">
        <v>16</v>
      </c>
      <c r="T80" s="121" t="s">
        <v>213</v>
      </c>
      <c r="U80" s="257">
        <f t="shared" si="17"/>
        <v>0</v>
      </c>
      <c r="V80" s="257">
        <f t="shared" si="18"/>
        <v>1</v>
      </c>
    </row>
    <row r="81" spans="1:22">
      <c r="A81" s="121">
        <f t="shared" si="14"/>
        <v>81</v>
      </c>
      <c r="B81" s="323" t="s">
        <v>214</v>
      </c>
      <c r="C81" s="342">
        <v>2977320.32</v>
      </c>
      <c r="D81" s="342">
        <v>2812606.65</v>
      </c>
      <c r="E81" s="342">
        <v>2580223.29</v>
      </c>
      <c r="F81" s="342">
        <v>3113664.79</v>
      </c>
      <c r="G81" s="342">
        <v>3197707.15</v>
      </c>
      <c r="H81" s="342">
        <v>3174185.6</v>
      </c>
      <c r="I81" s="342">
        <v>3227789.76</v>
      </c>
      <c r="J81" s="342">
        <v>3374822</v>
      </c>
      <c r="K81" s="342">
        <v>1827736.23</v>
      </c>
      <c r="L81" s="342">
        <v>2395795.08</v>
      </c>
      <c r="M81" s="342">
        <v>2914917.07</v>
      </c>
      <c r="N81" s="342">
        <v>3193320.44</v>
      </c>
      <c r="O81" s="310">
        <f t="shared" si="16"/>
        <v>34790088.380000003</v>
      </c>
      <c r="Q81" s="121" t="s">
        <v>17</v>
      </c>
      <c r="T81" s="121" t="s">
        <v>205</v>
      </c>
      <c r="U81" s="257">
        <f t="shared" si="17"/>
        <v>3374822</v>
      </c>
      <c r="V81" s="257">
        <f t="shared" si="18"/>
        <v>8</v>
      </c>
    </row>
    <row r="82" spans="1:22">
      <c r="A82" s="121">
        <f t="shared" si="14"/>
        <v>82</v>
      </c>
      <c r="B82" s="323" t="s">
        <v>215</v>
      </c>
      <c r="C82" s="342">
        <v>1474691</v>
      </c>
      <c r="D82" s="342">
        <v>840442</v>
      </c>
      <c r="E82" s="342">
        <v>298893</v>
      </c>
      <c r="F82" s="342">
        <v>299976</v>
      </c>
      <c r="G82" s="344">
        <v>309674.84999999998</v>
      </c>
      <c r="H82" s="342">
        <v>299836.46000000002</v>
      </c>
      <c r="I82" s="342">
        <v>621121.43000000005</v>
      </c>
      <c r="J82" s="342">
        <v>621900</v>
      </c>
      <c r="K82" s="342">
        <v>752094.22</v>
      </c>
      <c r="L82" s="342">
        <v>311986.32</v>
      </c>
      <c r="M82" s="342">
        <v>899291.24</v>
      </c>
      <c r="N82" s="342">
        <v>2480373.4700000002</v>
      </c>
      <c r="O82" s="310">
        <f t="shared" si="16"/>
        <v>9210279.9900000002</v>
      </c>
      <c r="Q82" s="121" t="s">
        <v>17</v>
      </c>
      <c r="T82" s="121" t="s">
        <v>205</v>
      </c>
      <c r="U82" s="257">
        <f t="shared" si="17"/>
        <v>2480373.4700000002</v>
      </c>
      <c r="V82" s="257">
        <f t="shared" si="18"/>
        <v>12</v>
      </c>
    </row>
    <row r="83" spans="1:22">
      <c r="A83" s="121">
        <f t="shared" si="14"/>
        <v>83</v>
      </c>
      <c r="B83" s="323" t="s">
        <v>216</v>
      </c>
      <c r="C83" s="342">
        <v>13608297</v>
      </c>
      <c r="D83" s="342">
        <v>12597538</v>
      </c>
      <c r="E83" s="342">
        <v>12846742</v>
      </c>
      <c r="F83" s="342">
        <v>11773358</v>
      </c>
      <c r="G83" s="342">
        <v>13100033.710000001</v>
      </c>
      <c r="H83" s="342">
        <v>12038857.26</v>
      </c>
      <c r="I83" s="342">
        <v>12616747.189999999</v>
      </c>
      <c r="J83" s="342">
        <v>12959803.57</v>
      </c>
      <c r="K83" s="342">
        <v>12349015.99</v>
      </c>
      <c r="L83" s="342">
        <v>12094648.66</v>
      </c>
      <c r="M83" s="342">
        <v>11832089.67</v>
      </c>
      <c r="N83" s="342">
        <v>11339233.560000001</v>
      </c>
      <c r="O83" s="310">
        <f t="shared" si="16"/>
        <v>149156364.60999998</v>
      </c>
      <c r="Q83" s="121" t="s">
        <v>17</v>
      </c>
      <c r="T83" s="121" t="s">
        <v>205</v>
      </c>
      <c r="U83" s="257">
        <f t="shared" si="17"/>
        <v>13608297</v>
      </c>
      <c r="V83" s="257">
        <f t="shared" si="18"/>
        <v>1</v>
      </c>
    </row>
    <row r="84" spans="1:22">
      <c r="A84" s="121">
        <f t="shared" si="14"/>
        <v>84</v>
      </c>
      <c r="B84" s="323" t="s">
        <v>218</v>
      </c>
      <c r="C84" s="342">
        <v>133290.60999999999</v>
      </c>
      <c r="D84" s="342">
        <v>74876.97</v>
      </c>
      <c r="E84" s="342">
        <v>104305.76</v>
      </c>
      <c r="F84" s="342">
        <v>116316.13</v>
      </c>
      <c r="G84" s="342">
        <v>72815.600000000006</v>
      </c>
      <c r="H84" s="342">
        <v>97036.39</v>
      </c>
      <c r="I84" s="342">
        <v>79183.520000000004</v>
      </c>
      <c r="J84" s="342">
        <v>110708</v>
      </c>
      <c r="K84" s="342">
        <v>92335.65</v>
      </c>
      <c r="L84" s="342">
        <v>115112</v>
      </c>
      <c r="M84" s="342">
        <v>105710.71</v>
      </c>
      <c r="N84" s="342">
        <v>115863.74</v>
      </c>
      <c r="O84" s="310">
        <f>SUM(C84:N84)</f>
        <v>1217555.08</v>
      </c>
      <c r="Q84" s="121" t="s">
        <v>16</v>
      </c>
      <c r="T84" s="121" t="s">
        <v>205</v>
      </c>
      <c r="U84" s="257">
        <f t="shared" si="17"/>
        <v>133290.60999999999</v>
      </c>
      <c r="V84" s="257">
        <f t="shared" si="18"/>
        <v>1</v>
      </c>
    </row>
    <row r="85" spans="1:22">
      <c r="A85" s="121">
        <f t="shared" si="14"/>
        <v>85</v>
      </c>
      <c r="B85" s="323" t="s">
        <v>219</v>
      </c>
      <c r="C85" s="342">
        <v>368350.33</v>
      </c>
      <c r="D85" s="342">
        <v>356320.1</v>
      </c>
      <c r="E85" s="342">
        <v>246755.92</v>
      </c>
      <c r="F85" s="342">
        <v>207644.08</v>
      </c>
      <c r="G85" s="342">
        <v>311850.23999999999</v>
      </c>
      <c r="H85" s="342">
        <v>491387.15</v>
      </c>
      <c r="I85" s="342">
        <v>189453.68</v>
      </c>
      <c r="J85" s="342">
        <v>427989.12</v>
      </c>
      <c r="K85" s="342">
        <v>286930.86</v>
      </c>
      <c r="L85" s="342">
        <v>445360</v>
      </c>
      <c r="M85" s="342">
        <v>501049.86</v>
      </c>
      <c r="N85" s="342">
        <v>615730.89</v>
      </c>
      <c r="O85" s="310">
        <f t="shared" si="16"/>
        <v>4448822.2299999995</v>
      </c>
      <c r="Q85" s="121" t="s">
        <v>16</v>
      </c>
      <c r="T85" s="121" t="s">
        <v>213</v>
      </c>
      <c r="U85" s="257">
        <f t="shared" si="17"/>
        <v>615730.89</v>
      </c>
      <c r="V85" s="257">
        <f t="shared" si="18"/>
        <v>12</v>
      </c>
    </row>
    <row r="86" spans="1:22">
      <c r="A86" s="121">
        <f t="shared" si="14"/>
        <v>86</v>
      </c>
      <c r="B86" s="323" t="s">
        <v>220</v>
      </c>
      <c r="C86" s="342">
        <v>0</v>
      </c>
      <c r="D86" s="342">
        <v>0</v>
      </c>
      <c r="E86" s="342">
        <v>0</v>
      </c>
      <c r="F86" s="342">
        <v>0</v>
      </c>
      <c r="G86" s="342">
        <v>0</v>
      </c>
      <c r="H86" s="342"/>
      <c r="I86" s="342"/>
      <c r="J86" s="342"/>
      <c r="K86" s="342"/>
      <c r="L86" s="342"/>
      <c r="M86" s="342"/>
      <c r="N86" s="342"/>
      <c r="O86" s="310">
        <f t="shared" si="16"/>
        <v>0</v>
      </c>
      <c r="Q86" s="121" t="s">
        <v>17</v>
      </c>
      <c r="T86" s="121" t="s">
        <v>213</v>
      </c>
      <c r="U86" s="257">
        <f t="shared" si="17"/>
        <v>0</v>
      </c>
      <c r="V86" s="257">
        <f t="shared" si="18"/>
        <v>1</v>
      </c>
    </row>
    <row r="87" spans="1:22">
      <c r="A87" s="121">
        <f t="shared" si="14"/>
        <v>87</v>
      </c>
      <c r="B87" s="322" t="s">
        <v>221</v>
      </c>
      <c r="C87" s="317">
        <f>SUM(C73:C86)</f>
        <v>22898746.569999997</v>
      </c>
      <c r="D87" s="317">
        <f t="shared" ref="D87:N87" si="19">SUM(D73:D86)</f>
        <v>19505590.59</v>
      </c>
      <c r="E87" s="317">
        <f t="shared" si="19"/>
        <v>20387881.740000006</v>
      </c>
      <c r="F87" s="317">
        <f t="shared" si="19"/>
        <v>18743423.189999998</v>
      </c>
      <c r="G87" s="317">
        <f t="shared" si="19"/>
        <v>21852840.720000003</v>
      </c>
      <c r="H87" s="317">
        <f t="shared" si="19"/>
        <v>20688275.899999999</v>
      </c>
      <c r="I87" s="317">
        <f t="shared" si="19"/>
        <v>20837224.359999996</v>
      </c>
      <c r="J87" s="317">
        <f t="shared" si="19"/>
        <v>22667250.690000001</v>
      </c>
      <c r="K87" s="317">
        <f t="shared" si="19"/>
        <v>20128946.279999997</v>
      </c>
      <c r="L87" s="317">
        <f>SUM(L73:L86)</f>
        <v>20271502.129999999</v>
      </c>
      <c r="M87" s="317">
        <f t="shared" si="19"/>
        <v>20681970.210000001</v>
      </c>
      <c r="N87" s="317">
        <f t="shared" si="19"/>
        <v>22741923.970000003</v>
      </c>
      <c r="O87" s="317">
        <f>SUM(C87:N87)</f>
        <v>251405576.34999999</v>
      </c>
      <c r="U87" s="257"/>
      <c r="V87" s="257"/>
    </row>
    <row r="88" spans="1:22">
      <c r="A88" s="121">
        <f t="shared" si="14"/>
        <v>88</v>
      </c>
      <c r="B88" s="320" t="s">
        <v>222</v>
      </c>
      <c r="U88" s="257"/>
      <c r="V88" s="257"/>
    </row>
    <row r="89" spans="1:22">
      <c r="A89" s="121">
        <f t="shared" si="14"/>
        <v>89</v>
      </c>
      <c r="B89" s="323"/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2"/>
      <c r="N89" s="342"/>
      <c r="O89" s="310">
        <f>SUM(C89:N89)</f>
        <v>0</v>
      </c>
      <c r="Q89" s="121" t="s">
        <v>17</v>
      </c>
      <c r="T89" s="121" t="s">
        <v>205</v>
      </c>
      <c r="U89" s="257">
        <f t="shared" si="17"/>
        <v>0</v>
      </c>
      <c r="V89" s="257">
        <f t="shared" si="18"/>
        <v>0</v>
      </c>
    </row>
    <row r="90" spans="1:22">
      <c r="A90" s="121">
        <f t="shared" si="14"/>
        <v>90</v>
      </c>
      <c r="B90" s="127" t="s">
        <v>223</v>
      </c>
      <c r="C90" s="342">
        <v>295458.21999999997</v>
      </c>
      <c r="D90" s="342">
        <v>273459.68</v>
      </c>
      <c r="E90" s="342">
        <v>308423.31</v>
      </c>
      <c r="F90" s="342">
        <v>299978.78999999998</v>
      </c>
      <c r="G90" s="342">
        <v>303703.98</v>
      </c>
      <c r="H90" s="342">
        <v>297966.71999999997</v>
      </c>
      <c r="I90" s="342">
        <v>289045.40999999997</v>
      </c>
      <c r="J90" s="342">
        <v>274986</v>
      </c>
      <c r="K90" s="342">
        <v>249128.23</v>
      </c>
      <c r="L90" s="342">
        <v>257675.22</v>
      </c>
      <c r="M90" s="342">
        <v>256170.43</v>
      </c>
      <c r="N90" s="342">
        <v>280017.37</v>
      </c>
      <c r="O90" s="310">
        <f>SUM(C90:N90)</f>
        <v>3386013.3600000003</v>
      </c>
      <c r="Q90" s="121" t="s">
        <v>17</v>
      </c>
      <c r="T90" s="121" t="s">
        <v>205</v>
      </c>
      <c r="U90" s="257">
        <f t="shared" si="17"/>
        <v>308423.31</v>
      </c>
      <c r="V90" s="257">
        <f t="shared" si="18"/>
        <v>3</v>
      </c>
    </row>
    <row r="91" spans="1:22">
      <c r="A91" s="121">
        <f t="shared" si="14"/>
        <v>91</v>
      </c>
      <c r="B91" s="127" t="s">
        <v>224</v>
      </c>
      <c r="C91" s="342">
        <v>1543268.98</v>
      </c>
      <c r="D91" s="342">
        <v>1013268.24</v>
      </c>
      <c r="E91" s="342">
        <v>1736482.8</v>
      </c>
      <c r="F91" s="342">
        <v>1671748.14</v>
      </c>
      <c r="G91" s="342">
        <v>1687293.92</v>
      </c>
      <c r="H91" s="342">
        <v>1609846.65</v>
      </c>
      <c r="I91" s="342">
        <v>1649279.84</v>
      </c>
      <c r="J91" s="342">
        <v>1534532.48</v>
      </c>
      <c r="K91" s="342">
        <v>1472594.43</v>
      </c>
      <c r="L91" s="342">
        <v>1677748</v>
      </c>
      <c r="M91" s="342">
        <v>1646308.44</v>
      </c>
      <c r="N91" s="342">
        <v>1668647.72</v>
      </c>
      <c r="O91" s="310">
        <f>SUM(C91:N91)</f>
        <v>18911019.639999997</v>
      </c>
      <c r="Q91" s="121" t="s">
        <v>16</v>
      </c>
      <c r="T91" s="121" t="s">
        <v>213</v>
      </c>
      <c r="U91" s="257">
        <f t="shared" si="17"/>
        <v>1736482.8</v>
      </c>
      <c r="V91" s="257">
        <f t="shared" si="18"/>
        <v>3</v>
      </c>
    </row>
    <row r="92" spans="1:22">
      <c r="A92" s="121">
        <f t="shared" si="14"/>
        <v>92</v>
      </c>
      <c r="B92" s="127" t="s">
        <v>225</v>
      </c>
      <c r="C92" s="342">
        <v>0</v>
      </c>
      <c r="D92" s="342">
        <v>16332</v>
      </c>
      <c r="E92" s="342">
        <v>23283.52</v>
      </c>
      <c r="F92" s="342">
        <v>20933.46</v>
      </c>
      <c r="G92" s="342">
        <v>27538.16</v>
      </c>
      <c r="H92" s="342">
        <v>19833.060000000001</v>
      </c>
      <c r="I92" s="342">
        <v>5899.92</v>
      </c>
      <c r="J92" s="342">
        <v>3493.36</v>
      </c>
      <c r="K92" s="342">
        <v>137.41</v>
      </c>
      <c r="L92" s="342">
        <v>80503</v>
      </c>
      <c r="M92" s="342">
        <v>51819.4</v>
      </c>
      <c r="N92" s="342">
        <v>60060.11</v>
      </c>
      <c r="O92" s="310">
        <f>SUM(C92:N92)</f>
        <v>309833.40000000002</v>
      </c>
      <c r="Q92" s="121" t="s">
        <v>16</v>
      </c>
      <c r="T92" s="121" t="s">
        <v>213</v>
      </c>
      <c r="U92" s="257">
        <f t="shared" si="17"/>
        <v>80503</v>
      </c>
      <c r="V92" s="257">
        <f t="shared" si="18"/>
        <v>10</v>
      </c>
    </row>
    <row r="93" spans="1:22">
      <c r="A93" s="121">
        <f t="shared" si="14"/>
        <v>93</v>
      </c>
      <c r="B93" s="322" t="s">
        <v>226</v>
      </c>
      <c r="C93" s="317">
        <f>SUM(C89:C92)</f>
        <v>1838727.2</v>
      </c>
      <c r="D93" s="317">
        <f>SUM(D89:D92)</f>
        <v>1303059.92</v>
      </c>
      <c r="E93" s="317">
        <f>SUM(E89:E92)</f>
        <v>2068189.6300000001</v>
      </c>
      <c r="F93" s="317">
        <f t="shared" ref="F93:O93" si="20">SUM(F89:F92)</f>
        <v>1992660.39</v>
      </c>
      <c r="G93" s="317">
        <f t="shared" si="20"/>
        <v>2018536.0599999998</v>
      </c>
      <c r="H93" s="317">
        <f t="shared" si="20"/>
        <v>1927646.43</v>
      </c>
      <c r="I93" s="317">
        <f t="shared" si="20"/>
        <v>1944225.17</v>
      </c>
      <c r="J93" s="317">
        <f t="shared" si="20"/>
        <v>1813011.84</v>
      </c>
      <c r="K93" s="317">
        <f t="shared" si="20"/>
        <v>1721860.0699999998</v>
      </c>
      <c r="L93" s="317">
        <f t="shared" si="20"/>
        <v>2015926.22</v>
      </c>
      <c r="M93" s="317">
        <f t="shared" si="20"/>
        <v>1954298.2699999998</v>
      </c>
      <c r="N93" s="317">
        <f t="shared" si="20"/>
        <v>2008725.2</v>
      </c>
      <c r="O93" s="317">
        <f t="shared" si="20"/>
        <v>22606866.399999995</v>
      </c>
      <c r="U93" s="257"/>
      <c r="V93" s="257"/>
    </row>
    <row r="94" spans="1:22">
      <c r="A94" s="121">
        <f t="shared" si="14"/>
        <v>94</v>
      </c>
      <c r="B94" s="320" t="s">
        <v>227</v>
      </c>
      <c r="C94" s="310"/>
      <c r="D94" s="310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0"/>
      <c r="U94" s="257"/>
      <c r="V94" s="257"/>
    </row>
    <row r="95" spans="1:22">
      <c r="A95" s="121">
        <f t="shared" si="14"/>
        <v>95</v>
      </c>
      <c r="B95" s="127"/>
      <c r="C95" s="345"/>
      <c r="D95" s="339"/>
      <c r="E95" s="346"/>
      <c r="F95" s="347"/>
      <c r="G95" s="346"/>
      <c r="H95" s="346"/>
      <c r="I95" s="341"/>
      <c r="J95" s="341" t="s">
        <v>31</v>
      </c>
      <c r="K95" s="341"/>
      <c r="L95" s="346"/>
      <c r="M95" s="341"/>
      <c r="N95" s="341"/>
      <c r="O95" s="337">
        <f>SUM(C95:N95)</f>
        <v>0</v>
      </c>
      <c r="Q95" s="121" t="s">
        <v>17</v>
      </c>
      <c r="T95" s="121" t="s">
        <v>205</v>
      </c>
      <c r="U95" s="257">
        <f t="shared" si="17"/>
        <v>0</v>
      </c>
      <c r="V95" s="257">
        <f t="shared" si="18"/>
        <v>0</v>
      </c>
    </row>
    <row r="96" spans="1:22">
      <c r="A96" s="121">
        <f t="shared" si="14"/>
        <v>96</v>
      </c>
      <c r="B96" s="128" t="s">
        <v>207</v>
      </c>
      <c r="C96" s="348">
        <v>0</v>
      </c>
      <c r="D96" s="348">
        <v>0</v>
      </c>
      <c r="E96" s="349">
        <v>0</v>
      </c>
      <c r="F96" s="350">
        <v>0</v>
      </c>
      <c r="G96" s="350">
        <v>0</v>
      </c>
      <c r="H96" s="350">
        <v>0</v>
      </c>
      <c r="I96" s="351">
        <v>0</v>
      </c>
      <c r="J96" s="351">
        <v>0</v>
      </c>
      <c r="K96" s="351">
        <v>0</v>
      </c>
      <c r="L96" s="351">
        <v>0</v>
      </c>
      <c r="M96" s="351">
        <v>0</v>
      </c>
      <c r="N96" s="351">
        <v>0</v>
      </c>
      <c r="O96" s="319">
        <f>SUM(C96:N96)</f>
        <v>0</v>
      </c>
      <c r="Q96" s="121" t="s">
        <v>17</v>
      </c>
      <c r="T96" s="121" t="s">
        <v>205</v>
      </c>
      <c r="U96" s="257">
        <f t="shared" si="17"/>
        <v>0</v>
      </c>
      <c r="V96" s="257">
        <f t="shared" si="18"/>
        <v>1</v>
      </c>
    </row>
    <row r="97" spans="1:22">
      <c r="A97" s="121">
        <f t="shared" si="14"/>
        <v>97</v>
      </c>
      <c r="B97" s="322" t="s">
        <v>228</v>
      </c>
      <c r="C97" s="310">
        <f t="shared" ref="C97:N97" si="21">SUM(C96)</f>
        <v>0</v>
      </c>
      <c r="D97" s="310">
        <f t="shared" si="21"/>
        <v>0</v>
      </c>
      <c r="E97" s="310">
        <f t="shared" si="21"/>
        <v>0</v>
      </c>
      <c r="F97" s="310">
        <f t="shared" si="21"/>
        <v>0</v>
      </c>
      <c r="G97" s="310">
        <f t="shared" si="21"/>
        <v>0</v>
      </c>
      <c r="H97" s="310">
        <f t="shared" si="21"/>
        <v>0</v>
      </c>
      <c r="I97" s="310">
        <f t="shared" si="21"/>
        <v>0</v>
      </c>
      <c r="J97" s="310">
        <f t="shared" si="21"/>
        <v>0</v>
      </c>
      <c r="K97" s="310">
        <f t="shared" si="21"/>
        <v>0</v>
      </c>
      <c r="L97" s="310">
        <f t="shared" si="21"/>
        <v>0</v>
      </c>
      <c r="M97" s="310">
        <f t="shared" si="21"/>
        <v>0</v>
      </c>
      <c r="N97" s="310">
        <f t="shared" si="21"/>
        <v>0</v>
      </c>
      <c r="O97" s="310">
        <f>SUM(C97:N97)</f>
        <v>0</v>
      </c>
      <c r="U97" s="257"/>
      <c r="V97" s="257"/>
    </row>
    <row r="98" spans="1:22">
      <c r="A98" s="121">
        <f t="shared" si="14"/>
        <v>98</v>
      </c>
      <c r="B98" s="322"/>
    </row>
    <row r="99" spans="1:22">
      <c r="A99" s="121">
        <f t="shared" si="14"/>
        <v>99</v>
      </c>
      <c r="B99" s="324" t="s">
        <v>229</v>
      </c>
      <c r="C99" s="325">
        <f t="shared" ref="C99:O99" si="22">+C15+C24+C62+C71+C87+C93+C97</f>
        <v>38265121.850000039</v>
      </c>
      <c r="D99" s="325">
        <f t="shared" si="22"/>
        <v>32969296.120000005</v>
      </c>
      <c r="E99" s="325">
        <f t="shared" si="22"/>
        <v>34157425.800000027</v>
      </c>
      <c r="F99" s="325">
        <f t="shared" si="22"/>
        <v>32242982.29000001</v>
      </c>
      <c r="G99" s="325">
        <f t="shared" si="22"/>
        <v>34803162.370000042</v>
      </c>
      <c r="H99" s="325">
        <f t="shared" si="22"/>
        <v>32745931.640000038</v>
      </c>
      <c r="I99" s="325">
        <f t="shared" si="22"/>
        <v>32279964.490000017</v>
      </c>
      <c r="J99" s="325">
        <f t="shared" si="22"/>
        <v>34164030.07000003</v>
      </c>
      <c r="K99" s="325">
        <f t="shared" si="22"/>
        <v>30987068.150000021</v>
      </c>
      <c r="L99" s="325">
        <f t="shared" si="22"/>
        <v>32140540.430000026</v>
      </c>
      <c r="M99" s="325">
        <f t="shared" si="22"/>
        <v>33585350.330000035</v>
      </c>
      <c r="N99" s="325">
        <f t="shared" si="22"/>
        <v>37210922.920000039</v>
      </c>
      <c r="O99" s="326">
        <f t="shared" si="22"/>
        <v>405551796.46000028</v>
      </c>
    </row>
    <row r="100" spans="1:22">
      <c r="A100" s="121">
        <f t="shared" si="14"/>
        <v>100</v>
      </c>
      <c r="B100" s="327" t="s">
        <v>230</v>
      </c>
    </row>
    <row r="101" spans="1:22">
      <c r="A101" s="121">
        <f t="shared" si="14"/>
        <v>101</v>
      </c>
      <c r="B101" s="327"/>
      <c r="T101" s="121" t="s">
        <v>213</v>
      </c>
    </row>
    <row r="102" spans="1:22">
      <c r="A102" s="121">
        <f t="shared" si="14"/>
        <v>102</v>
      </c>
      <c r="B102" s="127" t="s">
        <v>232</v>
      </c>
      <c r="C102" s="335">
        <v>347297.94</v>
      </c>
      <c r="D102" s="335">
        <v>393056.51</v>
      </c>
      <c r="E102" s="335">
        <v>483551.74</v>
      </c>
      <c r="F102" s="335">
        <v>354349.15</v>
      </c>
      <c r="G102" s="335">
        <v>457254.84</v>
      </c>
      <c r="H102" s="335">
        <v>451386.71</v>
      </c>
      <c r="I102" s="335">
        <v>447098.48</v>
      </c>
      <c r="J102" s="335">
        <v>533503</v>
      </c>
      <c r="K102" s="335">
        <v>476690.17</v>
      </c>
      <c r="L102" s="335">
        <v>459257.41</v>
      </c>
      <c r="M102" s="335">
        <v>457529.62</v>
      </c>
      <c r="N102" s="335">
        <v>438708.47</v>
      </c>
      <c r="O102" s="310">
        <f>SUM(C102:N102)</f>
        <v>5299684.04</v>
      </c>
      <c r="Q102" s="121" t="s">
        <v>17</v>
      </c>
      <c r="T102" s="121" t="s">
        <v>205</v>
      </c>
    </row>
    <row r="103" spans="1:22">
      <c r="A103" s="121">
        <f t="shared" si="14"/>
        <v>103</v>
      </c>
      <c r="B103" s="128" t="s">
        <v>233</v>
      </c>
      <c r="C103" s="335">
        <v>132832.29</v>
      </c>
      <c r="D103" s="335">
        <v>62925.599999999999</v>
      </c>
      <c r="E103" s="335">
        <v>108004.96</v>
      </c>
      <c r="F103" s="335">
        <v>49081.03</v>
      </c>
      <c r="G103" s="335">
        <v>5365.42</v>
      </c>
      <c r="H103" s="335">
        <v>7792.47</v>
      </c>
      <c r="I103" s="335">
        <v>10579.89</v>
      </c>
      <c r="J103" s="335">
        <v>6740</v>
      </c>
      <c r="K103" s="335">
        <v>5167.83</v>
      </c>
      <c r="L103" s="335">
        <v>20449.53</v>
      </c>
      <c r="M103" s="335">
        <v>113962</v>
      </c>
      <c r="N103" s="335">
        <v>127512.93</v>
      </c>
      <c r="O103" s="319">
        <f>SUM(C103:N103)</f>
        <v>650413.94999999995</v>
      </c>
      <c r="Q103" s="121" t="s">
        <v>17</v>
      </c>
      <c r="T103" s="121" t="s">
        <v>205</v>
      </c>
    </row>
    <row r="104" spans="1:22">
      <c r="A104" s="121">
        <f t="shared" si="14"/>
        <v>104</v>
      </c>
      <c r="B104" s="322" t="s">
        <v>234</v>
      </c>
      <c r="C104" s="317">
        <f t="shared" ref="C104:N104" si="23">SUM(C102:C103)</f>
        <v>480130.23</v>
      </c>
      <c r="D104" s="317">
        <f t="shared" si="23"/>
        <v>455982.11</v>
      </c>
      <c r="E104" s="317">
        <f t="shared" si="23"/>
        <v>591556.69999999995</v>
      </c>
      <c r="F104" s="317">
        <f t="shared" si="23"/>
        <v>403430.18000000005</v>
      </c>
      <c r="G104" s="317">
        <f t="shared" si="23"/>
        <v>462620.26</v>
      </c>
      <c r="H104" s="317">
        <f t="shared" si="23"/>
        <v>459179.18</v>
      </c>
      <c r="I104" s="317">
        <f t="shared" si="23"/>
        <v>457678.37</v>
      </c>
      <c r="J104" s="317">
        <f t="shared" si="23"/>
        <v>540243</v>
      </c>
      <c r="K104" s="317">
        <f t="shared" si="23"/>
        <v>481858</v>
      </c>
      <c r="L104" s="317">
        <f>SUM(L102:L103)</f>
        <v>479706.93999999994</v>
      </c>
      <c r="M104" s="317">
        <f t="shared" si="23"/>
        <v>571491.62</v>
      </c>
      <c r="N104" s="317">
        <f t="shared" si="23"/>
        <v>566221.39999999991</v>
      </c>
      <c r="O104" s="310">
        <f>SUM(C104:N104)</f>
        <v>5950097.9900000002</v>
      </c>
    </row>
    <row r="105" spans="1:22">
      <c r="A105" s="121">
        <f t="shared" si="14"/>
        <v>105</v>
      </c>
      <c r="B105" s="320" t="s">
        <v>235</v>
      </c>
    </row>
    <row r="106" spans="1:22">
      <c r="A106" s="121">
        <f t="shared" si="14"/>
        <v>106</v>
      </c>
      <c r="B106" s="127" t="s">
        <v>236</v>
      </c>
      <c r="C106" s="335"/>
      <c r="D106" s="335"/>
      <c r="E106" s="335"/>
      <c r="F106" s="335"/>
      <c r="G106" s="342"/>
      <c r="H106" s="335"/>
      <c r="I106" s="335"/>
      <c r="J106" s="335"/>
      <c r="K106" s="335"/>
      <c r="L106" s="335"/>
      <c r="M106" s="335"/>
      <c r="N106" s="342"/>
      <c r="O106" s="310"/>
    </row>
    <row r="107" spans="1:22">
      <c r="A107" s="121">
        <f t="shared" si="14"/>
        <v>107</v>
      </c>
      <c r="B107" s="127" t="s">
        <v>237</v>
      </c>
      <c r="C107" s="335">
        <v>1229779.92</v>
      </c>
      <c r="D107" s="335">
        <v>1144269.9099999999</v>
      </c>
      <c r="E107" s="335">
        <v>1220319.71</v>
      </c>
      <c r="F107" s="335">
        <v>518739.15</v>
      </c>
      <c r="G107" s="342">
        <v>1114460.3600000001</v>
      </c>
      <c r="H107" s="335">
        <v>1425920.21</v>
      </c>
      <c r="I107" s="335">
        <v>1471650</v>
      </c>
      <c r="J107" s="335">
        <v>1497390</v>
      </c>
      <c r="K107" s="335">
        <v>1430739.95</v>
      </c>
      <c r="L107" s="335">
        <v>1403480.44</v>
      </c>
      <c r="M107" s="335">
        <v>1341790.28</v>
      </c>
      <c r="N107" s="342">
        <v>1234479.5900000001</v>
      </c>
      <c r="O107" s="310">
        <f>SUM(C107:N107)</f>
        <v>15033019.519999998</v>
      </c>
      <c r="Q107" s="121" t="s">
        <v>17</v>
      </c>
      <c r="T107" s="121" t="s">
        <v>205</v>
      </c>
    </row>
    <row r="108" spans="1:22">
      <c r="A108" s="121">
        <f t="shared" si="14"/>
        <v>108</v>
      </c>
      <c r="B108" s="128" t="s">
        <v>238</v>
      </c>
      <c r="C108" s="335">
        <v>2506750.41</v>
      </c>
      <c r="D108" s="348">
        <v>1543860.26</v>
      </c>
      <c r="E108" s="348">
        <v>1780190.14</v>
      </c>
      <c r="F108" s="348">
        <v>2416730.0699999998</v>
      </c>
      <c r="G108" s="348">
        <v>2354879.88</v>
      </c>
      <c r="H108" s="348">
        <v>611889.56000000006</v>
      </c>
      <c r="I108" s="348">
        <v>319670</v>
      </c>
      <c r="J108" s="348">
        <v>335310</v>
      </c>
      <c r="K108" s="348">
        <v>401209.69</v>
      </c>
      <c r="L108" s="348">
        <v>310870.49</v>
      </c>
      <c r="M108" s="348">
        <v>338120.37</v>
      </c>
      <c r="N108" s="348">
        <v>2123070.0099999998</v>
      </c>
      <c r="O108" s="319">
        <f>SUM(C108:N108)</f>
        <v>15042550.879999997</v>
      </c>
      <c r="Q108" s="121" t="s">
        <v>17</v>
      </c>
      <c r="T108" s="121" t="s">
        <v>205</v>
      </c>
    </row>
    <row r="109" spans="1:22">
      <c r="A109" s="121">
        <f t="shared" si="14"/>
        <v>109</v>
      </c>
      <c r="B109" s="322" t="s">
        <v>239</v>
      </c>
      <c r="C109" s="310">
        <f t="shared" ref="C109:N109" si="24">SUM(C107:C108)</f>
        <v>3736530.33</v>
      </c>
      <c r="D109" s="310">
        <f t="shared" si="24"/>
        <v>2688130.17</v>
      </c>
      <c r="E109" s="310">
        <f t="shared" si="24"/>
        <v>3000509.8499999996</v>
      </c>
      <c r="F109" s="310">
        <f t="shared" si="24"/>
        <v>2935469.2199999997</v>
      </c>
      <c r="G109" s="310">
        <f t="shared" si="24"/>
        <v>3469340.24</v>
      </c>
      <c r="H109" s="310">
        <f t="shared" si="24"/>
        <v>2037809.77</v>
      </c>
      <c r="I109" s="310">
        <f t="shared" si="24"/>
        <v>1791320</v>
      </c>
      <c r="J109" s="310">
        <f t="shared" si="24"/>
        <v>1832700</v>
      </c>
      <c r="K109" s="310">
        <f t="shared" si="24"/>
        <v>1831949.64</v>
      </c>
      <c r="L109" s="310">
        <f t="shared" si="24"/>
        <v>1714350.93</v>
      </c>
      <c r="M109" s="310">
        <f t="shared" si="24"/>
        <v>1679910.65</v>
      </c>
      <c r="N109" s="310">
        <f t="shared" si="24"/>
        <v>3357549.5999999996</v>
      </c>
      <c r="O109" s="310">
        <f>SUM(C109:N109)</f>
        <v>30075570.399999999</v>
      </c>
    </row>
    <row r="110" spans="1:22">
      <c r="A110" s="121">
        <f t="shared" si="14"/>
        <v>110</v>
      </c>
      <c r="B110" s="322"/>
      <c r="C110" s="257"/>
      <c r="D110" s="257"/>
    </row>
    <row r="111" spans="1:22">
      <c r="A111" s="121">
        <f t="shared" si="14"/>
        <v>111</v>
      </c>
      <c r="B111" s="324" t="s">
        <v>240</v>
      </c>
      <c r="C111" s="325">
        <f t="shared" ref="C111:N111" si="25">+C104+C109</f>
        <v>4216660.5600000005</v>
      </c>
      <c r="D111" s="325">
        <f t="shared" si="25"/>
        <v>3144112.28</v>
      </c>
      <c r="E111" s="325">
        <f t="shared" si="25"/>
        <v>3592066.55</v>
      </c>
      <c r="F111" s="325">
        <f t="shared" si="25"/>
        <v>3338899.4</v>
      </c>
      <c r="G111" s="325">
        <f t="shared" si="25"/>
        <v>3931960.5</v>
      </c>
      <c r="H111" s="325">
        <f t="shared" si="25"/>
        <v>2496988.9500000002</v>
      </c>
      <c r="I111" s="325">
        <f t="shared" si="25"/>
        <v>2248998.37</v>
      </c>
      <c r="J111" s="325">
        <f t="shared" si="25"/>
        <v>2372943</v>
      </c>
      <c r="K111" s="325">
        <f t="shared" si="25"/>
        <v>2313807.6399999997</v>
      </c>
      <c r="L111" s="325">
        <f t="shared" si="25"/>
        <v>2194057.87</v>
      </c>
      <c r="M111" s="325">
        <f t="shared" si="25"/>
        <v>2251402.27</v>
      </c>
      <c r="N111" s="325">
        <f t="shared" si="25"/>
        <v>3923770.9999999995</v>
      </c>
      <c r="O111" s="326">
        <f>+O104+O109</f>
        <v>36025668.390000001</v>
      </c>
    </row>
    <row r="112" spans="1:22">
      <c r="A112" s="121">
        <f t="shared" si="14"/>
        <v>112</v>
      </c>
      <c r="B112" s="322"/>
      <c r="C112" s="257">
        <f>+C109+C104+C93+C87</f>
        <v>28954134.329999998</v>
      </c>
      <c r="D112" s="257">
        <f>+D109+D104+D93+D87</f>
        <v>23952762.789999999</v>
      </c>
      <c r="E112" s="257">
        <f>+E109+E104+E93+E87</f>
        <v>26048137.920000006</v>
      </c>
      <c r="F112" s="257">
        <f t="shared" ref="F112:N112" si="26">+F109+F104+F93+F87</f>
        <v>24074982.979999997</v>
      </c>
      <c r="G112" s="257">
        <f t="shared" si="26"/>
        <v>27803337.280000001</v>
      </c>
      <c r="H112" s="257">
        <f>+H109+H104+H93+H87</f>
        <v>25112911.279999997</v>
      </c>
      <c r="I112" s="257">
        <f>+I109+I104+I93+I87</f>
        <v>25030447.899999995</v>
      </c>
      <c r="J112" s="257">
        <f>+J109+J104+J93+J87</f>
        <v>26853205.530000001</v>
      </c>
      <c r="K112" s="257">
        <f t="shared" si="26"/>
        <v>24164613.989999998</v>
      </c>
      <c r="L112" s="257">
        <f t="shared" si="26"/>
        <v>24481486.219999999</v>
      </c>
      <c r="M112" s="257">
        <f t="shared" si="26"/>
        <v>24887670.75</v>
      </c>
      <c r="N112" s="257">
        <f t="shared" si="26"/>
        <v>28674420.170000002</v>
      </c>
    </row>
    <row r="113" spans="1:15">
      <c r="A113" s="121">
        <f t="shared" si="14"/>
        <v>113</v>
      </c>
      <c r="B113" s="324" t="s">
        <v>241</v>
      </c>
      <c r="C113" s="325">
        <f>+C99+C111</f>
        <v>42481782.410000041</v>
      </c>
      <c r="D113" s="325">
        <f>+D99+D111</f>
        <v>36113408.400000006</v>
      </c>
      <c r="E113" s="325">
        <f>+E99+E111</f>
        <v>37749492.350000024</v>
      </c>
      <c r="F113" s="325">
        <f t="shared" ref="F113:N113" si="27">+F99+F111</f>
        <v>35581881.690000013</v>
      </c>
      <c r="G113" s="325">
        <f t="shared" si="27"/>
        <v>38735122.870000042</v>
      </c>
      <c r="H113" s="325">
        <f t="shared" si="27"/>
        <v>35242920.590000041</v>
      </c>
      <c r="I113" s="325">
        <f t="shared" si="27"/>
        <v>34528962.860000014</v>
      </c>
      <c r="J113" s="325">
        <f t="shared" si="27"/>
        <v>36536973.07000003</v>
      </c>
      <c r="K113" s="325">
        <f>+K99+K111</f>
        <v>33300875.790000021</v>
      </c>
      <c r="L113" s="325">
        <f t="shared" si="27"/>
        <v>34334598.300000027</v>
      </c>
      <c r="M113" s="325">
        <f t="shared" si="27"/>
        <v>35836752.600000039</v>
      </c>
      <c r="N113" s="325">
        <f t="shared" si="27"/>
        <v>41134693.920000039</v>
      </c>
      <c r="O113" s="326">
        <f>+O99+O111</f>
        <v>441577464.85000026</v>
      </c>
    </row>
    <row r="114" spans="1:15">
      <c r="A114" s="121">
        <f t="shared" si="14"/>
        <v>114</v>
      </c>
      <c r="B114" s="311" t="s">
        <v>158</v>
      </c>
      <c r="C114" s="257">
        <f>+C113-C109-C104-C93-C87</f>
        <v>13527648.080000047</v>
      </c>
    </row>
    <row r="115" spans="1:15">
      <c r="A115" s="121">
        <f t="shared" si="14"/>
        <v>115</v>
      </c>
      <c r="B115" s="312" t="s">
        <v>114</v>
      </c>
      <c r="C115" s="310">
        <f t="shared" ref="C115:C125" si="28">+C4</f>
        <v>9423.5299999999297</v>
      </c>
      <c r="D115" s="310">
        <f t="shared" ref="D115:D125" si="29">SUM(C4:D4)</f>
        <v>18320.519999999859</v>
      </c>
      <c r="E115" s="310">
        <f t="shared" ref="E115:E125" si="30">SUM(C4:E4)</f>
        <v>25948.419999999849</v>
      </c>
      <c r="F115" s="310">
        <f t="shared" ref="F115:F125" si="31">SUM(C4:F4)</f>
        <v>33485.159999999902</v>
      </c>
      <c r="G115" s="310">
        <f t="shared" ref="G115:G125" si="32">SUM(C4:G4)</f>
        <v>39999.299999999945</v>
      </c>
      <c r="H115" s="310">
        <f t="shared" ref="H115:H125" si="33">SUM(C4:H4)</f>
        <v>45869.679999999928</v>
      </c>
      <c r="I115" s="310">
        <f t="shared" ref="I115:I125" si="34">SUM(C4:I4)</f>
        <v>51115.14999999987</v>
      </c>
      <c r="J115" s="310">
        <f t="shared" ref="J115:J125" si="35">SUM(C4:J4)</f>
        <v>56831.04999999985</v>
      </c>
      <c r="K115" s="310">
        <f t="shared" ref="K115:K125" si="36">SUM(C4:K4)</f>
        <v>62591.75999999982</v>
      </c>
      <c r="L115" s="310">
        <f t="shared" ref="L115:L125" si="37">SUM(C4:L4)</f>
        <v>68407.529999999824</v>
      </c>
      <c r="M115" s="310">
        <f t="shared" ref="M115:M125" si="38">SUM(C4:M4)</f>
        <v>75084.109999999826</v>
      </c>
      <c r="N115" s="310">
        <f t="shared" ref="N115:N125" si="39">SUM(C4:N4)</f>
        <v>83992.079999999783</v>
      </c>
      <c r="O115" s="310">
        <f t="shared" ref="O115:O125" si="40">SUM(C115:N115)</f>
        <v>571068.28999999841</v>
      </c>
    </row>
    <row r="116" spans="1:15">
      <c r="A116" s="121">
        <f t="shared" si="14"/>
        <v>116</v>
      </c>
      <c r="B116" s="312" t="s">
        <v>115</v>
      </c>
      <c r="C116" s="310">
        <f t="shared" si="28"/>
        <v>33265.11</v>
      </c>
      <c r="D116" s="310">
        <f t="shared" si="29"/>
        <v>65030.41</v>
      </c>
      <c r="E116" s="310">
        <f t="shared" si="30"/>
        <v>90034.149999999805</v>
      </c>
      <c r="F116" s="310">
        <f t="shared" si="31"/>
        <v>114002.09</v>
      </c>
      <c r="G116" s="310">
        <f t="shared" si="32"/>
        <v>136014.04000000021</v>
      </c>
      <c r="H116" s="310">
        <f t="shared" si="33"/>
        <v>155564.8300000001</v>
      </c>
      <c r="I116" s="310">
        <f t="shared" si="34"/>
        <v>172646.2900000003</v>
      </c>
      <c r="J116" s="310">
        <f t="shared" si="35"/>
        <v>191599.86000000019</v>
      </c>
      <c r="K116" s="310">
        <f t="shared" si="36"/>
        <v>211242.6800000004</v>
      </c>
      <c r="L116" s="310">
        <f t="shared" si="37"/>
        <v>230082.63000000021</v>
      </c>
      <c r="M116" s="310">
        <f t="shared" si="38"/>
        <v>252367.12000000011</v>
      </c>
      <c r="N116" s="310">
        <f t="shared" si="39"/>
        <v>282677.26000000042</v>
      </c>
      <c r="O116" s="310">
        <f t="shared" si="40"/>
        <v>1934526.4700000016</v>
      </c>
    </row>
    <row r="117" spans="1:15">
      <c r="A117" s="121">
        <f t="shared" si="14"/>
        <v>117</v>
      </c>
      <c r="B117" s="312" t="s">
        <v>116</v>
      </c>
      <c r="C117" s="310">
        <f t="shared" si="28"/>
        <v>269710.09000000003</v>
      </c>
      <c r="D117" s="310">
        <f t="shared" si="29"/>
        <v>522514.03999999899</v>
      </c>
      <c r="E117" s="310">
        <f t="shared" si="30"/>
        <v>721666.23000000394</v>
      </c>
      <c r="F117" s="310">
        <f t="shared" si="31"/>
        <v>917104.70999999391</v>
      </c>
      <c r="G117" s="310">
        <f t="shared" si="32"/>
        <v>1075407.1499999878</v>
      </c>
      <c r="H117" s="310">
        <f t="shared" si="33"/>
        <v>1208974.4099999908</v>
      </c>
      <c r="I117" s="310">
        <f t="shared" si="34"/>
        <v>1321487.0299999919</v>
      </c>
      <c r="J117" s="310">
        <f t="shared" si="35"/>
        <v>1448628.8699999929</v>
      </c>
      <c r="K117" s="310">
        <f t="shared" si="36"/>
        <v>1570917.6299999829</v>
      </c>
      <c r="L117" s="310">
        <f t="shared" si="37"/>
        <v>1704060.4199999839</v>
      </c>
      <c r="M117" s="310">
        <f t="shared" si="38"/>
        <v>1876036.7299999818</v>
      </c>
      <c r="N117" s="310">
        <f t="shared" si="39"/>
        <v>2127737.6099999826</v>
      </c>
      <c r="O117" s="310">
        <f t="shared" si="40"/>
        <v>14764244.91999989</v>
      </c>
    </row>
    <row r="118" spans="1:15">
      <c r="A118" s="121">
        <f t="shared" si="14"/>
        <v>118</v>
      </c>
      <c r="B118" s="312" t="s">
        <v>117</v>
      </c>
      <c r="C118" s="310">
        <f t="shared" si="28"/>
        <v>78576.679999999993</v>
      </c>
      <c r="D118" s="310">
        <f t="shared" si="29"/>
        <v>145585.34999999998</v>
      </c>
      <c r="E118" s="310">
        <f t="shared" si="30"/>
        <v>211065.11</v>
      </c>
      <c r="F118" s="310">
        <f t="shared" si="31"/>
        <v>273627.52999999997</v>
      </c>
      <c r="G118" s="310">
        <f t="shared" si="32"/>
        <v>307033.78999999998</v>
      </c>
      <c r="H118" s="310">
        <f t="shared" si="33"/>
        <v>325137.73</v>
      </c>
      <c r="I118" s="310">
        <f t="shared" si="34"/>
        <v>340189.48</v>
      </c>
      <c r="J118" s="310">
        <f t="shared" si="35"/>
        <v>355843.88</v>
      </c>
      <c r="K118" s="310">
        <f t="shared" si="36"/>
        <v>369748.69</v>
      </c>
      <c r="L118" s="310">
        <f t="shared" si="37"/>
        <v>390120.26</v>
      </c>
      <c r="M118" s="310">
        <f t="shared" si="38"/>
        <v>427203.39</v>
      </c>
      <c r="N118" s="310">
        <f t="shared" si="39"/>
        <v>488269.11</v>
      </c>
      <c r="O118" s="310">
        <f t="shared" si="40"/>
        <v>3712401</v>
      </c>
    </row>
    <row r="119" spans="1:15">
      <c r="A119" s="121">
        <f t="shared" si="14"/>
        <v>119</v>
      </c>
      <c r="B119" s="312" t="s">
        <v>118</v>
      </c>
      <c r="C119" s="310">
        <f t="shared" si="28"/>
        <v>86443.66</v>
      </c>
      <c r="D119" s="310">
        <f t="shared" si="29"/>
        <v>166440.69</v>
      </c>
      <c r="E119" s="310">
        <f t="shared" si="30"/>
        <v>241413.14</v>
      </c>
      <c r="F119" s="310">
        <f t="shared" si="31"/>
        <v>313375.60999999993</v>
      </c>
      <c r="G119" s="310">
        <f t="shared" si="32"/>
        <v>349627.42999999993</v>
      </c>
      <c r="H119" s="310">
        <f t="shared" si="33"/>
        <v>366708.34999999992</v>
      </c>
      <c r="I119" s="310">
        <f t="shared" si="34"/>
        <v>379651.11999999994</v>
      </c>
      <c r="J119" s="310">
        <f t="shared" si="35"/>
        <v>393950.58999999991</v>
      </c>
      <c r="K119" s="310">
        <f t="shared" si="36"/>
        <v>405424.18999999989</v>
      </c>
      <c r="L119" s="310">
        <f t="shared" si="37"/>
        <v>426269.53999999986</v>
      </c>
      <c r="M119" s="310">
        <f t="shared" si="38"/>
        <v>466324.43999999989</v>
      </c>
      <c r="N119" s="310">
        <f t="shared" si="39"/>
        <v>534136.82999999996</v>
      </c>
      <c r="O119" s="310">
        <f t="shared" si="40"/>
        <v>4129765.5899999994</v>
      </c>
    </row>
    <row r="120" spans="1:15">
      <c r="A120" s="121">
        <f t="shared" si="14"/>
        <v>120</v>
      </c>
      <c r="B120" s="315" t="s">
        <v>119</v>
      </c>
      <c r="C120" s="310">
        <f t="shared" si="28"/>
        <v>6751.84</v>
      </c>
      <c r="D120" s="310">
        <f t="shared" si="29"/>
        <v>11555.58</v>
      </c>
      <c r="E120" s="310">
        <f t="shared" si="30"/>
        <v>16302.82</v>
      </c>
      <c r="F120" s="310">
        <f t="shared" si="31"/>
        <v>20151.489999999998</v>
      </c>
      <c r="G120" s="310">
        <f t="shared" si="32"/>
        <v>22207.769999999997</v>
      </c>
      <c r="H120" s="310">
        <f t="shared" si="33"/>
        <v>23268.17</v>
      </c>
      <c r="I120" s="310">
        <f t="shared" si="34"/>
        <v>23803.539999999997</v>
      </c>
      <c r="J120" s="310">
        <f t="shared" si="35"/>
        <v>24394.979999999996</v>
      </c>
      <c r="K120" s="310">
        <f t="shared" si="36"/>
        <v>24972.409999999996</v>
      </c>
      <c r="L120" s="310">
        <f t="shared" si="37"/>
        <v>26469.129999999997</v>
      </c>
      <c r="M120" s="310">
        <f t="shared" si="38"/>
        <v>30303.319999999996</v>
      </c>
      <c r="N120" s="310">
        <f t="shared" si="39"/>
        <v>36917.149999999994</v>
      </c>
      <c r="O120" s="310">
        <f t="shared" si="40"/>
        <v>267098.2</v>
      </c>
    </row>
    <row r="121" spans="1:15">
      <c r="A121" s="121">
        <f t="shared" si="14"/>
        <v>121</v>
      </c>
      <c r="B121" s="315" t="s">
        <v>120</v>
      </c>
      <c r="C121" s="310">
        <f t="shared" si="28"/>
        <v>0</v>
      </c>
      <c r="D121" s="310">
        <f t="shared" si="29"/>
        <v>0</v>
      </c>
      <c r="E121" s="310">
        <f t="shared" si="30"/>
        <v>0</v>
      </c>
      <c r="F121" s="310">
        <f t="shared" si="31"/>
        <v>0</v>
      </c>
      <c r="G121" s="310">
        <f t="shared" si="32"/>
        <v>0</v>
      </c>
      <c r="H121" s="310">
        <f t="shared" si="33"/>
        <v>0</v>
      </c>
      <c r="I121" s="310">
        <f t="shared" si="34"/>
        <v>0</v>
      </c>
      <c r="J121" s="310">
        <f t="shared" si="35"/>
        <v>0</v>
      </c>
      <c r="K121" s="310">
        <f t="shared" si="36"/>
        <v>0</v>
      </c>
      <c r="L121" s="310">
        <f t="shared" si="37"/>
        <v>0</v>
      </c>
      <c r="M121" s="310">
        <f t="shared" si="38"/>
        <v>0</v>
      </c>
      <c r="N121" s="310">
        <f t="shared" si="39"/>
        <v>0</v>
      </c>
      <c r="O121" s="310">
        <f t="shared" si="40"/>
        <v>0</v>
      </c>
    </row>
    <row r="122" spans="1:15">
      <c r="A122" s="121">
        <f t="shared" si="14"/>
        <v>122</v>
      </c>
      <c r="B122" s="315" t="s">
        <v>161</v>
      </c>
      <c r="C122" s="310">
        <f t="shared" si="28"/>
        <v>1942288.4800000344</v>
      </c>
      <c r="D122" s="310">
        <f t="shared" si="29"/>
        <v>3627196.2200000403</v>
      </c>
      <c r="E122" s="310">
        <f t="shared" si="30"/>
        <v>4975537.2700000536</v>
      </c>
      <c r="F122" s="310">
        <f t="shared" si="31"/>
        <v>6253967.7000000766</v>
      </c>
      <c r="G122" s="310">
        <f t="shared" si="32"/>
        <v>7273724.6100001233</v>
      </c>
      <c r="H122" s="310">
        <f t="shared" si="33"/>
        <v>8086643.9000001559</v>
      </c>
      <c r="I122" s="310">
        <f t="shared" si="34"/>
        <v>8754984.7000001762</v>
      </c>
      <c r="J122" s="310">
        <f t="shared" si="35"/>
        <v>9441035.6800001971</v>
      </c>
      <c r="K122" s="310">
        <f t="shared" si="36"/>
        <v>10185958.790000228</v>
      </c>
      <c r="L122" s="310">
        <f t="shared" si="37"/>
        <v>10965831.010000259</v>
      </c>
      <c r="M122" s="310">
        <f t="shared" si="38"/>
        <v>12014307.630000293</v>
      </c>
      <c r="N122" s="310">
        <f t="shared" si="39"/>
        <v>13679044.58000033</v>
      </c>
      <c r="O122" s="310">
        <f t="shared" si="40"/>
        <v>97200520.57000196</v>
      </c>
    </row>
    <row r="123" spans="1:15">
      <c r="A123" s="121">
        <f t="shared" si="14"/>
        <v>123</v>
      </c>
      <c r="B123" s="315" t="s">
        <v>163</v>
      </c>
      <c r="C123" s="310">
        <f t="shared" si="28"/>
        <v>9368.5900000000038</v>
      </c>
      <c r="D123" s="310">
        <f t="shared" si="29"/>
        <v>15895.700000000008</v>
      </c>
      <c r="E123" s="310">
        <f t="shared" si="30"/>
        <v>21931.340000000004</v>
      </c>
      <c r="F123" s="310">
        <f t="shared" si="31"/>
        <v>28580.640000000007</v>
      </c>
      <c r="G123" s="310">
        <f t="shared" si="32"/>
        <v>33879.580000000024</v>
      </c>
      <c r="H123" s="310">
        <f t="shared" si="33"/>
        <v>37240.240000000027</v>
      </c>
      <c r="I123" s="310">
        <f t="shared" si="34"/>
        <v>39347.800000000025</v>
      </c>
      <c r="J123" s="310">
        <f t="shared" si="35"/>
        <v>41685.24000000002</v>
      </c>
      <c r="K123" s="310">
        <f t="shared" si="36"/>
        <v>44865.710000000021</v>
      </c>
      <c r="L123" s="310">
        <f t="shared" si="37"/>
        <v>48007.150000000023</v>
      </c>
      <c r="M123" s="310">
        <f t="shared" si="38"/>
        <v>52973.040000000023</v>
      </c>
      <c r="N123" s="310">
        <f t="shared" si="39"/>
        <v>60641.200000000026</v>
      </c>
      <c r="O123" s="310">
        <f t="shared" si="40"/>
        <v>434416.23000000016</v>
      </c>
    </row>
    <row r="124" spans="1:15">
      <c r="A124" s="121">
        <f t="shared" si="14"/>
        <v>124</v>
      </c>
      <c r="B124" s="315" t="s">
        <v>111</v>
      </c>
      <c r="C124" s="310">
        <f t="shared" si="28"/>
        <v>9567.3800000000228</v>
      </c>
      <c r="D124" s="310">
        <f t="shared" si="29"/>
        <v>18631.420000000035</v>
      </c>
      <c r="E124" s="310">
        <f t="shared" si="30"/>
        <v>24514.06</v>
      </c>
      <c r="F124" s="310">
        <f t="shared" si="31"/>
        <v>30320.849999999969</v>
      </c>
      <c r="G124" s="310">
        <f t="shared" si="32"/>
        <v>35519.899999999951</v>
      </c>
      <c r="H124" s="310">
        <f t="shared" si="33"/>
        <v>40132.699999999953</v>
      </c>
      <c r="I124" s="310">
        <f t="shared" si="34"/>
        <v>44083.51999999996</v>
      </c>
      <c r="J124" s="310">
        <f t="shared" si="35"/>
        <v>48372.169999999962</v>
      </c>
      <c r="K124" s="310">
        <f t="shared" si="36"/>
        <v>52561.869999999959</v>
      </c>
      <c r="L124" s="310">
        <f t="shared" si="37"/>
        <v>56934.869999999959</v>
      </c>
      <c r="M124" s="310">
        <f t="shared" si="38"/>
        <v>61778.139999999948</v>
      </c>
      <c r="N124" s="310">
        <f t="shared" si="39"/>
        <v>69507.229999999952</v>
      </c>
      <c r="O124" s="310">
        <f t="shared" si="40"/>
        <v>491924.10999999964</v>
      </c>
    </row>
    <row r="125" spans="1:15">
      <c r="A125" s="121">
        <f t="shared" si="14"/>
        <v>125</v>
      </c>
      <c r="B125" s="315" t="s">
        <v>105</v>
      </c>
      <c r="C125" s="319">
        <f t="shared" si="28"/>
        <v>11154.030000000035</v>
      </c>
      <c r="D125" s="319">
        <f t="shared" si="29"/>
        <v>21165.02000000004</v>
      </c>
      <c r="E125" s="319">
        <f t="shared" si="30"/>
        <v>31274.290000000052</v>
      </c>
      <c r="F125" s="319">
        <f t="shared" si="31"/>
        <v>41008.060000000056</v>
      </c>
      <c r="G125" s="319">
        <f t="shared" si="32"/>
        <v>51065.720000000052</v>
      </c>
      <c r="H125" s="319">
        <f t="shared" si="33"/>
        <v>59494.47000000003</v>
      </c>
      <c r="I125" s="319">
        <f t="shared" si="34"/>
        <v>68255.800000000017</v>
      </c>
      <c r="J125" s="319">
        <f t="shared" si="35"/>
        <v>76769.35000000002</v>
      </c>
      <c r="K125" s="319">
        <f t="shared" si="36"/>
        <v>85340.080000000016</v>
      </c>
      <c r="L125" s="319">
        <f t="shared" si="37"/>
        <v>94754.700000000026</v>
      </c>
      <c r="M125" s="319">
        <f t="shared" si="38"/>
        <v>103983.28000000003</v>
      </c>
      <c r="N125" s="319">
        <f t="shared" si="39"/>
        <v>114642.48000000004</v>
      </c>
      <c r="O125" s="319">
        <f t="shared" si="40"/>
        <v>758907.28000000049</v>
      </c>
    </row>
    <row r="126" spans="1:15">
      <c r="A126" s="121">
        <f t="shared" si="14"/>
        <v>126</v>
      </c>
      <c r="B126" s="316" t="s">
        <v>166</v>
      </c>
      <c r="C126" s="310">
        <f>SUM(C115:C121)</f>
        <v>484170.91</v>
      </c>
      <c r="D126" s="310">
        <f t="shared" ref="D126:N126" si="41">SUM(D115:D121)</f>
        <v>929446.5899999988</v>
      </c>
      <c r="E126" s="310">
        <f>SUM(E115:E121)</f>
        <v>1306429.8700000036</v>
      </c>
      <c r="F126" s="310">
        <f t="shared" si="41"/>
        <v>1671746.5899999938</v>
      </c>
      <c r="G126" s="310">
        <f t="shared" si="41"/>
        <v>1930289.4799999879</v>
      </c>
      <c r="H126" s="310">
        <f t="shared" si="41"/>
        <v>2125523.1699999906</v>
      </c>
      <c r="I126" s="310">
        <f t="shared" si="41"/>
        <v>2288892.609999992</v>
      </c>
      <c r="J126" s="310">
        <f t="shared" si="41"/>
        <v>2471249.2299999925</v>
      </c>
      <c r="K126" s="310">
        <f t="shared" si="41"/>
        <v>2644897.3599999831</v>
      </c>
      <c r="L126" s="310">
        <f t="shared" si="41"/>
        <v>2845409.5099999839</v>
      </c>
      <c r="M126" s="310">
        <f t="shared" si="41"/>
        <v>3127319.1099999817</v>
      </c>
      <c r="N126" s="310">
        <f t="shared" si="41"/>
        <v>3553730.0399999828</v>
      </c>
      <c r="O126" s="310">
        <f>SUM(C126:N126)</f>
        <v>25379104.469999891</v>
      </c>
    </row>
    <row r="127" spans="1:15">
      <c r="A127" s="121">
        <f t="shared" si="14"/>
        <v>127</v>
      </c>
      <c r="B127" s="311" t="s">
        <v>167</v>
      </c>
      <c r="C127" s="310"/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0"/>
    </row>
    <row r="128" spans="1:15">
      <c r="A128" s="121">
        <f t="shared" si="14"/>
        <v>128</v>
      </c>
      <c r="B128" s="312" t="s">
        <v>114</v>
      </c>
      <c r="C128" s="310">
        <f t="shared" ref="C128:C134" si="42">+C17</f>
        <v>303.70999999999998</v>
      </c>
      <c r="D128" s="310">
        <f t="shared" ref="D128:D134" si="43">SUM(C17:D17)</f>
        <v>625.45000000000005</v>
      </c>
      <c r="E128" s="310">
        <f t="shared" ref="E128:E134" si="44">SUM(C17:E17)</f>
        <v>923.28</v>
      </c>
      <c r="F128" s="310">
        <f t="shared" ref="F128:F134" si="45">SUM(C17:F17)</f>
        <v>1168.22</v>
      </c>
      <c r="G128" s="310">
        <f t="shared" ref="G128:G134" si="46">SUM(C17:G17)</f>
        <v>1363.32</v>
      </c>
      <c r="H128" s="310">
        <f t="shared" ref="H128:H134" si="47">SUM(C17:H17)</f>
        <v>1536.79</v>
      </c>
      <c r="I128" s="310">
        <f t="shared" ref="I128:I134" si="48">SUM(C17:I17)</f>
        <v>1677.22</v>
      </c>
      <c r="J128" s="310">
        <f t="shared" ref="J128:J134" si="49">SUM(C17:J17)</f>
        <v>1812.57</v>
      </c>
      <c r="K128" s="310">
        <f t="shared" ref="K128:K134" si="50">SUM(C17:K17)</f>
        <v>1956.25</v>
      </c>
      <c r="L128" s="310">
        <f t="shared" ref="L128:L134" si="51">SUM(C17:L17)</f>
        <v>2118.59</v>
      </c>
      <c r="M128" s="310">
        <f t="shared" ref="M128:M134" si="52">SUM(C17:M17)</f>
        <v>2326.3500000000004</v>
      </c>
      <c r="N128" s="310">
        <f t="shared" ref="N128:N134" si="53">SUM(C17:N17)</f>
        <v>2650.3100000000004</v>
      </c>
      <c r="O128" s="310">
        <f t="shared" ref="O128:O135" si="54">SUM(C128:N128)</f>
        <v>18462.060000000001</v>
      </c>
    </row>
    <row r="129" spans="1:15">
      <c r="A129" s="121">
        <f t="shared" si="14"/>
        <v>129</v>
      </c>
      <c r="B129" s="312" t="s">
        <v>115</v>
      </c>
      <c r="C129" s="310">
        <f t="shared" si="42"/>
        <v>928.03</v>
      </c>
      <c r="D129" s="310">
        <f t="shared" si="43"/>
        <v>1824.87</v>
      </c>
      <c r="E129" s="310">
        <f t="shared" si="44"/>
        <v>2540.9299999999998</v>
      </c>
      <c r="F129" s="310">
        <f t="shared" si="45"/>
        <v>3225.24</v>
      </c>
      <c r="G129" s="310">
        <f t="shared" si="46"/>
        <v>3891.49</v>
      </c>
      <c r="H129" s="310">
        <f t="shared" si="47"/>
        <v>4425.5199999999995</v>
      </c>
      <c r="I129" s="310">
        <f t="shared" si="48"/>
        <v>4919.8899999999994</v>
      </c>
      <c r="J129" s="310">
        <f t="shared" si="49"/>
        <v>5476.4</v>
      </c>
      <c r="K129" s="310">
        <f t="shared" si="50"/>
        <v>6031.67</v>
      </c>
      <c r="L129" s="310">
        <f t="shared" si="51"/>
        <v>6618.8</v>
      </c>
      <c r="M129" s="310">
        <f t="shared" si="52"/>
        <v>7315.63</v>
      </c>
      <c r="N129" s="310">
        <f t="shared" si="53"/>
        <v>8281.44</v>
      </c>
      <c r="O129" s="310">
        <f t="shared" si="54"/>
        <v>55479.909999999996</v>
      </c>
    </row>
    <row r="130" spans="1:15">
      <c r="A130" s="121">
        <f t="shared" si="14"/>
        <v>130</v>
      </c>
      <c r="B130" s="312" t="s">
        <v>116</v>
      </c>
      <c r="C130" s="310">
        <f t="shared" si="42"/>
        <v>4122.12</v>
      </c>
      <c r="D130" s="310">
        <f t="shared" si="43"/>
        <v>7907.33</v>
      </c>
      <c r="E130" s="310">
        <f t="shared" si="44"/>
        <v>10526.86</v>
      </c>
      <c r="F130" s="310">
        <f t="shared" si="45"/>
        <v>13159.76</v>
      </c>
      <c r="G130" s="310">
        <f t="shared" si="46"/>
        <v>15367.61</v>
      </c>
      <c r="H130" s="310">
        <f t="shared" si="47"/>
        <v>17536.870000000003</v>
      </c>
      <c r="I130" s="310">
        <f t="shared" si="48"/>
        <v>19112.710000000003</v>
      </c>
      <c r="J130" s="310">
        <f t="shared" si="49"/>
        <v>20865.730000000003</v>
      </c>
      <c r="K130" s="310">
        <f t="shared" si="50"/>
        <v>22685.910000000003</v>
      </c>
      <c r="L130" s="310">
        <f t="shared" si="51"/>
        <v>24571.570000000003</v>
      </c>
      <c r="M130" s="310">
        <f t="shared" si="52"/>
        <v>27052.450000000004</v>
      </c>
      <c r="N130" s="310">
        <f t="shared" si="53"/>
        <v>30535.900000000005</v>
      </c>
      <c r="O130" s="310">
        <f t="shared" si="54"/>
        <v>213444.82000000004</v>
      </c>
    </row>
    <row r="131" spans="1:15">
      <c r="A131" s="121">
        <f t="shared" ref="A131:A194" si="55">+A130+1</f>
        <v>131</v>
      </c>
      <c r="B131" s="312" t="s">
        <v>117</v>
      </c>
      <c r="C131" s="310">
        <f t="shared" si="42"/>
        <v>1584.92</v>
      </c>
      <c r="D131" s="310">
        <f t="shared" si="43"/>
        <v>2826</v>
      </c>
      <c r="E131" s="310">
        <f t="shared" si="44"/>
        <v>4173.0599999999995</v>
      </c>
      <c r="F131" s="310">
        <f t="shared" si="45"/>
        <v>5796.0899999999992</v>
      </c>
      <c r="G131" s="310">
        <f t="shared" si="46"/>
        <v>6458.619999999999</v>
      </c>
      <c r="H131" s="310">
        <f t="shared" si="47"/>
        <v>6858.0499999999993</v>
      </c>
      <c r="I131" s="310">
        <f t="shared" si="48"/>
        <v>7181.0299999999988</v>
      </c>
      <c r="J131" s="310">
        <f t="shared" si="49"/>
        <v>7583.0699999999988</v>
      </c>
      <c r="K131" s="310">
        <f t="shared" si="50"/>
        <v>7884.579999999999</v>
      </c>
      <c r="L131" s="310">
        <f t="shared" si="51"/>
        <v>8266.7699999999986</v>
      </c>
      <c r="M131" s="310">
        <f t="shared" si="52"/>
        <v>9059.7999999999993</v>
      </c>
      <c r="N131" s="310">
        <f t="shared" si="53"/>
        <v>10839.05</v>
      </c>
      <c r="O131" s="310">
        <f t="shared" si="54"/>
        <v>78511.039999999994</v>
      </c>
    </row>
    <row r="132" spans="1:15">
      <c r="A132" s="121">
        <f t="shared" si="55"/>
        <v>132</v>
      </c>
      <c r="B132" s="312" t="s">
        <v>118</v>
      </c>
      <c r="C132" s="310">
        <f t="shared" si="42"/>
        <v>1739.96</v>
      </c>
      <c r="D132" s="310">
        <f t="shared" si="43"/>
        <v>2977.29</v>
      </c>
      <c r="E132" s="310">
        <f t="shared" si="44"/>
        <v>4120.88</v>
      </c>
      <c r="F132" s="310">
        <f t="shared" si="45"/>
        <v>5226.84</v>
      </c>
      <c r="G132" s="310">
        <f t="shared" si="46"/>
        <v>5737.1100000000006</v>
      </c>
      <c r="H132" s="310">
        <f t="shared" si="47"/>
        <v>5984.130000000001</v>
      </c>
      <c r="I132" s="310">
        <f t="shared" si="48"/>
        <v>6157.7500000000009</v>
      </c>
      <c r="J132" s="310">
        <f t="shared" si="49"/>
        <v>6357.4600000000009</v>
      </c>
      <c r="K132" s="310">
        <f t="shared" si="50"/>
        <v>6460.7100000000009</v>
      </c>
      <c r="L132" s="310">
        <f t="shared" si="51"/>
        <v>6813.7100000000009</v>
      </c>
      <c r="M132" s="310">
        <f t="shared" si="52"/>
        <v>7936.5000000000009</v>
      </c>
      <c r="N132" s="310">
        <f t="shared" si="53"/>
        <v>9720.6400000000012</v>
      </c>
      <c r="O132" s="310">
        <f t="shared" si="54"/>
        <v>69232.98000000001</v>
      </c>
    </row>
    <row r="133" spans="1:15">
      <c r="A133" s="121">
        <f t="shared" si="55"/>
        <v>133</v>
      </c>
      <c r="B133" s="315" t="s">
        <v>119</v>
      </c>
      <c r="C133" s="310">
        <f t="shared" si="42"/>
        <v>0</v>
      </c>
      <c r="D133" s="310">
        <f t="shared" si="43"/>
        <v>0</v>
      </c>
      <c r="E133" s="310">
        <f t="shared" si="44"/>
        <v>0</v>
      </c>
      <c r="F133" s="310">
        <f t="shared" si="45"/>
        <v>0</v>
      </c>
      <c r="G133" s="310">
        <f t="shared" si="46"/>
        <v>0</v>
      </c>
      <c r="H133" s="310">
        <f t="shared" si="47"/>
        <v>0</v>
      </c>
      <c r="I133" s="310">
        <f t="shared" si="48"/>
        <v>0</v>
      </c>
      <c r="J133" s="310">
        <f t="shared" si="49"/>
        <v>0</v>
      </c>
      <c r="K133" s="310">
        <f t="shared" si="50"/>
        <v>0</v>
      </c>
      <c r="L133" s="310">
        <f t="shared" si="51"/>
        <v>0</v>
      </c>
      <c r="M133" s="310">
        <f t="shared" si="52"/>
        <v>0</v>
      </c>
      <c r="N133" s="310">
        <f t="shared" si="53"/>
        <v>0</v>
      </c>
      <c r="O133" s="310">
        <f t="shared" si="54"/>
        <v>0</v>
      </c>
    </row>
    <row r="134" spans="1:15">
      <c r="A134" s="121">
        <f t="shared" si="55"/>
        <v>134</v>
      </c>
      <c r="B134" s="315" t="s">
        <v>120</v>
      </c>
      <c r="C134" s="319">
        <f t="shared" si="42"/>
        <v>0</v>
      </c>
      <c r="D134" s="319">
        <f t="shared" si="43"/>
        <v>0</v>
      </c>
      <c r="E134" s="319">
        <f t="shared" si="44"/>
        <v>0</v>
      </c>
      <c r="F134" s="319">
        <f t="shared" si="45"/>
        <v>0</v>
      </c>
      <c r="G134" s="319">
        <f t="shared" si="46"/>
        <v>0</v>
      </c>
      <c r="H134" s="319">
        <f t="shared" si="47"/>
        <v>0</v>
      </c>
      <c r="I134" s="319">
        <f t="shared" si="48"/>
        <v>0</v>
      </c>
      <c r="J134" s="319">
        <f t="shared" si="49"/>
        <v>0</v>
      </c>
      <c r="K134" s="319">
        <f t="shared" si="50"/>
        <v>0</v>
      </c>
      <c r="L134" s="319">
        <f t="shared" si="51"/>
        <v>0</v>
      </c>
      <c r="M134" s="319">
        <f t="shared" si="52"/>
        <v>0</v>
      </c>
      <c r="N134" s="319">
        <f t="shared" si="53"/>
        <v>0</v>
      </c>
      <c r="O134" s="319">
        <f t="shared" si="54"/>
        <v>0</v>
      </c>
    </row>
    <row r="135" spans="1:15">
      <c r="A135" s="121">
        <f t="shared" si="55"/>
        <v>135</v>
      </c>
      <c r="B135" s="316" t="s">
        <v>169</v>
      </c>
      <c r="C135" s="310">
        <f t="shared" ref="C135:N135" si="56">SUM(C128:C134)</f>
        <v>8678.74</v>
      </c>
      <c r="D135" s="310">
        <f t="shared" si="56"/>
        <v>16160.939999999999</v>
      </c>
      <c r="E135" s="310">
        <f>SUM(E128:E134)</f>
        <v>22285.01</v>
      </c>
      <c r="F135" s="310">
        <f t="shared" si="56"/>
        <v>28576.15</v>
      </c>
      <c r="G135" s="310">
        <f t="shared" si="56"/>
        <v>32818.149999999994</v>
      </c>
      <c r="H135" s="310">
        <f t="shared" si="56"/>
        <v>36341.360000000001</v>
      </c>
      <c r="I135" s="310">
        <f t="shared" si="56"/>
        <v>39048.600000000006</v>
      </c>
      <c r="J135" s="310">
        <f t="shared" si="56"/>
        <v>42095.23</v>
      </c>
      <c r="K135" s="310">
        <f t="shared" si="56"/>
        <v>45019.12</v>
      </c>
      <c r="L135" s="310">
        <f t="shared" si="56"/>
        <v>48389.440000000002</v>
      </c>
      <c r="M135" s="310">
        <f t="shared" si="56"/>
        <v>53690.73000000001</v>
      </c>
      <c r="N135" s="310">
        <f t="shared" si="56"/>
        <v>62027.340000000011</v>
      </c>
      <c r="O135" s="310">
        <f t="shared" si="54"/>
        <v>435130.81</v>
      </c>
    </row>
    <row r="136" spans="1:15">
      <c r="A136" s="121">
        <f t="shared" si="55"/>
        <v>136</v>
      </c>
      <c r="B136" s="320" t="s">
        <v>170</v>
      </c>
      <c r="C136" s="310"/>
      <c r="D136" s="31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10"/>
    </row>
    <row r="137" spans="1:15">
      <c r="A137" s="121">
        <f t="shared" si="55"/>
        <v>137</v>
      </c>
      <c r="B137" s="312" t="s">
        <v>114</v>
      </c>
      <c r="C137" s="310">
        <f t="shared" ref="C137:C172" si="57">+C26</f>
        <v>29.05</v>
      </c>
      <c r="D137" s="310">
        <f t="shared" ref="D137:D172" si="58">SUM(C26:D26)</f>
        <v>64.34</v>
      </c>
      <c r="E137" s="310">
        <f t="shared" ref="E137:E172" si="59">SUM(C26:E26)</f>
        <v>101.71000000000001</v>
      </c>
      <c r="F137" s="310">
        <f>SUM(C26:F26)</f>
        <v>130.73000000000002</v>
      </c>
      <c r="G137" s="310">
        <f t="shared" ref="G137:G172" si="60">SUM(C26:G26)</f>
        <v>158.70000000000002</v>
      </c>
      <c r="H137" s="310">
        <f t="shared" ref="H137:H172" si="61">SUM(C26:H26)</f>
        <v>184.62</v>
      </c>
      <c r="I137" s="310">
        <f t="shared" ref="I137:I172" si="62">SUM(C26:I26)</f>
        <v>214.23000000000002</v>
      </c>
      <c r="J137" s="310">
        <f t="shared" ref="J137:J172" si="63">SUM(C26:J26)</f>
        <v>244.93</v>
      </c>
      <c r="K137" s="310">
        <f t="shared" ref="K137:K172" si="64">SUM(C26:K26)</f>
        <v>281.37</v>
      </c>
      <c r="L137" s="310">
        <f t="shared" ref="L137:L172" si="65">SUM(C26:L26)</f>
        <v>304.26</v>
      </c>
      <c r="M137" s="310">
        <f t="shared" ref="M137:M172" si="66">SUM(C26:M26)</f>
        <v>334.46</v>
      </c>
      <c r="N137" s="310">
        <f t="shared" ref="N137:N172" si="67">SUM(C26:N26)</f>
        <v>369.84</v>
      </c>
      <c r="O137" s="310">
        <f t="shared" ref="O137:O173" si="68">SUM(C137:N137)</f>
        <v>2418.2400000000002</v>
      </c>
    </row>
    <row r="138" spans="1:15">
      <c r="A138" s="121">
        <f t="shared" si="55"/>
        <v>138</v>
      </c>
      <c r="B138" s="312" t="s">
        <v>115</v>
      </c>
      <c r="C138" s="310">
        <f t="shared" si="57"/>
        <v>109.42</v>
      </c>
      <c r="D138" s="310">
        <f t="shared" si="58"/>
        <v>197.23000000000002</v>
      </c>
      <c r="E138" s="310">
        <f t="shared" si="59"/>
        <v>260.94</v>
      </c>
      <c r="F138" s="310">
        <f>SUM(C27:F27)</f>
        <v>331</v>
      </c>
      <c r="G138" s="310">
        <f t="shared" si="60"/>
        <v>380.2</v>
      </c>
      <c r="H138" s="310">
        <f t="shared" si="61"/>
        <v>433.49</v>
      </c>
      <c r="I138" s="310">
        <f t="shared" si="62"/>
        <v>479.34000000000003</v>
      </c>
      <c r="J138" s="310">
        <f t="shared" si="63"/>
        <v>524.09</v>
      </c>
      <c r="K138" s="310">
        <f t="shared" si="64"/>
        <v>575.57000000000005</v>
      </c>
      <c r="L138" s="310">
        <f t="shared" si="65"/>
        <v>625.92000000000007</v>
      </c>
      <c r="M138" s="310">
        <f t="shared" si="66"/>
        <v>686.84</v>
      </c>
      <c r="N138" s="310">
        <f t="shared" si="67"/>
        <v>759.92000000000007</v>
      </c>
      <c r="O138" s="310">
        <f t="shared" si="68"/>
        <v>5363.96</v>
      </c>
    </row>
    <row r="139" spans="1:15">
      <c r="A139" s="121">
        <f t="shared" si="55"/>
        <v>139</v>
      </c>
      <c r="B139" s="312" t="s">
        <v>116</v>
      </c>
      <c r="C139" s="310">
        <f t="shared" si="57"/>
        <v>5095.8100000000104</v>
      </c>
      <c r="D139" s="310">
        <f t="shared" si="58"/>
        <v>10466.38000000001</v>
      </c>
      <c r="E139" s="310">
        <f t="shared" si="59"/>
        <v>14738.500000000011</v>
      </c>
      <c r="F139" s="310">
        <f>SUM(C28:F28)</f>
        <v>19535.820000000011</v>
      </c>
      <c r="G139" s="310">
        <f t="shared" si="60"/>
        <v>25633.860000000011</v>
      </c>
      <c r="H139" s="310">
        <f t="shared" si="61"/>
        <v>29512.220000000012</v>
      </c>
      <c r="I139" s="310">
        <f t="shared" si="62"/>
        <v>32773.23000000001</v>
      </c>
      <c r="J139" s="310">
        <f t="shared" si="63"/>
        <v>36645.630000000012</v>
      </c>
      <c r="K139" s="310">
        <f t="shared" si="64"/>
        <v>40393.180000000015</v>
      </c>
      <c r="L139" s="310">
        <f t="shared" si="65"/>
        <v>43905.580000000016</v>
      </c>
      <c r="M139" s="310">
        <f t="shared" si="66"/>
        <v>48804.400000000016</v>
      </c>
      <c r="N139" s="310">
        <f t="shared" si="67"/>
        <v>54048.340000000018</v>
      </c>
      <c r="O139" s="310">
        <f t="shared" si="68"/>
        <v>361552.95000000013</v>
      </c>
    </row>
    <row r="140" spans="1:15">
      <c r="A140" s="121">
        <f t="shared" si="55"/>
        <v>140</v>
      </c>
      <c r="B140" s="312" t="s">
        <v>117</v>
      </c>
      <c r="C140" s="310">
        <f t="shared" si="57"/>
        <v>8803.69</v>
      </c>
      <c r="D140" s="310">
        <f t="shared" si="58"/>
        <v>16889.43</v>
      </c>
      <c r="E140" s="310">
        <f t="shared" si="59"/>
        <v>24447.79</v>
      </c>
      <c r="F140" s="310">
        <f>SUM(C29:F29)</f>
        <v>30681.88</v>
      </c>
      <c r="G140" s="310">
        <f t="shared" si="60"/>
        <v>36324.78</v>
      </c>
      <c r="H140" s="310">
        <f t="shared" si="61"/>
        <v>41417.879999999997</v>
      </c>
      <c r="I140" s="310">
        <f t="shared" si="62"/>
        <v>45407.89</v>
      </c>
      <c r="J140" s="310">
        <f t="shared" si="63"/>
        <v>50209.38</v>
      </c>
      <c r="K140" s="310">
        <f t="shared" si="64"/>
        <v>54882.27</v>
      </c>
      <c r="L140" s="310">
        <f t="shared" si="65"/>
        <v>59973.46</v>
      </c>
      <c r="M140" s="310">
        <f t="shared" si="66"/>
        <v>66490.73</v>
      </c>
      <c r="N140" s="310">
        <f t="shared" si="67"/>
        <v>74329.64</v>
      </c>
      <c r="O140" s="310">
        <f t="shared" si="68"/>
        <v>509858.82000000007</v>
      </c>
    </row>
    <row r="141" spans="1:15">
      <c r="A141" s="121">
        <f t="shared" si="55"/>
        <v>141</v>
      </c>
      <c r="B141" s="312" t="s">
        <v>118</v>
      </c>
      <c r="C141" s="310">
        <f t="shared" si="57"/>
        <v>36791.160000000003</v>
      </c>
      <c r="D141" s="310">
        <f t="shared" si="58"/>
        <v>73185.41</v>
      </c>
      <c r="E141" s="310">
        <f t="shared" si="59"/>
        <v>108932.9</v>
      </c>
      <c r="F141" s="310">
        <f>SUM(C30:F30)</f>
        <v>137629.25</v>
      </c>
      <c r="G141" s="310">
        <f t="shared" si="60"/>
        <v>170613.1</v>
      </c>
      <c r="H141" s="310">
        <f t="shared" si="61"/>
        <v>198968.49</v>
      </c>
      <c r="I141" s="310">
        <f t="shared" si="62"/>
        <v>222797.75999999998</v>
      </c>
      <c r="J141" s="310">
        <f t="shared" si="63"/>
        <v>249898.81999999998</v>
      </c>
      <c r="K141" s="310">
        <f t="shared" si="64"/>
        <v>279463.49</v>
      </c>
      <c r="L141" s="310">
        <f t="shared" si="65"/>
        <v>309004.01</v>
      </c>
      <c r="M141" s="310">
        <f t="shared" si="66"/>
        <v>341118.39</v>
      </c>
      <c r="N141" s="310">
        <f t="shared" si="67"/>
        <v>378330.98</v>
      </c>
      <c r="O141" s="310">
        <f t="shared" si="68"/>
        <v>2506733.7599999998</v>
      </c>
    </row>
    <row r="142" spans="1:15">
      <c r="A142" s="121">
        <f t="shared" si="55"/>
        <v>142</v>
      </c>
      <c r="B142" s="315" t="s">
        <v>119</v>
      </c>
      <c r="C142" s="310">
        <f t="shared" si="57"/>
        <v>92323.3100000001</v>
      </c>
      <c r="D142" s="310">
        <f t="shared" si="58"/>
        <v>187735.77000000019</v>
      </c>
      <c r="E142" s="310">
        <f t="shared" si="59"/>
        <v>274252.20000000019</v>
      </c>
      <c r="F142" s="310">
        <f t="shared" ref="F142:F172" si="69">SUM(C31:F31)</f>
        <v>365874.62000000017</v>
      </c>
      <c r="G142" s="310">
        <f t="shared" si="60"/>
        <v>452875.88000000018</v>
      </c>
      <c r="H142" s="310">
        <f t="shared" si="61"/>
        <v>534555.77000000025</v>
      </c>
      <c r="I142" s="310">
        <f t="shared" si="62"/>
        <v>605992.79000000015</v>
      </c>
      <c r="J142" s="310">
        <f t="shared" si="63"/>
        <v>683431.39000000025</v>
      </c>
      <c r="K142" s="310">
        <f t="shared" si="64"/>
        <v>767214.26000000024</v>
      </c>
      <c r="L142" s="310">
        <f t="shared" si="65"/>
        <v>851689.3200000003</v>
      </c>
      <c r="M142" s="310">
        <f t="shared" si="66"/>
        <v>946189.12000000034</v>
      </c>
      <c r="N142" s="310">
        <f t="shared" si="67"/>
        <v>1046214.8000000003</v>
      </c>
      <c r="O142" s="310">
        <f t="shared" si="68"/>
        <v>6808349.2300000023</v>
      </c>
    </row>
    <row r="143" spans="1:15">
      <c r="A143" s="121">
        <f t="shared" si="55"/>
        <v>143</v>
      </c>
      <c r="B143" s="315" t="s">
        <v>120</v>
      </c>
      <c r="C143" s="310">
        <f t="shared" si="57"/>
        <v>223570</v>
      </c>
      <c r="D143" s="310">
        <f t="shared" si="58"/>
        <v>449431.64</v>
      </c>
      <c r="E143" s="310">
        <f t="shared" si="59"/>
        <v>651682.57000000007</v>
      </c>
      <c r="F143" s="310">
        <f t="shared" si="69"/>
        <v>854847</v>
      </c>
      <c r="G143" s="310">
        <f t="shared" si="60"/>
        <v>1052563.04</v>
      </c>
      <c r="H143" s="310">
        <f t="shared" si="61"/>
        <v>1256228.8900000001</v>
      </c>
      <c r="I143" s="310">
        <f t="shared" si="62"/>
        <v>1428309.6900000002</v>
      </c>
      <c r="J143" s="310">
        <f t="shared" si="63"/>
        <v>1602065.2200000002</v>
      </c>
      <c r="K143" s="310">
        <f t="shared" si="64"/>
        <v>1786849.7100000002</v>
      </c>
      <c r="L143" s="310">
        <f t="shared" si="65"/>
        <v>1964529.4000000001</v>
      </c>
      <c r="M143" s="310">
        <f t="shared" si="66"/>
        <v>2154441.7600000002</v>
      </c>
      <c r="N143" s="310">
        <f t="shared" si="67"/>
        <v>2375136</v>
      </c>
      <c r="O143" s="310">
        <f t="shared" si="68"/>
        <v>15799654.920000002</v>
      </c>
    </row>
    <row r="144" spans="1:15">
      <c r="A144" s="121">
        <f t="shared" si="55"/>
        <v>144</v>
      </c>
      <c r="B144" s="315" t="s">
        <v>121</v>
      </c>
      <c r="C144" s="310">
        <f t="shared" si="57"/>
        <v>322670.89</v>
      </c>
      <c r="D144" s="310">
        <f t="shared" si="58"/>
        <v>631317.77</v>
      </c>
      <c r="E144" s="310">
        <f t="shared" si="59"/>
        <v>910479.46</v>
      </c>
      <c r="F144" s="310">
        <f t="shared" si="69"/>
        <v>1193294.6000000001</v>
      </c>
      <c r="G144" s="310">
        <f t="shared" si="60"/>
        <v>1439849.3900000001</v>
      </c>
      <c r="H144" s="310">
        <f t="shared" si="61"/>
        <v>1674375.34</v>
      </c>
      <c r="I144" s="310">
        <f t="shared" si="62"/>
        <v>1898365.87</v>
      </c>
      <c r="J144" s="310">
        <f t="shared" si="63"/>
        <v>2098075.91</v>
      </c>
      <c r="K144" s="310">
        <f t="shared" si="64"/>
        <v>2319136.85</v>
      </c>
      <c r="L144" s="310">
        <f t="shared" si="65"/>
        <v>2554450.9700000002</v>
      </c>
      <c r="M144" s="310">
        <f t="shared" si="66"/>
        <v>2830623.0700000003</v>
      </c>
      <c r="N144" s="310">
        <f t="shared" si="67"/>
        <v>3177361.0100000002</v>
      </c>
      <c r="O144" s="310">
        <f t="shared" si="68"/>
        <v>21050001.130000003</v>
      </c>
    </row>
    <row r="145" spans="1:15">
      <c r="A145" s="121">
        <f t="shared" si="55"/>
        <v>145</v>
      </c>
      <c r="B145" s="315" t="s">
        <v>142</v>
      </c>
      <c r="C145" s="310">
        <f t="shared" si="57"/>
        <v>112552.44</v>
      </c>
      <c r="D145" s="310">
        <f t="shared" si="58"/>
        <v>210205.2</v>
      </c>
      <c r="E145" s="310">
        <f t="shared" si="59"/>
        <v>308719.5</v>
      </c>
      <c r="F145" s="310">
        <f t="shared" si="69"/>
        <v>400923.67</v>
      </c>
      <c r="G145" s="310">
        <f t="shared" si="60"/>
        <v>496288.77</v>
      </c>
      <c r="H145" s="310">
        <f t="shared" si="61"/>
        <v>576512.07000000007</v>
      </c>
      <c r="I145" s="310">
        <f t="shared" si="62"/>
        <v>652862.89000000013</v>
      </c>
      <c r="J145" s="310">
        <f t="shared" si="63"/>
        <v>727290.54000000015</v>
      </c>
      <c r="K145" s="310">
        <f t="shared" si="64"/>
        <v>807894.8600000001</v>
      </c>
      <c r="L145" s="310">
        <f t="shared" si="65"/>
        <v>877682.41000000015</v>
      </c>
      <c r="M145" s="310">
        <f t="shared" si="66"/>
        <v>962686.77000000014</v>
      </c>
      <c r="N145" s="310">
        <f t="shared" si="67"/>
        <v>1055390.52</v>
      </c>
      <c r="O145" s="310">
        <f t="shared" si="68"/>
        <v>7189009.6400000006</v>
      </c>
    </row>
    <row r="146" spans="1:15">
      <c r="A146" s="121">
        <f t="shared" si="55"/>
        <v>146</v>
      </c>
      <c r="B146" s="315" t="s">
        <v>143</v>
      </c>
      <c r="C146" s="310">
        <f t="shared" si="57"/>
        <v>186456.89</v>
      </c>
      <c r="D146" s="310">
        <f t="shared" si="58"/>
        <v>333648.03000000003</v>
      </c>
      <c r="E146" s="310">
        <f t="shared" si="59"/>
        <v>470420.55000000005</v>
      </c>
      <c r="F146" s="310">
        <f t="shared" si="69"/>
        <v>630841.80000000005</v>
      </c>
      <c r="G146" s="310">
        <f t="shared" si="60"/>
        <v>779463.45000000007</v>
      </c>
      <c r="H146" s="310">
        <f t="shared" si="61"/>
        <v>922106.65000000014</v>
      </c>
      <c r="I146" s="310">
        <f t="shared" si="62"/>
        <v>1071221.8</v>
      </c>
      <c r="J146" s="310">
        <f t="shared" si="63"/>
        <v>1217982.48</v>
      </c>
      <c r="K146" s="310">
        <f t="shared" si="64"/>
        <v>1353267.89</v>
      </c>
      <c r="L146" s="310">
        <f t="shared" si="65"/>
        <v>1483196.7</v>
      </c>
      <c r="M146" s="310">
        <f t="shared" si="66"/>
        <v>1617538.48</v>
      </c>
      <c r="N146" s="310">
        <f t="shared" si="67"/>
        <v>1766616.12</v>
      </c>
      <c r="O146" s="310">
        <f t="shared" si="68"/>
        <v>11832760.84</v>
      </c>
    </row>
    <row r="147" spans="1:15">
      <c r="A147" s="121">
        <f t="shared" si="55"/>
        <v>147</v>
      </c>
      <c r="B147" s="315" t="s">
        <v>144</v>
      </c>
      <c r="C147" s="310">
        <f t="shared" si="57"/>
        <v>363983.63</v>
      </c>
      <c r="D147" s="310">
        <f t="shared" si="58"/>
        <v>681133.89</v>
      </c>
      <c r="E147" s="310">
        <f t="shared" si="59"/>
        <v>1011187.8300000001</v>
      </c>
      <c r="F147" s="310">
        <f t="shared" si="69"/>
        <v>1319557.96</v>
      </c>
      <c r="G147" s="310">
        <f t="shared" si="60"/>
        <v>1620960.46</v>
      </c>
      <c r="H147" s="310">
        <f t="shared" si="61"/>
        <v>1892416.3699999999</v>
      </c>
      <c r="I147" s="310">
        <f t="shared" si="62"/>
        <v>2173452.6399999997</v>
      </c>
      <c r="J147" s="310">
        <f t="shared" si="63"/>
        <v>2458058.4399999995</v>
      </c>
      <c r="K147" s="310">
        <f t="shared" si="64"/>
        <v>2727159.2199999997</v>
      </c>
      <c r="L147" s="310">
        <f t="shared" si="65"/>
        <v>3040333.0799999996</v>
      </c>
      <c r="M147" s="310">
        <f t="shared" si="66"/>
        <v>3347449.0999999996</v>
      </c>
      <c r="N147" s="310">
        <f t="shared" si="67"/>
        <v>3671319.6399999997</v>
      </c>
      <c r="O147" s="310">
        <f t="shared" si="68"/>
        <v>24307012.259999998</v>
      </c>
    </row>
    <row r="148" spans="1:15">
      <c r="A148" s="121">
        <f t="shared" si="55"/>
        <v>148</v>
      </c>
      <c r="B148" s="315" t="s">
        <v>145</v>
      </c>
      <c r="C148" s="310">
        <f t="shared" si="57"/>
        <v>489449.3</v>
      </c>
      <c r="D148" s="310">
        <f t="shared" si="58"/>
        <v>927446.16999999993</v>
      </c>
      <c r="E148" s="310">
        <f t="shared" si="59"/>
        <v>1408323.74</v>
      </c>
      <c r="F148" s="310">
        <f t="shared" si="69"/>
        <v>1781752.38</v>
      </c>
      <c r="G148" s="310">
        <f t="shared" si="60"/>
        <v>2133234</v>
      </c>
      <c r="H148" s="310">
        <f t="shared" si="61"/>
        <v>2512536.4500000002</v>
      </c>
      <c r="I148" s="310">
        <f t="shared" si="62"/>
        <v>2881856.04</v>
      </c>
      <c r="J148" s="310">
        <f t="shared" si="63"/>
        <v>3275195.13</v>
      </c>
      <c r="K148" s="310">
        <f t="shared" si="64"/>
        <v>3625059.5999999996</v>
      </c>
      <c r="L148" s="310">
        <f t="shared" si="65"/>
        <v>4049773.8599999994</v>
      </c>
      <c r="M148" s="310">
        <f t="shared" si="66"/>
        <v>4483351.3299999991</v>
      </c>
      <c r="N148" s="310">
        <f t="shared" si="67"/>
        <v>4974440.8499999996</v>
      </c>
      <c r="O148" s="310">
        <f t="shared" si="68"/>
        <v>32542418.849999994</v>
      </c>
    </row>
    <row r="149" spans="1:15">
      <c r="A149" s="121">
        <f t="shared" si="55"/>
        <v>149</v>
      </c>
      <c r="B149" s="315" t="s">
        <v>146</v>
      </c>
      <c r="C149" s="310">
        <f t="shared" si="57"/>
        <v>361022.2</v>
      </c>
      <c r="D149" s="310">
        <f t="shared" si="58"/>
        <v>678902.28</v>
      </c>
      <c r="E149" s="310">
        <f t="shared" si="59"/>
        <v>1002534.69</v>
      </c>
      <c r="F149" s="310">
        <f t="shared" si="69"/>
        <v>1325865.96</v>
      </c>
      <c r="G149" s="310">
        <f t="shared" si="60"/>
        <v>1640093.27</v>
      </c>
      <c r="H149" s="310">
        <f t="shared" si="61"/>
        <v>1942532.38</v>
      </c>
      <c r="I149" s="310">
        <f t="shared" si="62"/>
        <v>2245346.2799999998</v>
      </c>
      <c r="J149" s="310">
        <f t="shared" si="63"/>
        <v>2550641.8699999996</v>
      </c>
      <c r="K149" s="310">
        <f t="shared" si="64"/>
        <v>2840863.6099999994</v>
      </c>
      <c r="L149" s="310">
        <f t="shared" si="65"/>
        <v>3163528.3299999991</v>
      </c>
      <c r="M149" s="310">
        <f t="shared" si="66"/>
        <v>3460418.879999999</v>
      </c>
      <c r="N149" s="310">
        <f t="shared" si="67"/>
        <v>3765224.8499999987</v>
      </c>
      <c r="O149" s="310">
        <f t="shared" si="68"/>
        <v>24976974.599999994</v>
      </c>
    </row>
    <row r="150" spans="1:15">
      <c r="A150" s="121">
        <f t="shared" si="55"/>
        <v>150</v>
      </c>
      <c r="B150" s="315" t="s">
        <v>147</v>
      </c>
      <c r="C150" s="310">
        <f t="shared" si="57"/>
        <v>239601.93</v>
      </c>
      <c r="D150" s="310">
        <f t="shared" si="58"/>
        <v>449964.02</v>
      </c>
      <c r="E150" s="310">
        <f t="shared" si="59"/>
        <v>684940.1</v>
      </c>
      <c r="F150" s="310">
        <f t="shared" si="69"/>
        <v>913390.39</v>
      </c>
      <c r="G150" s="310">
        <f t="shared" si="60"/>
        <v>1125342.47</v>
      </c>
      <c r="H150" s="310">
        <f t="shared" si="61"/>
        <v>1311747.27</v>
      </c>
      <c r="I150" s="310">
        <f t="shared" si="62"/>
        <v>1469720.43</v>
      </c>
      <c r="J150" s="310">
        <f t="shared" si="63"/>
        <v>1656638.8399999999</v>
      </c>
      <c r="K150" s="310">
        <f t="shared" si="64"/>
        <v>1840939.0099999998</v>
      </c>
      <c r="L150" s="310">
        <f t="shared" si="65"/>
        <v>2046865.2499999998</v>
      </c>
      <c r="M150" s="310">
        <f t="shared" si="66"/>
        <v>2255020.65</v>
      </c>
      <c r="N150" s="310">
        <f t="shared" si="67"/>
        <v>2456435.31</v>
      </c>
      <c r="O150" s="310">
        <f t="shared" si="68"/>
        <v>16450605.67</v>
      </c>
    </row>
    <row r="151" spans="1:15">
      <c r="A151" s="121">
        <f t="shared" si="55"/>
        <v>151</v>
      </c>
      <c r="B151" s="315" t="s">
        <v>148</v>
      </c>
      <c r="C151" s="310">
        <f t="shared" si="57"/>
        <v>436829.31</v>
      </c>
      <c r="D151" s="310">
        <f t="shared" si="58"/>
        <v>802475.05</v>
      </c>
      <c r="E151" s="310">
        <f t="shared" si="59"/>
        <v>1201727.74</v>
      </c>
      <c r="F151" s="310">
        <f t="shared" si="69"/>
        <v>1402520.93</v>
      </c>
      <c r="G151" s="310">
        <f t="shared" si="60"/>
        <v>1645708.79</v>
      </c>
      <c r="H151" s="310">
        <f t="shared" si="61"/>
        <v>1862267.1300000001</v>
      </c>
      <c r="I151" s="310">
        <f t="shared" si="62"/>
        <v>2062258.7200000002</v>
      </c>
      <c r="J151" s="310">
        <f t="shared" si="63"/>
        <v>2277913.62</v>
      </c>
      <c r="K151" s="310">
        <f t="shared" si="64"/>
        <v>2486566.48</v>
      </c>
      <c r="L151" s="310">
        <f t="shared" si="65"/>
        <v>2674422.58</v>
      </c>
      <c r="M151" s="310">
        <f t="shared" si="66"/>
        <v>2897340.79</v>
      </c>
      <c r="N151" s="310">
        <f t="shared" si="67"/>
        <v>3102303.72</v>
      </c>
      <c r="O151" s="310">
        <f t="shared" si="68"/>
        <v>22852334.859999999</v>
      </c>
    </row>
    <row r="152" spans="1:15">
      <c r="A152" s="121">
        <f t="shared" si="55"/>
        <v>152</v>
      </c>
      <c r="B152" s="315" t="s">
        <v>149</v>
      </c>
      <c r="C152" s="310">
        <f t="shared" si="57"/>
        <v>1484735.7</v>
      </c>
      <c r="D152" s="310">
        <f t="shared" si="58"/>
        <v>2819910.5300000003</v>
      </c>
      <c r="E152" s="310">
        <f t="shared" si="59"/>
        <v>4379807.04</v>
      </c>
      <c r="F152" s="310">
        <f t="shared" si="69"/>
        <v>5878775.5300000003</v>
      </c>
      <c r="G152" s="310">
        <f t="shared" si="60"/>
        <v>7540629.6200000001</v>
      </c>
      <c r="H152" s="310">
        <f t="shared" si="61"/>
        <v>9099742.7100000009</v>
      </c>
      <c r="I152" s="310">
        <f t="shared" si="62"/>
        <v>10722222.140000001</v>
      </c>
      <c r="J152" s="310">
        <f t="shared" si="63"/>
        <v>12207233.690000001</v>
      </c>
      <c r="K152" s="310">
        <f t="shared" si="64"/>
        <v>13348751.360000001</v>
      </c>
      <c r="L152" s="310">
        <f t="shared" si="65"/>
        <v>14675119.530000001</v>
      </c>
      <c r="M152" s="310">
        <f t="shared" si="66"/>
        <v>16109124.91</v>
      </c>
      <c r="N152" s="310">
        <f t="shared" si="67"/>
        <v>17456733.789999999</v>
      </c>
      <c r="O152" s="310">
        <f t="shared" si="68"/>
        <v>115722786.55000001</v>
      </c>
    </row>
    <row r="153" spans="1:15">
      <c r="A153" s="121">
        <f t="shared" si="55"/>
        <v>153</v>
      </c>
      <c r="B153" s="315" t="s">
        <v>975</v>
      </c>
      <c r="C153" s="310">
        <f t="shared" si="57"/>
        <v>0</v>
      </c>
      <c r="D153" s="310">
        <f t="shared" si="58"/>
        <v>0</v>
      </c>
      <c r="E153" s="310">
        <f t="shared" si="59"/>
        <v>0</v>
      </c>
      <c r="F153" s="310">
        <f t="shared" si="69"/>
        <v>190819</v>
      </c>
      <c r="G153" s="310">
        <f t="shared" si="60"/>
        <v>393195</v>
      </c>
      <c r="H153" s="310">
        <f t="shared" si="61"/>
        <v>586765</v>
      </c>
      <c r="I153" s="310">
        <f t="shared" si="62"/>
        <v>789919</v>
      </c>
      <c r="J153" s="310">
        <f t="shared" si="63"/>
        <v>986762</v>
      </c>
      <c r="K153" s="310">
        <f t="shared" si="64"/>
        <v>1178793</v>
      </c>
      <c r="L153" s="310">
        <f t="shared" si="65"/>
        <v>1354721.4</v>
      </c>
      <c r="M153" s="310">
        <f t="shared" si="66"/>
        <v>1506096.5099999998</v>
      </c>
      <c r="N153" s="310">
        <f t="shared" si="67"/>
        <v>1645841.3499999999</v>
      </c>
      <c r="O153" s="310">
        <f t="shared" si="68"/>
        <v>8632912.2599999998</v>
      </c>
    </row>
    <row r="154" spans="1:15">
      <c r="A154" s="121">
        <f t="shared" si="55"/>
        <v>154</v>
      </c>
      <c r="B154" s="315" t="s">
        <v>113</v>
      </c>
      <c r="C154" s="310">
        <f t="shared" si="57"/>
        <v>104882.68999999999</v>
      </c>
      <c r="D154" s="310">
        <f t="shared" si="58"/>
        <v>205557.86999999991</v>
      </c>
      <c r="E154" s="310">
        <f t="shared" si="59"/>
        <v>289417.58999999985</v>
      </c>
      <c r="F154" s="310">
        <f t="shared" si="69"/>
        <v>379510.64999999979</v>
      </c>
      <c r="G154" s="310">
        <f t="shared" si="60"/>
        <v>455487.5799999999</v>
      </c>
      <c r="H154" s="310">
        <f t="shared" si="61"/>
        <v>525306.52999999991</v>
      </c>
      <c r="I154" s="310">
        <f t="shared" si="62"/>
        <v>580321.17999999993</v>
      </c>
      <c r="J154" s="310">
        <f t="shared" si="63"/>
        <v>643570.30999999994</v>
      </c>
      <c r="K154" s="310">
        <f t="shared" si="64"/>
        <v>712786.92999999993</v>
      </c>
      <c r="L154" s="310">
        <f t="shared" si="65"/>
        <v>786772.64999999991</v>
      </c>
      <c r="M154" s="310">
        <f t="shared" si="66"/>
        <v>878016.85999999987</v>
      </c>
      <c r="N154" s="310">
        <f t="shared" si="67"/>
        <v>981263.19999999984</v>
      </c>
      <c r="O154" s="310">
        <f t="shared" si="68"/>
        <v>6542894.0399999982</v>
      </c>
    </row>
    <row r="155" spans="1:15">
      <c r="A155" s="121">
        <f t="shared" si="55"/>
        <v>155</v>
      </c>
      <c r="B155" s="315" t="s">
        <v>173</v>
      </c>
      <c r="C155" s="310">
        <f t="shared" si="57"/>
        <v>74064.23000000001</v>
      </c>
      <c r="D155" s="310">
        <f t="shared" si="58"/>
        <v>148647.09999999998</v>
      </c>
      <c r="E155" s="310">
        <f t="shared" si="59"/>
        <v>211525.3</v>
      </c>
      <c r="F155" s="310">
        <f>SUM(C44:F44)</f>
        <v>273238.46000000002</v>
      </c>
      <c r="G155" s="310">
        <f t="shared" si="60"/>
        <v>326489.73</v>
      </c>
      <c r="H155" s="310">
        <f t="shared" si="61"/>
        <v>373547.55</v>
      </c>
      <c r="I155" s="310">
        <f t="shared" si="62"/>
        <v>417442.8</v>
      </c>
      <c r="J155" s="310">
        <f t="shared" si="63"/>
        <v>469887.61</v>
      </c>
      <c r="K155" s="310">
        <f t="shared" si="64"/>
        <v>517606.22</v>
      </c>
      <c r="L155" s="310">
        <f t="shared" si="65"/>
        <v>564996.31000000006</v>
      </c>
      <c r="M155" s="310">
        <f t="shared" si="66"/>
        <v>616943.6100000001</v>
      </c>
      <c r="N155" s="310">
        <f t="shared" si="67"/>
        <v>681290.39000000013</v>
      </c>
      <c r="O155" s="310">
        <f t="shared" si="68"/>
        <v>4675679.3100000005</v>
      </c>
    </row>
    <row r="156" spans="1:15">
      <c r="A156" s="121">
        <f t="shared" si="55"/>
        <v>156</v>
      </c>
      <c r="B156" s="315" t="s">
        <v>175</v>
      </c>
      <c r="C156" s="310">
        <f t="shared" si="57"/>
        <v>746543.57999999938</v>
      </c>
      <c r="D156" s="310">
        <f t="shared" si="58"/>
        <v>1466796.9199999983</v>
      </c>
      <c r="E156" s="310">
        <f t="shared" si="59"/>
        <v>2079506.8799999983</v>
      </c>
      <c r="F156" s="310">
        <f t="shared" si="69"/>
        <v>2675087.3099999987</v>
      </c>
      <c r="G156" s="310">
        <f t="shared" si="60"/>
        <v>3204082.899999999</v>
      </c>
      <c r="H156" s="310">
        <f t="shared" si="61"/>
        <v>3701100.0999999992</v>
      </c>
      <c r="I156" s="310">
        <f t="shared" si="62"/>
        <v>4068411.82</v>
      </c>
      <c r="J156" s="310">
        <f t="shared" si="63"/>
        <v>4523732.669999999</v>
      </c>
      <c r="K156" s="310">
        <f t="shared" si="64"/>
        <v>4983386.459999999</v>
      </c>
      <c r="L156" s="310">
        <f t="shared" si="65"/>
        <v>5454897.379999998</v>
      </c>
      <c r="M156" s="310">
        <f t="shared" si="66"/>
        <v>6013042.4599999981</v>
      </c>
      <c r="N156" s="310">
        <f t="shared" si="67"/>
        <v>6702935.9999999981</v>
      </c>
      <c r="O156" s="310">
        <f t="shared" si="68"/>
        <v>45619524.479999989</v>
      </c>
    </row>
    <row r="157" spans="1:15">
      <c r="A157" s="121">
        <f t="shared" si="55"/>
        <v>157</v>
      </c>
      <c r="B157" s="315" t="s">
        <v>176</v>
      </c>
      <c r="C157" s="310">
        <f t="shared" si="57"/>
        <v>531260.33999999973</v>
      </c>
      <c r="D157" s="310">
        <f t="shared" si="58"/>
        <v>1041746.6999999997</v>
      </c>
      <c r="E157" s="310">
        <f t="shared" si="59"/>
        <v>1507215.4199999992</v>
      </c>
      <c r="F157" s="310">
        <f t="shared" si="69"/>
        <v>1972670.4199999995</v>
      </c>
      <c r="G157" s="310">
        <f t="shared" si="60"/>
        <v>2406104.2899999996</v>
      </c>
      <c r="H157" s="310">
        <f t="shared" si="61"/>
        <v>2819384.32</v>
      </c>
      <c r="I157" s="310">
        <f t="shared" si="62"/>
        <v>3179473.7299999995</v>
      </c>
      <c r="J157" s="310">
        <f t="shared" si="63"/>
        <v>3558543.4599999995</v>
      </c>
      <c r="K157" s="310">
        <f t="shared" si="64"/>
        <v>3938747.82</v>
      </c>
      <c r="L157" s="310">
        <f t="shared" si="65"/>
        <v>4321976.5299999993</v>
      </c>
      <c r="M157" s="310">
        <f t="shared" si="66"/>
        <v>4770026.6999999993</v>
      </c>
      <c r="N157" s="310">
        <f t="shared" si="67"/>
        <v>5285544.8599999994</v>
      </c>
      <c r="O157" s="310">
        <f t="shared" si="68"/>
        <v>35332694.590000004</v>
      </c>
    </row>
    <row r="158" spans="1:15">
      <c r="A158" s="121">
        <f t="shared" si="55"/>
        <v>158</v>
      </c>
      <c r="B158" s="315" t="s">
        <v>177</v>
      </c>
      <c r="C158" s="310">
        <f t="shared" si="57"/>
        <v>3766.7699999999995</v>
      </c>
      <c r="D158" s="310">
        <f t="shared" si="58"/>
        <v>7351.23</v>
      </c>
      <c r="E158" s="310">
        <f t="shared" si="59"/>
        <v>10652.780000000002</v>
      </c>
      <c r="F158" s="310">
        <f t="shared" si="69"/>
        <v>13909.480000000001</v>
      </c>
      <c r="G158" s="310">
        <f t="shared" si="60"/>
        <v>17659.850000000002</v>
      </c>
      <c r="H158" s="310">
        <f t="shared" si="61"/>
        <v>21053.030000000002</v>
      </c>
      <c r="I158" s="310">
        <f t="shared" si="62"/>
        <v>23825.140000000003</v>
      </c>
      <c r="J158" s="310">
        <f t="shared" si="63"/>
        <v>27127.99</v>
      </c>
      <c r="K158" s="310">
        <f t="shared" si="64"/>
        <v>30795.11</v>
      </c>
      <c r="L158" s="310">
        <f t="shared" si="65"/>
        <v>35823.620000000003</v>
      </c>
      <c r="M158" s="310">
        <f t="shared" si="66"/>
        <v>40550.54</v>
      </c>
      <c r="N158" s="310">
        <f t="shared" si="67"/>
        <v>47649.58</v>
      </c>
      <c r="O158" s="310">
        <f t="shared" si="68"/>
        <v>280165.12</v>
      </c>
    </row>
    <row r="159" spans="1:15">
      <c r="A159" s="121">
        <f t="shared" si="55"/>
        <v>159</v>
      </c>
      <c r="B159" s="315" t="s">
        <v>178</v>
      </c>
      <c r="C159" s="310">
        <f t="shared" si="57"/>
        <v>947194.23000000056</v>
      </c>
      <c r="D159" s="310">
        <f t="shared" si="58"/>
        <v>1817158.23</v>
      </c>
      <c r="E159" s="310">
        <f t="shared" si="59"/>
        <v>2585552.92</v>
      </c>
      <c r="F159" s="310">
        <f t="shared" si="69"/>
        <v>3437028.9100000006</v>
      </c>
      <c r="G159" s="310">
        <f t="shared" si="60"/>
        <v>4186237.25</v>
      </c>
      <c r="H159" s="310">
        <f t="shared" si="61"/>
        <v>4917749.3599999994</v>
      </c>
      <c r="I159" s="310">
        <f t="shared" si="62"/>
        <v>5559873.9499999993</v>
      </c>
      <c r="J159" s="310">
        <f t="shared" si="63"/>
        <v>6232355.2400000002</v>
      </c>
      <c r="K159" s="310">
        <f t="shared" si="64"/>
        <v>6813221.5800000001</v>
      </c>
      <c r="L159" s="310">
        <f t="shared" si="65"/>
        <v>7451151.5700000003</v>
      </c>
      <c r="M159" s="310">
        <f t="shared" si="66"/>
        <v>8214510.4800000004</v>
      </c>
      <c r="N159" s="310">
        <f t="shared" si="67"/>
        <v>9095256.9100000001</v>
      </c>
      <c r="O159" s="310">
        <f t="shared" si="68"/>
        <v>61257290.629999995</v>
      </c>
    </row>
    <row r="160" spans="1:15">
      <c r="A160" s="121">
        <f t="shared" si="55"/>
        <v>160</v>
      </c>
      <c r="B160" s="315" t="s">
        <v>180</v>
      </c>
      <c r="C160" s="310">
        <f t="shared" si="57"/>
        <v>0</v>
      </c>
      <c r="D160" s="310">
        <f t="shared" si="58"/>
        <v>0</v>
      </c>
      <c r="E160" s="310">
        <f t="shared" si="59"/>
        <v>0</v>
      </c>
      <c r="F160" s="310">
        <f t="shared" si="69"/>
        <v>0</v>
      </c>
      <c r="G160" s="310">
        <f t="shared" si="60"/>
        <v>0</v>
      </c>
      <c r="H160" s="310">
        <f t="shared" si="61"/>
        <v>0</v>
      </c>
      <c r="I160" s="310">
        <f t="shared" si="62"/>
        <v>0</v>
      </c>
      <c r="J160" s="310">
        <f t="shared" si="63"/>
        <v>0</v>
      </c>
      <c r="K160" s="310">
        <f t="shared" si="64"/>
        <v>0</v>
      </c>
      <c r="L160" s="310">
        <f t="shared" si="65"/>
        <v>0</v>
      </c>
      <c r="M160" s="310">
        <f t="shared" si="66"/>
        <v>0</v>
      </c>
      <c r="N160" s="310">
        <f t="shared" si="67"/>
        <v>0</v>
      </c>
      <c r="O160" s="310">
        <f t="shared" si="68"/>
        <v>0</v>
      </c>
    </row>
    <row r="161" spans="1:15">
      <c r="A161" s="121">
        <f t="shared" si="55"/>
        <v>161</v>
      </c>
      <c r="B161" s="315" t="s">
        <v>181</v>
      </c>
      <c r="C161" s="310">
        <f t="shared" si="57"/>
        <v>3285817.3499999973</v>
      </c>
      <c r="D161" s="310">
        <f t="shared" si="58"/>
        <v>6203107.6199999973</v>
      </c>
      <c r="E161" s="310">
        <f t="shared" si="59"/>
        <v>9054102.3199999984</v>
      </c>
      <c r="F161" s="310">
        <f t="shared" si="69"/>
        <v>11879002.619999997</v>
      </c>
      <c r="G161" s="310">
        <f t="shared" si="60"/>
        <v>14659255.109999994</v>
      </c>
      <c r="H161" s="310">
        <f t="shared" si="61"/>
        <v>17196916.029999994</v>
      </c>
      <c r="I161" s="310">
        <f t="shared" si="62"/>
        <v>19584938.529999994</v>
      </c>
      <c r="J161" s="310">
        <f t="shared" si="63"/>
        <v>22088425.389999993</v>
      </c>
      <c r="K161" s="310">
        <f t="shared" si="64"/>
        <v>24485424.619999994</v>
      </c>
      <c r="L161" s="310">
        <f t="shared" si="65"/>
        <v>27035595.229999997</v>
      </c>
      <c r="M161" s="310">
        <f t="shared" si="66"/>
        <v>29886851.959999997</v>
      </c>
      <c r="N161" s="310">
        <f t="shared" si="67"/>
        <v>32997446.559999995</v>
      </c>
      <c r="O161" s="310">
        <f t="shared" si="68"/>
        <v>218356883.33999997</v>
      </c>
    </row>
    <row r="162" spans="1:15">
      <c r="A162" s="121">
        <f t="shared" si="55"/>
        <v>162</v>
      </c>
      <c r="B162" s="315" t="s">
        <v>183</v>
      </c>
      <c r="C162" s="310">
        <f t="shared" si="57"/>
        <v>0</v>
      </c>
      <c r="D162" s="310">
        <f t="shared" si="58"/>
        <v>0</v>
      </c>
      <c r="E162" s="310">
        <f t="shared" si="59"/>
        <v>0</v>
      </c>
      <c r="F162" s="310">
        <f t="shared" si="69"/>
        <v>0</v>
      </c>
      <c r="G162" s="310">
        <f t="shared" si="60"/>
        <v>0</v>
      </c>
      <c r="H162" s="310">
        <f t="shared" si="61"/>
        <v>0</v>
      </c>
      <c r="I162" s="310">
        <f t="shared" si="62"/>
        <v>0</v>
      </c>
      <c r="J162" s="310">
        <f t="shared" si="63"/>
        <v>0</v>
      </c>
      <c r="K162" s="310">
        <f t="shared" si="64"/>
        <v>0</v>
      </c>
      <c r="L162" s="310">
        <f t="shared" si="65"/>
        <v>0</v>
      </c>
      <c r="M162" s="310">
        <f t="shared" si="66"/>
        <v>0</v>
      </c>
      <c r="N162" s="310">
        <f t="shared" si="67"/>
        <v>0</v>
      </c>
      <c r="O162" s="310">
        <f t="shared" si="68"/>
        <v>0</v>
      </c>
    </row>
    <row r="163" spans="1:15">
      <c r="A163" s="121">
        <f t="shared" si="55"/>
        <v>163</v>
      </c>
      <c r="B163" s="315" t="s">
        <v>184</v>
      </c>
      <c r="C163" s="310">
        <f t="shared" si="57"/>
        <v>907429.37000000011</v>
      </c>
      <c r="D163" s="310">
        <f t="shared" si="58"/>
        <v>1710341.35</v>
      </c>
      <c r="E163" s="310">
        <f t="shared" si="59"/>
        <v>2546913.5700000003</v>
      </c>
      <c r="F163" s="310">
        <f t="shared" si="69"/>
        <v>3405600.6400000006</v>
      </c>
      <c r="G163" s="310">
        <f t="shared" si="60"/>
        <v>4209729.2200000007</v>
      </c>
      <c r="H163" s="310">
        <f t="shared" si="61"/>
        <v>5035233.3000000007</v>
      </c>
      <c r="I163" s="310">
        <f t="shared" si="62"/>
        <v>5867715.5000000009</v>
      </c>
      <c r="J163" s="310">
        <f t="shared" si="63"/>
        <v>6649674.1300000008</v>
      </c>
      <c r="K163" s="310">
        <f t="shared" si="64"/>
        <v>7424960.8800000008</v>
      </c>
      <c r="L163" s="310">
        <f t="shared" si="65"/>
        <v>8297816.9400000004</v>
      </c>
      <c r="M163" s="310">
        <f t="shared" si="66"/>
        <v>9128323.5600000005</v>
      </c>
      <c r="N163" s="310">
        <f t="shared" si="67"/>
        <v>9991202.8100000005</v>
      </c>
      <c r="O163" s="310">
        <f t="shared" si="68"/>
        <v>65174941.270000011</v>
      </c>
    </row>
    <row r="164" spans="1:15">
      <c r="A164" s="121">
        <f t="shared" si="55"/>
        <v>164</v>
      </c>
      <c r="B164" s="315" t="s">
        <v>186</v>
      </c>
      <c r="C164" s="310">
        <f t="shared" si="57"/>
        <v>11878.22</v>
      </c>
      <c r="D164" s="310">
        <f t="shared" si="58"/>
        <v>23756.44</v>
      </c>
      <c r="E164" s="310">
        <f t="shared" si="59"/>
        <v>35634.659999999996</v>
      </c>
      <c r="F164" s="310">
        <f t="shared" si="69"/>
        <v>46135.88</v>
      </c>
      <c r="G164" s="310">
        <f t="shared" si="60"/>
        <v>57096.1</v>
      </c>
      <c r="H164" s="310">
        <f t="shared" si="61"/>
        <v>68056.319999999992</v>
      </c>
      <c r="I164" s="310">
        <f t="shared" si="62"/>
        <v>78206.539999999994</v>
      </c>
      <c r="J164" s="310">
        <f t="shared" si="63"/>
        <v>87571.76</v>
      </c>
      <c r="K164" s="310">
        <f t="shared" si="64"/>
        <v>97097.98</v>
      </c>
      <c r="L164" s="310">
        <f t="shared" si="65"/>
        <v>106624.2</v>
      </c>
      <c r="M164" s="310">
        <f t="shared" si="66"/>
        <v>116150.42</v>
      </c>
      <c r="N164" s="310">
        <f t="shared" si="67"/>
        <v>125676.64</v>
      </c>
      <c r="O164" s="310">
        <f t="shared" si="68"/>
        <v>853885.16</v>
      </c>
    </row>
    <row r="165" spans="1:15">
      <c r="A165" s="121">
        <f t="shared" si="55"/>
        <v>165</v>
      </c>
      <c r="B165" s="315" t="s">
        <v>188</v>
      </c>
      <c r="C165" s="310">
        <f t="shared" si="57"/>
        <v>0</v>
      </c>
      <c r="D165" s="310">
        <f t="shared" si="58"/>
        <v>0</v>
      </c>
      <c r="E165" s="310">
        <f t="shared" si="59"/>
        <v>0</v>
      </c>
      <c r="F165" s="310">
        <f t="shared" si="69"/>
        <v>0</v>
      </c>
      <c r="G165" s="310">
        <f t="shared" si="60"/>
        <v>0</v>
      </c>
      <c r="H165" s="310">
        <f t="shared" si="61"/>
        <v>0</v>
      </c>
      <c r="I165" s="310">
        <f t="shared" si="62"/>
        <v>0</v>
      </c>
      <c r="J165" s="310">
        <f t="shared" si="63"/>
        <v>0</v>
      </c>
      <c r="K165" s="310">
        <f t="shared" si="64"/>
        <v>0</v>
      </c>
      <c r="L165" s="310">
        <f t="shared" si="65"/>
        <v>0</v>
      </c>
      <c r="M165" s="310">
        <f t="shared" si="66"/>
        <v>0</v>
      </c>
      <c r="N165" s="310">
        <f t="shared" si="67"/>
        <v>0</v>
      </c>
      <c r="O165" s="310">
        <f>SUM(C165:N165)</f>
        <v>0</v>
      </c>
    </row>
    <row r="166" spans="1:15">
      <c r="A166" s="121">
        <f t="shared" si="55"/>
        <v>166</v>
      </c>
      <c r="B166" s="315" t="s">
        <v>242</v>
      </c>
      <c r="C166" s="310">
        <f t="shared" si="57"/>
        <v>56506.71</v>
      </c>
      <c r="D166" s="310">
        <f t="shared" si="58"/>
        <v>101957.48999999999</v>
      </c>
      <c r="E166" s="310">
        <f t="shared" si="59"/>
        <v>152617.99</v>
      </c>
      <c r="F166" s="310">
        <f t="shared" si="69"/>
        <v>205529.81</v>
      </c>
      <c r="G166" s="310">
        <f t="shared" si="60"/>
        <v>262473.62</v>
      </c>
      <c r="H166" s="310">
        <f t="shared" si="61"/>
        <v>315029.38</v>
      </c>
      <c r="I166" s="310">
        <f t="shared" si="62"/>
        <v>380196.19</v>
      </c>
      <c r="J166" s="310">
        <f t="shared" si="63"/>
        <v>451150.99</v>
      </c>
      <c r="K166" s="310">
        <f t="shared" si="64"/>
        <v>516960.77999999997</v>
      </c>
      <c r="L166" s="310">
        <f t="shared" si="65"/>
        <v>591926.03</v>
      </c>
      <c r="M166" s="310">
        <f t="shared" si="66"/>
        <v>661810.13</v>
      </c>
      <c r="N166" s="310">
        <f t="shared" si="67"/>
        <v>731973.77</v>
      </c>
      <c r="O166" s="310">
        <f>SUM(C166:N166)</f>
        <v>4428132.8900000006</v>
      </c>
    </row>
    <row r="167" spans="1:15">
      <c r="A167" s="121">
        <f t="shared" si="55"/>
        <v>167</v>
      </c>
      <c r="B167" s="315" t="s">
        <v>190</v>
      </c>
      <c r="C167" s="310">
        <f t="shared" si="57"/>
        <v>61.35</v>
      </c>
      <c r="D167" s="310">
        <f t="shared" si="58"/>
        <v>145.35</v>
      </c>
      <c r="E167" s="310">
        <f t="shared" si="59"/>
        <v>162.35</v>
      </c>
      <c r="F167" s="310">
        <f t="shared" si="69"/>
        <v>172.89</v>
      </c>
      <c r="G167" s="310">
        <f t="shared" si="60"/>
        <v>174.98</v>
      </c>
      <c r="H167" s="310">
        <f t="shared" si="61"/>
        <v>174.98</v>
      </c>
      <c r="I167" s="310">
        <f t="shared" si="62"/>
        <v>177.06</v>
      </c>
      <c r="J167" s="310">
        <f t="shared" si="63"/>
        <v>183.3</v>
      </c>
      <c r="K167" s="310">
        <f t="shared" si="64"/>
        <v>202.02</v>
      </c>
      <c r="L167" s="310">
        <f t="shared" si="65"/>
        <v>207.22</v>
      </c>
      <c r="M167" s="310">
        <f t="shared" si="66"/>
        <v>222.82</v>
      </c>
      <c r="N167" s="310">
        <f t="shared" si="67"/>
        <v>312.61</v>
      </c>
      <c r="O167" s="310">
        <f t="shared" si="68"/>
        <v>2196.9299999999998</v>
      </c>
    </row>
    <row r="168" spans="1:15">
      <c r="A168" s="121">
        <f t="shared" si="55"/>
        <v>168</v>
      </c>
      <c r="B168" s="315" t="s">
        <v>192</v>
      </c>
      <c r="C168" s="310">
        <f t="shared" si="57"/>
        <v>7463.34</v>
      </c>
      <c r="D168" s="310">
        <f t="shared" si="58"/>
        <v>13468.34</v>
      </c>
      <c r="E168" s="310">
        <f t="shared" si="59"/>
        <v>17484.34</v>
      </c>
      <c r="F168" s="310">
        <f t="shared" si="69"/>
        <v>21697.919999999998</v>
      </c>
      <c r="G168" s="310">
        <f t="shared" si="60"/>
        <v>25238.899999999998</v>
      </c>
      <c r="H168" s="310">
        <f t="shared" si="61"/>
        <v>28691.109999999997</v>
      </c>
      <c r="I168" s="310">
        <f t="shared" si="62"/>
        <v>30750.329999999998</v>
      </c>
      <c r="J168" s="310">
        <f t="shared" si="63"/>
        <v>41317.75</v>
      </c>
      <c r="K168" s="310">
        <f t="shared" si="64"/>
        <v>51098.57</v>
      </c>
      <c r="L168" s="310">
        <f t="shared" si="65"/>
        <v>64001.86</v>
      </c>
      <c r="M168" s="310">
        <f t="shared" si="66"/>
        <v>80378.44</v>
      </c>
      <c r="N168" s="310">
        <f t="shared" si="67"/>
        <v>105245</v>
      </c>
      <c r="O168" s="310">
        <f t="shared" si="68"/>
        <v>486835.9</v>
      </c>
    </row>
    <row r="169" spans="1:15">
      <c r="A169" s="121">
        <f t="shared" si="55"/>
        <v>169</v>
      </c>
      <c r="B169" s="315" t="s">
        <v>194</v>
      </c>
      <c r="C169" s="310">
        <f t="shared" si="57"/>
        <v>2523</v>
      </c>
      <c r="D169" s="310">
        <f t="shared" si="58"/>
        <v>4755</v>
      </c>
      <c r="E169" s="310">
        <f t="shared" si="59"/>
        <v>7205</v>
      </c>
      <c r="F169" s="310">
        <f t="shared" si="69"/>
        <v>9392</v>
      </c>
      <c r="G169" s="310">
        <f t="shared" si="60"/>
        <v>11700.74</v>
      </c>
      <c r="H169" s="310">
        <f t="shared" si="61"/>
        <v>13672.2</v>
      </c>
      <c r="I169" s="310">
        <f t="shared" si="62"/>
        <v>15293.78</v>
      </c>
      <c r="J169" s="310">
        <f t="shared" si="63"/>
        <v>17240.25</v>
      </c>
      <c r="K169" s="310">
        <f t="shared" si="64"/>
        <v>19403.07</v>
      </c>
      <c r="L169" s="310">
        <f t="shared" si="65"/>
        <v>21610.69</v>
      </c>
      <c r="M169" s="310">
        <f t="shared" si="66"/>
        <v>23802.809999999998</v>
      </c>
      <c r="N169" s="310">
        <f t="shared" si="67"/>
        <v>26018.219999999998</v>
      </c>
      <c r="O169" s="310">
        <f t="shared" si="68"/>
        <v>172616.76</v>
      </c>
    </row>
    <row r="170" spans="1:15">
      <c r="A170" s="121">
        <f t="shared" si="55"/>
        <v>170</v>
      </c>
      <c r="B170" s="312" t="s">
        <v>107</v>
      </c>
      <c r="C170" s="310">
        <f t="shared" si="57"/>
        <v>7078.9699999999993</v>
      </c>
      <c r="D170" s="310">
        <f t="shared" si="58"/>
        <v>13943.779999999999</v>
      </c>
      <c r="E170" s="310">
        <f t="shared" si="59"/>
        <v>21035.05</v>
      </c>
      <c r="F170" s="310">
        <f t="shared" si="69"/>
        <v>27988.629999999997</v>
      </c>
      <c r="G170" s="310">
        <f t="shared" si="60"/>
        <v>35336.6</v>
      </c>
      <c r="H170" s="310">
        <f t="shared" si="61"/>
        <v>41849.409999999996</v>
      </c>
      <c r="I170" s="310">
        <f t="shared" si="62"/>
        <v>48858.909999999996</v>
      </c>
      <c r="J170" s="310">
        <f t="shared" si="63"/>
        <v>55023.579999999994</v>
      </c>
      <c r="K170" s="310">
        <f t="shared" si="64"/>
        <v>61557.409999999996</v>
      </c>
      <c r="L170" s="310">
        <f t="shared" si="65"/>
        <v>68853.569999999992</v>
      </c>
      <c r="M170" s="310">
        <f t="shared" si="66"/>
        <v>75535.53</v>
      </c>
      <c r="N170" s="310">
        <f t="shared" si="67"/>
        <v>83536.34</v>
      </c>
      <c r="O170" s="310">
        <f t="shared" si="68"/>
        <v>540597.77999999991</v>
      </c>
    </row>
    <row r="171" spans="1:15">
      <c r="A171" s="121">
        <f t="shared" si="55"/>
        <v>171</v>
      </c>
      <c r="B171" s="312" t="s">
        <v>108</v>
      </c>
      <c r="C171" s="310">
        <f t="shared" si="57"/>
        <v>445.11</v>
      </c>
      <c r="D171" s="310">
        <f t="shared" si="58"/>
        <v>786.18000000000006</v>
      </c>
      <c r="E171" s="310">
        <f t="shared" si="59"/>
        <v>1008.69</v>
      </c>
      <c r="F171" s="310">
        <f t="shared" si="69"/>
        <v>1243.7</v>
      </c>
      <c r="G171" s="310">
        <f t="shared" si="60"/>
        <v>1625.75</v>
      </c>
      <c r="H171" s="310">
        <f t="shared" si="61"/>
        <v>2031.75</v>
      </c>
      <c r="I171" s="310">
        <f t="shared" si="62"/>
        <v>2462.21</v>
      </c>
      <c r="J171" s="310">
        <f t="shared" si="63"/>
        <v>2728.4700000000003</v>
      </c>
      <c r="K171" s="310">
        <f t="shared" si="64"/>
        <v>3140.26</v>
      </c>
      <c r="L171" s="310">
        <f t="shared" si="65"/>
        <v>3336.82</v>
      </c>
      <c r="M171" s="310">
        <f t="shared" si="66"/>
        <v>3580.7200000000003</v>
      </c>
      <c r="N171" s="310">
        <f t="shared" si="67"/>
        <v>3870.09</v>
      </c>
      <c r="O171" s="310">
        <f t="shared" si="68"/>
        <v>26259.750000000004</v>
      </c>
    </row>
    <row r="172" spans="1:15">
      <c r="A172" s="121">
        <f t="shared" si="55"/>
        <v>172</v>
      </c>
      <c r="B172" s="321" t="s">
        <v>109</v>
      </c>
      <c r="C172" s="319">
        <f t="shared" si="57"/>
        <v>0</v>
      </c>
      <c r="D172" s="319">
        <f t="shared" si="58"/>
        <v>0</v>
      </c>
      <c r="E172" s="319">
        <f t="shared" si="59"/>
        <v>0</v>
      </c>
      <c r="F172" s="319">
        <f t="shared" si="69"/>
        <v>0</v>
      </c>
      <c r="G172" s="319">
        <f t="shared" si="60"/>
        <v>0</v>
      </c>
      <c r="H172" s="319">
        <f t="shared" si="61"/>
        <v>0</v>
      </c>
      <c r="I172" s="319">
        <f t="shared" si="62"/>
        <v>0</v>
      </c>
      <c r="J172" s="319">
        <f t="shared" si="63"/>
        <v>0</v>
      </c>
      <c r="K172" s="319">
        <f t="shared" si="64"/>
        <v>0</v>
      </c>
      <c r="L172" s="319">
        <f t="shared" si="65"/>
        <v>0</v>
      </c>
      <c r="M172" s="319">
        <f t="shared" si="66"/>
        <v>0</v>
      </c>
      <c r="N172" s="319">
        <f t="shared" si="67"/>
        <v>0</v>
      </c>
      <c r="O172" s="319">
        <f t="shared" si="68"/>
        <v>0</v>
      </c>
    </row>
    <row r="173" spans="1:15">
      <c r="A173" s="121">
        <f t="shared" si="55"/>
        <v>173</v>
      </c>
      <c r="B173" s="322" t="s">
        <v>199</v>
      </c>
      <c r="C173" s="310">
        <f>SUM(C136:C153)</f>
        <v>4364024.7300000004</v>
      </c>
      <c r="D173" s="310">
        <f t="shared" ref="D173:N173" si="70">SUM(D136:D153)</f>
        <v>8272973.1400000006</v>
      </c>
      <c r="E173" s="310">
        <f t="shared" si="70"/>
        <v>12452557.260000002</v>
      </c>
      <c r="F173" s="310">
        <f t="shared" si="70"/>
        <v>16446772.52</v>
      </c>
      <c r="G173" s="310">
        <f t="shared" si="70"/>
        <v>20553314.780000001</v>
      </c>
      <c r="H173" s="310">
        <f t="shared" si="70"/>
        <v>24442302.730000004</v>
      </c>
      <c r="I173" s="310">
        <f t="shared" si="70"/>
        <v>28303200.740000002</v>
      </c>
      <c r="J173" s="310">
        <f t="shared" si="70"/>
        <v>32078811.98</v>
      </c>
      <c r="K173" s="310">
        <f t="shared" si="70"/>
        <v>35458091.730000004</v>
      </c>
      <c r="L173" s="310">
        <f t="shared" si="70"/>
        <v>39150126.059999995</v>
      </c>
      <c r="M173" s="310">
        <f t="shared" si="70"/>
        <v>43027716.18999999</v>
      </c>
      <c r="N173" s="310">
        <f t="shared" si="70"/>
        <v>47000856.68</v>
      </c>
      <c r="O173" s="310">
        <f t="shared" si="68"/>
        <v>311550748.54000002</v>
      </c>
    </row>
    <row r="174" spans="1:15">
      <c r="A174" s="121">
        <f t="shared" si="55"/>
        <v>174</v>
      </c>
      <c r="B174" s="320" t="s">
        <v>200</v>
      </c>
    </row>
    <row r="175" spans="1:15">
      <c r="A175" s="121">
        <f t="shared" si="55"/>
        <v>175</v>
      </c>
      <c r="B175" s="312" t="s">
        <v>114</v>
      </c>
      <c r="C175" s="310">
        <f t="shared" ref="C175:C181" si="71">+C64</f>
        <v>0</v>
      </c>
      <c r="D175" s="310">
        <f t="shared" ref="D175:D181" si="72">SUM(C64:D64)</f>
        <v>0</v>
      </c>
      <c r="E175" s="310">
        <f t="shared" ref="E175:E181" si="73">SUM(C64:E64)</f>
        <v>0</v>
      </c>
      <c r="F175" s="310">
        <f t="shared" ref="F175:F181" si="74">SUM(C64:F64)</f>
        <v>0</v>
      </c>
      <c r="G175" s="310">
        <f t="shared" ref="G175:G181" si="75">SUM(C64:G64)</f>
        <v>0</v>
      </c>
      <c r="H175" s="310">
        <f t="shared" ref="H175:H181" si="76">SUM(C64:H64)</f>
        <v>0</v>
      </c>
      <c r="I175" s="310">
        <f t="shared" ref="I175:I181" si="77">SUM(C64:I64)</f>
        <v>0</v>
      </c>
      <c r="J175" s="310">
        <f t="shared" ref="J175:J181" si="78">SUM(C64:J64)</f>
        <v>0</v>
      </c>
      <c r="K175" s="310">
        <f t="shared" ref="K175:K181" si="79">SUM(C64:K64)</f>
        <v>0</v>
      </c>
      <c r="L175" s="310">
        <f t="shared" ref="L175:L181" si="80">SUM(C64:L64)</f>
        <v>0</v>
      </c>
      <c r="M175" s="310">
        <f t="shared" ref="M175:M181" si="81">SUM(C64:M64)</f>
        <v>0</v>
      </c>
      <c r="N175" s="310">
        <f t="shared" ref="N175:N181" si="82">SUM(C64:N64)</f>
        <v>0</v>
      </c>
      <c r="O175" s="310">
        <f t="shared" ref="O175:O182" si="83">SUM(C175:N175)</f>
        <v>0</v>
      </c>
    </row>
    <row r="176" spans="1:15">
      <c r="A176" s="121">
        <f t="shared" si="55"/>
        <v>176</v>
      </c>
      <c r="B176" s="312" t="s">
        <v>115</v>
      </c>
      <c r="C176" s="310">
        <f t="shared" si="71"/>
        <v>2.0699999999999998</v>
      </c>
      <c r="D176" s="310">
        <f t="shared" si="72"/>
        <v>3.0999999999999996</v>
      </c>
      <c r="E176" s="310">
        <f t="shared" si="73"/>
        <v>5.17</v>
      </c>
      <c r="F176" s="310">
        <f t="shared" si="74"/>
        <v>7.24</v>
      </c>
      <c r="G176" s="310">
        <f t="shared" si="75"/>
        <v>8.27</v>
      </c>
      <c r="H176" s="310">
        <f t="shared" si="76"/>
        <v>10.34</v>
      </c>
      <c r="I176" s="310">
        <f t="shared" si="77"/>
        <v>11.37</v>
      </c>
      <c r="J176" s="310">
        <f t="shared" si="78"/>
        <v>13.45</v>
      </c>
      <c r="K176" s="310">
        <f t="shared" si="79"/>
        <v>15.53</v>
      </c>
      <c r="L176" s="310">
        <f t="shared" si="80"/>
        <v>16.559999999999999</v>
      </c>
      <c r="M176" s="310">
        <f t="shared" si="81"/>
        <v>17.59</v>
      </c>
      <c r="N176" s="310">
        <f t="shared" si="82"/>
        <v>19.66</v>
      </c>
      <c r="O176" s="310">
        <f t="shared" si="83"/>
        <v>130.35</v>
      </c>
    </row>
    <row r="177" spans="1:15">
      <c r="A177" s="121">
        <f t="shared" si="55"/>
        <v>177</v>
      </c>
      <c r="B177" s="312" t="s">
        <v>116</v>
      </c>
      <c r="C177" s="310">
        <f t="shared" si="71"/>
        <v>552</v>
      </c>
      <c r="D177" s="310">
        <f t="shared" si="72"/>
        <v>4707.09</v>
      </c>
      <c r="E177" s="310">
        <f t="shared" si="73"/>
        <v>1727.7600000000002</v>
      </c>
      <c r="F177" s="310">
        <f t="shared" si="74"/>
        <v>2293.36</v>
      </c>
      <c r="G177" s="310">
        <f t="shared" si="75"/>
        <v>2797.8</v>
      </c>
      <c r="H177" s="310">
        <f t="shared" si="76"/>
        <v>3234.05</v>
      </c>
      <c r="I177" s="310">
        <f t="shared" si="77"/>
        <v>3600.25</v>
      </c>
      <c r="J177" s="310">
        <f t="shared" si="78"/>
        <v>4011.85</v>
      </c>
      <c r="K177" s="310">
        <f t="shared" si="79"/>
        <v>4413.01</v>
      </c>
      <c r="L177" s="310">
        <f t="shared" si="80"/>
        <v>4839.3100000000004</v>
      </c>
      <c r="M177" s="310">
        <f t="shared" si="81"/>
        <v>5394.31</v>
      </c>
      <c r="N177" s="310">
        <f t="shared" si="82"/>
        <v>5983.4800000000005</v>
      </c>
      <c r="O177" s="310">
        <f t="shared" si="83"/>
        <v>43554.270000000004</v>
      </c>
    </row>
    <row r="178" spans="1:15">
      <c r="A178" s="121">
        <f t="shared" si="55"/>
        <v>178</v>
      </c>
      <c r="B178" s="312" t="s">
        <v>117</v>
      </c>
      <c r="C178" s="310">
        <f t="shared" si="71"/>
        <v>568.79</v>
      </c>
      <c r="D178" s="310">
        <f t="shared" si="72"/>
        <v>1030.3399999999999</v>
      </c>
      <c r="E178" s="310">
        <f t="shared" si="73"/>
        <v>1224.06</v>
      </c>
      <c r="F178" s="310">
        <f t="shared" si="74"/>
        <v>1779.27</v>
      </c>
      <c r="G178" s="310">
        <f t="shared" si="75"/>
        <v>1972.92</v>
      </c>
      <c r="H178" s="310">
        <f t="shared" si="76"/>
        <v>2647.13</v>
      </c>
      <c r="I178" s="310">
        <f t="shared" si="77"/>
        <v>3139.19</v>
      </c>
      <c r="J178" s="310">
        <f t="shared" si="78"/>
        <v>3565.08</v>
      </c>
      <c r="K178" s="310">
        <f t="shared" si="79"/>
        <v>3776.95</v>
      </c>
      <c r="L178" s="310">
        <f t="shared" si="80"/>
        <v>3997.72</v>
      </c>
      <c r="M178" s="310">
        <f t="shared" si="81"/>
        <v>4223.57</v>
      </c>
      <c r="N178" s="310">
        <f t="shared" si="82"/>
        <v>4452.0999999999995</v>
      </c>
      <c r="O178" s="310">
        <f t="shared" si="83"/>
        <v>32377.119999999999</v>
      </c>
    </row>
    <row r="179" spans="1:15">
      <c r="A179" s="121">
        <f t="shared" si="55"/>
        <v>179</v>
      </c>
      <c r="B179" s="312" t="s">
        <v>118</v>
      </c>
      <c r="C179" s="310">
        <f t="shared" si="71"/>
        <v>1856.49</v>
      </c>
      <c r="D179" s="310">
        <f t="shared" si="72"/>
        <v>3745.35</v>
      </c>
      <c r="E179" s="310">
        <f t="shared" si="73"/>
        <v>5376.25</v>
      </c>
      <c r="F179" s="310">
        <f t="shared" si="74"/>
        <v>7057.79</v>
      </c>
      <c r="G179" s="310">
        <f t="shared" si="75"/>
        <v>8674.77</v>
      </c>
      <c r="H179" s="310">
        <f t="shared" si="76"/>
        <v>10161.5</v>
      </c>
      <c r="I179" s="310">
        <f t="shared" si="77"/>
        <v>11367.4</v>
      </c>
      <c r="J179" s="310">
        <f t="shared" si="78"/>
        <v>12759.18</v>
      </c>
      <c r="K179" s="310">
        <f t="shared" si="79"/>
        <v>14175.210000000001</v>
      </c>
      <c r="L179" s="310">
        <f t="shared" si="80"/>
        <v>15562.400000000001</v>
      </c>
      <c r="M179" s="310">
        <f t="shared" si="81"/>
        <v>17002.2</v>
      </c>
      <c r="N179" s="310">
        <f t="shared" si="82"/>
        <v>18485.39</v>
      </c>
      <c r="O179" s="310">
        <f t="shared" si="83"/>
        <v>126223.93</v>
      </c>
    </row>
    <row r="180" spans="1:15">
      <c r="A180" s="121">
        <f t="shared" si="55"/>
        <v>180</v>
      </c>
      <c r="B180" s="315" t="s">
        <v>119</v>
      </c>
      <c r="C180" s="310">
        <f t="shared" si="71"/>
        <v>4501.04</v>
      </c>
      <c r="D180" s="310">
        <f t="shared" si="72"/>
        <v>9398.75</v>
      </c>
      <c r="E180" s="310">
        <f t="shared" si="73"/>
        <v>14589.33</v>
      </c>
      <c r="F180" s="310">
        <f t="shared" si="74"/>
        <v>19790.88</v>
      </c>
      <c r="G180" s="310">
        <f t="shared" si="75"/>
        <v>25153.68</v>
      </c>
      <c r="H180" s="310">
        <f t="shared" si="76"/>
        <v>30452.75</v>
      </c>
      <c r="I180" s="310">
        <f t="shared" si="77"/>
        <v>35240.129999999997</v>
      </c>
      <c r="J180" s="310">
        <f t="shared" si="78"/>
        <v>40659.1</v>
      </c>
      <c r="K180" s="310">
        <f t="shared" si="79"/>
        <v>46357.85</v>
      </c>
      <c r="L180" s="310">
        <f t="shared" si="80"/>
        <v>51839.15</v>
      </c>
      <c r="M180" s="310">
        <f t="shared" si="81"/>
        <v>58058.18</v>
      </c>
      <c r="N180" s="310">
        <f t="shared" si="82"/>
        <v>63850.9</v>
      </c>
      <c r="O180" s="310">
        <f t="shared" si="83"/>
        <v>399891.74000000005</v>
      </c>
    </row>
    <row r="181" spans="1:15">
      <c r="A181" s="121">
        <f t="shared" si="55"/>
        <v>181</v>
      </c>
      <c r="B181" s="321" t="s">
        <v>120</v>
      </c>
      <c r="C181" s="319">
        <f t="shared" si="71"/>
        <v>3999.57</v>
      </c>
      <c r="D181" s="319">
        <f t="shared" si="72"/>
        <v>8420.43</v>
      </c>
      <c r="E181" s="319">
        <f t="shared" si="73"/>
        <v>12161.59</v>
      </c>
      <c r="F181" s="319">
        <f t="shared" si="74"/>
        <v>16436.46</v>
      </c>
      <c r="G181" s="319">
        <f t="shared" si="75"/>
        <v>20420.14</v>
      </c>
      <c r="H181" s="319">
        <f t="shared" si="76"/>
        <v>24362.02</v>
      </c>
      <c r="I181" s="319">
        <f t="shared" si="77"/>
        <v>27736.91</v>
      </c>
      <c r="J181" s="319">
        <f t="shared" si="78"/>
        <v>31063.79</v>
      </c>
      <c r="K181" s="319">
        <f t="shared" si="79"/>
        <v>35023.11</v>
      </c>
      <c r="L181" s="319">
        <f t="shared" si="80"/>
        <v>38699.61</v>
      </c>
      <c r="M181" s="319">
        <f t="shared" si="81"/>
        <v>42868.95</v>
      </c>
      <c r="N181" s="319">
        <f t="shared" si="82"/>
        <v>46889.649999999994</v>
      </c>
      <c r="O181" s="319">
        <f t="shared" si="83"/>
        <v>308082.23</v>
      </c>
    </row>
    <row r="182" spans="1:15">
      <c r="A182" s="121">
        <f t="shared" si="55"/>
        <v>182</v>
      </c>
      <c r="B182" s="322" t="s">
        <v>202</v>
      </c>
      <c r="C182" s="310">
        <f t="shared" ref="C182:N182" si="84">SUM(C175:C181)</f>
        <v>11479.960000000001</v>
      </c>
      <c r="D182" s="310">
        <f t="shared" si="84"/>
        <v>27305.06</v>
      </c>
      <c r="E182" s="310">
        <f t="shared" si="84"/>
        <v>35084.160000000003</v>
      </c>
      <c r="F182" s="310">
        <f t="shared" si="84"/>
        <v>47365</v>
      </c>
      <c r="G182" s="310">
        <f t="shared" si="84"/>
        <v>59027.58</v>
      </c>
      <c r="H182" s="310">
        <f t="shared" si="84"/>
        <v>70867.790000000008</v>
      </c>
      <c r="I182" s="310">
        <f t="shared" si="84"/>
        <v>81095.25</v>
      </c>
      <c r="J182" s="310">
        <f t="shared" si="84"/>
        <v>92072.45</v>
      </c>
      <c r="K182" s="310">
        <f t="shared" si="84"/>
        <v>103761.66</v>
      </c>
      <c r="L182" s="310">
        <f t="shared" si="84"/>
        <v>114954.75</v>
      </c>
      <c r="M182" s="310">
        <f t="shared" si="84"/>
        <v>127564.8</v>
      </c>
      <c r="N182" s="310">
        <f t="shared" si="84"/>
        <v>139681.18</v>
      </c>
      <c r="O182" s="310">
        <f t="shared" si="83"/>
        <v>910259.64000000013</v>
      </c>
    </row>
    <row r="183" spans="1:15">
      <c r="A183" s="121">
        <f t="shared" si="55"/>
        <v>183</v>
      </c>
      <c r="B183" s="320" t="s">
        <v>203</v>
      </c>
    </row>
    <row r="184" spans="1:15">
      <c r="A184" s="121">
        <f t="shared" si="55"/>
        <v>184</v>
      </c>
      <c r="B184" s="127" t="s">
        <v>204</v>
      </c>
      <c r="C184" s="310">
        <f t="shared" ref="C184:C192" si="85">+C73</f>
        <v>55742</v>
      </c>
      <c r="D184" s="310">
        <f t="shared" ref="D184:D192" si="86">SUM(C73:D73)</f>
        <v>129331</v>
      </c>
      <c r="E184" s="310">
        <f t="shared" ref="E184:E192" si="87">SUM(C73:E73)</f>
        <v>241074.11</v>
      </c>
      <c r="F184" s="310">
        <f t="shared" ref="F184:F192" si="88">SUM(C73:F73)</f>
        <v>429515.31999999995</v>
      </c>
      <c r="G184" s="310">
        <f t="shared" ref="G184:G192" si="89">SUM(C73:G73)</f>
        <v>559585.67999999993</v>
      </c>
      <c r="H184" s="310">
        <f t="shared" ref="H184:H192" si="90">SUM(C73:H73)</f>
        <v>650045.23</v>
      </c>
      <c r="I184" s="310">
        <f t="shared" ref="I184:I192" si="91">SUM(C73:I73)</f>
        <v>768219.61</v>
      </c>
      <c r="J184" s="310">
        <f t="shared" ref="J184:J192" si="92">SUM(C73:J73)</f>
        <v>890445.61</v>
      </c>
      <c r="K184" s="310">
        <f t="shared" ref="K184:K192" si="93">SUM(C73:K73)</f>
        <v>905992.16</v>
      </c>
      <c r="L184" s="310">
        <f t="shared" ref="L184:L192" si="94">SUM(C73:L73)</f>
        <v>1030780.75</v>
      </c>
      <c r="M184" s="310">
        <f t="shared" ref="M184:M192" si="95">SUM(C73:M73)</f>
        <v>1087318.8799999999</v>
      </c>
      <c r="N184" s="310">
        <f t="shared" ref="N184:N192" si="96">SUM(C73:N73)</f>
        <v>1131548.8799999999</v>
      </c>
      <c r="O184" s="310">
        <f t="shared" ref="O184:O193" si="97">SUM(C184:N184)</f>
        <v>7879599.2299999995</v>
      </c>
    </row>
    <row r="185" spans="1:15">
      <c r="A185" s="121">
        <f t="shared" si="55"/>
        <v>185</v>
      </c>
      <c r="B185" s="127" t="s">
        <v>206</v>
      </c>
      <c r="C185" s="310">
        <f t="shared" si="85"/>
        <v>27410.71</v>
      </c>
      <c r="D185" s="310">
        <f t="shared" si="86"/>
        <v>45291.47</v>
      </c>
      <c r="E185" s="310">
        <f t="shared" si="87"/>
        <v>63876.2</v>
      </c>
      <c r="F185" s="310">
        <f t="shared" si="88"/>
        <v>78767.62</v>
      </c>
      <c r="G185" s="310">
        <f t="shared" si="89"/>
        <v>91607.22</v>
      </c>
      <c r="H185" s="310">
        <f t="shared" si="90"/>
        <v>103171.69</v>
      </c>
      <c r="I185" s="310">
        <f t="shared" si="91"/>
        <v>114117.25</v>
      </c>
      <c r="J185" s="310">
        <f t="shared" si="92"/>
        <v>124243.25</v>
      </c>
      <c r="K185" s="310">
        <f t="shared" si="93"/>
        <v>134282.64000000001</v>
      </c>
      <c r="L185" s="310">
        <f t="shared" si="94"/>
        <v>145905.47</v>
      </c>
      <c r="M185" s="310">
        <f t="shared" si="95"/>
        <v>166490.22</v>
      </c>
      <c r="N185" s="310">
        <f t="shared" si="96"/>
        <v>192044.24</v>
      </c>
      <c r="O185" s="310">
        <f t="shared" si="97"/>
        <v>1287207.98</v>
      </c>
    </row>
    <row r="186" spans="1:15">
      <c r="A186" s="121">
        <f t="shared" si="55"/>
        <v>186</v>
      </c>
      <c r="B186" s="127" t="s">
        <v>207</v>
      </c>
      <c r="C186" s="310">
        <f t="shared" si="85"/>
        <v>1790551.65</v>
      </c>
      <c r="D186" s="310">
        <f t="shared" si="86"/>
        <v>3366099.4</v>
      </c>
      <c r="E186" s="310">
        <f t="shared" si="87"/>
        <v>5154960.16</v>
      </c>
      <c r="F186" s="310">
        <f>SUM(C75:F75)</f>
        <v>5618569.9699999997</v>
      </c>
      <c r="G186" s="310">
        <f t="shared" si="89"/>
        <v>6986000.46</v>
      </c>
      <c r="H186" s="310">
        <f t="shared" si="90"/>
        <v>8660841.1400000006</v>
      </c>
      <c r="I186" s="310">
        <f t="shared" si="91"/>
        <v>10132490.82</v>
      </c>
      <c r="J186" s="310">
        <f t="shared" si="92"/>
        <v>11926753.82</v>
      </c>
      <c r="K186" s="310">
        <f t="shared" si="93"/>
        <v>13606872.140000001</v>
      </c>
      <c r="L186" s="310">
        <f t="shared" si="94"/>
        <v>15319057.200000001</v>
      </c>
      <c r="M186" s="310">
        <f t="shared" si="95"/>
        <v>17057050.940000001</v>
      </c>
      <c r="N186" s="310">
        <f t="shared" si="96"/>
        <v>18792541.020000003</v>
      </c>
      <c r="O186" s="310">
        <f t="shared" si="97"/>
        <v>118411788.72</v>
      </c>
    </row>
    <row r="187" spans="1:15">
      <c r="A187" s="121">
        <f t="shared" si="55"/>
        <v>187</v>
      </c>
      <c r="B187" s="127" t="s">
        <v>208</v>
      </c>
      <c r="C187" s="310">
        <f t="shared" si="85"/>
        <v>876340.43</v>
      </c>
      <c r="D187" s="310">
        <f t="shared" si="86"/>
        <v>967660.5</v>
      </c>
      <c r="E187" s="310">
        <f t="shared" si="87"/>
        <v>1717170.05</v>
      </c>
      <c r="F187" s="310">
        <f t="shared" si="88"/>
        <v>2858470.54</v>
      </c>
      <c r="G187" s="310">
        <f t="shared" si="89"/>
        <v>4763830.41</v>
      </c>
      <c r="H187" s="310">
        <f t="shared" si="90"/>
        <v>6658479.96</v>
      </c>
      <c r="I187" s="310">
        <f t="shared" si="91"/>
        <v>8274170.4199999999</v>
      </c>
      <c r="J187" s="310">
        <f t="shared" si="92"/>
        <v>10456940.42</v>
      </c>
      <c r="K187" s="310">
        <f t="shared" si="93"/>
        <v>12523030.449999999</v>
      </c>
      <c r="L187" s="310">
        <f t="shared" si="94"/>
        <v>14461000.049999999</v>
      </c>
      <c r="M187" s="310">
        <f t="shared" si="95"/>
        <v>16140789.569999998</v>
      </c>
      <c r="N187" s="310">
        <f t="shared" si="96"/>
        <v>17840259.129999999</v>
      </c>
      <c r="O187" s="310">
        <f t="shared" si="97"/>
        <v>97538141.929999992</v>
      </c>
    </row>
    <row r="188" spans="1:15">
      <c r="A188" s="121">
        <f t="shared" si="55"/>
        <v>188</v>
      </c>
      <c r="B188" s="127" t="s">
        <v>209</v>
      </c>
      <c r="C188" s="310">
        <f t="shared" si="85"/>
        <v>5699.04</v>
      </c>
      <c r="D188" s="310">
        <f t="shared" si="86"/>
        <v>10152.310000000001</v>
      </c>
      <c r="E188" s="310">
        <f t="shared" si="87"/>
        <v>10345.310000000001</v>
      </c>
      <c r="F188" s="310">
        <f t="shared" si="88"/>
        <v>10345.310000000001</v>
      </c>
      <c r="G188" s="310">
        <f t="shared" si="89"/>
        <v>11629.090000000002</v>
      </c>
      <c r="H188" s="310">
        <f t="shared" si="90"/>
        <v>19492.350000000002</v>
      </c>
      <c r="I188" s="310">
        <f t="shared" si="91"/>
        <v>20599.61</v>
      </c>
      <c r="J188" s="310">
        <f t="shared" si="92"/>
        <v>21625.61</v>
      </c>
      <c r="K188" s="310">
        <f t="shared" si="93"/>
        <v>21625.61</v>
      </c>
      <c r="L188" s="310">
        <f t="shared" si="94"/>
        <v>21625.61</v>
      </c>
      <c r="M188" s="310">
        <f t="shared" si="95"/>
        <v>21625.61</v>
      </c>
      <c r="N188" s="310">
        <f t="shared" si="96"/>
        <v>21625.61</v>
      </c>
      <c r="O188" s="310">
        <f t="shared" si="97"/>
        <v>196391.06999999995</v>
      </c>
    </row>
    <row r="189" spans="1:15">
      <c r="A189" s="121">
        <f t="shared" si="55"/>
        <v>189</v>
      </c>
      <c r="B189" s="127" t="s">
        <v>210</v>
      </c>
      <c r="C189" s="310">
        <f t="shared" si="85"/>
        <v>1030949.61</v>
      </c>
      <c r="D189" s="310">
        <f t="shared" si="86"/>
        <v>1734386.0899999999</v>
      </c>
      <c r="E189" s="310">
        <f t="shared" si="87"/>
        <v>2686443.05</v>
      </c>
      <c r="F189" s="310">
        <f t="shared" si="88"/>
        <v>3480983.11</v>
      </c>
      <c r="G189" s="310">
        <f t="shared" si="89"/>
        <v>4377065.96</v>
      </c>
      <c r="H189" s="310">
        <f t="shared" si="90"/>
        <v>5213424.9399999995</v>
      </c>
      <c r="I189" s="310">
        <f t="shared" si="91"/>
        <v>6027018.4799999995</v>
      </c>
      <c r="J189" s="310">
        <f t="shared" si="92"/>
        <v>7009074.4799999995</v>
      </c>
      <c r="K189" s="310">
        <f t="shared" si="93"/>
        <v>7970975.9499999993</v>
      </c>
      <c r="L189" s="310">
        <f t="shared" si="94"/>
        <v>8995130.9699999988</v>
      </c>
      <c r="M189" s="310">
        <f t="shared" si="95"/>
        <v>9898799.8699999992</v>
      </c>
      <c r="N189" s="310">
        <f t="shared" si="96"/>
        <v>10874342.619999999</v>
      </c>
      <c r="O189" s="310">
        <f>SUM(C189:N189)</f>
        <v>69298595.129999995</v>
      </c>
    </row>
    <row r="190" spans="1:15">
      <c r="A190" s="121">
        <f t="shared" si="55"/>
        <v>190</v>
      </c>
      <c r="B190" s="127" t="s">
        <v>211</v>
      </c>
      <c r="C190" s="310">
        <f t="shared" si="85"/>
        <v>550103.87</v>
      </c>
      <c r="D190" s="310">
        <f t="shared" si="86"/>
        <v>907683.40999999992</v>
      </c>
      <c r="E190" s="310">
        <f t="shared" si="87"/>
        <v>1597697.0699999998</v>
      </c>
      <c r="F190" s="310">
        <f t="shared" si="88"/>
        <v>2227378.2699999996</v>
      </c>
      <c r="G190" s="310">
        <f t="shared" si="89"/>
        <v>2775070.4899999993</v>
      </c>
      <c r="H190" s="310">
        <f t="shared" si="90"/>
        <v>2846307.0399999991</v>
      </c>
      <c r="I190" s="310">
        <f t="shared" si="91"/>
        <v>2918074.939999999</v>
      </c>
      <c r="J190" s="310">
        <f t="shared" si="92"/>
        <v>2997635.939999999</v>
      </c>
      <c r="K190" s="310">
        <f t="shared" si="93"/>
        <v>3084773.5099999988</v>
      </c>
      <c r="L190" s="310">
        <f t="shared" si="94"/>
        <v>3182652.4799999991</v>
      </c>
      <c r="M190" s="310">
        <f t="shared" si="95"/>
        <v>3212989.0999999992</v>
      </c>
      <c r="N190" s="310">
        <f t="shared" si="96"/>
        <v>3730104.5599999991</v>
      </c>
      <c r="O190" s="310">
        <f t="shared" si="97"/>
        <v>30030470.679999992</v>
      </c>
    </row>
    <row r="191" spans="1:15">
      <c r="A191" s="121">
        <f t="shared" si="55"/>
        <v>191</v>
      </c>
      <c r="B191" s="127" t="s">
        <v>212</v>
      </c>
      <c r="C191" s="310">
        <f t="shared" si="85"/>
        <v>0</v>
      </c>
      <c r="D191" s="310">
        <f t="shared" si="86"/>
        <v>0</v>
      </c>
      <c r="E191" s="310">
        <f t="shared" si="87"/>
        <v>0</v>
      </c>
      <c r="F191" s="310">
        <f t="shared" si="88"/>
        <v>0</v>
      </c>
      <c r="G191" s="310">
        <f t="shared" si="89"/>
        <v>0</v>
      </c>
      <c r="H191" s="310">
        <f t="shared" si="90"/>
        <v>0</v>
      </c>
      <c r="I191" s="310">
        <f t="shared" si="91"/>
        <v>0</v>
      </c>
      <c r="J191" s="310">
        <f t="shared" si="92"/>
        <v>0</v>
      </c>
      <c r="K191" s="310">
        <f t="shared" si="93"/>
        <v>0</v>
      </c>
      <c r="L191" s="310">
        <f t="shared" si="94"/>
        <v>0</v>
      </c>
      <c r="M191" s="310">
        <f t="shared" si="95"/>
        <v>0</v>
      </c>
      <c r="N191" s="310">
        <f t="shared" si="96"/>
        <v>0</v>
      </c>
      <c r="O191" s="310">
        <f t="shared" si="97"/>
        <v>0</v>
      </c>
    </row>
    <row r="192" spans="1:15">
      <c r="A192" s="121">
        <f t="shared" si="55"/>
        <v>192</v>
      </c>
      <c r="B192" s="323" t="s">
        <v>214</v>
      </c>
      <c r="C192" s="319">
        <f t="shared" si="85"/>
        <v>2977320.32</v>
      </c>
      <c r="D192" s="319">
        <f t="shared" si="86"/>
        <v>5789926.9699999997</v>
      </c>
      <c r="E192" s="319">
        <f t="shared" si="87"/>
        <v>8370150.2599999998</v>
      </c>
      <c r="F192" s="319">
        <f t="shared" si="88"/>
        <v>11483815.050000001</v>
      </c>
      <c r="G192" s="319">
        <f t="shared" si="89"/>
        <v>14681522.200000001</v>
      </c>
      <c r="H192" s="319">
        <f t="shared" si="90"/>
        <v>17855707.800000001</v>
      </c>
      <c r="I192" s="319">
        <f t="shared" si="91"/>
        <v>21083497.560000002</v>
      </c>
      <c r="J192" s="319">
        <f t="shared" si="92"/>
        <v>24458319.560000002</v>
      </c>
      <c r="K192" s="319">
        <f t="shared" si="93"/>
        <v>26286055.790000003</v>
      </c>
      <c r="L192" s="319">
        <f t="shared" si="94"/>
        <v>28681850.870000005</v>
      </c>
      <c r="M192" s="319">
        <f t="shared" si="95"/>
        <v>31596767.940000005</v>
      </c>
      <c r="N192" s="319">
        <f t="shared" si="96"/>
        <v>34790088.380000003</v>
      </c>
      <c r="O192" s="319">
        <f t="shared" si="97"/>
        <v>228055022.69999999</v>
      </c>
    </row>
    <row r="193" spans="1:15">
      <c r="A193" s="121">
        <f t="shared" si="55"/>
        <v>193</v>
      </c>
      <c r="B193" s="322" t="s">
        <v>221</v>
      </c>
      <c r="C193" s="310">
        <f>SUM(C184:C192)</f>
        <v>7314117.629999999</v>
      </c>
      <c r="D193" s="310">
        <f t="shared" ref="D193:N193" si="98">SUM(D184:D192)</f>
        <v>12950531.149999999</v>
      </c>
      <c r="E193" s="310">
        <f t="shared" si="98"/>
        <v>19841716.210000001</v>
      </c>
      <c r="F193" s="310">
        <f t="shared" si="98"/>
        <v>26187845.189999998</v>
      </c>
      <c r="G193" s="310">
        <f t="shared" si="98"/>
        <v>34246311.509999998</v>
      </c>
      <c r="H193" s="310">
        <f t="shared" si="98"/>
        <v>42007470.149999999</v>
      </c>
      <c r="I193" s="310">
        <f t="shared" si="98"/>
        <v>49338188.689999998</v>
      </c>
      <c r="J193" s="310">
        <f t="shared" si="98"/>
        <v>57885038.689999998</v>
      </c>
      <c r="K193" s="310">
        <f t="shared" si="98"/>
        <v>64533608.25</v>
      </c>
      <c r="L193" s="310">
        <f t="shared" si="98"/>
        <v>71838003.400000006</v>
      </c>
      <c r="M193" s="310">
        <f t="shared" si="98"/>
        <v>79181832.129999995</v>
      </c>
      <c r="N193" s="310">
        <f t="shared" si="98"/>
        <v>87372554.439999998</v>
      </c>
      <c r="O193" s="310">
        <f t="shared" si="97"/>
        <v>552697217.44000006</v>
      </c>
    </row>
    <row r="194" spans="1:15">
      <c r="A194" s="121">
        <f t="shared" si="55"/>
        <v>194</v>
      </c>
      <c r="B194" s="320" t="s">
        <v>222</v>
      </c>
    </row>
    <row r="195" spans="1:15">
      <c r="A195" s="121">
        <f t="shared" ref="A195:A217" si="99">+A194+1</f>
        <v>195</v>
      </c>
      <c r="B195" s="323" t="s">
        <v>214</v>
      </c>
      <c r="C195" s="310">
        <f>+C89</f>
        <v>0</v>
      </c>
      <c r="D195" s="310">
        <f>SUM(C89:D89)</f>
        <v>0</v>
      </c>
      <c r="E195" s="310">
        <f>SUM(C89:E89)</f>
        <v>0</v>
      </c>
      <c r="F195" s="310">
        <f>SUM(C89:F89)</f>
        <v>0</v>
      </c>
      <c r="G195" s="310">
        <f>SUM(C89:G89)</f>
        <v>0</v>
      </c>
      <c r="H195" s="310">
        <f>SUM(C89:H89)</f>
        <v>0</v>
      </c>
      <c r="I195" s="310">
        <f>SUM(C89:I89)</f>
        <v>0</v>
      </c>
      <c r="J195" s="310">
        <f>SUM(C89:J89)</f>
        <v>0</v>
      </c>
      <c r="K195" s="310">
        <f>SUM(C89:K89)</f>
        <v>0</v>
      </c>
      <c r="L195" s="310">
        <f>SUM(C89:L89)</f>
        <v>0</v>
      </c>
      <c r="M195" s="310">
        <f>SUM(C89:M89)</f>
        <v>0</v>
      </c>
      <c r="N195" s="310">
        <f>SUM(C89:N89)</f>
        <v>0</v>
      </c>
      <c r="O195" s="310">
        <f>SUM(C195:N195)</f>
        <v>0</v>
      </c>
    </row>
    <row r="196" spans="1:15">
      <c r="A196" s="121">
        <f t="shared" si="99"/>
        <v>196</v>
      </c>
      <c r="B196" s="127" t="s">
        <v>223</v>
      </c>
      <c r="C196" s="310">
        <f>+C90</f>
        <v>295458.21999999997</v>
      </c>
      <c r="D196" s="310">
        <f>SUM(C90:D90)</f>
        <v>568917.89999999991</v>
      </c>
      <c r="E196" s="310">
        <f>SUM(C90:E90)</f>
        <v>877341.21</v>
      </c>
      <c r="F196" s="310">
        <f>SUM(C90:F90)</f>
        <v>1177320</v>
      </c>
      <c r="G196" s="310">
        <f>SUM(C90:G90)</f>
        <v>1481023.98</v>
      </c>
      <c r="H196" s="310">
        <f>SUM(C90:H90)</f>
        <v>1778990.7</v>
      </c>
      <c r="I196" s="310">
        <f>SUM(C90:I90)</f>
        <v>2068036.1099999999</v>
      </c>
      <c r="J196" s="310">
        <f>SUM(C90:J90)</f>
        <v>2343022.11</v>
      </c>
      <c r="K196" s="310">
        <f>SUM(C90:K90)</f>
        <v>2592150.34</v>
      </c>
      <c r="L196" s="310">
        <f>SUM(C90:L90)</f>
        <v>2849825.56</v>
      </c>
      <c r="M196" s="310">
        <f>SUM(C90:M90)</f>
        <v>3105995.99</v>
      </c>
      <c r="N196" s="310">
        <f>SUM(C90:N90)</f>
        <v>3386013.3600000003</v>
      </c>
      <c r="O196" s="310">
        <f>SUM(C196:N196)</f>
        <v>22524095.48</v>
      </c>
    </row>
    <row r="197" spans="1:15">
      <c r="A197" s="121">
        <f t="shared" si="99"/>
        <v>197</v>
      </c>
      <c r="B197" s="127" t="s">
        <v>224</v>
      </c>
      <c r="C197" s="310">
        <f>+C91</f>
        <v>1543268.98</v>
      </c>
      <c r="D197" s="310">
        <f>SUM(C91:D91)</f>
        <v>2556537.2199999997</v>
      </c>
      <c r="E197" s="310">
        <f>SUM(C91:E91)</f>
        <v>4293020.0199999996</v>
      </c>
      <c r="F197" s="310">
        <f>SUM(C91:F91)</f>
        <v>5964768.1599999992</v>
      </c>
      <c r="G197" s="310">
        <f>SUM(C91:G91)</f>
        <v>7652062.0799999991</v>
      </c>
      <c r="H197" s="310">
        <f>SUM(C91:H91)</f>
        <v>9261908.7299999986</v>
      </c>
      <c r="I197" s="310">
        <f>SUM(C91:I91)</f>
        <v>10911188.569999998</v>
      </c>
      <c r="J197" s="310">
        <f>SUM(C91:J91)</f>
        <v>12445721.049999999</v>
      </c>
      <c r="K197" s="310">
        <f>SUM(C91:K91)</f>
        <v>13918315.479999999</v>
      </c>
      <c r="L197" s="310">
        <f>SUM(C91:L91)</f>
        <v>15596063.479999999</v>
      </c>
      <c r="M197" s="310">
        <f>SUM(C91:M91)</f>
        <v>17242371.919999998</v>
      </c>
      <c r="N197" s="310">
        <f>SUM(C91:N91)</f>
        <v>18911019.639999997</v>
      </c>
      <c r="O197" s="310">
        <f>SUM(C197:N197)</f>
        <v>120296245.33</v>
      </c>
    </row>
    <row r="198" spans="1:15">
      <c r="A198" s="121">
        <f t="shared" si="99"/>
        <v>198</v>
      </c>
      <c r="B198" s="127"/>
      <c r="C198" s="310"/>
      <c r="D198" s="310"/>
      <c r="E198" s="310"/>
      <c r="F198" s="310"/>
      <c r="G198" s="310"/>
      <c r="H198" s="310"/>
      <c r="I198" s="310"/>
      <c r="J198" s="310"/>
      <c r="K198" s="310"/>
      <c r="L198" s="310"/>
      <c r="M198" s="310"/>
      <c r="N198" s="310"/>
      <c r="O198" s="310"/>
    </row>
    <row r="199" spans="1:15">
      <c r="A199" s="121">
        <f t="shared" si="99"/>
        <v>199</v>
      </c>
      <c r="B199" s="322" t="s">
        <v>226</v>
      </c>
      <c r="C199" s="317">
        <f>SUM(C195:C197)</f>
        <v>1838727.2</v>
      </c>
      <c r="D199" s="317">
        <f t="shared" ref="D199:N199" si="100">SUM(D195:D197)</f>
        <v>3125455.1199999996</v>
      </c>
      <c r="E199" s="317">
        <f t="shared" si="100"/>
        <v>5170361.2299999995</v>
      </c>
      <c r="F199" s="317">
        <f t="shared" si="100"/>
        <v>7142088.1599999992</v>
      </c>
      <c r="G199" s="317">
        <f t="shared" si="100"/>
        <v>9133086.0599999987</v>
      </c>
      <c r="H199" s="317">
        <f t="shared" si="100"/>
        <v>11040899.429999998</v>
      </c>
      <c r="I199" s="317">
        <f t="shared" si="100"/>
        <v>12979224.679999998</v>
      </c>
      <c r="J199" s="317">
        <f t="shared" si="100"/>
        <v>14788743.159999998</v>
      </c>
      <c r="K199" s="317">
        <f t="shared" si="100"/>
        <v>16510465.819999998</v>
      </c>
      <c r="L199" s="317">
        <f t="shared" si="100"/>
        <v>18445889.039999999</v>
      </c>
      <c r="M199" s="317">
        <f t="shared" si="100"/>
        <v>20348367.909999996</v>
      </c>
      <c r="N199" s="317">
        <f t="shared" si="100"/>
        <v>22297032.999999996</v>
      </c>
      <c r="O199" s="317">
        <f>SUM(O195:O197)</f>
        <v>142820340.81</v>
      </c>
    </row>
    <row r="200" spans="1:15">
      <c r="A200" s="121">
        <f t="shared" si="99"/>
        <v>200</v>
      </c>
      <c r="B200" s="320"/>
    </row>
    <row r="201" spans="1:15">
      <c r="A201" s="121">
        <f t="shared" si="99"/>
        <v>201</v>
      </c>
      <c r="B201" s="127"/>
      <c r="C201" s="310">
        <f>+C95</f>
        <v>0</v>
      </c>
      <c r="D201" s="310">
        <f>SUM(C95:D95)</f>
        <v>0</v>
      </c>
      <c r="E201" s="310">
        <f>SUM(C95:E95)</f>
        <v>0</v>
      </c>
      <c r="F201" s="310">
        <f>SUM(C95:F95)</f>
        <v>0</v>
      </c>
      <c r="G201" s="310">
        <f>SUM(C95:G95)</f>
        <v>0</v>
      </c>
      <c r="H201" s="310">
        <f>SUM(C95:H95)</f>
        <v>0</v>
      </c>
      <c r="I201" s="310">
        <f>SUM(C95:I95)</f>
        <v>0</v>
      </c>
      <c r="J201" s="310">
        <f>SUM(C95:J95)</f>
        <v>0</v>
      </c>
      <c r="K201" s="310">
        <f>SUM(C95:K95)</f>
        <v>0</v>
      </c>
      <c r="L201" s="310">
        <f>SUM(C95:L95)</f>
        <v>0</v>
      </c>
      <c r="M201" s="310">
        <f>SUM(C95:M95)</f>
        <v>0</v>
      </c>
      <c r="N201" s="310">
        <f>SUM(C95:N95)</f>
        <v>0</v>
      </c>
      <c r="O201" s="310">
        <f>SUM(C201:N201)</f>
        <v>0</v>
      </c>
    </row>
    <row r="202" spans="1:15">
      <c r="A202" s="121">
        <f t="shared" si="99"/>
        <v>202</v>
      </c>
      <c r="B202" s="127" t="s">
        <v>207</v>
      </c>
      <c r="C202" s="319">
        <f>+C96</f>
        <v>0</v>
      </c>
      <c r="D202" s="319">
        <f>SUM(C96:D96)</f>
        <v>0</v>
      </c>
      <c r="E202" s="319">
        <f>SUM(C96:E96)</f>
        <v>0</v>
      </c>
      <c r="F202" s="319">
        <f>SUM(C96:F96)</f>
        <v>0</v>
      </c>
      <c r="G202" s="319">
        <f>SUM(C96:G96)</f>
        <v>0</v>
      </c>
      <c r="H202" s="319">
        <f>SUM(C96:H96)</f>
        <v>0</v>
      </c>
      <c r="I202" s="319">
        <f>SUM(C96:I96)</f>
        <v>0</v>
      </c>
      <c r="J202" s="319">
        <f>SUM(C96:J96)</f>
        <v>0</v>
      </c>
      <c r="K202" s="319">
        <f>SUM(C96:K96)</f>
        <v>0</v>
      </c>
      <c r="L202" s="319">
        <f>SUM(C96:L96)</f>
        <v>0</v>
      </c>
      <c r="M202" s="319">
        <f>SUM(C96:M96)</f>
        <v>0</v>
      </c>
      <c r="N202" s="319">
        <f>SUM(C96:N96)</f>
        <v>0</v>
      </c>
      <c r="O202" s="319">
        <f>SUM(C202:N202)</f>
        <v>0</v>
      </c>
    </row>
    <row r="203" spans="1:15">
      <c r="A203" s="121">
        <f t="shared" si="99"/>
        <v>203</v>
      </c>
      <c r="B203" s="322" t="s">
        <v>228</v>
      </c>
      <c r="C203" s="310">
        <f t="shared" ref="C203:O203" si="101">SUM(C201:C202)</f>
        <v>0</v>
      </c>
      <c r="D203" s="310">
        <f t="shared" si="101"/>
        <v>0</v>
      </c>
      <c r="E203" s="310">
        <f t="shared" si="101"/>
        <v>0</v>
      </c>
      <c r="F203" s="310">
        <f t="shared" si="101"/>
        <v>0</v>
      </c>
      <c r="G203" s="310">
        <f t="shared" si="101"/>
        <v>0</v>
      </c>
      <c r="H203" s="310">
        <f t="shared" si="101"/>
        <v>0</v>
      </c>
      <c r="I203" s="310">
        <f t="shared" si="101"/>
        <v>0</v>
      </c>
      <c r="J203" s="310">
        <f t="shared" si="101"/>
        <v>0</v>
      </c>
      <c r="K203" s="310">
        <f t="shared" si="101"/>
        <v>0</v>
      </c>
      <c r="L203" s="310">
        <f t="shared" si="101"/>
        <v>0</v>
      </c>
      <c r="M203" s="310">
        <f t="shared" si="101"/>
        <v>0</v>
      </c>
      <c r="N203" s="310">
        <f t="shared" si="101"/>
        <v>0</v>
      </c>
      <c r="O203" s="310">
        <f t="shared" si="101"/>
        <v>0</v>
      </c>
    </row>
    <row r="204" spans="1:15">
      <c r="A204" s="121">
        <f t="shared" si="99"/>
        <v>204</v>
      </c>
      <c r="B204" s="322"/>
    </row>
    <row r="205" spans="1:15">
      <c r="A205" s="121">
        <f t="shared" si="99"/>
        <v>205</v>
      </c>
      <c r="B205" s="324" t="s">
        <v>229</v>
      </c>
      <c r="C205" s="325">
        <f t="shared" ref="C205:O205" si="102">+C126+C135+C173+C182+C193+C199+C203</f>
        <v>14021199.169999998</v>
      </c>
      <c r="D205" s="325">
        <f t="shared" si="102"/>
        <v>25321872</v>
      </c>
      <c r="E205" s="325">
        <f t="shared" si="102"/>
        <v>38828433.740000002</v>
      </c>
      <c r="F205" s="325">
        <f t="shared" si="102"/>
        <v>51524393.609999985</v>
      </c>
      <c r="G205" s="325">
        <f t="shared" si="102"/>
        <v>65954847.559999987</v>
      </c>
      <c r="H205" s="325">
        <f t="shared" si="102"/>
        <v>79723404.62999998</v>
      </c>
      <c r="I205" s="325">
        <f t="shared" si="102"/>
        <v>93029650.569999978</v>
      </c>
      <c r="J205" s="325">
        <f t="shared" si="102"/>
        <v>107358010.73999998</v>
      </c>
      <c r="K205" s="325">
        <f t="shared" si="102"/>
        <v>119295843.93999997</v>
      </c>
      <c r="L205" s="325">
        <f t="shared" si="102"/>
        <v>132442772.19999999</v>
      </c>
      <c r="M205" s="325">
        <f t="shared" si="102"/>
        <v>145866490.86999995</v>
      </c>
      <c r="N205" s="325">
        <f t="shared" si="102"/>
        <v>160425882.67999998</v>
      </c>
      <c r="O205" s="326">
        <f t="shared" si="102"/>
        <v>1033792801.71</v>
      </c>
    </row>
    <row r="206" spans="1:15">
      <c r="A206" s="121">
        <f t="shared" si="99"/>
        <v>206</v>
      </c>
      <c r="B206" s="327" t="s">
        <v>230</v>
      </c>
    </row>
    <row r="207" spans="1:15">
      <c r="A207" s="121">
        <f t="shared" si="99"/>
        <v>207</v>
      </c>
      <c r="B207" s="127" t="s">
        <v>232</v>
      </c>
      <c r="C207" s="310">
        <f>+C102</f>
        <v>347297.94</v>
      </c>
      <c r="D207" s="310">
        <f>SUM(C102:D102)</f>
        <v>740354.45</v>
      </c>
      <c r="E207" s="310">
        <f>SUM(C102:E102)</f>
        <v>1223906.19</v>
      </c>
      <c r="F207" s="310">
        <f>SUM(C102:F102)</f>
        <v>1578255.3399999999</v>
      </c>
      <c r="G207" s="310">
        <f>SUM(C102:G102)</f>
        <v>2035510.18</v>
      </c>
      <c r="H207" s="310">
        <f>SUM(C102:H102)</f>
        <v>2486896.89</v>
      </c>
      <c r="I207" s="310">
        <f>SUM(C102:I102)</f>
        <v>2933995.37</v>
      </c>
      <c r="J207" s="310">
        <f>SUM(C102:J102)</f>
        <v>3467498.37</v>
      </c>
      <c r="K207" s="310">
        <f>SUM(C102:K102)</f>
        <v>3944188.54</v>
      </c>
      <c r="L207" s="310">
        <f>SUM(C102:L102)</f>
        <v>4403445.95</v>
      </c>
      <c r="M207" s="310">
        <f>SUM(C102:M102)</f>
        <v>4860975.57</v>
      </c>
      <c r="N207" s="310">
        <f>SUM(C102:N102)</f>
        <v>5299684.04</v>
      </c>
      <c r="O207" s="310">
        <f>SUM(C207:N207)</f>
        <v>33322008.829999998</v>
      </c>
    </row>
    <row r="208" spans="1:15">
      <c r="A208" s="121">
        <f t="shared" si="99"/>
        <v>208</v>
      </c>
      <c r="B208" s="128" t="s">
        <v>233</v>
      </c>
      <c r="C208" s="319">
        <f>+C103</f>
        <v>132832.29</v>
      </c>
      <c r="D208" s="319">
        <f>SUM(C103:D103)</f>
        <v>195757.89</v>
      </c>
      <c r="E208" s="319">
        <f>SUM(C103:E103)</f>
        <v>303762.85000000003</v>
      </c>
      <c r="F208" s="319">
        <f>SUM(C103:F103)</f>
        <v>352843.88</v>
      </c>
      <c r="G208" s="319">
        <f>SUM(C103:G103)</f>
        <v>358209.3</v>
      </c>
      <c r="H208" s="319">
        <f>SUM(C103:H103)</f>
        <v>366001.76999999996</v>
      </c>
      <c r="I208" s="319">
        <f>SUM(C103:I103)</f>
        <v>376581.66</v>
      </c>
      <c r="J208" s="319">
        <f>SUM(C103:J103)</f>
        <v>383321.66</v>
      </c>
      <c r="K208" s="319">
        <f>SUM(C103:K103)</f>
        <v>388489.49</v>
      </c>
      <c r="L208" s="319">
        <f>SUM(C103:L103)</f>
        <v>408939.02</v>
      </c>
      <c r="M208" s="319">
        <f>SUM(C103:M103)</f>
        <v>522901.02</v>
      </c>
      <c r="N208" s="319">
        <f>SUM(C103:N103)</f>
        <v>650413.94999999995</v>
      </c>
      <c r="O208" s="319">
        <f>SUM(C208:N208)</f>
        <v>4440054.78</v>
      </c>
    </row>
    <row r="209" spans="1:15">
      <c r="A209" s="121">
        <f t="shared" si="99"/>
        <v>209</v>
      </c>
      <c r="B209" s="322" t="s">
        <v>234</v>
      </c>
      <c r="C209" s="310">
        <f t="shared" ref="C209:N209" si="103">SUM(C207:C208)</f>
        <v>480130.23</v>
      </c>
      <c r="D209" s="310">
        <f t="shared" si="103"/>
        <v>936112.34</v>
      </c>
      <c r="E209" s="310">
        <f t="shared" si="103"/>
        <v>1527669.04</v>
      </c>
      <c r="F209" s="310">
        <f t="shared" si="103"/>
        <v>1931099.2199999997</v>
      </c>
      <c r="G209" s="310">
        <f t="shared" si="103"/>
        <v>2393719.48</v>
      </c>
      <c r="H209" s="310">
        <f t="shared" si="103"/>
        <v>2852898.66</v>
      </c>
      <c r="I209" s="310">
        <f t="shared" si="103"/>
        <v>3310577.0300000003</v>
      </c>
      <c r="J209" s="310">
        <f t="shared" si="103"/>
        <v>3850820.0300000003</v>
      </c>
      <c r="K209" s="310">
        <f t="shared" si="103"/>
        <v>4332678.03</v>
      </c>
      <c r="L209" s="310">
        <f t="shared" si="103"/>
        <v>4812384.9700000007</v>
      </c>
      <c r="M209" s="310">
        <f t="shared" si="103"/>
        <v>5383876.5899999999</v>
      </c>
      <c r="N209" s="310">
        <f t="shared" si="103"/>
        <v>5950097.9900000002</v>
      </c>
      <c r="O209" s="310">
        <f>SUM(C209:N209)</f>
        <v>37762063.609999999</v>
      </c>
    </row>
    <row r="210" spans="1:15">
      <c r="A210" s="121">
        <f t="shared" si="99"/>
        <v>210</v>
      </c>
      <c r="B210" s="320" t="s">
        <v>235</v>
      </c>
    </row>
    <row r="211" spans="1:15">
      <c r="A211" s="121">
        <f t="shared" si="99"/>
        <v>211</v>
      </c>
      <c r="B211" s="127" t="s">
        <v>237</v>
      </c>
      <c r="C211" s="310">
        <f>+C107</f>
        <v>1229779.92</v>
      </c>
      <c r="D211" s="310">
        <f>SUM(C107:D107)</f>
        <v>2374049.83</v>
      </c>
      <c r="E211" s="310">
        <f>SUM(C107:E107)</f>
        <v>3594369.54</v>
      </c>
      <c r="F211" s="310">
        <f>SUM(C107:F107)</f>
        <v>4113108.69</v>
      </c>
      <c r="G211" s="310">
        <f>SUM(C107:G107)</f>
        <v>5227569.05</v>
      </c>
      <c r="H211" s="310">
        <f>SUM(C107:H107)</f>
        <v>6653489.2599999998</v>
      </c>
      <c r="I211" s="310">
        <f>SUM(C107:I107)</f>
        <v>8125139.2599999998</v>
      </c>
      <c r="J211" s="310">
        <f>SUM(C107:J107)</f>
        <v>9622529.2599999998</v>
      </c>
      <c r="K211" s="310">
        <f>SUM(C107:K107)</f>
        <v>11053269.209999999</v>
      </c>
      <c r="L211" s="310">
        <f>SUM(C107:L107)</f>
        <v>12456749.649999999</v>
      </c>
      <c r="M211" s="310">
        <f>SUM(C107:M107)</f>
        <v>13798539.929999998</v>
      </c>
      <c r="N211" s="310">
        <f>SUM(C107:N107)</f>
        <v>15033019.519999998</v>
      </c>
      <c r="O211" s="310">
        <f>SUM(C211:N211)</f>
        <v>93281613.11999999</v>
      </c>
    </row>
    <row r="212" spans="1:15">
      <c r="A212" s="121">
        <f t="shared" si="99"/>
        <v>212</v>
      </c>
      <c r="B212" s="128" t="s">
        <v>238</v>
      </c>
      <c r="C212" s="319">
        <f>+C108</f>
        <v>2506750.41</v>
      </c>
      <c r="D212" s="319">
        <f>SUM(C108:D108)</f>
        <v>4050610.67</v>
      </c>
      <c r="E212" s="319">
        <f>SUM(C108:E108)</f>
        <v>5830800.8099999996</v>
      </c>
      <c r="F212" s="319">
        <f>SUM(C108:F108)</f>
        <v>8247530.879999999</v>
      </c>
      <c r="G212" s="319">
        <f>SUM(C108:G108)</f>
        <v>10602410.759999998</v>
      </c>
      <c r="H212" s="319">
        <f>SUM(C108:H108)</f>
        <v>11214300.319999998</v>
      </c>
      <c r="I212" s="319">
        <f>SUM(C108:I108)</f>
        <v>11533970.319999998</v>
      </c>
      <c r="J212" s="319">
        <f>SUM(C108:J108)</f>
        <v>11869280.319999998</v>
      </c>
      <c r="K212" s="319">
        <f>SUM(C108:K108)</f>
        <v>12270490.009999998</v>
      </c>
      <c r="L212" s="319">
        <f>SUM(C108:L108)</f>
        <v>12581360.499999998</v>
      </c>
      <c r="M212" s="319">
        <f>SUM(C108:M108)</f>
        <v>12919480.869999997</v>
      </c>
      <c r="N212" s="319">
        <f>SUM(C108:N108)</f>
        <v>15042550.879999997</v>
      </c>
      <c r="O212" s="319">
        <f>SUM(C212:N212)</f>
        <v>118669536.75</v>
      </c>
    </row>
    <row r="213" spans="1:15">
      <c r="A213" s="121">
        <f t="shared" si="99"/>
        <v>213</v>
      </c>
      <c r="B213" s="322" t="s">
        <v>239</v>
      </c>
      <c r="C213" s="310">
        <f t="shared" ref="C213:N213" si="104">SUM(C211:C212)</f>
        <v>3736530.33</v>
      </c>
      <c r="D213" s="310">
        <f t="shared" si="104"/>
        <v>6424660.5</v>
      </c>
      <c r="E213" s="310">
        <f t="shared" si="104"/>
        <v>9425170.3499999996</v>
      </c>
      <c r="F213" s="310">
        <f t="shared" si="104"/>
        <v>12360639.569999998</v>
      </c>
      <c r="G213" s="310">
        <f t="shared" si="104"/>
        <v>15829979.809999999</v>
      </c>
      <c r="H213" s="310">
        <f t="shared" si="104"/>
        <v>17867789.579999998</v>
      </c>
      <c r="I213" s="310">
        <f t="shared" si="104"/>
        <v>19659109.579999998</v>
      </c>
      <c r="J213" s="310">
        <f t="shared" si="104"/>
        <v>21491809.579999998</v>
      </c>
      <c r="K213" s="310">
        <f t="shared" si="104"/>
        <v>23323759.219999999</v>
      </c>
      <c r="L213" s="310">
        <f t="shared" si="104"/>
        <v>25038110.149999999</v>
      </c>
      <c r="M213" s="310">
        <f t="shared" si="104"/>
        <v>26718020.799999997</v>
      </c>
      <c r="N213" s="310">
        <f t="shared" si="104"/>
        <v>30075570.399999995</v>
      </c>
      <c r="O213" s="310">
        <f>SUM(C213:N213)</f>
        <v>211951149.86999997</v>
      </c>
    </row>
    <row r="214" spans="1:15">
      <c r="A214" s="121">
        <f t="shared" si="99"/>
        <v>214</v>
      </c>
      <c r="B214" s="322"/>
    </row>
    <row r="215" spans="1:15">
      <c r="A215" s="121">
        <f t="shared" si="99"/>
        <v>215</v>
      </c>
      <c r="B215" s="324" t="s">
        <v>240</v>
      </c>
      <c r="C215" s="325">
        <f t="shared" ref="C215:O215" si="105">+C209+C213</f>
        <v>4216660.5600000005</v>
      </c>
      <c r="D215" s="325">
        <f t="shared" si="105"/>
        <v>7360772.8399999999</v>
      </c>
      <c r="E215" s="325">
        <f t="shared" si="105"/>
        <v>10952839.390000001</v>
      </c>
      <c r="F215" s="325">
        <f t="shared" si="105"/>
        <v>14291738.789999999</v>
      </c>
      <c r="G215" s="325">
        <f t="shared" si="105"/>
        <v>18223699.289999999</v>
      </c>
      <c r="H215" s="325">
        <f t="shared" si="105"/>
        <v>20720688.239999998</v>
      </c>
      <c r="I215" s="325">
        <f t="shared" si="105"/>
        <v>22969686.609999999</v>
      </c>
      <c r="J215" s="325">
        <f t="shared" si="105"/>
        <v>25342629.609999999</v>
      </c>
      <c r="K215" s="325">
        <f t="shared" si="105"/>
        <v>27656437.25</v>
      </c>
      <c r="L215" s="325">
        <f t="shared" si="105"/>
        <v>29850495.119999997</v>
      </c>
      <c r="M215" s="325">
        <f t="shared" si="105"/>
        <v>32101897.389999997</v>
      </c>
      <c r="N215" s="325">
        <f t="shared" si="105"/>
        <v>36025668.389999993</v>
      </c>
      <c r="O215" s="326">
        <f t="shared" si="105"/>
        <v>249713213.47999996</v>
      </c>
    </row>
    <row r="216" spans="1:15">
      <c r="A216" s="121">
        <f t="shared" si="99"/>
        <v>216</v>
      </c>
      <c r="B216" s="322"/>
    </row>
    <row r="217" spans="1:15">
      <c r="A217" s="121">
        <f t="shared" si="99"/>
        <v>217</v>
      </c>
      <c r="B217" s="324" t="s">
        <v>241</v>
      </c>
      <c r="C217" s="325">
        <f t="shared" ref="C217:O217" si="106">+C205+C215</f>
        <v>18237859.729999997</v>
      </c>
      <c r="D217" s="325">
        <f t="shared" si="106"/>
        <v>32682644.84</v>
      </c>
      <c r="E217" s="325">
        <f t="shared" si="106"/>
        <v>49781273.130000003</v>
      </c>
      <c r="F217" s="325">
        <f t="shared" si="106"/>
        <v>65816132.399999984</v>
      </c>
      <c r="G217" s="325">
        <f t="shared" si="106"/>
        <v>84178546.849999994</v>
      </c>
      <c r="H217" s="325">
        <f t="shared" si="106"/>
        <v>100444092.86999997</v>
      </c>
      <c r="I217" s="325">
        <f t="shared" si="106"/>
        <v>115999337.17999998</v>
      </c>
      <c r="J217" s="325">
        <f t="shared" si="106"/>
        <v>132700640.34999998</v>
      </c>
      <c r="K217" s="325">
        <f t="shared" si="106"/>
        <v>146952281.18999997</v>
      </c>
      <c r="L217" s="325">
        <f t="shared" si="106"/>
        <v>162293267.31999999</v>
      </c>
      <c r="M217" s="325">
        <f t="shared" si="106"/>
        <v>177968388.25999993</v>
      </c>
      <c r="N217" s="325">
        <f t="shared" si="106"/>
        <v>196451551.06999996</v>
      </c>
      <c r="O217" s="326">
        <f t="shared" si="106"/>
        <v>1283506015.1900001</v>
      </c>
    </row>
    <row r="220" spans="1:15">
      <c r="B220" s="121" t="s">
        <v>243</v>
      </c>
      <c r="O220" s="310">
        <f>+SUM(C220:N220)</f>
        <v>0</v>
      </c>
    </row>
    <row r="221" spans="1:15">
      <c r="B221" s="121" t="s">
        <v>244</v>
      </c>
      <c r="C221" s="310"/>
      <c r="D221" s="310"/>
      <c r="E221" s="310"/>
      <c r="F221" s="310"/>
      <c r="G221" s="310"/>
      <c r="H221" s="310"/>
      <c r="I221" s="310"/>
      <c r="J221" s="310"/>
      <c r="K221" s="310"/>
      <c r="L221" s="310"/>
      <c r="M221" s="310"/>
      <c r="N221" s="310"/>
      <c r="O221" s="310">
        <f>+SUM(C221:N221)</f>
        <v>0</v>
      </c>
    </row>
    <row r="222" spans="1:15">
      <c r="B222" s="121" t="s">
        <v>245</v>
      </c>
      <c r="C222" s="257">
        <f t="shared" ref="C222:O222" si="107">C113-C221+C220</f>
        <v>42481782.410000041</v>
      </c>
      <c r="D222" s="257">
        <f t="shared" si="107"/>
        <v>36113408.400000006</v>
      </c>
      <c r="E222" s="257">
        <f t="shared" si="107"/>
        <v>37749492.350000024</v>
      </c>
      <c r="F222" s="257">
        <f t="shared" si="107"/>
        <v>35581881.690000013</v>
      </c>
      <c r="G222" s="257">
        <f t="shared" si="107"/>
        <v>38735122.870000042</v>
      </c>
      <c r="H222" s="257">
        <f t="shared" si="107"/>
        <v>35242920.590000041</v>
      </c>
      <c r="I222" s="257">
        <f t="shared" si="107"/>
        <v>34528962.860000014</v>
      </c>
      <c r="J222" s="257">
        <f t="shared" si="107"/>
        <v>36536973.07000003</v>
      </c>
      <c r="K222" s="257">
        <f t="shared" si="107"/>
        <v>33300875.790000021</v>
      </c>
      <c r="L222" s="257">
        <f t="shared" si="107"/>
        <v>34334598.300000027</v>
      </c>
      <c r="M222" s="257">
        <f t="shared" si="107"/>
        <v>35836752.600000039</v>
      </c>
      <c r="N222" s="257">
        <f t="shared" si="107"/>
        <v>41134693.920000039</v>
      </c>
      <c r="O222" s="257">
        <f t="shared" si="107"/>
        <v>441577464.85000026</v>
      </c>
    </row>
    <row r="225" spans="1:22">
      <c r="A225" s="121" t="s">
        <v>243</v>
      </c>
      <c r="C225" s="335">
        <v>0</v>
      </c>
      <c r="D225" s="352">
        <v>0</v>
      </c>
      <c r="E225" s="352">
        <v>0</v>
      </c>
      <c r="F225" s="352">
        <v>0</v>
      </c>
      <c r="G225" s="352">
        <v>0</v>
      </c>
      <c r="H225" s="352">
        <v>0</v>
      </c>
      <c r="I225" s="352">
        <v>0</v>
      </c>
      <c r="J225" s="352">
        <v>0</v>
      </c>
      <c r="K225" s="352">
        <v>0</v>
      </c>
      <c r="L225" s="352">
        <v>0</v>
      </c>
      <c r="M225" s="352">
        <v>0</v>
      </c>
      <c r="N225" s="352">
        <v>0</v>
      </c>
      <c r="O225" s="352"/>
    </row>
    <row r="226" spans="1:22">
      <c r="A226" s="121" t="s">
        <v>246</v>
      </c>
      <c r="N226" s="257"/>
    </row>
    <row r="227" spans="1:22">
      <c r="A227" s="121" t="s">
        <v>247</v>
      </c>
    </row>
    <row r="228" spans="1:22">
      <c r="O228" s="257"/>
      <c r="R228" s="126"/>
    </row>
    <row r="229" spans="1:22">
      <c r="O229" s="257"/>
      <c r="R229" s="126"/>
    </row>
    <row r="230" spans="1:22">
      <c r="O230" s="257"/>
      <c r="R230" s="126"/>
    </row>
    <row r="231" spans="1:22">
      <c r="O231" s="257"/>
      <c r="R231" s="126"/>
    </row>
    <row r="232" spans="1:22">
      <c r="O232" s="353"/>
    </row>
    <row r="233" spans="1:22">
      <c r="B233" s="298" t="s">
        <v>706</v>
      </c>
      <c r="C233" s="354">
        <v>7463.34</v>
      </c>
      <c r="D233" s="354">
        <v>6004.54</v>
      </c>
      <c r="E233" s="354">
        <v>4015.84</v>
      </c>
      <c r="F233" s="354">
        <v>4213.58</v>
      </c>
      <c r="G233" s="354">
        <v>3131.59</v>
      </c>
      <c r="H233" s="354">
        <v>2671.5200000000004</v>
      </c>
      <c r="I233" s="354">
        <v>1356.81</v>
      </c>
      <c r="J233" s="354">
        <v>1297.6299999999999</v>
      </c>
      <c r="K233" s="354">
        <v>1281.1699999999998</v>
      </c>
      <c r="L233" s="354">
        <v>1381.9699999999998</v>
      </c>
      <c r="M233" s="354">
        <v>3100.6400000000003</v>
      </c>
      <c r="N233" s="354">
        <v>6536.19</v>
      </c>
      <c r="O233" s="354">
        <v>42454.820000000007</v>
      </c>
      <c r="P233" s="298"/>
      <c r="Q233" s="298" t="s">
        <v>14</v>
      </c>
      <c r="R233" s="301" t="s">
        <v>706</v>
      </c>
      <c r="S233" s="298"/>
      <c r="T233" s="298" t="s">
        <v>1417</v>
      </c>
      <c r="U233" s="299">
        <f t="shared" ref="U233:U238" si="108">MAX(C233:N233)</f>
        <v>7463.34</v>
      </c>
      <c r="V233" s="299">
        <f t="shared" ref="V233:V238" si="109">IFERROR(INDEX($C$1:$N$1,MATCH(U233,C233:N233,0)),0)</f>
        <v>1</v>
      </c>
    </row>
    <row r="234" spans="1:22">
      <c r="B234" s="298" t="s">
        <v>709</v>
      </c>
      <c r="C234" s="354">
        <v>1855.8600000000001</v>
      </c>
      <c r="D234" s="354">
        <v>1713.1100000000001</v>
      </c>
      <c r="E234" s="354">
        <v>1611.12</v>
      </c>
      <c r="F234" s="354">
        <v>1629.6</v>
      </c>
      <c r="G234" s="354">
        <v>2122.21</v>
      </c>
      <c r="H234" s="354">
        <v>2348.63</v>
      </c>
      <c r="I234" s="354">
        <v>2086.87</v>
      </c>
      <c r="J234" s="354">
        <v>2313.85</v>
      </c>
      <c r="K234" s="354">
        <v>2172.4300000000003</v>
      </c>
      <c r="L234" s="354">
        <v>2247.09</v>
      </c>
      <c r="M234" s="354">
        <v>2173.91</v>
      </c>
      <c r="N234" s="354">
        <v>2227.5500000000002</v>
      </c>
      <c r="O234" s="354">
        <v>24502.230000000003</v>
      </c>
      <c r="P234" s="298"/>
      <c r="Q234" s="298" t="s">
        <v>14</v>
      </c>
      <c r="R234" s="301" t="s">
        <v>709</v>
      </c>
      <c r="S234" s="298"/>
      <c r="T234" s="298" t="s">
        <v>1417</v>
      </c>
      <c r="U234" s="299">
        <f t="shared" si="108"/>
        <v>2348.63</v>
      </c>
      <c r="V234" s="299">
        <f t="shared" si="109"/>
        <v>6</v>
      </c>
    </row>
    <row r="235" spans="1:22">
      <c r="B235" s="298" t="s">
        <v>711</v>
      </c>
      <c r="C235" s="354"/>
      <c r="D235" s="354"/>
      <c r="E235" s="354"/>
      <c r="F235" s="354"/>
      <c r="G235" s="354"/>
      <c r="H235" s="354">
        <v>9182.76</v>
      </c>
      <c r="I235" s="354">
        <v>7518.1</v>
      </c>
      <c r="J235" s="354">
        <v>7480.5</v>
      </c>
      <c r="K235" s="354">
        <v>6789.56</v>
      </c>
      <c r="L235" s="354">
        <v>9473.9</v>
      </c>
      <c r="M235" s="354">
        <v>11177.56</v>
      </c>
      <c r="N235" s="354">
        <v>16303.869999999999</v>
      </c>
      <c r="O235" s="354">
        <v>67926.25</v>
      </c>
      <c r="P235" s="298"/>
      <c r="Q235" s="298" t="s">
        <v>14</v>
      </c>
      <c r="R235" s="301" t="s">
        <v>713</v>
      </c>
      <c r="S235" s="298"/>
      <c r="T235" s="298" t="s">
        <v>1417</v>
      </c>
      <c r="U235" s="299">
        <f t="shared" si="108"/>
        <v>16303.869999999999</v>
      </c>
      <c r="V235" s="299">
        <f t="shared" si="109"/>
        <v>12</v>
      </c>
    </row>
    <row r="236" spans="1:22">
      <c r="B236" s="298" t="s">
        <v>713</v>
      </c>
      <c r="C236" s="354"/>
      <c r="D236" s="354"/>
      <c r="E236" s="354"/>
      <c r="F236" s="354"/>
      <c r="G236" s="354">
        <v>1321.25</v>
      </c>
      <c r="H236" s="354">
        <v>1169.97</v>
      </c>
      <c r="I236" s="354">
        <v>720.39</v>
      </c>
      <c r="J236" s="354">
        <v>1033.99</v>
      </c>
      <c r="K236" s="354">
        <v>1017.2</v>
      </c>
      <c r="L236" s="354">
        <v>1372.51</v>
      </c>
      <c r="M236" s="354">
        <v>1452.03</v>
      </c>
      <c r="N236" s="354">
        <v>1368.52</v>
      </c>
      <c r="O236" s="354">
        <v>9455.8599999999988</v>
      </c>
      <c r="P236" s="298"/>
      <c r="Q236" s="298" t="s">
        <v>14</v>
      </c>
      <c r="R236" s="301" t="s">
        <v>713</v>
      </c>
      <c r="S236" s="298"/>
      <c r="T236" s="298" t="s">
        <v>1417</v>
      </c>
      <c r="U236" s="299">
        <f t="shared" si="108"/>
        <v>1452.03</v>
      </c>
      <c r="V236" s="299">
        <f t="shared" si="109"/>
        <v>11</v>
      </c>
    </row>
    <row r="237" spans="1:22">
      <c r="B237" s="298" t="s">
        <v>716</v>
      </c>
      <c r="C237" s="354">
        <v>61.35</v>
      </c>
      <c r="D237" s="354">
        <v>83.56</v>
      </c>
      <c r="E237" s="354">
        <v>16.899999999999999</v>
      </c>
      <c r="F237" s="354">
        <v>10.540000000000001</v>
      </c>
      <c r="G237" s="354">
        <v>2.09</v>
      </c>
      <c r="H237" s="354">
        <v>0</v>
      </c>
      <c r="I237" s="354">
        <v>2.08</v>
      </c>
      <c r="J237" s="354">
        <v>6.24</v>
      </c>
      <c r="K237" s="354">
        <v>18.72</v>
      </c>
      <c r="L237" s="354">
        <v>5.2</v>
      </c>
      <c r="M237" s="354">
        <v>15.6</v>
      </c>
      <c r="N237" s="354">
        <v>89.789999999999992</v>
      </c>
      <c r="O237" s="354">
        <v>312.07000000000005</v>
      </c>
      <c r="P237" s="298"/>
      <c r="Q237" s="298" t="s">
        <v>14</v>
      </c>
      <c r="R237" s="301" t="s">
        <v>706</v>
      </c>
      <c r="S237" s="298"/>
      <c r="T237" s="298" t="s">
        <v>1417</v>
      </c>
      <c r="U237" s="299">
        <f t="shared" si="108"/>
        <v>89.789999999999992</v>
      </c>
      <c r="V237" s="299">
        <f t="shared" si="109"/>
        <v>12</v>
      </c>
    </row>
    <row r="238" spans="1:22">
      <c r="B238" s="298" t="s">
        <v>719</v>
      </c>
      <c r="C238" s="354">
        <v>666.64</v>
      </c>
      <c r="D238" s="354">
        <v>518.96</v>
      </c>
      <c r="E238" s="354">
        <v>839.28</v>
      </c>
      <c r="F238" s="354">
        <v>557.44000000000005</v>
      </c>
      <c r="G238" s="354">
        <v>595.92000000000007</v>
      </c>
      <c r="H238" s="354">
        <v>403.52</v>
      </c>
      <c r="I238" s="354">
        <v>237.12</v>
      </c>
      <c r="J238" s="354">
        <v>387.91999999999996</v>
      </c>
      <c r="K238" s="354">
        <v>683.28</v>
      </c>
      <c r="L238" s="354">
        <v>635.43999999999994</v>
      </c>
      <c r="M238" s="354">
        <v>664.56</v>
      </c>
      <c r="N238" s="354">
        <v>645.84</v>
      </c>
      <c r="O238" s="354">
        <v>6835.92</v>
      </c>
      <c r="P238" s="298"/>
      <c r="Q238" s="298" t="s">
        <v>14</v>
      </c>
      <c r="R238" s="301" t="s">
        <v>709</v>
      </c>
      <c r="S238" s="298"/>
      <c r="T238" s="298" t="s">
        <v>1417</v>
      </c>
      <c r="U238" s="299">
        <f t="shared" si="108"/>
        <v>839.28</v>
      </c>
      <c r="V238" s="299">
        <f t="shared" si="109"/>
        <v>3</v>
      </c>
    </row>
    <row r="243" spans="21:22">
      <c r="U243" s="448">
        <v>1</v>
      </c>
      <c r="V243" s="120">
        <f>COUNTIF($V$2:$V$114,U243)</f>
        <v>39</v>
      </c>
    </row>
    <row r="244" spans="21:22">
      <c r="U244" s="448">
        <v>2</v>
      </c>
      <c r="V244" s="120">
        <f t="shared" ref="V244:V254" si="110">COUNTIF($V$2:$V$101,U244)</f>
        <v>5</v>
      </c>
    </row>
    <row r="245" spans="21:22">
      <c r="U245" s="448">
        <v>3</v>
      </c>
      <c r="V245" s="120">
        <f t="shared" si="110"/>
        <v>4</v>
      </c>
    </row>
    <row r="246" spans="21:22">
      <c r="U246" s="448">
        <v>4</v>
      </c>
      <c r="V246" s="120">
        <f t="shared" si="110"/>
        <v>1</v>
      </c>
    </row>
    <row r="247" spans="21:22">
      <c r="U247" s="448">
        <v>5</v>
      </c>
      <c r="V247" s="120">
        <f t="shared" si="110"/>
        <v>2</v>
      </c>
    </row>
    <row r="248" spans="21:22">
      <c r="U248" s="448">
        <v>6</v>
      </c>
      <c r="V248" s="120">
        <f t="shared" si="110"/>
        <v>2</v>
      </c>
    </row>
    <row r="249" spans="21:22">
      <c r="U249" s="448">
        <v>7</v>
      </c>
      <c r="V249" s="120">
        <f t="shared" si="110"/>
        <v>1</v>
      </c>
    </row>
    <row r="250" spans="21:22">
      <c r="U250" s="448">
        <v>8</v>
      </c>
      <c r="V250" s="120">
        <f t="shared" si="110"/>
        <v>4</v>
      </c>
    </row>
    <row r="251" spans="21:22">
      <c r="U251" s="448">
        <v>9</v>
      </c>
      <c r="V251" s="120">
        <f t="shared" si="110"/>
        <v>0</v>
      </c>
    </row>
    <row r="252" spans="21:22">
      <c r="U252" s="448">
        <v>10</v>
      </c>
      <c r="V252" s="120">
        <f t="shared" si="110"/>
        <v>2</v>
      </c>
    </row>
    <row r="253" spans="21:22">
      <c r="U253" s="448">
        <v>11</v>
      </c>
      <c r="V253" s="120">
        <f t="shared" si="110"/>
        <v>1</v>
      </c>
    </row>
    <row r="254" spans="21:22">
      <c r="U254" s="448">
        <v>12</v>
      </c>
      <c r="V254" s="120">
        <f t="shared" si="110"/>
        <v>14</v>
      </c>
    </row>
  </sheetData>
  <pageMargins left="0.5" right="0.5" top="0.5" bottom="0.5" header="1" footer="0"/>
  <pageSetup scale="55" fitToHeight="2" orientation="landscape" r:id="rId1"/>
  <headerFooter alignWithMargins="0"/>
  <rowBreaks count="2" manualBreakCount="2">
    <brk id="99" max="16" man="1"/>
    <brk id="182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C629D-0650-4E7C-8209-BAEC9579CD22}">
  <sheetPr codeName="Sheet16"/>
  <dimension ref="A1:CC103"/>
  <sheetViews>
    <sheetView topLeftCell="BA37" workbookViewId="0">
      <selection activeCell="BZ66" sqref="BZ66"/>
    </sheetView>
  </sheetViews>
  <sheetFormatPr defaultColWidth="8.85546875" defaultRowHeight="12.75"/>
  <cols>
    <col min="1" max="1" width="11.42578125" style="71" customWidth="1"/>
    <col min="2" max="3" width="14.140625" style="71" customWidth="1"/>
    <col min="4" max="4" width="41.85546875" style="71" customWidth="1"/>
    <col min="5" max="5" width="8.7109375" style="71" customWidth="1"/>
    <col min="6" max="6" width="8.28515625" style="96" customWidth="1"/>
    <col min="7" max="7" width="14.28515625" style="72" customWidth="1"/>
    <col min="8" max="8" width="13.42578125" style="72" bestFit="1" customWidth="1"/>
    <col min="9" max="9" width="8.28515625" style="74" customWidth="1"/>
    <col min="10" max="10" width="15.42578125" style="74" customWidth="1"/>
    <col min="11" max="11" width="14.7109375" style="74" customWidth="1"/>
    <col min="12" max="12" width="13.42578125" style="74" customWidth="1"/>
    <col min="13" max="13" width="11.28515625" style="74" customWidth="1"/>
    <col min="14" max="14" width="12" style="74" customWidth="1"/>
    <col min="15" max="15" width="9.7109375" style="74" customWidth="1"/>
    <col min="16" max="19" width="12.140625" style="74" customWidth="1"/>
    <col min="20" max="20" width="12" style="74" customWidth="1"/>
    <col min="21" max="22" width="12" style="94" customWidth="1"/>
    <col min="23" max="23" width="13.85546875" style="94" customWidth="1"/>
    <col min="24" max="24" width="12.5703125" style="66" customWidth="1"/>
    <col min="25" max="26" width="12" style="74" customWidth="1"/>
    <col min="27" max="28" width="12.5703125" style="74" customWidth="1"/>
    <col min="29" max="29" width="12.5703125" style="9" customWidth="1"/>
    <col min="30" max="30" width="18.7109375" style="9" customWidth="1"/>
    <col min="31" max="31" width="16.140625" style="9" customWidth="1"/>
    <col min="32" max="32" width="15.85546875" style="9" customWidth="1"/>
    <col min="33" max="33" width="15.85546875" style="71" customWidth="1"/>
    <col min="34" max="34" width="15.85546875" style="65" customWidth="1"/>
    <col min="35" max="35" width="15.85546875" style="66" customWidth="1"/>
    <col min="36" max="40" width="14.85546875" style="276" customWidth="1"/>
    <col min="41" max="42" width="17.42578125" style="71" customWidth="1"/>
    <col min="43" max="43" width="17.42578125" style="95" customWidth="1"/>
    <col min="44" max="44" width="18" style="71" customWidth="1"/>
    <col min="45" max="49" width="14.85546875" style="71" customWidth="1"/>
    <col min="50" max="50" width="14.85546875" style="2" customWidth="1"/>
    <col min="51" max="52" width="14.85546875" style="538" customWidth="1"/>
    <col min="53" max="56" width="3.7109375" style="537" customWidth="1"/>
    <col min="57" max="58" width="3.7109375" style="538" customWidth="1"/>
    <col min="59" max="61" width="3.7109375" style="71" customWidth="1"/>
    <col min="62" max="62" width="11.85546875" style="496" customWidth="1"/>
    <col min="63" max="63" width="10.28515625" style="517" customWidth="1"/>
    <col min="64" max="64" width="12.42578125" style="496" bestFit="1" customWidth="1"/>
    <col min="65" max="65" width="8.85546875" style="496"/>
    <col min="66" max="66" width="13.5703125" style="496" bestFit="1" customWidth="1"/>
    <col min="67" max="68" width="13.5703125" style="496" customWidth="1"/>
    <col min="69" max="69" width="13.5703125" style="45" customWidth="1"/>
    <col min="70" max="70" width="13.5703125" style="496" customWidth="1"/>
    <col min="71" max="71" width="13.5703125" style="47" customWidth="1"/>
    <col min="72" max="73" width="13.5703125" style="496" customWidth="1"/>
    <col min="74" max="74" width="13.5703125" style="494" customWidth="1"/>
    <col min="75" max="77" width="13.5703125" style="496" customWidth="1"/>
    <col min="78" max="78" width="14.42578125" style="9" bestFit="1" customWidth="1"/>
    <col min="79" max="79" width="14.42578125" style="492" customWidth="1"/>
    <col min="80" max="80" width="13.5703125" style="71" bestFit="1" customWidth="1"/>
    <col min="81" max="81" width="12" style="556" customWidth="1"/>
    <col min="82" max="16384" width="8.85546875" style="71"/>
  </cols>
  <sheetData>
    <row r="1" spans="1:81" s="20" customFormat="1" ht="51">
      <c r="A1" s="20" t="s">
        <v>997</v>
      </c>
      <c r="B1" s="20" t="s">
        <v>992</v>
      </c>
      <c r="C1" s="21" t="s">
        <v>1244</v>
      </c>
      <c r="D1" s="20" t="s">
        <v>1001</v>
      </c>
      <c r="E1" s="20" t="s">
        <v>11</v>
      </c>
      <c r="F1" s="21" t="s">
        <v>1285</v>
      </c>
      <c r="G1" s="20" t="s">
        <v>104</v>
      </c>
      <c r="H1" s="20" t="s">
        <v>1101</v>
      </c>
      <c r="I1" s="22" t="s">
        <v>1432</v>
      </c>
      <c r="J1" s="15" t="s">
        <v>1095</v>
      </c>
      <c r="K1" s="15" t="s">
        <v>1436</v>
      </c>
      <c r="L1" s="15" t="s">
        <v>1094</v>
      </c>
      <c r="M1" s="15" t="s">
        <v>1093</v>
      </c>
      <c r="N1" s="15" t="s">
        <v>1092</v>
      </c>
      <c r="O1" s="16" t="s">
        <v>1096</v>
      </c>
      <c r="P1" s="17" t="s">
        <v>1437</v>
      </c>
      <c r="Q1" s="17" t="s">
        <v>1113</v>
      </c>
      <c r="R1" s="17" t="s">
        <v>1114</v>
      </c>
      <c r="S1" s="17" t="s">
        <v>1115</v>
      </c>
      <c r="T1" s="16" t="s">
        <v>1438</v>
      </c>
      <c r="U1" s="23" t="s">
        <v>1111</v>
      </c>
      <c r="V1" s="23" t="s">
        <v>1112</v>
      </c>
      <c r="W1" s="23" t="s">
        <v>1097</v>
      </c>
      <c r="X1" s="175" t="s">
        <v>1289</v>
      </c>
      <c r="Y1" s="18" t="s">
        <v>1117</v>
      </c>
      <c r="Z1" s="18" t="s">
        <v>1118</v>
      </c>
      <c r="AA1" s="18" t="s">
        <v>1119</v>
      </c>
      <c r="AB1" s="18" t="s">
        <v>1105</v>
      </c>
      <c r="AC1" s="19" t="s">
        <v>27</v>
      </c>
      <c r="AD1" s="24" t="s">
        <v>1116</v>
      </c>
      <c r="AE1" s="24" t="s">
        <v>1103</v>
      </c>
      <c r="AF1" s="24" t="s">
        <v>1104</v>
      </c>
      <c r="AG1" s="24" t="s">
        <v>1091</v>
      </c>
      <c r="AH1" s="63" t="s">
        <v>1106</v>
      </c>
      <c r="AI1" s="63" t="s">
        <v>1090</v>
      </c>
      <c r="AJ1" s="282" t="s">
        <v>1410</v>
      </c>
      <c r="AK1" s="282" t="s">
        <v>1411</v>
      </c>
      <c r="AL1" s="282" t="s">
        <v>1412</v>
      </c>
      <c r="AM1" s="282" t="s">
        <v>1413</v>
      </c>
      <c r="AN1" s="282" t="s">
        <v>1414</v>
      </c>
      <c r="AO1" s="41" t="s">
        <v>1087</v>
      </c>
      <c r="AP1" s="41" t="s">
        <v>1088</v>
      </c>
      <c r="AQ1" s="147" t="s">
        <v>25</v>
      </c>
      <c r="AR1" s="41" t="s">
        <v>1089</v>
      </c>
      <c r="AS1" s="42" t="s">
        <v>1098</v>
      </c>
      <c r="AT1" s="42" t="s">
        <v>1099</v>
      </c>
      <c r="AU1" s="42" t="s">
        <v>1258</v>
      </c>
      <c r="AV1" s="42" t="s">
        <v>1100</v>
      </c>
      <c r="AW1" s="42" t="s">
        <v>1277</v>
      </c>
      <c r="AX1" s="42" t="s">
        <v>1276</v>
      </c>
      <c r="AY1" s="548" t="s">
        <v>1476</v>
      </c>
      <c r="AZ1" s="548" t="s">
        <v>1477</v>
      </c>
      <c r="BA1" s="20" t="s">
        <v>1246</v>
      </c>
      <c r="BB1" s="20" t="s">
        <v>1246</v>
      </c>
      <c r="BC1" s="20" t="s">
        <v>1246</v>
      </c>
      <c r="BD1" s="20" t="s">
        <v>1246</v>
      </c>
      <c r="BE1" s="20" t="s">
        <v>1246</v>
      </c>
      <c r="BF1" s="20" t="s">
        <v>1246</v>
      </c>
      <c r="BG1" s="20" t="s">
        <v>1246</v>
      </c>
      <c r="BH1" s="20" t="s">
        <v>1246</v>
      </c>
      <c r="BI1" s="20" t="s">
        <v>1246</v>
      </c>
      <c r="BJ1" s="520" t="s">
        <v>1458</v>
      </c>
      <c r="BK1" s="520" t="s">
        <v>1272</v>
      </c>
      <c r="BL1" s="521" t="s">
        <v>1274</v>
      </c>
      <c r="BM1" s="520" t="s">
        <v>1454</v>
      </c>
      <c r="BN1" s="521" t="s">
        <v>1455</v>
      </c>
      <c r="BO1" s="521" t="s">
        <v>1456</v>
      </c>
      <c r="BP1" s="521" t="s">
        <v>1457</v>
      </c>
      <c r="BQ1" s="530" t="s">
        <v>1460</v>
      </c>
      <c r="BR1" s="521" t="s">
        <v>1461</v>
      </c>
      <c r="BS1" s="544" t="s">
        <v>1465</v>
      </c>
      <c r="BT1" s="521" t="s">
        <v>1466</v>
      </c>
      <c r="BU1" s="525" t="s">
        <v>26</v>
      </c>
      <c r="BV1" s="542" t="s">
        <v>1470</v>
      </c>
      <c r="BW1" s="525" t="s">
        <v>1471</v>
      </c>
      <c r="BX1" s="525" t="s">
        <v>1474</v>
      </c>
      <c r="BY1" s="525" t="s">
        <v>1246</v>
      </c>
      <c r="BZ1" s="291" t="s">
        <v>1420</v>
      </c>
      <c r="CA1" s="491" t="s">
        <v>1246</v>
      </c>
      <c r="CB1" s="20" t="s">
        <v>1246</v>
      </c>
      <c r="CC1" s="552" t="s">
        <v>1450</v>
      </c>
    </row>
    <row r="2" spans="1:81" s="55" customFormat="1">
      <c r="A2" s="55" t="s">
        <v>12</v>
      </c>
      <c r="B2" s="55" t="s">
        <v>993</v>
      </c>
      <c r="C2" s="55" t="s">
        <v>8</v>
      </c>
      <c r="D2" s="55" t="s">
        <v>85</v>
      </c>
      <c r="E2" s="55" t="str">
        <f>VLOOKUP(D2,'Input 14_Ref Table'!C:D,2,FALSE)</f>
        <v>TS1R</v>
      </c>
      <c r="F2" s="172" t="s">
        <v>1286</v>
      </c>
      <c r="G2" s="59" t="str">
        <f>VLOOKUP(D2,'Input 14_Ref Table'!C:I,7,FALSE)</f>
        <v>IGC - IGC - TS1</v>
      </c>
      <c r="H2" s="59" t="str">
        <f>VLOOKUP(D2,'Input 14_Ref Table'!C:K,8,FALSE)</f>
        <v>TS_1</v>
      </c>
      <c r="I2" s="55" t="str">
        <f>VLOOKUP(E2,'Input 7_NG Rates'!B:G,6,FALSE)</f>
        <v>TS-1</v>
      </c>
      <c r="J2" s="56" t="str">
        <f>IFERROR(VLOOKUP(H2,Report_Regression!B:L,11,FALSE),"")</f>
        <v>Median</v>
      </c>
      <c r="K2" s="57">
        <f>_xlfn.IFNA(VLOOKUP($H2,Report_Regression!$B:$L,9,FALSE),0)</f>
        <v>2.5051703091705339E-3</v>
      </c>
      <c r="L2" s="57">
        <f>_xlfn.IFNA(VLOOKUP($H2,Report_Regression!$B:$L,10,FALSE),0)</f>
        <v>2.1962264791334546E-3</v>
      </c>
      <c r="M2" s="57">
        <f>_xlfn.IFNA(VLOOKUP($H2,Report_Regression!$B:$L,8,FALSE),0)</f>
        <v>2.8092644708525663E-3</v>
      </c>
      <c r="N2" s="57">
        <f>IF(J2="Median",K2,IF(J2="Low",L2,IF(J2="Average",M2,0)))</f>
        <v>2.5051703091705339E-3</v>
      </c>
      <c r="O2" s="57" t="str">
        <f>IFERROR(VLOOKUP(H2,Report_Regression!O:Y,11,FALSE),"")</f>
        <v>Median</v>
      </c>
      <c r="P2" s="57">
        <f>IFERROR(VLOOKUP($H2,Report_Regression!$O:$Y,9,FALSE),0)</f>
        <v>-4.3943718717954036E-2</v>
      </c>
      <c r="Q2" s="57">
        <f>IFERROR(VLOOKUP($H2,Report_Regression!$O:$Y,10,FALSE),0)</f>
        <v>-6.1471465285679532E-2</v>
      </c>
      <c r="R2" s="57">
        <f>IFERROR(VLOOKUP($H2,Report_Regression!$O:$Y,8,FALSE),0)</f>
        <v>-2.9141040695421366E-2</v>
      </c>
      <c r="S2" s="57">
        <f>IF(O2="Median",P2,IF(O2="Low",Q2,IF(O2="Average",R2,0)))</f>
        <v>-4.3943718717954036E-2</v>
      </c>
      <c r="T2" s="56">
        <f>_xlfn.IFNA(VLOOKUP($H2,Report_Regression!$O:$Y,6,FALSE),0)</f>
        <v>147.81172002816606</v>
      </c>
      <c r="U2" s="56">
        <f>_xlfn.IFNA(VLOOKUP($H2,Report_Regression!$O:$Y,7,FALSE),0)</f>
        <v>132.87148021723644</v>
      </c>
      <c r="V2" s="56">
        <f>_xlfn.IFNA(VLOOKUP($H2,Report_Regression!$O:$Y,5,FALSE),0)</f>
        <v>162.75195983909569</v>
      </c>
      <c r="W2" s="5">
        <f>IFERROR(IF(O2="Median",T2,IF(O2="Low",U2,IF(O2="Average",V2,IF(O2="Base Period",AG2/AA2*12,0)))),0)</f>
        <v>147.81172002816606</v>
      </c>
      <c r="X2" s="64">
        <f>IFERROR((AVERAGE(AE2:AG2)/AVERAGE(Y2:AA2))*12,0)</f>
        <v>173.96730921704659</v>
      </c>
      <c r="Y2" s="56">
        <f>SUMIF('Input 3_2019CUST-YTD'!S:S,G2,'Input 3_2019CUST-YTD'!R:R)</f>
        <v>8032</v>
      </c>
      <c r="Z2" s="56">
        <f>SUMIF('Input 4_2020CUST-YTD'!S:S,G2,'Input 4_2020CUST-YTD'!R:R)</f>
        <v>8086</v>
      </c>
      <c r="AA2" s="56">
        <f>SUMIF('Input 5_2021CUST-YTD'!S:S,G2,'Input 5_2021CUST-YTD'!R:R)</f>
        <v>8098</v>
      </c>
      <c r="AB2" s="56">
        <f>AA2*(1+N2)</f>
        <v>8118.2868691636631</v>
      </c>
      <c r="AC2" s="56">
        <f>AB2*(1+N2)</f>
        <v>8138.6245603896205</v>
      </c>
      <c r="AD2" s="56" t="str">
        <f>VLOOKUP(D2,'Input 15_Fcst Inputs'!A:F,2,FALSE)</f>
        <v>Modeled UPC</v>
      </c>
      <c r="AE2" s="56">
        <f>SUMIF('Input 3.1_2019VOL-YTD'!R:R,G2,'Input 3.1_2019VOL-YTD'!O:O)</f>
        <v>114642.48000000004</v>
      </c>
      <c r="AF2" s="56">
        <f>SUMIF('Input 4.1_2020VOL-YTD'!R:R,G2,'Input 4.1_2020VOL-YTD'!O:O)</f>
        <v>120526.06999999999</v>
      </c>
      <c r="AG2" s="56">
        <f>SUMIF('Input 5.1_2021VOL-YTD'!R:R,G2,'Input 5.1_2021VOL-YTD'!O:O)</f>
        <v>115897.47999999994</v>
      </c>
      <c r="AH2" s="64">
        <f>IFERROR(IF($AD2="Historical Average",(AVERAGE($AE2:$AG2)/AVERAGE($Y2:$AA2))*AB2,IF($AD2="UPC Growth Rate",((AG2/AA2)*(1+$S2)*AB2),IF($AD2="Modeled UPC",AB2/12*$W2,IF(AD2="Base Period",AG2,IF(AD2="Adjusted",SUMIF('Input 15_Fcst Inputs'!A:A,D2,'Input 15_Fcst Inputs'!F:F),0))))),0)</f>
        <v>99998.162151096345</v>
      </c>
      <c r="AI2" s="64">
        <f>IFERROR(IF($AD2="Historical Average",(AVERAGE($AE2:$AG2)/AVERAGE($Y2:$AA2))*AC2,IF($AD2="UPC Growth Rate",((AH2/AB2)*(1+$S2)*AC2),IF($AD2="Modeled UPC",AC2/12*$W2,IF(AD2="Base Period",AG2,IF(AD2="Adjusted",SUMIF('Input 15_Fcst Inputs'!A:A,D2,'Input 15_Fcst Inputs'!G:G),0))))),0)</f>
        <v>100248.67457788889</v>
      </c>
      <c r="AJ2" s="273">
        <f>VLOOKUP($G2,'WP-Peak Month UPC'!$C:$BL,17,FALSE)</f>
        <v>16.672690582959692</v>
      </c>
      <c r="AK2" s="273">
        <f>VLOOKUP($G2,'WP-Peak Month UPC'!$C:$BL,32,FALSE)</f>
        <v>17.892218934911245</v>
      </c>
      <c r="AL2" s="273">
        <f>VLOOKUP($G2,'WP-Peak Month UPC'!$C:$BL,47,FALSE)</f>
        <v>17.51724444444443</v>
      </c>
      <c r="AM2" s="273">
        <f>IF(OR($AD2="Base Period",$AD2="Adjusted"),$AL2,IF($AD2="Historical Average",AVERAGE($AJ2:$AL2),IF($AD2="Modeled UPC",VLOOKUP($H2,Report_Regression!$AB:$AJ,5,FALSE),IF($AD2="UPC Growth Rate",AL2*(1+VLOOKUP($H2,Report_Regression!$AB:$AN,13,FALSE))))))</f>
        <v>14.5850242029399</v>
      </c>
      <c r="AN2" s="273">
        <f>IF(OR($AD2="Base Period",$AD2="Adjusted"),$AL2,IF($AD2="Historical Average",AVERAGE($AJ2:$AL2),IF($AD2="Modeled UPC",VLOOKUP($H2,Report_Regression!$AB:$AJ,9,FALSE),IF($AD2="UPC Growth Rate",AM2*(1+VLOOKUP($H2,Report_Regression!$AB:$AN,13,FALSE))))))</f>
        <v>13.325217575345899</v>
      </c>
      <c r="AO2" s="58">
        <f>VLOOKUP(E2,'Input 7_NG Rates'!B:I,7,FALSE)</f>
        <v>9</v>
      </c>
      <c r="AP2" s="292">
        <f>VLOOKUP(E2,'Input 7_NG Rates'!B:I,8,FALSE)</f>
        <v>0.37835000000000002</v>
      </c>
      <c r="AQ2" s="293">
        <f>VLOOKUP(D2,'Input 14_Ref Table'!C:N,12,FALSE)</f>
        <v>0</v>
      </c>
      <c r="AR2" s="292"/>
      <c r="AS2" s="151">
        <f t="shared" ref="AS2:AS33" si="0">AA2*AO2</f>
        <v>72882</v>
      </c>
      <c r="AT2" s="151">
        <f t="shared" ref="AT2:AT33" si="1">AG2*AP2</f>
        <v>43849.811557999979</v>
      </c>
      <c r="AU2" s="151">
        <f>SUMIF('Input 13.3_2021 Min Charges'!A:A,G2,'Input 13.3_2021 Min Charges'!O:O)</f>
        <v>0</v>
      </c>
      <c r="AV2" s="151">
        <f t="shared" ref="AV2:AV33" si="2">AG2*AR2</f>
        <v>0</v>
      </c>
      <c r="AW2" s="151">
        <v>0</v>
      </c>
      <c r="AX2" s="151">
        <f>SUM(AS2:AW2)</f>
        <v>116731.81155799999</v>
      </c>
      <c r="AY2" s="533">
        <f>SUMIF('Input 6_2021MARG-YTD'!AN:AN,G2,'Input 6_2021MARG-YTD'!AK:AK)</f>
        <v>116511.5</v>
      </c>
      <c r="AZ2" s="533">
        <f>AY2-AX2</f>
        <v>-220.31155799998669</v>
      </c>
      <c r="BA2" s="533"/>
      <c r="BB2" s="533"/>
      <c r="BC2" s="533"/>
      <c r="BD2" s="533"/>
      <c r="BE2" s="533"/>
      <c r="BF2" s="533"/>
      <c r="BH2" s="294"/>
      <c r="BI2" s="294"/>
      <c r="BJ2" s="191" t="s">
        <v>922</v>
      </c>
      <c r="BK2" s="514">
        <v>0</v>
      </c>
      <c r="BL2" s="190">
        <f t="shared" ref="BL2:BL33" si="3">BK2*AI2</f>
        <v>0</v>
      </c>
      <c r="BM2" s="518" cm="1">
        <f t="array" ref="BM2">IFERROR(INDEX('Input 1_GRIP Factors'!$K$5:$K$54,MATCH(1,(BJ2='Input 1_GRIP Factors'!$G$5:$G$54)*(A2='Input 1_GRIP Factors'!$J$5:$J$54),0)),0)</f>
        <v>0</v>
      </c>
      <c r="BN2" s="190">
        <f t="shared" ref="BN2:BN29" si="4">BM2*AG2</f>
        <v>0</v>
      </c>
      <c r="BO2" s="190">
        <f>IFERROR(BN2/SUMIF($A$2:$A$65,A2,$BN$2:$BN$65),0)*VLOOKUP(A2,$A$81:$BN$84,66,FALSE)</f>
        <v>0</v>
      </c>
      <c r="BP2" s="190">
        <f>SUM(BN2:BO2)</f>
        <v>0</v>
      </c>
      <c r="BQ2" s="44" cm="1">
        <f t="array" ref="BQ2">IFERROR(INDEX('Input 1_GRIP Factors'!$Y$5:$Y$65,MATCH(1,(BJ2='Input 1_GRIP Factors'!$G$5:$G$65)*(A2='Input 1_GRIP Factors'!$J$5:$J$65),0)),0)*AG2</f>
        <v>8537.0083767999949</v>
      </c>
      <c r="BR2" s="190">
        <f>IFERROR(BQ2/SUMIF($A$2:$A$65,A2,$BQ$2:$BQ$65),0)*VLOOKUP(A2,$A$81:$BQ$84,69,FALSE)+BQ2</f>
        <v>8562.2868149517162</v>
      </c>
      <c r="BS2" s="44" cm="1">
        <f t="array" ref="BS2">IFERROR(INDEX('Input 1_GRIP Factors'!$AC$5:$AC$65,MATCH(1,(BJ2='Input 1_GRIP Factors'!$G$5:$G$65)*(A2='Input 1_GRIP Factors'!$J$5:$J$65),0)),0)*AG2</f>
        <v>12204.004643999993</v>
      </c>
      <c r="BT2" s="190">
        <f>IFERROR(BS2/SUMIF($A$2:$A$65,A2,$BS$2:$BS$65),0)*VLOOKUP(A2,$A$81:$BS$84,71,FALSE)+BS2</f>
        <v>12204.202789897321</v>
      </c>
      <c r="BU2" s="190">
        <f t="shared" ref="BU2:BU33" si="5">AS2+AT2+BP2+BR2+BT2+AU2+AW2</f>
        <v>137498.30116284903</v>
      </c>
      <c r="BV2" s="190">
        <f ca="1">IFERROR(AX2/SUMIF($A$2:$A$65,A2,$AX$2:$AX$65),0)*VLOOKUP(A2,$A$81:$BV$84,74,FALSE)</f>
        <v>0</v>
      </c>
      <c r="BW2" s="190">
        <f t="shared" ref="BW2:BW33" ca="1" si="6">IFERROR(BV2/AP2,0)</f>
        <v>0</v>
      </c>
      <c r="BX2" s="190" cm="1">
        <f t="array" aca="1" ref="BX2" ca="1">IFERROR(INDEX('Input 1_GRIP Factors'!$AC$5:$AC$65,MATCH(1,(BJ2='Input 1_GRIP Factors'!$G$5:$G$65)*(A2='Input 1_GRIP Factors'!$J$5:$J$65),0)),0)*BW2</f>
        <v>0</v>
      </c>
      <c r="BY2" s="190"/>
      <c r="BZ2" s="56">
        <f>SUMIF('Monthly VOL'!G:G,'Master '!G2,'Monthly VOL'!BV:BV)</f>
        <v>8356.119454195481</v>
      </c>
      <c r="CA2" s="519"/>
      <c r="CB2" s="56"/>
      <c r="CC2" s="553" t="s">
        <v>917</v>
      </c>
    </row>
    <row r="3" spans="1:81" s="55" customFormat="1">
      <c r="A3" s="55" t="s">
        <v>12</v>
      </c>
      <c r="B3" s="55" t="s">
        <v>993</v>
      </c>
      <c r="C3" s="55" t="s">
        <v>1245</v>
      </c>
      <c r="D3" s="55" t="s">
        <v>87</v>
      </c>
      <c r="E3" s="55" t="str">
        <f>VLOOKUP(D3,'Input 14_Ref Table'!C:D,2,FALSE)</f>
        <v>TS2C</v>
      </c>
      <c r="F3" s="172" t="s">
        <v>1286</v>
      </c>
      <c r="G3" s="59" t="str">
        <f>VLOOKUP(D3,'Input 14_Ref Table'!C:I,7,FALSE)</f>
        <v>IGC - IGC - TS2</v>
      </c>
      <c r="H3" s="59" t="str">
        <f>VLOOKUP(D3,'Input 14_Ref Table'!C:K,8,FALSE)</f>
        <v>Base Period</v>
      </c>
      <c r="I3" s="55" t="str">
        <f>VLOOKUP(E3,'Input 7_NG Rates'!B:G,6,FALSE)</f>
        <v>TS-2</v>
      </c>
      <c r="J3" s="56" t="str">
        <f>IFERROR(VLOOKUP(H3,Report_Regression!B:L,11,FALSE),"")</f>
        <v>Base Period</v>
      </c>
      <c r="K3" s="57">
        <f>_xlfn.IFNA(VLOOKUP($H3,Report_Regression!$B:$L,9,FALSE),0)</f>
        <v>0</v>
      </c>
      <c r="L3" s="57">
        <f>_xlfn.IFNA(VLOOKUP($H3,Report_Regression!$B:$L,10,FALSE),0)</f>
        <v>0</v>
      </c>
      <c r="M3" s="57">
        <f>_xlfn.IFNA(VLOOKUP($H3,Report_Regression!$B:$L,8,FALSE),0)</f>
        <v>0</v>
      </c>
      <c r="N3" s="57">
        <f t="shared" ref="N3:N65" si="7">IF(J3="Median",K3,IF(J3="Low",L3,IF(J3="Average",M3,0)))</f>
        <v>0</v>
      </c>
      <c r="O3" s="57" t="str">
        <f>IFERROR(VLOOKUP(H3,Report_Regression!O:Y,11,FALSE),"")</f>
        <v>Base Period</v>
      </c>
      <c r="P3" s="57">
        <f>IFERROR(VLOOKUP($H3,Report_Regression!$O:$Y,9,FALSE),0)</f>
        <v>0</v>
      </c>
      <c r="Q3" s="57">
        <f>IFERROR(VLOOKUP($H3,Report_Regression!$O:$Y,10,FALSE),0)</f>
        <v>0</v>
      </c>
      <c r="R3" s="57">
        <f>IFERROR(VLOOKUP($H3,Report_Regression!$O:$Y,8,FALSE),0)</f>
        <v>0</v>
      </c>
      <c r="S3" s="57">
        <f t="shared" ref="S3:S65" si="8">IF(O3="Median",P3,IF(O3="Low",Q3,IF(O3="Average",R3,0)))</f>
        <v>0</v>
      </c>
      <c r="T3" s="56">
        <f>_xlfn.IFNA(VLOOKUP($H3,Report_Regression!$O:$Y,6,FALSE),0)</f>
        <v>0</v>
      </c>
      <c r="U3" s="56">
        <f>_xlfn.IFNA(VLOOKUP($H3,Report_Regression!$O:$Y,7,FALSE),0)</f>
        <v>0</v>
      </c>
      <c r="V3" s="56">
        <f>_xlfn.IFNA(VLOOKUP($H3,Report_Regression!$O:$Y,5,FALSE),0)</f>
        <v>0</v>
      </c>
      <c r="W3" s="5">
        <f t="shared" ref="W3:W65" si="9">IFERROR(IF(O3="Median",T3,IF(O3="Low",U3,IF(O3="Average",V3,IF(O3="Base Period",AG3/AA3*12,0)))),0)</f>
        <v>3722.1586206896554</v>
      </c>
      <c r="X3" s="64">
        <f t="shared" ref="X3:X65" si="10">IFERROR((AVERAGE(AE3:AG3)/AVERAGE(Y3:AA3))*12,0)</f>
        <v>3702.0793450881611</v>
      </c>
      <c r="Y3" s="56">
        <f>SUMIF('Input 3_2019CUST-YTD'!S:S,G3,'Input 3_2019CUST-YTD'!R:R)</f>
        <v>272</v>
      </c>
      <c r="Z3" s="56">
        <f>SUMIF('Input 4_2020CUST-YTD'!S:S,G3,'Input 4_2020CUST-YTD'!R:R)</f>
        <v>261</v>
      </c>
      <c r="AA3" s="56">
        <f>SUMIF('Input 5_2021CUST-YTD'!S:S,G3,'Input 5_2021CUST-YTD'!R:R)</f>
        <v>261</v>
      </c>
      <c r="AB3" s="56">
        <f>AA3*(1+N3)</f>
        <v>261</v>
      </c>
      <c r="AC3" s="56">
        <f>AB3*(1+N3)</f>
        <v>261</v>
      </c>
      <c r="AD3" s="56" t="str">
        <f>VLOOKUP(D3,'Input 15_Fcst Inputs'!A:F,2,FALSE)</f>
        <v>Base Period</v>
      </c>
      <c r="AE3" s="56">
        <f>SUMIF('Input 3.1_2019VOL-YTD'!R:R,G3,'Input 3.1_2019VOL-YTD'!O:O)</f>
        <v>83536.34</v>
      </c>
      <c r="AF3" s="56">
        <f>SUMIF('Input 4.1_2020VOL-YTD'!R:R,G3,'Input 4.1_2020VOL-YTD'!O:O)</f>
        <v>80460.960000000006</v>
      </c>
      <c r="AG3" s="56">
        <f>SUMIF('Input 5.1_2021VOL-YTD'!R:R,G3,'Input 5.1_2021VOL-YTD'!O:O)</f>
        <v>80956.95</v>
      </c>
      <c r="AH3" s="64">
        <f>IFERROR(IF($AD3="Historical Average",(AVERAGE($AE3:$AG3)/AVERAGE($Y3:$AA3))*AB3,IF($AD3="UPC Growth Rate",((AG3/AA3)*(1+$S3)*AB3),IF($AD3="Modeled UPC",AB3/12*$W3,IF(AD3="Base Period",AG3,IF(AD3="Adjusted",SUMIF('Input 15_Fcst Inputs'!A:A,D3,'Input 15_Fcst Inputs'!F:F),0))))),0)</f>
        <v>80956.95</v>
      </c>
      <c r="AI3" s="64">
        <f>IFERROR(IF($AD3="Historical Average",(AVERAGE($AE3:$AG3)/AVERAGE($Y3:$AA3))*AC3,IF($AD3="UPC Growth Rate",((AH3/AB3)*(1+$S3)*AC3),IF($AD3="Modeled UPC",AC3/12*$W3,IF(AD3="Base Period",AG3,IF(AD3="Adjusted",SUMIF('Input 15_Fcst Inputs'!A:A,D3,'Input 15_Fcst Inputs'!G:G),0))))),0)</f>
        <v>80956.95</v>
      </c>
      <c r="AJ3" s="273">
        <f>VLOOKUP($G3,'WP-Peak Month UPC'!$C:$BL,17,FALSE)</f>
        <v>307.78130434782605</v>
      </c>
      <c r="AK3" s="273">
        <f>VLOOKUP($G3,'WP-Peak Month UPC'!$C:$BL,32,FALSE)</f>
        <v>336.03727272727269</v>
      </c>
      <c r="AL3" s="273">
        <f>VLOOKUP($G3,'WP-Peak Month UPC'!$C:$BL,47,FALSE)</f>
        <v>317.39238095238096</v>
      </c>
      <c r="AM3" s="273">
        <f>IF(OR(AD3="Base Period",AD3="Adjusted"),AL3,IF(AD3="Historical Average",AVERAGE(AJ3:AL3),IF(AD3="Modeled UPC",VLOOKUP(H3,Report_Regression!AB:AJ,5,FALSE),IF(AD3="UPC Growth Rate",AL3*(1+VLOOKUP(H3,Report_Regression!AB:AN,13,FALSE))))))</f>
        <v>317.39238095238096</v>
      </c>
      <c r="AN3" s="273">
        <f>IF(OR($AD3="Base Period",$AD3="Adjusted"),$AL3,IF($AD3="Historical Average",AVERAGE($AJ3:$AL3),IF($AD3="Modeled UPC",VLOOKUP($H3,Report_Regression!$AB:$AJ,9,FALSE),IF($AD3="UPC Growth Rate",AM3*(1+VLOOKUP($H3,Report_Regression!$AB:$AN,13,FALSE))))))</f>
        <v>317.39238095238096</v>
      </c>
      <c r="AO3" s="58">
        <f>VLOOKUP(E3,'Input 7_NG Rates'!B:I,7,FALSE)</f>
        <v>25</v>
      </c>
      <c r="AP3" s="292">
        <f>VLOOKUP(E3,'Input 7_NG Rates'!B:I,8,FALSE)</f>
        <v>5.7619999999999998E-2</v>
      </c>
      <c r="AQ3" s="293">
        <f>VLOOKUP(D3,'Input 14_Ref Table'!C:N,12,FALSE)</f>
        <v>0</v>
      </c>
      <c r="AR3" s="292"/>
      <c r="AS3" s="151">
        <f t="shared" si="0"/>
        <v>6525</v>
      </c>
      <c r="AT3" s="151">
        <f t="shared" si="1"/>
        <v>4664.7394589999994</v>
      </c>
      <c r="AU3" s="151">
        <f>SUMIF('Input 13.3_2021 Min Charges'!A:A,G3,'Input 13.3_2021 Min Charges'!O:O)</f>
        <v>0</v>
      </c>
      <c r="AV3" s="151">
        <f t="shared" si="2"/>
        <v>0</v>
      </c>
      <c r="AW3" s="151">
        <v>0</v>
      </c>
      <c r="AX3" s="151">
        <f t="shared" ref="AX3:AX65" si="11">SUM(AS3:AW3)</f>
        <v>11189.739459</v>
      </c>
      <c r="AY3" s="533">
        <f>SUMIF('Input 6_2021MARG-YTD'!AN:AN,G3,'Input 6_2021MARG-YTD'!AK:AK)</f>
        <v>10741.07</v>
      </c>
      <c r="AZ3" s="533">
        <f t="shared" ref="AZ3:AZ65" si="12">AY3-AX3</f>
        <v>-448.66945900000064</v>
      </c>
      <c r="BA3" s="533"/>
      <c r="BB3" s="533"/>
      <c r="BC3" s="533"/>
      <c r="BD3" s="533"/>
      <c r="BE3" s="533"/>
      <c r="BF3" s="533"/>
      <c r="BH3" s="294"/>
      <c r="BI3" s="294"/>
      <c r="BJ3" s="191" t="s">
        <v>925</v>
      </c>
      <c r="BK3" s="514">
        <v>0</v>
      </c>
      <c r="BL3" s="190">
        <f t="shared" si="3"/>
        <v>0</v>
      </c>
      <c r="BM3" s="518" cm="1">
        <f t="array" ref="BM3">IFERROR(INDEX('Input 1_GRIP Factors'!$K$5:$K$54,MATCH(1,(BJ3='Input 1_GRIP Factors'!$G$5:$G$54)*(A3='Input 1_GRIP Factors'!$J$5:$J$54),0)),0)</f>
        <v>0</v>
      </c>
      <c r="BN3" s="190">
        <f t="shared" si="4"/>
        <v>0</v>
      </c>
      <c r="BO3" s="190">
        <f t="shared" ref="BO3:BO65" si="13">IFERROR(BN3/SUMIF($A$2:$A$65,A3,$BN$2:$BN$65),0)*VLOOKUP(A3,$A$81:$BN$84,66,FALSE)</f>
        <v>0</v>
      </c>
      <c r="BP3" s="190">
        <f t="shared" ref="BP3:BP65" si="14">SUM(BN3:BO3)</f>
        <v>0</v>
      </c>
      <c r="BQ3" s="44" cm="1">
        <f t="array" ref="BQ3">IFERROR(INDEX('Input 1_GRIP Factors'!$Y$5:$Y$65,MATCH(1,(BJ3='Input 1_GRIP Factors'!$G$5:$G$65)*(A3='Input 1_GRIP Factors'!$J$5:$J$65),0)),0)*AG3</f>
        <v>826.57045949999997</v>
      </c>
      <c r="BR3" s="190">
        <f t="shared" ref="BR3:BR65" si="15">IFERROR(BQ3/SUMIF($A$2:$A$65,A3,$BQ$2:$BQ$65),0)*VLOOKUP(A3,$A$81:$BQ$84,69,FALSE)+BQ3</f>
        <v>829.01796913291685</v>
      </c>
      <c r="BS3" s="44" cm="1">
        <f t="array" ref="BS3">IFERROR(INDEX('Input 1_GRIP Factors'!$AC$5:$AC$65,MATCH(1,(BJ3='Input 1_GRIP Factors'!$G$5:$G$65)*(A3='Input 1_GRIP Factors'!$J$5:$J$65),0)),0)*AG3</f>
        <v>7949.9724899999992</v>
      </c>
      <c r="BT3" s="190">
        <f t="shared" ref="BT3:BT65" si="16">IFERROR(BS3/SUMIF($A$2:$A$65,A3,$BS$2:$BS$65),0)*VLOOKUP(A3,$A$81:$BS$84,71,FALSE)+BS3</f>
        <v>7950.1015668463879</v>
      </c>
      <c r="BU3" s="190">
        <f t="shared" si="5"/>
        <v>19968.858994979306</v>
      </c>
      <c r="BV3" s="190">
        <f t="shared" ref="BV3:BV65" ca="1" si="17">IFERROR(AX3/SUMIF($A$2:$A$65,A3,$AX$2:$AX$65),0)*VLOOKUP(A3,$A$81:$BV$84,74,FALSE)</f>
        <v>0</v>
      </c>
      <c r="BW3" s="190">
        <f t="shared" ca="1" si="6"/>
        <v>0</v>
      </c>
      <c r="BX3" s="190" cm="1">
        <f t="array" aca="1" ref="BX3" ca="1">IFERROR(INDEX('Input 1_GRIP Factors'!$AC$5:$AC$65,MATCH(1,(BJ3='Input 1_GRIP Factors'!$G$5:$G$65)*(A3='Input 1_GRIP Factors'!$J$5:$J$65),0)),0)*BW3</f>
        <v>0</v>
      </c>
      <c r="BY3" s="190"/>
      <c r="BZ3" s="56">
        <f>SUMIF('Monthly VOL'!G:G,'Master '!G3,'Monthly VOL'!BV:BV)</f>
        <v>6665.2400000000007</v>
      </c>
      <c r="CA3" s="519"/>
      <c r="CB3" s="56"/>
      <c r="CC3" s="553" t="s">
        <v>929</v>
      </c>
    </row>
    <row r="4" spans="1:81" s="55" customFormat="1">
      <c r="A4" s="55" t="s">
        <v>12</v>
      </c>
      <c r="B4" s="55" t="s">
        <v>993</v>
      </c>
      <c r="C4" s="55" t="s">
        <v>1245</v>
      </c>
      <c r="D4" s="55" t="s">
        <v>89</v>
      </c>
      <c r="E4" s="55" t="str">
        <f>VLOOKUP(D4,'Input 14_Ref Table'!C:D,2,FALSE)</f>
        <v>TS3C</v>
      </c>
      <c r="F4" s="172" t="s">
        <v>1286</v>
      </c>
      <c r="G4" s="59" t="str">
        <f>VLOOKUP(D4,'Input 14_Ref Table'!C:I,7,FALSE)</f>
        <v>IGC - IGC - TS3</v>
      </c>
      <c r="H4" s="59" t="str">
        <f>VLOOKUP(D4,'Input 14_Ref Table'!C:K,8,FALSE)</f>
        <v>Base Period</v>
      </c>
      <c r="I4" s="55" t="str">
        <f>VLOOKUP(E4,'Input 7_NG Rates'!B:G,6,FALSE)</f>
        <v>TS-3</v>
      </c>
      <c r="J4" s="56" t="str">
        <f>IFERROR(VLOOKUP(H4,Report_Regression!B:L,11,FALSE),"")</f>
        <v>Base Period</v>
      </c>
      <c r="K4" s="57">
        <f>_xlfn.IFNA(VLOOKUP($H4,Report_Regression!$B:$L,9,FALSE),0)</f>
        <v>0</v>
      </c>
      <c r="L4" s="57">
        <f>_xlfn.IFNA(VLOOKUP($H4,Report_Regression!$B:$L,10,FALSE),0)</f>
        <v>0</v>
      </c>
      <c r="M4" s="57">
        <f>_xlfn.IFNA(VLOOKUP($H4,Report_Regression!$B:$L,8,FALSE),0)</f>
        <v>0</v>
      </c>
      <c r="N4" s="57">
        <f t="shared" si="7"/>
        <v>0</v>
      </c>
      <c r="O4" s="57" t="str">
        <f>IFERROR(VLOOKUP(H4,Report_Regression!O:Y,11,FALSE),"")</f>
        <v>Base Period</v>
      </c>
      <c r="P4" s="57">
        <f>IFERROR(VLOOKUP($H4,Report_Regression!$O:$Y,9,FALSE),0)</f>
        <v>0</v>
      </c>
      <c r="Q4" s="57">
        <f>IFERROR(VLOOKUP($H4,Report_Regression!$O:$Y,10,FALSE),0)</f>
        <v>0</v>
      </c>
      <c r="R4" s="57">
        <f>IFERROR(VLOOKUP($H4,Report_Regression!$O:$Y,8,FALSE),0)</f>
        <v>0</v>
      </c>
      <c r="S4" s="57">
        <f t="shared" si="8"/>
        <v>0</v>
      </c>
      <c r="T4" s="56">
        <f>_xlfn.IFNA(VLOOKUP($H4,Report_Regression!$O:$Y,6,FALSE),0)</f>
        <v>0</v>
      </c>
      <c r="U4" s="56">
        <f>_xlfn.IFNA(VLOOKUP($H4,Report_Regression!$O:$Y,7,FALSE),0)</f>
        <v>0</v>
      </c>
      <c r="V4" s="56">
        <f>_xlfn.IFNA(VLOOKUP($H4,Report_Regression!$O:$Y,5,FALSE),0)</f>
        <v>0</v>
      </c>
      <c r="W4" s="5">
        <f t="shared" si="9"/>
        <v>7985.92</v>
      </c>
      <c r="X4" s="64">
        <f t="shared" si="10"/>
        <v>5507.5366666666669</v>
      </c>
      <c r="Y4" s="56">
        <f>SUMIF('Input 3_2019CUST-YTD'!S:S,G4,'Input 3_2019CUST-YTD'!R:R)</f>
        <v>12</v>
      </c>
      <c r="Z4" s="56">
        <f>SUMIF('Input 4_2020CUST-YTD'!S:S,G4,'Input 4_2020CUST-YTD'!R:R)</f>
        <v>12</v>
      </c>
      <c r="AA4" s="56">
        <f>SUMIF('Input 5_2021CUST-YTD'!S:S,G4,'Input 5_2021CUST-YTD'!R:R)</f>
        <v>12</v>
      </c>
      <c r="AB4" s="56">
        <f>AA4*(1+N4)</f>
        <v>12</v>
      </c>
      <c r="AC4" s="56">
        <f>AB4*(1+N4)</f>
        <v>12</v>
      </c>
      <c r="AD4" s="56" t="str">
        <f>VLOOKUP(D4,'Input 15_Fcst Inputs'!A:F,2,FALSE)</f>
        <v>Base Period</v>
      </c>
      <c r="AE4" s="56">
        <f>SUMIF('Input 3.1_2019VOL-YTD'!R:R,G4,'Input 3.1_2019VOL-YTD'!O:O)</f>
        <v>3870.09</v>
      </c>
      <c r="AF4" s="56">
        <f>SUMIF('Input 4.1_2020VOL-YTD'!R:R,G4,'Input 4.1_2020VOL-YTD'!O:O)</f>
        <v>4666.6000000000004</v>
      </c>
      <c r="AG4" s="56">
        <f>SUMIF('Input 5.1_2021VOL-YTD'!R:R,G4,'Input 5.1_2021VOL-YTD'!O:O)</f>
        <v>7985.92</v>
      </c>
      <c r="AH4" s="64">
        <f>IFERROR(IF($AD4="Historical Average",(AVERAGE($AE4:$AG4)/AVERAGE($Y4:$AA4))*AB4,IF($AD4="UPC Growth Rate",((AG4/AA4)*(1+$S4)*AB4),IF($AD4="Modeled UPC",AB4/12*$W4,IF(AD4="Base Period",AG4,IF(AD4="Adjusted",SUMIF('Input 15_Fcst Inputs'!A:A,D4,'Input 15_Fcst Inputs'!F:F),0))))),0)</f>
        <v>7985.92</v>
      </c>
      <c r="AI4" s="64">
        <f>IFERROR(IF($AD4="Historical Average",(AVERAGE($AE4:$AG4)/AVERAGE($Y4:$AA4))*AC4,IF($AD4="UPC Growth Rate",((AH4/AB4)*(1+$S4)*AC4),IF($AD4="Modeled UPC",AC4/12*$W4,IF(AD4="Base Period",AG4,IF(AD4="Adjusted",SUMIF('Input 15_Fcst Inputs'!A:A,D4,'Input 15_Fcst Inputs'!G:G),0))))),0)</f>
        <v>7985.92</v>
      </c>
      <c r="AJ4" s="273">
        <f>VLOOKUP($G4,'WP-Peak Month UPC'!$C:$BL,17,FALSE)</f>
        <v>445.11</v>
      </c>
      <c r="AK4" s="273">
        <f>VLOOKUP($G4,'WP-Peak Month UPC'!$C:$BL,32,FALSE)</f>
        <v>325.58999999999997</v>
      </c>
      <c r="AL4" s="273">
        <f>VLOOKUP($G4,'WP-Peak Month UPC'!$C:$BL,47,FALSE)</f>
        <v>944.37</v>
      </c>
      <c r="AM4" s="273">
        <f>IF(OR(AD4="Base Period",AD4="Adjusted"),AL4,IF(AD4="Historical Average",AVERAGE(AJ4:AL4),IF(AD4="Modeled UPC",VLOOKUP(H4,Report_Regression!AB:AJ,5,FALSE),IF(AD4="UPC Growth Rate",AL4*(1+VLOOKUP(H4,Report_Regression!AB:AN,13,FALSE))))))</f>
        <v>944.37</v>
      </c>
      <c r="AN4" s="273">
        <f>IF(OR($AD4="Base Period",$AD4="Adjusted"),$AL4,IF($AD4="Historical Average",AVERAGE($AJ4:$AL4),IF($AD4="Modeled UPC",VLOOKUP($H4,Report_Regression!$AB:$AJ,9,FALSE),IF($AD4="UPC Growth Rate",AM4*(1+VLOOKUP($H4,Report_Regression!$AB:$AN,13,FALSE))))))</f>
        <v>944.37</v>
      </c>
      <c r="AO4" s="58">
        <f>VLOOKUP(E4,'Input 7_NG Rates'!B:I,7,FALSE)</f>
        <v>60</v>
      </c>
      <c r="AP4" s="292">
        <f>VLOOKUP(E4,'Input 7_NG Rates'!B:I,8,FALSE)</f>
        <v>4.7849999999999997E-2</v>
      </c>
      <c r="AQ4" s="293">
        <f>VLOOKUP(D4,'Input 14_Ref Table'!C:N,12,FALSE)</f>
        <v>0</v>
      </c>
      <c r="AR4" s="292"/>
      <c r="AS4" s="151">
        <f t="shared" si="0"/>
        <v>720</v>
      </c>
      <c r="AT4" s="151">
        <f t="shared" si="1"/>
        <v>382.12627199999997</v>
      </c>
      <c r="AU4" s="151">
        <f>SUMIF('Input 13.3_2021 Min Charges'!A:A,G4,'Input 13.3_2021 Min Charges'!O:O)</f>
        <v>0</v>
      </c>
      <c r="AV4" s="151">
        <f t="shared" si="2"/>
        <v>0</v>
      </c>
      <c r="AW4" s="151">
        <v>0</v>
      </c>
      <c r="AX4" s="151">
        <f t="shared" si="11"/>
        <v>1102.126272</v>
      </c>
      <c r="AY4" s="533">
        <f>SUMIF('Input 6_2021MARG-YTD'!AN:AN,G4,'Input 6_2021MARG-YTD'!AK:AK)</f>
        <v>1102.1299999999999</v>
      </c>
      <c r="AZ4" s="533">
        <f t="shared" si="12"/>
        <v>3.7279999999100255E-3</v>
      </c>
      <c r="BA4" s="533"/>
      <c r="BB4" s="533"/>
      <c r="BC4" s="533"/>
      <c r="BD4" s="533"/>
      <c r="BE4" s="533"/>
      <c r="BF4" s="533"/>
      <c r="BH4" s="294"/>
      <c r="BI4" s="294"/>
      <c r="BJ4" s="191" t="s">
        <v>930</v>
      </c>
      <c r="BK4" s="514">
        <v>0</v>
      </c>
      <c r="BL4" s="190">
        <f t="shared" si="3"/>
        <v>0</v>
      </c>
      <c r="BM4" s="518" cm="1">
        <f t="array" ref="BM4">IFERROR(INDEX('Input 1_GRIP Factors'!$K$5:$K$54,MATCH(1,(BJ4='Input 1_GRIP Factors'!$G$5:$G$54)*(A4='Input 1_GRIP Factors'!$J$5:$J$54),0)),0)</f>
        <v>0</v>
      </c>
      <c r="BN4" s="190">
        <f t="shared" si="4"/>
        <v>0</v>
      </c>
      <c r="BO4" s="190">
        <f t="shared" si="13"/>
        <v>0</v>
      </c>
      <c r="BP4" s="190">
        <f t="shared" si="14"/>
        <v>0</v>
      </c>
      <c r="BQ4" s="44" cm="1">
        <f t="array" ref="BQ4">IFERROR(INDEX('Input 1_GRIP Factors'!$Y$5:$Y$65,MATCH(1,(BJ4='Input 1_GRIP Factors'!$G$5:$G$65)*(A4='Input 1_GRIP Factors'!$J$5:$J$65),0)),0)*AG4</f>
        <v>137.91683840000002</v>
      </c>
      <c r="BR4" s="190">
        <f t="shared" si="15"/>
        <v>138.3252159153659</v>
      </c>
      <c r="BS4" s="44" cm="1">
        <f t="array" ref="BS4">IFERROR(INDEX('Input 1_GRIP Factors'!$AC$5:$AC$65,MATCH(1,(BJ4='Input 1_GRIP Factors'!$G$5:$G$65)*(A4='Input 1_GRIP Factors'!$J$5:$J$65),0)),0)*AG4</f>
        <v>746.68352000000004</v>
      </c>
      <c r="BT4" s="190">
        <f t="shared" si="16"/>
        <v>746.69564325629221</v>
      </c>
      <c r="BU4" s="190">
        <f t="shared" si="5"/>
        <v>1987.147131171658</v>
      </c>
      <c r="BV4" s="190">
        <f t="shared" ca="1" si="17"/>
        <v>0</v>
      </c>
      <c r="BW4" s="190">
        <f t="shared" ca="1" si="6"/>
        <v>0</v>
      </c>
      <c r="BX4" s="190" cm="1">
        <f t="array" aca="1" ref="BX4" ca="1">IFERROR(INDEX('Input 1_GRIP Factors'!$AC$5:$AC$65,MATCH(1,(BJ4='Input 1_GRIP Factors'!$G$5:$G$65)*(A4='Input 1_GRIP Factors'!$J$5:$J$65),0)),0)*BW4</f>
        <v>0</v>
      </c>
      <c r="BY4" s="190"/>
      <c r="BZ4" s="56">
        <f>SUMIF('Monthly VOL'!G:G,'Master '!G4,'Monthly VOL'!BV:BV)</f>
        <v>944.37</v>
      </c>
      <c r="CA4" s="519"/>
      <c r="CB4" s="56"/>
      <c r="CC4" s="553" t="s">
        <v>934</v>
      </c>
    </row>
    <row r="5" spans="1:81" s="55" customFormat="1">
      <c r="A5" s="55" t="s">
        <v>12</v>
      </c>
      <c r="B5" s="55" t="s">
        <v>993</v>
      </c>
      <c r="C5" s="55" t="s">
        <v>1245</v>
      </c>
      <c r="D5" s="55" t="s">
        <v>91</v>
      </c>
      <c r="E5" s="55" t="str">
        <f>VLOOKUP(D5,'Input 14_Ref Table'!C:D,2,FALSE)</f>
        <v>TS4I</v>
      </c>
      <c r="F5" s="172" t="s">
        <v>1286</v>
      </c>
      <c r="G5" s="59" t="str">
        <f>VLOOKUP(D5,'Input 14_Ref Table'!C:I,7,FALSE)</f>
        <v>IGC - IGC - TS4</v>
      </c>
      <c r="H5" s="59" t="str">
        <f>VLOOKUP(D5,'Input 14_Ref Table'!C:K,8,FALSE)</f>
        <v>Base Period</v>
      </c>
      <c r="I5" s="55" t="str">
        <f>VLOOKUP(E5,'Input 7_NG Rates'!B:G,6,FALSE)</f>
        <v>TS-4</v>
      </c>
      <c r="J5" s="56" t="str">
        <f>IFERROR(VLOOKUP(H5,Report_Regression!B:L,11,FALSE),"")</f>
        <v>Base Period</v>
      </c>
      <c r="K5" s="57">
        <f>_xlfn.IFNA(VLOOKUP($H5,Report_Regression!$B:$L,9,FALSE),0)</f>
        <v>0</v>
      </c>
      <c r="L5" s="57">
        <f>_xlfn.IFNA(VLOOKUP($H5,Report_Regression!$B:$L,10,FALSE),0)</f>
        <v>0</v>
      </c>
      <c r="M5" s="57">
        <f>_xlfn.IFNA(VLOOKUP($H5,Report_Regression!$B:$L,8,FALSE),0)</f>
        <v>0</v>
      </c>
      <c r="N5" s="57">
        <f t="shared" si="7"/>
        <v>0</v>
      </c>
      <c r="O5" s="57" t="str">
        <f>IFERROR(VLOOKUP(H5,Report_Regression!O:Y,11,FALSE),"")</f>
        <v>Base Period</v>
      </c>
      <c r="P5" s="57">
        <f>IFERROR(VLOOKUP($H5,Report_Regression!$O:$Y,9,FALSE),0)</f>
        <v>0</v>
      </c>
      <c r="Q5" s="57">
        <f>IFERROR(VLOOKUP($H5,Report_Regression!$O:$Y,10,FALSE),0)</f>
        <v>0</v>
      </c>
      <c r="R5" s="57">
        <f>IFERROR(VLOOKUP($H5,Report_Regression!$O:$Y,8,FALSE),0)</f>
        <v>0</v>
      </c>
      <c r="S5" s="57">
        <f t="shared" si="8"/>
        <v>0</v>
      </c>
      <c r="T5" s="56">
        <f>_xlfn.IFNA(VLOOKUP($H5,Report_Regression!$O:$Y,6,FALSE),0)</f>
        <v>0</v>
      </c>
      <c r="U5" s="56">
        <f>_xlfn.IFNA(VLOOKUP($H5,Report_Regression!$O:$Y,7,FALSE),0)</f>
        <v>0</v>
      </c>
      <c r="V5" s="56">
        <f>_xlfn.IFNA(VLOOKUP($H5,Report_Regression!$O:$Y,5,FALSE),0)</f>
        <v>0</v>
      </c>
      <c r="W5" s="5">
        <f t="shared" si="9"/>
        <v>0</v>
      </c>
      <c r="X5" s="64">
        <f t="shared" si="10"/>
        <v>0</v>
      </c>
      <c r="Y5" s="56">
        <f>SUMIF('Input 3_2019CUST-YTD'!S:S,G5,'Input 3_2019CUST-YTD'!R:R)</f>
        <v>24</v>
      </c>
      <c r="Z5" s="56">
        <f>SUMIF('Input 4_2020CUST-YTD'!S:S,G5,'Input 4_2020CUST-YTD'!R:R)</f>
        <v>24</v>
      </c>
      <c r="AA5" s="56"/>
      <c r="AB5" s="56"/>
      <c r="AC5" s="56">
        <f t="shared" ref="AC5" si="18">ROUND(AB5*(1+N5)/12,0)*12</f>
        <v>0</v>
      </c>
      <c r="AD5" s="56" t="str">
        <f>VLOOKUP(D5,'Input 15_Fcst Inputs'!A:F,2,FALSE)</f>
        <v>Base Period</v>
      </c>
      <c r="AE5" s="56">
        <f>SUMIF('Input 3.1_2019VOL-YTD'!R:R,G5,'Input 3.1_2019VOL-YTD'!O:O)</f>
        <v>0</v>
      </c>
      <c r="AF5" s="56">
        <f>SUMIF('Input 4.1_2020VOL-YTD'!R:R,G5,'Input 4.1_2020VOL-YTD'!O:O)</f>
        <v>0</v>
      </c>
      <c r="AG5" s="56">
        <f>SUMIF('Input 5.1_2021VOL-YTD'!R:R,G5,'Input 5.1_2021VOL-YTD'!O:O)</f>
        <v>0</v>
      </c>
      <c r="AH5" s="64">
        <f>IFERROR(IF($AD5="Historical Average",(AVERAGE($AE5:$AG5)/AVERAGE($Y5:$AA5))*AB5,IF($AD5="UPC Growth Rate",((AG5/AA5)*(1+$S5)*AB5),IF($AD5="Modeled UPC",AB5/12*$W5,IF(AD5="Base Period",AG5,IF(AD5="Adjusted",SUMIF('Input 15_Fcst Inputs'!A:A,D5,'Input 15_Fcst Inputs'!F:F),0))))),0)</f>
        <v>0</v>
      </c>
      <c r="AI5" s="64">
        <f>IFERROR(IF($AD5="Historical Average",(AVERAGE($AE5:$AG5)/AVERAGE($Y5:$AA5))*AC5,IF($AD5="UPC Growth Rate",((AH5/AB5)*(1+$S5)*AC5),IF($AD5="Modeled UPC",AC5/12*$W5,IF(AD5="Base Period",AG5,IF(AD5="Adjusted",SUMIF('Input 15_Fcst Inputs'!A:A,D5,'Input 15_Fcst Inputs'!G:G),0))))),0)</f>
        <v>0</v>
      </c>
      <c r="AJ5" s="273">
        <f>VLOOKUP($G5,'WP-Peak Month UPC'!$C:$BL,17,FALSE)</f>
        <v>0</v>
      </c>
      <c r="AK5" s="273">
        <f>VLOOKUP($G5,'WP-Peak Month UPC'!$C:$BL,32,FALSE)</f>
        <v>0</v>
      </c>
      <c r="AL5" s="273">
        <f>VLOOKUP($G5,'WP-Peak Month UPC'!$C:$BL,47,FALSE)</f>
        <v>0</v>
      </c>
      <c r="AM5" s="273">
        <f>IF(OR(AD5="Base Period",AD5="Adjusted"),AL5,IF(AD5="Historical Average",AVERAGE(AJ5:AL5),IF(AD5="Modeled UPC",VLOOKUP(H5,Report_Regression!AB:AJ,5,FALSE),IF(AD5="UPC Growth Rate",AL5*(1+VLOOKUP(H5,Report_Regression!AB:AN,13,FALSE))))))</f>
        <v>0</v>
      </c>
      <c r="AN5" s="273">
        <f>IF(OR($AD5="Base Period",$AD5="Adjusted"),$AL5,IF($AD5="Historical Average",AVERAGE($AJ5:$AL5),IF($AD5="Modeled UPC",VLOOKUP($H5,Report_Regression!$AB:$AJ,9,FALSE),IF($AD5="UPC Growth Rate",AM5*(1+VLOOKUP($H5,Report_Regression!$AB:$AN,13,FALSE))))))</f>
        <v>0</v>
      </c>
      <c r="AO5" s="58"/>
      <c r="AP5" s="292">
        <f>VLOOKUP(E5,'Input 7_NG Rates'!B:I,8,FALSE)</f>
        <v>3.9100000000000003E-2</v>
      </c>
      <c r="AQ5" s="293">
        <f>VLOOKUP(D5,'Input 14_Ref Table'!C:N,12,FALSE)</f>
        <v>0</v>
      </c>
      <c r="AR5" s="292"/>
      <c r="AS5" s="151">
        <f t="shared" si="0"/>
        <v>0</v>
      </c>
      <c r="AT5" s="151">
        <f t="shared" si="1"/>
        <v>0</v>
      </c>
      <c r="AU5" s="151">
        <f>SUMIF('Input 13.3_2021 Min Charges'!A:A,G5,'Input 13.3_2021 Min Charges'!O:O)</f>
        <v>0</v>
      </c>
      <c r="AV5" s="151">
        <f t="shared" si="2"/>
        <v>0</v>
      </c>
      <c r="AW5" s="151">
        <v>0</v>
      </c>
      <c r="AX5" s="151">
        <f t="shared" si="11"/>
        <v>0</v>
      </c>
      <c r="AY5" s="533">
        <f>SUMIF('Input 6_2021MARG-YTD'!AN:AN,G5,'Input 6_2021MARG-YTD'!AK:AK)</f>
        <v>-5701.67</v>
      </c>
      <c r="AZ5" s="533">
        <f t="shared" si="12"/>
        <v>-5701.67</v>
      </c>
      <c r="BA5" s="533"/>
      <c r="BB5" s="533"/>
      <c r="BC5" s="533"/>
      <c r="BD5" s="533"/>
      <c r="BE5" s="533"/>
      <c r="BF5" s="533"/>
      <c r="BH5" s="294"/>
      <c r="BI5" s="294"/>
      <c r="BJ5" s="191" t="s">
        <v>935</v>
      </c>
      <c r="BK5" s="514">
        <v>0</v>
      </c>
      <c r="BL5" s="190">
        <f t="shared" si="3"/>
        <v>0</v>
      </c>
      <c r="BM5" s="518" cm="1">
        <f t="array" ref="BM5">IFERROR(INDEX('Input 1_GRIP Factors'!$K$5:$K$54,MATCH(1,(BJ5='Input 1_GRIP Factors'!$G$5:$G$54)*(A5='Input 1_GRIP Factors'!$J$5:$J$54),0)),0)</f>
        <v>0</v>
      </c>
      <c r="BN5" s="190">
        <f t="shared" si="4"/>
        <v>0</v>
      </c>
      <c r="BO5" s="190">
        <f t="shared" si="13"/>
        <v>0</v>
      </c>
      <c r="BP5" s="190">
        <f t="shared" si="14"/>
        <v>0</v>
      </c>
      <c r="BQ5" s="44" cm="1">
        <f t="array" ref="BQ5">IFERROR(INDEX('Input 1_GRIP Factors'!$Y$5:$Y$65,MATCH(1,(BJ5='Input 1_GRIP Factors'!$G$5:$G$65)*(A5='Input 1_GRIP Factors'!$J$5:$J$65),0)),0)*AG5</f>
        <v>0</v>
      </c>
      <c r="BR5" s="190">
        <f t="shared" si="15"/>
        <v>0</v>
      </c>
      <c r="BS5" s="44" cm="1">
        <f t="array" ref="BS5">IFERROR(INDEX('Input 1_GRIP Factors'!$AC$5:$AC$65,MATCH(1,(BJ5='Input 1_GRIP Factors'!$G$5:$G$65)*(A5='Input 1_GRIP Factors'!$J$5:$J$65),0)),0)*AG5</f>
        <v>0</v>
      </c>
      <c r="BT5" s="190">
        <f t="shared" si="16"/>
        <v>0</v>
      </c>
      <c r="BU5" s="190">
        <f t="shared" si="5"/>
        <v>0</v>
      </c>
      <c r="BV5" s="190">
        <f t="shared" ca="1" si="17"/>
        <v>0</v>
      </c>
      <c r="BW5" s="190">
        <f t="shared" ca="1" si="6"/>
        <v>0</v>
      </c>
      <c r="BX5" s="190" cm="1">
        <f t="array" aca="1" ref="BX5" ca="1">IFERROR(INDEX('Input 1_GRIP Factors'!$AC$5:$AC$65,MATCH(1,(BJ5='Input 1_GRIP Factors'!$G$5:$G$65)*(A5='Input 1_GRIP Factors'!$J$5:$J$65),0)),0)*BW5</f>
        <v>0</v>
      </c>
      <c r="BY5" s="190"/>
      <c r="BZ5" s="56">
        <f>SUMIF('Monthly VOL'!G:G,'Master '!G5,'Monthly VOL'!BV:BV)</f>
        <v>0</v>
      </c>
      <c r="CA5" s="519"/>
      <c r="CB5" s="56"/>
      <c r="CC5" s="553" t="s">
        <v>939</v>
      </c>
    </row>
    <row r="6" spans="1:81" s="55" customFormat="1">
      <c r="A6" s="55" t="s">
        <v>12</v>
      </c>
      <c r="B6" s="55" t="s">
        <v>993</v>
      </c>
      <c r="C6" s="55" t="s">
        <v>1245</v>
      </c>
      <c r="D6" s="55" t="s">
        <v>93</v>
      </c>
      <c r="E6" s="55" t="str">
        <f>VLOOKUP(D6,'Input 14_Ref Table'!C:D,2,FALSE)</f>
        <v>TSNGV</v>
      </c>
      <c r="F6" s="172" t="s">
        <v>1286</v>
      </c>
      <c r="G6" s="59" t="str">
        <f>VLOOKUP(D6,'Input 14_Ref Table'!C:I,7,FALSE)</f>
        <v>TSNGV</v>
      </c>
      <c r="H6" s="59" t="str">
        <f>VLOOKUP(D6,'Input 14_Ref Table'!C:K,8,FALSE)</f>
        <v>Base Period</v>
      </c>
      <c r="I6" s="55" t="str">
        <f>VLOOKUP(E6,'Input 7_NG Rates'!B:G,6,FALSE)</f>
        <v>TS-1</v>
      </c>
      <c r="J6" s="56" t="str">
        <f>IFERROR(VLOOKUP(H6,Report_Regression!B:L,11,FALSE),"")</f>
        <v>Base Period</v>
      </c>
      <c r="K6" s="57">
        <f>_xlfn.IFNA(VLOOKUP($H6,Report_Regression!$B:$L,9,FALSE),0)</f>
        <v>0</v>
      </c>
      <c r="L6" s="57">
        <f>_xlfn.IFNA(VLOOKUP($H6,Report_Regression!$B:$L,10,FALSE),0)</f>
        <v>0</v>
      </c>
      <c r="M6" s="57">
        <f>_xlfn.IFNA(VLOOKUP($H6,Report_Regression!$B:$L,8,FALSE),0)</f>
        <v>0</v>
      </c>
      <c r="N6" s="57">
        <f t="shared" si="7"/>
        <v>0</v>
      </c>
      <c r="O6" s="57" t="str">
        <f>IFERROR(VLOOKUP(H6,Report_Regression!O:Y,11,FALSE),"")</f>
        <v>Base Period</v>
      </c>
      <c r="P6" s="57">
        <f>IFERROR(VLOOKUP($H6,Report_Regression!$O:$Y,9,FALSE),0)</f>
        <v>0</v>
      </c>
      <c r="Q6" s="57">
        <f>IFERROR(VLOOKUP($H6,Report_Regression!$O:$Y,10,FALSE),0)</f>
        <v>0</v>
      </c>
      <c r="R6" s="57">
        <f>IFERROR(VLOOKUP($H6,Report_Regression!$O:$Y,8,FALSE),0)</f>
        <v>0</v>
      </c>
      <c r="S6" s="57">
        <f t="shared" si="8"/>
        <v>0</v>
      </c>
      <c r="T6" s="56">
        <f>_xlfn.IFNA(VLOOKUP($H6,Report_Regression!$O:$Y,6,FALSE),0)</f>
        <v>0</v>
      </c>
      <c r="U6" s="56">
        <f>_xlfn.IFNA(VLOOKUP($H6,Report_Regression!$O:$Y,7,FALSE),0)</f>
        <v>0</v>
      </c>
      <c r="V6" s="56">
        <f>_xlfn.IFNA(VLOOKUP($H6,Report_Regression!$O:$Y,5,FALSE),0)</f>
        <v>0</v>
      </c>
      <c r="W6" s="5">
        <f t="shared" si="9"/>
        <v>0</v>
      </c>
      <c r="X6" s="64">
        <f t="shared" si="10"/>
        <v>0</v>
      </c>
      <c r="Y6" s="56">
        <f>SUMIF('Input 3_2019CUST-YTD'!S:S,G6,'Input 3_2019CUST-YTD'!R:R)</f>
        <v>0</v>
      </c>
      <c r="Z6" s="56">
        <f>SUMIF('Input 4_2020CUST-YTD'!S:S,G6,'Input 4_2020CUST-YTD'!R:R)</f>
        <v>0</v>
      </c>
      <c r="AA6" s="56">
        <f>SUMIF('Input 5_2021CUST-YTD'!S:S,G6,'Input 5_2021CUST-YTD'!R:R)</f>
        <v>0</v>
      </c>
      <c r="AB6" s="56">
        <f t="shared" ref="AB6:AB58" si="19">AA6*(1+N6)</f>
        <v>0</v>
      </c>
      <c r="AC6" s="56">
        <f t="shared" ref="AC6:AC58" si="20">AB6*(1+N6)</f>
        <v>0</v>
      </c>
      <c r="AD6" s="56" t="str">
        <f>VLOOKUP(D6,'Input 15_Fcst Inputs'!A:F,2,FALSE)</f>
        <v>Base Period</v>
      </c>
      <c r="AE6" s="56">
        <f>SUMIF('Input 3.1_2019VOL-YTD'!R:R,G6,'Input 3.1_2019VOL-YTD'!O:O)</f>
        <v>0</v>
      </c>
      <c r="AF6" s="56">
        <f>SUMIF('Input 4.1_2020VOL-YTD'!R:R,G6,'Input 4.1_2020VOL-YTD'!O:O)</f>
        <v>0</v>
      </c>
      <c r="AG6" s="56">
        <f>SUMIF('Input 5.1_2021VOL-YTD'!R:R,G6,'Input 5.1_2021VOL-YTD'!O:O)</f>
        <v>0</v>
      </c>
      <c r="AH6" s="64">
        <f>IFERROR(IF($AD6="Historical Average",(AVERAGE($AE6:$AG6)/AVERAGE($Y6:$AA6))*AB6,IF($AD6="UPC Growth Rate",((AG6/AA6)*(1+$S6)*AB6),IF($AD6="Modeled UPC",AB6/12*$W6,IF(AD6="Base Period",AG6,IF(AD6="Adjusted",SUMIF('Input 15_Fcst Inputs'!A:A,D6,'Input 15_Fcst Inputs'!F:F),0))))),0)</f>
        <v>0</v>
      </c>
      <c r="AI6" s="64">
        <f>IFERROR(IF($AD6="Historical Average",(AVERAGE($AE6:$AG6)/AVERAGE($Y6:$AA6))*AC6,IF($AD6="UPC Growth Rate",((AH6/AB6)*(1+$S6)*AC6),IF($AD6="Modeled UPC",AC6/12*$W6,IF(AD6="Base Period",AG6,IF(AD6="Adjusted",SUMIF('Input 15_Fcst Inputs'!A:A,D6,'Input 15_Fcst Inputs'!G:G),0))))),0)</f>
        <v>0</v>
      </c>
      <c r="AJ6" s="273">
        <f>VLOOKUP($G6,'WP-Peak Month UPC'!$C:$BL,17,FALSE)</f>
        <v>0</v>
      </c>
      <c r="AK6" s="273">
        <f>VLOOKUP($G6,'WP-Peak Month UPC'!$C:$BL,32,FALSE)</f>
        <v>0</v>
      </c>
      <c r="AL6" s="273">
        <f>VLOOKUP($G6,'WP-Peak Month UPC'!$C:$BL,47,FALSE)</f>
        <v>0</v>
      </c>
      <c r="AM6" s="273">
        <f>IF(OR(AD6="Base Period",AD6="Adjusted"),AL6,IF(AD6="Historical Average",AVERAGE(AJ6:AL6),IF(AD6="Modeled UPC",VLOOKUP(H6,Report_Regression!AB:AJ,5,FALSE),IF(AD6="UPC Growth Rate",AL6*(1+VLOOKUP(H6,Report_Regression!AB:AN,13,FALSE))))))</f>
        <v>0</v>
      </c>
      <c r="AN6" s="273">
        <f>IF(OR($AD6="Base Period",$AD6="Adjusted"),$AL6,IF($AD6="Historical Average",AVERAGE($AJ6:$AL6),IF($AD6="Modeled UPC",VLOOKUP($H6,Report_Regression!$AB:$AJ,9,FALSE),IF($AD6="UPC Growth Rate",AM6*(1+VLOOKUP($H6,Report_Regression!$AB:$AN,13,FALSE))))))</f>
        <v>0</v>
      </c>
      <c r="AO6" s="58">
        <f>VLOOKUP(E6,'Input 7_NG Rates'!B:I,7,FALSE)</f>
        <v>100</v>
      </c>
      <c r="AP6" s="292">
        <f>VLOOKUP(E6,'Input 7_NG Rates'!B:I,8,FALSE)</f>
        <v>0.17111000000000001</v>
      </c>
      <c r="AQ6" s="293">
        <f>VLOOKUP(D6,'Input 14_Ref Table'!C:N,12,FALSE)</f>
        <v>0</v>
      </c>
      <c r="AR6" s="292">
        <v>5.3000000000000005E-2</v>
      </c>
      <c r="AS6" s="151">
        <f t="shared" si="0"/>
        <v>0</v>
      </c>
      <c r="AT6" s="151">
        <f t="shared" si="1"/>
        <v>0</v>
      </c>
      <c r="AU6" s="151">
        <f>SUMIF('Input 13.3_2021 Min Charges'!A:A,G6,'Input 13.3_2021 Min Charges'!O:O)</f>
        <v>0</v>
      </c>
      <c r="AV6" s="151">
        <f t="shared" si="2"/>
        <v>0</v>
      </c>
      <c r="AW6" s="151">
        <v>0</v>
      </c>
      <c r="AX6" s="151">
        <f t="shared" si="11"/>
        <v>0</v>
      </c>
      <c r="AY6" s="533">
        <f>SUMIF('Input 6_2021MARG-YTD'!AN:AN,G6,'Input 6_2021MARG-YTD'!AK:AK)</f>
        <v>0</v>
      </c>
      <c r="AZ6" s="533">
        <f t="shared" si="12"/>
        <v>0</v>
      </c>
      <c r="BA6" s="533"/>
      <c r="BB6" s="533"/>
      <c r="BC6" s="533"/>
      <c r="BD6" s="533"/>
      <c r="BE6" s="533"/>
      <c r="BF6" s="533"/>
      <c r="BH6" s="294"/>
      <c r="BI6" s="294"/>
      <c r="BJ6" s="191" t="s">
        <v>913</v>
      </c>
      <c r="BK6" s="514">
        <v>0</v>
      </c>
      <c r="BL6" s="190">
        <f t="shared" si="3"/>
        <v>0</v>
      </c>
      <c r="BM6" s="518" cm="1">
        <f t="array" ref="BM6">IFERROR(INDEX('Input 1_GRIP Factors'!$K$5:$K$54,MATCH(1,(BJ6='Input 1_GRIP Factors'!$G$5:$G$54)*(A6='Input 1_GRIP Factors'!$J$5:$J$54),0)),0)</f>
        <v>0</v>
      </c>
      <c r="BN6" s="190">
        <f t="shared" si="4"/>
        <v>0</v>
      </c>
      <c r="BO6" s="190">
        <f t="shared" si="13"/>
        <v>0</v>
      </c>
      <c r="BP6" s="190">
        <f t="shared" si="14"/>
        <v>0</v>
      </c>
      <c r="BQ6" s="44" cm="1">
        <f t="array" ref="BQ6">IFERROR(INDEX('Input 1_GRIP Factors'!$Y$5:$Y$65,MATCH(1,(BJ6='Input 1_GRIP Factors'!$G$5:$G$65)*(A6='Input 1_GRIP Factors'!$J$5:$J$65),0)),0)*AG6</f>
        <v>0</v>
      </c>
      <c r="BR6" s="190">
        <f t="shared" si="15"/>
        <v>0</v>
      </c>
      <c r="BS6" s="44" cm="1">
        <f t="array" ref="BS6">IFERROR(INDEX('Input 1_GRIP Factors'!$AC$5:$AC$65,MATCH(1,(BJ6='Input 1_GRIP Factors'!$G$5:$G$65)*(A6='Input 1_GRIP Factors'!$J$5:$J$65),0)),0)*AG6</f>
        <v>0</v>
      </c>
      <c r="BT6" s="190">
        <f t="shared" si="16"/>
        <v>0</v>
      </c>
      <c r="BU6" s="190">
        <f t="shared" si="5"/>
        <v>0</v>
      </c>
      <c r="BV6" s="190">
        <f t="shared" ca="1" si="17"/>
        <v>0</v>
      </c>
      <c r="BW6" s="190">
        <f t="shared" ca="1" si="6"/>
        <v>0</v>
      </c>
      <c r="BX6" s="190" cm="1">
        <f t="array" aca="1" ref="BX6" ca="1">IFERROR(INDEX('Input 1_GRIP Factors'!$AC$5:$AC$65,MATCH(1,(BJ6='Input 1_GRIP Factors'!$G$5:$G$65)*(A6='Input 1_GRIP Factors'!$J$5:$J$65),0)),0)*BW6</f>
        <v>0</v>
      </c>
      <c r="BY6" s="190"/>
      <c r="BZ6" s="56">
        <f>SUMIF('Monthly VOL'!G:G,'Master '!G6,'Monthly VOL'!BV:BV)</f>
        <v>0</v>
      </c>
      <c r="CA6" s="519"/>
      <c r="CB6" s="56"/>
      <c r="CC6" s="553" t="s">
        <v>917</v>
      </c>
    </row>
    <row r="7" spans="1:81" s="55" customFormat="1">
      <c r="A7" s="55" t="s">
        <v>996</v>
      </c>
      <c r="B7" s="55" t="s">
        <v>994</v>
      </c>
      <c r="C7" s="55" t="s">
        <v>8</v>
      </c>
      <c r="D7" s="55" t="s">
        <v>94</v>
      </c>
      <c r="E7" s="55" t="str">
        <f>VLOOKUP(D7,'Input 14_Ref Table'!C:D,2,FALSE)</f>
        <v>FMRES</v>
      </c>
      <c r="F7" s="172" t="s">
        <v>1286</v>
      </c>
      <c r="G7" s="59" t="str">
        <f>VLOOKUP(D7,'Input 14_Ref Table'!C:I,7,FALSE)</f>
        <v>FT - FT-RS</v>
      </c>
      <c r="H7" s="59" t="str">
        <f>VLOOKUP(D7,'Input 14_Ref Table'!C:K,8,FALSE)</f>
        <v>FortMeade_RS</v>
      </c>
      <c r="I7" s="55" t="str">
        <f>VLOOKUP(E7,'Input 7_NG Rates'!B:G,6,FALSE)</f>
        <v>RS</v>
      </c>
      <c r="J7" s="56" t="str">
        <f>IFERROR(VLOOKUP(H7,Report_Regression!B:L,11,FALSE),"")</f>
        <v>Median</v>
      </c>
      <c r="K7" s="57">
        <f>_xlfn.IFNA(VLOOKUP($H7,Report_Regression!$B:$L,9,FALSE),0)</f>
        <v>-5.2281762574494024E-2</v>
      </c>
      <c r="L7" s="57">
        <f>_xlfn.IFNA(VLOOKUP($H7,Report_Regression!$B:$L,10,FALSE),0)</f>
        <v>-9.3566278230524977E-2</v>
      </c>
      <c r="M7" s="57">
        <f>_xlfn.IFNA(VLOOKUP($H7,Report_Regression!$B:$L,8,FALSE),0)</f>
        <v>-1.3984642768931832E-2</v>
      </c>
      <c r="N7" s="57">
        <f t="shared" si="7"/>
        <v>-5.2281762574494024E-2</v>
      </c>
      <c r="O7" s="57" t="str">
        <f>IFERROR(VLOOKUP(H7,Report_Regression!O:Y,11,FALSE),"")</f>
        <v>Median</v>
      </c>
      <c r="P7" s="57">
        <f>IFERROR(VLOOKUP($H7,Report_Regression!$O:$Y,9,FALSE),0)</f>
        <v>-1.1031629750926494E-2</v>
      </c>
      <c r="Q7" s="57">
        <f>IFERROR(VLOOKUP($H7,Report_Regression!$O:$Y,10,FALSE),0)</f>
        <v>-3.148573302722199E-2</v>
      </c>
      <c r="R7" s="57">
        <f>IFERROR(VLOOKUP($H7,Report_Regression!$O:$Y,8,FALSE),0)</f>
        <v>2.2761220570452607E-3</v>
      </c>
      <c r="S7" s="57">
        <f t="shared" si="8"/>
        <v>-1.1031629750926494E-2</v>
      </c>
      <c r="T7" s="56">
        <f>_xlfn.IFNA(VLOOKUP($H7,Report_Regression!$O:$Y,6,FALSE),0)</f>
        <v>114.75</v>
      </c>
      <c r="U7" s="56">
        <f>_xlfn.IFNA(VLOOKUP($H7,Report_Regression!$O:$Y,7,FALSE),0)</f>
        <v>88.59</v>
      </c>
      <c r="V7" s="56">
        <f>_xlfn.IFNA(VLOOKUP($H7,Report_Regression!$O:$Y,5,FALSE),0)</f>
        <v>140.91</v>
      </c>
      <c r="W7" s="5">
        <f t="shared" si="9"/>
        <v>114.75</v>
      </c>
      <c r="X7" s="64">
        <f t="shared" si="10"/>
        <v>123.93831925211205</v>
      </c>
      <c r="Y7" s="56">
        <f>SUMIF('Input 3_2019CUST-YTD'!S:S,G7,'Input 3_2019CUST-YTD'!R:R)</f>
        <v>6720</v>
      </c>
      <c r="Z7" s="56">
        <f>SUMIF('Input 4_2020CUST-YTD'!S:S,G7,'Input 4_2020CUST-YTD'!R:R)</f>
        <v>6652</v>
      </c>
      <c r="AA7" s="56">
        <f>SUMIF('Input 5_2021CUST-YTD'!S:S,G7,'Input 5_2021CUST-YTD'!R:R)</f>
        <v>6631</v>
      </c>
      <c r="AB7" s="56">
        <f t="shared" si="19"/>
        <v>6284.3196323685306</v>
      </c>
      <c r="AC7" s="56">
        <f t="shared" si="20"/>
        <v>5955.764325406808</v>
      </c>
      <c r="AD7" s="56" t="str">
        <f>VLOOKUP(D7,'Input 15_Fcst Inputs'!A:F,2,FALSE)</f>
        <v>Modeled UPC</v>
      </c>
      <c r="AE7" s="56">
        <f>SUMIF('Input 3.1_2019VOL-YTD'!R:R,G7,'Input 3.1_2019VOL-YTD'!O:O)</f>
        <v>69507.229999999952</v>
      </c>
      <c r="AF7" s="56">
        <f>SUMIF('Input 4.1_2020VOL-YTD'!R:R,G7,'Input 4.1_2020VOL-YTD'!O:O)</f>
        <v>69665.909999999887</v>
      </c>
      <c r="AG7" s="56">
        <f>SUMIF('Input 5.1_2021VOL-YTD'!R:R,G7,'Input 5.1_2021VOL-YTD'!O:O)</f>
        <v>67421.709999999992</v>
      </c>
      <c r="AH7" s="64">
        <f>IFERROR(IF($AD7="Historical Average",(AVERAGE($AE7:$AG7)/AVERAGE($Y7:$AA7))*AB7,IF($AD7="UPC Growth Rate",((AG7/AA7)*(1+$S7)*AB7),IF($AD7="Modeled UPC",AB7/12*$W7,IF(AD7="Base Period",AG7,IF(AD7="Adjusted",SUMIF('Input 15_Fcst Inputs'!A:A,D7,'Input 15_Fcst Inputs'!F:F),0))))),0)</f>
        <v>60093.806484524081</v>
      </c>
      <c r="AI7" s="64">
        <f>IFERROR(IF($AD7="Historical Average",(AVERAGE($AE7:$AG7)/AVERAGE($Y7:$AA7))*AC7,IF($AD7="UPC Growth Rate",((AH7/AB7)*(1+$S7)*AC7),IF($AD7="Modeled UPC",AC7/12*$W7,IF(AD7="Base Period",AG7,IF(AD7="Adjusted",SUMIF('Input 15_Fcst Inputs'!A:A,D7,'Input 15_Fcst Inputs'!G:G),0))))),0)</f>
        <v>56951.996361702601</v>
      </c>
      <c r="AJ7" s="273">
        <f>VLOOKUP($G7,'WP-Peak Month UPC'!$C:$BL,17,FALSE)</f>
        <v>16.963439716312099</v>
      </c>
      <c r="AK7" s="273">
        <f>VLOOKUP($G7,'WP-Peak Month UPC'!$C:$BL,32,FALSE)</f>
        <v>14.428053097345094</v>
      </c>
      <c r="AL7" s="273">
        <f>VLOOKUP($G7,'WP-Peak Month UPC'!$C:$BL,47,FALSE)</f>
        <v>17.402196428571411</v>
      </c>
      <c r="AM7" s="273">
        <f>IF(OR(AD7="Base Period",AD7="Adjusted"),AL7,IF(AD7="Historical Average",AVERAGE(AJ7:AL7),IF(AD7="Modeled UPC",VLOOKUP(H7,Report_Regression!AB:AJ,5,FALSE),IF(AD7="UPC Growth Rate",AL7*(1+VLOOKUP(H7,Report_Regression!AB:AN,13,FALSE))))))</f>
        <v>12.14</v>
      </c>
      <c r="AN7" s="273">
        <f>IF(OR($AD7="Base Period",$AD7="Adjusted"),$AL7,IF($AD7="Historical Average",AVERAGE($AJ7:$AL7),IF($AD7="Modeled UPC",VLOOKUP($H7,Report_Regression!$AB:$AJ,9,FALSE),IF($AD7="UPC Growth Rate",AM7*(1+VLOOKUP($H7,Report_Regression!$AB:$AN,13,FALSE))))))</f>
        <v>11.89</v>
      </c>
      <c r="AO7" s="58">
        <f>VLOOKUP(E7,'Input 7_NG Rates'!B:I,7,FALSE)</f>
        <v>8.5</v>
      </c>
      <c r="AP7" s="292">
        <f>VLOOKUP(E7,'Input 7_NG Rates'!B:I,8,FALSE)</f>
        <v>0.55700000000000005</v>
      </c>
      <c r="AQ7" s="293">
        <f>VLOOKUP(D7,'Input 14_Ref Table'!C:N,12,FALSE)</f>
        <v>0</v>
      </c>
      <c r="AR7" s="292"/>
      <c r="AS7" s="151">
        <f t="shared" si="0"/>
        <v>56363.5</v>
      </c>
      <c r="AT7" s="151">
        <f t="shared" si="1"/>
        <v>37553.892469999999</v>
      </c>
      <c r="AU7" s="151">
        <f>SUMIF('Input 13.3_2021 Min Charges'!A:A,G7,'Input 13.3_2021 Min Charges'!O:O)</f>
        <v>0</v>
      </c>
      <c r="AV7" s="151">
        <f t="shared" si="2"/>
        <v>0</v>
      </c>
      <c r="AW7" s="151">
        <v>0</v>
      </c>
      <c r="AX7" s="151">
        <f t="shared" si="11"/>
        <v>93917.392469999992</v>
      </c>
      <c r="AY7" s="533">
        <f>SUMIF('Input 6_2021MARG-YTD'!AN:AN,G7,'Input 6_2021MARG-YTD'!AK:AK)</f>
        <v>93782.43999999993</v>
      </c>
      <c r="AZ7" s="533">
        <f t="shared" si="12"/>
        <v>-134.95247000006202</v>
      </c>
      <c r="BA7" s="533"/>
      <c r="BB7" s="533"/>
      <c r="BC7" s="533"/>
      <c r="BD7" s="533"/>
      <c r="BE7" s="533"/>
      <c r="BF7" s="533"/>
      <c r="BH7" s="294"/>
      <c r="BI7" s="294"/>
      <c r="BJ7" s="191" t="s">
        <v>721</v>
      </c>
      <c r="BK7" s="514">
        <v>0.15244999999999995</v>
      </c>
      <c r="BL7" s="190">
        <f t="shared" si="3"/>
        <v>8682.3318453415577</v>
      </c>
      <c r="BM7" s="550" cm="1">
        <f t="array" ref="BM7">IFERROR(INDEX('Input 1_GRIP Factors'!$K$5:$K$54,MATCH(1,(BJ7='Input 1_GRIP Factors'!$G$5:$G$54)*(A7='Input 1_GRIP Factors'!$J$5:$J$54),0)),0)</f>
        <v>0.16325419999999999</v>
      </c>
      <c r="BN7" s="190">
        <f t="shared" si="4"/>
        <v>11006.877328681998</v>
      </c>
      <c r="BO7" s="190">
        <f t="shared" si="13"/>
        <v>10468.487841437231</v>
      </c>
      <c r="BP7" s="190">
        <f t="shared" si="14"/>
        <v>21475.365170119228</v>
      </c>
      <c r="BQ7" s="44" cm="1">
        <f t="array" ref="BQ7">IFERROR(INDEX('Input 1_GRIP Factors'!$Y$5:$Y$65,MATCH(1,(BJ7='Input 1_GRIP Factors'!$G$5:$G$65)*(A7='Input 1_GRIP Factors'!$J$5:$J$65),0)),0)*AG7</f>
        <v>5152.3670781999999</v>
      </c>
      <c r="BR7" s="190">
        <f t="shared" si="15"/>
        <v>5847.8146646702698</v>
      </c>
      <c r="BS7" s="44" cm="1">
        <f t="array" ref="BS7">IFERROR(INDEX('Input 1_GRIP Factors'!$AC$5:$AC$65,MATCH(1,(BJ7='Input 1_GRIP Factors'!$G$5:$G$65)*(A7='Input 1_GRIP Factors'!$J$5:$J$65),0)),0)*AG7</f>
        <v>0</v>
      </c>
      <c r="BT7" s="190">
        <f t="shared" si="16"/>
        <v>0</v>
      </c>
      <c r="BU7" s="190">
        <f t="shared" si="5"/>
        <v>121240.57230478949</v>
      </c>
      <c r="BV7" s="190">
        <f t="shared" ca="1" si="17"/>
        <v>165.37570699033375</v>
      </c>
      <c r="BW7" s="190">
        <f t="shared" ca="1" si="6"/>
        <v>296.90432134709829</v>
      </c>
      <c r="BX7" s="190" cm="1">
        <f t="array" aca="1" ref="BX7" ca="1">IFERROR(INDEX('Input 1_GRIP Factors'!$AC$5:$AC$65,MATCH(1,(BJ7='Input 1_GRIP Factors'!$G$5:$G$65)*(A7='Input 1_GRIP Factors'!$J$5:$J$65),0)),0)*BW7</f>
        <v>0</v>
      </c>
      <c r="BY7" s="190"/>
      <c r="BZ7" s="56">
        <f>SUMIF('Monthly VOL'!G:G,'Master '!G7,'Monthly VOL'!BV:BV)</f>
        <v>4809.6995871744011</v>
      </c>
      <c r="CA7" s="519"/>
      <c r="CB7" s="56"/>
      <c r="CC7" s="553" t="s">
        <v>112</v>
      </c>
    </row>
    <row r="8" spans="1:81" s="55" customFormat="1">
      <c r="A8" s="55" t="s">
        <v>996</v>
      </c>
      <c r="B8" s="55" t="s">
        <v>994</v>
      </c>
      <c r="C8" s="55" t="s">
        <v>1245</v>
      </c>
      <c r="D8" s="55" t="s">
        <v>96</v>
      </c>
      <c r="E8" s="55" t="str">
        <f>VLOOKUP(D8,'Input 14_Ref Table'!C:D,2,FALSE)</f>
        <v>FMCS1</v>
      </c>
      <c r="F8" s="172" t="s">
        <v>1286</v>
      </c>
      <c r="G8" s="59" t="str">
        <f>VLOOKUP(D8,'Input 14_Ref Table'!C:I,7,FALSE)</f>
        <v>FMCS1</v>
      </c>
      <c r="H8" s="59" t="str">
        <f>VLOOKUP(D8,'Input 14_Ref Table'!C:K,8,FALSE)</f>
        <v>GS1_FortMeade</v>
      </c>
      <c r="I8" s="55" t="str">
        <f>VLOOKUP(E8,'Input 7_NG Rates'!B:G,6,FALSE)</f>
        <v>GS-1</v>
      </c>
      <c r="J8" s="56" t="str">
        <f>IFERROR(VLOOKUP(H8,Report_Regression!B:L,11,FALSE),"")</f>
        <v>Median</v>
      </c>
      <c r="K8" s="57">
        <f>_xlfn.IFNA(VLOOKUP($H8,Report_Regression!$B:$L,9,FALSE),0)</f>
        <v>-2.7622859351881829E-2</v>
      </c>
      <c r="L8" s="57">
        <f>_xlfn.IFNA(VLOOKUP($H8,Report_Regression!$B:$L,10,FALSE),0)</f>
        <v>-6.0693781438392269E-2</v>
      </c>
      <c r="M8" s="57">
        <f>_xlfn.IFNA(VLOOKUP($H8,Report_Regression!$B:$L,8,FALSE),0)</f>
        <v>-1.4200244051049466E-4</v>
      </c>
      <c r="N8" s="57">
        <f t="shared" si="7"/>
        <v>-2.7622859351881829E-2</v>
      </c>
      <c r="O8" s="57" t="str">
        <f>IFERROR(VLOOKUP(H8,Report_Regression!O:Y,11,FALSE),"")</f>
        <v>Median</v>
      </c>
      <c r="P8" s="57">
        <f>IFERROR(VLOOKUP($H8,Report_Regression!$O:$Y,9,FALSE),0)</f>
        <v>-6.3629918468627502E-3</v>
      </c>
      <c r="Q8" s="57">
        <f>IFERROR(VLOOKUP($H8,Report_Regression!$O:$Y,10,FALSE),0)</f>
        <v>4.9025615884296754E-4</v>
      </c>
      <c r="R8" s="57">
        <f>IFERROR(VLOOKUP($H8,Report_Regression!$O:$Y,8,FALSE),0)</f>
        <v>4.9025615884296754E-4</v>
      </c>
      <c r="S8" s="57">
        <f t="shared" si="8"/>
        <v>-6.3629918468627502E-3</v>
      </c>
      <c r="T8" s="56">
        <f>_xlfn.IFNA(VLOOKUP($H8,Report_Regression!$O:$Y,6,FALSE),0)</f>
        <v>2803.05</v>
      </c>
      <c r="U8" s="56">
        <f>_xlfn.IFNA(VLOOKUP($H8,Report_Regression!$O:$Y,7,FALSE),0)</f>
        <v>2340.9</v>
      </c>
      <c r="V8" s="56">
        <f>_xlfn.IFNA(VLOOKUP($H8,Report_Regression!$O:$Y,5,FALSE),0)</f>
        <v>3265.2000000000003</v>
      </c>
      <c r="W8" s="5">
        <f t="shared" si="9"/>
        <v>2803.05</v>
      </c>
      <c r="X8" s="64">
        <f t="shared" si="10"/>
        <v>1990.4446814044218</v>
      </c>
      <c r="Y8" s="56">
        <f>SUMIF('Input 3_2019CUST-YTD'!S:S,G8,'Input 3_2019CUST-YTD'!R:R)</f>
        <v>238</v>
      </c>
      <c r="Z8" s="56">
        <f>SUMIF('Input 4_2020CUST-YTD'!S:S,G8,'Input 4_2020CUST-YTD'!R:R)</f>
        <v>255</v>
      </c>
      <c r="AA8" s="56">
        <f>SUMIF('Input 5_2021CUST-YTD'!S:S,G8,'Input 5_2021CUST-YTD'!R:R)</f>
        <v>276</v>
      </c>
      <c r="AB8" s="56">
        <f t="shared" si="19"/>
        <v>268.37609081888064</v>
      </c>
      <c r="AC8" s="56">
        <f t="shared" si="20"/>
        <v>260.96277580878285</v>
      </c>
      <c r="AD8" s="56" t="str">
        <f>VLOOKUP(D8,'Input 15_Fcst Inputs'!A:F,2,FALSE)</f>
        <v>UPC Growth Rate</v>
      </c>
      <c r="AE8" s="56">
        <f>SUMIF('Input 3.1_2019VOL-YTD'!R:R,G8,'Input 3.1_2019VOL-YTD'!O:O)</f>
        <v>42766.890000000007</v>
      </c>
      <c r="AF8" s="56">
        <f>SUMIF('Input 4.1_2020VOL-YTD'!R:R,G8,'Input 4.1_2020VOL-YTD'!O:O)</f>
        <v>40341.090000000004</v>
      </c>
      <c r="AG8" s="56">
        <f>SUMIF('Input 5.1_2021VOL-YTD'!R:R,G8,'Input 5.1_2021VOL-YTD'!O:O)</f>
        <v>44446.350000000006</v>
      </c>
      <c r="AH8" s="64">
        <f>IFERROR(IF($AD8="Historical Average",(AVERAGE($AE8:$AG8)/AVERAGE($Y8:$AA8))*AB8,IF($AD8="UPC Growth Rate",((AG8/AA8)*(1+$S8)*AB8),IF($AD8="Modeled UPC",AB8/12*$W8,IF(AD8="Base Period",AG8,IF(AD8="Adjusted",SUMIF('Input 15_Fcst Inputs'!A:A,D8,'Input 15_Fcst Inputs'!F:F),0))))),0)</f>
        <v>42943.615032116053</v>
      </c>
      <c r="AI8" s="64">
        <f>IFERROR(IF($AD8="Historical Average",(AVERAGE($AE8:$AG8)/AVERAGE($Y8:$AA8))*AC8,IF($AD8="UPC Growth Rate",((AH8/AB8)*(1+$S8)*AC8),IF($AD8="Modeled UPC",AC8/12*$W8,IF(AD8="Base Period",AG8,IF(AD8="Adjusted",SUMIF('Input 15_Fcst Inputs'!A:A,D8,'Input 15_Fcst Inputs'!G:G),0))))),0)</f>
        <v>41491.687664489524</v>
      </c>
      <c r="AJ8" s="273">
        <f>VLOOKUP($G8,'WP-Peak Month UPC'!$C:$BL,17,FALSE)</f>
        <v>466.45875000000001</v>
      </c>
      <c r="AK8" s="273">
        <f>VLOOKUP($G8,'WP-Peak Month UPC'!$C:$BL,32,FALSE)</f>
        <v>338.95235294117651</v>
      </c>
      <c r="AL8" s="273">
        <f>VLOOKUP($G8,'WP-Peak Month UPC'!$C:$BL,47,FALSE)</f>
        <v>391.81210526315789</v>
      </c>
      <c r="AM8" s="273">
        <f>IF(OR(AD8="Base Period",AD8="Adjusted"),AL8,IF(AD8="Historical Average",AVERAGE(AJ8:AL8),IF(AD8="Modeled UPC",VLOOKUP(H8,Report_Regression!AB:AJ,5,FALSE),IF(AD8="UPC Growth Rate",AL8*(1+VLOOKUP(H8,Report_Regression!AB:AN,13,FALSE))))))</f>
        <v>383.0073388527498</v>
      </c>
      <c r="AN8" s="273">
        <f>IF(OR($AD8="Base Period",$AD8="Adjusted"),$AL8,IF($AD8="Historical Average",AVERAGE($AJ8:$AL8),IF($AD8="Modeled UPC",VLOOKUP($H8,Report_Regression!$AB:$AJ,9,FALSE),IF($AD8="UPC Growth Rate",AM8*(1+VLOOKUP($H8,Report_Regression!$AB:$AN,13,FALSE))))))</f>
        <v>374.40043236167674</v>
      </c>
      <c r="AO8" s="58">
        <f>VLOOKUP(E8,'Input 7_NG Rates'!B:I,7,FALSE)</f>
        <v>17.5</v>
      </c>
      <c r="AP8" s="292">
        <f>VLOOKUP(E8,'Input 7_NG Rates'!B:I,8,FALSE)</f>
        <v>0.55700000000000005</v>
      </c>
      <c r="AQ8" s="293">
        <f>VLOOKUP(D8,'Input 14_Ref Table'!C:N,12,FALSE)</f>
        <v>0</v>
      </c>
      <c r="AR8" s="292"/>
      <c r="AS8" s="151">
        <f t="shared" si="0"/>
        <v>4830</v>
      </c>
      <c r="AT8" s="151">
        <f t="shared" si="1"/>
        <v>24756.616950000007</v>
      </c>
      <c r="AU8" s="151">
        <f>SUMIF('Input 13.3_2021 Min Charges'!A:A,G8,'Input 13.3_2021 Min Charges'!O:O)</f>
        <v>0</v>
      </c>
      <c r="AV8" s="151">
        <f t="shared" si="2"/>
        <v>0</v>
      </c>
      <c r="AW8" s="151">
        <v>0</v>
      </c>
      <c r="AX8" s="151">
        <f t="shared" si="11"/>
        <v>29586.616950000007</v>
      </c>
      <c r="AY8" s="533">
        <f>SUMIF('Input 6_2021MARG-YTD'!AN:AN,G8,'Input 6_2021MARG-YTD'!AK:AK)</f>
        <v>96620.73000000001</v>
      </c>
      <c r="AZ8" s="533">
        <f>AY8-SUM(AX8:AX11)</f>
        <v>-356.85768999998982</v>
      </c>
      <c r="BA8" s="533"/>
      <c r="BB8" s="533"/>
      <c r="BC8" s="533"/>
      <c r="BD8" s="533"/>
      <c r="BE8" s="533"/>
      <c r="BF8" s="533"/>
      <c r="BH8" s="294"/>
      <c r="BI8" s="294"/>
      <c r="BJ8" s="191" t="s">
        <v>706</v>
      </c>
      <c r="BK8" s="514">
        <v>1.4560000000000002E-2</v>
      </c>
      <c r="BL8" s="190">
        <f t="shared" si="3"/>
        <v>604.1189723949675</v>
      </c>
      <c r="BM8" s="550" cm="1">
        <f t="array" ref="BM8">IFERROR(INDEX('Input 1_GRIP Factors'!$K$5:$K$54,MATCH(1,(BJ8='Input 1_GRIP Factors'!$G$5:$G$54)*(A8='Input 1_GRIP Factors'!$J$5:$J$54),0)),0)</f>
        <v>1.9593889999999999E-2</v>
      </c>
      <c r="BN8" s="190">
        <f t="shared" si="4"/>
        <v>870.87689280150005</v>
      </c>
      <c r="BO8" s="190">
        <f t="shared" si="13"/>
        <v>828.27889249973225</v>
      </c>
      <c r="BP8" s="190">
        <f t="shared" si="14"/>
        <v>1699.1557853012323</v>
      </c>
      <c r="BQ8" s="44" cm="1">
        <f t="array" ref="BQ8">IFERROR(INDEX('Input 1_GRIP Factors'!$Y$5:$Y$65,MATCH(1,(BJ8='Input 1_GRIP Factors'!$G$5:$G$65)*(A8='Input 1_GRIP Factors'!$J$5:$J$65),0)),0)*AG8</f>
        <v>2135.6471175000006</v>
      </c>
      <c r="BR8" s="190">
        <f t="shared" si="15"/>
        <v>2423.908922389965</v>
      </c>
      <c r="BS8" s="44" cm="1">
        <f t="array" ref="BS8">IFERROR(INDEX('Input 1_GRIP Factors'!$AC$5:$AC$65,MATCH(1,(BJ8='Input 1_GRIP Factors'!$G$5:$G$65)*(A8='Input 1_GRIP Factors'!$J$5:$J$65),0)),0)*AG8</f>
        <v>0</v>
      </c>
      <c r="BT8" s="190">
        <f t="shared" si="16"/>
        <v>0</v>
      </c>
      <c r="BU8" s="190">
        <f t="shared" si="5"/>
        <v>33709.681657691202</v>
      </c>
      <c r="BV8" s="190">
        <f t="shared" ca="1" si="17"/>
        <v>52.097993426738114</v>
      </c>
      <c r="BW8" s="190">
        <f t="shared" ca="1" si="6"/>
        <v>93.533201843335917</v>
      </c>
      <c r="BX8" s="190" cm="1">
        <f t="array" aca="1" ref="BX8" ca="1">IFERROR(INDEX('Input 1_GRIP Factors'!$AC$5:$AC$65,MATCH(1,(BJ8='Input 1_GRIP Factors'!$G$5:$G$65)*(A8='Input 1_GRIP Factors'!$J$5:$J$65),0)),0)*BW8</f>
        <v>0</v>
      </c>
      <c r="BY8" s="190"/>
      <c r="BZ8" s="56">
        <f>SUMIF('Monthly VOL'!G:G,'Master '!G8,'Monthly VOL'!BV:BV)</f>
        <v>6960.4124443192823</v>
      </c>
      <c r="CA8" s="519"/>
      <c r="CB8" s="56"/>
      <c r="CC8" s="554" t="s">
        <v>1451</v>
      </c>
    </row>
    <row r="9" spans="1:81" s="55" customFormat="1">
      <c r="A9" s="55" t="s">
        <v>996</v>
      </c>
      <c r="B9" s="55" t="s">
        <v>993</v>
      </c>
      <c r="C9" s="55" t="s">
        <v>1245</v>
      </c>
      <c r="D9" s="55" t="s">
        <v>97</v>
      </c>
      <c r="E9" s="55" t="str">
        <f>VLOOKUP(D9,'Input 14_Ref Table'!C:D,2,FALSE)</f>
        <v>FMCT1</v>
      </c>
      <c r="F9" s="172" t="s">
        <v>1286</v>
      </c>
      <c r="G9" s="59" t="str">
        <f>VLOOKUP(D9,'Input 14_Ref Table'!C:I,7,FALSE)</f>
        <v>FMCT1</v>
      </c>
      <c r="H9" s="59" t="str">
        <f>VLOOKUP(D9,'Input 14_Ref Table'!C:K,8,FALSE)</f>
        <v>GS1_FortMeade</v>
      </c>
      <c r="I9" s="55" t="str">
        <f>VLOOKUP(E9,'Input 7_NG Rates'!B:G,6,FALSE)</f>
        <v>GSTS1</v>
      </c>
      <c r="J9" s="56" t="str">
        <f>IFERROR(VLOOKUP(H9,Report_Regression!B:L,11,FALSE),"")</f>
        <v>Median</v>
      </c>
      <c r="K9" s="57">
        <f>_xlfn.IFNA(VLOOKUP($H9,Report_Regression!$B:$L,9,FALSE),0)</f>
        <v>-2.7622859351881829E-2</v>
      </c>
      <c r="L9" s="57">
        <f>_xlfn.IFNA(VLOOKUP($H9,Report_Regression!$B:$L,10,FALSE),0)</f>
        <v>-6.0693781438392269E-2</v>
      </c>
      <c r="M9" s="57">
        <f>_xlfn.IFNA(VLOOKUP($H9,Report_Regression!$B:$L,8,FALSE),0)</f>
        <v>-1.4200244051049466E-4</v>
      </c>
      <c r="N9" s="57">
        <f t="shared" si="7"/>
        <v>-2.7622859351881829E-2</v>
      </c>
      <c r="O9" s="57" t="str">
        <f>IFERROR(VLOOKUP(H9,Report_Regression!O:Y,11,FALSE),"")</f>
        <v>Median</v>
      </c>
      <c r="P9" s="57">
        <f>IFERROR(VLOOKUP($H9,Report_Regression!$O:$Y,9,FALSE),0)</f>
        <v>-6.3629918468627502E-3</v>
      </c>
      <c r="Q9" s="57">
        <f>IFERROR(VLOOKUP($H9,Report_Regression!$O:$Y,10,FALSE),0)</f>
        <v>4.9025615884296754E-4</v>
      </c>
      <c r="R9" s="57">
        <f>IFERROR(VLOOKUP($H9,Report_Regression!$O:$Y,8,FALSE),0)</f>
        <v>4.9025615884296754E-4</v>
      </c>
      <c r="S9" s="57">
        <f t="shared" si="8"/>
        <v>-6.3629918468627502E-3</v>
      </c>
      <c r="T9" s="56">
        <f>_xlfn.IFNA(VLOOKUP($H9,Report_Regression!$O:$Y,6,FALSE),0)</f>
        <v>2803.05</v>
      </c>
      <c r="U9" s="56">
        <f>_xlfn.IFNA(VLOOKUP($H9,Report_Regression!$O:$Y,7,FALSE),0)</f>
        <v>2340.9</v>
      </c>
      <c r="V9" s="56">
        <f>_xlfn.IFNA(VLOOKUP($H9,Report_Regression!$O:$Y,5,FALSE),0)</f>
        <v>3265.2000000000003</v>
      </c>
      <c r="W9" s="5">
        <f t="shared" si="9"/>
        <v>2803.05</v>
      </c>
      <c r="X9" s="64">
        <f t="shared" si="10"/>
        <v>3868.045540540541</v>
      </c>
      <c r="Y9" s="56">
        <f>SUMIF('Input 3_2019CUST-YTD'!S:S,G9,'Input 3_2019CUST-YTD'!R:R)</f>
        <v>92</v>
      </c>
      <c r="Z9" s="56">
        <f>SUMIF('Input 4_2020CUST-YTD'!S:S,G9,'Input 4_2020CUST-YTD'!R:R)</f>
        <v>96</v>
      </c>
      <c r="AA9" s="56">
        <f>SUMIF('Input 5_2021CUST-YTD'!S:S,G9,'Input 5_2021CUST-YTD'!R:R)</f>
        <v>108</v>
      </c>
      <c r="AB9" s="56">
        <f t="shared" si="19"/>
        <v>105.01673118999676</v>
      </c>
      <c r="AC9" s="56">
        <f t="shared" si="20"/>
        <v>102.1158687947411</v>
      </c>
      <c r="AD9" s="56" t="str">
        <f>VLOOKUP(D9,'Input 15_Fcst Inputs'!A:F,2,FALSE)</f>
        <v>UPC Growth Rate</v>
      </c>
      <c r="AE9" s="56">
        <f>SUMIF('Input 3.1_2019VOL-YTD'!R:R,G9,'Input 3.1_2019VOL-YTD'!O:O)</f>
        <v>31338.15</v>
      </c>
      <c r="AF9" s="56">
        <f>SUMIF('Input 4.1_2020VOL-YTD'!R:R,G9,'Input 4.1_2020VOL-YTD'!O:O)</f>
        <v>29489.78</v>
      </c>
      <c r="AG9" s="56">
        <f>SUMIF('Input 5.1_2021VOL-YTD'!R:R,G9,'Input 5.1_2021VOL-YTD'!O:O)</f>
        <v>34583.86</v>
      </c>
      <c r="AH9" s="64">
        <f>IFERROR(IF($AD9="Historical Average",(AVERAGE($AE9:$AG9)/AVERAGE($Y9:$AA9))*AB9,IF($AD9="UPC Growth Rate",((AG9/AA9)*(1+$S9)*AB9),IF($AD9="Modeled UPC",AB9/12*$W9,IF(AD9="Base Period",AG9,IF(AD9="Adjusted",SUMIF('Input 15_Fcst Inputs'!A:A,D9,'Input 15_Fcst Inputs'!F:F),0))))),0)</f>
        <v>33414.576678728336</v>
      </c>
      <c r="AI9" s="64">
        <f>IFERROR(IF($AD9="Historical Average",(AVERAGE($AE9:$AG9)/AVERAGE($Y9:$AA9))*AC9,IF($AD9="UPC Growth Rate",((AH9/AB9)*(1+$S9)*AC9),IF($AD9="Modeled UPC",AC9/12*$W9,IF(AD9="Base Period",AG9,IF(AD9="Adjusted",SUMIF('Input 15_Fcst Inputs'!A:A,D9,'Input 15_Fcst Inputs'!G:G),0))))),0)</f>
        <v>32284.826928475177</v>
      </c>
      <c r="AJ9" s="273">
        <f>VLOOKUP($G9,'WP-Peak Month UPC'!$C:$BL,17,FALSE)</f>
        <v>618.62</v>
      </c>
      <c r="AK9" s="273">
        <f>VLOOKUP($G9,'WP-Peak Month UPC'!$C:$BL,32,FALSE)</f>
        <v>619.31750000000011</v>
      </c>
      <c r="AL9" s="273">
        <f>VLOOKUP($G9,'WP-Peak Month UPC'!$C:$BL,47,FALSE)</f>
        <v>459.54799999999994</v>
      </c>
      <c r="AM9" s="273">
        <f>IF(OR(AD9="Base Period",AD9="Adjusted"),AL9,IF(AD9="Historical Average",AVERAGE(AJ9:AL9),IF(AD9="Modeled UPC",VLOOKUP(H9,Report_Regression!AB:AJ,5,FALSE),IF(AD9="UPC Growth Rate",AL9*(1+VLOOKUP(H9,Report_Regression!AB:AN,13,FALSE))))))</f>
        <v>449.22107865168533</v>
      </c>
      <c r="AN9" s="273">
        <f>IF(OR($AD9="Base Period",$AD9="Adjusted"),$AL9,IF($AD9="Historical Average",AVERAGE($AJ9:$AL9),IF($AD9="Modeled UPC",VLOOKUP($H9,Report_Regression!$AB:$AJ,9,FALSE),IF($AD9="UPC Growth Rate",AM9*(1+VLOOKUP($H9,Report_Regression!$AB:$AN,13,FALSE))))))</f>
        <v>439.12622295164743</v>
      </c>
      <c r="AO9" s="58">
        <f>VLOOKUP(E9,'Input 7_NG Rates'!B:I,7,FALSE)</f>
        <v>17.5</v>
      </c>
      <c r="AP9" s="292">
        <f>VLOOKUP(E9,'Input 7_NG Rates'!B:I,8,FALSE)</f>
        <v>0.55700000000000005</v>
      </c>
      <c r="AQ9" s="293">
        <f>VLOOKUP(D9,'Input 14_Ref Table'!C:N,12,FALSE)</f>
        <v>4.5</v>
      </c>
      <c r="AR9" s="292"/>
      <c r="AS9" s="151">
        <f t="shared" si="0"/>
        <v>1890</v>
      </c>
      <c r="AT9" s="151">
        <f t="shared" si="1"/>
        <v>19263.210020000002</v>
      </c>
      <c r="AU9" s="151">
        <f>SUMIF('Input 13.3_2021 Min Charges'!A:A,G9,'Input 13.3_2021 Min Charges'!O:O)</f>
        <v>0</v>
      </c>
      <c r="AV9" s="151">
        <f t="shared" si="2"/>
        <v>0</v>
      </c>
      <c r="AW9" s="151">
        <v>468</v>
      </c>
      <c r="AX9" s="151">
        <f t="shared" si="11"/>
        <v>21621.210020000002</v>
      </c>
      <c r="AY9" s="533">
        <f>SUMIF('Input 6_2021MARG-YTD'!AN:AN,G9,'Input 6_2021MARG-YTD'!AK:AK)</f>
        <v>0</v>
      </c>
      <c r="AZ9" s="533"/>
      <c r="BA9" s="533"/>
      <c r="BB9" s="533"/>
      <c r="BC9" s="533"/>
      <c r="BD9" s="533"/>
      <c r="BE9" s="533"/>
      <c r="BF9" s="533"/>
      <c r="BH9" s="294"/>
      <c r="BI9" s="294"/>
      <c r="BJ9" s="191" t="s">
        <v>709</v>
      </c>
      <c r="BK9" s="514">
        <v>1.4560000000000003E-2</v>
      </c>
      <c r="BL9" s="190">
        <f t="shared" si="3"/>
        <v>470.06708007859868</v>
      </c>
      <c r="BM9" s="550" cm="1">
        <f t="array" ref="BM9">IFERROR(INDEX('Input 1_GRIP Factors'!$K$5:$K$54,MATCH(1,(BJ9='Input 1_GRIP Factors'!$G$5:$G$54)*(A9='Input 1_GRIP Factors'!$J$5:$J$54),0)),0)</f>
        <v>1.9593889999999999E-2</v>
      </c>
      <c r="BN9" s="190">
        <f t="shared" si="4"/>
        <v>677.63234861540002</v>
      </c>
      <c r="BO9" s="190">
        <f t="shared" si="13"/>
        <v>644.48669596414084</v>
      </c>
      <c r="BP9" s="190">
        <f t="shared" si="14"/>
        <v>1322.119044579541</v>
      </c>
      <c r="BQ9" s="44" cm="1">
        <f t="array" ref="BQ9">IFERROR(INDEX('Input 1_GRIP Factors'!$Y$5:$Y$65,MATCH(1,(BJ9='Input 1_GRIP Factors'!$G$5:$G$65)*(A9='Input 1_GRIP Factors'!$J$5:$J$65),0)),0)*AG9</f>
        <v>0</v>
      </c>
      <c r="BR9" s="190">
        <f t="shared" si="15"/>
        <v>0</v>
      </c>
      <c r="BS9" s="44" cm="1">
        <f t="array" ref="BS9">IFERROR(INDEX('Input 1_GRIP Factors'!$AC$5:$AC$65,MATCH(1,(BJ9='Input 1_GRIP Factors'!$G$5:$G$65)*(A9='Input 1_GRIP Factors'!$J$5:$J$65),0)),0)*AG9</f>
        <v>0</v>
      </c>
      <c r="BT9" s="190">
        <f t="shared" si="16"/>
        <v>0</v>
      </c>
      <c r="BU9" s="190">
        <f t="shared" si="5"/>
        <v>22943.329064579542</v>
      </c>
      <c r="BV9" s="190">
        <f t="shared" ca="1" si="17"/>
        <v>38.071999221934846</v>
      </c>
      <c r="BW9" s="190">
        <f t="shared" ca="1" si="6"/>
        <v>68.351883701857886</v>
      </c>
      <c r="BX9" s="190" cm="1">
        <f t="array" aca="1" ref="BX9" ca="1">IFERROR(INDEX('Input 1_GRIP Factors'!$AC$5:$AC$65,MATCH(1,(BJ9='Input 1_GRIP Factors'!$G$5:$G$65)*(A9='Input 1_GRIP Factors'!$J$5:$J$65),0)),0)*BW9</f>
        <v>0</v>
      </c>
      <c r="BY9" s="190"/>
      <c r="BZ9" s="56">
        <f>SUMIF('Monthly VOL'!G:G,'Master '!G9,'Monthly VOL'!BV:BV)</f>
        <v>2462.5775245360637</v>
      </c>
      <c r="CA9" s="519"/>
      <c r="CB9" s="56"/>
      <c r="CC9" s="554" t="s">
        <v>1452</v>
      </c>
    </row>
    <row r="10" spans="1:81" s="55" customFormat="1">
      <c r="A10" s="55" t="s">
        <v>996</v>
      </c>
      <c r="B10" s="55" t="s">
        <v>994</v>
      </c>
      <c r="C10" s="55" t="s">
        <v>1245</v>
      </c>
      <c r="D10" s="55" t="s">
        <v>98</v>
      </c>
      <c r="E10" s="55" t="str">
        <f>VLOOKUP(D10,'Input 14_Ref Table'!C:D,2,FALSE)</f>
        <v>FMLV1</v>
      </c>
      <c r="F10" s="172" t="s">
        <v>1286</v>
      </c>
      <c r="G10" s="59" t="str">
        <f>VLOOKUP(D10,'Input 14_Ref Table'!C:I,7,FALSE)</f>
        <v>FMLV1</v>
      </c>
      <c r="H10" s="59" t="str">
        <f>VLOOKUP(D10,'Input 14_Ref Table'!C:K,8,FALSE)</f>
        <v>Base Period</v>
      </c>
      <c r="I10" s="55" t="str">
        <f>VLOOKUP(E10,'Input 7_NG Rates'!B:G,6,FALSE)</f>
        <v>LVS</v>
      </c>
      <c r="J10" s="56" t="str">
        <f>IFERROR(VLOOKUP(H10,Report_Regression!B:L,11,FALSE),"")</f>
        <v>Base Period</v>
      </c>
      <c r="K10" s="57">
        <f>_xlfn.IFNA(VLOOKUP($H10,Report_Regression!$B:$L,9,FALSE),0)</f>
        <v>0</v>
      </c>
      <c r="L10" s="57">
        <f>_xlfn.IFNA(VLOOKUP($H10,Report_Regression!$B:$L,10,FALSE),0)</f>
        <v>0</v>
      </c>
      <c r="M10" s="57">
        <f>_xlfn.IFNA(VLOOKUP($H10,Report_Regression!$B:$L,8,FALSE),0)</f>
        <v>0</v>
      </c>
      <c r="N10" s="57">
        <f t="shared" si="7"/>
        <v>0</v>
      </c>
      <c r="O10" s="57" t="str">
        <f>IFERROR(VLOOKUP(H10,Report_Regression!O:Y,11,FALSE),"")</f>
        <v>Base Period</v>
      </c>
      <c r="P10" s="57">
        <f>IFERROR(VLOOKUP($H10,Report_Regression!$O:$Y,9,FALSE),0)</f>
        <v>0</v>
      </c>
      <c r="Q10" s="57">
        <f>IFERROR(VLOOKUP($H10,Report_Regression!$O:$Y,10,FALSE),0)</f>
        <v>0</v>
      </c>
      <c r="R10" s="57">
        <f>IFERROR(VLOOKUP($H10,Report_Regression!$O:$Y,8,FALSE),0)</f>
        <v>0</v>
      </c>
      <c r="S10" s="57">
        <f t="shared" si="8"/>
        <v>0</v>
      </c>
      <c r="T10" s="56">
        <f>_xlfn.IFNA(VLOOKUP($H10,Report_Regression!$O:$Y,6,FALSE),0)</f>
        <v>0</v>
      </c>
      <c r="U10" s="56">
        <f>_xlfn.IFNA(VLOOKUP($H10,Report_Regression!$O:$Y,7,FALSE),0)</f>
        <v>0</v>
      </c>
      <c r="V10" s="56">
        <f>_xlfn.IFNA(VLOOKUP($H10,Report_Regression!$O:$Y,5,FALSE),0)</f>
        <v>0</v>
      </c>
      <c r="W10" s="5">
        <f t="shared" si="9"/>
        <v>13662.630000000001</v>
      </c>
      <c r="X10" s="64">
        <f t="shared" si="10"/>
        <v>27944.368484848492</v>
      </c>
      <c r="Y10" s="56">
        <f>SUMIF('Input 3_2019CUST-YTD'!S:S,G10,'Input 3_2019CUST-YTD'!R:R)</f>
        <v>27</v>
      </c>
      <c r="Z10" s="56">
        <f>SUMIF('Input 4_2020CUST-YTD'!S:S,G10,'Input 4_2020CUST-YTD'!R:R)</f>
        <v>48</v>
      </c>
      <c r="AA10" s="56">
        <f>SUMIF('Input 5_2021CUST-YTD'!S:S,G10,'Input 5_2021CUST-YTD'!R:R)</f>
        <v>24</v>
      </c>
      <c r="AB10" s="56">
        <f t="shared" si="19"/>
        <v>24</v>
      </c>
      <c r="AC10" s="56">
        <f t="shared" si="20"/>
        <v>24</v>
      </c>
      <c r="AD10" s="56" t="str">
        <f>VLOOKUP(D10,'Input 15_Fcst Inputs'!A:F,2,FALSE)</f>
        <v>Base Period</v>
      </c>
      <c r="AE10" s="56">
        <f>SUMIF('Input 3.1_2019VOL-YTD'!R:R,G10,'Input 3.1_2019VOL-YTD'!O:O)</f>
        <v>77382.11</v>
      </c>
      <c r="AF10" s="56">
        <f>SUMIF('Input 4.1_2020VOL-YTD'!R:R,G10,'Input 4.1_2020VOL-YTD'!O:O)</f>
        <v>125833.67000000001</v>
      </c>
      <c r="AG10" s="56">
        <f>SUMIF('Input 5.1_2021VOL-YTD'!R:R,G10,'Input 5.1_2021VOL-YTD'!O:O)</f>
        <v>27325.26</v>
      </c>
      <c r="AH10" s="64">
        <f>IFERROR(IF($AD10="Historical Average",(AVERAGE($AE10:$AG10)/AVERAGE($Y10:$AA10))*AB10,IF($AD10="UPC Growth Rate",((AG10/AA10)*(1+$S10)*AB10),IF($AD10="Modeled UPC",AB10/12*$W10,IF(AD10="Base Period",AG10,IF(AD10="Adjusted",SUMIF('Input 15_Fcst Inputs'!A:A,D10,'Input 15_Fcst Inputs'!F:F),0))))),0)</f>
        <v>27325.26</v>
      </c>
      <c r="AI10" s="64">
        <f>IFERROR(IF($AD10="Historical Average",(AVERAGE($AE10:$AG10)/AVERAGE($Y10:$AA10))*AC10,IF($AD10="UPC Growth Rate",((AH10/AB10)*(1+$S10)*AC10),IF($AD10="Modeled UPC",AC10/12*$W10,IF(AD10="Base Period",AG10,IF(AD10="Adjusted",SUMIF('Input 15_Fcst Inputs'!A:A,D10,'Input 15_Fcst Inputs'!G:G),0))))),0)</f>
        <v>27325.26</v>
      </c>
      <c r="AJ10" s="273">
        <f>VLOOKUP($G10,'WP-Peak Month UPC'!$C:$BL,17,FALSE)</f>
        <v>0</v>
      </c>
      <c r="AK10" s="273">
        <f>VLOOKUP($G10,'WP-Peak Month UPC'!$C:$BL,32,FALSE)</f>
        <v>7636.52</v>
      </c>
      <c r="AL10" s="273">
        <f>VLOOKUP($G10,'WP-Peak Month UPC'!$C:$BL,47,FALSE)</f>
        <v>1342.7049999999999</v>
      </c>
      <c r="AM10" s="273">
        <f>IF(OR(AD10="Base Period",AD10="Adjusted"),AL10,IF(AD10="Historical Average",AVERAGE(AJ10:AL10),IF(AD10="Modeled UPC",VLOOKUP(H10,Report_Regression!AB:AJ,5,FALSE),IF(AD10="UPC Growth Rate",AL10*(1+VLOOKUP(H10,Report_Regression!AB:AN,13,FALSE))))))</f>
        <v>1342.7049999999999</v>
      </c>
      <c r="AN10" s="273">
        <f>IF(OR($AD10="Base Period",$AD10="Adjusted"),$AL10,IF($AD10="Historical Average",AVERAGE($AJ10:$AL10),IF($AD10="Modeled UPC",VLOOKUP($H10,Report_Regression!$AB:$AJ,9,FALSE),IF($AD10="UPC Growth Rate",AM10*(1+VLOOKUP($H10,Report_Regression!$AB:$AN,13,FALSE))))))</f>
        <v>1342.7049999999999</v>
      </c>
      <c r="AO10" s="58">
        <f>VLOOKUP(E10,'Input 7_NG Rates'!B:I,7,FALSE)</f>
        <v>175</v>
      </c>
      <c r="AP10" s="292">
        <f>VLOOKUP(E10,'Input 7_NG Rates'!B:I,8,FALSE)</f>
        <v>0.218</v>
      </c>
      <c r="AQ10" s="293">
        <f>VLOOKUP(D10,'Input 14_Ref Table'!C:N,12,FALSE)</f>
        <v>0</v>
      </c>
      <c r="AR10" s="292"/>
      <c r="AS10" s="151">
        <f t="shared" si="0"/>
        <v>4200</v>
      </c>
      <c r="AT10" s="151">
        <f t="shared" si="1"/>
        <v>5956.9066800000001</v>
      </c>
      <c r="AU10" s="151">
        <f>SUMIF('Input 13.3_2021 Min Charges'!A:A,G10,'Input 13.3_2021 Min Charges'!O:O)</f>
        <v>0</v>
      </c>
      <c r="AV10" s="151">
        <f t="shared" si="2"/>
        <v>0</v>
      </c>
      <c r="AW10" s="151">
        <v>0</v>
      </c>
      <c r="AX10" s="151">
        <f t="shared" si="11"/>
        <v>10156.90668</v>
      </c>
      <c r="AY10" s="533">
        <f>SUMIF('Input 6_2021MARG-YTD'!AN:AN,G10,'Input 6_2021MARG-YTD'!AK:AK)</f>
        <v>0</v>
      </c>
      <c r="AZ10" s="533"/>
      <c r="BA10" s="533"/>
      <c r="BB10" s="533"/>
      <c r="BC10" s="533"/>
      <c r="BD10" s="533"/>
      <c r="BE10" s="533"/>
      <c r="BF10" s="533"/>
      <c r="BH10" s="294"/>
      <c r="BI10" s="294"/>
      <c r="BJ10" s="191" t="s">
        <v>713</v>
      </c>
      <c r="BK10" s="514">
        <v>0</v>
      </c>
      <c r="BL10" s="190">
        <f t="shared" si="3"/>
        <v>0</v>
      </c>
      <c r="BM10" s="518" cm="1">
        <f t="array" ref="BM10">IFERROR(INDEX('Input 1_GRIP Factors'!$K$5:$K$54,MATCH(1,(BJ10='Input 1_GRIP Factors'!$G$5:$G$54)*(A10='Input 1_GRIP Factors'!$J$5:$J$54),0)),0)</f>
        <v>0</v>
      </c>
      <c r="BN10" s="190">
        <f t="shared" si="4"/>
        <v>0</v>
      </c>
      <c r="BO10" s="190">
        <f t="shared" si="13"/>
        <v>0</v>
      </c>
      <c r="BP10" s="190">
        <f t="shared" si="14"/>
        <v>0</v>
      </c>
      <c r="BQ10" s="44" cm="1">
        <f t="array" ref="BQ10">IFERROR(INDEX('Input 1_GRIP Factors'!$Y$5:$Y$65,MATCH(1,(BJ10='Input 1_GRIP Factors'!$G$5:$G$65)*(A10='Input 1_GRIP Factors'!$J$5:$J$65),0)),0)*AG10</f>
        <v>810.19395899999995</v>
      </c>
      <c r="BR10" s="190">
        <f t="shared" si="15"/>
        <v>919.55096419928509</v>
      </c>
      <c r="BS10" s="44" cm="1">
        <f t="array" ref="BS10">IFERROR(INDEX('Input 1_GRIP Factors'!$AC$5:$AC$65,MATCH(1,(BJ10='Input 1_GRIP Factors'!$G$5:$G$65)*(A10='Input 1_GRIP Factors'!$J$5:$J$65),0)),0)*AG10</f>
        <v>0</v>
      </c>
      <c r="BT10" s="190">
        <f t="shared" si="16"/>
        <v>0</v>
      </c>
      <c r="BU10" s="190">
        <f t="shared" si="5"/>
        <v>11076.457644199285</v>
      </c>
      <c r="BV10" s="190">
        <f t="shared" ca="1" si="17"/>
        <v>17.884926091579807</v>
      </c>
      <c r="BW10" s="190">
        <f t="shared" ca="1" si="6"/>
        <v>82.040945374219305</v>
      </c>
      <c r="BX10" s="190" cm="1">
        <f t="array" aca="1" ref="BX10" ca="1">IFERROR(INDEX('Input 1_GRIP Factors'!$AC$5:$AC$65,MATCH(1,(BJ10='Input 1_GRIP Factors'!$G$5:$G$65)*(A10='Input 1_GRIP Factors'!$J$5:$J$65),0)),0)*BW10</f>
        <v>0</v>
      </c>
      <c r="BY10" s="190"/>
      <c r="BZ10" s="56">
        <f>SUMIF('Monthly VOL'!G:G,'Master '!G10,'Monthly VOL'!BV:BV)</f>
        <v>2685.41</v>
      </c>
      <c r="CA10" s="519"/>
      <c r="CB10" s="56"/>
      <c r="CC10" s="554" t="s">
        <v>101</v>
      </c>
    </row>
    <row r="11" spans="1:81" s="60" customFormat="1">
      <c r="A11" s="60" t="s">
        <v>996</v>
      </c>
      <c r="B11" s="60" t="s">
        <v>993</v>
      </c>
      <c r="C11" s="55" t="s">
        <v>1245</v>
      </c>
      <c r="D11" s="60" t="s">
        <v>99</v>
      </c>
      <c r="E11" s="55" t="str">
        <f>VLOOKUP(D11,'Input 14_Ref Table'!C:D,2,FALSE)</f>
        <v>FMLT1</v>
      </c>
      <c r="F11" s="172" t="s">
        <v>1286</v>
      </c>
      <c r="G11" s="59" t="str">
        <f>VLOOKUP(D11,'Input 14_Ref Table'!C:I,7,FALSE)</f>
        <v>FMLT1</v>
      </c>
      <c r="H11" s="59" t="str">
        <f>VLOOKUP(D11,'Input 14_Ref Table'!C:K,8,FALSE)</f>
        <v>Base Period</v>
      </c>
      <c r="I11" s="55" t="str">
        <f>VLOOKUP(E11,'Input 7_NG Rates'!B:G,6,FALSE)</f>
        <v>LVTS</v>
      </c>
      <c r="J11" s="56" t="str">
        <f>IFERROR(VLOOKUP(H11,Report_Regression!B:L,11,FALSE),"")</f>
        <v>Base Period</v>
      </c>
      <c r="K11" s="57">
        <f>_xlfn.IFNA(VLOOKUP($H11,Report_Regression!$B:$L,9,FALSE),0)</f>
        <v>0</v>
      </c>
      <c r="L11" s="57">
        <f>_xlfn.IFNA(VLOOKUP($H11,Report_Regression!$B:$L,10,FALSE),0)</f>
        <v>0</v>
      </c>
      <c r="M11" s="57">
        <f>_xlfn.IFNA(VLOOKUP($H11,Report_Regression!$B:$L,8,FALSE),0)</f>
        <v>0</v>
      </c>
      <c r="N11" s="57">
        <f t="shared" si="7"/>
        <v>0</v>
      </c>
      <c r="O11" s="57" t="str">
        <f>IFERROR(VLOOKUP(H11,Report_Regression!O:Y,11,FALSE),"")</f>
        <v>Base Period</v>
      </c>
      <c r="P11" s="57">
        <f>IFERROR(VLOOKUP($H11,Report_Regression!$O:$Y,9,FALSE),0)</f>
        <v>0</v>
      </c>
      <c r="Q11" s="57">
        <f>IFERROR(VLOOKUP($H11,Report_Regression!$O:$Y,10,FALSE),0)</f>
        <v>0</v>
      </c>
      <c r="R11" s="57">
        <f>IFERROR(VLOOKUP($H11,Report_Regression!$O:$Y,8,FALSE),0)</f>
        <v>0</v>
      </c>
      <c r="S11" s="57">
        <f t="shared" si="8"/>
        <v>0</v>
      </c>
      <c r="T11" s="56">
        <f>_xlfn.IFNA(VLOOKUP($H11,Report_Regression!$O:$Y,6,FALSE),0)</f>
        <v>0</v>
      </c>
      <c r="U11" s="56">
        <f>_xlfn.IFNA(VLOOKUP($H11,Report_Regression!$O:$Y,7,FALSE),0)</f>
        <v>0</v>
      </c>
      <c r="V11" s="56">
        <f>_xlfn.IFNA(VLOOKUP($H11,Report_Regression!$O:$Y,5,FALSE),0)</f>
        <v>0</v>
      </c>
      <c r="W11" s="5">
        <f t="shared" si="9"/>
        <v>70919.389999999985</v>
      </c>
      <c r="X11" s="64">
        <f t="shared" si="10"/>
        <v>70919.389999999985</v>
      </c>
      <c r="Y11" s="56">
        <f>SUMIF('Input 3_2019CUST-YTD'!S:S,G11,'Input 3_2019CUST-YTD'!R:R)</f>
        <v>0</v>
      </c>
      <c r="Z11" s="56">
        <f>SUMIF('Input 4_2020CUST-YTD'!S:S,G11,'Input 4_2020CUST-YTD'!R:R)</f>
        <v>0</v>
      </c>
      <c r="AA11" s="56">
        <f>SUMIF('Input 5_2021CUST-YTD'!S:S,G11,'Input 5_2021CUST-YTD'!R:R)</f>
        <v>24</v>
      </c>
      <c r="AB11" s="56">
        <f t="shared" si="19"/>
        <v>24</v>
      </c>
      <c r="AC11" s="56">
        <f t="shared" si="20"/>
        <v>24</v>
      </c>
      <c r="AD11" s="56" t="str">
        <f>VLOOKUP(D11,'Input 15_Fcst Inputs'!A:F,2,FALSE)</f>
        <v>Base Period</v>
      </c>
      <c r="AE11" s="56">
        <f>SUMIF('Input 3.1_2019VOL-YTD'!R:R,G11,'Input 3.1_2019VOL-YTD'!O:O)</f>
        <v>0</v>
      </c>
      <c r="AF11" s="56">
        <f>SUMIF('Input 4.1_2020VOL-YTD'!R:R,G11,'Input 4.1_2020VOL-YTD'!O:O)</f>
        <v>0</v>
      </c>
      <c r="AG11" s="56">
        <f>SUMIF('Input 5.1_2021VOL-YTD'!R:R,G11,'Input 5.1_2021VOL-YTD'!O:O)</f>
        <v>141838.77999999997</v>
      </c>
      <c r="AH11" s="64">
        <f>IFERROR(IF($AD11="Historical Average",(AVERAGE($AE11:$AG11)/AVERAGE($Y11:$AA11))*AB11,IF($AD11="UPC Growth Rate",((AG11/AA11)*(1+$S11)*AB11),IF($AD11="Modeled UPC",AB11/12*$W11,IF(AD11="Base Period",AG11,IF(AD11="Adjusted",SUMIF('Input 15_Fcst Inputs'!A:A,D11,'Input 15_Fcst Inputs'!F:F),0))))),0)</f>
        <v>141838.77999999997</v>
      </c>
      <c r="AI11" s="64">
        <f>IFERROR(IF($AD11="Historical Average",(AVERAGE($AE11:$AG11)/AVERAGE($Y11:$AA11))*AC11,IF($AD11="UPC Growth Rate",((AH11/AB11)*(1+$S11)*AC11),IF($AD11="Modeled UPC",AC11/12*$W11,IF(AD11="Base Period",AG11,IF(AD11="Adjusted",SUMIF('Input 15_Fcst Inputs'!A:A,D11,'Input 15_Fcst Inputs'!G:G),0))))),0)</f>
        <v>141838.77999999997</v>
      </c>
      <c r="AJ11" s="273">
        <f>VLOOKUP($G11,'WP-Peak Month UPC'!$C:$BL,17,FALSE)</f>
        <v>0</v>
      </c>
      <c r="AK11" s="273">
        <f>VLOOKUP($G11,'WP-Peak Month UPC'!$C:$BL,32,FALSE)</f>
        <v>0</v>
      </c>
      <c r="AL11" s="273">
        <f>VLOOKUP($G11,'WP-Peak Month UPC'!$C:$BL,47,FALSE)</f>
        <v>7477.89</v>
      </c>
      <c r="AM11" s="273">
        <f>IF(OR(AD11="Base Period",AD11="Adjusted"),AL11,IF(AD11="Historical Average",AVERAGE(AJ11:AL11),IF(AD11="Modeled UPC",VLOOKUP(H11,Report_Regression!AB:AJ,5,FALSE),IF(AD11="UPC Growth Rate",AL11*(1+VLOOKUP(H11,Report_Regression!AB:AN,13,FALSE))))))</f>
        <v>7477.89</v>
      </c>
      <c r="AN11" s="273">
        <f>IF(OR($AD11="Base Period",$AD11="Adjusted"),$AL11,IF($AD11="Historical Average",AVERAGE($AJ11:$AL11),IF($AD11="Modeled UPC",VLOOKUP($H11,Report_Regression!$AB:$AJ,9,FALSE),IF($AD11="UPC Growth Rate",AM11*(1+VLOOKUP($H11,Report_Regression!$AB:$AN,13,FALSE))))))</f>
        <v>7477.89</v>
      </c>
      <c r="AO11" s="58">
        <f>VLOOKUP(E11,'Input 7_NG Rates'!B:I,7,FALSE)</f>
        <v>175</v>
      </c>
      <c r="AP11" s="292">
        <f>VLOOKUP(E11,'Input 7_NG Rates'!B:I,8,FALSE)</f>
        <v>0.218</v>
      </c>
      <c r="AQ11" s="293">
        <f>VLOOKUP(D11,'Input 14_Ref Table'!C:N,12,FALSE)</f>
        <v>55</v>
      </c>
      <c r="AR11" s="292"/>
      <c r="AS11" s="151">
        <f t="shared" si="0"/>
        <v>4200</v>
      </c>
      <c r="AT11" s="151">
        <f t="shared" si="1"/>
        <v>30920.854039999995</v>
      </c>
      <c r="AU11" s="151">
        <f>SUMIF('Input 13.3_2021 Min Charges'!A:A,G11,'Input 13.3_2021 Min Charges'!O:O)</f>
        <v>0</v>
      </c>
      <c r="AV11" s="151">
        <f t="shared" si="2"/>
        <v>0</v>
      </c>
      <c r="AW11" s="151">
        <v>492</v>
      </c>
      <c r="AX11" s="151">
        <f t="shared" si="11"/>
        <v>35612.854039999991</v>
      </c>
      <c r="AY11" s="533">
        <f>SUMIF('Input 6_2021MARG-YTD'!AN:AN,G11,'Input 6_2021MARG-YTD'!AK:AK)</f>
        <v>0</v>
      </c>
      <c r="AZ11" s="533"/>
      <c r="BA11" s="533"/>
      <c r="BB11" s="533"/>
      <c r="BC11" s="533"/>
      <c r="BD11" s="533"/>
      <c r="BE11" s="533"/>
      <c r="BF11" s="533"/>
      <c r="BG11" s="55"/>
      <c r="BH11" s="294"/>
      <c r="BI11" s="294"/>
      <c r="BJ11" s="191" t="s">
        <v>711</v>
      </c>
      <c r="BK11" s="514">
        <v>0</v>
      </c>
      <c r="BL11" s="190">
        <f t="shared" si="3"/>
        <v>0</v>
      </c>
      <c r="BM11" s="518" cm="1">
        <f t="array" ref="BM11">IFERROR(INDEX('Input 1_GRIP Factors'!$K$5:$K$54,MATCH(1,(BJ11='Input 1_GRIP Factors'!$G$5:$G$54)*(A11='Input 1_GRIP Factors'!$J$5:$J$54),0)),0)</f>
        <v>0</v>
      </c>
      <c r="BN11" s="190">
        <f t="shared" si="4"/>
        <v>0</v>
      </c>
      <c r="BO11" s="190">
        <f t="shared" si="13"/>
        <v>0</v>
      </c>
      <c r="BP11" s="190">
        <f t="shared" si="14"/>
        <v>0</v>
      </c>
      <c r="BQ11" s="44" cm="1">
        <f t="array" ref="BQ11">IFERROR(INDEX('Input 1_GRIP Factors'!$Y$5:$Y$65,MATCH(1,(BJ11='Input 1_GRIP Factors'!$G$5:$G$65)*(A11='Input 1_GRIP Factors'!$J$5:$J$65),0)),0)*AG11</f>
        <v>4205.5198269999992</v>
      </c>
      <c r="BR11" s="190">
        <f t="shared" si="15"/>
        <v>4773.1654487404785</v>
      </c>
      <c r="BS11" s="44" cm="1">
        <f t="array" ref="BS11">IFERROR(INDEX('Input 1_GRIP Factors'!$AC$5:$AC$65,MATCH(1,(BJ11='Input 1_GRIP Factors'!$G$5:$G$65)*(A11='Input 1_GRIP Factors'!$J$5:$J$65),0)),0)*AG11</f>
        <v>14921.439655999997</v>
      </c>
      <c r="BT11" s="190">
        <f t="shared" si="16"/>
        <v>18917</v>
      </c>
      <c r="BU11" s="190">
        <f t="shared" si="5"/>
        <v>59303.019488740472</v>
      </c>
      <c r="BV11" s="190">
        <f t="shared" ca="1" si="17"/>
        <v>62.70937426941282</v>
      </c>
      <c r="BW11" s="190">
        <f t="shared" ca="1" si="6"/>
        <v>287.65768013492118</v>
      </c>
      <c r="BX11" s="190" cm="1">
        <f t="array" aca="1" ref="BX11" ca="1">IFERROR(INDEX('Input 1_GRIP Factors'!$AC$5:$AC$65,MATCH(1,(BJ11='Input 1_GRIP Factors'!$G$5:$G$65)*(A11='Input 1_GRIP Factors'!$J$5:$J$65),0)),0)*BW11</f>
        <v>30.261587950193707</v>
      </c>
      <c r="BY11" s="190"/>
      <c r="BZ11" s="56">
        <f>SUMIF('Monthly VOL'!G:G,'Master '!G11,'Monthly VOL'!BV:BV)</f>
        <v>14955.78</v>
      </c>
      <c r="CA11" s="519"/>
      <c r="CB11" s="56"/>
      <c r="CC11" s="554" t="s">
        <v>102</v>
      </c>
    </row>
    <row r="12" spans="1:81" s="60" customFormat="1">
      <c r="A12" s="60" t="s">
        <v>996</v>
      </c>
      <c r="B12" s="60" t="s">
        <v>994</v>
      </c>
      <c r="C12" s="55" t="s">
        <v>8</v>
      </c>
      <c r="D12" s="60" t="s">
        <v>995</v>
      </c>
      <c r="E12" s="55" t="str">
        <f>VLOOKUP(D12,'Input 14_Ref Table'!C:D,2,FALSE)</f>
        <v>FMPA1</v>
      </c>
      <c r="F12" s="172" t="s">
        <v>1286</v>
      </c>
      <c r="G12" s="59" t="str">
        <f>VLOOKUP(D12,'Input 14_Ref Table'!C:I,7,FALSE)</f>
        <v>GCNGV</v>
      </c>
      <c r="H12" s="59" t="str">
        <f>VLOOKUP(D12,'Input 14_Ref Table'!C:K,8,FALSE)</f>
        <v>Base Period</v>
      </c>
      <c r="I12" s="55" t="str">
        <f>VLOOKUP(E12,'Input 7_NG Rates'!B:G,6,FALSE)</f>
        <v>GS-1</v>
      </c>
      <c r="J12" s="56" t="str">
        <f>IFERROR(VLOOKUP(H12,Report_Regression!B:L,11,FALSE),"")</f>
        <v>Base Period</v>
      </c>
      <c r="K12" s="57">
        <f>_xlfn.IFNA(VLOOKUP($H12,Report_Regression!$B:$L,9,FALSE),0)</f>
        <v>0</v>
      </c>
      <c r="L12" s="57">
        <f>_xlfn.IFNA(VLOOKUP($H12,Report_Regression!$B:$L,10,FALSE),0)</f>
        <v>0</v>
      </c>
      <c r="M12" s="57">
        <f>_xlfn.IFNA(VLOOKUP($H12,Report_Regression!$B:$L,8,FALSE),0)</f>
        <v>0</v>
      </c>
      <c r="N12" s="57">
        <f t="shared" si="7"/>
        <v>0</v>
      </c>
      <c r="O12" s="57" t="str">
        <f>IFERROR(VLOOKUP(H12,Report_Regression!O:Y,11,FALSE),"")</f>
        <v>Base Period</v>
      </c>
      <c r="P12" s="57">
        <f>IFERROR(VLOOKUP($H12,Report_Regression!$O:$Y,9,FALSE),0)</f>
        <v>0</v>
      </c>
      <c r="Q12" s="57">
        <f>IFERROR(VLOOKUP($H12,Report_Regression!$O:$Y,10,FALSE),0)</f>
        <v>0</v>
      </c>
      <c r="R12" s="57">
        <f>IFERROR(VLOOKUP($H12,Report_Regression!$O:$Y,8,FALSE),0)</f>
        <v>0</v>
      </c>
      <c r="S12" s="57">
        <f t="shared" si="8"/>
        <v>0</v>
      </c>
      <c r="T12" s="56">
        <f>_xlfn.IFNA(VLOOKUP($H12,Report_Regression!$O:$Y,6,FALSE),0)</f>
        <v>0</v>
      </c>
      <c r="U12" s="56">
        <f>_xlfn.IFNA(VLOOKUP($H12,Report_Regression!$O:$Y,7,FALSE),0)</f>
        <v>0</v>
      </c>
      <c r="V12" s="56">
        <f>_xlfn.IFNA(VLOOKUP($H12,Report_Regression!$O:$Y,5,FALSE),0)</f>
        <v>0</v>
      </c>
      <c r="W12" s="5">
        <f t="shared" si="9"/>
        <v>0</v>
      </c>
      <c r="X12" s="64">
        <f t="shared" si="10"/>
        <v>0</v>
      </c>
      <c r="Y12" s="56">
        <f>SUMIF('Input 3_2019CUST-YTD'!S:S,G12,'Input 3_2019CUST-YTD'!R:R)</f>
        <v>0</v>
      </c>
      <c r="Z12" s="56">
        <f>SUMIF('Input 4_2020CUST-YTD'!S:S,G12,'Input 4_2020CUST-YTD'!R:R)</f>
        <v>0</v>
      </c>
      <c r="AA12" s="56">
        <f>SUMIF('Input 5_2021CUST-YTD'!S:S,G12,'Input 5_2021CUST-YTD'!R:R)</f>
        <v>0</v>
      </c>
      <c r="AB12" s="56">
        <f t="shared" si="19"/>
        <v>0</v>
      </c>
      <c r="AC12" s="56">
        <f t="shared" si="20"/>
        <v>0</v>
      </c>
      <c r="AD12" s="56" t="str">
        <f>VLOOKUP(D12,'Input 15_Fcst Inputs'!A:F,2,FALSE)</f>
        <v>Base Period</v>
      </c>
      <c r="AE12" s="56">
        <f>SUMIF('Input 3.1_2019VOL-YTD'!R:R,G12,'Input 3.1_2019VOL-YTD'!O:O)</f>
        <v>0</v>
      </c>
      <c r="AF12" s="56">
        <f>SUMIF('Input 4.1_2020VOL-YTD'!R:R,G12,'Input 4.1_2020VOL-YTD'!O:O)</f>
        <v>0</v>
      </c>
      <c r="AG12" s="56">
        <f>SUMIF('Input 5.1_2021VOL-YTD'!R:R,G12,'Input 5.1_2021VOL-YTD'!O:O)</f>
        <v>0</v>
      </c>
      <c r="AH12" s="64">
        <f>IFERROR(IF($AD12="Historical Average",(AVERAGE($AE12:$AG12)/AVERAGE($Y12:$AA12))*AB12,IF($AD12="UPC Growth Rate",((AG12/AA12)*(1+$S12)*AB12),IF($AD12="Modeled UPC",AB12/12*$W12,IF(AD12="Base Period",AG12,IF(AD12="Adjusted",SUMIF('Input 15_Fcst Inputs'!A:A,D12,'Input 15_Fcst Inputs'!F:F),0))))),0)</f>
        <v>0</v>
      </c>
      <c r="AI12" s="64">
        <f>IFERROR(IF($AD12="Historical Average",(AVERAGE($AE12:$AG12)/AVERAGE($Y12:$AA12))*AC12,IF($AD12="UPC Growth Rate",((AH12/AB12)*(1+$S12)*AC12),IF($AD12="Modeled UPC",AC12/12*$W12,IF(AD12="Base Period",AG12,IF(AD12="Adjusted",SUMIF('Input 15_Fcst Inputs'!A:A,D12,'Input 15_Fcst Inputs'!G:G),0))))),0)</f>
        <v>0</v>
      </c>
      <c r="AJ12" s="273">
        <f>VLOOKUP($G12,'WP-Peak Month UPC'!$C:$BL,17,FALSE)</f>
        <v>0</v>
      </c>
      <c r="AK12" s="273">
        <f>VLOOKUP($G12,'WP-Peak Month UPC'!$C:$BL,32,FALSE)</f>
        <v>0</v>
      </c>
      <c r="AL12" s="273">
        <f>VLOOKUP($G12,'WP-Peak Month UPC'!$C:$BL,47,FALSE)</f>
        <v>0</v>
      </c>
      <c r="AM12" s="273">
        <f>IF(OR(AD12="Base Period",AD12="Adjusted"),AL12,IF(AD12="Historical Average",AVERAGE(AJ12:AL12),IF(AD12="Modeled UPC",VLOOKUP(H12,Report_Regression!AB:AJ,5,FALSE),IF(AD12="UPC Growth Rate",AL12*(1+VLOOKUP(H12,Report_Regression!AB:AN,13,FALSE))))))</f>
        <v>0</v>
      </c>
      <c r="AN12" s="273">
        <f>IF(OR($AD12="Base Period",$AD12="Adjusted"),$AL12,IF($AD12="Historical Average",AVERAGE($AJ12:$AL12),IF($AD12="Modeled UPC",VLOOKUP($H12,Report_Regression!$AB:$AJ,9,FALSE),IF($AD12="UPC Growth Rate",AM12*(1+VLOOKUP($H12,Report_Regression!$AB:$AN,13,FALSE))))))</f>
        <v>0</v>
      </c>
      <c r="AO12" s="58">
        <f>VLOOKUP(E12,'Input 7_NG Rates'!B:I,7,FALSE)</f>
        <v>17.5</v>
      </c>
      <c r="AP12" s="292">
        <f>VLOOKUP(E12,'Input 7_NG Rates'!B:I,8,FALSE)</f>
        <v>0.55700000000000005</v>
      </c>
      <c r="AQ12" s="293">
        <f>VLOOKUP(D12,'Input 14_Ref Table'!C:N,12,FALSE)</f>
        <v>0</v>
      </c>
      <c r="AR12" s="292"/>
      <c r="AS12" s="151">
        <f t="shared" si="0"/>
        <v>0</v>
      </c>
      <c r="AT12" s="151">
        <f t="shared" si="1"/>
        <v>0</v>
      </c>
      <c r="AU12" s="151">
        <f>SUMIF('Input 13.3_2021 Min Charges'!A:A,G12,'Input 13.3_2021 Min Charges'!O:O)</f>
        <v>0</v>
      </c>
      <c r="AV12" s="151">
        <f t="shared" si="2"/>
        <v>0</v>
      </c>
      <c r="AW12" s="151">
        <v>0</v>
      </c>
      <c r="AX12" s="151">
        <f t="shared" si="11"/>
        <v>0</v>
      </c>
      <c r="AY12" s="533">
        <f>SUMIF('Input 6_2021MARG-YTD'!AN:AN,G12,'Input 6_2021MARG-YTD'!AK:AK)</f>
        <v>0</v>
      </c>
      <c r="AZ12" s="533">
        <f t="shared" si="12"/>
        <v>0</v>
      </c>
      <c r="BA12" s="533"/>
      <c r="BB12" s="533"/>
      <c r="BC12" s="533"/>
      <c r="BD12" s="533"/>
      <c r="BE12" s="533"/>
      <c r="BF12" s="533"/>
      <c r="BG12" s="55"/>
      <c r="BH12" s="294"/>
      <c r="BI12" s="294"/>
      <c r="BJ12" s="191" t="s">
        <v>716</v>
      </c>
      <c r="BK12" s="514">
        <v>1.4560000000000002E-2</v>
      </c>
      <c r="BL12" s="190">
        <f t="shared" si="3"/>
        <v>0</v>
      </c>
      <c r="BM12" s="518" cm="1">
        <f t="array" ref="BM12">IFERROR(INDEX('Input 1_GRIP Factors'!$K$5:$K$54,MATCH(1,(BJ12='Input 1_GRIP Factors'!$G$5:$G$54)*(A12='Input 1_GRIP Factors'!$J$5:$J$54),0)),0)</f>
        <v>0</v>
      </c>
      <c r="BN12" s="190">
        <f t="shared" si="4"/>
        <v>0</v>
      </c>
      <c r="BO12" s="190">
        <f t="shared" si="13"/>
        <v>0</v>
      </c>
      <c r="BP12" s="190">
        <f t="shared" si="14"/>
        <v>0</v>
      </c>
      <c r="BQ12" s="44" cm="1">
        <f t="array" ref="BQ12">IFERROR(INDEX('Input 1_GRIP Factors'!$Y$5:$Y$65,MATCH(1,(BJ12='Input 1_GRIP Factors'!$G$5:$G$65)*(A12='Input 1_GRIP Factors'!$J$5:$J$65),0)),0)*AG12</f>
        <v>0</v>
      </c>
      <c r="BR12" s="190">
        <f t="shared" si="15"/>
        <v>0</v>
      </c>
      <c r="BS12" s="44" cm="1">
        <f t="array" ref="BS12">IFERROR(INDEX('Input 1_GRIP Factors'!$AC$5:$AC$65,MATCH(1,(BJ12='Input 1_GRIP Factors'!$G$5:$G$65)*(A12='Input 1_GRIP Factors'!$J$5:$J$65),0)),0)*AG12</f>
        <v>0</v>
      </c>
      <c r="BT12" s="190">
        <f t="shared" si="16"/>
        <v>0</v>
      </c>
      <c r="BU12" s="190">
        <f t="shared" si="5"/>
        <v>0</v>
      </c>
      <c r="BV12" s="190">
        <f t="shared" ca="1" si="17"/>
        <v>0</v>
      </c>
      <c r="BW12" s="190">
        <f t="shared" ca="1" si="6"/>
        <v>0</v>
      </c>
      <c r="BX12" s="190" cm="1">
        <f t="array" aca="1" ref="BX12" ca="1">IFERROR(INDEX('Input 1_GRIP Factors'!$AC$5:$AC$65,MATCH(1,(BJ12='Input 1_GRIP Factors'!$G$5:$G$65)*(A12='Input 1_GRIP Factors'!$J$5:$J$65),0)),0)*BW12</f>
        <v>0</v>
      </c>
      <c r="BY12" s="190"/>
      <c r="BZ12" s="56">
        <f>SUMIF('Monthly VOL'!G:G,'Master '!G12,'Monthly VOL'!BV:BV)</f>
        <v>0</v>
      </c>
      <c r="CA12" s="519"/>
      <c r="CB12" s="56"/>
      <c r="CC12" s="553"/>
    </row>
    <row r="13" spans="1:81" s="60" customFormat="1">
      <c r="A13" s="60" t="s">
        <v>996</v>
      </c>
      <c r="B13" s="60" t="s">
        <v>993</v>
      </c>
      <c r="C13" s="55" t="s">
        <v>1245</v>
      </c>
      <c r="D13" s="60" t="s">
        <v>103</v>
      </c>
      <c r="E13" s="55" t="str">
        <f>VLOOKUP(D13,'Input 14_Ref Table'!C:D,2,FALSE)</f>
        <v>FMPT1</v>
      </c>
      <c r="F13" s="172" t="s">
        <v>1286</v>
      </c>
      <c r="G13" s="59" t="str">
        <f>VLOOKUP(D13,'Input 14_Ref Table'!C:I,7,FALSE)</f>
        <v>GTNGV</v>
      </c>
      <c r="H13" s="59" t="str">
        <f>VLOOKUP(D13,'Input 14_Ref Table'!C:K,8,FALSE)</f>
        <v>Base Period</v>
      </c>
      <c r="I13" s="55" t="str">
        <f>VLOOKUP(E13,'Input 7_NG Rates'!B:G,6,FALSE)</f>
        <v>GSTS1</v>
      </c>
      <c r="J13" s="56" t="str">
        <f>IFERROR(VLOOKUP(H13,Report_Regression!B:L,11,FALSE),"")</f>
        <v>Base Period</v>
      </c>
      <c r="K13" s="57">
        <f>_xlfn.IFNA(VLOOKUP($H13,Report_Regression!$B:$L,9,FALSE),0)</f>
        <v>0</v>
      </c>
      <c r="L13" s="57">
        <f>_xlfn.IFNA(VLOOKUP($H13,Report_Regression!$B:$L,10,FALSE),0)</f>
        <v>0</v>
      </c>
      <c r="M13" s="57">
        <f>_xlfn.IFNA(VLOOKUP($H13,Report_Regression!$B:$L,8,FALSE),0)</f>
        <v>0</v>
      </c>
      <c r="N13" s="57">
        <f t="shared" si="7"/>
        <v>0</v>
      </c>
      <c r="O13" s="57" t="str">
        <f>IFERROR(VLOOKUP(H13,Report_Regression!O:Y,11,FALSE),"")</f>
        <v>Base Period</v>
      </c>
      <c r="P13" s="57">
        <f>IFERROR(VLOOKUP($H13,Report_Regression!$O:$Y,9,FALSE),0)</f>
        <v>0</v>
      </c>
      <c r="Q13" s="57">
        <f>IFERROR(VLOOKUP($H13,Report_Regression!$O:$Y,10,FALSE),0)</f>
        <v>0</v>
      </c>
      <c r="R13" s="57">
        <f>IFERROR(VLOOKUP($H13,Report_Regression!$O:$Y,8,FALSE),0)</f>
        <v>0</v>
      </c>
      <c r="S13" s="57">
        <f t="shared" si="8"/>
        <v>0</v>
      </c>
      <c r="T13" s="56">
        <f>_xlfn.IFNA(VLOOKUP($H13,Report_Regression!$O:$Y,6,FALSE),0)</f>
        <v>0</v>
      </c>
      <c r="U13" s="56">
        <f>_xlfn.IFNA(VLOOKUP($H13,Report_Regression!$O:$Y,7,FALSE),0)</f>
        <v>0</v>
      </c>
      <c r="V13" s="56">
        <f>_xlfn.IFNA(VLOOKUP($H13,Report_Regression!$O:$Y,5,FALSE),0)</f>
        <v>0</v>
      </c>
      <c r="W13" s="5">
        <f t="shared" si="9"/>
        <v>0</v>
      </c>
      <c r="X13" s="64">
        <f t="shared" si="10"/>
        <v>0</v>
      </c>
      <c r="Y13" s="56">
        <f>SUMIF('Input 3_2019CUST-YTD'!S:S,G13,'Input 3_2019CUST-YTD'!R:R)</f>
        <v>0</v>
      </c>
      <c r="Z13" s="56">
        <f>SUMIF('Input 4_2020CUST-YTD'!S:S,G13,'Input 4_2020CUST-YTD'!R:R)</f>
        <v>0</v>
      </c>
      <c r="AA13" s="56">
        <f>SUMIF('Input 5_2021CUST-YTD'!S:S,G13,'Input 5_2021CUST-YTD'!R:R)</f>
        <v>0</v>
      </c>
      <c r="AB13" s="56">
        <f t="shared" si="19"/>
        <v>0</v>
      </c>
      <c r="AC13" s="56">
        <f t="shared" si="20"/>
        <v>0</v>
      </c>
      <c r="AD13" s="56" t="str">
        <f>VLOOKUP(D13,'Input 15_Fcst Inputs'!A:F,2,FALSE)</f>
        <v>Base Period</v>
      </c>
      <c r="AE13" s="56">
        <f>SUMIF('Input 3.1_2019VOL-YTD'!R:R,G13,'Input 3.1_2019VOL-YTD'!O:O)</f>
        <v>0</v>
      </c>
      <c r="AF13" s="56">
        <f>SUMIF('Input 4.1_2020VOL-YTD'!R:R,G13,'Input 4.1_2020VOL-YTD'!O:O)</f>
        <v>0</v>
      </c>
      <c r="AG13" s="56">
        <f>SUMIF('Input 5.1_2021VOL-YTD'!R:R,G13,'Input 5.1_2021VOL-YTD'!O:O)</f>
        <v>0</v>
      </c>
      <c r="AH13" s="64">
        <f>IFERROR(IF($AD13="Historical Average",(AVERAGE($AE13:$AG13)/AVERAGE($Y13:$AA13))*AB13,IF($AD13="UPC Growth Rate",((AG13/AA13)*(1+$S13)*AB13),IF($AD13="Modeled UPC",AB13/12*$W13,IF(AD13="Base Period",AG13,IF(AD13="Adjusted",SUMIF('Input 15_Fcst Inputs'!A:A,D13,'Input 15_Fcst Inputs'!F:F),0))))),0)</f>
        <v>0</v>
      </c>
      <c r="AI13" s="64">
        <f>IFERROR(IF($AD13="Historical Average",(AVERAGE($AE13:$AG13)/AVERAGE($Y13:$AA13))*AC13,IF($AD13="UPC Growth Rate",((AH13/AB13)*(1+$S13)*AC13),IF($AD13="Modeled UPC",AC13/12*$W13,IF(AD13="Base Period",AG13,IF(AD13="Adjusted",SUMIF('Input 15_Fcst Inputs'!A:A,D13,'Input 15_Fcst Inputs'!G:G),0))))),0)</f>
        <v>0</v>
      </c>
      <c r="AJ13" s="273">
        <f>VLOOKUP($G13,'WP-Peak Month UPC'!$C:$BL,17,FALSE)</f>
        <v>0</v>
      </c>
      <c r="AK13" s="273">
        <f>VLOOKUP($G13,'WP-Peak Month UPC'!$C:$BL,32,FALSE)</f>
        <v>0</v>
      </c>
      <c r="AL13" s="273">
        <f>VLOOKUP($G13,'WP-Peak Month UPC'!$C:$BL,47,FALSE)</f>
        <v>0</v>
      </c>
      <c r="AM13" s="273">
        <f>IF(OR(AD13="Base Period",AD13="Adjusted"),AL13,IF(AD13="Historical Average",AVERAGE(AJ13:AL13),IF(AD13="Modeled UPC",VLOOKUP(H13,Report_Regression!AB:AJ,5,FALSE),IF(AD13="UPC Growth Rate",AL13*(1+VLOOKUP(H13,Report_Regression!AB:AN,13,FALSE))))))</f>
        <v>0</v>
      </c>
      <c r="AN13" s="273">
        <f>IF(OR($AD13="Base Period",$AD13="Adjusted"),$AL13,IF($AD13="Historical Average",AVERAGE($AJ13:$AL13),IF($AD13="Modeled UPC",VLOOKUP($H13,Report_Regression!$AB:$AJ,9,FALSE),IF($AD13="UPC Growth Rate",AM13*(1+VLOOKUP($H13,Report_Regression!$AB:$AN,13,FALSE))))))</f>
        <v>0</v>
      </c>
      <c r="AO13" s="58">
        <f>VLOOKUP(E13,'Input 7_NG Rates'!B:I,7,FALSE)</f>
        <v>17.5</v>
      </c>
      <c r="AP13" s="292">
        <f>VLOOKUP(E13,'Input 7_NG Rates'!B:I,8,FALSE)</f>
        <v>0.55700000000000005</v>
      </c>
      <c r="AQ13" s="293">
        <f>VLOOKUP(D13,'Input 14_Ref Table'!C:N,12,FALSE)</f>
        <v>55</v>
      </c>
      <c r="AR13" s="292"/>
      <c r="AS13" s="151">
        <f t="shared" si="0"/>
        <v>0</v>
      </c>
      <c r="AT13" s="151">
        <f t="shared" si="1"/>
        <v>0</v>
      </c>
      <c r="AU13" s="151">
        <f>SUMIF('Input 13.3_2021 Min Charges'!A:A,G13,'Input 13.3_2021 Min Charges'!O:O)</f>
        <v>0</v>
      </c>
      <c r="AV13" s="151">
        <f t="shared" si="2"/>
        <v>0</v>
      </c>
      <c r="AW13" s="151">
        <v>0</v>
      </c>
      <c r="AX13" s="151">
        <f t="shared" si="11"/>
        <v>0</v>
      </c>
      <c r="AY13" s="533">
        <f>SUMIF('Input 6_2021MARG-YTD'!AN:AN,G13,'Input 6_2021MARG-YTD'!AK:AK)</f>
        <v>0</v>
      </c>
      <c r="AZ13" s="533">
        <f t="shared" si="12"/>
        <v>0</v>
      </c>
      <c r="BA13" s="533"/>
      <c r="BB13" s="533"/>
      <c r="BC13" s="533"/>
      <c r="BD13" s="533"/>
      <c r="BE13" s="533"/>
      <c r="BF13" s="533"/>
      <c r="BG13" s="55"/>
      <c r="BH13" s="294"/>
      <c r="BI13" s="294"/>
      <c r="BJ13" s="191" t="s">
        <v>719</v>
      </c>
      <c r="BK13" s="514">
        <v>1.4560000000000003E-2</v>
      </c>
      <c r="BL13" s="190">
        <f t="shared" si="3"/>
        <v>0</v>
      </c>
      <c r="BM13" s="518" cm="1">
        <f t="array" ref="BM13">IFERROR(INDEX('Input 1_GRIP Factors'!$K$5:$K$54,MATCH(1,(BJ13='Input 1_GRIP Factors'!$G$5:$G$54)*(A13='Input 1_GRIP Factors'!$J$5:$J$54),0)),0)</f>
        <v>0</v>
      </c>
      <c r="BN13" s="190">
        <f t="shared" si="4"/>
        <v>0</v>
      </c>
      <c r="BO13" s="190">
        <f t="shared" si="13"/>
        <v>0</v>
      </c>
      <c r="BP13" s="190">
        <f t="shared" si="14"/>
        <v>0</v>
      </c>
      <c r="BQ13" s="44" cm="1">
        <f t="array" ref="BQ13">IFERROR(INDEX('Input 1_GRIP Factors'!$Y$5:$Y$65,MATCH(1,(BJ13='Input 1_GRIP Factors'!$G$5:$G$65)*(A13='Input 1_GRIP Factors'!$J$5:$J$65),0)),0)*AG13</f>
        <v>0</v>
      </c>
      <c r="BR13" s="190">
        <f t="shared" si="15"/>
        <v>0</v>
      </c>
      <c r="BS13" s="44" cm="1">
        <f t="array" ref="BS13">IFERROR(INDEX('Input 1_GRIP Factors'!$AC$5:$AC$65,MATCH(1,(BJ13='Input 1_GRIP Factors'!$G$5:$G$65)*(A13='Input 1_GRIP Factors'!$J$5:$J$65),0)),0)*AG13</f>
        <v>0</v>
      </c>
      <c r="BT13" s="190">
        <f t="shared" si="16"/>
        <v>0</v>
      </c>
      <c r="BU13" s="190">
        <f t="shared" si="5"/>
        <v>0</v>
      </c>
      <c r="BV13" s="190">
        <f t="shared" ca="1" si="17"/>
        <v>0</v>
      </c>
      <c r="BW13" s="190">
        <f t="shared" ca="1" si="6"/>
        <v>0</v>
      </c>
      <c r="BX13" s="190" cm="1">
        <f t="array" aca="1" ref="BX13" ca="1">IFERROR(INDEX('Input 1_GRIP Factors'!$AC$5:$AC$65,MATCH(1,(BJ13='Input 1_GRIP Factors'!$G$5:$G$65)*(A13='Input 1_GRIP Factors'!$J$5:$J$65),0)),0)*BW13</f>
        <v>0</v>
      </c>
      <c r="BY13" s="190"/>
      <c r="BZ13" s="56">
        <f>SUMIF('Monthly VOL'!G:G,'Master '!G13,'Monthly VOL'!BV:BV)</f>
        <v>0</v>
      </c>
      <c r="CA13" s="519"/>
      <c r="CB13" s="56"/>
      <c r="CC13" s="554"/>
    </row>
    <row r="14" spans="1:81" s="60" customFormat="1">
      <c r="A14" s="60" t="s">
        <v>15</v>
      </c>
      <c r="B14" s="60" t="s">
        <v>994</v>
      </c>
      <c r="C14" s="55" t="s">
        <v>8</v>
      </c>
      <c r="D14" s="60" t="s">
        <v>29</v>
      </c>
      <c r="E14" s="55" t="str">
        <f>VLOOKUP(D14,'Input 14_Ref Table'!C:D,2,FALSE)</f>
        <v>GRS31</v>
      </c>
      <c r="F14" s="172" t="s">
        <v>1286</v>
      </c>
      <c r="G14" s="59" t="str">
        <f>VLOOKUP(D14,'Input 14_Ref Table'!C:I,7,FALSE)</f>
        <v>FPU - FPU - RS</v>
      </c>
      <c r="H14" s="59" t="str">
        <f>VLOOKUP(D14,'Input 14_Ref Table'!C:K,8,FALSE)</f>
        <v>FPU_RS</v>
      </c>
      <c r="I14" s="55" t="str">
        <f>VLOOKUP(E14,'Input 7_NG Rates'!B:G,6,FALSE)</f>
        <v>RS</v>
      </c>
      <c r="J14" s="56" t="str">
        <f>IFERROR(VLOOKUP(H14,Report_Regression!B:L,11,FALSE),"")</f>
        <v>Median</v>
      </c>
      <c r="K14" s="57">
        <f>_xlfn.IFNA(VLOOKUP($H14,Report_Regression!$B:$L,9,FALSE),0)</f>
        <v>2.8823680628474693E-2</v>
      </c>
      <c r="L14" s="57">
        <f>_xlfn.IFNA(VLOOKUP($H14,Report_Regression!$B:$L,10,FALSE),0)</f>
        <v>2.3852475637664031E-2</v>
      </c>
      <c r="M14" s="57">
        <f>_xlfn.IFNA(VLOOKUP($H14,Report_Regression!$B:$L,8,FALSE),0)</f>
        <v>3.3743559110069571E-2</v>
      </c>
      <c r="N14" s="57">
        <f t="shared" si="7"/>
        <v>2.8823680628474693E-2</v>
      </c>
      <c r="O14" s="57" t="str">
        <f>IFERROR(VLOOKUP(H14,Report_Regression!O:Y,11,FALSE),"")</f>
        <v>Median</v>
      </c>
      <c r="P14" s="57">
        <f>IFERROR(VLOOKUP($H14,Report_Regression!$O:$Y,9,FALSE),0)</f>
        <v>0</v>
      </c>
      <c r="Q14" s="57">
        <f>IFERROR(VLOOKUP($H14,Report_Regression!$O:$Y,10,FALSE),0)</f>
        <v>0</v>
      </c>
      <c r="R14" s="57">
        <f>IFERROR(VLOOKUP($H14,Report_Regression!$O:$Y,8,FALSE),0)</f>
        <v>0</v>
      </c>
      <c r="S14" s="57">
        <f t="shared" si="8"/>
        <v>0</v>
      </c>
      <c r="T14" s="56">
        <f>_xlfn.IFNA(VLOOKUP($H14,Report_Regression!$O:$Y,6,FALSE),0)</f>
        <v>250.70017607354299</v>
      </c>
      <c r="U14" s="56">
        <f>_xlfn.IFNA(VLOOKUP($H14,Report_Regression!$O:$Y,7,FALSE),0)</f>
        <v>232.63967216629609</v>
      </c>
      <c r="V14" s="56">
        <f>_xlfn.IFNA(VLOOKUP($H14,Report_Regression!$O:$Y,5,FALSE),0)</f>
        <v>268.76067998078992</v>
      </c>
      <c r="W14" s="5">
        <f t="shared" si="9"/>
        <v>250.70017607354299</v>
      </c>
      <c r="X14" s="64">
        <f t="shared" si="10"/>
        <v>255.64008497637661</v>
      </c>
      <c r="Y14" s="56">
        <f>SUMIF('Input 3_2019CUST-YTD'!S:S,G14,'Input 3_2019CUST-YTD'!R:R)</f>
        <v>670256</v>
      </c>
      <c r="Z14" s="56">
        <f>SUMIF('Input 4_2020CUST-YTD'!S:S,G14,'Input 4_2020CUST-YTD'!R:R)</f>
        <v>698292</v>
      </c>
      <c r="AA14" s="56">
        <f>SUMIF('Input 5_2021CUST-YTD'!S:S,G14,'Input 5_2021CUST-YTD'!R:R)</f>
        <v>732742</v>
      </c>
      <c r="AB14" s="56">
        <f t="shared" si="19"/>
        <v>753862.3213910698</v>
      </c>
      <c r="AC14" s="56">
        <f t="shared" si="20"/>
        <v>775591.40818068653</v>
      </c>
      <c r="AD14" s="56" t="str">
        <f>VLOOKUP(D14,'Input 15_Fcst Inputs'!A:F,2,FALSE)</f>
        <v>Modeled UPC</v>
      </c>
      <c r="AE14" s="56">
        <f>SUMIF('Input 3.1_2019VOL-YTD'!R:R,G14,'Input 3.1_2019VOL-YTD'!O:O)</f>
        <v>13679044.58000033</v>
      </c>
      <c r="AF14" s="56">
        <f>SUMIF('Input 4.1_2020VOL-YTD'!R:R,G14,'Input 4.1_2020VOL-YTD'!O:O)</f>
        <v>15075452.140000366</v>
      </c>
      <c r="AG14" s="56">
        <f>SUMIF('Input 5.1_2021VOL-YTD'!R:R,G14,'Input 5.1_2021VOL-YTD'!O:O)</f>
        <v>16009999.460000172</v>
      </c>
      <c r="AH14" s="64">
        <f>IFERROR(IF($AD14="Historical Average",(AVERAGE($AE14:$AG14)/AVERAGE($Y14:$AA14))*AB14,IF($AD14="UPC Growth Rate",((AG14/AA14)*(1+$S14)*AB14),IF($AD14="Modeled UPC",AB14/12*$W14,IF(AD14="Base Period",AG14,IF(AD14="Adjusted",SUMIF('Input 15_Fcst Inputs'!A:A,D14,'Input 15_Fcst Inputs'!F:F),0))))),0)</f>
        <v>15749451.392329255</v>
      </c>
      <c r="AI14" s="64">
        <f>IFERROR(IF($AD14="Historical Average",(AVERAGE($AE14:$AG14)/AVERAGE($Y14:$AA14))*AC14,IF($AD14="UPC Growth Rate",((AH14/AB14)*(1+$S14)*AC14),IF($AD14="Modeled UPC",AC14/12*$W14,IF(AD14="Base Period",AG14,IF(AD14="Adjusted",SUMIF('Input 15_Fcst Inputs'!A:A,D14,'Input 15_Fcst Inputs'!G:G),0))))),0)</f>
        <v>16203408.549335439</v>
      </c>
      <c r="AJ14" s="273">
        <f>VLOOKUP($G14,'WP-Peak Month UPC'!$C:$BL,17,FALSE)</f>
        <v>35.310483947206386</v>
      </c>
      <c r="AK14" s="273">
        <f>VLOOKUP($G14,'WP-Peak Month UPC'!$C:$BL,32,FALSE)</f>
        <v>33.202974894663456</v>
      </c>
      <c r="AL14" s="273">
        <f>VLOOKUP($G14,'WP-Peak Month UPC'!$C:$BL,47,FALSE)</f>
        <v>41.778947870630972</v>
      </c>
      <c r="AM14" s="273">
        <f>IF(OR(AD14="Base Period",AD14="Adjusted"),AL14,IF(AD14="Historical Average",AVERAGE(AJ14:AL14),IF(AD14="Modeled UPC",VLOOKUP(H14,Report_Regression!AB:AJ,5,FALSE),IF(AD14="UPC Growth Rate",AL14*(1+VLOOKUP(H14,Report_Regression!AB:AN,13,FALSE))))))</f>
        <v>32.2930448046408</v>
      </c>
      <c r="AN14" s="273">
        <f>IF(OR($AD14="Base Period",$AD14="Adjusted"),$AL14,IF($AD14="Historical Average",AVERAGE($AJ14:$AL14),IF($AD14="Modeled UPC",VLOOKUP($H14,Report_Regression!$AB:$AJ,9,FALSE),IF($AD14="UPC Growth Rate",AM14*(1+VLOOKUP($H14,Report_Regression!$AB:$AN,13,FALSE))))))</f>
        <v>32.2930448046408</v>
      </c>
      <c r="AO14" s="58">
        <f>VLOOKUP(E14,'Input 7_NG Rates'!B:I,7,FALSE)</f>
        <v>11</v>
      </c>
      <c r="AP14" s="292">
        <f>VLOOKUP(E14,'Input 7_NG Rates'!B:I,8,FALSE)</f>
        <v>0.49828</v>
      </c>
      <c r="AQ14" s="293">
        <f>VLOOKUP(D14,'Input 14_Ref Table'!C:N,12,FALSE)</f>
        <v>0</v>
      </c>
      <c r="AR14" s="292"/>
      <c r="AS14" s="151">
        <f t="shared" si="0"/>
        <v>8060162</v>
      </c>
      <c r="AT14" s="151">
        <f t="shared" si="1"/>
        <v>7977462.5309288856</v>
      </c>
      <c r="AU14" s="151">
        <f>SUMIF('Input 13.3_2021 Min Charges'!A:A,G14,'Input 13.3_2021 Min Charges'!O:O)</f>
        <v>0</v>
      </c>
      <c r="AV14" s="151">
        <f t="shared" si="2"/>
        <v>0</v>
      </c>
      <c r="AW14" s="151">
        <v>0</v>
      </c>
      <c r="AX14" s="151">
        <f t="shared" si="11"/>
        <v>16037624.530928886</v>
      </c>
      <c r="AY14" s="533">
        <f>SUMIF('Input 6_2021MARG-YTD'!AN:AN,G14,'Input 6_2021MARG-YTD'!AK:AK)</f>
        <v>15985486.179999882</v>
      </c>
      <c r="AZ14" s="533">
        <f t="shared" si="12"/>
        <v>-52138.350929003209</v>
      </c>
      <c r="BA14" s="533"/>
      <c r="BB14" s="533"/>
      <c r="BC14" s="533"/>
      <c r="BD14" s="533"/>
      <c r="BE14" s="533"/>
      <c r="BF14" s="533"/>
      <c r="BG14" s="55"/>
      <c r="BH14" s="294"/>
      <c r="BI14" s="294"/>
      <c r="BJ14" s="191" t="s">
        <v>808</v>
      </c>
      <c r="BK14" s="514">
        <v>0.31642000000000003</v>
      </c>
      <c r="BL14" s="190">
        <f t="shared" si="3"/>
        <v>5127082.5331807202</v>
      </c>
      <c r="BM14" s="518" cm="1">
        <f t="array" ref="BM14">IFERROR(INDEX('Input 1_GRIP Factors'!$K$5:$K$54,MATCH(1,(BJ14='Input 1_GRIP Factors'!$G$5:$G$54)*(A14='Input 1_GRIP Factors'!$J$5:$J$54),0)),0)</f>
        <v>0.22416679073864304</v>
      </c>
      <c r="BN14" s="190">
        <f t="shared" si="4"/>
        <v>3588910.1986756469</v>
      </c>
      <c r="BO14" s="190">
        <f t="shared" si="13"/>
        <v>706262.4402816731</v>
      </c>
      <c r="BP14" s="190">
        <f t="shared" si="14"/>
        <v>4295172.6389573198</v>
      </c>
      <c r="BQ14" s="44" cm="1">
        <f t="array" ref="BQ14">IFERROR(INDEX('Input 1_GRIP Factors'!$Y$5:$Y$65,MATCH(1,(BJ14='Input 1_GRIP Factors'!$G$5:$G$65)*(A14='Input 1_GRIP Factors'!$J$5:$J$65),0)),0)*AG14</f>
        <v>1223484.1587332131</v>
      </c>
      <c r="BR14" s="190">
        <f t="shared" si="15"/>
        <v>1222562.727108659</v>
      </c>
      <c r="BS14" s="44" cm="1">
        <f t="array" ref="BS14">IFERROR(INDEX('Input 1_GRIP Factors'!$AC$5:$AC$65,MATCH(1,(BJ14='Input 1_GRIP Factors'!$G$5:$G$65)*(A14='Input 1_GRIP Factors'!$J$5:$J$65),0)),0)*AG14</f>
        <v>15943878.162230372</v>
      </c>
      <c r="BT14" s="190">
        <f t="shared" si="16"/>
        <v>16025511.84243843</v>
      </c>
      <c r="BU14" s="190">
        <f t="shared" si="5"/>
        <v>37580871.739433289</v>
      </c>
      <c r="BV14" s="190">
        <f t="shared" ca="1" si="17"/>
        <v>22849.113538418082</v>
      </c>
      <c r="BW14" s="190">
        <f t="shared" ca="1" si="6"/>
        <v>45855.971619206233</v>
      </c>
      <c r="BX14" s="190" cm="1">
        <f t="array" aca="1" ref="BX14" ca="1">IFERROR(INDEX('Input 1_GRIP Factors'!$AC$5:$AC$65,MATCH(1,(BJ14='Input 1_GRIP Factors'!$G$5:$G$65)*(A14='Input 1_GRIP Factors'!$J$5:$J$65),0)),0)*BW14</f>
        <v>45666.586456418911</v>
      </c>
      <c r="BY14" s="190"/>
      <c r="BZ14" s="56">
        <f>SUMIF('Monthly VOL'!G:G,'Master '!G14,'Monthly VOL'!BV:BV)</f>
        <v>1320965.3781318688</v>
      </c>
      <c r="CA14" s="519"/>
      <c r="CB14" s="56"/>
      <c r="CC14" s="553" t="s">
        <v>112</v>
      </c>
    </row>
    <row r="15" spans="1:81" s="60" customFormat="1">
      <c r="A15" s="60" t="s">
        <v>15</v>
      </c>
      <c r="B15" s="60" t="s">
        <v>994</v>
      </c>
      <c r="C15" s="55" t="s">
        <v>8</v>
      </c>
      <c r="D15" s="60" t="s">
        <v>32</v>
      </c>
      <c r="E15" s="55" t="str">
        <f>VLOOKUP(D15,'Input 14_Ref Table'!C:D,2,FALSE)</f>
        <v>GEN31</v>
      </c>
      <c r="F15" s="172" t="s">
        <v>1286</v>
      </c>
      <c r="G15" s="59" t="str">
        <f>VLOOKUP(D15,'Input 14_Ref Table'!C:I,7,FALSE)</f>
        <v>FPU - FPU - RS-GS</v>
      </c>
      <c r="H15" s="59" t="str">
        <f>VLOOKUP(D15,'Input 14_Ref Table'!C:K,8,FALSE)</f>
        <v>RS_GS</v>
      </c>
      <c r="I15" s="55" t="str">
        <f>VLOOKUP(E15,'Input 7_NG Rates'!B:G,6,FALSE)</f>
        <v>RS-GS</v>
      </c>
      <c r="J15" s="56" t="str">
        <f>IFERROR(VLOOKUP(H15,Report_Regression!B:L,11,FALSE),"")</f>
        <v>Median</v>
      </c>
      <c r="K15" s="57">
        <f>_xlfn.IFNA(VLOOKUP($H15,Report_Regression!$B:$L,9,FALSE),0)</f>
        <v>0.10817508987692429</v>
      </c>
      <c r="L15" s="57">
        <f>_xlfn.IFNA(VLOOKUP($H15,Report_Regression!$B:$L,10,FALSE),0)</f>
        <v>7.5972852686745126E-2</v>
      </c>
      <c r="M15" s="57">
        <f>_xlfn.IFNA(VLOOKUP($H15,Report_Regression!$B:$L,8,FALSE),0)</f>
        <v>0.13893700428480263</v>
      </c>
      <c r="N15" s="57">
        <f t="shared" si="7"/>
        <v>0.10817508987692429</v>
      </c>
      <c r="O15" s="57" t="str">
        <f>IFERROR(VLOOKUP(H15,Report_Regression!O:Y,11,FALSE),"")</f>
        <v>Median</v>
      </c>
      <c r="P15" s="57">
        <f>IFERROR(VLOOKUP($H15,Report_Regression!$O:$Y,9,FALSE),0)</f>
        <v>-6.5016495904125227E-3</v>
      </c>
      <c r="Q15" s="57">
        <f>IFERROR(VLOOKUP($H15,Report_Regression!$O:$Y,10,FALSE),0)</f>
        <v>-3.741269434140309E-2</v>
      </c>
      <c r="R15" s="57">
        <f>IFERROR(VLOOKUP($H15,Report_Regression!$O:$Y,8,FALSE),0)</f>
        <v>1.1806468915858643E-2</v>
      </c>
      <c r="S15" s="57">
        <f t="shared" si="8"/>
        <v>-6.5016495904125227E-3</v>
      </c>
      <c r="T15" s="56">
        <f>_xlfn.IFNA(VLOOKUP($H15,Report_Regression!$O:$Y,6,FALSE),0)</f>
        <v>80.956336657055985</v>
      </c>
      <c r="U15" s="56">
        <f>_xlfn.IFNA(VLOOKUP($H15,Report_Regression!$O:$Y,7,FALSE),0)</f>
        <v>58.353016544855414</v>
      </c>
      <c r="V15" s="56">
        <f>_xlfn.IFNA(VLOOKUP($H15,Report_Regression!$O:$Y,5,FALSE),0)</f>
        <v>103.55965676925655</v>
      </c>
      <c r="W15" s="5">
        <f t="shared" si="9"/>
        <v>80.956336657055985</v>
      </c>
      <c r="X15" s="64">
        <f t="shared" si="10"/>
        <v>108.81766713830919</v>
      </c>
      <c r="Y15" s="56">
        <f>SUMIF('Input 3_2019CUST-YTD'!S:S,G15,'Input 3_2019CUST-YTD'!R:R)</f>
        <v>6827</v>
      </c>
      <c r="Z15" s="56">
        <f>SUMIF('Input 4_2020CUST-YTD'!S:S,G15,'Input 4_2020CUST-YTD'!R:R)</f>
        <v>7161</v>
      </c>
      <c r="AA15" s="56">
        <f>SUMIF('Input 5_2021CUST-YTD'!S:S,G15,'Input 5_2021CUST-YTD'!R:R)</f>
        <v>8628</v>
      </c>
      <c r="AB15" s="56">
        <f t="shared" si="19"/>
        <v>9561.3346754581016</v>
      </c>
      <c r="AC15" s="56">
        <f t="shared" si="20"/>
        <v>10595.632913319134</v>
      </c>
      <c r="AD15" s="56" t="str">
        <f>VLOOKUP(D15,'Input 15_Fcst Inputs'!A:F,2,FALSE)</f>
        <v>Historical Average</v>
      </c>
      <c r="AE15" s="56">
        <f>SUMIF('Input 3.1_2019VOL-YTD'!R:R,G15,'Input 3.1_2019VOL-YTD'!O:O)</f>
        <v>60641.200000000026</v>
      </c>
      <c r="AF15" s="56">
        <f>SUMIF('Input 4.1_2020VOL-YTD'!R:R,G15,'Input 4.1_2020VOL-YTD'!O:O)</f>
        <v>67503.669999999984</v>
      </c>
      <c r="AG15" s="56">
        <f>SUMIF('Input 5.1_2021VOL-YTD'!R:R,G15,'Input 5.1_2021VOL-YTD'!O:O)</f>
        <v>76940.160000000018</v>
      </c>
      <c r="AH15" s="64">
        <f>IFERROR(IF($AD15="Historical Average",(AVERAGE($AE15:$AG15)/AVERAGE($Y15:$AA15))*AB15,IF($AD15="UPC Growth Rate",((AG15/AA15)*(1+$S15)*AB15),IF($AD15="Modeled UPC",AB15/12*$W15,IF(AD15="Base Period",AG15,IF(AD15="Adjusted",SUMIF('Input 15_Fcst Inputs'!A:A,D15,'Input 15_Fcst Inputs'!F:F),0))))),0)+207</f>
        <v>86910.511175997774</v>
      </c>
      <c r="AI15" s="64">
        <f>IFERROR(IF($AD15="Historical Average",(AVERAGE($AE15:$AG15)/AVERAGE($Y15:$AA15))*AC15,IF($AD15="UPC Growth Rate",((AH15/AB15)*(1+$S15)*AC15),IF($AD15="Modeled UPC",AC15/12*$W15,IF(AD15="Base Period",AG15,IF(AD15="Adjusted",SUMIF('Input 15_Fcst Inputs'!A:A,D15,'Input 15_Fcst Inputs'!G:G),0))))),0)+229</f>
        <v>96311.671290106227</v>
      </c>
      <c r="AJ15" s="273">
        <f>VLOOKUP($G15,'WP-Peak Month UPC'!$C:$BL,17,FALSE)</f>
        <v>18.588472222222229</v>
      </c>
      <c r="AK15" s="273">
        <f>VLOOKUP($G15,'WP-Peak Month UPC'!$C:$BL,32,FALSE)</f>
        <v>15.744042553191498</v>
      </c>
      <c r="AL15" s="273">
        <f>VLOOKUP($G15,'WP-Peak Month UPC'!$C:$BL,47,FALSE)</f>
        <v>15.235575757575763</v>
      </c>
      <c r="AM15" s="273">
        <f>IF(OR(AD15="Base Period",AD15="Adjusted"),AL15,IF(AD15="Historical Average",AVERAGE(AJ15:AL15),IF(AD15="Modeled UPC",VLOOKUP(H15,Report_Regression!AB:AJ,5,FALSE),IF(AD15="UPC Growth Rate",AL15*(1+VLOOKUP(H15,Report_Regression!AB:AN,13,FALSE))))))</f>
        <v>16.522696844329829</v>
      </c>
      <c r="AN15" s="273">
        <f>IF(OR($AD15="Base Period",$AD15="Adjusted"),$AL15,IF($AD15="Historical Average",AVERAGE($AJ15:$AL15),IF($AD15="Modeled UPC",VLOOKUP($H15,Report_Regression!$AB:$AJ,9,FALSE),IF($AD15="UPC Growth Rate",AM15*(1+VLOOKUP($H15,Report_Regression!$AB:$AN,13,FALSE))))))</f>
        <v>16.522696844329829</v>
      </c>
      <c r="AO15" s="58">
        <f>VLOOKUP(E15,'Input 7_NG Rates'!B:I,7,FALSE)</f>
        <v>21.25</v>
      </c>
      <c r="AP15" s="292">
        <f>VLOOKUP(E15,'Input 7_NG Rates'!B:I,8,FALSE)</f>
        <v>0.49828</v>
      </c>
      <c r="AQ15" s="293">
        <f>VLOOKUP(D15,'Input 14_Ref Table'!C:N,12,FALSE)</f>
        <v>0</v>
      </c>
      <c r="AR15" s="292"/>
      <c r="AS15" s="151">
        <f t="shared" si="0"/>
        <v>183345</v>
      </c>
      <c r="AT15" s="151">
        <f t="shared" si="1"/>
        <v>38337.742924800012</v>
      </c>
      <c r="AU15" s="151">
        <f>SUMIF('Input 13.3_2021 Min Charges'!A:A,G15,'Input 13.3_2021 Min Charges'!O:O)</f>
        <v>0</v>
      </c>
      <c r="AV15" s="151">
        <f t="shared" si="2"/>
        <v>0</v>
      </c>
      <c r="AW15" s="151">
        <v>0</v>
      </c>
      <c r="AX15" s="151">
        <f t="shared" si="11"/>
        <v>221682.74292480003</v>
      </c>
      <c r="AY15" s="533">
        <f>SUMIF('Input 6_2021MARG-YTD'!AN:AN,G15,'Input 6_2021MARG-YTD'!AK:AK)</f>
        <v>208015.15999999997</v>
      </c>
      <c r="AZ15" s="533">
        <f t="shared" si="12"/>
        <v>-13667.582924800052</v>
      </c>
      <c r="BA15" s="533"/>
      <c r="BB15" s="533"/>
      <c r="BC15" s="533"/>
      <c r="BD15" s="533"/>
      <c r="BE15" s="533"/>
      <c r="BF15" s="533"/>
      <c r="BG15" s="55"/>
      <c r="BH15" s="294"/>
      <c r="BI15" s="294"/>
      <c r="BJ15" s="191" t="s">
        <v>808</v>
      </c>
      <c r="BK15" s="514">
        <v>0.31642000000000003</v>
      </c>
      <c r="BL15" s="190">
        <f t="shared" si="3"/>
        <v>30474.939029615416</v>
      </c>
      <c r="BM15" s="518" cm="1">
        <f t="array" ref="BM15">IFERROR(INDEX('Input 1_GRIP Factors'!$K$5:$K$54,MATCH(1,(BJ15='Input 1_GRIP Factors'!$G$5:$G$54)*(A15='Input 1_GRIP Factors'!$J$5:$J$54),0)),0)</f>
        <v>0.22416679073864304</v>
      </c>
      <c r="BN15" s="190">
        <f t="shared" si="4"/>
        <v>17247.428746117719</v>
      </c>
      <c r="BO15" s="190">
        <f t="shared" si="13"/>
        <v>3394.1253585315112</v>
      </c>
      <c r="BP15" s="190">
        <f t="shared" si="14"/>
        <v>20641.554104649229</v>
      </c>
      <c r="BQ15" s="44" cm="1">
        <f t="array" ref="BQ15">IFERROR(INDEX('Input 1_GRIP Factors'!$Y$5:$Y$65,MATCH(1,(BJ15='Input 1_GRIP Factors'!$G$5:$G$65)*(A15='Input 1_GRIP Factors'!$J$5:$J$65),0)),0)*AG15</f>
        <v>5879.7670272000014</v>
      </c>
      <c r="BR15" s="190">
        <f t="shared" si="15"/>
        <v>5875.338851121709</v>
      </c>
      <c r="BS15" s="44" cm="1">
        <f t="array" ref="BS15">IFERROR(INDEX('Input 1_GRIP Factors'!$AC$5:$AC$65,MATCH(1,(BJ15='Input 1_GRIP Factors'!$G$5:$G$65)*(A15='Input 1_GRIP Factors'!$J$5:$J$65),0)),0)*AG15</f>
        <v>76622.397139200024</v>
      </c>
      <c r="BT15" s="190">
        <f t="shared" si="16"/>
        <v>77014.708733731255</v>
      </c>
      <c r="BU15" s="190">
        <f t="shared" si="5"/>
        <v>325214.34461430222</v>
      </c>
      <c r="BV15" s="190">
        <f t="shared" ca="1" si="17"/>
        <v>315.83568706377042</v>
      </c>
      <c r="BW15" s="190">
        <f t="shared" ca="1" si="6"/>
        <v>633.85182440348888</v>
      </c>
      <c r="BX15" s="190" cm="1">
        <f t="array" aca="1" ref="BX15" ca="1">IFERROR(INDEX('Input 1_GRIP Factors'!$AC$5:$AC$65,MATCH(1,(BJ15='Input 1_GRIP Factors'!$G$5:$G$65)*(A15='Input 1_GRIP Factors'!$J$5:$J$65),0)),0)*BW15</f>
        <v>631.23401636870244</v>
      </c>
      <c r="BY15" s="190"/>
      <c r="BZ15" s="56">
        <f>SUMIF('Monthly VOL'!G:G,'Master '!G15,'Monthly VOL'!BV:BV)</f>
        <v>13391.882722575305</v>
      </c>
      <c r="CA15" s="519"/>
      <c r="CB15" s="56"/>
      <c r="CC15" s="553" t="s">
        <v>763</v>
      </c>
    </row>
    <row r="16" spans="1:81" s="60" customFormat="1">
      <c r="A16" s="60" t="s">
        <v>15</v>
      </c>
      <c r="B16" s="60" t="s">
        <v>994</v>
      </c>
      <c r="C16" s="55" t="s">
        <v>1245</v>
      </c>
      <c r="D16" s="60" t="s">
        <v>34</v>
      </c>
      <c r="E16" s="55" t="str">
        <f>VLOOKUP(D16,'Input 14_Ref Table'!C:D,2,FALSE)</f>
        <v>GEN11</v>
      </c>
      <c r="F16" s="172" t="s">
        <v>1286</v>
      </c>
      <c r="G16" s="59" t="str">
        <f>VLOOKUP(D16,'Input 14_Ref Table'!C:I,7,FALSE)</f>
        <v>FPU - FPU - CS - GS</v>
      </c>
      <c r="H16" s="59" t="str">
        <f>VLOOKUP(D16,'Input 14_Ref Table'!C:K,8,FALSE)</f>
        <v>CSGS</v>
      </c>
      <c r="I16" s="55" t="str">
        <f>VLOOKUP(E16,'Input 7_NG Rates'!B:G,6,FALSE)</f>
        <v>CS-GS</v>
      </c>
      <c r="J16" s="56" t="str">
        <f>IFERROR(VLOOKUP(H16,Report_Regression!B:L,11,FALSE),"")</f>
        <v>Median</v>
      </c>
      <c r="K16" s="57">
        <f>_xlfn.IFNA(VLOOKUP($H16,Report_Regression!$B:$L,9,FALSE),0)</f>
        <v>6.0576162758234124E-2</v>
      </c>
      <c r="L16" s="57">
        <f>_xlfn.IFNA(VLOOKUP($H16,Report_Regression!$B:$L,10,FALSE),0)</f>
        <v>5.2586431702868877E-2</v>
      </c>
      <c r="M16" s="57">
        <f>_xlfn.IFNA(VLOOKUP($H16,Report_Regression!$B:$L,8,FALSE),0)</f>
        <v>6.8444875878733269E-2</v>
      </c>
      <c r="N16" s="57">
        <f t="shared" si="7"/>
        <v>6.0576162758234124E-2</v>
      </c>
      <c r="O16" s="57" t="str">
        <f>IFERROR(VLOOKUP(H16,Report_Regression!O:Y,11,FALSE),"")</f>
        <v>Median</v>
      </c>
      <c r="P16" s="57">
        <f>IFERROR(VLOOKUP($H16,Report_Regression!$O:$Y,9,FALSE),0)</f>
        <v>-3.2834133097367192E-2</v>
      </c>
      <c r="Q16" s="57">
        <f>IFERROR(VLOOKUP($H16,Report_Regression!$O:$Y,10,FALSE),0)</f>
        <v>-6.4512138571494793E-2</v>
      </c>
      <c r="R16" s="57">
        <f>IFERROR(VLOOKUP($H16,Report_Regression!$O:$Y,8,FALSE),0)</f>
        <v>-1.3997876852005481E-2</v>
      </c>
      <c r="S16" s="57">
        <f t="shared" si="8"/>
        <v>-3.2834133097367192E-2</v>
      </c>
      <c r="T16" s="56">
        <f>_xlfn.IFNA(VLOOKUP($H16,Report_Regression!$O:$Y,6,FALSE),0)</f>
        <v>113.23523775289279</v>
      </c>
      <c r="U16" s="56">
        <f>_xlfn.IFNA(VLOOKUP($H16,Report_Regression!$O:$Y,7,FALSE),0)</f>
        <v>81.682565062384668</v>
      </c>
      <c r="V16" s="56">
        <f>_xlfn.IFNA(VLOOKUP($H16,Report_Regression!$O:$Y,5,FALSE),0)</f>
        <v>144.7879104434009</v>
      </c>
      <c r="W16" s="5">
        <f t="shared" si="9"/>
        <v>113.23523775289279</v>
      </c>
      <c r="X16" s="64">
        <f t="shared" si="10"/>
        <v>206.2406441784548</v>
      </c>
      <c r="Y16" s="56">
        <f>SUMIF('Input 3_2019CUST-YTD'!S:S,G16,'Input 3_2019CUST-YTD'!R:R)</f>
        <v>2890</v>
      </c>
      <c r="Z16" s="56">
        <f>SUMIF('Input 4_2020CUST-YTD'!S:S,G16,'Input 4_2020CUST-YTD'!R:R)</f>
        <v>3064</v>
      </c>
      <c r="AA16" s="56">
        <f>SUMIF('Input 5_2021CUST-YTD'!S:S,G16,'Input 5_2021CUST-YTD'!R:R)</f>
        <v>3236</v>
      </c>
      <c r="AB16" s="56">
        <f t="shared" si="19"/>
        <v>3432.0244626856456</v>
      </c>
      <c r="AC16" s="56">
        <f t="shared" si="20"/>
        <v>3639.9233351275325</v>
      </c>
      <c r="AD16" s="56" t="str">
        <f>VLOOKUP(D16,'Input 15_Fcst Inputs'!A:F,2,FALSE)</f>
        <v>Historical Average</v>
      </c>
      <c r="AE16" s="56">
        <f>SUMIF('Input 3.1_2019VOL-YTD'!R:R,G16,'Input 3.1_2019VOL-YTD'!O:O)</f>
        <v>47649.58</v>
      </c>
      <c r="AF16" s="56">
        <f>SUMIF('Input 4.1_2020VOL-YTD'!R:R,G16,'Input 4.1_2020VOL-YTD'!O:O)</f>
        <v>60220.289999999994</v>
      </c>
      <c r="AG16" s="56">
        <f>SUMIF('Input 5.1_2021VOL-YTD'!R:R,G16,'Input 5.1_2021VOL-YTD'!O:O)</f>
        <v>50076.090000000004</v>
      </c>
      <c r="AH16" s="64">
        <f>IFERROR(IF($AD16="Historical Average",(AVERAGE($AE16:$AG16)/AVERAGE($Y16:$AA16))*AB16,IF($AD16="UPC Growth Rate",((AG16/AA16)*(1+$S16)*AB16),IF($AD16="Modeled UPC",AB16/12*$W16,IF(AD16="Base Period",AG16,IF(AD16="Adjusted",SUMIF('Input 15_Fcst Inputs'!A:A,D16,'Input 15_Fcst Inputs'!F:F),0))))),0)+129</f>
        <v>59114.244668375228</v>
      </c>
      <c r="AI16" s="64">
        <f>IFERROR(IF($AD16="Historical Average",(AVERAGE($AE16:$AG16)/AVERAGE($Y16:$AA16))*AC16,IF($AD16="UPC Growth Rate",((AH16/AB16)*(1+$S16)*AC16),IF($AD16="Modeled UPC",AC16/12*$W16,IF(AD16="Base Period",AG16,IF(AD16="Adjusted",SUMIF('Input 15_Fcst Inputs'!A:A,D16,'Input 15_Fcst Inputs'!G:G),0))))),0)+137</f>
        <v>62695.344449740995</v>
      </c>
      <c r="AJ16" s="273">
        <f>VLOOKUP($G16,'WP-Peak Month UPC'!$C:$BL,17,FALSE)</f>
        <v>15.893544303797466</v>
      </c>
      <c r="AK16" s="273">
        <f>VLOOKUP($G16,'WP-Peak Month UPC'!$C:$BL,32,FALSE)</f>
        <v>38.783967611336031</v>
      </c>
      <c r="AL16" s="273">
        <f>VLOOKUP($G16,'WP-Peak Month UPC'!$C:$BL,47,FALSE)</f>
        <v>22.291358490566044</v>
      </c>
      <c r="AM16" s="273">
        <f>IF(OR(AD16="Base Period",AD16="Adjusted"),AL16,IF(AD16="Historical Average",AVERAGE(AJ16:AL16),IF(AD16="Modeled UPC",VLOOKUP(H16,Report_Regression!AB:AJ,5,FALSE),IF(AD16="UPC Growth Rate",AL16*(1+VLOOKUP(H16,Report_Regression!AB:AN,13,FALSE))))))</f>
        <v>25.656290135233178</v>
      </c>
      <c r="AN16" s="273">
        <f>IF(OR($AD16="Base Period",$AD16="Adjusted"),$AL16,IF($AD16="Historical Average",AVERAGE($AJ16:$AL16),IF($AD16="Modeled UPC",VLOOKUP($H16,Report_Regression!$AB:$AJ,9,FALSE),IF($AD16="UPC Growth Rate",AM16*(1+VLOOKUP($H16,Report_Regression!$AB:$AN,13,FALSE))))))</f>
        <v>25.656290135233178</v>
      </c>
      <c r="AO16" s="58">
        <f>VLOOKUP(E16,'Input 7_NG Rates'!B:I,7,FALSE)</f>
        <v>35.81</v>
      </c>
      <c r="AP16" s="292">
        <f>VLOOKUP(E16,'Input 7_NG Rates'!B:I,8,FALSE)</f>
        <v>0.39135999999999999</v>
      </c>
      <c r="AQ16" s="293">
        <f>VLOOKUP(D16,'Input 14_Ref Table'!C:N,12,FALSE)</f>
        <v>0</v>
      </c>
      <c r="AR16" s="292"/>
      <c r="AS16" s="151">
        <f t="shared" si="0"/>
        <v>115881.16</v>
      </c>
      <c r="AT16" s="151">
        <f t="shared" si="1"/>
        <v>19597.778582400002</v>
      </c>
      <c r="AU16" s="151">
        <f>SUMIF('Input 13.3_2021 Min Charges'!A:A,G16,'Input 13.3_2021 Min Charges'!O:O)</f>
        <v>0</v>
      </c>
      <c r="AV16" s="151">
        <f t="shared" si="2"/>
        <v>0</v>
      </c>
      <c r="AW16" s="151">
        <v>0</v>
      </c>
      <c r="AX16" s="151">
        <f t="shared" si="11"/>
        <v>135478.93858240001</v>
      </c>
      <c r="AY16" s="533">
        <f>SUMIF('Input 6_2021MARG-YTD'!AN:AN,G16,'Input 6_2021MARG-YTD'!AK:AK)</f>
        <v>127456.08999999997</v>
      </c>
      <c r="AZ16" s="533">
        <f t="shared" si="12"/>
        <v>-8022.8485824000381</v>
      </c>
      <c r="BA16" s="533"/>
      <c r="BB16" s="533"/>
      <c r="BC16" s="533"/>
      <c r="BD16" s="533"/>
      <c r="BE16" s="533"/>
      <c r="BF16" s="533"/>
      <c r="BG16" s="55"/>
      <c r="BH16" s="294"/>
      <c r="BI16" s="294"/>
      <c r="BJ16" s="191" t="s">
        <v>750</v>
      </c>
      <c r="BK16" s="514">
        <v>0.22966000000000003</v>
      </c>
      <c r="BL16" s="190">
        <f t="shared" si="3"/>
        <v>14398.612806327519</v>
      </c>
      <c r="BM16" s="518" cm="1">
        <f t="array" ref="BM16">IFERROR(INDEX('Input 1_GRIP Factors'!$K$5:$K$54,MATCH(1,(BJ16='Input 1_GRIP Factors'!$G$5:$G$54)*(A16='Input 1_GRIP Factors'!$J$5:$J$54),0)),0)</f>
        <v>0.15179948367288987</v>
      </c>
      <c r="BN16" s="190">
        <f t="shared" si="4"/>
        <v>7601.524606357164</v>
      </c>
      <c r="BO16" s="190">
        <f t="shared" si="13"/>
        <v>1495.9057265707295</v>
      </c>
      <c r="BP16" s="190">
        <f t="shared" si="14"/>
        <v>9097.4303329278937</v>
      </c>
      <c r="BQ16" s="44" cm="1">
        <f t="array" ref="BQ16">IFERROR(INDEX('Input 1_GRIP Factors'!$Y$5:$Y$65,MATCH(1,(BJ16='Input 1_GRIP Factors'!$G$5:$G$65)*(A16='Input 1_GRIP Factors'!$J$5:$J$65),0)),0)*AG16</f>
        <v>2406.1561245000003</v>
      </c>
      <c r="BR16" s="190">
        <f t="shared" si="15"/>
        <v>2404.3439977708531</v>
      </c>
      <c r="BS16" s="44" cm="1">
        <f t="array" ref="BS16">IFERROR(INDEX('Input 1_GRIP Factors'!$AC$5:$AC$65,MATCH(1,(BJ16='Input 1_GRIP Factors'!$G$5:$G$65)*(A16='Input 1_GRIP Factors'!$J$5:$J$65),0)),0)*AG16</f>
        <v>49869.275748300002</v>
      </c>
      <c r="BT16" s="190">
        <f t="shared" si="16"/>
        <v>50124.609643053911</v>
      </c>
      <c r="BU16" s="190">
        <f t="shared" si="5"/>
        <v>197105.32255615268</v>
      </c>
      <c r="BV16" s="190">
        <f t="shared" ca="1" si="17"/>
        <v>193.01946143980055</v>
      </c>
      <c r="BW16" s="190">
        <f t="shared" ca="1" si="6"/>
        <v>493.2018127550096</v>
      </c>
      <c r="BX16" s="190" cm="1">
        <f t="array" aca="1" ref="BX16" ca="1">IFERROR(INDEX('Input 1_GRIP Factors'!$AC$5:$AC$65,MATCH(1,(BJ16='Input 1_GRIP Factors'!$G$5:$G$65)*(A16='Input 1_GRIP Factors'!$J$5:$J$65),0)),0)*BW16</f>
        <v>491.16488926833142</v>
      </c>
      <c r="BY16" s="190"/>
      <c r="BZ16" s="56">
        <f>SUMIF('Monthly VOL'!G:G,'Master '!G16,'Monthly VOL'!BV:BV)</f>
        <v>7647.5699092552395</v>
      </c>
      <c r="CA16" s="519"/>
      <c r="CB16" s="56"/>
      <c r="CC16" s="553" t="s">
        <v>473</v>
      </c>
    </row>
    <row r="17" spans="1:81" s="60" customFormat="1">
      <c r="A17" s="60" t="s">
        <v>15</v>
      </c>
      <c r="B17" s="60" t="s">
        <v>994</v>
      </c>
      <c r="C17" s="55" t="s">
        <v>1245</v>
      </c>
      <c r="D17" s="60" t="s">
        <v>36</v>
      </c>
      <c r="E17" s="55" t="str">
        <f>VLOOKUP(D17,'Input 14_Ref Table'!C:D,2,FALSE)</f>
        <v>GCS11</v>
      </c>
      <c r="F17" s="172" t="s">
        <v>1286</v>
      </c>
      <c r="G17" s="59" t="str">
        <f>VLOOKUP(D17,'Input 14_Ref Table'!C:I,7,FALSE)</f>
        <v>FPU - FPU - GS - 1</v>
      </c>
      <c r="H17" s="59" t="str">
        <f>VLOOKUP(D17,'Input 14_Ref Table'!C:K,8,FALSE)</f>
        <v>GS1</v>
      </c>
      <c r="I17" s="55" t="str">
        <f>VLOOKUP(E17,'Input 7_NG Rates'!B:G,6,FALSE)</f>
        <v>GS-1</v>
      </c>
      <c r="J17" s="56" t="str">
        <f>IFERROR(VLOOKUP(H17,Report_Regression!B:L,11,FALSE),"")</f>
        <v>Median</v>
      </c>
      <c r="K17" s="57">
        <f>_xlfn.IFNA(VLOOKUP($H17,Report_Regression!$B:$L,9,FALSE),0)</f>
        <v>-3.3336450138164629E-2</v>
      </c>
      <c r="L17" s="57">
        <f>_xlfn.IFNA(VLOOKUP($H17,Report_Regression!$B:$L,10,FALSE),0)</f>
        <v>-4.7282751453629437E-2</v>
      </c>
      <c r="M17" s="57">
        <f>_xlfn.IFNA(VLOOKUP($H17,Report_Regression!$B:$L,8,FALSE),0)</f>
        <v>-2.0003514486837203E-2</v>
      </c>
      <c r="N17" s="57">
        <f t="shared" si="7"/>
        <v>-3.3336450138164629E-2</v>
      </c>
      <c r="O17" s="57" t="str">
        <f>IFERROR(VLOOKUP(H17,Report_Regression!O:Y,11,FALSE),"")</f>
        <v>Median</v>
      </c>
      <c r="P17" s="57">
        <f>IFERROR(VLOOKUP($H17,Report_Regression!$O:$Y,9,FALSE),0)</f>
        <v>3.989071854052504E-2</v>
      </c>
      <c r="Q17" s="57">
        <f>IFERROR(VLOOKUP($H17,Report_Regression!$O:$Y,10,FALSE),0)</f>
        <v>1.5873015873015931E-2</v>
      </c>
      <c r="R17" s="57">
        <f>IFERROR(VLOOKUP($H17,Report_Regression!$O:$Y,8,FALSE),0)</f>
        <v>6.1455204850682725E-2</v>
      </c>
      <c r="S17" s="57">
        <f t="shared" si="8"/>
        <v>3.989071854052504E-2</v>
      </c>
      <c r="T17" s="56">
        <f>_xlfn.IFNA(VLOOKUP($H17,Report_Regression!$O:$Y,6,FALSE),0)</f>
        <v>3482.75</v>
      </c>
      <c r="U17" s="56">
        <f>_xlfn.IFNA(VLOOKUP($H17,Report_Regression!$O:$Y,7,FALSE),0)</f>
        <v>3219.2000000000003</v>
      </c>
      <c r="V17" s="56">
        <f>_xlfn.IFNA(VLOOKUP($H17,Report_Regression!$O:$Y,5,FALSE),0)</f>
        <v>3746.3</v>
      </c>
      <c r="W17" s="5">
        <f t="shared" si="9"/>
        <v>3482.75</v>
      </c>
      <c r="X17" s="64">
        <f t="shared" si="10"/>
        <v>1067.0139875078075</v>
      </c>
      <c r="Y17" s="56">
        <f>SUMIF('Input 3_2019CUST-YTD'!S:S,G17,'Input 3_2019CUST-YTD'!R:R)</f>
        <v>10765</v>
      </c>
      <c r="Z17" s="56">
        <f>SUMIF('Input 4_2020CUST-YTD'!S:S,G17,'Input 4_2020CUST-YTD'!R:R)</f>
        <v>10713</v>
      </c>
      <c r="AA17" s="56">
        <f>SUMIF('Input 5_2021CUST-YTD'!S:S,G17,'Input 5_2021CUST-YTD'!R:R)</f>
        <v>10542</v>
      </c>
      <c r="AB17" s="56">
        <f t="shared" si="19"/>
        <v>10190.567142643467</v>
      </c>
      <c r="AC17" s="56">
        <f t="shared" si="20"/>
        <v>9850.849809213114</v>
      </c>
      <c r="AD17" s="56" t="str">
        <f>VLOOKUP(D17,'Input 15_Fcst Inputs'!A:F,2,FALSE)</f>
        <v>UPC Growth Rate</v>
      </c>
      <c r="AE17" s="56">
        <f>SUMIF('Input 3.1_2019VOL-YTD'!R:R,G17,'Input 3.1_2019VOL-YTD'!O:O)</f>
        <v>981263.19999999984</v>
      </c>
      <c r="AF17" s="56">
        <f>SUMIF('Input 4.1_2020VOL-YTD'!R:R,G17,'Input 4.1_2020VOL-YTD'!O:O)</f>
        <v>881718.45</v>
      </c>
      <c r="AG17" s="56">
        <f>SUMIF('Input 5.1_2021VOL-YTD'!R:R,G17,'Input 5.1_2021VOL-YTD'!O:O)</f>
        <v>984167.33999999985</v>
      </c>
      <c r="AH17" s="64">
        <f>IFERROR(IF($AD17="Historical Average",(AVERAGE($AE17:$AG17)/AVERAGE($Y17:$AA17))*AB17,IF($AD17="UPC Growth Rate",((AG17/AA17)*(1+$S17)*AB17),IF($AD17="Modeled UPC",AB17/12*$W17,IF(AD17="Base Period",AG17,IF(AD17="Adjusted",SUMIF('Input 15_Fcst Inputs'!A:A,D17,'Input 15_Fcst Inputs'!F:F),0))))),0)</f>
        <v>989309.07645755517</v>
      </c>
      <c r="AI17" s="64">
        <f>IFERROR(IF($AD17="Historical Average",(AVERAGE($AE17:$AG17)/AVERAGE($Y17:$AA17))*AC17,IF($AD17="UPC Growth Rate",((AH17/AB17)*(1+$S17)*AC17),IF($AD17="Modeled UPC",AC17/12*$W17,IF(AD17="Base Period",AG17,IF(AD17="Adjusted",SUMIF('Input 15_Fcst Inputs'!A:A,D17,'Input 15_Fcst Inputs'!G:G),0))))),0)</f>
        <v>994477.67567789927</v>
      </c>
      <c r="AJ17" s="273">
        <f>VLOOKUP($G17,'WP-Peak Month UPC'!$C:$BL,17,FALSE)</f>
        <v>117.97827896512935</v>
      </c>
      <c r="AK17" s="273">
        <f>VLOOKUP($G17,'WP-Peak Month UPC'!$C:$BL,32,FALSE)</f>
        <v>126.08586786114211</v>
      </c>
      <c r="AL17" s="273">
        <f>VLOOKUP($G17,'WP-Peak Month UPC'!$C:$BL,47,FALSE)</f>
        <v>133.92147356580415</v>
      </c>
      <c r="AM17" s="273">
        <f>IF(OR(AD17="Base Period",AD17="Adjusted"),AL17,IF(AD17="Historical Average",AVERAGE(AJ17:AL17),IF(AD17="Modeled UPC",VLOOKUP(H17,Report_Regression!AB:AJ,5,FALSE),IF(AD17="UPC Growth Rate",AL17*(1+VLOOKUP(H17,Report_Regression!AB:AN,13,FALSE))))))</f>
        <v>134.47592552642692</v>
      </c>
      <c r="AN17" s="273">
        <f>IF(OR($AD17="Base Period",$AD17="Adjusted"),$AL17,IF($AD17="Historical Average",AVERAGE($AJ17:$AL17),IF($AD17="Modeled UPC",VLOOKUP($H17,Report_Regression!$AB:$AJ,9,FALSE),IF($AD17="UPC Growth Rate",AM17*(1+VLOOKUP($H17,Report_Regression!$AB:$AN,13,FALSE))))))</f>
        <v>135.03267298879749</v>
      </c>
      <c r="AO17" s="58">
        <f>VLOOKUP(E17,'Input 7_NG Rates'!B:I,7,FALSE)</f>
        <v>20</v>
      </c>
      <c r="AP17" s="292">
        <f>VLOOKUP(E17,'Input 7_NG Rates'!B:I,8,FALSE)</f>
        <v>0.39135999999999999</v>
      </c>
      <c r="AQ17" s="293">
        <f>VLOOKUP(D17,'Input 14_Ref Table'!C:N,12,FALSE)</f>
        <v>0</v>
      </c>
      <c r="AR17" s="292"/>
      <c r="AS17" s="151">
        <f t="shared" si="0"/>
        <v>210840</v>
      </c>
      <c r="AT17" s="151">
        <f t="shared" si="1"/>
        <v>385163.73018239992</v>
      </c>
      <c r="AU17" s="151">
        <f>SUMIF('Input 13.3_2021 Min Charges'!A:A,G17,'Input 13.3_2021 Min Charges'!O:O)</f>
        <v>0</v>
      </c>
      <c r="AV17" s="151">
        <f t="shared" si="2"/>
        <v>0</v>
      </c>
      <c r="AW17" s="151">
        <v>0</v>
      </c>
      <c r="AX17" s="151">
        <f t="shared" si="11"/>
        <v>596003.73018239997</v>
      </c>
      <c r="AY17" s="533">
        <f>SUMIF('Input 6_2021MARG-YTD'!AN:AN,G17,'Input 6_2021MARG-YTD'!AK:AK)</f>
        <v>592262.1599999998</v>
      </c>
      <c r="AZ17" s="533">
        <f t="shared" si="12"/>
        <v>-3741.5701824001735</v>
      </c>
      <c r="BA17" s="533"/>
      <c r="BB17" s="533"/>
      <c r="BC17" s="533"/>
      <c r="BD17" s="533"/>
      <c r="BE17" s="533"/>
      <c r="BF17" s="533"/>
      <c r="BG17" s="55"/>
      <c r="BH17" s="294"/>
      <c r="BI17" s="294"/>
      <c r="BJ17" s="191" t="s">
        <v>750</v>
      </c>
      <c r="BK17" s="514">
        <v>0.22966</v>
      </c>
      <c r="BL17" s="190">
        <f t="shared" si="3"/>
        <v>228391.74299618634</v>
      </c>
      <c r="BM17" s="518" cm="1">
        <f t="array" ref="BM17">IFERROR(INDEX('Input 1_GRIP Factors'!$K$5:$K$54,MATCH(1,(BJ17='Input 1_GRIP Factors'!$G$5:$G$54)*(A17='Input 1_GRIP Factors'!$J$5:$J$54),0)),0)</f>
        <v>0.15179948367288987</v>
      </c>
      <c r="BN17" s="190">
        <f t="shared" si="4"/>
        <v>149396.09405972142</v>
      </c>
      <c r="BO17" s="190">
        <f t="shared" si="13"/>
        <v>29399.690746819128</v>
      </c>
      <c r="BP17" s="190">
        <f t="shared" si="14"/>
        <v>178795.78480654056</v>
      </c>
      <c r="BQ17" s="44" cm="1">
        <f t="array" ref="BQ17">IFERROR(INDEX('Input 1_GRIP Factors'!$Y$5:$Y$65,MATCH(1,(BJ17='Input 1_GRIP Factors'!$G$5:$G$65)*(A17='Input 1_GRIP Factors'!$J$5:$J$65),0)),0)*AG17</f>
        <v>47289.240686999998</v>
      </c>
      <c r="BR17" s="190">
        <f t="shared" si="15"/>
        <v>47253.62616632221</v>
      </c>
      <c r="BS17" s="44" cm="1">
        <f t="array" ref="BS17">IFERROR(INDEX('Input 1_GRIP Factors'!$AC$5:$AC$65,MATCH(1,(BJ17='Input 1_GRIP Factors'!$G$5:$G$65)*(A17='Input 1_GRIP Factors'!$J$5:$J$65),0)),0)*AG17</f>
        <v>980102.72888579988</v>
      </c>
      <c r="BT17" s="190">
        <f t="shared" si="16"/>
        <v>985120.91780613689</v>
      </c>
      <c r="BU17" s="190">
        <f t="shared" si="5"/>
        <v>1807174.0589613996</v>
      </c>
      <c r="BV17" s="190">
        <f t="shared" ca="1" si="17"/>
        <v>849.13803001158055</v>
      </c>
      <c r="BW17" s="190">
        <f t="shared" ca="1" si="6"/>
        <v>2169.7108289339244</v>
      </c>
      <c r="BX17" s="190" cm="1">
        <f t="array" aca="1" ref="BX17" ca="1">IFERROR(INDEX('Input 1_GRIP Factors'!$AC$5:$AC$65,MATCH(1,(BJ17='Input 1_GRIP Factors'!$G$5:$G$65)*(A17='Input 1_GRIP Factors'!$J$5:$J$65),0)),0)*BW17</f>
        <v>2160.7499232104274</v>
      </c>
      <c r="BY17" s="190"/>
      <c r="BZ17" s="56">
        <f>SUMIF('Monthly VOL'!G:G,'Master '!G17,'Monthly VOL'!BV:BV)</f>
        <v>120303.44667428841</v>
      </c>
      <c r="CA17" s="519"/>
      <c r="CB17" s="56"/>
      <c r="CC17" s="553" t="s">
        <v>100</v>
      </c>
    </row>
    <row r="18" spans="1:81" s="60" customFormat="1">
      <c r="A18" s="60" t="s">
        <v>15</v>
      </c>
      <c r="B18" s="60" t="s">
        <v>993</v>
      </c>
      <c r="C18" s="55" t="s">
        <v>1245</v>
      </c>
      <c r="D18" s="60" t="s">
        <v>38</v>
      </c>
      <c r="E18" s="55" t="str">
        <f>VLOOKUP(D18,'Input 14_Ref Table'!C:D,2,FALSE)</f>
        <v>GCPT1</v>
      </c>
      <c r="F18" s="172" t="s">
        <v>1286</v>
      </c>
      <c r="G18" s="59" t="str">
        <f>VLOOKUP(D18,'Input 14_Ref Table'!C:I,7,FALSE)</f>
        <v>FPU - FPU - GSTS - 1</v>
      </c>
      <c r="H18" s="59" t="str">
        <f>VLOOKUP(D18,'Input 14_Ref Table'!C:K,8,FALSE)</f>
        <v>GS1</v>
      </c>
      <c r="I18" s="55" t="str">
        <f>VLOOKUP(E18,'Input 7_NG Rates'!B:G,6,FALSE)</f>
        <v>GSTS1</v>
      </c>
      <c r="J18" s="56" t="str">
        <f>IFERROR(VLOOKUP(H18,Report_Regression!B:L,11,FALSE),"")</f>
        <v>Median</v>
      </c>
      <c r="K18" s="57">
        <f>_xlfn.IFNA(VLOOKUP($H18,Report_Regression!$B:$L,9,FALSE),0)</f>
        <v>-3.3336450138164629E-2</v>
      </c>
      <c r="L18" s="57">
        <f>_xlfn.IFNA(VLOOKUP($H18,Report_Regression!$B:$L,10,FALSE),0)</f>
        <v>-4.7282751453629437E-2</v>
      </c>
      <c r="M18" s="57">
        <f>_xlfn.IFNA(VLOOKUP($H18,Report_Regression!$B:$L,8,FALSE),0)</f>
        <v>-2.0003514486837203E-2</v>
      </c>
      <c r="N18" s="57">
        <f t="shared" si="7"/>
        <v>-3.3336450138164629E-2</v>
      </c>
      <c r="O18" s="57" t="str">
        <f>IFERROR(VLOOKUP(H18,Report_Regression!O:Y,11,FALSE),"")</f>
        <v>Median</v>
      </c>
      <c r="P18" s="57">
        <f>IFERROR(VLOOKUP($H18,Report_Regression!$O:$Y,9,FALSE),0)</f>
        <v>3.989071854052504E-2</v>
      </c>
      <c r="Q18" s="57">
        <f>IFERROR(VLOOKUP($H18,Report_Regression!$O:$Y,10,FALSE),0)</f>
        <v>1.5873015873015931E-2</v>
      </c>
      <c r="R18" s="57">
        <f>IFERROR(VLOOKUP($H18,Report_Regression!$O:$Y,8,FALSE),0)</f>
        <v>6.1455204850682725E-2</v>
      </c>
      <c r="S18" s="57">
        <f t="shared" si="8"/>
        <v>3.989071854052504E-2</v>
      </c>
      <c r="T18" s="56">
        <f>_xlfn.IFNA(VLOOKUP($H18,Report_Regression!$O:$Y,6,FALSE),0)</f>
        <v>3482.75</v>
      </c>
      <c r="U18" s="56">
        <f>_xlfn.IFNA(VLOOKUP($H18,Report_Regression!$O:$Y,7,FALSE),0)</f>
        <v>3219.2000000000003</v>
      </c>
      <c r="V18" s="56">
        <f>_xlfn.IFNA(VLOOKUP($H18,Report_Regression!$O:$Y,5,FALSE),0)</f>
        <v>3746.3</v>
      </c>
      <c r="W18" s="5">
        <f t="shared" si="9"/>
        <v>3482.75</v>
      </c>
      <c r="X18" s="64">
        <f t="shared" si="10"/>
        <v>2123.9767894116108</v>
      </c>
      <c r="Y18" s="56">
        <f>SUMIF('Input 3_2019CUST-YTD'!S:S,G18,'Input 3_2019CUST-YTD'!R:R)</f>
        <v>4362</v>
      </c>
      <c r="Z18" s="56">
        <f>SUMIF('Input 4_2020CUST-YTD'!S:S,G18,'Input 4_2020CUST-YTD'!R:R)</f>
        <v>4465</v>
      </c>
      <c r="AA18" s="56">
        <v>2619.5</v>
      </c>
      <c r="AB18" s="56">
        <v>2532.1751688630775</v>
      </c>
      <c r="AC18" s="56">
        <v>2447.7614376051747</v>
      </c>
      <c r="AD18" s="56" t="str">
        <f>VLOOKUP(D18,'Input 15_Fcst Inputs'!A:F,2,FALSE)</f>
        <v>UPC Growth Rate</v>
      </c>
      <c r="AE18" s="56">
        <f>SUMIF('Input 3.1_2019VOL-YTD'!R:R,G18,'Input 3.1_2019VOL-YTD'!O:O)</f>
        <v>681290.39000000013</v>
      </c>
      <c r="AF18" s="56">
        <f>SUMIF('Input 4.1_2020VOL-YTD'!R:R,G18,'Input 4.1_2020VOL-YTD'!O:O)</f>
        <v>639383.85000000009</v>
      </c>
      <c r="AG18" s="56">
        <f>SUMIF('Input 5.1_2021VOL-YTD'!R:R,G18,'Input 5.1_2021VOL-YTD'!O:O)</f>
        <v>705334.12000000011</v>
      </c>
      <c r="AH18" s="64">
        <f>IFERROR(IF($AD18="Historical Average",(AVERAGE($AE18:$AG18)/AVERAGE($Y18:$AA18))*AB18,IF($AD18="UPC Growth Rate",((AG18/AA18)*(1+$S18)*AB18),IF($AD18="Modeled UPC",AB18/12*$W18,IF(AD18="Base Period",AG18,IF(AD18="Adjusted",SUMIF('Input 15_Fcst Inputs'!A:A,D18,'Input 15_Fcst Inputs'!F:F),0))))),0)</f>
        <v>709019.10527858254</v>
      </c>
      <c r="AI18" s="64">
        <f>IFERROR(IF($AD18="Historical Average",(AVERAGE($AE18:$AG18)/AVERAGE($Y18:$AA18))*AC18,IF($AD18="UPC Growth Rate",((AH18/AB18)*(1+$S18)*AC18),IF($AD18="Modeled UPC",AC18/12*$W18,IF(AD18="Base Period",AG18,IF(AD18="Adjusted",SUMIF('Input 15_Fcst Inputs'!A:A,D18,'Input 15_Fcst Inputs'!G:G),0))))),0)</f>
        <v>712723.34259122703</v>
      </c>
      <c r="AJ18" s="273">
        <f>VLOOKUP($G18,'WP-Peak Month UPC'!$C:$BL,17,FALSE)</f>
        <v>204.59732044198898</v>
      </c>
      <c r="AK18" s="273">
        <f>VLOOKUP($G18,'WP-Peak Month UPC'!$C:$BL,32,FALSE)</f>
        <v>216.33707446808509</v>
      </c>
      <c r="AL18" s="273">
        <f>VLOOKUP($G18,'WP-Peak Month UPC'!$C:$BL,47,FALSE)</f>
        <v>214.88761643835628</v>
      </c>
      <c r="AM18" s="273">
        <f>IF(OR(AD18="Base Period",AD18="Adjusted"),AL18,IF(AD18="Historical Average",AVERAGE(AJ18:AL18),IF(AD18="Modeled UPC",VLOOKUP(H18,Report_Regression!AB:AJ,5,FALSE),IF(AD18="UPC Growth Rate",AL18*(1+VLOOKUP(H18,Report_Regression!AB:AN,13,FALSE))))))</f>
        <v>215.77727854462972</v>
      </c>
      <c r="AN18" s="273">
        <f>IF(OR($AD18="Base Period",$AD18="Adjusted"),$AL18,IF($AD18="Historical Average",AVERAGE($AJ18:$AL18),IF($AD18="Modeled UPC",VLOOKUP($H18,Report_Regression!$AB:$AJ,9,FALSE),IF($AD18="UPC Growth Rate",AM18*(1+VLOOKUP($H18,Report_Regression!$AB:$AN,13,FALSE))))))</f>
        <v>216.6706239653559</v>
      </c>
      <c r="AO18" s="58">
        <f>VLOOKUP(E18,'Input 7_NG Rates'!B:I,7,FALSE)</f>
        <v>20</v>
      </c>
      <c r="AP18" s="292">
        <f>VLOOKUP(E18,'Input 7_NG Rates'!B:I,8,FALSE)</f>
        <v>0.39135999999999999</v>
      </c>
      <c r="AQ18" s="293">
        <f>VLOOKUP(D18,'Input 14_Ref Table'!C:N,12,FALSE)</f>
        <v>4.5</v>
      </c>
      <c r="AR18" s="292"/>
      <c r="AS18" s="151">
        <f t="shared" si="0"/>
        <v>52390</v>
      </c>
      <c r="AT18" s="151">
        <f t="shared" si="1"/>
        <v>276039.56120320002</v>
      </c>
      <c r="AU18" s="151">
        <f>SUMIF('Input 13.3_2021 Min Charges'!A:A,G18,'Input 13.3_2021 Min Charges'!O:O)</f>
        <v>0</v>
      </c>
      <c r="AV18" s="151">
        <f t="shared" si="2"/>
        <v>0</v>
      </c>
      <c r="AW18" s="151">
        <v>3465</v>
      </c>
      <c r="AX18" s="151">
        <f t="shared" si="11"/>
        <v>331894.56120320002</v>
      </c>
      <c r="AY18" s="533">
        <f>SUMIF('Input 6_2021MARG-YTD'!AN:AN,G18,'Input 6_2021MARG-YTD'!AK:AK)</f>
        <v>334990.41000000003</v>
      </c>
      <c r="AZ18" s="533">
        <f t="shared" si="12"/>
        <v>3095.8487968000118</v>
      </c>
      <c r="BA18" s="533"/>
      <c r="BB18" s="533"/>
      <c r="BC18" s="533"/>
      <c r="BD18" s="533"/>
      <c r="BE18" s="533"/>
      <c r="BF18" s="533"/>
      <c r="BG18" s="55"/>
      <c r="BH18" s="294"/>
      <c r="BI18" s="294"/>
      <c r="BJ18" s="191" t="s">
        <v>745</v>
      </c>
      <c r="BK18" s="514">
        <v>0.22965999999999998</v>
      </c>
      <c r="BL18" s="190">
        <f t="shared" si="3"/>
        <v>163684.04285950118</v>
      </c>
      <c r="BM18" s="518" cm="1">
        <f t="array" ref="BM18">IFERROR(INDEX('Input 1_GRIP Factors'!$K$5:$K$54,MATCH(1,(BJ18='Input 1_GRIP Factors'!$G$5:$G$54)*(A18='Input 1_GRIP Factors'!$J$5:$J$54),0)),0)</f>
        <v>0.15179948367288987</v>
      </c>
      <c r="BN18" s="190">
        <f t="shared" si="4"/>
        <v>107069.35523287216</v>
      </c>
      <c r="BO18" s="190">
        <f t="shared" si="13"/>
        <v>21070.202351136562</v>
      </c>
      <c r="BP18" s="190">
        <f t="shared" si="14"/>
        <v>128139.55758400873</v>
      </c>
      <c r="BQ18" s="44" cm="1">
        <f t="array" ref="BQ18">IFERROR(INDEX('Input 1_GRIP Factors'!$Y$5:$Y$65,MATCH(1,(BJ18='Input 1_GRIP Factors'!$G$5:$G$65)*(A18='Input 1_GRIP Factors'!$J$5:$J$65),0)),0)*AG18</f>
        <v>33891.304466000009</v>
      </c>
      <c r="BR18" s="190">
        <f t="shared" si="15"/>
        <v>33865.780212572245</v>
      </c>
      <c r="BS18" s="44" cm="1">
        <f t="array" ref="BS18">IFERROR(INDEX('Input 1_GRIP Factors'!$AC$5:$AC$65,MATCH(1,(BJ18='Input 1_GRIP Factors'!$G$5:$G$65)*(A18='Input 1_GRIP Factors'!$J$5:$J$65),0)),0)*AG18</f>
        <v>81818.757920000018</v>
      </c>
      <c r="BT18" s="190">
        <f t="shared" si="16"/>
        <v>82237.675215472336</v>
      </c>
      <c r="BU18" s="190">
        <f t="shared" si="5"/>
        <v>576137.57421525335</v>
      </c>
      <c r="BV18" s="190">
        <f t="shared" ca="1" si="17"/>
        <v>472.85659401056796</v>
      </c>
      <c r="BW18" s="190">
        <f t="shared" ca="1" si="6"/>
        <v>1208.2394573041904</v>
      </c>
      <c r="BX18" s="190" cm="1">
        <f t="array" aca="1" ref="BX18" ca="1">IFERROR(INDEX('Input 1_GRIP Factors'!$AC$5:$AC$65,MATCH(1,(BJ18='Input 1_GRIP Factors'!$G$5:$G$65)*(A18='Input 1_GRIP Factors'!$J$5:$J$65),0)),0)*BW18</f>
        <v>140.15577704728611</v>
      </c>
      <c r="BY18" s="190"/>
      <c r="BZ18" s="56">
        <f>SUMIF('Monthly VOL'!G:G,'Master '!G18,'Monthly VOL'!BV:BV)</f>
        <v>79255.670203978618</v>
      </c>
      <c r="CA18" s="519"/>
      <c r="CB18" s="56"/>
      <c r="CC18" s="553" t="s">
        <v>134</v>
      </c>
    </row>
    <row r="19" spans="1:81" s="60" customFormat="1">
      <c r="A19" s="60" t="s">
        <v>15</v>
      </c>
      <c r="B19" s="60" t="s">
        <v>994</v>
      </c>
      <c r="C19" s="55" t="s">
        <v>1245</v>
      </c>
      <c r="D19" s="60" t="s">
        <v>40</v>
      </c>
      <c r="E19" s="55" t="str">
        <f>VLOOKUP(D19,'Input 14_Ref Table'!C:D,2,FALSE)</f>
        <v>GCS41</v>
      </c>
      <c r="F19" s="172" t="s">
        <v>1286</v>
      </c>
      <c r="G19" s="59" t="str">
        <f>VLOOKUP(D19,'Input 14_Ref Table'!C:I,7,FALSE)</f>
        <v>FPU - FPU - GS - 2</v>
      </c>
      <c r="H19" s="59" t="str">
        <f>VLOOKUP(D19,'Input 14_Ref Table'!C:K,8,FALSE)</f>
        <v>GS2</v>
      </c>
      <c r="I19" s="55" t="str">
        <f>VLOOKUP(E19,'Input 7_NG Rates'!B:G,6,FALSE)</f>
        <v>GS-2</v>
      </c>
      <c r="J19" s="56" t="str">
        <f>IFERROR(VLOOKUP(H19,Report_Regression!B:L,11,FALSE),"")</f>
        <v>Median</v>
      </c>
      <c r="K19" s="57">
        <f>_xlfn.IFNA(VLOOKUP($H19,Report_Regression!$B:$L,9,FALSE),0)</f>
        <v>1.8587655739112818E-2</v>
      </c>
      <c r="L19" s="57">
        <f>_xlfn.IFNA(VLOOKUP($H19,Report_Regression!$B:$L,10,FALSE),0)</f>
        <v>8.309696626712066E-3</v>
      </c>
      <c r="M19" s="57">
        <f>_xlfn.IFNA(VLOOKUP($H19,Report_Regression!$B:$L,8,FALSE),0)</f>
        <v>2.8580676964871994E-2</v>
      </c>
      <c r="N19" s="57">
        <f t="shared" si="7"/>
        <v>1.8587655739112818E-2</v>
      </c>
      <c r="O19" s="57" t="str">
        <f>IFERROR(VLOOKUP(H19,Report_Regression!O:Y,11,FALSE),"")</f>
        <v>Median</v>
      </c>
      <c r="P19" s="57">
        <f>IFERROR(VLOOKUP($H19,Report_Regression!$O:$Y,9,FALSE),0)</f>
        <v>-1.8292273161028501E-2</v>
      </c>
      <c r="Q19" s="57">
        <f>IFERROR(VLOOKUP($H19,Report_Regression!$O:$Y,10,FALSE),0)</f>
        <v>-3.0189122518501168E-2</v>
      </c>
      <c r="R19" s="57">
        <f>IFERROR(VLOOKUP($H19,Report_Regression!$O:$Y,8,FALSE),0)</f>
        <v>-8.2525835790934997E-3</v>
      </c>
      <c r="S19" s="57">
        <f t="shared" si="8"/>
        <v>-1.8292273161028501E-2</v>
      </c>
      <c r="T19" s="56">
        <f>_xlfn.IFNA(VLOOKUP($H19,Report_Regression!$O:$Y,6,FALSE),0)</f>
        <v>3652.1</v>
      </c>
      <c r="U19" s="56">
        <f>_xlfn.IFNA(VLOOKUP($H19,Report_Regression!$O:$Y,7,FALSE),0)</f>
        <v>3302.4</v>
      </c>
      <c r="V19" s="56">
        <f>_xlfn.IFNA(VLOOKUP($H19,Report_Regression!$O:$Y,5,FALSE),0)</f>
        <v>4001.7999999999997</v>
      </c>
      <c r="W19" s="5">
        <f t="shared" si="9"/>
        <v>3652.1</v>
      </c>
      <c r="X19" s="64">
        <f t="shared" si="10"/>
        <v>3012.5167820821653</v>
      </c>
      <c r="Y19" s="56">
        <f>SUMIF('Input 3_2019CUST-YTD'!S:S,G19,'Input 3_2019CUST-YTD'!R:R)</f>
        <v>24964</v>
      </c>
      <c r="Z19" s="56">
        <f>SUMIF('Input 4_2020CUST-YTD'!S:S,G19,'Input 4_2020CUST-YTD'!R:R)</f>
        <v>25616</v>
      </c>
      <c r="AA19" s="56">
        <f>SUMIF('Input 5_2021CUST-YTD'!S:S,G19,'Input 5_2021CUST-YTD'!R:R)</f>
        <v>26215</v>
      </c>
      <c r="AB19" s="56">
        <f t="shared" si="19"/>
        <v>26702.275395200846</v>
      </c>
      <c r="AC19" s="56">
        <f t="shared" si="20"/>
        <v>27198.608097697826</v>
      </c>
      <c r="AD19" s="56" t="str">
        <f>VLOOKUP(D19,'Input 15_Fcst Inputs'!A:F,2,FALSE)</f>
        <v>UPC Growth Rate</v>
      </c>
      <c r="AE19" s="56">
        <f>SUMIF('Input 3.1_2019VOL-YTD'!R:R,G19,'Input 3.1_2019VOL-YTD'!O:O)</f>
        <v>6702935.9999999981</v>
      </c>
      <c r="AF19" s="56">
        <f>SUMIF('Input 4.1_2020VOL-YTD'!R:R,G19,'Input 4.1_2020VOL-YTD'!O:O)</f>
        <v>5960624.3199999994</v>
      </c>
      <c r="AG19" s="56">
        <f>SUMIF('Input 5.1_2021VOL-YTD'!R:R,G19,'Input 5.1_2021VOL-YTD'!O:O)</f>
        <v>6615291.8699999936</v>
      </c>
      <c r="AH19" s="64">
        <f>IFERROR(IF($AD19="Historical Average",(AVERAGE($AE19:$AG19)/AVERAGE($Y19:$AA19))*AB19,IF($AD19="UPC Growth Rate",((AG19/AA19)*(1+$S19)*AB19),IF($AD19="Modeled UPC",AB19/12*$W19,IF(AD19="Base Period",AG19,IF(AD19="Adjusted",SUMIF('Input 15_Fcst Inputs'!A:A,D19,'Input 15_Fcst Inputs'!F:F),0))))),0)</f>
        <v>6614996.6434283946</v>
      </c>
      <c r="AI19" s="64">
        <f>IFERROR(IF($AD19="Historical Average",(AVERAGE($AE19:$AG19)/AVERAGE($Y19:$AA19))*AC19,IF($AD19="UPC Growth Rate",((AH19/AB19)*(1+$S19)*AC19),IF($AD19="Modeled UPC",AC19/12*$W19,IF(AD19="Base Period",AG19,IF(AD19="Adjusted",SUMIF('Input 15_Fcst Inputs'!A:A,D19,'Input 15_Fcst Inputs'!G:G),0))))),0)</f>
        <v>6614701.4300321369</v>
      </c>
      <c r="AJ19" s="273">
        <f>VLOOKUP($G19,'WP-Peak Month UPC'!$C:$BL,17,FALSE)</f>
        <v>364.16759999999971</v>
      </c>
      <c r="AK19" s="273">
        <f>VLOOKUP($G19,'WP-Peak Month UPC'!$C:$BL,32,FALSE)</f>
        <v>353.48441838649194</v>
      </c>
      <c r="AL19" s="273">
        <f>VLOOKUP($G19,'WP-Peak Month UPC'!$C:$BL,47,FALSE)</f>
        <v>345.30090991810704</v>
      </c>
      <c r="AM19" s="273">
        <f>IF(OR(AD19="Base Period",AD19="Adjusted"),AL19,IF(AD19="Historical Average",AVERAGE(AJ19:AL19),IF(AD19="Modeled UPC",VLOOKUP(H19,Report_Regression!AB:AJ,5,FALSE),IF(AD19="UPC Growth Rate",AL19*(1+VLOOKUP(H19,Report_Regression!AB:AN,13,FALSE))))))</f>
        <v>337.13471961633456</v>
      </c>
      <c r="AN19" s="273">
        <f>IF(OR($AD19="Base Period",$AD19="Adjusted"),$AL19,IF($AD19="Historical Average",AVERAGE($AJ19:$AL19),IF($AD19="Modeled UPC",VLOOKUP($H19,Report_Regression!$AB:$AJ,9,FALSE),IF($AD19="UPC Growth Rate",AM19*(1+VLOOKUP($H19,Report_Regression!$AB:$AN,13,FALSE))))))</f>
        <v>329.16165554773818</v>
      </c>
      <c r="AO19" s="58">
        <f>VLOOKUP(E19,'Input 7_NG Rates'!B:I,7,FALSE)</f>
        <v>33</v>
      </c>
      <c r="AP19" s="292">
        <f>VLOOKUP(E19,'Input 7_NG Rates'!B:I,8,FALSE)</f>
        <v>0.39135999999999999</v>
      </c>
      <c r="AQ19" s="293">
        <f>VLOOKUP(D19,'Input 14_Ref Table'!C:N,12,FALSE)</f>
        <v>0</v>
      </c>
      <c r="AR19" s="292"/>
      <c r="AS19" s="151">
        <f t="shared" si="0"/>
        <v>865095</v>
      </c>
      <c r="AT19" s="151">
        <f t="shared" si="1"/>
        <v>2588960.6262431974</v>
      </c>
      <c r="AU19" s="151">
        <f>SUMIF('Input 13.3_2021 Min Charges'!A:A,G19,'Input 13.3_2021 Min Charges'!O:O)</f>
        <v>0</v>
      </c>
      <c r="AV19" s="151">
        <f t="shared" si="2"/>
        <v>0</v>
      </c>
      <c r="AW19" s="151">
        <v>0</v>
      </c>
      <c r="AX19" s="151">
        <f t="shared" si="11"/>
        <v>3454055.6262431974</v>
      </c>
      <c r="AY19" s="533">
        <f>SUMIF('Input 6_2021MARG-YTD'!AN:AN,G19,'Input 6_2021MARG-YTD'!AK:AK)</f>
        <v>3453378.8899999969</v>
      </c>
      <c r="AZ19" s="533">
        <f t="shared" si="12"/>
        <v>-676.73624320048839</v>
      </c>
      <c r="BA19" s="533"/>
      <c r="BB19" s="533"/>
      <c r="BC19" s="533"/>
      <c r="BD19" s="533"/>
      <c r="BE19" s="533"/>
      <c r="BF19" s="533"/>
      <c r="BG19" s="55"/>
      <c r="BH19" s="294"/>
      <c r="BI19" s="294"/>
      <c r="BJ19" s="191" t="s">
        <v>751</v>
      </c>
      <c r="BK19" s="514">
        <v>0.22965999999999995</v>
      </c>
      <c r="BL19" s="190">
        <f t="shared" si="3"/>
        <v>1519132.3304211802</v>
      </c>
      <c r="BM19" s="518" cm="1">
        <f t="array" ref="BM19">IFERROR(INDEX('Input 1_GRIP Factors'!$K$5:$K$54,MATCH(1,(BJ19='Input 1_GRIP Factors'!$G$5:$G$54)*(A19='Input 1_GRIP Factors'!$J$5:$J$54),0)),0)</f>
        <v>0.15179948367288987</v>
      </c>
      <c r="BN19" s="190">
        <f t="shared" si="4"/>
        <v>1004197.8902114651</v>
      </c>
      <c r="BO19" s="190">
        <f t="shared" si="13"/>
        <v>197616.32729851271</v>
      </c>
      <c r="BP19" s="190">
        <f t="shared" si="14"/>
        <v>1201814.2175099778</v>
      </c>
      <c r="BQ19" s="44" cm="1">
        <f t="array" ref="BQ19">IFERROR(INDEX('Input 1_GRIP Factors'!$Y$5:$Y$65,MATCH(1,(BJ19='Input 1_GRIP Factors'!$G$5:$G$65)*(A19='Input 1_GRIP Factors'!$J$5:$J$65),0)),0)*AG19</f>
        <v>234776.70846629978</v>
      </c>
      <c r="BR19" s="190">
        <f t="shared" si="15"/>
        <v>234599.89319464678</v>
      </c>
      <c r="BS19" s="44" cm="1">
        <f t="array" ref="BS19">IFERROR(INDEX('Input 1_GRIP Factors'!$AC$5:$AC$65,MATCH(1,(BJ19='Input 1_GRIP Factors'!$G$5:$G$65)*(A19='Input 1_GRIP Factors'!$J$5:$J$65),0)),0)*AG19</f>
        <v>6587970.7145768935</v>
      </c>
      <c r="BT19" s="190">
        <f t="shared" si="16"/>
        <v>6621701.5477569802</v>
      </c>
      <c r="BU19" s="190">
        <f t="shared" si="5"/>
        <v>11512171.284704801</v>
      </c>
      <c r="BV19" s="190">
        <f t="shared" ca="1" si="17"/>
        <v>4921.0597878656954</v>
      </c>
      <c r="BW19" s="190">
        <f t="shared" ca="1" si="6"/>
        <v>12574.25334184816</v>
      </c>
      <c r="BX19" s="190" cm="1">
        <f t="array" aca="1" ref="BX19" ca="1">IFERROR(INDEX('Input 1_GRIP Factors'!$AC$5:$AC$65,MATCH(1,(BJ19='Input 1_GRIP Factors'!$G$5:$G$65)*(A19='Input 1_GRIP Factors'!$J$5:$J$65),0)),0)*BW19</f>
        <v>12522.321675546327</v>
      </c>
      <c r="BY19" s="190"/>
      <c r="BZ19" s="56">
        <f>SUMIF('Monthly VOL'!G:G,'Master '!G19,'Monthly VOL'!BV:BV)</f>
        <v>758903.65891497571</v>
      </c>
      <c r="CA19" s="519"/>
      <c r="CB19" s="56"/>
      <c r="CC19" s="553" t="s">
        <v>133</v>
      </c>
    </row>
    <row r="20" spans="1:81" s="60" customFormat="1">
      <c r="A20" s="60" t="s">
        <v>15</v>
      </c>
      <c r="B20" s="60" t="s">
        <v>993</v>
      </c>
      <c r="C20" s="55" t="s">
        <v>1245</v>
      </c>
      <c r="D20" s="60" t="s">
        <v>42</v>
      </c>
      <c r="E20" s="55" t="str">
        <f>VLOOKUP(D20,'Input 14_Ref Table'!C:D,2,FALSE)</f>
        <v>GCT96</v>
      </c>
      <c r="F20" s="172" t="s">
        <v>1286</v>
      </c>
      <c r="G20" s="59" t="str">
        <f>VLOOKUP(D20,'Input 14_Ref Table'!C:I,7,FALSE)</f>
        <v>FPU - FPU - GSTS - 2</v>
      </c>
      <c r="H20" s="59" t="str">
        <f>VLOOKUP(D20,'Input 14_Ref Table'!C:K,8,FALSE)</f>
        <v>GS2</v>
      </c>
      <c r="I20" s="55" t="str">
        <f>VLOOKUP(E20,'Input 7_NG Rates'!B:G,6,FALSE)</f>
        <v>GSTS2</v>
      </c>
      <c r="J20" s="56" t="str">
        <f>IFERROR(VLOOKUP(H20,Report_Regression!B:L,11,FALSE),"")</f>
        <v>Median</v>
      </c>
      <c r="K20" s="57">
        <f>_xlfn.IFNA(VLOOKUP($H20,Report_Regression!$B:$L,9,FALSE),0)</f>
        <v>1.8587655739112818E-2</v>
      </c>
      <c r="L20" s="57">
        <f>_xlfn.IFNA(VLOOKUP($H20,Report_Regression!$B:$L,10,FALSE),0)</f>
        <v>8.309696626712066E-3</v>
      </c>
      <c r="M20" s="57">
        <f>_xlfn.IFNA(VLOOKUP($H20,Report_Regression!$B:$L,8,FALSE),0)</f>
        <v>2.8580676964871994E-2</v>
      </c>
      <c r="N20" s="57">
        <f t="shared" si="7"/>
        <v>1.8587655739112818E-2</v>
      </c>
      <c r="O20" s="57" t="str">
        <f>IFERROR(VLOOKUP(H20,Report_Regression!O:Y,11,FALSE),"")</f>
        <v>Median</v>
      </c>
      <c r="P20" s="57">
        <f>IFERROR(VLOOKUP($H20,Report_Regression!$O:$Y,9,FALSE),0)</f>
        <v>-1.8292273161028501E-2</v>
      </c>
      <c r="Q20" s="57">
        <f>IFERROR(VLOOKUP($H20,Report_Regression!$O:$Y,10,FALSE),0)</f>
        <v>-3.0189122518501168E-2</v>
      </c>
      <c r="R20" s="57">
        <f>IFERROR(VLOOKUP($H20,Report_Regression!$O:$Y,8,FALSE),0)</f>
        <v>-8.2525835790934997E-3</v>
      </c>
      <c r="S20" s="57">
        <f t="shared" si="8"/>
        <v>-1.8292273161028501E-2</v>
      </c>
      <c r="T20" s="56">
        <f>_xlfn.IFNA(VLOOKUP($H20,Report_Regression!$O:$Y,6,FALSE),0)</f>
        <v>3652.1</v>
      </c>
      <c r="U20" s="56">
        <f>_xlfn.IFNA(VLOOKUP($H20,Report_Regression!$O:$Y,7,FALSE),0)</f>
        <v>3302.4</v>
      </c>
      <c r="V20" s="56">
        <f>_xlfn.IFNA(VLOOKUP($H20,Report_Regression!$O:$Y,5,FALSE),0)</f>
        <v>4001.7999999999997</v>
      </c>
      <c r="W20" s="5">
        <f t="shared" si="9"/>
        <v>3652.1</v>
      </c>
      <c r="X20" s="64">
        <f t="shared" si="10"/>
        <v>6538.219680981595</v>
      </c>
      <c r="Y20" s="56">
        <f>SUMIF('Input 3_2019CUST-YTD'!S:S,G20,'Input 3_2019CUST-YTD'!R:R)</f>
        <v>9439</v>
      </c>
      <c r="Z20" s="56">
        <f>SUMIF('Input 4_2020CUST-YTD'!S:S,G20,'Input 4_2020CUST-YTD'!R:R)</f>
        <v>9817</v>
      </c>
      <c r="AA20" s="56">
        <f>SUMIF('Input 5_2021CUST-YTD'!S:S,G20,'Input 5_2021CUST-YTD'!R:R)</f>
        <v>10084</v>
      </c>
      <c r="AB20" s="56">
        <f t="shared" si="19"/>
        <v>10271.437920473214</v>
      </c>
      <c r="AC20" s="56">
        <f t="shared" si="20"/>
        <v>10462.35987248464</v>
      </c>
      <c r="AD20" s="56" t="str">
        <f>VLOOKUP(D20,'Input 15_Fcst Inputs'!A:F,2,FALSE)</f>
        <v>UPC Growth Rate</v>
      </c>
      <c r="AE20" s="56">
        <f>SUMIF('Input 3.1_2019VOL-YTD'!R:R,G20,'Input 3.1_2019VOL-YTD'!O:O)</f>
        <v>5285544.8599999994</v>
      </c>
      <c r="AF20" s="56">
        <f>SUMIF('Input 4.1_2020VOL-YTD'!R:R,G20,'Input 4.1_2020VOL-YTD'!O:O)</f>
        <v>4996441.4899999974</v>
      </c>
      <c r="AG20" s="56">
        <f>SUMIF('Input 5.1_2021VOL-YTD'!R:R,G20,'Input 5.1_2021VOL-YTD'!O:O)</f>
        <v>5703960.7700000023</v>
      </c>
      <c r="AH20" s="64">
        <f>IFERROR(IF($AD20="Historical Average",(AVERAGE($AE20:$AG20)/AVERAGE($Y20:$AA20))*AB20,IF($AD20="UPC Growth Rate",((AG20/AA20)*(1+$S20)*AB20),IF($AD20="Modeled UPC",AB20/12*$W20,IF(AD20="Base Period",AG20,IF(AD20="Adjusted",SUMIF('Input 15_Fcst Inputs'!A:A,D20,'Input 15_Fcst Inputs'!F:F),0))))),0)</f>
        <v>5703706.2142198849</v>
      </c>
      <c r="AI20" s="64">
        <f>IFERROR(IF($AD20="Historical Average",(AVERAGE($AE20:$AG20)/AVERAGE($Y20:$AA20))*AC20,IF($AD20="UPC Growth Rate",((AH20/AB20)*(1+$S20)*AC20),IF($AD20="Modeled UPC",AC20/12*$W20,IF(AD20="Base Period",AG20,IF(AD20="Adjusted",SUMIF('Input 15_Fcst Inputs'!A:A,D20,'Input 15_Fcst Inputs'!G:G),0))))),0)</f>
        <v>5703451.669800058</v>
      </c>
      <c r="AJ20" s="273">
        <f>VLOOKUP($G20,'WP-Peak Month UPC'!$C:$BL,17,FALSE)</f>
        <v>681.10299999999961</v>
      </c>
      <c r="AK20" s="273">
        <f>VLOOKUP($G20,'WP-Peak Month UPC'!$C:$BL,32,FALSE)</f>
        <v>702.17314930991176</v>
      </c>
      <c r="AL20" s="273">
        <f>VLOOKUP($G20,'WP-Peak Month UPC'!$C:$BL,47,FALSE)</f>
        <v>697.73033816425254</v>
      </c>
      <c r="AM20" s="273">
        <f>IF(OR(AD20="Base Period",AD20="Adjusted"),AL20,IF(AD20="Historical Average",AVERAGE(AJ20:AL20),IF(AD20="Modeled UPC",VLOOKUP(H20,Report_Regression!AB:AJ,5,FALSE),IF(AD20="UPC Growth Rate",AL20*(1+VLOOKUP(H20,Report_Regression!AB:AN,13,FALSE))))))</f>
        <v>681.22937174015397</v>
      </c>
      <c r="AN20" s="273">
        <f>IF(OR($AD20="Base Period",$AD20="Adjusted"),$AL20,IF($AD20="Historical Average",AVERAGE($AJ20:$AL20),IF($AD20="Modeled UPC",VLOOKUP($H20,Report_Regression!$AB:$AJ,9,FALSE),IF($AD20="UPC Growth Rate",AM20*(1+VLOOKUP($H20,Report_Regression!$AB:$AN,13,FALSE))))))</f>
        <v>665.11864475102914</v>
      </c>
      <c r="AO20" s="58">
        <f>VLOOKUP(E20,'Input 7_NG Rates'!B:I,7,FALSE)</f>
        <v>33</v>
      </c>
      <c r="AP20" s="292">
        <f>VLOOKUP(E20,'Input 7_NG Rates'!B:I,8,FALSE)</f>
        <v>0.39135999999999999</v>
      </c>
      <c r="AQ20" s="293">
        <f>VLOOKUP(D20,'Input 14_Ref Table'!C:N,12,FALSE)</f>
        <v>4.5</v>
      </c>
      <c r="AR20" s="292"/>
      <c r="AS20" s="151">
        <f t="shared" si="0"/>
        <v>332772</v>
      </c>
      <c r="AT20" s="151">
        <f t="shared" si="1"/>
        <v>2232302.0869472008</v>
      </c>
      <c r="AU20" s="151">
        <f>SUMIF('Input 13.3_2021 Min Charges'!A:A,G20,'Input 13.3_2021 Min Charges'!O:O)</f>
        <v>0</v>
      </c>
      <c r="AV20" s="151">
        <f t="shared" si="2"/>
        <v>0</v>
      </c>
      <c r="AW20" s="151">
        <v>68174</v>
      </c>
      <c r="AX20" s="151">
        <f t="shared" si="11"/>
        <v>2633248.0869472008</v>
      </c>
      <c r="AY20" s="533">
        <f>SUMIF('Input 6_2021MARG-YTD'!AN:AN,G20,'Input 6_2021MARG-YTD'!AK:AK)</f>
        <v>2692886.4699999993</v>
      </c>
      <c r="AZ20" s="533">
        <f t="shared" si="12"/>
        <v>59638.383052798454</v>
      </c>
      <c r="BA20" s="533"/>
      <c r="BB20" s="533"/>
      <c r="BC20" s="533"/>
      <c r="BD20" s="533"/>
      <c r="BE20" s="533"/>
      <c r="BF20" s="533"/>
      <c r="BG20" s="55"/>
      <c r="BH20" s="294"/>
      <c r="BI20" s="294"/>
      <c r="BJ20" s="191" t="s">
        <v>755</v>
      </c>
      <c r="BK20" s="514">
        <v>0.22966</v>
      </c>
      <c r="BL20" s="190">
        <f t="shared" si="3"/>
        <v>1309854.7104862814</v>
      </c>
      <c r="BM20" s="518" cm="1">
        <f t="array" ref="BM20">IFERROR(INDEX('Input 1_GRIP Factors'!$K$5:$K$54,MATCH(1,(BJ20='Input 1_GRIP Factors'!$G$5:$G$54)*(A20='Input 1_GRIP Factors'!$J$5:$J$54),0)),0)</f>
        <v>0.15179948367288987</v>
      </c>
      <c r="BN20" s="190">
        <f t="shared" si="4"/>
        <v>865858.29977641965</v>
      </c>
      <c r="BO20" s="190">
        <f t="shared" si="13"/>
        <v>170392.44837162388</v>
      </c>
      <c r="BP20" s="190">
        <f t="shared" si="14"/>
        <v>1036250.7481480435</v>
      </c>
      <c r="BQ20" s="44" cm="1">
        <f t="array" ref="BQ20">IFERROR(INDEX('Input 1_GRIP Factors'!$Y$5:$Y$65,MATCH(1,(BJ20='Input 1_GRIP Factors'!$G$5:$G$65)*(A20='Input 1_GRIP Factors'!$J$5:$J$65),0)),0)*AG20</f>
        <v>202433.56772730008</v>
      </c>
      <c r="BR20" s="190">
        <f t="shared" si="15"/>
        <v>202281.11075444613</v>
      </c>
      <c r="BS20" s="44" cm="1">
        <f t="array" ref="BS20">IFERROR(INDEX('Input 1_GRIP Factors'!$AC$5:$AC$65,MATCH(1,(BJ20='Input 1_GRIP Factors'!$G$5:$G$65)*(A20='Input 1_GRIP Factors'!$J$5:$J$65),0)),0)*AG20</f>
        <v>623442.91216100019</v>
      </c>
      <c r="BT20" s="190">
        <f t="shared" si="16"/>
        <v>626634.97991274041</v>
      </c>
      <c r="BU20" s="190">
        <f t="shared" si="5"/>
        <v>4498414.9257624308</v>
      </c>
      <c r="BV20" s="190">
        <f t="shared" ca="1" si="17"/>
        <v>3751.6394274878285</v>
      </c>
      <c r="BW20" s="190">
        <f t="shared" ca="1" si="6"/>
        <v>9586.1596164345574</v>
      </c>
      <c r="BX20" s="190" cm="1">
        <f t="array" aca="1" ref="BX20" ca="1">IFERROR(INDEX('Input 1_GRIP Factors'!$AC$5:$AC$65,MATCH(1,(BJ20='Input 1_GRIP Factors'!$G$5:$G$65)*(A20='Input 1_GRIP Factors'!$J$5:$J$65),0)),0)*BW20</f>
        <v>1047.7672460762972</v>
      </c>
      <c r="BY20" s="190"/>
      <c r="BZ20" s="56">
        <f>SUMIF('Monthly VOL'!G:G,'Master '!G20,'Monthly VOL'!BV:BV)</f>
        <v>577669.15622775175</v>
      </c>
      <c r="CA20" s="519"/>
      <c r="CB20" s="56"/>
      <c r="CC20" s="553" t="s">
        <v>135</v>
      </c>
    </row>
    <row r="21" spans="1:81" s="60" customFormat="1">
      <c r="A21" s="60" t="s">
        <v>15</v>
      </c>
      <c r="B21" s="60" t="s">
        <v>994</v>
      </c>
      <c r="C21" s="55" t="s">
        <v>1245</v>
      </c>
      <c r="D21" s="60" t="s">
        <v>44</v>
      </c>
      <c r="E21" s="55" t="str">
        <f>VLOOKUP(D21,'Input 14_Ref Table'!C:D,2,FALSE)</f>
        <v>GLV51</v>
      </c>
      <c r="F21" s="172" t="s">
        <v>1286</v>
      </c>
      <c r="G21" s="59" t="str">
        <f>VLOOKUP(D21,'Input 14_Ref Table'!C:I,7,FALSE)</f>
        <v>FPU - FPU - LVS</v>
      </c>
      <c r="H21" s="59" t="str">
        <f>VLOOKUP(D21,'Input 14_Ref Table'!C:K,8,FALSE)</f>
        <v>LVS</v>
      </c>
      <c r="I21" s="55" t="str">
        <f>VLOOKUP(E21,'Input 7_NG Rates'!B:G,6,FALSE)</f>
        <v>LVS</v>
      </c>
      <c r="J21" s="56" t="str">
        <f>IFERROR(VLOOKUP(H21,Report_Regression!B:L,11,FALSE),"")</f>
        <v>Median</v>
      </c>
      <c r="K21" s="57">
        <f>_xlfn.IFNA(VLOOKUP($H21,Report_Regression!$B:$L,9,FALSE),0)</f>
        <v>1.1133093100946111E-2</v>
      </c>
      <c r="L21" s="57">
        <f>_xlfn.IFNA(VLOOKUP($H21,Report_Regression!$B:$L,10,FALSE),0)</f>
        <v>1.0311691202693724E-2</v>
      </c>
      <c r="M21" s="57">
        <f>_xlfn.IFNA(VLOOKUP($H21,Report_Regression!$B:$L,8,FALSE),0)</f>
        <v>1.1943602949465048E-2</v>
      </c>
      <c r="N21" s="57">
        <f t="shared" si="7"/>
        <v>1.1133093100946111E-2</v>
      </c>
      <c r="O21" s="57" t="str">
        <f>IFERROR(VLOOKUP(H21,Report_Regression!O:Y,11,FALSE),"")</f>
        <v>Median</v>
      </c>
      <c r="P21" s="57">
        <f>IFERROR(VLOOKUP($H21,Report_Regression!$O:$Y,9,FALSE),0)</f>
        <v>-1.7360612496315646E-2</v>
      </c>
      <c r="Q21" s="57">
        <f>IFERROR(VLOOKUP($H21,Report_Regression!$O:$Y,10,FALSE),0)</f>
        <v>-3.1097397223485902E-2</v>
      </c>
      <c r="R21" s="57">
        <f>IFERROR(VLOOKUP($H21,Report_Regression!$O:$Y,8,FALSE),0)</f>
        <v>-5.6743474733534482E-3</v>
      </c>
      <c r="S21" s="57">
        <f t="shared" si="8"/>
        <v>-1.7360612496315646E-2</v>
      </c>
      <c r="T21" s="56">
        <f>_xlfn.IFNA(VLOOKUP($H21,Report_Regression!$O:$Y,6,FALSE),0)</f>
        <v>19502.099999999999</v>
      </c>
      <c r="U21" s="56">
        <f>_xlfn.IFNA(VLOOKUP($H21,Report_Regression!$O:$Y,7,FALSE),0)</f>
        <v>17678.5</v>
      </c>
      <c r="V21" s="56">
        <f>_xlfn.IFNA(VLOOKUP($H21,Report_Regression!$O:$Y,5,FALSE),0)</f>
        <v>21325.699999999997</v>
      </c>
      <c r="W21" s="5">
        <f t="shared" si="9"/>
        <v>19502.099999999999</v>
      </c>
      <c r="X21" s="64">
        <f t="shared" si="10"/>
        <v>12714.193689295702</v>
      </c>
      <c r="Y21" s="56">
        <f>SUMIF('Input 3_2019CUST-YTD'!S:S,G21,'Input 3_2019CUST-YTD'!R:R)</f>
        <v>7873</v>
      </c>
      <c r="Z21" s="56">
        <f>SUMIF('Input 4_2020CUST-YTD'!S:S,G21,'Input 4_2020CUST-YTD'!R:R)</f>
        <v>7824</v>
      </c>
      <c r="AA21" s="56">
        <f>SUMIF('Input 5_2021CUST-YTD'!S:S,G21,'Input 5_2021CUST-YTD'!R:R)</f>
        <v>7901</v>
      </c>
      <c r="AB21" s="56">
        <f t="shared" si="19"/>
        <v>7988.9625685905758</v>
      </c>
      <c r="AC21" s="56">
        <f t="shared" si="20"/>
        <v>8077.9044326466683</v>
      </c>
      <c r="AD21" s="56" t="str">
        <f>VLOOKUP(D21,'Input 15_Fcst Inputs'!A:F,2,FALSE)</f>
        <v>UPC Growth Rate</v>
      </c>
      <c r="AE21" s="56">
        <f>SUMIF('Input 3.1_2019VOL-YTD'!R:R,G21,'Input 3.1_2019VOL-YTD'!O:O)</f>
        <v>9095256.9100000001</v>
      </c>
      <c r="AF21" s="56">
        <f>SUMIF('Input 4.1_2020VOL-YTD'!R:R,G21,'Input 4.1_2020VOL-YTD'!O:O)</f>
        <v>7704386.799999997</v>
      </c>
      <c r="AG21" s="56">
        <f>SUMIF('Input 5.1_2021VOL-YTD'!R:R,G21,'Input 5.1_2021VOL-YTD'!O:O)</f>
        <v>8202818.1799999988</v>
      </c>
      <c r="AH21" s="64">
        <f>IFERROR(IF($AD21="Historical Average",(AVERAGE($AE21:$AG21)/AVERAGE($Y21:$AA21))*AB21,IF($AD21="UPC Growth Rate",((AG21/AA21)*(1+$S21)*AB21),IF($AD21="Modeled UPC",AB21/12*$W21,IF(AD21="Base Period",AG21,IF(AD21="Adjusted",SUMIF('Input 15_Fcst Inputs'!A:A,D21,'Input 15_Fcst Inputs'!F:F),0))))),0)</f>
        <v>8150149.5520123653</v>
      </c>
      <c r="AI21" s="64">
        <f>IFERROR(IF($AD21="Historical Average",(AVERAGE($AE21:$AG21)/AVERAGE($Y21:$AA21))*AC21,IF($AD21="UPC Growth Rate",((AH21/AB21)*(1+$S21)*AC21),IF($AD21="Modeled UPC",AC21/12*$W21,IF(AD21="Base Period",AG21,IF(AD21="Adjusted",SUMIF('Input 15_Fcst Inputs'!A:A,D21,'Input 15_Fcst Inputs'!G:G),0))))),0)</f>
        <v>8097819.0985780656</v>
      </c>
      <c r="AJ21" s="273">
        <f>VLOOKUP($G21,'WP-Peak Month UPC'!$C:$BL,17,FALSE)</f>
        <v>1422.2135585585595</v>
      </c>
      <c r="AK21" s="273">
        <f>VLOOKUP($G21,'WP-Peak Month UPC'!$C:$BL,32,FALSE)</f>
        <v>1501.8132511556237</v>
      </c>
      <c r="AL21" s="273">
        <f>VLOOKUP($G21,'WP-Peak Month UPC'!$C:$BL,47,FALSE)</f>
        <v>1354.3189701492531</v>
      </c>
      <c r="AM21" s="273">
        <f>IF(OR(AD21="Base Period",AD21="Adjusted"),AL21,IF(AD21="Historical Average",AVERAGE(AJ21:AL21),IF(AD21="Modeled UPC",VLOOKUP(H21,Report_Regression!AB:AJ,5,FALSE),IF(AD21="UPC Growth Rate",AL21*(1+VLOOKUP(H21,Report_Regression!AB:AN,13,FALSE))))))</f>
        <v>1304.6627001690138</v>
      </c>
      <c r="AN21" s="273">
        <f>IF(OR($AD21="Base Period",$AD21="Adjusted"),$AL21,IF($AD21="Historical Average",AVERAGE($AJ21:$AL21),IF($AD21="Modeled UPC",VLOOKUP($H21,Report_Regression!$AB:$AJ,9,FALSE),IF($AD21="UPC Growth Rate",AM21*(1+VLOOKUP($H21,Report_Regression!$AB:$AN,13,FALSE))))))</f>
        <v>1256.8270833751346</v>
      </c>
      <c r="AO21" s="58">
        <f>VLOOKUP(E21,'Input 7_NG Rates'!B:I,7,FALSE)</f>
        <v>90</v>
      </c>
      <c r="AP21" s="292">
        <f>VLOOKUP(E21,'Input 7_NG Rates'!B:I,8,FALSE)</f>
        <v>0.35365999999999997</v>
      </c>
      <c r="AQ21" s="293">
        <f>VLOOKUP(D21,'Input 14_Ref Table'!C:N,12,FALSE)</f>
        <v>0</v>
      </c>
      <c r="AR21" s="292"/>
      <c r="AS21" s="151">
        <f t="shared" si="0"/>
        <v>711090</v>
      </c>
      <c r="AT21" s="151">
        <f t="shared" si="1"/>
        <v>2901008.6775387996</v>
      </c>
      <c r="AU21" s="151">
        <f>SUMIF('Input 13.3_2021 Min Charges'!A:A,G21,'Input 13.3_2021 Min Charges'!O:O)</f>
        <v>298823.74</v>
      </c>
      <c r="AV21" s="151">
        <f t="shared" si="2"/>
        <v>0</v>
      </c>
      <c r="AW21" s="151">
        <v>0</v>
      </c>
      <c r="AX21" s="151">
        <f t="shared" si="11"/>
        <v>3910922.4175387993</v>
      </c>
      <c r="AY21" s="533">
        <f>SUMIF('Input 6_2021MARG-YTD'!AN:AN,G21,'Input 6_2021MARG-YTD'!AK:AK)</f>
        <v>3906648.1200000057</v>
      </c>
      <c r="AZ21" s="533">
        <f t="shared" si="12"/>
        <v>-4274.2975387936458</v>
      </c>
      <c r="BA21" s="533"/>
      <c r="BB21" s="533"/>
      <c r="BC21" s="533"/>
      <c r="BD21" s="533"/>
      <c r="BE21" s="533"/>
      <c r="BF21" s="533"/>
      <c r="BG21" s="55"/>
      <c r="BH21" s="294"/>
      <c r="BI21" s="294"/>
      <c r="BJ21" s="191" t="s">
        <v>798</v>
      </c>
      <c r="BK21" s="514">
        <v>0.16008</v>
      </c>
      <c r="BL21" s="190">
        <f t="shared" si="3"/>
        <v>1296298.8813003767</v>
      </c>
      <c r="BM21" s="518" cm="1">
        <f t="array" ref="BM21">IFERROR(INDEX('Input 1_GRIP Factors'!$K$5:$K$54,MATCH(1,(BJ21='Input 1_GRIP Factors'!$G$5:$G$54)*(A21='Input 1_GRIP Factors'!$J$5:$J$54),0)),0)</f>
        <v>0.10220922550548883</v>
      </c>
      <c r="BN21" s="190">
        <f t="shared" si="4"/>
        <v>838403.69314014341</v>
      </c>
      <c r="BO21" s="190">
        <f t="shared" si="13"/>
        <v>164989.65019432059</v>
      </c>
      <c r="BP21" s="190">
        <f t="shared" si="14"/>
        <v>1003393.343334464</v>
      </c>
      <c r="BQ21" s="44" cm="1">
        <f t="array" ref="BQ21">IFERROR(INDEX('Input 1_GRIP Factors'!$Y$5:$Y$65,MATCH(1,(BJ21='Input 1_GRIP Factors'!$G$5:$G$65)*(A21='Input 1_GRIP Factors'!$J$5:$J$65),0)),0)*AG21</f>
        <v>243213.55903699997</v>
      </c>
      <c r="BR21" s="190">
        <f t="shared" si="15"/>
        <v>243030.3897959294</v>
      </c>
      <c r="BS21" s="44" cm="1">
        <f t="array" ref="BS21">IFERROR(INDEX('Input 1_GRIP Factors'!$AC$5:$AC$65,MATCH(1,(BJ21='Input 1_GRIP Factors'!$G$5:$G$65)*(A21='Input 1_GRIP Factors'!$J$5:$J$65),0)),0)*AG21</f>
        <v>8168940.5409165993</v>
      </c>
      <c r="BT21" s="190">
        <f t="shared" si="16"/>
        <v>8210766.0411475003</v>
      </c>
      <c r="BU21" s="190">
        <f t="shared" si="5"/>
        <v>13368112.191816693</v>
      </c>
      <c r="BV21" s="190">
        <f t="shared" ca="1" si="17"/>
        <v>5571.9667327261477</v>
      </c>
      <c r="BW21" s="190">
        <f t="shared" ca="1" si="6"/>
        <v>15755.151085014273</v>
      </c>
      <c r="BX21" s="190" cm="1">
        <f t="array" aca="1" ref="BX21" ca="1">IFERROR(INDEX('Input 1_GRIP Factors'!$AC$5:$AC$65,MATCH(1,(BJ21='Input 1_GRIP Factors'!$G$5:$G$65)*(A21='Input 1_GRIP Factors'!$J$5:$J$65),0)),0)*BW21</f>
        <v>15690.082311033164</v>
      </c>
      <c r="BY21" s="190"/>
      <c r="BZ21" s="56">
        <f>SUMIF('Monthly VOL'!G:G,'Master '!G21,'Monthly VOL'!BV:BV)</f>
        <v>895778.737688369</v>
      </c>
      <c r="CA21" s="519"/>
      <c r="CB21" s="56"/>
      <c r="CC21" s="553" t="s">
        <v>101</v>
      </c>
    </row>
    <row r="22" spans="1:81" s="60" customFormat="1">
      <c r="A22" s="60" t="s">
        <v>15</v>
      </c>
      <c r="B22" s="60" t="s">
        <v>993</v>
      </c>
      <c r="C22" s="55" t="s">
        <v>1245</v>
      </c>
      <c r="D22" s="60" t="s">
        <v>46</v>
      </c>
      <c r="E22" s="55" t="str">
        <f>VLOOKUP(D22,'Input 14_Ref Table'!C:D,2,FALSE)</f>
        <v>GLT91</v>
      </c>
      <c r="F22" s="172" t="s">
        <v>1286</v>
      </c>
      <c r="G22" s="59" t="str">
        <f>VLOOKUP(D22,'Input 14_Ref Table'!C:I,7,FALSE)</f>
        <v>FPU - FPU - LVTS &gt;50k</v>
      </c>
      <c r="H22" s="59" t="str">
        <f>VLOOKUP(D22,'Input 14_Ref Table'!C:K,8,FALSE)</f>
        <v>LVS</v>
      </c>
      <c r="I22" s="55" t="str">
        <f>VLOOKUP(E22,'Input 7_NG Rates'!B:G,6,FALSE)</f>
        <v>LVTS</v>
      </c>
      <c r="J22" s="56" t="str">
        <f>IFERROR(VLOOKUP(H22,Report_Regression!B:L,11,FALSE),"")</f>
        <v>Median</v>
      </c>
      <c r="K22" s="57">
        <f>_xlfn.IFNA(VLOOKUP($H22,Report_Regression!$B:$L,9,FALSE),0)</f>
        <v>1.1133093100946111E-2</v>
      </c>
      <c r="L22" s="57">
        <f>_xlfn.IFNA(VLOOKUP($H22,Report_Regression!$B:$L,10,FALSE),0)</f>
        <v>1.0311691202693724E-2</v>
      </c>
      <c r="M22" s="57">
        <f>_xlfn.IFNA(VLOOKUP($H22,Report_Regression!$B:$L,8,FALSE),0)</f>
        <v>1.1943602949465048E-2</v>
      </c>
      <c r="N22" s="57">
        <f t="shared" si="7"/>
        <v>1.1133093100946111E-2</v>
      </c>
      <c r="O22" s="57" t="str">
        <f>IFERROR(VLOOKUP(H22,Report_Regression!O:Y,11,FALSE),"")</f>
        <v>Median</v>
      </c>
      <c r="P22" s="57">
        <f>IFERROR(VLOOKUP($H22,Report_Regression!$O:$Y,9,FALSE),0)</f>
        <v>-1.7360612496315646E-2</v>
      </c>
      <c r="Q22" s="57">
        <f>IFERROR(VLOOKUP($H22,Report_Regression!$O:$Y,10,FALSE),0)</f>
        <v>-3.1097397223485902E-2</v>
      </c>
      <c r="R22" s="57">
        <f>IFERROR(VLOOKUP($H22,Report_Regression!$O:$Y,8,FALSE),0)</f>
        <v>-5.6743474733534482E-3</v>
      </c>
      <c r="S22" s="57">
        <f t="shared" si="8"/>
        <v>-1.7360612496315646E-2</v>
      </c>
      <c r="T22" s="56">
        <f>_xlfn.IFNA(VLOOKUP($H22,Report_Regression!$O:$Y,6,FALSE),0)</f>
        <v>19502.099999999999</v>
      </c>
      <c r="U22" s="56">
        <f>_xlfn.IFNA(VLOOKUP($H22,Report_Regression!$O:$Y,7,FALSE),0)</f>
        <v>17678.5</v>
      </c>
      <c r="V22" s="56">
        <f>_xlfn.IFNA(VLOOKUP($H22,Report_Regression!$O:$Y,5,FALSE),0)</f>
        <v>21325.699999999997</v>
      </c>
      <c r="W22" s="5">
        <f t="shared" si="9"/>
        <v>19502.099999999999</v>
      </c>
      <c r="X22" s="64">
        <f t="shared" si="10"/>
        <v>25224.268569666798</v>
      </c>
      <c r="Y22" s="56">
        <f>SUMIF('Input 3_2019CUST-YTD'!S:S,G22,'Input 3_2019CUST-YTD'!R:R)</f>
        <v>14923</v>
      </c>
      <c r="Z22" s="56">
        <f>SUMIF('Input 4_2020CUST-YTD'!S:S,G22,'Input 4_2020CUST-YTD'!R:R)</f>
        <v>15217</v>
      </c>
      <c r="AA22" s="56">
        <f>SUMIF('Input 5_2021CUST-YTD'!S:S,G22,'Input 5_2021CUST-YTD'!R:R)</f>
        <v>15269</v>
      </c>
      <c r="AB22" s="56">
        <f t="shared" si="19"/>
        <v>15438.991198558346</v>
      </c>
      <c r="AC22" s="56">
        <f t="shared" si="20"/>
        <v>15610.874924956584</v>
      </c>
      <c r="AD22" s="56" t="str">
        <f>VLOOKUP(D22,'Input 15_Fcst Inputs'!A:F,2,FALSE)</f>
        <v>UPC Growth Rate</v>
      </c>
      <c r="AE22" s="56">
        <f>SUMIF('Input 3.1_2019VOL-YTD'!R:R,G22,'Input 3.1_2019VOL-YTD'!O:O)</f>
        <v>32997446.559999995</v>
      </c>
      <c r="AF22" s="56">
        <f>SUMIF('Input 4.1_2020VOL-YTD'!R:R,G22,'Input 4.1_2020VOL-YTD'!O:O)</f>
        <v>29910522.709999993</v>
      </c>
      <c r="AG22" s="56">
        <f>SUMIF('Input 5.1_2021VOL-YTD'!R:R,G22,'Input 5.1_2021VOL-YTD'!O:O)</f>
        <v>32542765.020000007</v>
      </c>
      <c r="AH22" s="64">
        <f>IFERROR(IF($AD22="Historical Average",(AVERAGE($AE22:$AG22)/AVERAGE($Y22:$AA22))*AB22,IF($AD22="UPC Growth Rate",((AG22/AA22)*(1+$S22)*AB22),IF($AD22="Modeled UPC",AB22/12*$W22,IF(AD22="Base Period",AG22,IF(AD22="Adjusted",SUMIF('Input 15_Fcst Inputs'!A:A,D22,'Input 15_Fcst Inputs'!F:F),0))))),0)</f>
        <v>32333814.541406397</v>
      </c>
      <c r="AI22" s="64">
        <f>IFERROR(IF($AD22="Historical Average",(AVERAGE($AE22:$AG22)/AVERAGE($Y22:$AA22))*AC22,IF($AD22="UPC Growth Rate",((AH22/AB22)*(1+$S22)*AC22),IF($AD22="Modeled UPC",AC22/12*$W22,IF(AD22="Base Period",AG22,IF(AD22="Adjusted",SUMIF('Input 15_Fcst Inputs'!A:A,D22,'Input 15_Fcst Inputs'!G:G),0))))),0)</f>
        <v>32126205.691358417</v>
      </c>
      <c r="AJ22" s="273">
        <f>VLOOKUP($G22,'WP-Peak Month UPC'!$C:$BL,17,FALSE)</f>
        <v>2682.2998775510182</v>
      </c>
      <c r="AK22" s="273">
        <f>VLOOKUP($G22,'WP-Peak Month UPC'!$C:$BL,32,FALSE)</f>
        <v>2553.5531408227844</v>
      </c>
      <c r="AL22" s="273">
        <f>VLOOKUP($G22,'WP-Peak Month UPC'!$C:$BL,47,FALSE)</f>
        <v>2330.0383955520251</v>
      </c>
      <c r="AM22" s="273">
        <f>IF(OR(AD22="Base Period",AD22="Adjusted"),AL22,IF(AD22="Historical Average",AVERAGE(AJ22:AL22),IF(AD22="Modeled UPC",VLOOKUP(H22,Report_Regression!AB:AJ,5,FALSE),IF(AD22="UPC Growth Rate",AL22*(1+VLOOKUP(H22,Report_Regression!AB:AN,13,FALSE))))))</f>
        <v>2244.6072540085347</v>
      </c>
      <c r="AN22" s="273">
        <f>IF(OR($AD22="Base Period",$AD22="Adjusted"),$AL22,IF($AD22="Historical Average",AVERAGE($AJ22:$AL22),IF($AD22="Modeled UPC",VLOOKUP($H22,Report_Regression!$AB:$AJ,9,FALSE),IF($AD22="UPC Growth Rate",AM22*(1+VLOOKUP($H22,Report_Regression!$AB:$AN,13,FALSE))))))</f>
        <v>2162.3084556742187</v>
      </c>
      <c r="AO22" s="58">
        <f>VLOOKUP(E22,'Input 7_NG Rates'!B:I,7,FALSE)</f>
        <v>90</v>
      </c>
      <c r="AP22" s="292">
        <f>VLOOKUP(E22,'Input 7_NG Rates'!B:I,8,FALSE)</f>
        <v>0.35365999999999997</v>
      </c>
      <c r="AQ22" s="293">
        <f>VLOOKUP(D22,'Input 14_Ref Table'!C:N,12,FALSE)</f>
        <v>55</v>
      </c>
      <c r="AR22" s="292"/>
      <c r="AS22" s="151">
        <f t="shared" si="0"/>
        <v>1374210</v>
      </c>
      <c r="AT22" s="151">
        <f t="shared" si="1"/>
        <v>11509074.276973201</v>
      </c>
      <c r="AU22" s="151">
        <f>SUMIF('Input 13.3_2021 Min Charges'!A:A,G22,'Input 13.3_2021 Min Charges'!O:O)</f>
        <v>429251.16</v>
      </c>
      <c r="AV22" s="151">
        <f t="shared" si="2"/>
        <v>0</v>
      </c>
      <c r="AW22" s="151">
        <v>78933</v>
      </c>
      <c r="AX22" s="151">
        <f t="shared" si="11"/>
        <v>13391468.436973201</v>
      </c>
      <c r="AY22" s="533">
        <f>SUMIF('Input 6_2021MARG-YTD'!AN:AN,G22,'Input 6_2021MARG-YTD'!AK:AK)</f>
        <v>13394092.929999972</v>
      </c>
      <c r="AZ22" s="533">
        <f t="shared" si="12"/>
        <v>2624.4930267706513</v>
      </c>
      <c r="BA22" s="533"/>
      <c r="BB22" s="533"/>
      <c r="BC22" s="533"/>
      <c r="BD22" s="533"/>
      <c r="BE22" s="533"/>
      <c r="BF22" s="533"/>
      <c r="BG22" s="55"/>
      <c r="BH22" s="294"/>
      <c r="BI22" s="294"/>
      <c r="BJ22" s="191" t="s">
        <v>786</v>
      </c>
      <c r="BK22" s="514">
        <v>0.16008</v>
      </c>
      <c r="BL22" s="190">
        <f t="shared" si="3"/>
        <v>5142763.0070726555</v>
      </c>
      <c r="BM22" s="518" cm="1">
        <f t="array" ref="BM22">IFERROR(INDEX('Input 1_GRIP Factors'!$K$5:$K$54,MATCH(1,(BJ22='Input 1_GRIP Factors'!$G$5:$G$54)*(A22='Input 1_GRIP Factors'!$J$5:$J$54),0)),0)</f>
        <v>0.10220922550548883</v>
      </c>
      <c r="BN22" s="190">
        <f t="shared" si="4"/>
        <v>3326170.8085013144</v>
      </c>
      <c r="BO22" s="190">
        <f t="shared" si="13"/>
        <v>654557.89695508953</v>
      </c>
      <c r="BP22" s="190">
        <f t="shared" si="14"/>
        <v>3980728.705456404</v>
      </c>
      <c r="BQ22" s="44" cm="1">
        <f t="array" ref="BQ22">IFERROR(INDEX('Input 1_GRIP Factors'!$Y$5:$Y$65,MATCH(1,(BJ22='Input 1_GRIP Factors'!$G$5:$G$65)*(A22='Input 1_GRIP Factors'!$J$5:$J$65),0)),0)*AG22</f>
        <v>964892.98284300021</v>
      </c>
      <c r="BR22" s="190">
        <f t="shared" si="15"/>
        <v>964166.30166584277</v>
      </c>
      <c r="BS22" s="44" cm="1">
        <f t="array" ref="BS22">IFERROR(INDEX('Input 1_GRIP Factors'!$AC$5:$AC$65,MATCH(1,(BJ22='Input 1_GRIP Factors'!$G$5:$G$65)*(A22='Input 1_GRIP Factors'!$J$5:$J$65),0)),0)*AG22</f>
        <v>3423498.8801040007</v>
      </c>
      <c r="BT22" s="190">
        <f t="shared" si="16"/>
        <v>3441027.414249043</v>
      </c>
      <c r="BU22" s="190">
        <f t="shared" si="5"/>
        <v>21777390.858344492</v>
      </c>
      <c r="BV22" s="190">
        <f t="shared" ca="1" si="17"/>
        <v>19079.083823944624</v>
      </c>
      <c r="BW22" s="190">
        <f t="shared" ca="1" si="6"/>
        <v>53947.531029646059</v>
      </c>
      <c r="BX22" s="190" cm="1">
        <f t="array" aca="1" ref="BX22" ca="1">IFERROR(INDEX('Input 1_GRIP Factors'!$AC$5:$AC$65,MATCH(1,(BJ22='Input 1_GRIP Factors'!$G$5:$G$65)*(A22='Input 1_GRIP Factors'!$J$5:$J$65),0)),0)*BW22</f>
        <v>5675.2802643187651</v>
      </c>
      <c r="BY22" s="190"/>
      <c r="BZ22" s="56">
        <f>SUMIF('Monthly VOL'!G:G,'Master '!G22,'Monthly VOL'!BV:BV)</f>
        <v>2895968.2292605718</v>
      </c>
      <c r="CA22" s="519"/>
      <c r="CB22" s="56"/>
      <c r="CC22" s="553" t="s">
        <v>102</v>
      </c>
    </row>
    <row r="23" spans="1:81" s="60" customFormat="1">
      <c r="A23" s="60" t="s">
        <v>15</v>
      </c>
      <c r="B23" s="60" t="s">
        <v>994</v>
      </c>
      <c r="C23" s="55" t="s">
        <v>1245</v>
      </c>
      <c r="D23" s="60" t="s">
        <v>48</v>
      </c>
      <c r="E23" s="55" t="str">
        <f>VLOOKUP(D23,'Input 14_Ref Table'!C:D,2,FALSE)</f>
        <v>GIS61</v>
      </c>
      <c r="F23" s="172" t="s">
        <v>1286</v>
      </c>
      <c r="G23" s="59" t="str">
        <f>VLOOKUP(D23,'Input 14_Ref Table'!C:I,7,FALSE)</f>
        <v>FPU - FPU - IS</v>
      </c>
      <c r="H23" s="59" t="str">
        <f>VLOOKUP(D23,'Input 14_Ref Table'!C:K,8,FALSE)</f>
        <v>Base Period</v>
      </c>
      <c r="I23" s="55" t="str">
        <f>VLOOKUP(E23,'Input 7_NG Rates'!B:G,6,FALSE)</f>
        <v>IS</v>
      </c>
      <c r="J23" s="56" t="str">
        <f>IFERROR(VLOOKUP(H23,Report_Regression!B:L,11,FALSE),"")</f>
        <v>Base Period</v>
      </c>
      <c r="K23" s="57">
        <f>_xlfn.IFNA(VLOOKUP($H23,Report_Regression!$B:$L,9,FALSE),0)</f>
        <v>0</v>
      </c>
      <c r="L23" s="57">
        <f>_xlfn.IFNA(VLOOKUP($H23,Report_Regression!$B:$L,10,FALSE),0)</f>
        <v>0</v>
      </c>
      <c r="M23" s="57">
        <f>_xlfn.IFNA(VLOOKUP($H23,Report_Regression!$B:$L,8,FALSE),0)</f>
        <v>0</v>
      </c>
      <c r="N23" s="57">
        <f t="shared" si="7"/>
        <v>0</v>
      </c>
      <c r="O23" s="57" t="str">
        <f>IFERROR(VLOOKUP(H23,Report_Regression!O:Y,11,FALSE),"")</f>
        <v>Base Period</v>
      </c>
      <c r="P23" s="57">
        <f>IFERROR(VLOOKUP($H23,Report_Regression!$O:$Y,9,FALSE),0)</f>
        <v>0</v>
      </c>
      <c r="Q23" s="57">
        <f>IFERROR(VLOOKUP($H23,Report_Regression!$O:$Y,10,FALSE),0)</f>
        <v>0</v>
      </c>
      <c r="R23" s="57">
        <f>IFERROR(VLOOKUP($H23,Report_Regression!$O:$Y,8,FALSE),0)</f>
        <v>0</v>
      </c>
      <c r="S23" s="57">
        <f t="shared" si="8"/>
        <v>0</v>
      </c>
      <c r="T23" s="56">
        <f>_xlfn.IFNA(VLOOKUP($H23,Report_Regression!$O:$Y,6,FALSE),0)</f>
        <v>0</v>
      </c>
      <c r="U23" s="56">
        <f>_xlfn.IFNA(VLOOKUP($H23,Report_Regression!$O:$Y,7,FALSE),0)</f>
        <v>0</v>
      </c>
      <c r="V23" s="56">
        <f>_xlfn.IFNA(VLOOKUP($H23,Report_Regression!$O:$Y,5,FALSE),0)</f>
        <v>0</v>
      </c>
      <c r="W23" s="5">
        <f t="shared" si="9"/>
        <v>0</v>
      </c>
      <c r="X23" s="64">
        <f t="shared" si="10"/>
        <v>0</v>
      </c>
      <c r="Y23" s="56">
        <f>SUMIF('Input 3_2019CUST-YTD'!S:S,G23,'Input 3_2019CUST-YTD'!R:R)</f>
        <v>0</v>
      </c>
      <c r="Z23" s="56">
        <f>SUMIF('Input 4_2020CUST-YTD'!S:S,G23,'Input 4_2020CUST-YTD'!R:R)</f>
        <v>0</v>
      </c>
      <c r="AA23" s="56">
        <f>SUMIF('Input 5_2021CUST-YTD'!S:S,G23,'Input 5_2021CUST-YTD'!R:R)</f>
        <v>0</v>
      </c>
      <c r="AB23" s="56">
        <f t="shared" si="19"/>
        <v>0</v>
      </c>
      <c r="AC23" s="56">
        <f t="shared" si="20"/>
        <v>0</v>
      </c>
      <c r="AD23" s="56" t="str">
        <f>VLOOKUP(D23,'Input 15_Fcst Inputs'!A:F,2,FALSE)</f>
        <v>Base Period</v>
      </c>
      <c r="AE23" s="56">
        <f>SUMIF('Input 3.1_2019VOL-YTD'!R:R,G23,'Input 3.1_2019VOL-YTD'!O:O)</f>
        <v>0</v>
      </c>
      <c r="AF23" s="56">
        <f>SUMIF('Input 4.1_2020VOL-YTD'!R:R,G23,'Input 4.1_2020VOL-YTD'!O:O)</f>
        <v>0</v>
      </c>
      <c r="AG23" s="56">
        <f>SUMIF('Input 5.1_2021VOL-YTD'!R:R,G23,'Input 5.1_2021VOL-YTD'!O:O)</f>
        <v>0</v>
      </c>
      <c r="AH23" s="64">
        <f>IFERROR(IF($AD23="Historical Average",(AVERAGE($AE23:$AG23)/AVERAGE($Y23:$AA23))*AB23,IF($AD23="UPC Growth Rate",((AG23/AA23)*(1+$S23)*AB23),IF($AD23="Modeled UPC",AB23/12*$W23,IF(AD23="Base Period",AG23,IF(AD23="Adjusted",SUMIF('Input 15_Fcst Inputs'!A:A,D23,'Input 15_Fcst Inputs'!F:F),0))))),0)</f>
        <v>0</v>
      </c>
      <c r="AI23" s="64">
        <f>IFERROR(IF($AD23="Historical Average",(AVERAGE($AE23:$AG23)/AVERAGE($Y23:$AA23))*AC23,IF($AD23="UPC Growth Rate",((AH23/AB23)*(1+$S23)*AC23),IF($AD23="Modeled UPC",AC23/12*$W23,IF(AD23="Base Period",AG23,IF(AD23="Adjusted",SUMIF('Input 15_Fcst Inputs'!A:A,D23,'Input 15_Fcst Inputs'!G:G),0))))),0)</f>
        <v>0</v>
      </c>
      <c r="AJ23" s="273">
        <f>VLOOKUP($G23,'WP-Peak Month UPC'!$C:$BL,17,FALSE)</f>
        <v>0</v>
      </c>
      <c r="AK23" s="273">
        <f>VLOOKUP($G23,'WP-Peak Month UPC'!$C:$BL,32,FALSE)</f>
        <v>0</v>
      </c>
      <c r="AL23" s="273">
        <f>VLOOKUP($G23,'WP-Peak Month UPC'!$C:$BL,47,FALSE)</f>
        <v>0</v>
      </c>
      <c r="AM23" s="273">
        <f>IF(OR(AD23="Base Period",AD23="Adjusted"),AL23,IF(AD23="Historical Average",AVERAGE(AJ23:AL23),IF(AD23="Modeled UPC",VLOOKUP(H23,Report_Regression!AB:AJ,5,FALSE),IF(AD23="UPC Growth Rate",AL23*(1+VLOOKUP(H23,Report_Regression!AB:AN,13,FALSE))))))</f>
        <v>0</v>
      </c>
      <c r="AN23" s="273">
        <f>IF(OR($AD23="Base Period",$AD23="Adjusted"),$AL23,IF($AD23="Historical Average",AVERAGE($AJ23:$AL23),IF($AD23="Modeled UPC",VLOOKUP($H23,Report_Regression!$AB:$AJ,9,FALSE),IF($AD23="UPC Growth Rate",AM23*(1+VLOOKUP($H23,Report_Regression!$AB:$AN,13,FALSE))))))</f>
        <v>0</v>
      </c>
      <c r="AO23" s="58">
        <f>VLOOKUP(E23,'Input 7_NG Rates'!B:I,7,FALSE)</f>
        <v>280</v>
      </c>
      <c r="AP23" s="292">
        <f>VLOOKUP(E23,'Input 7_NG Rates'!B:I,8,FALSE)</f>
        <v>0.23080000000000001</v>
      </c>
      <c r="AQ23" s="293">
        <f>VLOOKUP(D23,'Input 14_Ref Table'!C:N,12,FALSE)</f>
        <v>30</v>
      </c>
      <c r="AR23" s="292"/>
      <c r="AS23" s="151">
        <f t="shared" si="0"/>
        <v>0</v>
      </c>
      <c r="AT23" s="151">
        <f t="shared" si="1"/>
        <v>0</v>
      </c>
      <c r="AU23" s="151">
        <f>SUMIF('Input 13.3_2021 Min Charges'!A:A,G23,'Input 13.3_2021 Min Charges'!O:O)</f>
        <v>0</v>
      </c>
      <c r="AV23" s="151">
        <f t="shared" si="2"/>
        <v>0</v>
      </c>
      <c r="AW23" s="151">
        <v>0</v>
      </c>
      <c r="AX23" s="151">
        <f t="shared" si="11"/>
        <v>0</v>
      </c>
      <c r="AY23" s="533">
        <f>SUMIF('Input 6_2021MARG-YTD'!AN:AN,G23,'Input 6_2021MARG-YTD'!AK:AK)</f>
        <v>0</v>
      </c>
      <c r="AZ23" s="533">
        <f t="shared" si="12"/>
        <v>0</v>
      </c>
      <c r="BA23" s="533"/>
      <c r="BB23" s="533"/>
      <c r="BC23" s="533"/>
      <c r="BD23" s="533"/>
      <c r="BE23" s="533"/>
      <c r="BF23" s="533"/>
      <c r="BG23" s="55"/>
      <c r="BH23" s="294"/>
      <c r="BI23" s="294"/>
      <c r="BJ23" s="191" t="s">
        <v>780</v>
      </c>
      <c r="BK23" s="514">
        <v>0</v>
      </c>
      <c r="BL23" s="190">
        <f t="shared" si="3"/>
        <v>0</v>
      </c>
      <c r="BM23" s="518" cm="1">
        <f t="array" ref="BM23">IFERROR(INDEX('Input 1_GRIP Factors'!$K$5:$K$54,MATCH(1,(BJ23='Input 1_GRIP Factors'!$G$5:$G$54)*(A23='Input 1_GRIP Factors'!$J$5:$J$54),0)),0)</f>
        <v>6.114420386821167E-2</v>
      </c>
      <c r="BN23" s="190">
        <f t="shared" si="4"/>
        <v>0</v>
      </c>
      <c r="BO23" s="190">
        <f t="shared" si="13"/>
        <v>0</v>
      </c>
      <c r="BP23" s="190">
        <f t="shared" si="14"/>
        <v>0</v>
      </c>
      <c r="BQ23" s="44" cm="1">
        <f t="array" ref="BQ23">IFERROR(INDEX('Input 1_GRIP Factors'!$Y$5:$Y$65,MATCH(1,(BJ23='Input 1_GRIP Factors'!$G$5:$G$65)*(A23='Input 1_GRIP Factors'!$J$5:$J$65),0)),0)*AG23</f>
        <v>0</v>
      </c>
      <c r="BR23" s="190">
        <f t="shared" si="15"/>
        <v>0</v>
      </c>
      <c r="BS23" s="44" cm="1">
        <f t="array" ref="BS23">IFERROR(INDEX('Input 1_GRIP Factors'!$AC$5:$AC$65,MATCH(1,(BJ23='Input 1_GRIP Factors'!$G$5:$G$65)*(A23='Input 1_GRIP Factors'!$J$5:$J$65),0)),0)*AG23</f>
        <v>0</v>
      </c>
      <c r="BT23" s="190">
        <f t="shared" si="16"/>
        <v>0</v>
      </c>
      <c r="BU23" s="190">
        <f t="shared" si="5"/>
        <v>0</v>
      </c>
      <c r="BV23" s="190">
        <f t="shared" ca="1" si="17"/>
        <v>0</v>
      </c>
      <c r="BW23" s="190">
        <f t="shared" ca="1" si="6"/>
        <v>0</v>
      </c>
      <c r="BX23" s="190" cm="1">
        <f t="array" aca="1" ref="BX23" ca="1">IFERROR(INDEX('Input 1_GRIP Factors'!$AC$5:$AC$65,MATCH(1,(BJ23='Input 1_GRIP Factors'!$G$5:$G$65)*(A23='Input 1_GRIP Factors'!$J$5:$J$65),0)),0)*BW23</f>
        <v>0</v>
      </c>
      <c r="BY23" s="190"/>
      <c r="BZ23" s="56">
        <f>SUMIF('Monthly VOL'!G:G,'Master '!G23,'Monthly VOL'!BV:BV)</f>
        <v>0</v>
      </c>
      <c r="CA23" s="519"/>
      <c r="CB23" s="56"/>
      <c r="CC23" s="553" t="s">
        <v>137</v>
      </c>
    </row>
    <row r="24" spans="1:81" s="60" customFormat="1">
      <c r="A24" s="60" t="s">
        <v>15</v>
      </c>
      <c r="B24" s="60" t="s">
        <v>993</v>
      </c>
      <c r="C24" s="55" t="s">
        <v>1245</v>
      </c>
      <c r="D24" s="60" t="s">
        <v>50</v>
      </c>
      <c r="E24" s="55" t="str">
        <f>VLOOKUP(D24,'Input 14_Ref Table'!C:D,2,FALSE)</f>
        <v>GIT92</v>
      </c>
      <c r="F24" s="172" t="s">
        <v>1286</v>
      </c>
      <c r="G24" s="59" t="str">
        <f>VLOOKUP(D24,'Input 14_Ref Table'!C:I,7,FALSE)</f>
        <v>FPU - FPU - ITS</v>
      </c>
      <c r="H24" s="59" t="str">
        <f>VLOOKUP(D24,'Input 14_Ref Table'!C:K,8,FALSE)</f>
        <v>Base Period</v>
      </c>
      <c r="I24" s="55" t="str">
        <f>VLOOKUP(E24,'Input 7_NG Rates'!B:G,6,FALSE)</f>
        <v>ITS</v>
      </c>
      <c r="J24" s="56" t="str">
        <f>IFERROR(VLOOKUP(H24,Report_Regression!B:L,11,FALSE),"")</f>
        <v>Base Period</v>
      </c>
      <c r="K24" s="57">
        <f>_xlfn.IFNA(VLOOKUP($H24,Report_Regression!$B:$L,9,FALSE),0)</f>
        <v>0</v>
      </c>
      <c r="L24" s="57">
        <f>_xlfn.IFNA(VLOOKUP($H24,Report_Regression!$B:$L,10,FALSE),0)</f>
        <v>0</v>
      </c>
      <c r="M24" s="57">
        <f>_xlfn.IFNA(VLOOKUP($H24,Report_Regression!$B:$L,8,FALSE),0)</f>
        <v>0</v>
      </c>
      <c r="N24" s="57">
        <f t="shared" si="7"/>
        <v>0</v>
      </c>
      <c r="O24" s="57" t="str">
        <f>IFERROR(VLOOKUP(H24,Report_Regression!O:Y,11,FALSE),"")</f>
        <v>Base Period</v>
      </c>
      <c r="P24" s="57">
        <f>IFERROR(VLOOKUP($H24,Report_Regression!$O:$Y,9,FALSE),0)</f>
        <v>0</v>
      </c>
      <c r="Q24" s="57">
        <f>IFERROR(VLOOKUP($H24,Report_Regression!$O:$Y,10,FALSE),0)</f>
        <v>0</v>
      </c>
      <c r="R24" s="57">
        <f>IFERROR(VLOOKUP($H24,Report_Regression!$O:$Y,8,FALSE),0)</f>
        <v>0</v>
      </c>
      <c r="S24" s="57">
        <f t="shared" si="8"/>
        <v>0</v>
      </c>
      <c r="T24" s="56">
        <f>_xlfn.IFNA(VLOOKUP($H24,Report_Regression!$O:$Y,6,FALSE),0)</f>
        <v>0</v>
      </c>
      <c r="U24" s="56">
        <f>_xlfn.IFNA(VLOOKUP($H24,Report_Regression!$O:$Y,7,FALSE),0)</f>
        <v>0</v>
      </c>
      <c r="V24" s="56">
        <f>_xlfn.IFNA(VLOOKUP($H24,Report_Regression!$O:$Y,5,FALSE),0)</f>
        <v>0</v>
      </c>
      <c r="W24" s="5">
        <f t="shared" si="9"/>
        <v>530317.79888888879</v>
      </c>
      <c r="X24" s="64">
        <f t="shared" si="10"/>
        <v>547013.58360554697</v>
      </c>
      <c r="Y24" s="56">
        <f>SUMIF('Input 3_2019CUST-YTD'!S:S,G24,'Input 3_2019CUST-YTD'!R:R)</f>
        <v>216</v>
      </c>
      <c r="Z24" s="56">
        <f>SUMIF('Input 4_2020CUST-YTD'!S:S,G24,'Input 4_2020CUST-YTD'!R:R)</f>
        <v>217</v>
      </c>
      <c r="AA24" s="56">
        <f>SUMIF('Input 5_2021CUST-YTD'!S:S,G24,'Input 5_2021CUST-YTD'!R:R)</f>
        <v>216</v>
      </c>
      <c r="AB24" s="56">
        <f t="shared" si="19"/>
        <v>216</v>
      </c>
      <c r="AC24" s="56">
        <f t="shared" si="20"/>
        <v>216</v>
      </c>
      <c r="AD24" s="56" t="str">
        <f>VLOOKUP(D24,'Input 15_Fcst Inputs'!A:F,2,FALSE)</f>
        <v>Base Period</v>
      </c>
      <c r="AE24" s="56">
        <f>SUMIF('Input 3.1_2019VOL-YTD'!R:R,G24,'Input 3.1_2019VOL-YTD'!O:O)</f>
        <v>9991202.8100000005</v>
      </c>
      <c r="AF24" s="56">
        <f>SUMIF('Input 4.1_2020VOL-YTD'!R:R,G24,'Input 4.1_2020VOL-YTD'!O:O)</f>
        <v>10047394.789999999</v>
      </c>
      <c r="AG24" s="56">
        <f>SUMIF('Input 5.1_2021VOL-YTD'!R:R,G24,'Input 5.1_2021VOL-YTD'!O:O)</f>
        <v>9545720.379999999</v>
      </c>
      <c r="AH24" s="64">
        <f>IFERROR(IF($AD24="Historical Average",(AVERAGE($AE24:$AG24)/AVERAGE($Y24:$AA24))*AB24,IF($AD24="UPC Growth Rate",((AG24/AA24)*(1+$S24)*AB24),IF($AD24="Modeled UPC",AB24/12*$W24,IF(AD24="Base Period",AG24,IF(AD24="Adjusted",SUMIF('Input 15_Fcst Inputs'!A:A,D24,'Input 15_Fcst Inputs'!F:F),0))))),0)</f>
        <v>9545720.379999999</v>
      </c>
      <c r="AI24" s="64">
        <f>IFERROR(IF($AD24="Historical Average",(AVERAGE($AE24:$AG24)/AVERAGE($Y24:$AA24))*AC24,IF($AD24="UPC Growth Rate",((AH24/AB24)*(1+$S24)*AC24),IF($AD24="Modeled UPC",AC24/12*$W24,IF(AD24="Base Period",AG24,IF(AD24="Adjusted",SUMIF('Input 15_Fcst Inputs'!A:A,D24,'Input 15_Fcst Inputs'!G:G),0))))),0)</f>
        <v>9545720.379999999</v>
      </c>
      <c r="AJ24" s="273">
        <f>VLOOKUP($G24,'WP-Peak Month UPC'!$C:$BL,17,FALSE)</f>
        <v>50412.742777777785</v>
      </c>
      <c r="AK24" s="273">
        <f>VLOOKUP($G24,'WP-Peak Month UPC'!$C:$BL,32,FALSE)</f>
        <v>44831.080000000009</v>
      </c>
      <c r="AL24" s="273">
        <f>VLOOKUP($G24,'WP-Peak Month UPC'!$C:$BL,47,FALSE)</f>
        <v>51952.443888888891</v>
      </c>
      <c r="AM24" s="273">
        <f>IF(OR(AD24="Base Period",AD24="Adjusted"),AL24,IF(AD24="Historical Average",AVERAGE(AJ24:AL24),IF(AD24="Modeled UPC",VLOOKUP(H24,Report_Regression!AB:AJ,5,FALSE),IF(AD24="UPC Growth Rate",AL24*(1+VLOOKUP(H24,Report_Regression!AB:AN,13,FALSE))))))</f>
        <v>51952.443888888891</v>
      </c>
      <c r="AN24" s="273">
        <f>IF(OR($AD24="Base Period",$AD24="Adjusted"),$AL24,IF($AD24="Historical Average",AVERAGE($AJ24:$AL24),IF($AD24="Modeled UPC",VLOOKUP($H24,Report_Regression!$AB:$AJ,9,FALSE),IF($AD24="UPC Growth Rate",AM24*(1+VLOOKUP($H24,Report_Regression!$AB:$AN,13,FALSE))))))</f>
        <v>51952.443888888891</v>
      </c>
      <c r="AO24" s="58">
        <f>VLOOKUP(E24,'Input 7_NG Rates'!B:I,7,FALSE)</f>
        <v>280</v>
      </c>
      <c r="AP24" s="292">
        <f>VLOOKUP(E24,'Input 7_NG Rates'!B:I,8,FALSE)</f>
        <v>0.23080000000000001</v>
      </c>
      <c r="AQ24" s="293">
        <f>VLOOKUP(D24,'Input 14_Ref Table'!C:N,12,FALSE)</f>
        <v>50.5</v>
      </c>
      <c r="AR24" s="292"/>
      <c r="AS24" s="151">
        <f t="shared" si="0"/>
        <v>60480</v>
      </c>
      <c r="AT24" s="151">
        <f t="shared" si="1"/>
        <v>2203152.263704</v>
      </c>
      <c r="AU24" s="151">
        <f>SUMIF('Input 13.3_2021 Min Charges'!A:A,G24,'Input 13.3_2021 Min Charges'!O:O)</f>
        <v>59438.99</v>
      </c>
      <c r="AV24" s="151">
        <f t="shared" si="2"/>
        <v>0</v>
      </c>
      <c r="AW24" s="151">
        <v>6930</v>
      </c>
      <c r="AX24" s="151">
        <f t="shared" si="11"/>
        <v>2330001.2537040003</v>
      </c>
      <c r="AY24" s="533">
        <f>SUMIF('Input 6_2021MARG-YTD'!AN:AN,G24,'Input 6_2021MARG-YTD'!AK:AK)</f>
        <v>2334123.7199999997</v>
      </c>
      <c r="AZ24" s="533">
        <f t="shared" si="12"/>
        <v>4122.4662959994748</v>
      </c>
      <c r="BA24" s="533"/>
      <c r="BB24" s="533"/>
      <c r="BC24" s="533"/>
      <c r="BD24" s="533"/>
      <c r="BE24" s="533"/>
      <c r="BF24" s="533"/>
      <c r="BG24" s="55"/>
      <c r="BH24" s="294"/>
      <c r="BI24" s="294"/>
      <c r="BJ24" s="191" t="s">
        <v>783</v>
      </c>
      <c r="BK24" s="514">
        <v>9.536E-2</v>
      </c>
      <c r="BL24" s="190">
        <f t="shared" si="3"/>
        <v>910279.89543679985</v>
      </c>
      <c r="BM24" s="518" cm="1">
        <f t="array" ref="BM24">IFERROR(INDEX('Input 1_GRIP Factors'!$K$5:$K$54,MATCH(1,(BJ24='Input 1_GRIP Factors'!$G$5:$G$54)*(A24='Input 1_GRIP Factors'!$J$5:$J$54),0)),0)</f>
        <v>6.114420386821167E-2</v>
      </c>
      <c r="BN24" s="190">
        <f t="shared" si="4"/>
        <v>583665.47298366297</v>
      </c>
      <c r="BO24" s="190">
        <f t="shared" si="13"/>
        <v>114859.65890417472</v>
      </c>
      <c r="BP24" s="190">
        <f t="shared" si="14"/>
        <v>698525.13188783766</v>
      </c>
      <c r="BQ24" s="44" cm="1">
        <f t="array" ref="BQ24">IFERROR(INDEX('Input 1_GRIP Factors'!$Y$5:$Y$65,MATCH(1,(BJ24='Input 1_GRIP Factors'!$G$5:$G$65)*(A24='Input 1_GRIP Factors'!$J$5:$J$65),0)),0)*AG24</f>
        <v>0</v>
      </c>
      <c r="BR24" s="190">
        <f t="shared" si="15"/>
        <v>0</v>
      </c>
      <c r="BS24" s="44" cm="1">
        <f t="array" ref="BS24">IFERROR(INDEX('Input 1_GRIP Factors'!$AC$5:$AC$65,MATCH(1,(BJ24='Input 1_GRIP Factors'!$G$5:$G$65)*(A24='Input 1_GRIP Factors'!$J$5:$J$65),0)),0)*AG24</f>
        <v>0</v>
      </c>
      <c r="BT24" s="190">
        <f t="shared" si="16"/>
        <v>0</v>
      </c>
      <c r="BU24" s="190">
        <f t="shared" si="5"/>
        <v>3028526.385591838</v>
      </c>
      <c r="BV24" s="190">
        <f t="shared" ca="1" si="17"/>
        <v>3319.597805015806</v>
      </c>
      <c r="BW24" s="190">
        <f t="shared" ca="1" si="6"/>
        <v>14383.006087590147</v>
      </c>
      <c r="BX24" s="190" cm="1">
        <f t="array" aca="1" ref="BX24" ca="1">IFERROR(INDEX('Input 1_GRIP Factors'!$AC$5:$AC$65,MATCH(1,(BJ24='Input 1_GRIP Factors'!$G$5:$G$65)*(A24='Input 1_GRIP Factors'!$J$5:$J$65),0)),0)*BW24</f>
        <v>0</v>
      </c>
      <c r="BY24" s="190"/>
      <c r="BZ24" s="56">
        <f>SUMIF('Monthly VOL'!G:G,'Master '!G24,'Monthly VOL'!BV:BV)</f>
        <v>935143.99</v>
      </c>
      <c r="CA24" s="519"/>
      <c r="CB24" s="56"/>
      <c r="CC24" s="553" t="s">
        <v>138</v>
      </c>
    </row>
    <row r="25" spans="1:81" s="60" customFormat="1">
      <c r="A25" s="60" t="s">
        <v>15</v>
      </c>
      <c r="B25" s="60" t="s">
        <v>994</v>
      </c>
      <c r="C25" s="55" t="s">
        <v>1245</v>
      </c>
      <c r="D25" s="60" t="s">
        <v>52</v>
      </c>
      <c r="E25" s="55" t="str">
        <f>VLOOKUP(D25,'Input 14_Ref Table'!C:D,2,FALSE)</f>
        <v>GCNGV</v>
      </c>
      <c r="F25" s="172" t="s">
        <v>1286</v>
      </c>
      <c r="G25" s="59" t="str">
        <f>VLOOKUP(D25,'Input 14_Ref Table'!C:I,7,FALSE)</f>
        <v>FPU - FPU-NGVS</v>
      </c>
      <c r="H25" s="59" t="str">
        <f>VLOOKUP(D25,'Input 14_Ref Table'!C:K,8,FALSE)</f>
        <v>Base Period</v>
      </c>
      <c r="I25" s="55" t="str">
        <f>VLOOKUP(E25,'Input 7_NG Rates'!B:G,6,FALSE)</f>
        <v>GS-1</v>
      </c>
      <c r="J25" s="56" t="str">
        <f>IFERROR(VLOOKUP(H25,Report_Regression!B:L,11,FALSE),"")</f>
        <v>Base Period</v>
      </c>
      <c r="K25" s="57">
        <f>_xlfn.IFNA(VLOOKUP($H25,Report_Regression!$B:$L,9,FALSE),0)</f>
        <v>0</v>
      </c>
      <c r="L25" s="57">
        <f>_xlfn.IFNA(VLOOKUP($H25,Report_Regression!$B:$L,10,FALSE),0)</f>
        <v>0</v>
      </c>
      <c r="M25" s="57">
        <f>_xlfn.IFNA(VLOOKUP($H25,Report_Regression!$B:$L,8,FALSE),0)</f>
        <v>0</v>
      </c>
      <c r="N25" s="57">
        <f t="shared" si="7"/>
        <v>0</v>
      </c>
      <c r="O25" s="57" t="str">
        <f>IFERROR(VLOOKUP(H25,Report_Regression!O:Y,11,FALSE),"")</f>
        <v>Base Period</v>
      </c>
      <c r="P25" s="57">
        <f>IFERROR(VLOOKUP($H25,Report_Regression!$O:$Y,9,FALSE),0)</f>
        <v>0</v>
      </c>
      <c r="Q25" s="57">
        <f>IFERROR(VLOOKUP($H25,Report_Regression!$O:$Y,10,FALSE),0)</f>
        <v>0</v>
      </c>
      <c r="R25" s="57">
        <f>IFERROR(VLOOKUP($H25,Report_Regression!$O:$Y,8,FALSE),0)</f>
        <v>0</v>
      </c>
      <c r="S25" s="57">
        <f t="shared" si="8"/>
        <v>0</v>
      </c>
      <c r="T25" s="56">
        <f>_xlfn.IFNA(VLOOKUP($H25,Report_Regression!$O:$Y,6,FALSE),0)</f>
        <v>0</v>
      </c>
      <c r="U25" s="56">
        <f>_xlfn.IFNA(VLOOKUP($H25,Report_Regression!$O:$Y,7,FALSE),0)</f>
        <v>0</v>
      </c>
      <c r="V25" s="56">
        <f>_xlfn.IFNA(VLOOKUP($H25,Report_Regression!$O:$Y,5,FALSE),0)</f>
        <v>0</v>
      </c>
      <c r="W25" s="5">
        <f t="shared" si="9"/>
        <v>0</v>
      </c>
      <c r="X25" s="64">
        <f t="shared" si="10"/>
        <v>0</v>
      </c>
      <c r="Y25" s="56">
        <f>SUMIF('Input 3_2019CUST-YTD'!S:S,G25,'Input 3_2019CUST-YTD'!R:R)</f>
        <v>0</v>
      </c>
      <c r="Z25" s="56">
        <f>SUMIF('Input 4_2020CUST-YTD'!S:S,G25,'Input 4_2020CUST-YTD'!R:R)</f>
        <v>0</v>
      </c>
      <c r="AA25" s="56">
        <f>SUMIF('Input 5_2021CUST-YTD'!S:S,G25,'Input 5_2021CUST-YTD'!R:R)</f>
        <v>0</v>
      </c>
      <c r="AB25" s="56">
        <f t="shared" si="19"/>
        <v>0</v>
      </c>
      <c r="AC25" s="56">
        <f t="shared" si="20"/>
        <v>0</v>
      </c>
      <c r="AD25" s="56" t="str">
        <f>VLOOKUP(D25,'Input 15_Fcst Inputs'!A:F,2,FALSE)</f>
        <v>Base Period</v>
      </c>
      <c r="AE25" s="56">
        <f>SUMIF('Input 3.1_2019VOL-YTD'!R:R,G25,'Input 3.1_2019VOL-YTD'!O:O)</f>
        <v>0</v>
      </c>
      <c r="AF25" s="56">
        <f>SUMIF('Input 4.1_2020VOL-YTD'!R:R,G25,'Input 4.1_2020VOL-YTD'!O:O)</f>
        <v>0</v>
      </c>
      <c r="AG25" s="56">
        <f>SUMIF('Input 5.1_2021VOL-YTD'!R:R,G25,'Input 5.1_2021VOL-YTD'!O:O)</f>
        <v>0</v>
      </c>
      <c r="AH25" s="64">
        <f>IFERROR(IF($AD25="Historical Average",(AVERAGE($AE25:$AG25)/AVERAGE($Y25:$AA25))*AB25,IF($AD25="UPC Growth Rate",((AG25/AA25)*(1+$S25)*AB25),IF($AD25="Modeled UPC",AB25/12*$W25,IF(AD25="Base Period",AG25,IF(AD25="Adjusted",SUMIF('Input 15_Fcst Inputs'!A:A,D25,'Input 15_Fcst Inputs'!F:F),0))))),0)</f>
        <v>0</v>
      </c>
      <c r="AI25" s="64">
        <f>IFERROR(IF($AD25="Historical Average",(AVERAGE($AE25:$AG25)/AVERAGE($Y25:$AA25))*AC25,IF($AD25="UPC Growth Rate",((AH25/AB25)*(1+$S25)*AC25),IF($AD25="Modeled UPC",AC25/12*$W25,IF(AD25="Base Period",AG25,IF(AD25="Adjusted",SUMIF('Input 15_Fcst Inputs'!A:A,D25,'Input 15_Fcst Inputs'!G:G),0))))),0)</f>
        <v>0</v>
      </c>
      <c r="AJ25" s="273">
        <f>VLOOKUP($G25,'WP-Peak Month UPC'!$C:$BL,17,FALSE)</f>
        <v>0</v>
      </c>
      <c r="AK25" s="273">
        <f>VLOOKUP($G25,'WP-Peak Month UPC'!$C:$BL,32,FALSE)</f>
        <v>0</v>
      </c>
      <c r="AL25" s="273">
        <f>VLOOKUP($G25,'WP-Peak Month UPC'!$C:$BL,47,FALSE)</f>
        <v>0</v>
      </c>
      <c r="AM25" s="273">
        <f>IF(OR(AD25="Base Period",AD25="Adjusted"),AL25,IF(AD25="Historical Average",AVERAGE(AJ25:AL25),IF(AD25="Modeled UPC",VLOOKUP(H25,Report_Regression!AB:AJ,5,FALSE),IF(AD25="UPC Growth Rate",AL25*(1+VLOOKUP(H25,Report_Regression!AB:AN,13,FALSE))))))</f>
        <v>0</v>
      </c>
      <c r="AN25" s="273">
        <f>IF(OR($AD25="Base Period",$AD25="Adjusted"),$AL25,IF($AD25="Historical Average",AVERAGE($AJ25:$AL25),IF($AD25="Modeled UPC",VLOOKUP($H25,Report_Regression!$AB:$AJ,9,FALSE),IF($AD25="UPC Growth Rate",AM25*(1+VLOOKUP($H25,Report_Regression!$AB:$AN,13,FALSE))))))</f>
        <v>0</v>
      </c>
      <c r="AO25" s="58">
        <f>VLOOKUP(E25,'Input 7_NG Rates'!B:I,7,FALSE)</f>
        <v>100</v>
      </c>
      <c r="AP25" s="292">
        <f>VLOOKUP(E25,'Input 7_NG Rates'!B:I,8,FALSE)</f>
        <v>0.17111000000000001</v>
      </c>
      <c r="AQ25" s="293">
        <f>VLOOKUP(D25,'Input 14_Ref Table'!C:N,12,FALSE)</f>
        <v>0</v>
      </c>
      <c r="AR25" s="292"/>
      <c r="AS25" s="151">
        <f t="shared" si="0"/>
        <v>0</v>
      </c>
      <c r="AT25" s="151">
        <f t="shared" si="1"/>
        <v>0</v>
      </c>
      <c r="AU25" s="151">
        <f>SUMIF('Input 13.3_2021 Min Charges'!A:A,G25,'Input 13.3_2021 Min Charges'!O:O)</f>
        <v>0</v>
      </c>
      <c r="AV25" s="151">
        <f t="shared" si="2"/>
        <v>0</v>
      </c>
      <c r="AW25" s="151">
        <v>0</v>
      </c>
      <c r="AX25" s="151">
        <f t="shared" si="11"/>
        <v>0</v>
      </c>
      <c r="AY25" s="533">
        <f>SUMIF('Input 6_2021MARG-YTD'!AN:AN,G25,'Input 6_2021MARG-YTD'!AK:AK)</f>
        <v>0</v>
      </c>
      <c r="AZ25" s="533">
        <f t="shared" si="12"/>
        <v>0</v>
      </c>
      <c r="BA25" s="533"/>
      <c r="BB25" s="533"/>
      <c r="BC25" s="533"/>
      <c r="BD25" s="533"/>
      <c r="BE25" s="533"/>
      <c r="BF25" s="533"/>
      <c r="BG25" s="55"/>
      <c r="BH25" s="294"/>
      <c r="BI25" s="294"/>
      <c r="BJ25" s="191" t="s">
        <v>741</v>
      </c>
      <c r="BK25" s="514">
        <v>0.22966</v>
      </c>
      <c r="BL25" s="190">
        <f t="shared" si="3"/>
        <v>0</v>
      </c>
      <c r="BM25" s="518" cm="1">
        <f t="array" ref="BM25">IFERROR(INDEX('Input 1_GRIP Factors'!$K$5:$K$54,MATCH(1,(BJ25='Input 1_GRIP Factors'!$G$5:$G$54)*(A25='Input 1_GRIP Factors'!$J$5:$J$54),0)),0)</f>
        <v>0.15179948367288987</v>
      </c>
      <c r="BN25" s="190">
        <f t="shared" si="4"/>
        <v>0</v>
      </c>
      <c r="BO25" s="190">
        <f t="shared" si="13"/>
        <v>0</v>
      </c>
      <c r="BP25" s="190">
        <f t="shared" si="14"/>
        <v>0</v>
      </c>
      <c r="BQ25" s="44" cm="1">
        <f t="array" ref="BQ25">IFERROR(INDEX('Input 1_GRIP Factors'!$Y$5:$Y$65,MATCH(1,(BJ25='Input 1_GRIP Factors'!$G$5:$G$65)*(A25='Input 1_GRIP Factors'!$J$5:$J$65),0)),0)*AG25</f>
        <v>0</v>
      </c>
      <c r="BR25" s="190">
        <f t="shared" si="15"/>
        <v>0</v>
      </c>
      <c r="BS25" s="44" cm="1">
        <f t="array" ref="BS25">IFERROR(INDEX('Input 1_GRIP Factors'!$AC$5:$AC$65,MATCH(1,(BJ25='Input 1_GRIP Factors'!$G$5:$G$65)*(A25='Input 1_GRIP Factors'!$J$5:$J$65),0)),0)*AG25</f>
        <v>0</v>
      </c>
      <c r="BT25" s="190">
        <f t="shared" si="16"/>
        <v>0</v>
      </c>
      <c r="BU25" s="190">
        <f t="shared" si="5"/>
        <v>0</v>
      </c>
      <c r="BV25" s="190">
        <f t="shared" ca="1" si="17"/>
        <v>0</v>
      </c>
      <c r="BW25" s="190">
        <f t="shared" ca="1" si="6"/>
        <v>0</v>
      </c>
      <c r="BX25" s="190" cm="1">
        <f t="array" aca="1" ref="BX25" ca="1">IFERROR(INDEX('Input 1_GRIP Factors'!$AC$5:$AC$65,MATCH(1,(BJ25='Input 1_GRIP Factors'!$G$5:$G$65)*(A25='Input 1_GRIP Factors'!$J$5:$J$65),0)),0)*BW25</f>
        <v>0</v>
      </c>
      <c r="BY25" s="190"/>
      <c r="BZ25" s="56">
        <f>SUMIF('Monthly VOL'!G:G,'Master '!G25,'Monthly VOL'!BV:BV)</f>
        <v>0</v>
      </c>
      <c r="CA25" s="519"/>
      <c r="CB25" s="56"/>
      <c r="CC25" s="553" t="s">
        <v>100</v>
      </c>
    </row>
    <row r="26" spans="1:81" s="60" customFormat="1">
      <c r="A26" s="60" t="s">
        <v>15</v>
      </c>
      <c r="B26" s="60" t="s">
        <v>993</v>
      </c>
      <c r="C26" s="55" t="s">
        <v>1245</v>
      </c>
      <c r="D26" s="60" t="s">
        <v>54</v>
      </c>
      <c r="E26" s="55" t="str">
        <f>VLOOKUP(D26,'Input 14_Ref Table'!C:D,2,FALSE)</f>
        <v>GTNGV</v>
      </c>
      <c r="F26" s="172" t="s">
        <v>1286</v>
      </c>
      <c r="G26" s="59" t="str">
        <f>VLOOKUP(D26,'Input 14_Ref Table'!C:I,7,FALSE)</f>
        <v>FPU - FPU- NGVTS</v>
      </c>
      <c r="H26" s="59" t="str">
        <f>VLOOKUP(D26,'Input 14_Ref Table'!C:K,8,FALSE)</f>
        <v>Base Period</v>
      </c>
      <c r="I26" s="55" t="str">
        <f>VLOOKUP(E26,'Input 7_NG Rates'!B:G,6,FALSE)</f>
        <v>GSTS1</v>
      </c>
      <c r="J26" s="56" t="str">
        <f>IFERROR(VLOOKUP(H26,Report_Regression!B:L,11,FALSE),"")</f>
        <v>Base Period</v>
      </c>
      <c r="K26" s="57">
        <f>_xlfn.IFNA(VLOOKUP($H26,Report_Regression!$B:$L,9,FALSE),0)</f>
        <v>0</v>
      </c>
      <c r="L26" s="57">
        <f>_xlfn.IFNA(VLOOKUP($H26,Report_Regression!$B:$L,10,FALSE),0)</f>
        <v>0</v>
      </c>
      <c r="M26" s="57">
        <f>_xlfn.IFNA(VLOOKUP($H26,Report_Regression!$B:$L,8,FALSE),0)</f>
        <v>0</v>
      </c>
      <c r="N26" s="57">
        <f t="shared" si="7"/>
        <v>0</v>
      </c>
      <c r="O26" s="57" t="str">
        <f>IFERROR(VLOOKUP(H26,Report_Regression!O:Y,11,FALSE),"")</f>
        <v>Base Period</v>
      </c>
      <c r="P26" s="57">
        <f>IFERROR(VLOOKUP($H26,Report_Regression!$O:$Y,9,FALSE),0)</f>
        <v>0</v>
      </c>
      <c r="Q26" s="57">
        <f>IFERROR(VLOOKUP($H26,Report_Regression!$O:$Y,10,FALSE),0)</f>
        <v>0</v>
      </c>
      <c r="R26" s="57">
        <f>IFERROR(VLOOKUP($H26,Report_Regression!$O:$Y,8,FALSE),0)</f>
        <v>0</v>
      </c>
      <c r="S26" s="57">
        <f t="shared" si="8"/>
        <v>0</v>
      </c>
      <c r="T26" s="56">
        <f>_xlfn.IFNA(VLOOKUP($H26,Report_Regression!$O:$Y,6,FALSE),0)</f>
        <v>0</v>
      </c>
      <c r="U26" s="56">
        <f>_xlfn.IFNA(VLOOKUP($H26,Report_Regression!$O:$Y,7,FALSE),0)</f>
        <v>0</v>
      </c>
      <c r="V26" s="56">
        <f>_xlfn.IFNA(VLOOKUP($H26,Report_Regression!$O:$Y,5,FALSE),0)</f>
        <v>0</v>
      </c>
      <c r="W26" s="5">
        <f t="shared" si="9"/>
        <v>545656.96499999997</v>
      </c>
      <c r="X26" s="64">
        <f t="shared" si="10"/>
        <v>461073.4283333334</v>
      </c>
      <c r="Y26" s="56">
        <f>SUMIF('Input 3_2019CUST-YTD'!S:S,G26,'Input 3_2019CUST-YTD'!R:R)</f>
        <v>24</v>
      </c>
      <c r="Z26" s="56">
        <f>SUMIF('Input 4_2020CUST-YTD'!S:S,G26,'Input 4_2020CUST-YTD'!R:R)</f>
        <v>24</v>
      </c>
      <c r="AA26" s="56">
        <f>SUMIF('Input 5_2021CUST-YTD'!S:S,G26,'Input 5_2021CUST-YTD'!R:R)</f>
        <v>24</v>
      </c>
      <c r="AB26" s="56">
        <f t="shared" si="19"/>
        <v>24</v>
      </c>
      <c r="AC26" s="56">
        <f t="shared" si="20"/>
        <v>24</v>
      </c>
      <c r="AD26" s="56" t="str">
        <f>VLOOKUP(D26,'Input 15_Fcst Inputs'!A:F,2,FALSE)</f>
        <v>Historical Average</v>
      </c>
      <c r="AE26" s="56">
        <f>SUMIF('Input 3.1_2019VOL-YTD'!R:R,G26,'Input 3.1_2019VOL-YTD'!O:O)</f>
        <v>731973.77</v>
      </c>
      <c r="AF26" s="56">
        <f>SUMIF('Input 4.1_2020VOL-YTD'!R:R,G26,'Input 4.1_2020VOL-YTD'!O:O)</f>
        <v>943152.87</v>
      </c>
      <c r="AG26" s="56">
        <f>SUMIF('Input 5.1_2021VOL-YTD'!R:R,G26,'Input 5.1_2021VOL-YTD'!O:O)</f>
        <v>1091313.93</v>
      </c>
      <c r="AH26" s="64">
        <f>IFERROR(IF($AD26="Historical Average",(AVERAGE($AE26:$AG26)/AVERAGE($Y26:$AA26))*AB26,IF($AD26="UPC Growth Rate",((AG26/AA26)*(1+$S26)*AB26),IF($AD26="Modeled UPC",AB26/12*$W26,IF(AD26="Base Period",AG26,IF(AD26="Adjusted",SUMIF('Input 15_Fcst Inputs'!A:A,D26,'Input 15_Fcst Inputs'!F:F),0))))),0)</f>
        <v>922146.8566666668</v>
      </c>
      <c r="AI26" s="64">
        <f>IFERROR(IF($AD26="Historical Average",(AVERAGE($AE26:$AG26)/AVERAGE($Y26:$AA26))*AC26,IF($AD26="UPC Growth Rate",((AH26/AB26)*(1+$S26)*AC26),IF($AD26="Modeled UPC",AC26/12*$W26,IF(AD26="Base Period",AG26,IF(AD26="Adjusted",SUMIF('Input 15_Fcst Inputs'!A:A,D26,'Input 15_Fcst Inputs'!G:G),0))))),0)</f>
        <v>922146.8566666668</v>
      </c>
      <c r="AJ26" s="273">
        <f>VLOOKUP($G26,'WP-Peak Month UPC'!$C:$BL,17,FALSE)</f>
        <v>28253.355</v>
      </c>
      <c r="AK26" s="273">
        <f>VLOOKUP($G26,'WP-Peak Month UPC'!$C:$BL,32,FALSE)</f>
        <v>36470.474999999999</v>
      </c>
      <c r="AL26" s="273">
        <f>VLOOKUP($G26,'WP-Peak Month UPC'!$C:$BL,47,FALSE)</f>
        <v>40401.154999999999</v>
      </c>
      <c r="AM26" s="273">
        <f>IF(OR(AD26="Base Period",AD26="Adjusted"),AL26,IF(AD26="Historical Average",AVERAGE(AJ26:AL26),IF(AD26="Modeled UPC",VLOOKUP(H26,Report_Regression!AB:AJ,5,FALSE),IF(AD26="UPC Growth Rate",AL26*(1+VLOOKUP(H26,Report_Regression!AB:AN,13,FALSE))))))</f>
        <v>35041.661666666667</v>
      </c>
      <c r="AN26" s="273">
        <f>IF(OR($AD26="Base Period",$AD26="Adjusted"),$AL26,IF($AD26="Historical Average",AVERAGE($AJ26:$AL26),IF($AD26="Modeled UPC",VLOOKUP($H26,Report_Regression!$AB:$AJ,9,FALSE),IF($AD26="UPC Growth Rate",AM26*(1+VLOOKUP($H26,Report_Regression!$AB:$AN,13,FALSE))))))</f>
        <v>35041.661666666667</v>
      </c>
      <c r="AO26" s="58">
        <f>VLOOKUP(E26,'Input 7_NG Rates'!B:I,7,FALSE)</f>
        <v>100</v>
      </c>
      <c r="AP26" s="292">
        <f>VLOOKUP(E26,'Input 7_NG Rates'!B:I,8,FALSE)</f>
        <v>0.17111000000000001</v>
      </c>
      <c r="AQ26" s="293">
        <f>VLOOKUP(D26,'Input 14_Ref Table'!C:N,12,FALSE)</f>
        <v>50.5</v>
      </c>
      <c r="AR26" s="292"/>
      <c r="AS26" s="151">
        <f t="shared" si="0"/>
        <v>2400</v>
      </c>
      <c r="AT26" s="151">
        <f t="shared" si="1"/>
        <v>186734.7265623</v>
      </c>
      <c r="AU26" s="151">
        <f>SUMIF('Input 13.3_2021 Min Charges'!A:A,G26,'Input 13.3_2021 Min Charges'!O:O)</f>
        <v>0</v>
      </c>
      <c r="AV26" s="151">
        <f t="shared" si="2"/>
        <v>0</v>
      </c>
      <c r="AW26" s="151">
        <v>6898.5</v>
      </c>
      <c r="AX26" s="151">
        <f t="shared" si="11"/>
        <v>196033.2265623</v>
      </c>
      <c r="AY26" s="533">
        <f>SUMIF('Input 6_2021MARG-YTD'!AN:AN,G26,'Input 6_2021MARG-YTD'!AK:AK)</f>
        <v>189777.39</v>
      </c>
      <c r="AZ26" s="533">
        <f t="shared" si="12"/>
        <v>-6255.8365622999845</v>
      </c>
      <c r="BA26" s="533"/>
      <c r="BB26" s="533"/>
      <c r="BC26" s="533"/>
      <c r="BD26" s="533"/>
      <c r="BE26" s="533"/>
      <c r="BF26" s="533"/>
      <c r="BG26" s="55"/>
      <c r="BH26" s="294"/>
      <c r="BI26" s="294"/>
      <c r="BJ26" s="191" t="s">
        <v>821</v>
      </c>
      <c r="BK26" s="514">
        <v>0.22965999999999998</v>
      </c>
      <c r="BL26" s="190">
        <f t="shared" si="3"/>
        <v>211780.24710206667</v>
      </c>
      <c r="BM26" s="518" cm="1">
        <f t="array" ref="BM26">IFERROR(INDEX('Input 1_GRIP Factors'!$K$5:$K$54,MATCH(1,(BJ26='Input 1_GRIP Factors'!$G$5:$G$54)*(A26='Input 1_GRIP Factors'!$J$5:$J$54),0)),0)</f>
        <v>0.15179948367288987</v>
      </c>
      <c r="BN26" s="190">
        <f t="shared" si="4"/>
        <v>165660.89109903228</v>
      </c>
      <c r="BO26" s="190">
        <f t="shared" si="13"/>
        <v>32600.44379210534</v>
      </c>
      <c r="BP26" s="190">
        <f t="shared" si="14"/>
        <v>198261.33489113761</v>
      </c>
      <c r="BQ26" s="44" cm="1">
        <f t="array" ref="BQ26">IFERROR(INDEX('Input 1_GRIP Factors'!$Y$5:$Y$65,MATCH(1,(BJ26='Input 1_GRIP Factors'!$G$5:$G$65)*(A26='Input 1_GRIP Factors'!$J$5:$J$65),0)),0)*AG26</f>
        <v>13946.992025399999</v>
      </c>
      <c r="BR26" s="190">
        <f t="shared" si="15"/>
        <v>13936.488252688376</v>
      </c>
      <c r="BS26" s="44" cm="1">
        <f t="array" ref="BS26">IFERROR(INDEX('Input 1_GRIP Factors'!$AC$5:$AC$65,MATCH(1,(BJ26='Input 1_GRIP Factors'!$G$5:$G$65)*(A26='Input 1_GRIP Factors'!$J$5:$J$65),0)),0)*AG26</f>
        <v>0</v>
      </c>
      <c r="BT26" s="190">
        <f t="shared" si="16"/>
        <v>0</v>
      </c>
      <c r="BU26" s="190">
        <f t="shared" si="5"/>
        <v>408231.04970612598</v>
      </c>
      <c r="BV26" s="190">
        <f t="shared" ca="1" si="17"/>
        <v>279.29232551779893</v>
      </c>
      <c r="BW26" s="190">
        <f t="shared" ca="1" si="6"/>
        <v>1632.2384753538595</v>
      </c>
      <c r="BX26" s="190" cm="1">
        <f t="array" aca="1" ref="BX26" ca="1">IFERROR(INDEX('Input 1_GRIP Factors'!$AC$5:$AC$65,MATCH(1,(BJ26='Input 1_GRIP Factors'!$G$5:$G$65)*(A26='Input 1_GRIP Factors'!$J$5:$J$65),0)),0)*BW26</f>
        <v>0</v>
      </c>
      <c r="BY26" s="190"/>
      <c r="BZ26" s="56">
        <f>SUMIF('Monthly VOL'!G:G,'Master '!G26,'Monthly VOL'!BV:BV)</f>
        <v>70083.323333333334</v>
      </c>
      <c r="CA26" s="519"/>
      <c r="CB26" s="56"/>
      <c r="CC26" s="553" t="s">
        <v>1440</v>
      </c>
    </row>
    <row r="27" spans="1:81" s="60" customFormat="1">
      <c r="A27" s="60" t="s">
        <v>15</v>
      </c>
      <c r="B27" s="60" t="s">
        <v>994</v>
      </c>
      <c r="C27" s="55" t="s">
        <v>1245</v>
      </c>
      <c r="D27" s="60" t="s">
        <v>56</v>
      </c>
      <c r="E27" s="55" t="str">
        <f>VLOOKUP(D27,'Input 14_Ref Table'!C:D,2,FALSE)</f>
        <v>LITEG</v>
      </c>
      <c r="F27" s="172" t="s">
        <v>1286</v>
      </c>
      <c r="G27" s="59" t="str">
        <f>VLOOKUP(D27,'Input 14_Ref Table'!C:I,7,FALSE)</f>
        <v>FPU - FPU - GLS</v>
      </c>
      <c r="H27" s="59" t="str">
        <f>VLOOKUP(D27,'Input 14_Ref Table'!C:K,8,FALSE)</f>
        <v>Base Period</v>
      </c>
      <c r="I27" s="55" t="str">
        <f>VLOOKUP(E27,'Input 7_NG Rates'!B:G,6,FALSE)</f>
        <v>GLS</v>
      </c>
      <c r="J27" s="56" t="str">
        <f>IFERROR(VLOOKUP(H27,Report_Regression!B:L,11,FALSE),"")</f>
        <v>Base Period</v>
      </c>
      <c r="K27" s="57">
        <f>_xlfn.IFNA(VLOOKUP($H27,Report_Regression!$B:$L,9,FALSE),0)</f>
        <v>0</v>
      </c>
      <c r="L27" s="57">
        <f>_xlfn.IFNA(VLOOKUP($H27,Report_Regression!$B:$L,10,FALSE),0)</f>
        <v>0</v>
      </c>
      <c r="M27" s="57">
        <f>_xlfn.IFNA(VLOOKUP($H27,Report_Regression!$B:$L,8,FALSE),0)</f>
        <v>0</v>
      </c>
      <c r="N27" s="57">
        <f t="shared" si="7"/>
        <v>0</v>
      </c>
      <c r="O27" s="57" t="str">
        <f>IFERROR(VLOOKUP(H27,Report_Regression!O:Y,11,FALSE),"")</f>
        <v>Base Period</v>
      </c>
      <c r="P27" s="57">
        <f>IFERROR(VLOOKUP($H27,Report_Regression!$O:$Y,9,FALSE),0)</f>
        <v>0</v>
      </c>
      <c r="Q27" s="57">
        <f>IFERROR(VLOOKUP($H27,Report_Regression!$O:$Y,10,FALSE),0)</f>
        <v>0</v>
      </c>
      <c r="R27" s="57">
        <f>IFERROR(VLOOKUP($H27,Report_Regression!$O:$Y,8,FALSE),0)</f>
        <v>0</v>
      </c>
      <c r="S27" s="57">
        <f t="shared" si="8"/>
        <v>0</v>
      </c>
      <c r="T27" s="56">
        <f>_xlfn.IFNA(VLOOKUP($H27,Report_Regression!$O:$Y,6,FALSE),0)</f>
        <v>0</v>
      </c>
      <c r="U27" s="56">
        <f>_xlfn.IFNA(VLOOKUP($H27,Report_Regression!$O:$Y,7,FALSE),0)</f>
        <v>0</v>
      </c>
      <c r="V27" s="56">
        <f>_xlfn.IFNA(VLOOKUP($H27,Report_Regression!$O:$Y,5,FALSE),0)</f>
        <v>0</v>
      </c>
      <c r="W27" s="5">
        <f t="shared" si="9"/>
        <v>3458.5886705202315</v>
      </c>
      <c r="X27" s="64">
        <f t="shared" si="10"/>
        <v>3436.9512328767123</v>
      </c>
      <c r="Y27" s="56">
        <f>SUMIF('Input 3_2019CUST-YTD'!S:S,G27,'Input 3_2019CUST-YTD'!R:R)</f>
        <v>433</v>
      </c>
      <c r="Z27" s="56">
        <f>SUMIF('Input 4_2020CUST-YTD'!S:S,G27,'Input 4_2020CUST-YTD'!R:R)</f>
        <v>389</v>
      </c>
      <c r="AA27" s="56">
        <f>SUMIF('Input 5_2021CUST-YTD'!S:S,G27,'Input 5_2021CUST-YTD'!R:R)</f>
        <v>346</v>
      </c>
      <c r="AB27" s="56">
        <f t="shared" si="19"/>
        <v>346</v>
      </c>
      <c r="AC27" s="56">
        <f t="shared" si="20"/>
        <v>346</v>
      </c>
      <c r="AD27" s="56" t="str">
        <f>VLOOKUP(D27,'Input 15_Fcst Inputs'!A:F,2,FALSE)</f>
        <v>Base Period</v>
      </c>
      <c r="AE27" s="56">
        <f>SUMIF('Input 3.1_2019VOL-YTD'!R:R,G27,'Input 3.1_2019VOL-YTD'!O:O)</f>
        <v>125676.64</v>
      </c>
      <c r="AF27" s="56">
        <f>SUMIF('Input 4.1_2020VOL-YTD'!R:R,G27,'Input 4.1_2020VOL-YTD'!O:O)</f>
        <v>109130.64</v>
      </c>
      <c r="AG27" s="56">
        <f>SUMIF('Input 5.1_2021VOL-YTD'!R:R,G27,'Input 5.1_2021VOL-YTD'!O:O)</f>
        <v>99722.64</v>
      </c>
      <c r="AH27" s="64">
        <f>IFERROR(IF($AD27="Historical Average",(AVERAGE($AE27:$AG27)/AVERAGE($Y27:$AA27))*AB27,IF($AD27="UPC Growth Rate",((AG27/AA27)*(1+$S27)*AB27),IF($AD27="Modeled UPC",AB27/12*$W27,IF(AD27="Base Period",AG27,IF(AD27="Adjusted",SUMIF('Input 15_Fcst Inputs'!A:A,D27,'Input 15_Fcst Inputs'!F:F),0))))),0)</f>
        <v>99722.64</v>
      </c>
      <c r="AI27" s="64">
        <f>IFERROR(IF($AD27="Historical Average",(AVERAGE($AE27:$AG27)/AVERAGE($Y27:$AA27))*AC27,IF($AD27="UPC Growth Rate",((AH27/AB27)*(1+$S27)*AC27),IF($AD27="Modeled UPC",AC27/12*$W27,IF(AD27="Base Period",AG27,IF(AD27="Adjusted",SUMIF('Input 15_Fcst Inputs'!A:A,D27,'Input 15_Fcst Inputs'!G:G),0))))),0)</f>
        <v>99722.64</v>
      </c>
      <c r="AJ27" s="273">
        <f>VLOOKUP($G27,'WP-Peak Month UPC'!$C:$BL,17,FALSE)</f>
        <v>296.95549999999997</v>
      </c>
      <c r="AK27" s="273">
        <f>VLOOKUP($G27,'WP-Peak Month UPC'!$C:$BL,32,FALSE)</f>
        <v>246.65352941176468</v>
      </c>
      <c r="AL27" s="273">
        <f>VLOOKUP($G27,'WP-Peak Month UPC'!$C:$BL,47,FALSE)</f>
        <v>293.36193548387092</v>
      </c>
      <c r="AM27" s="273">
        <f>IF(OR(AD27="Base Period",AD27="Adjusted"),AL27,IF(AD27="Historical Average",AVERAGE(AJ27:AL27),IF(AD27="Modeled UPC",VLOOKUP(H27,Report_Regression!AB:AJ,5,FALSE),IF(AD27="UPC Growth Rate",AL27*(1+VLOOKUP(H27,Report_Regression!AB:AN,13,FALSE))))))</f>
        <v>293.36193548387092</v>
      </c>
      <c r="AN27" s="273">
        <f>IF(OR($AD27="Base Period",$AD27="Adjusted"),$AL27,IF($AD27="Historical Average",AVERAGE($AJ27:$AL27),IF($AD27="Modeled UPC",VLOOKUP($H27,Report_Regression!$AB:$AJ,9,FALSE),IF($AD27="UPC Growth Rate",AM27*(1+VLOOKUP($H27,Report_Regression!$AB:$AN,13,FALSE))))))</f>
        <v>293.36193548387092</v>
      </c>
      <c r="AO27" s="58">
        <f>VLOOKUP(E27,'Input 7_NG Rates'!B:I,7,FALSE)</f>
        <v>0</v>
      </c>
      <c r="AP27" s="292">
        <f>VLOOKUP(E27,'Input 7_NG Rates'!B:I,8,FALSE)</f>
        <v>0.24210000000000001</v>
      </c>
      <c r="AQ27" s="293">
        <f>VLOOKUP(D27,'Input 14_Ref Table'!C:N,12,FALSE)</f>
        <v>0</v>
      </c>
      <c r="AR27" s="292"/>
      <c r="AS27" s="151">
        <f t="shared" si="0"/>
        <v>0</v>
      </c>
      <c r="AT27" s="151">
        <f t="shared" si="1"/>
        <v>24142.851144</v>
      </c>
      <c r="AU27" s="151">
        <f>SUMIF('Input 13.3_2021 Min Charges'!A:A,G27,'Input 13.3_2021 Min Charges'!O:O)</f>
        <v>0</v>
      </c>
      <c r="AV27" s="151">
        <f t="shared" si="2"/>
        <v>0</v>
      </c>
      <c r="AW27" s="151">
        <v>0</v>
      </c>
      <c r="AX27" s="151">
        <f t="shared" si="11"/>
        <v>24142.851144</v>
      </c>
      <c r="AY27" s="533">
        <f>SUMIF('Input 6_2021MARG-YTD'!AN:AN,G27,'Input 6_2021MARG-YTD'!AK:AK)</f>
        <v>29582.910000000003</v>
      </c>
      <c r="AZ27" s="533">
        <f t="shared" si="12"/>
        <v>5440.0588560000033</v>
      </c>
      <c r="BA27" s="533"/>
      <c r="BB27" s="533"/>
      <c r="BC27" s="533"/>
      <c r="BD27" s="533"/>
      <c r="BE27" s="533"/>
      <c r="BF27" s="533"/>
      <c r="BG27" s="55"/>
      <c r="BH27" s="294"/>
      <c r="BI27" s="294"/>
      <c r="BJ27" s="191" t="s">
        <v>894</v>
      </c>
      <c r="BK27" s="514">
        <v>1.1405100000000004</v>
      </c>
      <c r="BL27" s="190">
        <f t="shared" si="3"/>
        <v>113734.66814640003</v>
      </c>
      <c r="BM27" s="518" cm="1">
        <f t="array" ref="BM27">IFERROR(INDEX('Input 1_GRIP Factors'!$K$5:$K$54,MATCH(1,(BJ27='Input 1_GRIP Factors'!$G$5:$G$54)*(A27='Input 1_GRIP Factors'!$J$5:$J$54),0)),0)</f>
        <v>0.80045814687627426</v>
      </c>
      <c r="BN27" s="190">
        <f t="shared" si="4"/>
        <v>79823.799616009826</v>
      </c>
      <c r="BO27" s="190">
        <f t="shared" si="13"/>
        <v>15708.543370676156</v>
      </c>
      <c r="BP27" s="190">
        <f t="shared" si="14"/>
        <v>95532.342986685981</v>
      </c>
      <c r="BQ27" s="44" cm="1">
        <f t="array" ref="BQ27">IFERROR(INDEX('Input 1_GRIP Factors'!$Y$5:$Y$65,MATCH(1,(BJ27='Input 1_GRIP Factors'!$G$5:$G$65)*(A27='Input 1_GRIP Factors'!$J$5:$J$65),0)),0)*AG27</f>
        <v>0</v>
      </c>
      <c r="BR27" s="190">
        <f t="shared" si="15"/>
        <v>0</v>
      </c>
      <c r="BS27" s="44" cm="1">
        <f t="array" ref="BS27">IFERROR(INDEX('Input 1_GRIP Factors'!$AC$5:$AC$65,MATCH(1,(BJ27='Input 1_GRIP Factors'!$G$5:$G$65)*(A27='Input 1_GRIP Factors'!$J$5:$J$65),0)),0)*AG27</f>
        <v>99310.785496800003</v>
      </c>
      <c r="BT27" s="190">
        <f t="shared" si="16"/>
        <v>99819.26309691499</v>
      </c>
      <c r="BU27" s="190">
        <f t="shared" si="5"/>
        <v>219494.45722760097</v>
      </c>
      <c r="BV27" s="190">
        <f t="shared" ca="1" si="17"/>
        <v>34.396786498307691</v>
      </c>
      <c r="BW27" s="190">
        <f t="shared" ca="1" si="6"/>
        <v>142.07677198805325</v>
      </c>
      <c r="BX27" s="190" cm="1">
        <f t="array" aca="1" ref="BX27" ca="1">IFERROR(INDEX('Input 1_GRIP Factors'!$AC$5:$AC$65,MATCH(1,(BJ27='Input 1_GRIP Factors'!$G$5:$G$65)*(A27='Input 1_GRIP Factors'!$J$5:$J$65),0)),0)*BW27</f>
        <v>141.4899949197426</v>
      </c>
      <c r="BY27" s="190"/>
      <c r="BZ27" s="56">
        <f>SUMIF('Monthly VOL'!G:G,'Master '!G27,'Monthly VOL'!BV:BV)</f>
        <v>9094.2199999999993</v>
      </c>
      <c r="CA27" s="519"/>
      <c r="CB27" s="56"/>
      <c r="CC27" s="553" t="s">
        <v>139</v>
      </c>
    </row>
    <row r="28" spans="1:81" s="60" customFormat="1">
      <c r="A28" s="60" t="s">
        <v>15</v>
      </c>
      <c r="B28" s="60" t="s">
        <v>993</v>
      </c>
      <c r="C28" s="55" t="s">
        <v>1245</v>
      </c>
      <c r="D28" s="60" t="s">
        <v>58</v>
      </c>
      <c r="E28" s="55" t="str">
        <f>VLOOKUP(D28,'Input 14_Ref Table'!C:D,2,FALSE)</f>
        <v>LA3MX</v>
      </c>
      <c r="F28" s="172" t="s">
        <v>1286</v>
      </c>
      <c r="G28" s="59" t="str">
        <f>VLOOKUP(D28,'Input 14_Ref Table'!C:I,7,FALSE)</f>
        <v>LA3MX</v>
      </c>
      <c r="H28" s="59" t="str">
        <f>VLOOKUP(D28,'Input 14_Ref Table'!C:K,8,FALSE)</f>
        <v>Base Period</v>
      </c>
      <c r="I28" s="55" t="str">
        <f>VLOOKUP(E28,'Input 7_NG Rates'!B:G,6,FALSE)</f>
        <v>GLSTS</v>
      </c>
      <c r="J28" s="56" t="str">
        <f>IFERROR(VLOOKUP(H28,Report_Regression!B:L,11,FALSE),"")</f>
        <v>Base Period</v>
      </c>
      <c r="K28" s="57">
        <f>_xlfn.IFNA(VLOOKUP($H28,Report_Regression!$B:$L,9,FALSE),0)</f>
        <v>0</v>
      </c>
      <c r="L28" s="57">
        <f>_xlfn.IFNA(VLOOKUP($H28,Report_Regression!$B:$L,10,FALSE),0)</f>
        <v>0</v>
      </c>
      <c r="M28" s="57">
        <f>_xlfn.IFNA(VLOOKUP($H28,Report_Regression!$B:$L,8,FALSE),0)</f>
        <v>0</v>
      </c>
      <c r="N28" s="57">
        <f t="shared" si="7"/>
        <v>0</v>
      </c>
      <c r="O28" s="57" t="str">
        <f>IFERROR(VLOOKUP(H28,Report_Regression!O:Y,11,FALSE),"")</f>
        <v>Base Period</v>
      </c>
      <c r="P28" s="57">
        <f>IFERROR(VLOOKUP($H28,Report_Regression!$O:$Y,9,FALSE),0)</f>
        <v>0</v>
      </c>
      <c r="Q28" s="57">
        <f>IFERROR(VLOOKUP($H28,Report_Regression!$O:$Y,10,FALSE),0)</f>
        <v>0</v>
      </c>
      <c r="R28" s="57">
        <f>IFERROR(VLOOKUP($H28,Report_Regression!$O:$Y,8,FALSE),0)</f>
        <v>0</v>
      </c>
      <c r="S28" s="57">
        <f t="shared" si="8"/>
        <v>0</v>
      </c>
      <c r="T28" s="56">
        <f>_xlfn.IFNA(VLOOKUP($H28,Report_Regression!$O:$Y,6,FALSE),0)</f>
        <v>0</v>
      </c>
      <c r="U28" s="56">
        <f>_xlfn.IFNA(VLOOKUP($H28,Report_Regression!$O:$Y,7,FALSE),0)</f>
        <v>0</v>
      </c>
      <c r="V28" s="56">
        <f>_xlfn.IFNA(VLOOKUP($H28,Report_Regression!$O:$Y,5,FALSE),0)</f>
        <v>0</v>
      </c>
      <c r="W28" s="5">
        <f t="shared" si="9"/>
        <v>0</v>
      </c>
      <c r="X28" s="64">
        <f t="shared" si="10"/>
        <v>0</v>
      </c>
      <c r="Y28" s="56">
        <f>SUMIF('Input 3_2019CUST-YTD'!S:S,G28,'Input 3_2019CUST-YTD'!R:R)</f>
        <v>0</v>
      </c>
      <c r="Z28" s="56">
        <f>SUMIF('Input 4_2020CUST-YTD'!S:S,G28,'Input 4_2020CUST-YTD'!R:R)</f>
        <v>0</v>
      </c>
      <c r="AA28" s="56">
        <f>SUMIF('Input 5_2021CUST-YTD'!S:S,G28,'Input 5_2021CUST-YTD'!R:R)</f>
        <v>0</v>
      </c>
      <c r="AB28" s="56">
        <f t="shared" si="19"/>
        <v>0</v>
      </c>
      <c r="AC28" s="56">
        <f t="shared" si="20"/>
        <v>0</v>
      </c>
      <c r="AD28" s="56" t="str">
        <f>VLOOKUP(D28,'Input 15_Fcst Inputs'!A:F,2,FALSE)</f>
        <v>Base Period</v>
      </c>
      <c r="AE28" s="56">
        <f>SUMIF('Input 3.1_2019VOL-YTD'!R:R,G28,'Input 3.1_2019VOL-YTD'!O:O)</f>
        <v>0</v>
      </c>
      <c r="AF28" s="56">
        <f>SUMIF('Input 4.1_2020VOL-YTD'!R:R,G28,'Input 4.1_2020VOL-YTD'!O:O)</f>
        <v>0</v>
      </c>
      <c r="AG28" s="56">
        <f>SUMIF('Input 5.1_2021VOL-YTD'!R:R,G28,'Input 5.1_2021VOL-YTD'!O:O)</f>
        <v>0</v>
      </c>
      <c r="AH28" s="64">
        <f>IFERROR(IF($AD28="Historical Average",(AVERAGE($AE28:$AG28)/AVERAGE($Y28:$AA28))*AB28,IF($AD28="UPC Growth Rate",((AG28/AA28)*(1+$S28)*AB28),IF($AD28="Modeled UPC",AB28/12*$W28,IF(AD28="Base Period",AG28,IF(AD28="Adjusted",SUMIF('Input 15_Fcst Inputs'!A:A,D28,'Input 15_Fcst Inputs'!F:F),0))))),0)</f>
        <v>0</v>
      </c>
      <c r="AI28" s="64">
        <f>IFERROR(IF($AD28="Historical Average",(AVERAGE($AE28:$AG28)/AVERAGE($Y28:$AA28))*AC28,IF($AD28="UPC Growth Rate",((AH28/AB28)*(1+$S28)*AC28),IF($AD28="Modeled UPC",AC28/12*$W28,IF(AD28="Base Period",AG28,IF(AD28="Adjusted",SUMIF('Input 15_Fcst Inputs'!A:A,D28,'Input 15_Fcst Inputs'!G:G),0))))),0)</f>
        <v>0</v>
      </c>
      <c r="AJ28" s="273">
        <f>VLOOKUP($G28,'WP-Peak Month UPC'!$C:$BL,17,FALSE)</f>
        <v>0</v>
      </c>
      <c r="AK28" s="273">
        <f>VLOOKUP($G28,'WP-Peak Month UPC'!$C:$BL,32,FALSE)</f>
        <v>0</v>
      </c>
      <c r="AL28" s="273">
        <f>VLOOKUP($G28,'WP-Peak Month UPC'!$C:$BL,47,FALSE)</f>
        <v>0</v>
      </c>
      <c r="AM28" s="273">
        <f>IF(OR(AD28="Base Period",AD28="Adjusted"),AL28,IF(AD28="Historical Average",AVERAGE(AJ28:AL28),IF(AD28="Modeled UPC",VLOOKUP(H28,Report_Regression!AB:AJ,5,FALSE),IF(AD28="UPC Growth Rate",AL28*(1+VLOOKUP(H28,Report_Regression!AB:AN,13,FALSE))))))</f>
        <v>0</v>
      </c>
      <c r="AN28" s="273">
        <f>IF(OR($AD28="Base Period",$AD28="Adjusted"),$AL28,IF($AD28="Historical Average",AVERAGE($AJ28:$AL28),IF($AD28="Modeled UPC",VLOOKUP($H28,Report_Regression!$AB:$AJ,9,FALSE),IF($AD28="UPC Growth Rate",AM28*(1+VLOOKUP($H28,Report_Regression!$AB:$AN,13,FALSE))))))</f>
        <v>0</v>
      </c>
      <c r="AO28" s="58">
        <f>VLOOKUP(E28,'Input 7_NG Rates'!B:I,7,FALSE)</f>
        <v>0</v>
      </c>
      <c r="AP28" s="292">
        <f>VLOOKUP(E28,'Input 7_NG Rates'!B:I,8,FALSE)</f>
        <v>0.24210000000000001</v>
      </c>
      <c r="AQ28" s="293">
        <f>VLOOKUP(D28,'Input 14_Ref Table'!C:N,12,FALSE)</f>
        <v>1.5</v>
      </c>
      <c r="AR28" s="292"/>
      <c r="AS28" s="151">
        <f t="shared" si="0"/>
        <v>0</v>
      </c>
      <c r="AT28" s="151">
        <f t="shared" si="1"/>
        <v>0</v>
      </c>
      <c r="AU28" s="151">
        <f>SUMIF('Input 13.3_2021 Min Charges'!A:A,G28,'Input 13.3_2021 Min Charges'!O:O)</f>
        <v>0</v>
      </c>
      <c r="AV28" s="151">
        <f t="shared" si="2"/>
        <v>0</v>
      </c>
      <c r="AW28" s="151">
        <v>0</v>
      </c>
      <c r="AX28" s="151">
        <f t="shared" si="11"/>
        <v>0</v>
      </c>
      <c r="AY28" s="533">
        <f>SUMIF('Input 6_2021MARG-YTD'!AN:AN,G28,'Input 6_2021MARG-YTD'!AK:AK)</f>
        <v>0</v>
      </c>
      <c r="AZ28" s="533">
        <f t="shared" si="12"/>
        <v>0</v>
      </c>
      <c r="BA28" s="533"/>
      <c r="BB28" s="533"/>
      <c r="BC28" s="533"/>
      <c r="BD28" s="533"/>
      <c r="BE28" s="533"/>
      <c r="BF28" s="533"/>
      <c r="BG28" s="55"/>
      <c r="BH28" s="294"/>
      <c r="BI28" s="294"/>
      <c r="BJ28" s="191" t="s">
        <v>876</v>
      </c>
      <c r="BK28" s="514">
        <v>0</v>
      </c>
      <c r="BL28" s="190">
        <f t="shared" si="3"/>
        <v>0</v>
      </c>
      <c r="BM28" s="518" cm="1">
        <f t="array" ref="BM28">IFERROR(INDEX('Input 1_GRIP Factors'!$K$5:$K$54,MATCH(1,(BJ28='Input 1_GRIP Factors'!$G$5:$G$54)*(A28='Input 1_GRIP Factors'!$J$5:$J$54),0)),0)</f>
        <v>0.80045814687627426</v>
      </c>
      <c r="BN28" s="190">
        <f t="shared" si="4"/>
        <v>0</v>
      </c>
      <c r="BO28" s="190">
        <f t="shared" si="13"/>
        <v>0</v>
      </c>
      <c r="BP28" s="190">
        <f t="shared" si="14"/>
        <v>0</v>
      </c>
      <c r="BQ28" s="44" cm="1">
        <f t="array" ref="BQ28">IFERROR(INDEX('Input 1_GRIP Factors'!$Y$5:$Y$65,MATCH(1,(BJ28='Input 1_GRIP Factors'!$G$5:$G$65)*(A28='Input 1_GRIP Factors'!$J$5:$J$65),0)),0)*AG28</f>
        <v>0</v>
      </c>
      <c r="BR28" s="190">
        <f t="shared" si="15"/>
        <v>0</v>
      </c>
      <c r="BS28" s="44" cm="1">
        <f t="array" ref="BS28">IFERROR(INDEX('Input 1_GRIP Factors'!$AC$5:$AC$65,MATCH(1,(BJ28='Input 1_GRIP Factors'!$G$5:$G$65)*(A28='Input 1_GRIP Factors'!$J$5:$J$65),0)),0)*AG28</f>
        <v>0</v>
      </c>
      <c r="BT28" s="190">
        <f t="shared" si="16"/>
        <v>0</v>
      </c>
      <c r="BU28" s="190">
        <f t="shared" si="5"/>
        <v>0</v>
      </c>
      <c r="BV28" s="190">
        <f t="shared" ca="1" si="17"/>
        <v>0</v>
      </c>
      <c r="BW28" s="190">
        <f t="shared" ca="1" si="6"/>
        <v>0</v>
      </c>
      <c r="BX28" s="190" cm="1">
        <f t="array" aca="1" ref="BX28" ca="1">IFERROR(INDEX('Input 1_GRIP Factors'!$AC$5:$AC$65,MATCH(1,(BJ28='Input 1_GRIP Factors'!$G$5:$G$65)*(A28='Input 1_GRIP Factors'!$J$5:$J$65),0)),0)*BW28</f>
        <v>0</v>
      </c>
      <c r="BY28" s="190"/>
      <c r="BZ28" s="56">
        <f>SUMIF('Monthly VOL'!G:G,'Master '!G28,'Monthly VOL'!BV:BV)</f>
        <v>0</v>
      </c>
      <c r="CA28" s="519"/>
      <c r="CB28" s="56"/>
      <c r="CC28" s="553" t="s">
        <v>140</v>
      </c>
    </row>
    <row r="29" spans="1:81" s="60" customFormat="1">
      <c r="A29" s="60" t="s">
        <v>17</v>
      </c>
      <c r="B29" s="60" t="s">
        <v>993</v>
      </c>
      <c r="C29" s="55" t="s">
        <v>8</v>
      </c>
      <c r="D29" s="60" t="s">
        <v>1295</v>
      </c>
      <c r="E29" s="55" t="str">
        <f>VLOOKUP(D29,'Input 14_Ref Table'!C:D,2,FALSE)</f>
        <v>CR801</v>
      </c>
      <c r="F29" s="172" t="s">
        <v>1286</v>
      </c>
      <c r="G29" s="59" t="str">
        <f>VLOOKUP(D29,'Input 14_Ref Table'!C:I,7,FALSE)</f>
        <v>CFG - FTS-A R</v>
      </c>
      <c r="H29" s="59" t="str">
        <f>VLOOKUP(D29,'Input 14_Ref Table'!C:K,8,FALSE)</f>
        <v>FTS_AB</v>
      </c>
      <c r="I29" s="55" t="str">
        <f>VLOOKUP(E29,'Input 7_NG Rates'!B:G,6,FALSE)</f>
        <v>FTS-A</v>
      </c>
      <c r="J29" s="56" t="str">
        <f>IFERROR(VLOOKUP(H29,Report_Regression!B:L,11,FALSE),"")</f>
        <v>Median</v>
      </c>
      <c r="K29" s="57">
        <f>_xlfn.IFNA(VLOOKUP($H29,Report_Regression!$B:$L,9,FALSE),0)</f>
        <v>-7.5316460637900734E-3</v>
      </c>
      <c r="L29" s="57">
        <f>_xlfn.IFNA(VLOOKUP($H29,Report_Regression!$B:$L,10,FALSE),0)</f>
        <v>-8.2150941290087542E-3</v>
      </c>
      <c r="M29" s="57">
        <f>_xlfn.IFNA(VLOOKUP($H29,Report_Regression!$B:$L,8,FALSE),0)</f>
        <v>-6.8560912978240466E-3</v>
      </c>
      <c r="N29" s="57">
        <f t="shared" si="7"/>
        <v>-7.5316460637900734E-3</v>
      </c>
      <c r="O29" s="57" t="str">
        <f>IFERROR(VLOOKUP(H29,Report_Regression!O:Y,11,FALSE),"")</f>
        <v>Median</v>
      </c>
      <c r="P29" s="57">
        <f>IFERROR(VLOOKUP($H29,Report_Regression!$O:$Y,9,FALSE),0)</f>
        <v>0</v>
      </c>
      <c r="Q29" s="57">
        <f>IFERROR(VLOOKUP($H29,Report_Regression!$O:$Y,10,FALSE),0)</f>
        <v>0</v>
      </c>
      <c r="R29" s="57">
        <f>IFERROR(VLOOKUP($H29,Report_Regression!$O:$Y,8,FALSE),0)</f>
        <v>0</v>
      </c>
      <c r="S29" s="57">
        <f t="shared" si="8"/>
        <v>0</v>
      </c>
      <c r="T29" s="56">
        <f>_xlfn.IFNA(VLOOKUP($H29,Report_Regression!$O:$Y,6,FALSE),0)</f>
        <v>103.66332451256534</v>
      </c>
      <c r="U29" s="56">
        <f>_xlfn.IFNA(VLOOKUP($H29,Report_Regression!$O:$Y,7,FALSE),0)</f>
        <v>96.05709389912397</v>
      </c>
      <c r="V29" s="56">
        <f>_xlfn.IFNA(VLOOKUP($H29,Report_Regression!$O:$Y,5,FALSE),0)</f>
        <v>111.26955512600672</v>
      </c>
      <c r="W29" s="5">
        <f t="shared" si="9"/>
        <v>103.66332451256534</v>
      </c>
      <c r="X29" s="64">
        <f t="shared" si="10"/>
        <v>77.195336559612741</v>
      </c>
      <c r="Y29" s="56">
        <f>SUMIF('Input 3_2019CUST-YTD'!S:S,G29,'Input 3_2019CUST-YTD'!R:R)</f>
        <v>13816</v>
      </c>
      <c r="Z29" s="56">
        <f>SUMIF('Input 4_2020CUST-YTD'!S:S,G29,'Input 4_2020CUST-YTD'!R:R)</f>
        <v>13665</v>
      </c>
      <c r="AA29" s="56">
        <f>SUMIF('Input 5_2021CUST-YTD'!S:S,G29,'Input 5_2021CUST-YTD'!R:R)</f>
        <v>13433</v>
      </c>
      <c r="AB29" s="56">
        <f t="shared" si="19"/>
        <v>13331.827398425108</v>
      </c>
      <c r="AC29" s="56">
        <f t="shared" si="20"/>
        <v>13231.416793076631</v>
      </c>
      <c r="AD29" s="56" t="str">
        <f>VLOOKUP(D29,'Input 15_Fcst Inputs'!A:F,2,FALSE)</f>
        <v>UPC Growth Rate</v>
      </c>
      <c r="AE29" s="56">
        <f>SUMIF('Input 3.1_2019VOL-YTD'!R:R,G29,'Input 3.1_2019VOL-YTD'!O:O)</f>
        <v>83992.079999999783</v>
      </c>
      <c r="AF29" s="56">
        <f>SUMIF('Input 4.1_2020VOL-YTD'!R:R,G29,'Input 4.1_2020VOL-YTD'!O:O)</f>
        <v>87785.459999999934</v>
      </c>
      <c r="AG29" s="56">
        <f>SUMIF('Input 5.1_2021VOL-YTD'!R:R,G29,'Input 5.1_2021VOL-YTD'!O:O)</f>
        <v>91419.959999999948</v>
      </c>
      <c r="AH29" s="64">
        <f>IFERROR(IF($AD29="Historical Average",(AVERAGE($AE29:$AG29)/AVERAGE($Y29:$AA29))*AB29,IF($AD29="UPC Growth Rate",((AG29/AA29)*(1+$S29)*AB29),IF($AD29="Modeled UPC",AB29/12*$W29,IF(AD29="Base Period",AG29,IF(AD29="Adjusted",SUMIF('Input 15_Fcst Inputs'!A:A,D29,'Input 15_Fcst Inputs'!F:F),0))))),0)</f>
        <v>90731.417218114104</v>
      </c>
      <c r="AI29" s="64">
        <f>IFERROR(IF($AD29="Historical Average",(AVERAGE($AE29:$AG29)/AVERAGE($Y29:$AA29))*AC29,IF($AD29="UPC Growth Rate",((AH29/AB29)*(1+$S29)*AC29),IF($AD29="Modeled UPC",AC29/12*$W29,IF(AD29="Base Period",AG29,IF(AD29="Adjusted",SUMIF('Input 15_Fcst Inputs'!A:A,D29,'Input 15_Fcst Inputs'!G:G),0))))),0)</f>
        <v>90048.060296761192</v>
      </c>
      <c r="AJ29" s="273">
        <f>VLOOKUP($G29,'WP-Peak Month UPC'!$C:$BL,17,FALSE)</f>
        <v>8.0750042844900847</v>
      </c>
      <c r="AK29" s="273">
        <f>VLOOKUP($G29,'WP-Peak Month UPC'!$C:$BL,32,FALSE)</f>
        <v>8.1331643356642918</v>
      </c>
      <c r="AL29" s="273">
        <f>VLOOKUP($G29,'WP-Peak Month UPC'!$C:$BL,47,FALSE)</f>
        <v>10.036914235190098</v>
      </c>
      <c r="AM29" s="273">
        <f>IF(OR(AD29="Base Period",AD29="Adjusted"),AL29,IF(AD29="Historical Average",AVERAGE(AJ29:AL29),IF(AD29="Modeled UPC",VLOOKUP(H29,Report_Regression!AB:AJ,5,FALSE),IF(AD29="UPC Growth Rate",AL29*(1+VLOOKUP(H29,Report_Regression!AB:AN,13,FALSE))))))</f>
        <v>10.036914235190098</v>
      </c>
      <c r="AN29" s="273">
        <f>IF(OR($AD29="Base Period",$AD29="Adjusted"),$AL29,IF($AD29="Historical Average",AVERAGE($AJ29:$AL29),IF($AD29="Modeled UPC",VLOOKUP($H29,Report_Regression!$AB:$AJ,9,FALSE),IF($AD29="UPC Growth Rate",AM29*(1+VLOOKUP($H29,Report_Regression!$AB:$AN,13,FALSE))))))</f>
        <v>10.036914235190098</v>
      </c>
      <c r="AO29" s="58">
        <f>VLOOKUP(E29,'Input 7_NG Rates'!B:I,7,FALSE)</f>
        <v>13</v>
      </c>
      <c r="AP29" s="292">
        <f>VLOOKUP(E29,'Input 7_NG Rates'!B:I,8,FALSE)</f>
        <v>0.46357999999999999</v>
      </c>
      <c r="AQ29" s="293">
        <f>VLOOKUP(D29,'Input 14_Ref Table'!C:N,12,FALSE)</f>
        <v>0</v>
      </c>
      <c r="AR29" s="292"/>
      <c r="AS29" s="151">
        <f t="shared" si="0"/>
        <v>174629</v>
      </c>
      <c r="AT29" s="151">
        <f t="shared" si="1"/>
        <v>42380.465056799978</v>
      </c>
      <c r="AU29" s="151">
        <f>SUMIF('Input 13.3_2021 Min Charges'!A:A,G29,'Input 13.3_2021 Min Charges'!O:O)</f>
        <v>0</v>
      </c>
      <c r="AV29" s="151">
        <f t="shared" si="2"/>
        <v>0</v>
      </c>
      <c r="AW29" s="151">
        <v>0</v>
      </c>
      <c r="AX29" s="151">
        <f t="shared" si="11"/>
        <v>217009.46505679999</v>
      </c>
      <c r="AY29" s="533">
        <f>SUMIF('Input 6_2021MARG-YTD'!AN:AN,G29,'Input 6_2021MARG-YTD'!AK:AK)</f>
        <v>216032.80000000005</v>
      </c>
      <c r="AZ29" s="533">
        <f t="shared" si="12"/>
        <v>-976.66505679994589</v>
      </c>
      <c r="BA29" s="533"/>
      <c r="BB29" s="533"/>
      <c r="BC29" s="533"/>
      <c r="BD29" s="533"/>
      <c r="BE29" s="533"/>
      <c r="BF29" s="533"/>
      <c r="BG29" s="55"/>
      <c r="BH29" s="294"/>
      <c r="BI29" s="294"/>
      <c r="BJ29" s="191" t="s">
        <v>498</v>
      </c>
      <c r="BK29" s="514">
        <v>0.71307000000000009</v>
      </c>
      <c r="BL29" s="190">
        <f t="shared" si="3"/>
        <v>64210.570355811513</v>
      </c>
      <c r="BM29" s="518" cm="1">
        <f t="array" ref="BM29">IFERROR(INDEX('Input 1_GRIP Factors'!$K$5:$K$54,MATCH(1,(BJ29='Input 1_GRIP Factors'!$G$5:$G$54)*(A29='Input 1_GRIP Factors'!$J$5:$J$54),0)),0)</f>
        <v>0.74443089478927815</v>
      </c>
      <c r="BN29" s="190">
        <f t="shared" si="4"/>
        <v>68055.842624399986</v>
      </c>
      <c r="BO29" s="190">
        <f t="shared" si="13"/>
        <v>624.65279653789764</v>
      </c>
      <c r="BP29" s="190">
        <f t="shared" si="14"/>
        <v>68680.495420937877</v>
      </c>
      <c r="BQ29" s="44" cm="1">
        <f t="array" ref="BQ29">IFERROR(INDEX('Input 1_GRIP Factors'!$Y$5:$Y$65,MATCH(1,(BJ29='Input 1_GRIP Factors'!$G$5:$G$65)*(A29='Input 1_GRIP Factors'!$J$5:$J$65),0)),0)*AG29</f>
        <v>17361.564603599989</v>
      </c>
      <c r="BR29" s="190">
        <f t="shared" si="15"/>
        <v>17380.691075894683</v>
      </c>
      <c r="BS29" s="44" cm="1">
        <f t="array" ref="BS29">IFERROR(INDEX('Input 1_GRIP Factors'!$AC$5:$AC$65,MATCH(1,(BJ29='Input 1_GRIP Factors'!$G$5:$G$65)*(A29='Input 1_GRIP Factors'!$J$5:$J$65),0)),0)*AG29</f>
        <v>8891.5053095999956</v>
      </c>
      <c r="BT29" s="190">
        <f t="shared" si="16"/>
        <v>16041.812757474379</v>
      </c>
      <c r="BU29" s="190">
        <f t="shared" si="5"/>
        <v>319112.46431110695</v>
      </c>
      <c r="BV29" s="190">
        <f t="shared" ca="1" si="17"/>
        <v>283.38673693502869</v>
      </c>
      <c r="BW29" s="190">
        <f t="shared" ca="1" si="6"/>
        <v>611.30061032621916</v>
      </c>
      <c r="BX29" s="190" cm="1">
        <f t="array" aca="1" ref="BX29" ca="1">IFERROR(INDEX('Input 1_GRIP Factors'!$AC$5:$AC$65,MATCH(1,(BJ29='Input 1_GRIP Factors'!$G$5:$G$65)*(A29='Input 1_GRIP Factors'!$J$5:$J$65),0)),0)*BW29</f>
        <v>59.455097360328075</v>
      </c>
      <c r="BY29" s="190"/>
      <c r="BZ29" s="56">
        <f>SUMIF('Monthly VOL'!G:G,'Master '!G29,'Monthly VOL'!BV:BV)</f>
        <v>11181.399209469786</v>
      </c>
      <c r="CA29" s="519"/>
      <c r="CB29" s="56"/>
      <c r="CC29" s="553" t="s">
        <v>114</v>
      </c>
    </row>
    <row r="30" spans="1:81" s="60" customFormat="1">
      <c r="A30" s="60" t="s">
        <v>17</v>
      </c>
      <c r="B30" s="60" t="s">
        <v>993</v>
      </c>
      <c r="C30" s="55" t="s">
        <v>8</v>
      </c>
      <c r="D30" s="60" t="s">
        <v>1296</v>
      </c>
      <c r="E30" s="55" t="str">
        <f>VLOOKUP(D30,'Input 14_Ref Table'!C:D,2,FALSE)</f>
        <v>CR804</v>
      </c>
      <c r="F30" s="174" t="s">
        <v>1287</v>
      </c>
      <c r="G30" s="59" t="str">
        <f>VLOOKUP(D30,'Input 14_Ref Table'!C:I,7,FALSE)</f>
        <v>CFG - FTS-A - Fixed R</v>
      </c>
      <c r="H30" s="59" t="str">
        <f>VLOOKUP(D30,'Input 14_Ref Table'!C:K,8,FALSE)</f>
        <v>FTS_AB</v>
      </c>
      <c r="I30" s="55" t="str">
        <f>VLOOKUP(E30,'Input 7_NG Rates'!B:G,6,FALSE)</f>
        <v>FTS-A</v>
      </c>
      <c r="J30" s="56" t="str">
        <f>IFERROR(VLOOKUP(H30,Report_Regression!B:L,11,FALSE),"")</f>
        <v>Median</v>
      </c>
      <c r="K30" s="57">
        <f>_xlfn.IFNA(VLOOKUP($H30,Report_Regression!$B:$L,9,FALSE),0)</f>
        <v>-7.5316460637900734E-3</v>
      </c>
      <c r="L30" s="57">
        <f>_xlfn.IFNA(VLOOKUP($H30,Report_Regression!$B:$L,10,FALSE),0)</f>
        <v>-8.2150941290087542E-3</v>
      </c>
      <c r="M30" s="57">
        <f>_xlfn.IFNA(VLOOKUP($H30,Report_Regression!$B:$L,8,FALSE),0)</f>
        <v>-6.8560912978240466E-3</v>
      </c>
      <c r="N30" s="57">
        <f t="shared" si="7"/>
        <v>-7.5316460637900734E-3</v>
      </c>
      <c r="O30" s="57" t="str">
        <f>IFERROR(VLOOKUP(H30,Report_Regression!O:Y,11,FALSE),"")</f>
        <v>Median</v>
      </c>
      <c r="P30" s="57">
        <f>IFERROR(VLOOKUP($H30,Report_Regression!$O:$Y,9,FALSE),0)</f>
        <v>0</v>
      </c>
      <c r="Q30" s="57">
        <f>IFERROR(VLOOKUP($H30,Report_Regression!$O:$Y,10,FALSE),0)</f>
        <v>0</v>
      </c>
      <c r="R30" s="57">
        <f>IFERROR(VLOOKUP($H30,Report_Regression!$O:$Y,8,FALSE),0)</f>
        <v>0</v>
      </c>
      <c r="S30" s="57">
        <f t="shared" si="8"/>
        <v>0</v>
      </c>
      <c r="T30" s="56">
        <f>_xlfn.IFNA(VLOOKUP($H30,Report_Regression!$O:$Y,6,FALSE),0)</f>
        <v>103.66332451256534</v>
      </c>
      <c r="U30" s="56">
        <f>_xlfn.IFNA(VLOOKUP($H30,Report_Regression!$O:$Y,7,FALSE),0)</f>
        <v>96.05709389912397</v>
      </c>
      <c r="V30" s="56">
        <f>_xlfn.IFNA(VLOOKUP($H30,Report_Regression!$O:$Y,5,FALSE),0)</f>
        <v>111.26955512600672</v>
      </c>
      <c r="W30" s="5">
        <f t="shared" si="9"/>
        <v>103.66332451256534</v>
      </c>
      <c r="X30" s="64">
        <f t="shared" si="10"/>
        <v>87.028085106382974</v>
      </c>
      <c r="Y30" s="56">
        <f>SUMIF('Input 3_2019CUST-YTD'!S:S,G30,'Input 3_2019CUST-YTD'!R:R)</f>
        <v>381</v>
      </c>
      <c r="Z30" s="56">
        <f>SUMIF('Input 4_2020CUST-YTD'!S:S,G30,'Input 4_2020CUST-YTD'!R:R)</f>
        <v>381</v>
      </c>
      <c r="AA30" s="56">
        <f>SUMIF('Input 5_2021CUST-YTD'!S:S,G30,'Input 5_2021CUST-YTD'!R:R)</f>
        <v>366</v>
      </c>
      <c r="AB30" s="56">
        <f t="shared" si="19"/>
        <v>363.24341754065284</v>
      </c>
      <c r="AC30" s="56">
        <f t="shared" si="20"/>
        <v>360.50759668473512</v>
      </c>
      <c r="AD30" s="56" t="str">
        <f>VLOOKUP(D30,'Input 15_Fcst Inputs'!A:F,2,FALSE)</f>
        <v>UPC Growth Rate</v>
      </c>
      <c r="AE30" s="56">
        <f>SUMIF('Input 3.1_2019VOL-YTD'!R:R,G30,'Input 3.1_2019VOL-YTD'!O:O)</f>
        <v>2650.3100000000004</v>
      </c>
      <c r="AF30" s="56">
        <f>SUMIF('Input 4.1_2020VOL-YTD'!R:R,G30,'Input 4.1_2020VOL-YTD'!O:O)</f>
        <v>2922.77</v>
      </c>
      <c r="AG30" s="56">
        <f>SUMIF('Input 5.1_2021VOL-YTD'!R:R,G30,'Input 5.1_2021VOL-YTD'!O:O)</f>
        <v>2607.56</v>
      </c>
      <c r="AH30" s="64">
        <f>IFERROR(IF($AD30="Historical Average",(AVERAGE($AE30:$AG30)/AVERAGE($Y30:$AA30))*AB30,IF($AD30="UPC Growth Rate",((AG30/AA30)*(1+$S30)*AB30),IF($AD30="Modeled UPC",AB30/12*$W30,IF(AD30="Base Period",AG30,IF(AD30="Adjusted",SUMIF('Input 15_Fcst Inputs'!A:A,D30,'Input 15_Fcst Inputs'!F:F),0))))),0)</f>
        <v>2587.9207809899035</v>
      </c>
      <c r="AI30" s="64">
        <f>IFERROR(IF($AD30="Historical Average",(AVERAGE($AE30:$AG30)/AVERAGE($Y30:$AA30))*AC30,IF($AD30="UPC Growth Rate",((AH30/AB30)*(1+$S30)*AC30),IF($AD30="Modeled UPC",AC30/12*$W30,IF(AD30="Base Period",AG30,IF(AD30="Adjusted",SUMIF('Input 15_Fcst Inputs'!A:A,D30,'Input 15_Fcst Inputs'!G:G),0))))),0)</f>
        <v>2568.4294776263605</v>
      </c>
      <c r="AJ30" s="273">
        <f>VLOOKUP($G30,'WP-Peak Month UPC'!$C:$BL,17,FALSE)</f>
        <v>8.9326470588235285</v>
      </c>
      <c r="AK30" s="273">
        <f>VLOOKUP($G30,'WP-Peak Month UPC'!$C:$BL,32,FALSE)</f>
        <v>12.095757575757576</v>
      </c>
      <c r="AL30" s="273">
        <f>VLOOKUP($G30,'WP-Peak Month UPC'!$C:$BL,47,FALSE)</f>
        <v>12.935483870967742</v>
      </c>
      <c r="AM30" s="273">
        <f>IF(OR(AD30="Base Period",AD30="Adjusted"),AL30,IF(AD30="Historical Average",AVERAGE(AJ30:AL30),IF(AD30="Modeled UPC",VLOOKUP(H30,Report_Regression!AB:AJ,5,FALSE),IF(AD30="UPC Growth Rate",AL30*(1+VLOOKUP(H30,Report_Regression!AB:AN,13,FALSE))))))</f>
        <v>12.935483870967742</v>
      </c>
      <c r="AN30" s="273">
        <f>IF(OR($AD30="Base Period",$AD30="Adjusted"),$AL30,IF($AD30="Historical Average",AVERAGE($AJ30:$AL30),IF($AD30="Modeled UPC",VLOOKUP($H30,Report_Regression!$AB:$AJ,9,FALSE),IF($AD30="UPC Growth Rate",AM30*(1+VLOOKUP($H30,Report_Regression!$AB:$AN,13,FALSE))))))</f>
        <v>12.935483870967742</v>
      </c>
      <c r="AO30" s="58">
        <f>VLOOKUP(E30,'Input 7_NG Rates'!B:I,7,FALSE)</f>
        <v>17</v>
      </c>
      <c r="AP30" s="292">
        <f>VLOOKUP(E30,'Input 7_NG Rates'!B:I,8,FALSE)</f>
        <v>0</v>
      </c>
      <c r="AQ30" s="293">
        <f>VLOOKUP(D30,'Input 14_Ref Table'!C:N,12,FALSE)</f>
        <v>0</v>
      </c>
      <c r="AR30" s="292"/>
      <c r="AS30" s="151">
        <f t="shared" si="0"/>
        <v>6222</v>
      </c>
      <c r="AT30" s="151">
        <f t="shared" si="1"/>
        <v>0</v>
      </c>
      <c r="AU30" s="151">
        <f>SUMIF('Input 13.3_2021 Min Charges'!A:A,G30,'Input 13.3_2021 Min Charges'!O:O)</f>
        <v>0</v>
      </c>
      <c r="AV30" s="151">
        <f t="shared" si="2"/>
        <v>0</v>
      </c>
      <c r="AW30" s="151">
        <v>0</v>
      </c>
      <c r="AX30" s="151">
        <f t="shared" si="11"/>
        <v>6222</v>
      </c>
      <c r="AY30" s="533">
        <f>SUMIF('Input 6_2021MARG-YTD'!AN:AN,G30,'Input 6_2021MARG-YTD'!AK:AK)</f>
        <v>6126.8</v>
      </c>
      <c r="AZ30" s="533">
        <f t="shared" si="12"/>
        <v>-95.199999999999818</v>
      </c>
      <c r="BA30" s="533"/>
      <c r="BB30" s="533"/>
      <c r="BC30" s="533"/>
      <c r="BD30" s="533"/>
      <c r="BE30" s="533"/>
      <c r="BF30" s="533"/>
      <c r="BG30" s="55"/>
      <c r="BH30" s="294"/>
      <c r="BI30" s="294"/>
      <c r="BJ30" s="191" t="s">
        <v>501</v>
      </c>
      <c r="BK30" s="514">
        <v>0.71307000000000009</v>
      </c>
      <c r="BL30" s="190">
        <f t="shared" si="3"/>
        <v>1831.4700076110291</v>
      </c>
      <c r="BM30" s="518" cm="1">
        <f t="array" ref="BM30">IFERROR(INDEX('Input 1_GRIP Factors'!$K$5:$K$54,MATCH(1,(BJ30='Input 1_GRIP Factors'!$G$5:$G$54)*(A30='Input 1_GRIP Factors'!$J$5:$J$54),0)),0)</f>
        <v>4.4097465211810016</v>
      </c>
      <c r="BN30" s="190">
        <f>BM30*AA30</f>
        <v>1613.9672267522467</v>
      </c>
      <c r="BO30" s="190">
        <f t="shared" si="13"/>
        <v>14.813851431909951</v>
      </c>
      <c r="BP30" s="190">
        <f t="shared" si="14"/>
        <v>1628.7810781841567</v>
      </c>
      <c r="BQ30" s="551" cm="1">
        <f t="array" ref="BQ30">IFERROR(INDEX('Input 1_GRIP Factors'!$Y$5:$Y$54,MATCH(1,(BJ30='Input 1_GRIP Factors'!$G$5:$G$54)*(A30='Input 1_GRIP Factors'!$J$5:$J$54),0)),0)*AA30</f>
        <v>424.55999999999995</v>
      </c>
      <c r="BR30" s="190">
        <f t="shared" si="15"/>
        <v>425.02771908309177</v>
      </c>
      <c r="BS30" s="44" cm="1">
        <f t="array" ref="BS30">IFERROR(INDEX('Input 1_GRIP Factors'!$AC$5:$AC$54,MATCH(1,(BJ30='Input 1_GRIP Factors'!$G$5:$G$54)*(A30='Input 1_GRIP Factors'!$J$5:$J$54),0)),0)*AA30</f>
        <v>317.46839999999997</v>
      </c>
      <c r="BT30" s="190">
        <f t="shared" si="16"/>
        <v>572.76787809105963</v>
      </c>
      <c r="BU30" s="190">
        <f t="shared" si="5"/>
        <v>8848.5766753583066</v>
      </c>
      <c r="BV30" s="190">
        <f t="shared" ca="1" si="17"/>
        <v>8.1251399645091098</v>
      </c>
      <c r="BW30" s="190">
        <f t="shared" ca="1" si="6"/>
        <v>0</v>
      </c>
      <c r="BX30" s="190" cm="1">
        <f t="array" aca="1" ref="BX30" ca="1">IFERROR(INDEX('Input 1_GRIP Factors'!$AC$5:$AC$65,MATCH(1,(BJ30='Input 1_GRIP Factors'!$G$5:$G$65)*(A30='Input 1_GRIP Factors'!$J$5:$J$65),0)),0)*BW30</f>
        <v>0</v>
      </c>
      <c r="BY30" s="190"/>
      <c r="BZ30" s="56">
        <f>SUMIF('Monthly VOL'!G:G,'Master '!G30,'Monthly VOL'!BV:BV)</f>
        <v>394.98236685950479</v>
      </c>
      <c r="CA30" s="519"/>
      <c r="CB30" s="56"/>
      <c r="CC30" s="553" t="s">
        <v>114</v>
      </c>
    </row>
    <row r="31" spans="1:81" s="60" customFormat="1">
      <c r="A31" s="60" t="s">
        <v>17</v>
      </c>
      <c r="B31" s="60" t="s">
        <v>993</v>
      </c>
      <c r="C31" s="55" t="s">
        <v>8</v>
      </c>
      <c r="D31" s="60" t="s">
        <v>1298</v>
      </c>
      <c r="E31" s="55" t="str">
        <f>VLOOKUP(D31,'Input 14_Ref Table'!C:D,2,FALSE)</f>
        <v>CR807</v>
      </c>
      <c r="F31" s="172" t="s">
        <v>1286</v>
      </c>
      <c r="G31" s="59" t="str">
        <f>VLOOKUP(D31,'Input 14_Ref Table'!C:I,7,FALSE)</f>
        <v>CFG - FTS-B R</v>
      </c>
      <c r="H31" s="59" t="str">
        <f>VLOOKUP(D31,'Input 14_Ref Table'!C:K,8,FALSE)</f>
        <v>FTS_AB</v>
      </c>
      <c r="I31" s="55" t="str">
        <f>VLOOKUP(E31,'Input 7_NG Rates'!B:G,6,FALSE)</f>
        <v>FTS-B</v>
      </c>
      <c r="J31" s="56" t="str">
        <f>IFERROR(VLOOKUP(H31,Report_Regression!B:L,11,FALSE),"")</f>
        <v>Median</v>
      </c>
      <c r="K31" s="57">
        <f>_xlfn.IFNA(VLOOKUP($H31,Report_Regression!$B:$L,9,FALSE),0)</f>
        <v>-7.5316460637900734E-3</v>
      </c>
      <c r="L31" s="57">
        <f>_xlfn.IFNA(VLOOKUP($H31,Report_Regression!$B:$L,10,FALSE),0)</f>
        <v>-8.2150941290087542E-3</v>
      </c>
      <c r="M31" s="57">
        <f>_xlfn.IFNA(VLOOKUP($H31,Report_Regression!$B:$L,8,FALSE),0)</f>
        <v>-6.8560912978240466E-3</v>
      </c>
      <c r="N31" s="57">
        <f t="shared" si="7"/>
        <v>-7.5316460637900734E-3</v>
      </c>
      <c r="O31" s="57" t="str">
        <f>IFERROR(VLOOKUP(H31,Report_Regression!O:Y,11,FALSE),"")</f>
        <v>Median</v>
      </c>
      <c r="P31" s="57">
        <f>IFERROR(VLOOKUP($H31,Report_Regression!$O:$Y,9,FALSE),0)</f>
        <v>0</v>
      </c>
      <c r="Q31" s="57">
        <f>IFERROR(VLOOKUP($H31,Report_Regression!$O:$Y,10,FALSE),0)</f>
        <v>0</v>
      </c>
      <c r="R31" s="57">
        <f>IFERROR(VLOOKUP($H31,Report_Regression!$O:$Y,8,FALSE),0)</f>
        <v>0</v>
      </c>
      <c r="S31" s="57">
        <f t="shared" si="8"/>
        <v>0</v>
      </c>
      <c r="T31" s="56">
        <f>_xlfn.IFNA(VLOOKUP($H31,Report_Regression!$O:$Y,6,FALSE),0)</f>
        <v>103.66332451256534</v>
      </c>
      <c r="U31" s="56">
        <f>_xlfn.IFNA(VLOOKUP($H31,Report_Regression!$O:$Y,7,FALSE),0)</f>
        <v>96.05709389912397</v>
      </c>
      <c r="V31" s="56">
        <f>_xlfn.IFNA(VLOOKUP($H31,Report_Regression!$O:$Y,5,FALSE),0)</f>
        <v>111.26955512600672</v>
      </c>
      <c r="W31" s="5">
        <f t="shared" si="9"/>
        <v>103.66332451256534</v>
      </c>
      <c r="X31" s="64">
        <f t="shared" si="10"/>
        <v>127.50759115775914</v>
      </c>
      <c r="Y31" s="56">
        <f>SUMIF('Input 3_2019CUST-YTD'!S:S,G31,'Input 3_2019CUST-YTD'!R:R)</f>
        <v>27045</v>
      </c>
      <c r="Z31" s="56">
        <f>SUMIF('Input 4_2020CUST-YTD'!S:S,G31,'Input 4_2020CUST-YTD'!R:R)</f>
        <v>26917</v>
      </c>
      <c r="AA31" s="56">
        <f>SUMIF('Input 5_2021CUST-YTD'!S:S,G31,'Input 5_2021CUST-YTD'!R:R)</f>
        <v>26832</v>
      </c>
      <c r="AB31" s="56">
        <f t="shared" si="19"/>
        <v>26629.910872816385</v>
      </c>
      <c r="AC31" s="56">
        <f t="shared" si="20"/>
        <v>26429.343809412057</v>
      </c>
      <c r="AD31" s="56" t="str">
        <f>VLOOKUP(D31,'Input 15_Fcst Inputs'!A:F,2,FALSE)</f>
        <v>UPC Growth Rate</v>
      </c>
      <c r="AE31" s="56">
        <f>SUMIF('Input 3.1_2019VOL-YTD'!R:R,G31,'Input 3.1_2019VOL-YTD'!O:O)</f>
        <v>282677.26000000042</v>
      </c>
      <c r="AF31" s="56">
        <f>SUMIF('Input 4.1_2020VOL-YTD'!R:R,G31,'Input 4.1_2020VOL-YTD'!O:O)</f>
        <v>288535.78999999934</v>
      </c>
      <c r="AG31" s="56">
        <f>SUMIF('Input 5.1_2021VOL-YTD'!R:R,G31,'Input 5.1_2021VOL-YTD'!O:O)</f>
        <v>287274.30999999942</v>
      </c>
      <c r="AH31" s="64">
        <f>IFERROR(IF($AD31="Historical Average",(AVERAGE($AE31:$AG31)/AVERAGE($Y31:$AA31))*AB31,IF($AD31="UPC Growth Rate",((AG31/AA31)*(1+$S31)*AB31),IF($AD31="Modeled UPC",AB31/12*$W31,IF(AD31="Base Period",AG31,IF(AD31="Adjusted",SUMIF('Input 15_Fcst Inputs'!A:A,D31,'Input 15_Fcst Inputs'!F:F),0))))),0)</f>
        <v>285110.66157385992</v>
      </c>
      <c r="AI31" s="64">
        <f>IFERROR(IF($AD31="Historical Average",(AVERAGE($AE31:$AG31)/AVERAGE($Y31:$AA31))*AC31,IF($AD31="UPC Growth Rate",((AH31/AB31)*(1+$S31)*AC31),IF($AD31="Modeled UPC",AC31/12*$W31,IF(AD31="Base Period",AG31,IF(AD31="Adjusted",SUMIF('Input 15_Fcst Inputs'!A:A,D31,'Input 15_Fcst Inputs'!G:G),0))))),0)</f>
        <v>282963.30898187263</v>
      </c>
      <c r="AJ31" s="273">
        <f>VLOOKUP($G31,'WP-Peak Month UPC'!$C:$BL,17,FALSE)</f>
        <v>14.634892212934448</v>
      </c>
      <c r="AK31" s="273">
        <f>VLOOKUP($G31,'WP-Peak Month UPC'!$C:$BL,32,FALSE)</f>
        <v>13.621958946898751</v>
      </c>
      <c r="AL31" s="273">
        <f>VLOOKUP($G31,'WP-Peak Month UPC'!$C:$BL,47,FALSE)</f>
        <v>16.441125945705338</v>
      </c>
      <c r="AM31" s="273">
        <f>IF(OR(AD31="Base Period",AD31="Adjusted"),AL31,IF(AD31="Historical Average",AVERAGE(AJ31:AL31),IF(AD31="Modeled UPC",VLOOKUP(H31,Report_Regression!AB:AJ,5,FALSE),IF(AD31="UPC Growth Rate",AL31*(1+VLOOKUP(H31,Report_Regression!AB:AN,13,FALSE))))))</f>
        <v>16.441125945705338</v>
      </c>
      <c r="AN31" s="273">
        <f>IF(OR($AD31="Base Period",$AD31="Adjusted"),$AL31,IF($AD31="Historical Average",AVERAGE($AJ31:$AL31),IF($AD31="Modeled UPC",VLOOKUP($H31,Report_Regression!$AB:$AJ,9,FALSE),IF($AD31="UPC Growth Rate",AM31*(1+VLOOKUP($H31,Report_Regression!$AB:$AN,13,FALSE))))))</f>
        <v>16.441125945705338</v>
      </c>
      <c r="AO31" s="58">
        <f>VLOOKUP(E31,'Input 7_NG Rates'!B:I,7,FALSE)</f>
        <v>15.5</v>
      </c>
      <c r="AP31" s="292">
        <f>VLOOKUP(E31,'Input 7_NG Rates'!B:I,8,FALSE)</f>
        <v>0.49286000000000002</v>
      </c>
      <c r="AQ31" s="293">
        <f>VLOOKUP(D31,'Input 14_Ref Table'!C:N,12,FALSE)</f>
        <v>0</v>
      </c>
      <c r="AR31" s="292"/>
      <c r="AS31" s="151">
        <f t="shared" si="0"/>
        <v>415896</v>
      </c>
      <c r="AT31" s="151">
        <f t="shared" si="1"/>
        <v>141586.01642659973</v>
      </c>
      <c r="AU31" s="151">
        <f>SUMIF('Input 13.3_2021 Min Charges'!A:A,G31,'Input 13.3_2021 Min Charges'!O:O)</f>
        <v>0</v>
      </c>
      <c r="AV31" s="151">
        <f t="shared" si="2"/>
        <v>0</v>
      </c>
      <c r="AW31" s="151">
        <v>0</v>
      </c>
      <c r="AX31" s="151">
        <f t="shared" si="11"/>
        <v>557482.0164265997</v>
      </c>
      <c r="AY31" s="533">
        <f>SUMIF('Input 6_2021MARG-YTD'!AN:AN,G31,'Input 6_2021MARG-YTD'!AK:AK)</f>
        <v>554397.88000000024</v>
      </c>
      <c r="AZ31" s="533">
        <f t="shared" si="12"/>
        <v>-3084.1364265994634</v>
      </c>
      <c r="BA31" s="533"/>
      <c r="BB31" s="533"/>
      <c r="BC31" s="533"/>
      <c r="BD31" s="533"/>
      <c r="BE31" s="533"/>
      <c r="BF31" s="533"/>
      <c r="BG31" s="55"/>
      <c r="BH31" s="294"/>
      <c r="BI31" s="294"/>
      <c r="BJ31" s="191" t="s">
        <v>506</v>
      </c>
      <c r="BK31" s="514">
        <v>0.21507999999999991</v>
      </c>
      <c r="BL31" s="190">
        <f t="shared" si="3"/>
        <v>60859.748495821143</v>
      </c>
      <c r="BM31" s="518" cm="1">
        <f t="array" ref="BM31">IFERROR(INDEX('Input 1_GRIP Factors'!$K$5:$K$54,MATCH(1,(BJ31='Input 1_GRIP Factors'!$G$5:$G$54)*(A31='Input 1_GRIP Factors'!$J$5:$J$54),0)),0)</f>
        <v>0.21666922997208923</v>
      </c>
      <c r="BN31" s="190">
        <f>BM31*AG31</f>
        <v>62243.503538463126</v>
      </c>
      <c r="BO31" s="190">
        <f t="shared" si="13"/>
        <v>571.30405050157606</v>
      </c>
      <c r="BP31" s="190">
        <f t="shared" si="14"/>
        <v>62814.807588964701</v>
      </c>
      <c r="BQ31" s="44" cm="1">
        <f t="array" ref="BQ31">IFERROR(INDEX('Input 1_GRIP Factors'!$Y$5:$Y$65,MATCH(1,(BJ31='Input 1_GRIP Factors'!$G$5:$G$65)*(A31='Input 1_GRIP Factors'!$J$5:$J$65),0)),0)*AG31</f>
        <v>41123.317476499913</v>
      </c>
      <c r="BR31" s="190">
        <f t="shared" si="15"/>
        <v>41168.62122707416</v>
      </c>
      <c r="BS31" s="44" cm="1">
        <f t="array" ref="BS31">IFERROR(INDEX('Input 1_GRIP Factors'!$AC$5:$AC$65,MATCH(1,(BJ31='Input 1_GRIP Factors'!$G$5:$G$65)*(A31='Input 1_GRIP Factors'!$J$5:$J$65),0)),0)*AG31</f>
        <v>28540.702698499943</v>
      </c>
      <c r="BT31" s="190">
        <f t="shared" si="16"/>
        <v>51492.361834587602</v>
      </c>
      <c r="BU31" s="190">
        <f t="shared" si="5"/>
        <v>712957.80707722623</v>
      </c>
      <c r="BV31" s="190">
        <f t="shared" ca="1" si="17"/>
        <v>728.00054824218728</v>
      </c>
      <c r="BW31" s="190">
        <f t="shared" ca="1" si="6"/>
        <v>1477.0939987870536</v>
      </c>
      <c r="BX31" s="190" cm="1">
        <f t="array" aca="1" ref="BX31" ca="1">IFERROR(INDEX('Input 1_GRIP Factors'!$AC$5:$AC$65,MATCH(1,(BJ31='Input 1_GRIP Factors'!$G$5:$G$65)*(A31='Input 1_GRIP Factors'!$J$5:$J$65),0)),0)*BW31</f>
        <v>146.74928877949378</v>
      </c>
      <c r="BY31" s="190"/>
      <c r="BZ31" s="56">
        <f>SUMIF('Monthly VOL'!G:G,'Master '!G31,'Monthly VOL'!BV:BV)</f>
        <v>36388.8192648072</v>
      </c>
      <c r="CA31" s="519"/>
      <c r="CB31" s="56"/>
      <c r="CC31" s="553" t="s">
        <v>115</v>
      </c>
    </row>
    <row r="32" spans="1:81" s="60" customFormat="1">
      <c r="A32" s="60" t="s">
        <v>17</v>
      </c>
      <c r="B32" s="60" t="s">
        <v>993</v>
      </c>
      <c r="C32" s="55" t="s">
        <v>8</v>
      </c>
      <c r="D32" s="60" t="s">
        <v>1297</v>
      </c>
      <c r="E32" s="55" t="str">
        <f>VLOOKUP(D32,'Input 14_Ref Table'!C:D,2,FALSE)</f>
        <v>CR814</v>
      </c>
      <c r="F32" s="174" t="s">
        <v>1287</v>
      </c>
      <c r="G32" s="59" t="str">
        <f>VLOOKUP(D32,'Input 14_Ref Table'!C:I,7,FALSE)</f>
        <v>CFG - FTS-B - Fixed R</v>
      </c>
      <c r="H32" s="59" t="str">
        <f>VLOOKUP(D32,'Input 14_Ref Table'!C:K,8,FALSE)</f>
        <v>FTS_AB</v>
      </c>
      <c r="I32" s="55" t="str">
        <f>VLOOKUP(E32,'Input 7_NG Rates'!B:G,6,FALSE)</f>
        <v>FTS-B</v>
      </c>
      <c r="J32" s="56" t="str">
        <f>IFERROR(VLOOKUP(H32,Report_Regression!B:L,11,FALSE),"")</f>
        <v>Median</v>
      </c>
      <c r="K32" s="57">
        <f>_xlfn.IFNA(VLOOKUP($H32,Report_Regression!$B:$L,9,FALSE),0)</f>
        <v>-7.5316460637900734E-3</v>
      </c>
      <c r="L32" s="57">
        <f>_xlfn.IFNA(VLOOKUP($H32,Report_Regression!$B:$L,10,FALSE),0)</f>
        <v>-8.2150941290087542E-3</v>
      </c>
      <c r="M32" s="57">
        <f>_xlfn.IFNA(VLOOKUP($H32,Report_Regression!$B:$L,8,FALSE),0)</f>
        <v>-6.8560912978240466E-3</v>
      </c>
      <c r="N32" s="57">
        <f t="shared" si="7"/>
        <v>-7.5316460637900734E-3</v>
      </c>
      <c r="O32" s="57" t="str">
        <f>IFERROR(VLOOKUP(H32,Report_Regression!O:Y,11,FALSE),"")</f>
        <v>Median</v>
      </c>
      <c r="P32" s="57">
        <f>IFERROR(VLOOKUP($H32,Report_Regression!$O:$Y,9,FALSE),0)</f>
        <v>0</v>
      </c>
      <c r="Q32" s="57">
        <f>IFERROR(VLOOKUP($H32,Report_Regression!$O:$Y,10,FALSE),0)</f>
        <v>0</v>
      </c>
      <c r="R32" s="57">
        <f>IFERROR(VLOOKUP($H32,Report_Regression!$O:$Y,8,FALSE),0)</f>
        <v>0</v>
      </c>
      <c r="S32" s="57">
        <f t="shared" si="8"/>
        <v>0</v>
      </c>
      <c r="T32" s="56">
        <f>_xlfn.IFNA(VLOOKUP($H32,Report_Regression!$O:$Y,6,FALSE),0)</f>
        <v>103.66332451256534</v>
      </c>
      <c r="U32" s="56">
        <f>_xlfn.IFNA(VLOOKUP($H32,Report_Regression!$O:$Y,7,FALSE),0)</f>
        <v>96.05709389912397</v>
      </c>
      <c r="V32" s="56">
        <f>_xlfn.IFNA(VLOOKUP($H32,Report_Regression!$O:$Y,5,FALSE),0)</f>
        <v>111.26955512600672</v>
      </c>
      <c r="W32" s="5">
        <f t="shared" si="9"/>
        <v>103.66332451256534</v>
      </c>
      <c r="X32" s="64">
        <f t="shared" si="10"/>
        <v>133.05698555956678</v>
      </c>
      <c r="Y32" s="56">
        <f>SUMIF('Input 3_2019CUST-YTD'!S:S,G32,'Input 3_2019CUST-YTD'!R:R)</f>
        <v>740</v>
      </c>
      <c r="Z32" s="56">
        <f>SUMIF('Input 4_2020CUST-YTD'!S:S,G32,'Input 4_2020CUST-YTD'!R:R)</f>
        <v>736</v>
      </c>
      <c r="AA32" s="56">
        <f>SUMIF('Input 5_2021CUST-YTD'!S:S,G32,'Input 5_2021CUST-YTD'!R:R)</f>
        <v>740</v>
      </c>
      <c r="AB32" s="56">
        <f t="shared" si="19"/>
        <v>734.42658191279531</v>
      </c>
      <c r="AC32" s="56">
        <f t="shared" si="20"/>
        <v>728.89514083798895</v>
      </c>
      <c r="AD32" s="56" t="str">
        <f>VLOOKUP(D32,'Input 15_Fcst Inputs'!A:F,2,FALSE)</f>
        <v>UPC Growth Rate</v>
      </c>
      <c r="AE32" s="56">
        <f>SUMIF('Input 3.1_2019VOL-YTD'!R:R,G32,'Input 3.1_2019VOL-YTD'!O:O)</f>
        <v>8281.44</v>
      </c>
      <c r="AF32" s="56">
        <f>SUMIF('Input 4.1_2020VOL-YTD'!R:R,G32,'Input 4.1_2020VOL-YTD'!O:O)</f>
        <v>8157.1500000000005</v>
      </c>
      <c r="AG32" s="56">
        <f>SUMIF('Input 5.1_2021VOL-YTD'!R:R,G32,'Input 5.1_2021VOL-YTD'!O:O)</f>
        <v>8132.5999999999995</v>
      </c>
      <c r="AH32" s="64">
        <f>IFERROR(IF($AD32="Historical Average",(AVERAGE($AE32:$AG32)/AVERAGE($Y32:$AA32))*AB32,IF($AD32="UPC Growth Rate",((AG32/AA32)*(1+$S32)*AB32),IF($AD32="Modeled UPC",AB32/12*$W32,IF(AD32="Base Period",AG32,IF(AD32="Adjusted",SUMIF('Input 15_Fcst Inputs'!A:A,D32,'Input 15_Fcst Inputs'!F:F),0))))),0)</f>
        <v>8071.3481352216195</v>
      </c>
      <c r="AI32" s="64">
        <f>IFERROR(IF($AD32="Historical Average",(AVERAGE($AE32:$AG32)/AVERAGE($Y32:$AA32))*AC32,IF($AD32="UPC Growth Rate",((AH32/AB32)*(1+$S32)*AC32),IF($AD32="Modeled UPC",AC32/12*$W32,IF(AD32="Base Period",AG32,IF(AD32="Adjusted",SUMIF('Input 15_Fcst Inputs'!A:A,D32,'Input 15_Fcst Inputs'!G:G),0))))),0)</f>
        <v>8010.5575978094976</v>
      </c>
      <c r="AJ32" s="273">
        <f>VLOOKUP($G32,'WP-Peak Month UPC'!$C:$BL,17,FALSE)</f>
        <v>15.213606557377048</v>
      </c>
      <c r="AK32" s="273">
        <f>VLOOKUP($G32,'WP-Peak Month UPC'!$C:$BL,32,FALSE)</f>
        <v>14.733809523809525</v>
      </c>
      <c r="AL32" s="273">
        <f>VLOOKUP($G32,'WP-Peak Month UPC'!$C:$BL,47,FALSE)</f>
        <v>15.878225806451614</v>
      </c>
      <c r="AM32" s="273">
        <f>IF(OR(AD32="Base Period",AD32="Adjusted"),AL32,IF(AD32="Historical Average",AVERAGE(AJ32:AL32),IF(AD32="Modeled UPC",VLOOKUP(H32,Report_Regression!AB:AJ,5,FALSE),IF(AD32="UPC Growth Rate",AL32*(1+VLOOKUP(H32,Report_Regression!AB:AN,13,FALSE))))))</f>
        <v>15.878225806451614</v>
      </c>
      <c r="AN32" s="273">
        <f>IF(OR($AD32="Base Period",$AD32="Adjusted"),$AL32,IF($AD32="Historical Average",AVERAGE($AJ32:$AL32),IF($AD32="Modeled UPC",VLOOKUP($H32,Report_Regression!$AB:$AJ,9,FALSE),IF($AD32="UPC Growth Rate",AM32*(1+VLOOKUP($H32,Report_Regression!$AB:$AN,13,FALSE))))))</f>
        <v>15.878225806451614</v>
      </c>
      <c r="AO32" s="58">
        <f>VLOOKUP(E32,'Input 7_NG Rates'!B:I,7,FALSE)</f>
        <v>23</v>
      </c>
      <c r="AP32" s="292">
        <f>VLOOKUP(E32,'Input 7_NG Rates'!B:I,8,FALSE)</f>
        <v>0</v>
      </c>
      <c r="AQ32" s="293">
        <f>VLOOKUP(D32,'Input 14_Ref Table'!C:N,12,FALSE)</f>
        <v>0</v>
      </c>
      <c r="AR32" s="292"/>
      <c r="AS32" s="151">
        <f t="shared" si="0"/>
        <v>17020</v>
      </c>
      <c r="AT32" s="151">
        <f t="shared" si="1"/>
        <v>0</v>
      </c>
      <c r="AU32" s="151">
        <f>SUMIF('Input 13.3_2021 Min Charges'!A:A,G32,'Input 13.3_2021 Min Charges'!O:O)</f>
        <v>0</v>
      </c>
      <c r="AV32" s="151">
        <f t="shared" si="2"/>
        <v>0</v>
      </c>
      <c r="AW32" s="151">
        <v>0</v>
      </c>
      <c r="AX32" s="151">
        <f t="shared" si="11"/>
        <v>17020</v>
      </c>
      <c r="AY32" s="533">
        <f>SUMIF('Input 6_2021MARG-YTD'!AN:AN,G32,'Input 6_2021MARG-YTD'!AK:AK)</f>
        <v>17001.600000000002</v>
      </c>
      <c r="AZ32" s="533">
        <f t="shared" si="12"/>
        <v>-18.399999999997817</v>
      </c>
      <c r="BA32" s="533"/>
      <c r="BB32" s="533"/>
      <c r="BC32" s="533"/>
      <c r="BD32" s="533"/>
      <c r="BE32" s="533"/>
      <c r="BF32" s="533"/>
      <c r="BG32" s="55"/>
      <c r="BH32" s="294"/>
      <c r="BI32" s="294"/>
      <c r="BJ32" s="191" t="s">
        <v>512</v>
      </c>
      <c r="BK32" s="514">
        <v>0.21507999999999991</v>
      </c>
      <c r="BL32" s="190">
        <f t="shared" si="3"/>
        <v>1722.9107281368661</v>
      </c>
      <c r="BM32" s="518" cm="1">
        <f t="array" ref="BM32">IFERROR(INDEX('Input 1_GRIP Factors'!$K$5:$K$54,MATCH(1,(BJ32='Input 1_GRIP Factors'!$G$5:$G$54)*(A32='Input 1_GRIP Factors'!$J$5:$J$54),0)),0)</f>
        <v>2.2359572357282396</v>
      </c>
      <c r="BN32" s="190">
        <f>BM32*AA32</f>
        <v>1654.6083544388973</v>
      </c>
      <c r="BO32" s="190">
        <f t="shared" si="13"/>
        <v>15.186877363041663</v>
      </c>
      <c r="BP32" s="190">
        <f t="shared" si="14"/>
        <v>1669.7952318019391</v>
      </c>
      <c r="BQ32" s="551" cm="1">
        <f t="array" ref="BQ32">IFERROR(INDEX('Input 1_GRIP Factors'!$Y$5:$Y$54,MATCH(1,(BJ32='Input 1_GRIP Factors'!$G$5:$G$54)*(A32='Input 1_GRIP Factors'!$J$5:$J$54),0)),0)*AA32</f>
        <v>1124.8</v>
      </c>
      <c r="BR32" s="190">
        <f t="shared" si="15"/>
        <v>1126.0391426998815</v>
      </c>
      <c r="BS32" s="44" cm="1">
        <f t="array" ref="BS32">IFERROR(INDEX('Input 1_GRIP Factors'!$AC$5:$AC$54,MATCH(1,(BJ32='Input 1_GRIP Factors'!$G$5:$G$54)*(A32='Input 1_GRIP Factors'!$J$5:$J$54),0)),0)*AA32</f>
        <v>1150.0339999999999</v>
      </c>
      <c r="BT32" s="190">
        <f t="shared" si="16"/>
        <v>2074.8601558850378</v>
      </c>
      <c r="BU32" s="190">
        <f t="shared" si="5"/>
        <v>21890.69453038686</v>
      </c>
      <c r="BV32" s="190">
        <f t="shared" ca="1" si="17"/>
        <v>22.225953422684835</v>
      </c>
      <c r="BW32" s="190">
        <f t="shared" ca="1" si="6"/>
        <v>0</v>
      </c>
      <c r="BX32" s="190" cm="1">
        <f t="array" aca="1" ref="BX32" ca="1">IFERROR(INDEX('Input 1_GRIP Factors'!$AC$5:$AC$65,MATCH(1,(BJ32='Input 1_GRIP Factors'!$G$5:$G$65)*(A32='Input 1_GRIP Factors'!$J$5:$J$65),0)),0)*BW32</f>
        <v>0</v>
      </c>
      <c r="BY32" s="190"/>
      <c r="BZ32" s="56">
        <f>SUMIF('Monthly VOL'!G:G,'Master '!G32,'Monthly VOL'!BV:BV)</f>
        <v>969.67678567291671</v>
      </c>
      <c r="CA32" s="519"/>
      <c r="CB32" s="56"/>
      <c r="CC32" s="553" t="s">
        <v>115</v>
      </c>
    </row>
    <row r="33" spans="1:81" s="60" customFormat="1">
      <c r="A33" s="60" t="s">
        <v>17</v>
      </c>
      <c r="B33" s="60" t="s">
        <v>993</v>
      </c>
      <c r="C33" s="55" t="s">
        <v>1245</v>
      </c>
      <c r="D33" s="60" t="s">
        <v>1282</v>
      </c>
      <c r="E33" s="55" t="str">
        <f>VLOOKUP(D33,'Input 14_Ref Table'!C:D,2,FALSE)</f>
        <v>CC801</v>
      </c>
      <c r="F33" s="172" t="s">
        <v>1286</v>
      </c>
      <c r="G33" s="59" t="str">
        <f>VLOOKUP(D33,'Input 14_Ref Table'!C:I,7,FALSE)</f>
        <v>CFG - FTS-A NR</v>
      </c>
      <c r="H33" s="59" t="str">
        <f>VLOOKUP(D33,'Input 14_Ref Table'!C:K,8,FALSE)</f>
        <v>FTS_AB_C</v>
      </c>
      <c r="I33" s="55" t="str">
        <f>VLOOKUP(E33,'Input 7_NG Rates'!B:G,6,FALSE)</f>
        <v>FTS-A</v>
      </c>
      <c r="J33" s="56" t="str">
        <f>IFERROR(VLOOKUP(H33,Report_Regression!B:L,11,FALSE),"")</f>
        <v>Median</v>
      </c>
      <c r="K33" s="57">
        <f>_xlfn.IFNA(VLOOKUP($H33,Report_Regression!$B:$L,9,FALSE),0)</f>
        <v>-8.9379418530954602E-2</v>
      </c>
      <c r="L33" s="57">
        <f>_xlfn.IFNA(VLOOKUP($H33,Report_Regression!$B:$L,10,FALSE),0)</f>
        <v>-0.17888305563978787</v>
      </c>
      <c r="M33" s="57">
        <f>_xlfn.IFNA(VLOOKUP($H33,Report_Regression!$B:$L,8,FALSE),0)</f>
        <v>-2.3920498749897635E-2</v>
      </c>
      <c r="N33" s="57">
        <f t="shared" si="7"/>
        <v>-8.9379418530954602E-2</v>
      </c>
      <c r="O33" s="57" t="str">
        <f>IFERROR(VLOOKUP(H33,Report_Regression!O:Y,11,FALSE),"")</f>
        <v>Median</v>
      </c>
      <c r="P33" s="57">
        <f>IFERROR(VLOOKUP($H33,Report_Regression!$O:$Y,9,FALSE),0)</f>
        <v>-3.2809295967190781E-2</v>
      </c>
      <c r="Q33" s="57">
        <f>IFERROR(VLOOKUP($H33,Report_Regression!$O:$Y,10,FALSE),0)</f>
        <v>-5.3962900505902238E-2</v>
      </c>
      <c r="R33" s="57">
        <f>IFERROR(VLOOKUP($H33,Report_Regression!$O:$Y,8,FALSE),0)</f>
        <v>-1.8390804597701409E-2</v>
      </c>
      <c r="S33" s="57">
        <f t="shared" si="8"/>
        <v>-3.2809295967190781E-2</v>
      </c>
      <c r="T33" s="56">
        <f>_xlfn.IFNA(VLOOKUP($H33,Report_Regression!$O:$Y,6,FALSE),0)</f>
        <v>70.75</v>
      </c>
      <c r="U33" s="56">
        <f>_xlfn.IFNA(VLOOKUP($H33,Report_Regression!$O:$Y,7,FALSE),0)</f>
        <v>56.1</v>
      </c>
      <c r="V33" s="56">
        <f>_xlfn.IFNA(VLOOKUP($H33,Report_Regression!$O:$Y,5,FALSE),0)</f>
        <v>85.399999999999991</v>
      </c>
      <c r="W33" s="5">
        <f t="shared" si="9"/>
        <v>70.75</v>
      </c>
      <c r="X33" s="64">
        <f t="shared" si="10"/>
        <v>34.168992248062011</v>
      </c>
      <c r="Y33" s="56">
        <f>SUMIF('Input 3_2019CUST-YTD'!S:S,G33,'Input 3_2019CUST-YTD'!R:R)</f>
        <v>135</v>
      </c>
      <c r="Z33" s="56">
        <f>SUMIF('Input 4_2020CUST-YTD'!S:S,G33,'Input 4_2020CUST-YTD'!R:R)</f>
        <v>120</v>
      </c>
      <c r="AA33" s="56">
        <f>SUMIF('Input 5_2021CUST-YTD'!S:S,G33,'Input 5_2021CUST-YTD'!R:R)</f>
        <v>132</v>
      </c>
      <c r="AB33" s="56">
        <f t="shared" si="19"/>
        <v>120.20191675391399</v>
      </c>
      <c r="AC33" s="56">
        <f t="shared" si="20"/>
        <v>109.45833932814294</v>
      </c>
      <c r="AD33" s="56" t="str">
        <f>VLOOKUP(D33,'Input 15_Fcst Inputs'!A:F,2,FALSE)</f>
        <v>UPC Growth Rate</v>
      </c>
      <c r="AE33" s="56">
        <f>SUMIF('Input 3.1_2019VOL-YTD'!R:R,G33,'Input 3.1_2019VOL-YTD'!O:O)</f>
        <v>369.84</v>
      </c>
      <c r="AF33" s="56">
        <f>SUMIF('Input 4.1_2020VOL-YTD'!R:R,G33,'Input 4.1_2020VOL-YTD'!O:O)</f>
        <v>324.19</v>
      </c>
      <c r="AG33" s="56">
        <f>SUMIF('Input 5.1_2021VOL-YTD'!R:R,G33,'Input 5.1_2021VOL-YTD'!O:O)</f>
        <v>407.92000000000007</v>
      </c>
      <c r="AH33" s="64">
        <f>IFERROR(IF($AD33="Historical Average",(AVERAGE($AE33:$AG33)/AVERAGE($Y33:$AA33))*AB33,IF($AD33="UPC Growth Rate",((AG33/AA33)*(1+$S33)*AB33),IF($AD33="Modeled UPC",AB33/12*$W33,IF(AD33="Base Period",AG33,IF(AD33="Adjusted",SUMIF('Input 15_Fcst Inputs'!A:A,D33,'Input 15_Fcst Inputs'!F:F),0))))),0)</f>
        <v>359.2729951086036</v>
      </c>
      <c r="AI33" s="64">
        <f>IFERROR(IF($AD33="Historical Average",(AVERAGE($AE33:$AG33)/AVERAGE($Y33:$AA33))*AC33,IF($AD33="UPC Growth Rate",((AH33/AB33)*(1+$S33)*AC33),IF($AD33="Modeled UPC",AC33/12*$W33,IF(AD33="Base Period",AG33,IF(AD33="Adjusted",SUMIF('Input 15_Fcst Inputs'!A:A,D33,'Input 15_Fcst Inputs'!G:G),0))))),0)</f>
        <v>316.42744904468196</v>
      </c>
      <c r="AJ33" s="273">
        <f>VLOOKUP($G33,'WP-Peak Month UPC'!$C:$BL,17,FALSE)</f>
        <v>2.4208333333333334</v>
      </c>
      <c r="AK33" s="273">
        <f>VLOOKUP($G33,'WP-Peak Month UPC'!$C:$BL,32,FALSE)</f>
        <v>3.3289999999999997</v>
      </c>
      <c r="AL33" s="273">
        <f>VLOOKUP($G33,'WP-Peak Month UPC'!$C:$BL,47,FALSE)</f>
        <v>10.564545454545454</v>
      </c>
      <c r="AM33" s="273">
        <f>IF(OR(AD33="Base Period",AD33="Adjusted"),AL33,IF(AD33="Historical Average",AVERAGE(AJ33:AL33),IF(AD33="Modeled UPC",VLOOKUP(H33,Report_Regression!AB:AJ,5,FALSE),IF(AD33="UPC Growth Rate",AL33*(1+VLOOKUP(H33,Report_Regression!AB:AN,13,FALSE))))))</f>
        <v>9.8099350649350647</v>
      </c>
      <c r="AN33" s="273">
        <f>IF(OR($AD33="Base Period",$AD33="Adjusted"),$AL33,IF($AD33="Historical Average",AVERAGE($AJ33:$AL33),IF($AD33="Modeled UPC",VLOOKUP($H33,Report_Regression!$AB:$AJ,9,FALSE),IF($AD33="UPC Growth Rate",AM33*(1+VLOOKUP($H33,Report_Regression!$AB:$AN,13,FALSE))))))</f>
        <v>9.1092254174397027</v>
      </c>
      <c r="AO33" s="58">
        <f>VLOOKUP(E33,'Input 7_NG Rates'!B:I,7,FALSE)</f>
        <v>13</v>
      </c>
      <c r="AP33" s="292">
        <f>VLOOKUP(E33,'Input 7_NG Rates'!B:I,8,FALSE)</f>
        <v>0.46357999999999999</v>
      </c>
      <c r="AQ33" s="293">
        <f>VLOOKUP(D33,'Input 14_Ref Table'!C:N,12,FALSE)</f>
        <v>0</v>
      </c>
      <c r="AR33" s="292"/>
      <c r="AS33" s="151">
        <f t="shared" si="0"/>
        <v>1716</v>
      </c>
      <c r="AT33" s="151">
        <f t="shared" si="1"/>
        <v>189.10355360000003</v>
      </c>
      <c r="AU33" s="151">
        <f>SUMIF('Input 13.3_2021 Min Charges'!A:A,G33,'Input 13.3_2021 Min Charges'!O:O)</f>
        <v>0</v>
      </c>
      <c r="AV33" s="151">
        <f t="shared" si="2"/>
        <v>0</v>
      </c>
      <c r="AW33" s="151">
        <v>0</v>
      </c>
      <c r="AX33" s="151">
        <f t="shared" si="11"/>
        <v>1905.1035535999999</v>
      </c>
      <c r="AY33" s="533">
        <f>SUMIF('Input 6_2021MARG-YTD'!AN:AN,G33,'Input 6_2021MARG-YTD'!AK:AK)</f>
        <v>1910.81</v>
      </c>
      <c r="AZ33" s="533">
        <f t="shared" si="12"/>
        <v>5.7064464000000044</v>
      </c>
      <c r="BA33" s="533"/>
      <c r="BB33" s="533"/>
      <c r="BC33" s="533"/>
      <c r="BD33" s="533"/>
      <c r="BE33" s="533"/>
      <c r="BF33" s="533"/>
      <c r="BG33" s="55"/>
      <c r="BH33" s="294"/>
      <c r="BI33" s="294"/>
      <c r="BJ33" s="191" t="s">
        <v>498</v>
      </c>
      <c r="BK33" s="514">
        <v>0.71307000000000009</v>
      </c>
      <c r="BL33" s="190">
        <f t="shared" si="3"/>
        <v>225.63492109029139</v>
      </c>
      <c r="BM33" s="518" cm="1">
        <f t="array" ref="BM33">IFERROR(INDEX('Input 1_GRIP Factors'!$K$5:$K$54,MATCH(1,(BJ33='Input 1_GRIP Factors'!$G$5:$G$54)*(A33='Input 1_GRIP Factors'!$J$5:$J$54),0)),0)</f>
        <v>0.74443089478927815</v>
      </c>
      <c r="BN33" s="190">
        <f>BM33*AG33</f>
        <v>303.66825060244241</v>
      </c>
      <c r="BO33" s="190">
        <f t="shared" si="13"/>
        <v>2.7872290554900632</v>
      </c>
      <c r="BP33" s="190">
        <f t="shared" si="14"/>
        <v>306.45547965793247</v>
      </c>
      <c r="BQ33" s="44" cm="1">
        <f t="array" ref="BQ33">IFERROR(INDEX('Input 1_GRIP Factors'!$Y$5:$Y$65,MATCH(1,(BJ33='Input 1_GRIP Factors'!$G$5:$G$65)*(A33='Input 1_GRIP Factors'!$J$5:$J$65),0)),0)*AG33</f>
        <v>77.468087200000014</v>
      </c>
      <c r="BR33" s="190">
        <f t="shared" si="15"/>
        <v>77.55343038521309</v>
      </c>
      <c r="BS33" s="44" cm="1">
        <f t="array" ref="BS33">IFERROR(INDEX('Input 1_GRIP Factors'!$AC$5:$AC$65,MATCH(1,(BJ33='Input 1_GRIP Factors'!$G$5:$G$65)*(A33='Input 1_GRIP Factors'!$J$5:$J$65),0)),0)*AG33</f>
        <v>39.674299200000007</v>
      </c>
      <c r="BT33" s="190">
        <f t="shared" si="16"/>
        <v>71.579294718888008</v>
      </c>
      <c r="BU33" s="190">
        <f t="shared" si="5"/>
        <v>2360.6917583620334</v>
      </c>
      <c r="BV33" s="190">
        <f t="shared" ca="1" si="17"/>
        <v>2.487822729007342</v>
      </c>
      <c r="BW33" s="190">
        <f t="shared" ca="1" si="6"/>
        <v>5.3665445640608782</v>
      </c>
      <c r="BX33" s="190" cm="1">
        <f t="array" aca="1" ref="BX33" ca="1">IFERROR(INDEX('Input 1_GRIP Factors'!$AC$5:$AC$65,MATCH(1,(BJ33='Input 1_GRIP Factors'!$G$5:$G$65)*(A33='Input 1_GRIP Factors'!$J$5:$J$65),0)),0)*BW33</f>
        <v>0.52195012430056098</v>
      </c>
      <c r="BY33" s="190"/>
      <c r="BZ33" s="56">
        <f>SUMIF('Monthly VOL'!G:G,'Master '!G33,'Monthly VOL'!BV:BV)</f>
        <v>90.145209485885673</v>
      </c>
      <c r="CA33" s="519"/>
      <c r="CB33" s="56"/>
      <c r="CC33" s="553" t="s">
        <v>114</v>
      </c>
    </row>
    <row r="34" spans="1:81" s="60" customFormat="1">
      <c r="A34" s="60" t="s">
        <v>17</v>
      </c>
      <c r="B34" s="60" t="s">
        <v>993</v>
      </c>
      <c r="C34" s="55" t="s">
        <v>1245</v>
      </c>
      <c r="D34" s="60" t="s">
        <v>1283</v>
      </c>
      <c r="E34" s="55" t="str">
        <f>VLOOKUP(D34,'Input 14_Ref Table'!C:D,2,FALSE)</f>
        <v>CC805</v>
      </c>
      <c r="F34" s="172" t="s">
        <v>1286</v>
      </c>
      <c r="G34" s="59" t="str">
        <f>VLOOKUP(D34,'Input 14_Ref Table'!C:I,7,FALSE)</f>
        <v>CFG - FTS-B NR</v>
      </c>
      <c r="H34" s="59" t="str">
        <f>VLOOKUP(D34,'Input 14_Ref Table'!C:K,8,FALSE)</f>
        <v>FTS_AB_C</v>
      </c>
      <c r="I34" s="55" t="str">
        <f>VLOOKUP(E34,'Input 7_NG Rates'!B:G,6,FALSE)</f>
        <v>FTS-B</v>
      </c>
      <c r="J34" s="56" t="str">
        <f>IFERROR(VLOOKUP(H34,Report_Regression!B:L,11,FALSE),"")</f>
        <v>Median</v>
      </c>
      <c r="K34" s="57">
        <f>_xlfn.IFNA(VLOOKUP($H34,Report_Regression!$B:$L,9,FALSE),0)</f>
        <v>-8.9379418530954602E-2</v>
      </c>
      <c r="L34" s="57">
        <f>_xlfn.IFNA(VLOOKUP($H34,Report_Regression!$B:$L,10,FALSE),0)</f>
        <v>-0.17888305563978787</v>
      </c>
      <c r="M34" s="57">
        <f>_xlfn.IFNA(VLOOKUP($H34,Report_Regression!$B:$L,8,FALSE),0)</f>
        <v>-2.3920498749897635E-2</v>
      </c>
      <c r="N34" s="57">
        <f t="shared" si="7"/>
        <v>-8.9379418530954602E-2</v>
      </c>
      <c r="O34" s="57" t="str">
        <f>IFERROR(VLOOKUP(H34,Report_Regression!O:Y,11,FALSE),"")</f>
        <v>Median</v>
      </c>
      <c r="P34" s="57">
        <f>IFERROR(VLOOKUP($H34,Report_Regression!$O:$Y,9,FALSE),0)</f>
        <v>-3.2809295967190781E-2</v>
      </c>
      <c r="Q34" s="57">
        <f>IFERROR(VLOOKUP($H34,Report_Regression!$O:$Y,10,FALSE),0)</f>
        <v>-5.3962900505902238E-2</v>
      </c>
      <c r="R34" s="57">
        <f>IFERROR(VLOOKUP($H34,Report_Regression!$O:$Y,8,FALSE),0)</f>
        <v>-1.8390804597701409E-2</v>
      </c>
      <c r="S34" s="57">
        <f t="shared" si="8"/>
        <v>-3.2809295967190781E-2</v>
      </c>
      <c r="T34" s="56">
        <f>_xlfn.IFNA(VLOOKUP($H34,Report_Regression!$O:$Y,6,FALSE),0)</f>
        <v>70.75</v>
      </c>
      <c r="U34" s="56">
        <f>_xlfn.IFNA(VLOOKUP($H34,Report_Regression!$O:$Y,7,FALSE),0)</f>
        <v>56.1</v>
      </c>
      <c r="V34" s="56">
        <f>_xlfn.IFNA(VLOOKUP($H34,Report_Regression!$O:$Y,5,FALSE),0)</f>
        <v>85.399999999999991</v>
      </c>
      <c r="W34" s="5">
        <f t="shared" si="9"/>
        <v>70.75</v>
      </c>
      <c r="X34" s="64">
        <f t="shared" si="10"/>
        <v>120.97913793103447</v>
      </c>
      <c r="Y34" s="56">
        <f>SUMIF('Input 3_2019CUST-YTD'!S:S,G34,'Input 3_2019CUST-YTD'!R:R)</f>
        <v>79</v>
      </c>
      <c r="Z34" s="56">
        <f>SUMIF('Input 4_2020CUST-YTD'!S:S,G34,'Input 4_2020CUST-YTD'!R:R)</f>
        <v>76</v>
      </c>
      <c r="AA34" s="56">
        <f>SUMIF('Input 5_2021CUST-YTD'!S:S,G34,'Input 5_2021CUST-YTD'!R:R)</f>
        <v>77</v>
      </c>
      <c r="AB34" s="56">
        <f t="shared" si="19"/>
        <v>70.117784773116497</v>
      </c>
      <c r="AC34" s="56">
        <f t="shared" si="20"/>
        <v>63.850697941416719</v>
      </c>
      <c r="AD34" s="56" t="str">
        <f>VLOOKUP(D34,'Input 15_Fcst Inputs'!A:F,2,FALSE)</f>
        <v>UPC Growth Rate</v>
      </c>
      <c r="AE34" s="56">
        <f>SUMIF('Input 3.1_2019VOL-YTD'!R:R,G34,'Input 3.1_2019VOL-YTD'!O:O)</f>
        <v>759.92000000000007</v>
      </c>
      <c r="AF34" s="56">
        <f>SUMIF('Input 4.1_2020VOL-YTD'!R:R,G34,'Input 4.1_2020VOL-YTD'!O:O)</f>
        <v>833.05</v>
      </c>
      <c r="AG34" s="56">
        <f>SUMIF('Input 5.1_2021VOL-YTD'!R:R,G34,'Input 5.1_2021VOL-YTD'!O:O)</f>
        <v>745.95999999999992</v>
      </c>
      <c r="AH34" s="64">
        <f>IFERROR(IF($AD34="Historical Average",(AVERAGE($AE34:$AG34)/AVERAGE($Y34:$AA34))*AB34,IF($AD34="UPC Growth Rate",((AG34/AA34)*(1+$S34)*AB34),IF($AD34="Modeled UPC",AB34/12*$W34,IF(AD34="Base Period",AG34,IF(AD34="Adjusted",SUMIF('Input 15_Fcst Inputs'!A:A,D34,'Input 15_Fcst Inputs'!F:F),0))))),0)</f>
        <v>656.99961617771578</v>
      </c>
      <c r="AI34" s="64">
        <f>IFERROR(IF($AD34="Historical Average",(AVERAGE($AE34:$AG34)/AVERAGE($Y34:$AA34))*AC34,IF($AD34="UPC Growth Rate",((AH34/AB34)*(1+$S34)*AC34),IF($AD34="Modeled UPC",AC34/12*$W34,IF(AD34="Base Period",AG34,IF(AD34="Adjusted",SUMIF('Input 15_Fcst Inputs'!A:A,D34,'Input 15_Fcst Inputs'!G:G),0))))),0)</f>
        <v>578.64831312358035</v>
      </c>
      <c r="AJ34" s="273">
        <f>VLOOKUP($G34,'WP-Peak Month UPC'!$C:$BL,17,FALSE)</f>
        <v>15.631428571428572</v>
      </c>
      <c r="AK34" s="273">
        <f>VLOOKUP($G34,'WP-Peak Month UPC'!$C:$BL,32,FALSE)</f>
        <v>14.047142857142857</v>
      </c>
      <c r="AL34" s="273">
        <f>VLOOKUP($G34,'WP-Peak Month UPC'!$C:$BL,47,FALSE)</f>
        <v>17.775714285714287</v>
      </c>
      <c r="AM34" s="273">
        <f>IF(OR(AD34="Base Period",AD34="Adjusted"),AL34,IF(AD34="Historical Average",AVERAGE(AJ34:AL34),IF(AD34="Modeled UPC",VLOOKUP(H34,Report_Regression!AB:AJ,5,FALSE),IF(AD34="UPC Growth Rate",AL34*(1+VLOOKUP(H34,Report_Regression!AB:AN,13,FALSE))))))</f>
        <v>16.506020408163266</v>
      </c>
      <c r="AN34" s="273">
        <f>IF(OR($AD34="Base Period",$AD34="Adjusted"),$AL34,IF($AD34="Historical Average",AVERAGE($AJ34:$AL34),IF($AD34="Modeled UPC",VLOOKUP($H34,Report_Regression!$AB:$AJ,9,FALSE),IF($AD34="UPC Growth Rate",AM34*(1+VLOOKUP($H34,Report_Regression!$AB:$AN,13,FALSE))))))</f>
        <v>15.327018950437319</v>
      </c>
      <c r="AO34" s="58">
        <f>VLOOKUP(E34,'Input 7_NG Rates'!B:I,7,FALSE)</f>
        <v>15.5</v>
      </c>
      <c r="AP34" s="292">
        <f>VLOOKUP(E34,'Input 7_NG Rates'!B:I,8,FALSE)</f>
        <v>0.49286000000000002</v>
      </c>
      <c r="AQ34" s="293">
        <f>VLOOKUP(D34,'Input 14_Ref Table'!C:N,12,FALSE)</f>
        <v>0</v>
      </c>
      <c r="AR34" s="292"/>
      <c r="AS34" s="151">
        <f t="shared" ref="AS34:AS65" si="21">AA34*AO34</f>
        <v>1193.5</v>
      </c>
      <c r="AT34" s="151">
        <f t="shared" ref="AT34:AT65" si="22">AG34*AP34</f>
        <v>367.65384559999995</v>
      </c>
      <c r="AU34" s="151">
        <f>SUMIF('Input 13.3_2021 Min Charges'!A:A,G34,'Input 13.3_2021 Min Charges'!O:O)</f>
        <v>0</v>
      </c>
      <c r="AV34" s="151">
        <f t="shared" ref="AV34:AV65" si="23">AG34*AR34</f>
        <v>0</v>
      </c>
      <c r="AW34" s="151">
        <v>0</v>
      </c>
      <c r="AX34" s="151">
        <f t="shared" si="11"/>
        <v>1561.1538455999998</v>
      </c>
      <c r="AY34" s="533">
        <f>SUMIF('Input 6_2021MARG-YTD'!AN:AN,G34,'Input 6_2021MARG-YTD'!AK:AK)</f>
        <v>1549.8200000000002</v>
      </c>
      <c r="AZ34" s="533">
        <f t="shared" si="12"/>
        <v>-11.333845599999677</v>
      </c>
      <c r="BA34" s="533"/>
      <c r="BB34" s="533"/>
      <c r="BC34" s="533"/>
      <c r="BD34" s="533"/>
      <c r="BE34" s="533"/>
      <c r="BF34" s="533"/>
      <c r="BG34" s="55"/>
      <c r="BH34" s="294"/>
      <c r="BI34" s="294"/>
      <c r="BJ34" s="191" t="s">
        <v>506</v>
      </c>
      <c r="BK34" s="514">
        <v>0.21507999999999991</v>
      </c>
      <c r="BL34" s="190">
        <f t="shared" ref="BL34:BL65" si="24">BK34*AI34</f>
        <v>124.45567918661961</v>
      </c>
      <c r="BM34" s="518" cm="1">
        <f t="array" ref="BM34">IFERROR(INDEX('Input 1_GRIP Factors'!$K$5:$K$54,MATCH(1,(BJ34='Input 1_GRIP Factors'!$G$5:$G$54)*(A34='Input 1_GRIP Factors'!$J$5:$J$54),0)),0)</f>
        <v>0.21666922997208923</v>
      </c>
      <c r="BN34" s="190">
        <f>BM34*AG34</f>
        <v>161.62657878997967</v>
      </c>
      <c r="BO34" s="190">
        <f t="shared" si="13"/>
        <v>1.4834948851227125</v>
      </c>
      <c r="BP34" s="190">
        <f t="shared" si="14"/>
        <v>163.1100736751024</v>
      </c>
      <c r="BQ34" s="44" cm="1">
        <f t="array" ref="BQ34">IFERROR(INDEX('Input 1_GRIP Factors'!$Y$5:$Y$65,MATCH(1,(BJ34='Input 1_GRIP Factors'!$G$5:$G$65)*(A34='Input 1_GRIP Factors'!$J$5:$J$65),0)),0)*AG34</f>
        <v>106.78417399999999</v>
      </c>
      <c r="BR34" s="190">
        <f t="shared" si="15"/>
        <v>106.90181342894289</v>
      </c>
      <c r="BS34" s="44" cm="1">
        <f t="array" ref="BS34">IFERROR(INDEX('Input 1_GRIP Factors'!$AC$5:$AC$65,MATCH(1,(BJ34='Input 1_GRIP Factors'!$G$5:$G$65)*(A34='Input 1_GRIP Factors'!$J$5:$J$65),0)),0)*AG34</f>
        <v>74.111125999999999</v>
      </c>
      <c r="BT34" s="190">
        <f t="shared" si="16"/>
        <v>133.70928376480668</v>
      </c>
      <c r="BU34" s="190">
        <f t="shared" ref="BU34:BU65" si="25">AS34+AT34+BP34+BR34+BT34+AU34+AW34</f>
        <v>1964.8750164688518</v>
      </c>
      <c r="BV34" s="190">
        <f t="shared" ca="1" si="17"/>
        <v>2.0386681937691482</v>
      </c>
      <c r="BW34" s="190">
        <f t="shared" ref="BW34:BW65" ca="1" si="26">IFERROR(BV34/AP34,0)</f>
        <v>4.1364042400867351</v>
      </c>
      <c r="BX34" s="190" cm="1">
        <f t="array" aca="1" ref="BX34" ca="1">IFERROR(INDEX('Input 1_GRIP Factors'!$AC$5:$AC$65,MATCH(1,(BJ34='Input 1_GRIP Factors'!$G$5:$G$65)*(A34='Input 1_GRIP Factors'!$J$5:$J$65),0)),0)*BW34</f>
        <v>0.41095176125261718</v>
      </c>
      <c r="BY34" s="190"/>
      <c r="BZ34" s="56">
        <f>SUMIF('Monthly VOL'!G:G,'Master '!G34,'Monthly VOL'!BV:BV)</f>
        <v>96.521542176480125</v>
      </c>
      <c r="CA34" s="519"/>
      <c r="CB34" s="56"/>
      <c r="CC34" s="553" t="s">
        <v>115</v>
      </c>
    </row>
    <row r="35" spans="1:81" s="60" customFormat="1">
      <c r="A35" s="60" t="s">
        <v>17</v>
      </c>
      <c r="B35" s="60" t="s">
        <v>993</v>
      </c>
      <c r="C35" s="55" t="s">
        <v>1245</v>
      </c>
      <c r="D35" s="60" t="s">
        <v>1375</v>
      </c>
      <c r="E35" s="55" t="str">
        <f>VLOOKUP(D35,'Input 14_Ref Table'!C:D,2,FALSE)</f>
        <v>CC804</v>
      </c>
      <c r="F35" s="172" t="s">
        <v>1287</v>
      </c>
      <c r="G35" s="59" t="str">
        <f>VLOOKUP(D35,'Input 14_Ref Table'!C:I,7,FALSE)</f>
        <v>CFG - FTS-A - Fixed NR</v>
      </c>
      <c r="H35" s="59" t="str">
        <f>VLOOKUP(D35,'Input 14_Ref Table'!C:K,8,FALSE)</f>
        <v>FTS_AB_C</v>
      </c>
      <c r="I35" s="55" t="str">
        <f>VLOOKUP(E35,'Input 7_NG Rates'!B:G,6,FALSE)</f>
        <v>FTS-A</v>
      </c>
      <c r="J35" s="56" t="str">
        <f>IFERROR(VLOOKUP(H35,Report_Regression!B:L,11,FALSE),"")</f>
        <v>Median</v>
      </c>
      <c r="K35" s="57">
        <f>_xlfn.IFNA(VLOOKUP($H35,Report_Regression!$B:$L,9,FALSE),0)</f>
        <v>-8.9379418530954602E-2</v>
      </c>
      <c r="L35" s="57">
        <f>_xlfn.IFNA(VLOOKUP($H35,Report_Regression!$B:$L,10,FALSE),0)</f>
        <v>-0.17888305563978787</v>
      </c>
      <c r="M35" s="57">
        <f>_xlfn.IFNA(VLOOKUP($H35,Report_Regression!$B:$L,8,FALSE),0)</f>
        <v>-2.3920498749897635E-2</v>
      </c>
      <c r="N35" s="57">
        <f t="shared" si="7"/>
        <v>-8.9379418530954602E-2</v>
      </c>
      <c r="O35" s="57" t="str">
        <f>IFERROR(VLOOKUP(H35,Report_Regression!O:Y,11,FALSE),"")</f>
        <v>Median</v>
      </c>
      <c r="P35" s="57">
        <f>IFERROR(VLOOKUP($H35,Report_Regression!$O:$Y,9,FALSE),0)</f>
        <v>-3.2809295967190781E-2</v>
      </c>
      <c r="Q35" s="57">
        <f>IFERROR(VLOOKUP($H35,Report_Regression!$O:$Y,10,FALSE),0)</f>
        <v>-5.3962900505902238E-2</v>
      </c>
      <c r="R35" s="57">
        <f>IFERROR(VLOOKUP($H35,Report_Regression!$O:$Y,8,FALSE),0)</f>
        <v>-1.8390804597701409E-2</v>
      </c>
      <c r="S35" s="57">
        <f t="shared" si="8"/>
        <v>-3.2809295967190781E-2</v>
      </c>
      <c r="T35" s="56">
        <f>_xlfn.IFNA(VLOOKUP($H35,Report_Regression!$O:$Y,6,FALSE),0)</f>
        <v>70.75</v>
      </c>
      <c r="U35" s="56">
        <f>_xlfn.IFNA(VLOOKUP($H35,Report_Regression!$O:$Y,7,FALSE),0)</f>
        <v>56.1</v>
      </c>
      <c r="V35" s="56">
        <f>_xlfn.IFNA(VLOOKUP($H35,Report_Regression!$O:$Y,5,FALSE),0)</f>
        <v>85.399999999999991</v>
      </c>
      <c r="W35" s="5">
        <f t="shared" si="9"/>
        <v>70.75</v>
      </c>
      <c r="X35" s="64">
        <f t="shared" si="10"/>
        <v>0</v>
      </c>
      <c r="Y35" s="56">
        <f>SUMIF('Input 3_2019CUST-YTD'!S:S,G35,'Input 3_2019CUST-YTD'!R:R)</f>
        <v>0</v>
      </c>
      <c r="Z35" s="56">
        <f>SUMIF('Input 4_2020CUST-YTD'!S:S,G35,'Input 4_2020CUST-YTD'!R:R)</f>
        <v>0</v>
      </c>
      <c r="AA35" s="56">
        <f>SUMIF('Input 5_2021CUST-YTD'!S:S,G35,'Input 5_2021CUST-YTD'!R:R)</f>
        <v>0</v>
      </c>
      <c r="AB35" s="56">
        <f t="shared" si="19"/>
        <v>0</v>
      </c>
      <c r="AC35" s="56">
        <f t="shared" si="20"/>
        <v>0</v>
      </c>
      <c r="AD35" s="56" t="str">
        <f>VLOOKUP(D35,'Input 15_Fcst Inputs'!A:F,2,FALSE)</f>
        <v>UPC Growth Rate</v>
      </c>
      <c r="AE35" s="56">
        <f>SUMIF('Input 3.1_2019VOL-YTD'!R:R,G35,'Input 3.1_2019VOL-YTD'!O:O)</f>
        <v>0</v>
      </c>
      <c r="AF35" s="56">
        <f>SUMIF('Input 4.1_2020VOL-YTD'!R:R,G35,'Input 4.1_2020VOL-YTD'!O:O)</f>
        <v>0</v>
      </c>
      <c r="AG35" s="56">
        <f>SUMIF('Input 5.1_2021VOL-YTD'!R:R,G35,'Input 5.1_2021VOL-YTD'!O:O)</f>
        <v>0</v>
      </c>
      <c r="AH35" s="64">
        <f>IFERROR(IF($AD35="Historical Average",(AVERAGE($AE35:$AG35)/AVERAGE($Y35:$AA35))*AB35,IF($AD35="UPC Growth Rate",((AG35/AA35)*(1+$S35)*AB35),IF($AD35="Modeled UPC",AB35/12*$W35,IF(AD35="Base Period",AG35,IF(AD35="Adjusted",SUMIF('Input 15_Fcst Inputs'!A:A,D35,'Input 15_Fcst Inputs'!F:F),0))))),0)</f>
        <v>0</v>
      </c>
      <c r="AI35" s="64">
        <f>IFERROR(IF($AD35="Historical Average",(AVERAGE($AE35:$AG35)/AVERAGE($Y35:$AA35))*AC35,IF($AD35="UPC Growth Rate",((AH35/AB35)*(1+$S35)*AC35),IF($AD35="Modeled UPC",AC35/12*$W35,IF(AD35="Base Period",AG35,IF(AD35="Adjusted",SUMIF('Input 15_Fcst Inputs'!A:A,D35,'Input 15_Fcst Inputs'!G:G),0))))),0)</f>
        <v>0</v>
      </c>
      <c r="AJ35" s="273">
        <f>VLOOKUP($G35,'WP-Peak Month UPC'!$C:$BL,17,FALSE)</f>
        <v>0</v>
      </c>
      <c r="AK35" s="273">
        <f>VLOOKUP($G35,'WP-Peak Month UPC'!$C:$BL,32,FALSE)</f>
        <v>0</v>
      </c>
      <c r="AL35" s="273">
        <f>VLOOKUP($G35,'WP-Peak Month UPC'!$C:$BL,47,FALSE)</f>
        <v>0</v>
      </c>
      <c r="AM35" s="273">
        <f>IF(OR(AD35="Base Period",AD35="Adjusted"),AL35,IF(AD35="Historical Average",AVERAGE(AJ35:AL35),IF(AD35="Modeled UPC",VLOOKUP(H35,Report_Regression!AB:AJ,5,FALSE),IF(AD35="UPC Growth Rate",AL35*(1+VLOOKUP(H35,Report_Regression!AB:AN,13,FALSE))))))</f>
        <v>0</v>
      </c>
      <c r="AN35" s="273">
        <f>IF(OR($AD35="Base Period",$AD35="Adjusted"),$AL35,IF($AD35="Historical Average",AVERAGE($AJ35:$AL35),IF($AD35="Modeled UPC",VLOOKUP($H35,Report_Regression!$AB:$AJ,9,FALSE),IF($AD35="UPC Growth Rate",AM35*(1+VLOOKUP($H35,Report_Regression!$AB:$AN,13,FALSE))))))</f>
        <v>0</v>
      </c>
      <c r="AO35" s="58">
        <f>VLOOKUP(E35,'Input 7_NG Rates'!B:I,7,FALSE)</f>
        <v>17</v>
      </c>
      <c r="AP35" s="292">
        <f>VLOOKUP(E35,'Input 7_NG Rates'!B:I,8,FALSE)</f>
        <v>0</v>
      </c>
      <c r="AQ35" s="293">
        <f>VLOOKUP(D35,'Input 14_Ref Table'!C:N,12,FALSE)</f>
        <v>0</v>
      </c>
      <c r="AR35" s="292"/>
      <c r="AS35" s="151">
        <f t="shared" si="21"/>
        <v>0</v>
      </c>
      <c r="AT35" s="151">
        <f t="shared" si="22"/>
        <v>0</v>
      </c>
      <c r="AU35" s="151">
        <f>SUMIF('Input 13.3_2021 Min Charges'!A:A,G35,'Input 13.3_2021 Min Charges'!O:O)</f>
        <v>0</v>
      </c>
      <c r="AV35" s="151">
        <f t="shared" si="23"/>
        <v>0</v>
      </c>
      <c r="AW35" s="151">
        <v>0</v>
      </c>
      <c r="AX35" s="151">
        <f t="shared" si="11"/>
        <v>0</v>
      </c>
      <c r="AY35" s="533">
        <f>SUMIF('Input 6_2021MARG-YTD'!AN:AN,G35,'Input 6_2021MARG-YTD'!AK:AK)</f>
        <v>0</v>
      </c>
      <c r="AZ35" s="533">
        <f t="shared" si="12"/>
        <v>0</v>
      </c>
      <c r="BA35" s="533"/>
      <c r="BB35" s="533"/>
      <c r="BC35" s="533"/>
      <c r="BD35" s="533"/>
      <c r="BE35" s="533"/>
      <c r="BF35" s="533"/>
      <c r="BG35" s="55"/>
      <c r="BH35" s="294"/>
      <c r="BI35" s="294"/>
      <c r="BJ35" s="191" t="s">
        <v>501</v>
      </c>
      <c r="BK35" s="514">
        <v>0.71307000000000009</v>
      </c>
      <c r="BL35" s="190">
        <f t="shared" si="24"/>
        <v>0</v>
      </c>
      <c r="BM35" s="518" cm="1">
        <f t="array" ref="BM35">IFERROR(INDEX('Input 1_GRIP Factors'!$K$5:$K$54,MATCH(1,(BJ35='Input 1_GRIP Factors'!$G$5:$G$54)*(A35='Input 1_GRIP Factors'!$J$5:$J$54),0)),0)</f>
        <v>4.4097465211810016</v>
      </c>
      <c r="BN35" s="190">
        <f>BM35*AA35</f>
        <v>0</v>
      </c>
      <c r="BO35" s="190">
        <f t="shared" si="13"/>
        <v>0</v>
      </c>
      <c r="BP35" s="190">
        <f t="shared" si="14"/>
        <v>0</v>
      </c>
      <c r="BQ35" s="551" cm="1">
        <f t="array" ref="BQ35">IFERROR(INDEX('Input 1_GRIP Factors'!$Y$5:$Y$54,MATCH(1,(BJ35='Input 1_GRIP Factors'!$G$5:$G$54)*(A35='Input 1_GRIP Factors'!$J$5:$J$54),0)),0)*AA35</f>
        <v>0</v>
      </c>
      <c r="BR35" s="190">
        <f t="shared" si="15"/>
        <v>0</v>
      </c>
      <c r="BS35" s="44" cm="1">
        <f t="array" ref="BS35">IFERROR(INDEX('Input 1_GRIP Factors'!$AC$5:$AC$54,MATCH(1,(BJ35='Input 1_GRIP Factors'!$G$5:$G$54)*(A35='Input 1_GRIP Factors'!$J$5:$J$54),0)),0)*AA35</f>
        <v>0</v>
      </c>
      <c r="BT35" s="190">
        <f t="shared" si="16"/>
        <v>0</v>
      </c>
      <c r="BU35" s="190">
        <f t="shared" si="25"/>
        <v>0</v>
      </c>
      <c r="BV35" s="190">
        <f t="shared" ca="1" si="17"/>
        <v>0</v>
      </c>
      <c r="BW35" s="190">
        <f t="shared" ca="1" si="26"/>
        <v>0</v>
      </c>
      <c r="BX35" s="190" cm="1">
        <f t="array" aca="1" ref="BX35" ca="1">IFERROR(INDEX('Input 1_GRIP Factors'!$AC$5:$AC$65,MATCH(1,(BJ35='Input 1_GRIP Factors'!$G$5:$G$65)*(A35='Input 1_GRIP Factors'!$J$5:$J$65),0)),0)*BW35</f>
        <v>0</v>
      </c>
      <c r="BY35" s="190"/>
      <c r="BZ35" s="56">
        <f>SUMIF('Monthly VOL'!G:G,'Master '!G35,'Monthly VOL'!BV:BV)</f>
        <v>0</v>
      </c>
      <c r="CA35" s="519"/>
      <c r="CB35" s="56"/>
      <c r="CC35" s="553" t="s">
        <v>114</v>
      </c>
    </row>
    <row r="36" spans="1:81" s="60" customFormat="1">
      <c r="A36" s="60" t="s">
        <v>17</v>
      </c>
      <c r="B36" s="60" t="s">
        <v>993</v>
      </c>
      <c r="C36" s="55" t="s">
        <v>1245</v>
      </c>
      <c r="D36" s="55" t="s">
        <v>1293</v>
      </c>
      <c r="E36" s="55" t="str">
        <f>VLOOKUP(D36,'Input 14_Ref Table'!C:D,2,FALSE)</f>
        <v>CC810</v>
      </c>
      <c r="F36" s="172" t="s">
        <v>1287</v>
      </c>
      <c r="G36" s="59" t="str">
        <f>VLOOKUP(D36,'Input 14_Ref Table'!C:I,7,FALSE)</f>
        <v>CFG - FTS-B - Fixed NR</v>
      </c>
      <c r="H36" s="59" t="str">
        <f>VLOOKUP(D36,'Input 14_Ref Table'!C:K,8,FALSE)</f>
        <v>FTS_AB_C</v>
      </c>
      <c r="I36" s="55" t="str">
        <f>VLOOKUP(E36,'Input 7_NG Rates'!B:G,6,FALSE)</f>
        <v>FTS-B</v>
      </c>
      <c r="J36" s="56" t="str">
        <f>IFERROR(VLOOKUP(H36,Report_Regression!B:L,11,FALSE),"")</f>
        <v>Median</v>
      </c>
      <c r="K36" s="57">
        <f>_xlfn.IFNA(VLOOKUP($H36,Report_Regression!$B:$L,9,FALSE),0)</f>
        <v>-8.9379418530954602E-2</v>
      </c>
      <c r="L36" s="57">
        <f>_xlfn.IFNA(VLOOKUP($H36,Report_Regression!$B:$L,10,FALSE),0)</f>
        <v>-0.17888305563978787</v>
      </c>
      <c r="M36" s="57">
        <f>_xlfn.IFNA(VLOOKUP($H36,Report_Regression!$B:$L,8,FALSE),0)</f>
        <v>-2.3920498749897635E-2</v>
      </c>
      <c r="N36" s="57">
        <f t="shared" si="7"/>
        <v>-8.9379418530954602E-2</v>
      </c>
      <c r="O36" s="57" t="str">
        <f>IFERROR(VLOOKUP(H36,Report_Regression!O:Y,11,FALSE),"")</f>
        <v>Median</v>
      </c>
      <c r="P36" s="57">
        <f>IFERROR(VLOOKUP($H36,Report_Regression!$O:$Y,9,FALSE),0)</f>
        <v>-3.2809295967190781E-2</v>
      </c>
      <c r="Q36" s="57">
        <f>IFERROR(VLOOKUP($H36,Report_Regression!$O:$Y,10,FALSE),0)</f>
        <v>-5.3962900505902238E-2</v>
      </c>
      <c r="R36" s="57">
        <f>IFERROR(VLOOKUP($H36,Report_Regression!$O:$Y,8,FALSE),0)</f>
        <v>-1.8390804597701409E-2</v>
      </c>
      <c r="S36" s="57">
        <f t="shared" si="8"/>
        <v>-3.2809295967190781E-2</v>
      </c>
      <c r="T36" s="56">
        <f>_xlfn.IFNA(VLOOKUP($H36,Report_Regression!$O:$Y,6,FALSE),0)</f>
        <v>70.75</v>
      </c>
      <c r="U36" s="56">
        <f>_xlfn.IFNA(VLOOKUP($H36,Report_Regression!$O:$Y,7,FALSE),0)</f>
        <v>56.1</v>
      </c>
      <c r="V36" s="56">
        <f>_xlfn.IFNA(VLOOKUP($H36,Report_Regression!$O:$Y,5,FALSE),0)</f>
        <v>85.399999999999991</v>
      </c>
      <c r="W36" s="5">
        <f t="shared" si="9"/>
        <v>70.75</v>
      </c>
      <c r="X36" s="64">
        <f t="shared" si="10"/>
        <v>20.733333333333331</v>
      </c>
      <c r="Y36" s="56">
        <f>SUMIF('Input 3_2019CUST-YTD'!S:S,G36,'Input 3_2019CUST-YTD'!R:R)</f>
        <v>12</v>
      </c>
      <c r="Z36" s="56">
        <f>SUMIF('Input 4_2020CUST-YTD'!S:S,G36,'Input 4_2020CUST-YTD'!R:R)</f>
        <v>12</v>
      </c>
      <c r="AA36" s="56">
        <f>SUMIF('Input 5_2021CUST-YTD'!S:S,G36,'Input 5_2021CUST-YTD'!R:R)</f>
        <v>12</v>
      </c>
      <c r="AB36" s="56">
        <f t="shared" si="19"/>
        <v>10.927446977628545</v>
      </c>
      <c r="AC36" s="56">
        <f t="shared" si="20"/>
        <v>9.950758120740268</v>
      </c>
      <c r="AD36" s="56" t="str">
        <f>VLOOKUP(D36,'Input 15_Fcst Inputs'!A:F,2,FALSE)</f>
        <v>UPC Growth Rate</v>
      </c>
      <c r="AE36" s="56">
        <f>SUMIF('Input 3.1_2019VOL-YTD'!R:R,G36,'Input 3.1_2019VOL-YTD'!O:O)</f>
        <v>19.66</v>
      </c>
      <c r="AF36" s="56">
        <f>SUMIF('Input 4.1_2020VOL-YTD'!R:R,G36,'Input 4.1_2020VOL-YTD'!O:O)</f>
        <v>20.739999999999995</v>
      </c>
      <c r="AG36" s="56">
        <f>SUMIF('Input 5.1_2021VOL-YTD'!R:R,G36,'Input 5.1_2021VOL-YTD'!O:O)</f>
        <v>21.799999999999997</v>
      </c>
      <c r="AH36" s="64">
        <f>IFERROR(IF($AD36="Historical Average",(AVERAGE($AE36:$AG36)/AVERAGE($Y36:$AA36))*AB36,IF($AD36="UPC Growth Rate",((AG36/AA36)*(1+$S36)*AB36),IF($AD36="Modeled UPC",AB36/12*$W36,IF(AD36="Base Period",AG36,IF(AD36="Adjusted",SUMIF('Input 15_Fcst Inputs'!A:A,D36,'Input 15_Fcst Inputs'!F:F),0))))),0)</f>
        <v>19.200213996292302</v>
      </c>
      <c r="AI36" s="64">
        <f>IFERROR(IF($AD36="Historical Average",(AVERAGE($AE36:$AG36)/AVERAGE($Y36:$AA36))*AC36,IF($AD36="UPC Growth Rate",((AH36/AB36)*(1+$S36)*AC36),IF($AD36="Modeled UPC",AC36/12*$W36,IF(AD36="Base Period",AG36,IF(AD36="Adjusted",SUMIF('Input 15_Fcst Inputs'!A:A,D36,'Input 15_Fcst Inputs'!G:G),0))))),0)</f>
        <v>16.910468692817378</v>
      </c>
      <c r="AJ36" s="273">
        <f>VLOOKUP($G36,'WP-Peak Month UPC'!$C:$BL,17,FALSE)</f>
        <v>2.0699999999999998</v>
      </c>
      <c r="AK36" s="273">
        <f>VLOOKUP($G36,'WP-Peak Month UPC'!$C:$BL,32,FALSE)</f>
        <v>1.03</v>
      </c>
      <c r="AL36" s="273">
        <f>VLOOKUP($G36,'WP-Peak Month UPC'!$C:$BL,47,FALSE)</f>
        <v>2.08</v>
      </c>
      <c r="AM36" s="273">
        <f>IF(OR(AD36="Base Period",AD36="Adjusted"),AL36,IF(AD36="Historical Average",AVERAGE(AJ36:AL36),IF(AD36="Modeled UPC",VLOOKUP(H36,Report_Regression!AB:AJ,5,FALSE),IF(AD36="UPC Growth Rate",AL36*(1+VLOOKUP(H36,Report_Regression!AB:AN,13,FALSE))))))</f>
        <v>1.9314285714285715</v>
      </c>
      <c r="AN36" s="273">
        <f>IF(OR($AD36="Base Period",$AD36="Adjusted"),$AL36,IF($AD36="Historical Average",AVERAGE($AJ36:$AL36),IF($AD36="Modeled UPC",VLOOKUP($H36,Report_Regression!$AB:$AJ,9,FALSE),IF($AD36="UPC Growth Rate",AM36*(1+VLOOKUP($H36,Report_Regression!$AB:$AN,13,FALSE))))))</f>
        <v>1.7934693877551022</v>
      </c>
      <c r="AO36" s="58">
        <f>VLOOKUP(E36,'Input 7_NG Rates'!B:I,7,FALSE)</f>
        <v>23</v>
      </c>
      <c r="AP36" s="292">
        <f>VLOOKUP(E36,'Input 7_NG Rates'!B:I,8,FALSE)</f>
        <v>0</v>
      </c>
      <c r="AQ36" s="293">
        <f>VLOOKUP(D36,'Input 14_Ref Table'!C:N,12,FALSE)</f>
        <v>0</v>
      </c>
      <c r="AR36" s="292"/>
      <c r="AS36" s="151">
        <f t="shared" si="21"/>
        <v>276</v>
      </c>
      <c r="AT36" s="151">
        <f t="shared" si="22"/>
        <v>0</v>
      </c>
      <c r="AU36" s="151">
        <f>SUMIF('Input 13.3_2021 Min Charges'!A:A,G36,'Input 13.3_2021 Min Charges'!O:O)</f>
        <v>0</v>
      </c>
      <c r="AV36" s="151">
        <f t="shared" si="23"/>
        <v>0</v>
      </c>
      <c r="AW36" s="151">
        <v>0</v>
      </c>
      <c r="AX36" s="151">
        <f t="shared" si="11"/>
        <v>276</v>
      </c>
      <c r="AY36" s="533">
        <f>SUMIF('Input 6_2021MARG-YTD'!AN:AN,G36,'Input 6_2021MARG-YTD'!AK:AK)</f>
        <v>276</v>
      </c>
      <c r="AZ36" s="533">
        <f t="shared" si="12"/>
        <v>0</v>
      </c>
      <c r="BA36" s="533"/>
      <c r="BB36" s="533"/>
      <c r="BC36" s="533"/>
      <c r="BD36" s="533"/>
      <c r="BE36" s="533"/>
      <c r="BF36" s="533"/>
      <c r="BG36" s="55"/>
      <c r="BH36" s="294"/>
      <c r="BI36" s="294"/>
      <c r="BJ36" s="191" t="s">
        <v>512</v>
      </c>
      <c r="BK36" s="514">
        <v>0.21507999999999991</v>
      </c>
      <c r="BL36" s="190">
        <f t="shared" si="24"/>
        <v>3.6371036064511602</v>
      </c>
      <c r="BM36" s="518" cm="1">
        <f t="array" ref="BM36">IFERROR(INDEX('Input 1_GRIP Factors'!$K$5:$K$54,MATCH(1,(BJ36='Input 1_GRIP Factors'!$G$5:$G$54)*(A36='Input 1_GRIP Factors'!$J$5:$J$54),0)),0)</f>
        <v>2.2359572357282396</v>
      </c>
      <c r="BN36" s="190">
        <f>BM36*AA36</f>
        <v>26.831486828738875</v>
      </c>
      <c r="BO36" s="190">
        <f t="shared" si="13"/>
        <v>0.2462736869682432</v>
      </c>
      <c r="BP36" s="190">
        <f t="shared" si="14"/>
        <v>27.077760515707119</v>
      </c>
      <c r="BQ36" s="551" cm="1">
        <f t="array" ref="BQ36">IFERROR(INDEX('Input 1_GRIP Factors'!$Y$5:$Y$54,MATCH(1,(BJ36='Input 1_GRIP Factors'!$G$5:$G$54)*(A36='Input 1_GRIP Factors'!$J$5:$J$54),0)),0)*AA36</f>
        <v>18.240000000000002</v>
      </c>
      <c r="BR36" s="190">
        <f t="shared" si="15"/>
        <v>18.260094205944025</v>
      </c>
      <c r="BS36" s="44" cm="1">
        <f t="array" ref="BS36">IFERROR(INDEX('Input 1_GRIP Factors'!$AC$5:$AC$54,MATCH(1,(BJ36='Input 1_GRIP Factors'!$G$5:$G$54)*(A36='Input 1_GRIP Factors'!$J$5:$J$54),0)),0)*AA36</f>
        <v>18.649199999999997</v>
      </c>
      <c r="BT36" s="190">
        <f t="shared" si="16"/>
        <v>33.646380906243856</v>
      </c>
      <c r="BU36" s="190">
        <f t="shared" si="25"/>
        <v>354.98423562789498</v>
      </c>
      <c r="BV36" s="190">
        <f t="shared" ca="1" si="17"/>
        <v>0.3604208663138081</v>
      </c>
      <c r="BW36" s="190">
        <f t="shared" ca="1" si="26"/>
        <v>0</v>
      </c>
      <c r="BX36" s="190" cm="1">
        <f t="array" aca="1" ref="BX36" ca="1">IFERROR(INDEX('Input 1_GRIP Factors'!$AC$5:$AC$65,MATCH(1,(BJ36='Input 1_GRIP Factors'!$G$5:$G$65)*(A36='Input 1_GRIP Factors'!$J$5:$J$65),0)),0)*BW36</f>
        <v>0</v>
      </c>
      <c r="BY36" s="190"/>
      <c r="BZ36" s="56">
        <f>SUMIF('Monthly VOL'!G:G,'Master '!G36,'Monthly VOL'!BV:BV)</f>
        <v>1.6134759119752362</v>
      </c>
      <c r="CA36" s="519"/>
      <c r="CB36" s="56"/>
      <c r="CC36" s="553" t="s">
        <v>115</v>
      </c>
    </row>
    <row r="37" spans="1:81" s="60" customFormat="1" ht="12.75" customHeight="1">
      <c r="A37" s="60" t="s">
        <v>17</v>
      </c>
      <c r="B37" s="60" t="s">
        <v>993</v>
      </c>
      <c r="C37" s="55" t="s">
        <v>8</v>
      </c>
      <c r="D37" s="55" t="s">
        <v>1247</v>
      </c>
      <c r="E37" s="55" t="str">
        <f>VLOOKUP(D37,'Input 14_Ref Table'!C:D,2,FALSE)</f>
        <v>CR810</v>
      </c>
      <c r="F37" s="172" t="s">
        <v>1286</v>
      </c>
      <c r="G37" s="59" t="str">
        <f>VLOOKUP(D37,'Input 14_Ref Table'!C:I,7,FALSE)</f>
        <v>CFG - FTS-1 R</v>
      </c>
      <c r="H37" s="59" t="str">
        <f>VLOOKUP(D37,'Input 14_Ref Table'!C:K,8,FALSE)</f>
        <v>FTS_1</v>
      </c>
      <c r="I37" s="55" t="str">
        <f>VLOOKUP(E37,'Input 7_NG Rates'!B:G,6,FALSE)</f>
        <v>FTS-1</v>
      </c>
      <c r="J37" s="56" t="str">
        <f>IFERROR(VLOOKUP(H37,Report_Regression!B:L,11,FALSE),"")</f>
        <v>Median</v>
      </c>
      <c r="K37" s="57">
        <f>_xlfn.IFNA(VLOOKUP($H37,Report_Regression!$B:$L,9,FALSE),0)</f>
        <v>3.3861006638872364E-2</v>
      </c>
      <c r="L37" s="57">
        <f>_xlfn.IFNA(VLOOKUP($H37,Report_Regression!$B:$L,10,FALSE),0)</f>
        <v>2.6119283757474052E-2</v>
      </c>
      <c r="M37" s="57">
        <f>_xlfn.IFNA(VLOOKUP($H37,Report_Regression!$B:$L,8,FALSE),0)</f>
        <v>4.1469771481892632E-2</v>
      </c>
      <c r="N37" s="57">
        <f t="shared" si="7"/>
        <v>3.3861006638872364E-2</v>
      </c>
      <c r="O37" s="57" t="str">
        <f>IFERROR(VLOOKUP(H37,Report_Regression!O:Y,11,FALSE),"")</f>
        <v>Median</v>
      </c>
      <c r="P37" s="57">
        <f>IFERROR(VLOOKUP($H37,Report_Regression!$O:$Y,9,FALSE),0)</f>
        <v>0</v>
      </c>
      <c r="Q37" s="57">
        <f>IFERROR(VLOOKUP($H37,Report_Regression!$O:$Y,10,FALSE),0)</f>
        <v>0</v>
      </c>
      <c r="R37" s="57">
        <f>IFERROR(VLOOKUP($H37,Report_Regression!$O:$Y,8,FALSE),0)</f>
        <v>0</v>
      </c>
      <c r="S37" s="57">
        <f t="shared" si="8"/>
        <v>0</v>
      </c>
      <c r="T37" s="56">
        <f>_xlfn.IFNA(VLOOKUP($H37,Report_Regression!$O:$Y,6,FALSE),0)</f>
        <v>172.96753251423365</v>
      </c>
      <c r="U37" s="56">
        <f>_xlfn.IFNA(VLOOKUP($H37,Report_Regression!$O:$Y,7,FALSE),0)</f>
        <v>156.56991756863101</v>
      </c>
      <c r="V37" s="56">
        <f>_xlfn.IFNA(VLOOKUP($H37,Report_Regression!$O:$Y,5,FALSE),0)</f>
        <v>189.36514745983629</v>
      </c>
      <c r="W37" s="5">
        <f t="shared" si="9"/>
        <v>172.96753251423365</v>
      </c>
      <c r="X37" s="64">
        <f t="shared" si="10"/>
        <v>179.61770847267096</v>
      </c>
      <c r="Y37" s="56">
        <f>SUMIF('Input 3_2019CUST-YTD'!S:S,G37,'Input 3_2019CUST-YTD'!R:R)</f>
        <v>148108</v>
      </c>
      <c r="Z37" s="56">
        <f>SUMIF('Input 4_2020CUST-YTD'!S:S,G37,'Input 4_2020CUST-YTD'!R:R)</f>
        <v>156264</v>
      </c>
      <c r="AA37" s="56">
        <f>SUMIF('Input 5_2021CUST-YTD'!S:S,G37,'Input 5_2021CUST-YTD'!R:R)</f>
        <v>165114</v>
      </c>
      <c r="AB37" s="56">
        <f t="shared" si="19"/>
        <v>170704.92625017074</v>
      </c>
      <c r="AC37" s="56">
        <f t="shared" si="20"/>
        <v>176485.16689121598</v>
      </c>
      <c r="AD37" s="56" t="str">
        <f>VLOOKUP(D37,'Input 15_Fcst Inputs'!A:F,2,FALSE)</f>
        <v>UPC Growth Rate</v>
      </c>
      <c r="AE37" s="56">
        <f>SUMIF('Input 3.1_2019VOL-YTD'!R:R,G37,'Input 3.1_2019VOL-YTD'!O:O)</f>
        <v>2127737.6099999826</v>
      </c>
      <c r="AF37" s="56">
        <f>SUMIF('Input 4.1_2020VOL-YTD'!R:R,G37,'Input 4.1_2020VOL-YTD'!O:O)</f>
        <v>2335465.2400000431</v>
      </c>
      <c r="AG37" s="56">
        <f>SUMIF('Input 5.1_2021VOL-YTD'!R:R,G37,'Input 5.1_2021VOL-YTD'!O:O)</f>
        <v>2564130.4400000079</v>
      </c>
      <c r="AH37" s="64">
        <f>IFERROR(IF($AD37="Historical Average",(AVERAGE($AE37:$AG37)/AVERAGE($Y37:$AA37))*AB37,IF($AD37="UPC Growth Rate",((AG37/AA37)*(1+$S37)*AB37),IF($AD37="Modeled UPC",AB37/12*$W37,IF(AD37="Base Period",AG37,IF(AD37="Adjusted",SUMIF('Input 15_Fcst Inputs'!A:A,D37,'Input 15_Fcst Inputs'!F:F),0))))),0)</f>
        <v>2650954.4778517825</v>
      </c>
      <c r="AI37" s="64">
        <f>IFERROR(IF($AD37="Historical Average",(AVERAGE($AE37:$AG37)/AVERAGE($Y37:$AA37))*AC37,IF($AD37="UPC Growth Rate",((AH37/AB37)*(1+$S37)*AC37),IF($AD37="Modeled UPC",AC37/12*$W37,IF(AD37="Base Period",AG37,IF(AD37="Adjusted",SUMIF('Input 15_Fcst Inputs'!A:A,D37,'Input 15_Fcst Inputs'!G:G),0))))),0)</f>
        <v>2740718.4650256699</v>
      </c>
      <c r="AJ37" s="273">
        <f>VLOOKUP($G37,'WP-Peak Month UPC'!$C:$BL,17,FALSE)</f>
        <v>22.583110608724777</v>
      </c>
      <c r="AK37" s="273">
        <f>VLOOKUP($G37,'WP-Peak Month UPC'!$C:$BL,32,FALSE)</f>
        <v>22.2101967884131</v>
      </c>
      <c r="AL37" s="273">
        <f>VLOOKUP($G37,'WP-Peak Month UPC'!$C:$BL,47,FALSE)</f>
        <v>27.068042553191489</v>
      </c>
      <c r="AM37" s="273">
        <f>IF(OR(AD37="Base Period",AD37="Adjusted"),AL37,IF(AD37="Historical Average",AVERAGE(AJ37:AL37),IF(AD37="Modeled UPC",VLOOKUP(H37,Report_Regression!AB:AJ,5,FALSE),IF(AD37="UPC Growth Rate",AL37*(1+VLOOKUP(H37,Report_Regression!AB:AN,13,FALSE))))))</f>
        <v>27.068042553191489</v>
      </c>
      <c r="AN37" s="273">
        <f>IF(OR($AD37="Base Period",$AD37="Adjusted"),$AL37,IF($AD37="Historical Average",AVERAGE($AJ37:$AL37),IF($AD37="Modeled UPC",VLOOKUP($H37,Report_Regression!$AB:$AJ,9,FALSE),IF($AD37="UPC Growth Rate",AM37*(1+VLOOKUP($H37,Report_Regression!$AB:$AN,13,FALSE))))))</f>
        <v>27.068042553191489</v>
      </c>
      <c r="AO37" s="58">
        <f>VLOOKUP(E37,'Input 7_NG Rates'!B:I,7,FALSE)</f>
        <v>19</v>
      </c>
      <c r="AP37" s="292">
        <f>VLOOKUP(E37,'Input 7_NG Rates'!B:I,8,FALSE)</f>
        <v>0.46310000000000001</v>
      </c>
      <c r="AQ37" s="293">
        <f>VLOOKUP(D37,'Input 14_Ref Table'!C:N,12,FALSE)</f>
        <v>0</v>
      </c>
      <c r="AR37" s="292"/>
      <c r="AS37" s="151">
        <f t="shared" si="21"/>
        <v>3137166</v>
      </c>
      <c r="AT37" s="151">
        <f t="shared" si="22"/>
        <v>1187448.8067640036</v>
      </c>
      <c r="AU37" s="151">
        <f>SUMIF('Input 13.3_2021 Min Charges'!A:A,G37,'Input 13.3_2021 Min Charges'!O:O)</f>
        <v>0</v>
      </c>
      <c r="AV37" s="151">
        <f t="shared" si="23"/>
        <v>0</v>
      </c>
      <c r="AW37" s="151">
        <v>0</v>
      </c>
      <c r="AX37" s="151">
        <f t="shared" si="11"/>
        <v>4324614.8067640038</v>
      </c>
      <c r="AY37" s="533">
        <f>SUMIF('Input 6_2021MARG-YTD'!AN:AN,G37,'Input 6_2021MARG-YTD'!AK:AK)</f>
        <v>4301669.8700000262</v>
      </c>
      <c r="AZ37" s="533">
        <f t="shared" si="12"/>
        <v>-22944.936763977632</v>
      </c>
      <c r="BA37" s="533"/>
      <c r="BB37" s="533"/>
      <c r="BC37" s="533"/>
      <c r="BD37" s="533"/>
      <c r="BE37" s="533"/>
      <c r="BF37" s="533"/>
      <c r="BG37" s="55"/>
      <c r="BH37" s="294"/>
      <c r="BI37" s="294"/>
      <c r="BJ37" s="191" t="s">
        <v>661</v>
      </c>
      <c r="BK37" s="514">
        <v>0.11405000000000003</v>
      </c>
      <c r="BL37" s="190">
        <f t="shared" si="24"/>
        <v>312578.94093617774</v>
      </c>
      <c r="BM37" s="518" cm="1">
        <f t="array" ref="BM37">IFERROR(INDEX('Input 1_GRIP Factors'!$K$5:$K$54,MATCH(1,(BJ37='Input 1_GRIP Factors'!$G$5:$G$54)*(A37='Input 1_GRIP Factors'!$J$5:$J$54),0)),0)</f>
        <v>0.11567247339772106</v>
      </c>
      <c r="BN37" s="190">
        <f>BM37*AG37</f>
        <v>296599.31010918773</v>
      </c>
      <c r="BO37" s="190">
        <f t="shared" si="13"/>
        <v>2722.3465519842089</v>
      </c>
      <c r="BP37" s="190">
        <f t="shared" si="14"/>
        <v>299321.65666117193</v>
      </c>
      <c r="BQ37" s="44" cm="1">
        <f t="array" ref="BQ37">IFERROR(INDEX('Input 1_GRIP Factors'!$Y$5:$Y$65,MATCH(1,(BJ37='Input 1_GRIP Factors'!$G$5:$G$65)*(A37='Input 1_GRIP Factors'!$J$5:$J$65),0)),0)*AG37</f>
        <v>326849.70718680101</v>
      </c>
      <c r="BR37" s="190">
        <f t="shared" si="15"/>
        <v>327209.78313685337</v>
      </c>
      <c r="BS37" s="551" cm="1">
        <f t="array" ref="BS37">IFERROR(INDEX('Input 1_GRIP Factors'!$AC$5:$AC$65,MATCH(1,(BJ37='Input 1_GRIP Factors'!$G$5:$G$65)*(A37='Input 1_GRIP Factors'!$J$5:$J$65),0)),0)*AG37</f>
        <v>281079.97883280087</v>
      </c>
      <c r="BT37" s="190">
        <f t="shared" si="16"/>
        <v>507116.87541167345</v>
      </c>
      <c r="BU37" s="190">
        <f t="shared" si="25"/>
        <v>5458263.1219737027</v>
      </c>
      <c r="BV37" s="190">
        <f t="shared" ca="1" si="17"/>
        <v>5647.3964316210295</v>
      </c>
      <c r="BW37" s="190">
        <f t="shared" ca="1" si="26"/>
        <v>12194.766641375576</v>
      </c>
      <c r="BX37" s="190" cm="1">
        <f t="array" aca="1" ref="BX37" ca="1">IFERROR(INDEX('Input 1_GRIP Factors'!$AC$5:$AC$65,MATCH(1,(BJ37='Input 1_GRIP Factors'!$G$5:$G$65)*(A37='Input 1_GRIP Factors'!$J$5:$J$65),0)),0)*BW37</f>
        <v>1336.7903192275905</v>
      </c>
      <c r="BY37" s="190"/>
      <c r="BZ37" s="56">
        <f>SUMIF('Monthly VOL'!G:G,'Master '!G37,'Monthly VOL'!BV:BV)</f>
        <v>394345.6166110363</v>
      </c>
      <c r="CA37" s="519"/>
      <c r="CB37" s="56"/>
      <c r="CC37" s="553" t="s">
        <v>116</v>
      </c>
    </row>
    <row r="38" spans="1:81" s="60" customFormat="1">
      <c r="A38" s="60" t="s">
        <v>17</v>
      </c>
      <c r="B38" s="60" t="s">
        <v>993</v>
      </c>
      <c r="C38" s="55" t="s">
        <v>8</v>
      </c>
      <c r="D38" s="55" t="s">
        <v>1248</v>
      </c>
      <c r="E38" s="55" t="str">
        <f>VLOOKUP(D38,'Input 14_Ref Table'!C:D,2,FALSE)</f>
        <v>CR817</v>
      </c>
      <c r="F38" s="174" t="s">
        <v>1287</v>
      </c>
      <c r="G38" s="59" t="str">
        <f>VLOOKUP(D38,'Input 14_Ref Table'!C:I,7,FALSE)</f>
        <v>CFG - FTS-1 - Fixed R</v>
      </c>
      <c r="H38" s="59" t="str">
        <f>VLOOKUP(D38,'Input 14_Ref Table'!C:K,8,FALSE)</f>
        <v>FTS_1</v>
      </c>
      <c r="I38" s="55" t="str">
        <f>VLOOKUP(E38,'Input 7_NG Rates'!B:G,6,FALSE)</f>
        <v>FTS-1</v>
      </c>
      <c r="J38" s="56" t="str">
        <f>IFERROR(VLOOKUP(H38,Report_Regression!B:L,11,FALSE),"")</f>
        <v>Median</v>
      </c>
      <c r="K38" s="57">
        <f>_xlfn.IFNA(VLOOKUP($H38,Report_Regression!$B:$L,9,FALSE),0)</f>
        <v>3.3861006638872364E-2</v>
      </c>
      <c r="L38" s="57">
        <f>_xlfn.IFNA(VLOOKUP($H38,Report_Regression!$B:$L,10,FALSE),0)</f>
        <v>2.6119283757474052E-2</v>
      </c>
      <c r="M38" s="57">
        <f>_xlfn.IFNA(VLOOKUP($H38,Report_Regression!$B:$L,8,FALSE),0)</f>
        <v>4.1469771481892632E-2</v>
      </c>
      <c r="N38" s="57">
        <f t="shared" si="7"/>
        <v>3.3861006638872364E-2</v>
      </c>
      <c r="O38" s="57" t="str">
        <f>IFERROR(VLOOKUP(H38,Report_Regression!O:Y,11,FALSE),"")</f>
        <v>Median</v>
      </c>
      <c r="P38" s="57">
        <f>IFERROR(VLOOKUP($H38,Report_Regression!$O:$Y,9,FALSE),0)</f>
        <v>0</v>
      </c>
      <c r="Q38" s="57">
        <f>IFERROR(VLOOKUP($H38,Report_Regression!$O:$Y,10,FALSE),0)</f>
        <v>0</v>
      </c>
      <c r="R38" s="57">
        <f>IFERROR(VLOOKUP($H38,Report_Regression!$O:$Y,8,FALSE),0)</f>
        <v>0</v>
      </c>
      <c r="S38" s="57">
        <f t="shared" si="8"/>
        <v>0</v>
      </c>
      <c r="T38" s="56">
        <f>_xlfn.IFNA(VLOOKUP($H38,Report_Regression!$O:$Y,6,FALSE),0)</f>
        <v>172.96753251423365</v>
      </c>
      <c r="U38" s="56">
        <f>_xlfn.IFNA(VLOOKUP($H38,Report_Regression!$O:$Y,7,FALSE),0)</f>
        <v>156.56991756863101</v>
      </c>
      <c r="V38" s="56">
        <f>_xlfn.IFNA(VLOOKUP($H38,Report_Regression!$O:$Y,5,FALSE),0)</f>
        <v>189.36514745983629</v>
      </c>
      <c r="W38" s="5">
        <f t="shared" si="9"/>
        <v>172.96753251423365</v>
      </c>
      <c r="X38" s="64">
        <f t="shared" si="10"/>
        <v>192.92325252525254</v>
      </c>
      <c r="Y38" s="56">
        <f>SUMIF('Input 3_2019CUST-YTD'!S:S,G38,'Input 3_2019CUST-YTD'!R:R)</f>
        <v>1996</v>
      </c>
      <c r="Z38" s="56">
        <f>SUMIF('Input 4_2020CUST-YTD'!S:S,G38,'Input 4_2020CUST-YTD'!R:R)</f>
        <v>1985</v>
      </c>
      <c r="AA38" s="56">
        <f>SUMIF('Input 5_2021CUST-YTD'!S:S,G38,'Input 5_2021CUST-YTD'!R:R)</f>
        <v>1959</v>
      </c>
      <c r="AB38" s="56">
        <f t="shared" si="19"/>
        <v>2025.3337120055508</v>
      </c>
      <c r="AC38" s="56">
        <f t="shared" si="20"/>
        <v>2093.9135502737026</v>
      </c>
      <c r="AD38" s="56" t="str">
        <f>VLOOKUP(D38,'Input 15_Fcst Inputs'!A:F,2,FALSE)</f>
        <v>UPC Growth Rate</v>
      </c>
      <c r="AE38" s="56">
        <f>SUMIF('Input 3.1_2019VOL-YTD'!R:R,G38,'Input 3.1_2019VOL-YTD'!O:O)</f>
        <v>30535.900000000005</v>
      </c>
      <c r="AF38" s="56">
        <f>SUMIF('Input 4.1_2020VOL-YTD'!R:R,G38,'Input 4.1_2020VOL-YTD'!O:O)</f>
        <v>31146.39</v>
      </c>
      <c r="AG38" s="56">
        <f>SUMIF('Input 5.1_2021VOL-YTD'!R:R,G38,'Input 5.1_2021VOL-YTD'!O:O)</f>
        <v>33814.720000000001</v>
      </c>
      <c r="AH38" s="64">
        <f>IFERROR(IF($AD38="Historical Average",(AVERAGE($AE38:$AG38)/AVERAGE($Y38:$AA38))*AB38,IF($AD38="UPC Growth Rate",((AG38/AA38)*(1+$S38)*AB38),IF($AD38="Modeled UPC",AB38/12*$W38,IF(AD38="Base Period",AG38,IF(AD38="Adjusted",SUMIF('Input 15_Fcst Inputs'!A:A,D38,'Input 15_Fcst Inputs'!F:F),0))))),0)</f>
        <v>34959.720458411604</v>
      </c>
      <c r="AI38" s="64">
        <f>IFERROR(IF($AD38="Historical Average",(AVERAGE($AE38:$AG38)/AVERAGE($Y38:$AA38))*AC38,IF($AD38="UPC Growth Rate",((AH38/AB38)*(1+$S38)*AC38),IF($AD38="Modeled UPC",AC38/12*$W38,IF(AD38="Base Period",AG38,IF(AD38="Adjusted",SUMIF('Input 15_Fcst Inputs'!A:A,D38,'Input 15_Fcst Inputs'!G:G),0))))),0)</f>
        <v>36143.491784947</v>
      </c>
      <c r="AJ38" s="273">
        <f>VLOOKUP($G38,'WP-Peak Month UPC'!$C:$BL,17,FALSE)</f>
        <v>24.832048192771083</v>
      </c>
      <c r="AK38" s="273">
        <f>VLOOKUP($G38,'WP-Peak Month UPC'!$C:$BL,32,FALSE)</f>
        <v>22.674311377245509</v>
      </c>
      <c r="AL38" s="273">
        <f>VLOOKUP($G38,'WP-Peak Month UPC'!$C:$BL,47,FALSE)</f>
        <v>29.85668674698795</v>
      </c>
      <c r="AM38" s="273">
        <f>IF(OR(AD38="Base Period",AD38="Adjusted"),AL38,IF(AD38="Historical Average",AVERAGE(AJ38:AL38),IF(AD38="Modeled UPC",VLOOKUP(H38,Report_Regression!AB:AJ,5,FALSE),IF(AD38="UPC Growth Rate",AL38*(1+VLOOKUP(H38,Report_Regression!AB:AN,13,FALSE))))))</f>
        <v>29.85668674698795</v>
      </c>
      <c r="AN38" s="273">
        <f>IF(OR($AD38="Base Period",$AD38="Adjusted"),$AL38,IF($AD38="Historical Average",AVERAGE($AJ38:$AL38),IF($AD38="Modeled UPC",VLOOKUP($H38,Report_Regression!$AB:$AJ,9,FALSE),IF($AD38="UPC Growth Rate",AM38*(1+VLOOKUP($H38,Report_Regression!$AB:$AN,13,FALSE))))))</f>
        <v>29.85668674698795</v>
      </c>
      <c r="AO38" s="58">
        <f>VLOOKUP(E38,'Input 7_NG Rates'!B:I,7,FALSE)</f>
        <v>29</v>
      </c>
      <c r="AP38" s="292">
        <f>VLOOKUP(E38,'Input 7_NG Rates'!B:I,8,FALSE)</f>
        <v>0</v>
      </c>
      <c r="AQ38" s="293">
        <f>VLOOKUP(D38,'Input 14_Ref Table'!C:N,12,FALSE)</f>
        <v>0</v>
      </c>
      <c r="AR38" s="292"/>
      <c r="AS38" s="151">
        <f t="shared" si="21"/>
        <v>56811</v>
      </c>
      <c r="AT38" s="151">
        <f t="shared" si="22"/>
        <v>0</v>
      </c>
      <c r="AU38" s="151">
        <f>SUMIF('Input 13.3_2021 Min Charges'!A:A,G38,'Input 13.3_2021 Min Charges'!O:O)</f>
        <v>0</v>
      </c>
      <c r="AV38" s="151">
        <f t="shared" si="23"/>
        <v>0</v>
      </c>
      <c r="AW38" s="151">
        <v>0</v>
      </c>
      <c r="AX38" s="151">
        <f t="shared" si="11"/>
        <v>56811</v>
      </c>
      <c r="AY38" s="533">
        <f>SUMIF('Input 6_2021MARG-YTD'!AN:AN,G38,'Input 6_2021MARG-YTD'!AK:AK)</f>
        <v>56280.319999999992</v>
      </c>
      <c r="AZ38" s="533">
        <f t="shared" si="12"/>
        <v>-530.68000000000757</v>
      </c>
      <c r="BA38" s="533"/>
      <c r="BB38" s="533"/>
      <c r="BC38" s="533"/>
      <c r="BD38" s="533"/>
      <c r="BE38" s="533"/>
      <c r="BF38" s="533"/>
      <c r="BG38" s="55"/>
      <c r="BH38" s="294"/>
      <c r="BI38" s="294"/>
      <c r="BJ38" s="191" t="s">
        <v>666</v>
      </c>
      <c r="BK38" s="514">
        <v>0.11405000000000003</v>
      </c>
      <c r="BL38" s="190">
        <f t="shared" si="24"/>
        <v>4122.1652380732066</v>
      </c>
      <c r="BM38" s="518" cm="1">
        <f t="array" ref="BM38">IFERROR(INDEX('Input 1_GRIP Factors'!$K$5:$K$54,MATCH(1,(BJ38='Input 1_GRIP Factors'!$G$5:$G$54)*(A38='Input 1_GRIP Factors'!$J$5:$J$54),0)),0)</f>
        <v>1.6959081534193776</v>
      </c>
      <c r="BN38" s="190">
        <f>BM38*AA38</f>
        <v>3322.2840725485607</v>
      </c>
      <c r="BO38" s="190">
        <f t="shared" si="13"/>
        <v>30.49369395459852</v>
      </c>
      <c r="BP38" s="190">
        <f t="shared" si="14"/>
        <v>3352.7777665031595</v>
      </c>
      <c r="BQ38" s="551" cm="1">
        <f t="array" ref="BQ38">IFERROR(INDEX('Input 1_GRIP Factors'!$Y$5:$Y$54,MATCH(1,(BJ38='Input 1_GRIP Factors'!$G$5:$G$54)*(A38='Input 1_GRIP Factors'!$J$5:$J$54),0)),0)*AA38</f>
        <v>3722.1</v>
      </c>
      <c r="BR38" s="190">
        <f t="shared" si="15"/>
        <v>3726.2004739004524</v>
      </c>
      <c r="BS38" s="44" cm="1">
        <f t="array" ref="BS38">IFERROR(INDEX('Input 1_GRIP Factors'!$AC$5:$AC$54,MATCH(1,(BJ38='Input 1_GRIP Factors'!$G$5:$G$54)*(A38='Input 1_GRIP Factors'!$J$5:$J$54),0)),0)*AA38</f>
        <v>4737.8414999999995</v>
      </c>
      <c r="BT38" s="190">
        <f t="shared" si="16"/>
        <v>8547.8851523073245</v>
      </c>
      <c r="BU38" s="190">
        <f t="shared" si="25"/>
        <v>72437.863392710948</v>
      </c>
      <c r="BV38" s="190">
        <f t="shared" ca="1" si="17"/>
        <v>74.187934188962871</v>
      </c>
      <c r="BW38" s="190">
        <f t="shared" ca="1" si="26"/>
        <v>0</v>
      </c>
      <c r="BX38" s="190" cm="1">
        <f t="array" aca="1" ref="BX38" ca="1">IFERROR(INDEX('Input 1_GRIP Factors'!$AC$5:$AC$65,MATCH(1,(BJ38='Input 1_GRIP Factors'!$G$5:$G$65)*(A38='Input 1_GRIP Factors'!$J$5:$J$65),0)),0)*BW38</f>
        <v>0</v>
      </c>
      <c r="BY38" s="190"/>
      <c r="BZ38" s="56">
        <f>SUMIF('Monthly VOL'!G:G,'Master '!G38,'Monthly VOL'!BV:BV)</f>
        <v>5297.5371500776046</v>
      </c>
      <c r="CA38" s="519"/>
      <c r="CB38" s="56"/>
      <c r="CC38" s="553" t="s">
        <v>116</v>
      </c>
    </row>
    <row r="39" spans="1:81" s="60" customFormat="1">
      <c r="A39" s="60" t="s">
        <v>17</v>
      </c>
      <c r="B39" s="60" t="s">
        <v>993</v>
      </c>
      <c r="C39" s="55" t="s">
        <v>1245</v>
      </c>
      <c r="D39" s="55" t="s">
        <v>1249</v>
      </c>
      <c r="E39" s="55" t="str">
        <f>VLOOKUP(D39,'Input 14_Ref Table'!C:D,2,FALSE)</f>
        <v>CC807</v>
      </c>
      <c r="F39" s="172" t="s">
        <v>1286</v>
      </c>
      <c r="G39" s="59" t="str">
        <f>VLOOKUP(D39,'Input 14_Ref Table'!C:I,7,FALSE)</f>
        <v>CFG - FTS-1 NR</v>
      </c>
      <c r="H39" s="59" t="str">
        <f>VLOOKUP(D39,'Input 14_Ref Table'!C:K,8,FALSE)</f>
        <v>FTS1</v>
      </c>
      <c r="I39" s="55" t="str">
        <f>VLOOKUP(E39,'Input 7_NG Rates'!B:G,6,FALSE)</f>
        <v>FTS-1</v>
      </c>
      <c r="J39" s="56" t="str">
        <f>IFERROR(VLOOKUP(H39,Report_Regression!B:L,11,FALSE),"")</f>
        <v>Median</v>
      </c>
      <c r="K39" s="57">
        <f>_xlfn.IFNA(VLOOKUP($H39,Report_Regression!$B:$L,9,FALSE),0)</f>
        <v>-4.9605598787378136E-2</v>
      </c>
      <c r="L39" s="57">
        <f>_xlfn.IFNA(VLOOKUP($H39,Report_Regression!$B:$L,10,FALSE),0)</f>
        <v>-7.7135138735573455E-2</v>
      </c>
      <c r="M39" s="57">
        <f>_xlfn.IFNA(VLOOKUP($H39,Report_Regression!$B:$L,8,FALSE),0)</f>
        <v>-2.4483754304541958E-2</v>
      </c>
      <c r="N39" s="57">
        <f t="shared" si="7"/>
        <v>-4.9605598787378136E-2</v>
      </c>
      <c r="O39" s="57" t="str">
        <f>IFERROR(VLOOKUP(H39,Report_Regression!O:Y,11,FALSE),"")</f>
        <v>Median</v>
      </c>
      <c r="P39" s="57">
        <f>IFERROR(VLOOKUP($H39,Report_Regression!$O:$Y,9,FALSE),0)</f>
        <v>-8.2102988836874169E-2</v>
      </c>
      <c r="Q39" s="57">
        <f>IFERROR(VLOOKUP($H39,Report_Regression!$O:$Y,10,FALSE),0)</f>
        <v>-0.30490523968784827</v>
      </c>
      <c r="R39" s="57">
        <f>IFERROR(VLOOKUP($H39,Report_Regression!$O:$Y,8,FALSE),0)</f>
        <v>2.4202127659574527E-2</v>
      </c>
      <c r="S39" s="57">
        <f t="shared" si="8"/>
        <v>-8.2102988836874169E-2</v>
      </c>
      <c r="T39" s="56">
        <f>_xlfn.IFNA(VLOOKUP($H39,Report_Regression!$O:$Y,6,FALSE),0)</f>
        <v>254.90000000000003</v>
      </c>
      <c r="U39" s="56">
        <f>_xlfn.IFNA(VLOOKUP($H39,Report_Regression!$O:$Y,7,FALSE),0)</f>
        <v>124.7</v>
      </c>
      <c r="V39" s="56">
        <f>_xlfn.IFNA(VLOOKUP($H39,Report_Regression!$O:$Y,5,FALSE),0)</f>
        <v>385.1</v>
      </c>
      <c r="W39" s="5">
        <f t="shared" si="9"/>
        <v>254.90000000000003</v>
      </c>
      <c r="X39" s="64">
        <f t="shared" si="10"/>
        <v>237.28234262754177</v>
      </c>
      <c r="Y39" s="56">
        <f>SUMIF('Input 3_2019CUST-YTD'!S:S,G39,'Input 3_2019CUST-YTD'!R:R)</f>
        <v>2760</v>
      </c>
      <c r="Z39" s="56">
        <f>SUMIF('Input 4_2020CUST-YTD'!S:S,G39,'Input 4_2020CUST-YTD'!R:R)</f>
        <v>2741</v>
      </c>
      <c r="AA39" s="56">
        <f>SUMIF('Input 5_2021CUST-YTD'!S:S,G39,'Input 5_2021CUST-YTD'!R:R)</f>
        <v>2712</v>
      </c>
      <c r="AB39" s="56">
        <f t="shared" si="19"/>
        <v>2577.4696160886306</v>
      </c>
      <c r="AC39" s="56">
        <f t="shared" si="20"/>
        <v>2449.6126924262803</v>
      </c>
      <c r="AD39" s="56" t="str">
        <f>VLOOKUP(D39,'Input 15_Fcst Inputs'!A:F,2,FALSE)</f>
        <v>UPC Growth Rate</v>
      </c>
      <c r="AE39" s="56">
        <f>SUMIF('Input 3.1_2019VOL-YTD'!R:R,G39,'Input 3.1_2019VOL-YTD'!O:O)</f>
        <v>54048.340000000018</v>
      </c>
      <c r="AF39" s="56">
        <f>SUMIF('Input 4.1_2020VOL-YTD'!R:R,G39,'Input 4.1_2020VOL-YTD'!O:O)</f>
        <v>49703.5</v>
      </c>
      <c r="AG39" s="56">
        <f>SUMIF('Input 5.1_2021VOL-YTD'!R:R,G39,'Input 5.1_2021VOL-YTD'!O:O)</f>
        <v>58648.149999999994</v>
      </c>
      <c r="AH39" s="64">
        <f>IFERROR(IF($AD39="Historical Average",(AVERAGE($AE39:$AG39)/AVERAGE($Y39:$AA39))*AB39,IF($AD39="UPC Growth Rate",((AG39/AA39)*(1+$S39)*AB39),IF($AD39="Modeled UPC",AB39/12*$W39,IF(AD39="Base Period",AG39,IF(AD39="Adjusted",SUMIF('Input 15_Fcst Inputs'!A:A,D39,'Input 15_Fcst Inputs'!F:F),0))))),0)</f>
        <v>51162.545300816535</v>
      </c>
      <c r="AI39" s="64">
        <f>IFERROR(IF($AD39="Historical Average",(AVERAGE($AE39:$AG39)/AVERAGE($Y39:$AA39))*AC39,IF($AD39="UPC Growth Rate",((AH39/AB39)*(1+$S39)*AC39),IF($AD39="Modeled UPC",AC39/12*$W39,IF(AD39="Base Period",AG39,IF(AD39="Adjusted",SUMIF('Input 15_Fcst Inputs'!A:A,D39,'Input 15_Fcst Inputs'!G:G),0))))),0)</f>
        <v>44632.371893369251</v>
      </c>
      <c r="AJ39" s="273">
        <f>VLOOKUP($G39,'WP-Peak Month UPC'!$C:$BL,17,FALSE)</f>
        <v>22.155695652173957</v>
      </c>
      <c r="AK39" s="273">
        <f>VLOOKUP($G39,'WP-Peak Month UPC'!$C:$BL,32,FALSE)</f>
        <v>25.89182608695652</v>
      </c>
      <c r="AL39" s="273">
        <f>VLOOKUP($G39,'WP-Peak Month UPC'!$C:$BL,47,FALSE)</f>
        <v>31.785565217391305</v>
      </c>
      <c r="AM39" s="273">
        <f>IF(OR(AD39="Base Period",AD39="Adjusted"),AL39,IF(AD39="Historical Average",AVERAGE(AJ39:AL39),IF(AD39="Modeled UPC",VLOOKUP(H39,Report_Regression!AB:AJ,5,FALSE),IF(AD39="UPC Growth Rate",AL39*(1+VLOOKUP(H39,Report_Regression!AB:AN,13,FALSE))))))</f>
        <v>20.693727355072468</v>
      </c>
      <c r="AN39" s="273">
        <f>IF(OR($AD39="Base Period",$AD39="Adjusted"),$AL39,IF($AD39="Historical Average",AVERAGE($AJ39:$AL39),IF($AD39="Modeled UPC",VLOOKUP($H39,Report_Regression!$AB:$AJ,9,FALSE),IF($AD39="UPC Growth Rate",AM39*(1+VLOOKUP($H39,Report_Regression!$AB:$AN,13,FALSE))))))</f>
        <v>13.472478746791973</v>
      </c>
      <c r="AO39" s="58">
        <f>VLOOKUP(E39,'Input 7_NG Rates'!B:I,7,FALSE)</f>
        <v>19</v>
      </c>
      <c r="AP39" s="292">
        <f>VLOOKUP(E39,'Input 7_NG Rates'!B:I,8,FALSE)</f>
        <v>0.46310000000000001</v>
      </c>
      <c r="AQ39" s="293">
        <f>VLOOKUP(D39,'Input 14_Ref Table'!C:N,12,FALSE)</f>
        <v>0</v>
      </c>
      <c r="AR39" s="292"/>
      <c r="AS39" s="151">
        <f t="shared" si="21"/>
        <v>51528</v>
      </c>
      <c r="AT39" s="151">
        <f t="shared" si="22"/>
        <v>27159.958264999997</v>
      </c>
      <c r="AU39" s="151">
        <f>SUMIF('Input 13.3_2021 Min Charges'!A:A,G39,'Input 13.3_2021 Min Charges'!O:O)</f>
        <v>0</v>
      </c>
      <c r="AV39" s="151">
        <f t="shared" si="23"/>
        <v>0</v>
      </c>
      <c r="AW39" s="151">
        <v>0</v>
      </c>
      <c r="AX39" s="151">
        <f t="shared" si="11"/>
        <v>78687.958264999994</v>
      </c>
      <c r="AY39" s="533">
        <f>SUMIF('Input 6_2021MARG-YTD'!AN:AN,G39,'Input 6_2021MARG-YTD'!AK:AK)</f>
        <v>78456.58</v>
      </c>
      <c r="AZ39" s="533">
        <f t="shared" si="12"/>
        <v>-231.3782649999921</v>
      </c>
      <c r="BA39" s="533"/>
      <c r="BB39" s="533"/>
      <c r="BC39" s="533"/>
      <c r="BD39" s="533"/>
      <c r="BE39" s="533"/>
      <c r="BF39" s="533"/>
      <c r="BG39" s="55"/>
      <c r="BH39" s="294"/>
      <c r="BI39" s="294"/>
      <c r="BJ39" s="191" t="s">
        <v>661</v>
      </c>
      <c r="BK39" s="514">
        <v>0.11405000000000003</v>
      </c>
      <c r="BL39" s="190">
        <f t="shared" si="24"/>
        <v>5090.3220144387642</v>
      </c>
      <c r="BM39" s="518" cm="1">
        <f t="array" ref="BM39">IFERROR(INDEX('Input 1_GRIP Factors'!$K$5:$K$54,MATCH(1,(BJ39='Input 1_GRIP Factors'!$G$5:$G$54)*(A39='Input 1_GRIP Factors'!$J$5:$J$54),0)),0)</f>
        <v>0.11567247339772106</v>
      </c>
      <c r="BN39" s="190">
        <f>BM39*AG39</f>
        <v>6783.9765707005536</v>
      </c>
      <c r="BO39" s="190">
        <f t="shared" si="13"/>
        <v>62.266952742369909</v>
      </c>
      <c r="BP39" s="190">
        <f t="shared" si="14"/>
        <v>6846.2435234429231</v>
      </c>
      <c r="BQ39" s="44" cm="1">
        <f t="array" ref="BQ39">IFERROR(INDEX('Input 1_GRIP Factors'!$Y$5:$Y$65,MATCH(1,(BJ39='Input 1_GRIP Factors'!$G$5:$G$65)*(A39='Input 1_GRIP Factors'!$J$5:$J$65),0)),0)*AG39</f>
        <v>7475.8796804999993</v>
      </c>
      <c r="BR39" s="190">
        <f t="shared" si="15"/>
        <v>7484.1155284118804</v>
      </c>
      <c r="BS39" s="44" cm="1">
        <f t="array" ref="BS39">IFERROR(INDEX('Input 1_GRIP Factors'!$AC$5:$AC$65,MATCH(1,(BJ39='Input 1_GRIP Factors'!$G$5:$G$65)*(A39='Input 1_GRIP Factors'!$J$5:$J$65),0)),0)*AG39</f>
        <v>6429.0102029999989</v>
      </c>
      <c r="BT39" s="190">
        <f t="shared" si="16"/>
        <v>11599.045864716241</v>
      </c>
      <c r="BU39" s="190">
        <f t="shared" si="25"/>
        <v>104617.36318157105</v>
      </c>
      <c r="BV39" s="190">
        <f t="shared" ca="1" si="17"/>
        <v>102.756456834551</v>
      </c>
      <c r="BW39" s="190">
        <f t="shared" ca="1" si="26"/>
        <v>221.88826783535089</v>
      </c>
      <c r="BX39" s="190" cm="1">
        <f t="array" aca="1" ref="BX39" ca="1">IFERROR(INDEX('Input 1_GRIP Factors'!$AC$5:$AC$65,MATCH(1,(BJ39='Input 1_GRIP Factors'!$G$5:$G$65)*(A39='Input 1_GRIP Factors'!$J$5:$J$65),0)),0)*BW39</f>
        <v>24.323391920111163</v>
      </c>
      <c r="BY39" s="190"/>
      <c r="BZ39" s="56">
        <f>SUMIF('Monthly VOL'!G:G,'Master '!G39,'Monthly VOL'!BV:BV)</f>
        <v>5563.5683061344098</v>
      </c>
      <c r="CA39" s="519"/>
      <c r="CB39" s="56"/>
      <c r="CC39" s="553" t="s">
        <v>116</v>
      </c>
    </row>
    <row r="40" spans="1:81" s="60" customFormat="1">
      <c r="A40" s="60" t="s">
        <v>17</v>
      </c>
      <c r="B40" s="60" t="s">
        <v>993</v>
      </c>
      <c r="C40" s="55" t="s">
        <v>1245</v>
      </c>
      <c r="D40" s="55" t="s">
        <v>1305</v>
      </c>
      <c r="E40" s="55" t="str">
        <f>VLOOKUP(D40,'Input 14_Ref Table'!C:D,2,FALSE)</f>
        <v>CC812</v>
      </c>
      <c r="F40" s="174" t="s">
        <v>1287</v>
      </c>
      <c r="G40" s="59" t="str">
        <f>VLOOKUP(D40,'Input 14_Ref Table'!C:I,7,FALSE)</f>
        <v>CFG - FTS-1 - Fixed NR</v>
      </c>
      <c r="H40" s="59" t="str">
        <f>VLOOKUP(D40,'Input 14_Ref Table'!C:K,8,FALSE)</f>
        <v>FTS1</v>
      </c>
      <c r="I40" s="55" t="str">
        <f>VLOOKUP(E40,'Input 7_NG Rates'!B:G,6,FALSE)</f>
        <v>FTS-1</v>
      </c>
      <c r="J40" s="56" t="str">
        <f>IFERROR(VLOOKUP(H40,Report_Regression!B:L,11,FALSE),"")</f>
        <v>Median</v>
      </c>
      <c r="K40" s="57">
        <f>_xlfn.IFNA(VLOOKUP($H40,Report_Regression!$B:$L,9,FALSE),0)</f>
        <v>-4.9605598787378136E-2</v>
      </c>
      <c r="L40" s="57">
        <f>_xlfn.IFNA(VLOOKUP($H40,Report_Regression!$B:$L,10,FALSE),0)</f>
        <v>-7.7135138735573455E-2</v>
      </c>
      <c r="M40" s="57">
        <f>_xlfn.IFNA(VLOOKUP($H40,Report_Regression!$B:$L,8,FALSE),0)</f>
        <v>-2.4483754304541958E-2</v>
      </c>
      <c r="N40" s="57">
        <f t="shared" si="7"/>
        <v>-4.9605598787378136E-2</v>
      </c>
      <c r="O40" s="57" t="str">
        <f>IFERROR(VLOOKUP(H40,Report_Regression!O:Y,11,FALSE),"")</f>
        <v>Median</v>
      </c>
      <c r="P40" s="57">
        <f>IFERROR(VLOOKUP($H40,Report_Regression!$O:$Y,9,FALSE),0)</f>
        <v>-8.2102988836874169E-2</v>
      </c>
      <c r="Q40" s="57">
        <f>IFERROR(VLOOKUP($H40,Report_Regression!$O:$Y,10,FALSE),0)</f>
        <v>-0.30490523968784827</v>
      </c>
      <c r="R40" s="57">
        <f>IFERROR(VLOOKUP($H40,Report_Regression!$O:$Y,8,FALSE),0)</f>
        <v>2.4202127659574527E-2</v>
      </c>
      <c r="S40" s="57">
        <f t="shared" si="8"/>
        <v>-8.2102988836874169E-2</v>
      </c>
      <c r="T40" s="56">
        <f>_xlfn.IFNA(VLOOKUP($H40,Report_Regression!$O:$Y,6,FALSE),0)</f>
        <v>254.90000000000003</v>
      </c>
      <c r="U40" s="56">
        <f>_xlfn.IFNA(VLOOKUP($H40,Report_Regression!$O:$Y,7,FALSE),0)</f>
        <v>124.7</v>
      </c>
      <c r="V40" s="56">
        <f>_xlfn.IFNA(VLOOKUP($H40,Report_Regression!$O:$Y,5,FALSE),0)</f>
        <v>385.1</v>
      </c>
      <c r="W40" s="5">
        <f t="shared" si="9"/>
        <v>254.90000000000003</v>
      </c>
      <c r="X40" s="64">
        <f t="shared" si="10"/>
        <v>164.88255681818185</v>
      </c>
      <c r="Y40" s="56">
        <f>SUMIF('Input 3_2019CUST-YTD'!S:S,G40,'Input 3_2019CUST-YTD'!R:R)</f>
        <v>388</v>
      </c>
      <c r="Z40" s="56">
        <f>SUMIF('Input 4_2020CUST-YTD'!S:S,G40,'Input 4_2020CUST-YTD'!R:R)</f>
        <v>480</v>
      </c>
      <c r="AA40" s="56">
        <f>SUMIF('Input 5_2021CUST-YTD'!S:S,G40,'Input 5_2021CUST-YTD'!R:R)</f>
        <v>540</v>
      </c>
      <c r="AB40" s="56">
        <f t="shared" si="19"/>
        <v>513.21297665481586</v>
      </c>
      <c r="AC40" s="56">
        <f t="shared" si="20"/>
        <v>487.75473964240098</v>
      </c>
      <c r="AD40" s="56" t="str">
        <f>VLOOKUP(D40,'Input 15_Fcst Inputs'!A:F,2,FALSE)</f>
        <v>UPC Growth Rate</v>
      </c>
      <c r="AE40" s="56">
        <f>SUMIF('Input 3.1_2019VOL-YTD'!R:R,G40,'Input 3.1_2019VOL-YTD'!O:O)</f>
        <v>5983.4800000000005</v>
      </c>
      <c r="AF40" s="56">
        <f>SUMIF('Input 4.1_2020VOL-YTD'!R:R,G40,'Input 4.1_2020VOL-YTD'!O:O)</f>
        <v>6183.58</v>
      </c>
      <c r="AG40" s="56">
        <f>SUMIF('Input 5.1_2021VOL-YTD'!R:R,G40,'Input 5.1_2021VOL-YTD'!O:O)</f>
        <v>7179.16</v>
      </c>
      <c r="AH40" s="64">
        <f>IFERROR(IF($AD40="Historical Average",(AVERAGE($AE40:$AG40)/AVERAGE($Y40:$AA40))*AB40,IF($AD40="UPC Growth Rate",((AG40/AA40)*(1+$S40)*AB40),IF($AD40="Modeled UPC",AB40/12*$W40,IF(AD40="Base Period",AG40,IF(AD40="Adjusted",SUMIF('Input 15_Fcst Inputs'!A:A,D40,'Input 15_Fcst Inputs'!F:F),0))))),0)</f>
        <v>6262.842028637051</v>
      </c>
      <c r="AI40" s="64">
        <f>IFERROR(IF($AD40="Historical Average",(AVERAGE($AE40:$AG40)/AVERAGE($Y40:$AA40))*AC40,IF($AD40="UPC Growth Rate",((AH40/AB40)*(1+$S40)*AC40),IF($AD40="Modeled UPC",AC40/12*$W40,IF(AD40="Base Period",AG40,IF(AD40="Adjusted",SUMIF('Input 15_Fcst Inputs'!A:A,D40,'Input 15_Fcst Inputs'!G:G),0))))),0)</f>
        <v>5463.4790526555544</v>
      </c>
      <c r="AJ40" s="273">
        <f>VLOOKUP($G40,'WP-Peak Month UPC'!$C:$BL,17,FALSE)</f>
        <v>17.25</v>
      </c>
      <c r="AK40" s="273">
        <f>VLOOKUP($G40,'WP-Peak Month UPC'!$C:$BL,32,FALSE)</f>
        <v>14.698378378378379</v>
      </c>
      <c r="AL40" s="273">
        <f>VLOOKUP($G40,'WP-Peak Month UPC'!$C:$BL,47,FALSE)</f>
        <v>15.640465116279069</v>
      </c>
      <c r="AM40" s="273">
        <f>IF(OR(AD40="Base Period",AD40="Adjusted"),AL40,IF(AD40="Historical Average",AVERAGE(AJ40:AL40),IF(AD40="Modeled UPC",VLOOKUP(H40,Report_Regression!AB:AJ,5,FALSE),IF(AD40="UPC Growth Rate",AL40*(1+VLOOKUP(H40,Report_Regression!AB:AN,13,FALSE))))))</f>
        <v>10.182594476744187</v>
      </c>
      <c r="AN40" s="273">
        <f>IF(OR($AD40="Base Period",$AD40="Adjusted"),$AL40,IF($AD40="Historical Average",AVERAGE($AJ40:$AL40),IF($AD40="Modeled UPC",VLOOKUP($H40,Report_Regression!$AB:$AJ,9,FALSE),IF($AD40="UPC Growth Rate",AM40*(1+VLOOKUP($H40,Report_Regression!$AB:$AN,13,FALSE))))))</f>
        <v>6.629293279130331</v>
      </c>
      <c r="AO40" s="58">
        <f>VLOOKUP(E40,'Input 7_NG Rates'!B:I,7,FALSE)</f>
        <v>29</v>
      </c>
      <c r="AP40" s="292">
        <f>VLOOKUP(E40,'Input 7_NG Rates'!B:I,8,FALSE)</f>
        <v>0</v>
      </c>
      <c r="AQ40" s="293">
        <f>VLOOKUP(D40,'Input 14_Ref Table'!C:N,12,FALSE)</f>
        <v>0</v>
      </c>
      <c r="AR40" s="292"/>
      <c r="AS40" s="151">
        <f t="shared" si="21"/>
        <v>15660</v>
      </c>
      <c r="AT40" s="151">
        <f t="shared" si="22"/>
        <v>0</v>
      </c>
      <c r="AU40" s="151">
        <f>SUMIF('Input 13.3_2021 Min Charges'!A:A,G40,'Input 13.3_2021 Min Charges'!O:O)</f>
        <v>0</v>
      </c>
      <c r="AV40" s="151">
        <f t="shared" si="23"/>
        <v>0</v>
      </c>
      <c r="AW40" s="151">
        <v>0</v>
      </c>
      <c r="AX40" s="151">
        <f t="shared" si="11"/>
        <v>15660</v>
      </c>
      <c r="AY40" s="533">
        <f>SUMIF('Input 6_2021MARG-YTD'!AN:AN,G40,'Input 6_2021MARG-YTD'!AK:AK)</f>
        <v>15753.77</v>
      </c>
      <c r="AZ40" s="533">
        <f t="shared" si="12"/>
        <v>93.770000000000437</v>
      </c>
      <c r="BA40" s="533"/>
      <c r="BB40" s="533"/>
      <c r="BC40" s="533"/>
      <c r="BD40" s="533"/>
      <c r="BE40" s="533"/>
      <c r="BF40" s="533"/>
      <c r="BG40" s="55"/>
      <c r="BH40" s="294"/>
      <c r="BI40" s="294"/>
      <c r="BJ40" s="191" t="s">
        <v>666</v>
      </c>
      <c r="BK40" s="514">
        <v>0.11405000000000003</v>
      </c>
      <c r="BL40" s="190">
        <f t="shared" si="24"/>
        <v>623.10978595536608</v>
      </c>
      <c r="BM40" s="518" cm="1">
        <f t="array" ref="BM40">IFERROR(INDEX('Input 1_GRIP Factors'!$K$5:$K$54,MATCH(1,(BJ40='Input 1_GRIP Factors'!$G$5:$G$54)*(A40='Input 1_GRIP Factors'!$J$5:$J$54),0)),0)</f>
        <v>1.6959081534193776</v>
      </c>
      <c r="BN40" s="190">
        <f>BM40*AA40</f>
        <v>915.79040284646396</v>
      </c>
      <c r="BO40" s="190">
        <f t="shared" si="13"/>
        <v>8.405612422400818</v>
      </c>
      <c r="BP40" s="190">
        <f t="shared" si="14"/>
        <v>924.19601526886481</v>
      </c>
      <c r="BQ40" s="551" cm="1">
        <f t="array" ref="BQ40">IFERROR(INDEX('Input 1_GRIP Factors'!$Y$5:$Y$54,MATCH(1,(BJ40='Input 1_GRIP Factors'!$G$5:$G$54)*(A40='Input 1_GRIP Factors'!$J$5:$J$54),0)),0)*AA40</f>
        <v>1026</v>
      </c>
      <c r="BR40" s="190">
        <f t="shared" si="15"/>
        <v>1027.1302990843512</v>
      </c>
      <c r="BS40" s="44" cm="1">
        <f t="array" ref="BS40">IFERROR(INDEX('Input 1_GRIP Factors'!$AC$5:$AC$54,MATCH(1,(BJ40='Input 1_GRIP Factors'!$G$5:$G$54)*(A40='Input 1_GRIP Factors'!$J$5:$J$54),0)),0)*AA40</f>
        <v>1305.99</v>
      </c>
      <c r="BT40" s="190">
        <f t="shared" si="16"/>
        <v>2356.2317418305033</v>
      </c>
      <c r="BU40" s="190">
        <f t="shared" si="25"/>
        <v>19967.55805618372</v>
      </c>
      <c r="BV40" s="190">
        <f t="shared" ca="1" si="17"/>
        <v>20.449966545196506</v>
      </c>
      <c r="BW40" s="190">
        <f t="shared" ca="1" si="26"/>
        <v>0</v>
      </c>
      <c r="BX40" s="190" cm="1">
        <f t="array" aca="1" ref="BX40" ca="1">IFERROR(INDEX('Input 1_GRIP Factors'!$AC$5:$AC$65,MATCH(1,(BJ40='Input 1_GRIP Factors'!$G$5:$G$65)*(A40='Input 1_GRIP Factors'!$J$5:$J$65),0)),0)*BW40</f>
        <v>0</v>
      </c>
      <c r="BY40" s="190"/>
      <c r="BZ40" s="56">
        <f>SUMIF('Monthly VOL'!G:G,'Master '!G40,'Monthly VOL'!BV:BV)</f>
        <v>511.8158951845295</v>
      </c>
      <c r="CA40" s="519"/>
      <c r="CB40" s="56"/>
      <c r="CC40" s="553" t="s">
        <v>116</v>
      </c>
    </row>
    <row r="41" spans="1:81" s="60" customFormat="1">
      <c r="A41" s="60" t="s">
        <v>17</v>
      </c>
      <c r="B41" s="60" t="s">
        <v>993</v>
      </c>
      <c r="C41" s="55" t="s">
        <v>8</v>
      </c>
      <c r="D41" s="55" t="s">
        <v>1250</v>
      </c>
      <c r="E41" s="55" t="str">
        <f>VLOOKUP(D41,'Input 14_Ref Table'!C:D,2,FALSE)</f>
        <v>CR821</v>
      </c>
      <c r="F41" s="172" t="s">
        <v>1286</v>
      </c>
      <c r="G41" s="59" t="str">
        <f>VLOOKUP(D41,'Input 14_Ref Table'!C:I,7,FALSE)</f>
        <v>CFG - FTS-2 R</v>
      </c>
      <c r="H41" s="59" t="str">
        <f>VLOOKUP(D41,'Input 14_Ref Table'!C:K,8,FALSE)</f>
        <v>FTS_2</v>
      </c>
      <c r="I41" s="55" t="str">
        <f>VLOOKUP(E41,'Input 7_NG Rates'!B:G,6,FALSE)</f>
        <v>FTS-2</v>
      </c>
      <c r="J41" s="56" t="str">
        <f>IFERROR(VLOOKUP(H41,Report_Regression!B:L,11,FALSE),"")</f>
        <v>Median</v>
      </c>
      <c r="K41" s="57">
        <f>_xlfn.IFNA(VLOOKUP($H41,Report_Regression!$B:$L,9,FALSE),0)</f>
        <v>6.1347398016349964E-3</v>
      </c>
      <c r="L41" s="57">
        <f>_xlfn.IFNA(VLOOKUP($H41,Report_Regression!$B:$L,10,FALSE),0)</f>
        <v>-1.603910390921288E-3</v>
      </c>
      <c r="M41" s="57">
        <f>_xlfn.IFNA(VLOOKUP($H41,Report_Regression!$B:$L,8,FALSE),0)</f>
        <v>1.3626664163571472E-2</v>
      </c>
      <c r="N41" s="57">
        <f t="shared" si="7"/>
        <v>6.1347398016349964E-3</v>
      </c>
      <c r="O41" s="57" t="str">
        <f>IFERROR(VLOOKUP(H41,Report_Regression!O:Y,11,FALSE),"")</f>
        <v>Median</v>
      </c>
      <c r="P41" s="57">
        <f>IFERROR(VLOOKUP($H41,Report_Regression!$O:$Y,9,FALSE),0)</f>
        <v>0</v>
      </c>
      <c r="Q41" s="57">
        <f>IFERROR(VLOOKUP($H41,Report_Regression!$O:$Y,10,FALSE),0)</f>
        <v>0</v>
      </c>
      <c r="R41" s="57">
        <f>IFERROR(VLOOKUP($H41,Report_Regression!$O:$Y,8,FALSE),0)</f>
        <v>0</v>
      </c>
      <c r="S41" s="57">
        <f t="shared" si="8"/>
        <v>0</v>
      </c>
      <c r="T41" s="56">
        <f>_xlfn.IFNA(VLOOKUP($H41,Report_Regression!$O:$Y,6,FALSE),0)</f>
        <v>597.30342792519559</v>
      </c>
      <c r="U41" s="56">
        <f>_xlfn.IFNA(VLOOKUP($H41,Report_Regression!$O:$Y,7,FALSE),0)</f>
        <v>502.88306565049282</v>
      </c>
      <c r="V41" s="56">
        <f>_xlfn.IFNA(VLOOKUP($H41,Report_Regression!$O:$Y,5,FALSE),0)</f>
        <v>691.72379019989842</v>
      </c>
      <c r="W41" s="5">
        <f t="shared" si="9"/>
        <v>597.30342792519559</v>
      </c>
      <c r="X41" s="64">
        <f t="shared" si="10"/>
        <v>623.07492425105352</v>
      </c>
      <c r="Y41" s="56">
        <f>SUMIF('Input 3_2019CUST-YTD'!S:S,G41,'Input 3_2019CUST-YTD'!R:R)</f>
        <v>8742</v>
      </c>
      <c r="Z41" s="56">
        <f>SUMIF('Input 4_2020CUST-YTD'!S:S,G41,'Input 4_2020CUST-YTD'!R:R)</f>
        <v>8793</v>
      </c>
      <c r="AA41" s="56">
        <f>SUMIF('Input 5_2021CUST-YTD'!S:S,G41,'Input 5_2021CUST-YTD'!R:R)</f>
        <v>8802</v>
      </c>
      <c r="AB41" s="56">
        <f t="shared" si="19"/>
        <v>8855.9979797339911</v>
      </c>
      <c r="AC41" s="56">
        <f t="shared" si="20"/>
        <v>8910.3272230234634</v>
      </c>
      <c r="AD41" s="56" t="str">
        <f>VLOOKUP(D41,'Input 15_Fcst Inputs'!A:F,2,FALSE)</f>
        <v>UPC Growth Rate</v>
      </c>
      <c r="AE41" s="56">
        <f>SUMIF('Input 3.1_2019VOL-YTD'!R:R,G41,'Input 3.1_2019VOL-YTD'!O:O)</f>
        <v>488269.11</v>
      </c>
      <c r="AF41" s="56">
        <f>SUMIF('Input 4.1_2020VOL-YTD'!R:R,G41,'Input 4.1_2020VOL-YTD'!O:O)</f>
        <v>426417.79999999976</v>
      </c>
      <c r="AG41" s="56">
        <f>SUMIF('Input 5.1_2021VOL-YTD'!R:R,G41,'Input 5.1_2021VOL-YTD'!O:O)</f>
        <v>452806.78</v>
      </c>
      <c r="AH41" s="64">
        <f>IFERROR(IF($AD41="Historical Average",(AVERAGE($AE41:$AG41)/AVERAGE($Y41:$AA41))*AB41,IF($AD41="UPC Growth Rate",((AG41/AA41)*(1+$S41)*AB41),IF($AD41="Modeled UPC",AB41/12*$W41,IF(AD41="Base Period",AG41,IF(AD41="Adjusted",SUMIF('Input 15_Fcst Inputs'!A:A,D41,'Input 15_Fcst Inputs'!F:F),0))))),0)</f>
        <v>455584.6317757162</v>
      </c>
      <c r="AI41" s="64">
        <f>IFERROR(IF($AD41="Historical Average",(AVERAGE($AE41:$AG41)/AVERAGE($Y41:$AA41))*AC41,IF($AD41="UPC Growth Rate",((AH41/AB41)*(1+$S41)*AC41),IF($AD41="Modeled UPC",AC41/12*$W41,IF(AD41="Base Period",AG41,IF(AD41="Adjusted",SUMIF('Input 15_Fcst Inputs'!A:A,D41,'Input 15_Fcst Inputs'!G:G),0))))),0)</f>
        <v>458379.52494928386</v>
      </c>
      <c r="AJ41" s="273">
        <f>VLOOKUP($G41,'WP-Peak Month UPC'!$C:$BL,17,FALSE)</f>
        <v>107.49203830369356</v>
      </c>
      <c r="AK41" s="273">
        <f>VLOOKUP($G41,'WP-Peak Month UPC'!$C:$BL,32,FALSE)</f>
        <v>106.31153005464481</v>
      </c>
      <c r="AL41" s="273">
        <f>VLOOKUP($G41,'WP-Peak Month UPC'!$C:$BL,47,FALSE)</f>
        <v>93.689783491204466</v>
      </c>
      <c r="AM41" s="273">
        <f>IF(OR(AD41="Base Period",AD41="Adjusted"),AL41,IF(AD41="Historical Average",AVERAGE(AJ41:AL41),IF(AD41="Modeled UPC",VLOOKUP(H41,Report_Regression!AB:AJ,5,FALSE),IF(AD41="UPC Growth Rate",AL41*(1+VLOOKUP(H41,Report_Regression!AB:AN,13,FALSE))))))</f>
        <v>93.689783491204466</v>
      </c>
      <c r="AN41" s="273">
        <f>IF(OR($AD41="Base Period",$AD41="Adjusted"),$AL41,IF($AD41="Historical Average",AVERAGE($AJ41:$AL41),IF($AD41="Modeled UPC",VLOOKUP($H41,Report_Regression!$AB:$AJ,9,FALSE),IF($AD41="UPC Growth Rate",AM41*(1+VLOOKUP($H41,Report_Regression!$AB:$AN,13,FALSE))))))</f>
        <v>93.689783491204466</v>
      </c>
      <c r="AO41" s="58">
        <f>VLOOKUP(E41,'Input 7_NG Rates'!B:I,7,FALSE)</f>
        <v>34</v>
      </c>
      <c r="AP41" s="292">
        <f>VLOOKUP(E41,'Input 7_NG Rates'!B:I,8,FALSE)</f>
        <v>0.3196</v>
      </c>
      <c r="AQ41" s="293">
        <f>VLOOKUP(D41,'Input 14_Ref Table'!C:N,12,FALSE)</f>
        <v>0</v>
      </c>
      <c r="AR41" s="292"/>
      <c r="AS41" s="151">
        <f t="shared" si="21"/>
        <v>299268</v>
      </c>
      <c r="AT41" s="151">
        <f t="shared" si="22"/>
        <v>144717.04688800001</v>
      </c>
      <c r="AU41" s="151">
        <f>SUMIF('Input 13.3_2021 Min Charges'!A:A,G41,'Input 13.3_2021 Min Charges'!O:O)</f>
        <v>0</v>
      </c>
      <c r="AV41" s="151">
        <f t="shared" si="23"/>
        <v>0</v>
      </c>
      <c r="AW41" s="151">
        <v>0</v>
      </c>
      <c r="AX41" s="151">
        <f t="shared" si="11"/>
        <v>443985.04688799998</v>
      </c>
      <c r="AY41" s="533">
        <f>SUMIF('Input 6_2021MARG-YTD'!AN:AN,G41,'Input 6_2021MARG-YTD'!AK:AK)</f>
        <v>441049.20000000013</v>
      </c>
      <c r="AZ41" s="533">
        <f t="shared" si="12"/>
        <v>-2935.8468879998545</v>
      </c>
      <c r="BA41" s="533"/>
      <c r="BB41" s="533"/>
      <c r="BC41" s="533"/>
      <c r="BD41" s="533"/>
      <c r="BE41" s="533"/>
      <c r="BF41" s="533"/>
      <c r="BG41" s="55"/>
      <c r="BH41" s="294"/>
      <c r="BI41" s="294"/>
      <c r="BJ41" s="191" t="s">
        <v>668</v>
      </c>
      <c r="BK41" s="514">
        <v>0.15536</v>
      </c>
      <c r="BL41" s="190">
        <f t="shared" si="24"/>
        <v>71213.842996120744</v>
      </c>
      <c r="BM41" s="518" cm="1">
        <f t="array" ref="BM41">IFERROR(INDEX('Input 1_GRIP Factors'!$K$5:$K$54,MATCH(1,(BJ41='Input 1_GRIP Factors'!$G$5:$G$54)*(A41='Input 1_GRIP Factors'!$J$5:$J$54),0)),0)</f>
        <v>0.13790724594372689</v>
      </c>
      <c r="BN41" s="190">
        <f>BM41*AG41</f>
        <v>62445.335974447036</v>
      </c>
      <c r="BO41" s="190">
        <f t="shared" si="13"/>
        <v>573.15657617325439</v>
      </c>
      <c r="BP41" s="190">
        <f t="shared" si="14"/>
        <v>63018.492550620293</v>
      </c>
      <c r="BQ41" s="44" cm="1">
        <f t="array" ref="BQ41">IFERROR(INDEX('Input 1_GRIP Factors'!$Y$5:$Y$65,MATCH(1,(BJ41='Input 1_GRIP Factors'!$G$5:$G$65)*(A41='Input 1_GRIP Factors'!$J$5:$J$65),0)),0)*AG41</f>
        <v>29722.237039200005</v>
      </c>
      <c r="BR41" s="190">
        <f t="shared" si="15"/>
        <v>29754.980720788972</v>
      </c>
      <c r="BS41" s="44" cm="1">
        <f t="array" ref="BS41">IFERROR(INDEX('Input 1_GRIP Factors'!$AC$5:$AC$65,MATCH(1,(BJ41='Input 1_GRIP Factors'!$G$5:$G$65)*(A41='Input 1_GRIP Factors'!$J$5:$J$65),0)),0)*AG41</f>
        <v>59743.326553200008</v>
      </c>
      <c r="BT41" s="190">
        <f t="shared" si="16"/>
        <v>107787.28963253548</v>
      </c>
      <c r="BU41" s="190">
        <f t="shared" si="25"/>
        <v>644545.80979194469</v>
      </c>
      <c r="BV41" s="190">
        <f t="shared" ca="1" si="17"/>
        <v>579.78795373097705</v>
      </c>
      <c r="BW41" s="190">
        <f t="shared" ca="1" si="26"/>
        <v>1814.1049866426065</v>
      </c>
      <c r="BX41" s="190" cm="1">
        <f t="array" aca="1" ref="BX41" ca="1">IFERROR(INDEX('Input 1_GRIP Factors'!$AC$5:$AC$65,MATCH(1,(BJ41='Input 1_GRIP Factors'!$G$5:$G$65)*(A41='Input 1_GRIP Factors'!$J$5:$J$65),0)),0)*BW41</f>
        <v>239.3530119376255</v>
      </c>
      <c r="BY41" s="190"/>
      <c r="BZ41" s="56">
        <f>SUMIF('Monthly VOL'!G:G,'Master '!G41,'Monthly VOL'!BV:BV)</f>
        <v>70088.85461925366</v>
      </c>
      <c r="CA41" s="519"/>
      <c r="CB41" s="56"/>
      <c r="CC41" s="553" t="s">
        <v>117</v>
      </c>
    </row>
    <row r="42" spans="1:81" s="60" customFormat="1">
      <c r="A42" s="60" t="s">
        <v>17</v>
      </c>
      <c r="B42" s="60" t="s">
        <v>993</v>
      </c>
      <c r="C42" s="55" t="s">
        <v>8</v>
      </c>
      <c r="D42" s="55" t="s">
        <v>1251</v>
      </c>
      <c r="E42" s="55" t="str">
        <f>VLOOKUP(D42,'Input 14_Ref Table'!C:D,2,FALSE)</f>
        <v>CR839</v>
      </c>
      <c r="F42" s="174" t="s">
        <v>1287</v>
      </c>
      <c r="G42" s="59" t="str">
        <f>VLOOKUP(D42,'Input 14_Ref Table'!C:I,7,FALSE)</f>
        <v>CFG - FTS-2 - Fixed R</v>
      </c>
      <c r="H42" s="59" t="str">
        <f>VLOOKUP(D42,'Input 14_Ref Table'!C:K,8,FALSE)</f>
        <v>FTS_2</v>
      </c>
      <c r="I42" s="55" t="str">
        <f>VLOOKUP(E42,'Input 7_NG Rates'!B:G,6,FALSE)</f>
        <v>FTS-2</v>
      </c>
      <c r="J42" s="56" t="str">
        <f>IFERROR(VLOOKUP(H42,Report_Regression!B:L,11,FALSE),"")</f>
        <v>Median</v>
      </c>
      <c r="K42" s="57">
        <f>_xlfn.IFNA(VLOOKUP($H42,Report_Regression!$B:$L,9,FALSE),0)</f>
        <v>6.1347398016349964E-3</v>
      </c>
      <c r="L42" s="57">
        <f>_xlfn.IFNA(VLOOKUP($H42,Report_Regression!$B:$L,10,FALSE),0)</f>
        <v>-1.603910390921288E-3</v>
      </c>
      <c r="M42" s="57">
        <f>_xlfn.IFNA(VLOOKUP($H42,Report_Regression!$B:$L,8,FALSE),0)</f>
        <v>1.3626664163571472E-2</v>
      </c>
      <c r="N42" s="57">
        <f t="shared" si="7"/>
        <v>6.1347398016349964E-3</v>
      </c>
      <c r="O42" s="57" t="str">
        <f>IFERROR(VLOOKUP(H42,Report_Regression!O:Y,11,FALSE),"")</f>
        <v>Median</v>
      </c>
      <c r="P42" s="57">
        <f>IFERROR(VLOOKUP($H42,Report_Regression!$O:$Y,9,FALSE),0)</f>
        <v>0</v>
      </c>
      <c r="Q42" s="57">
        <f>IFERROR(VLOOKUP($H42,Report_Regression!$O:$Y,10,FALSE),0)</f>
        <v>0</v>
      </c>
      <c r="R42" s="57">
        <f>IFERROR(VLOOKUP($H42,Report_Regression!$O:$Y,8,FALSE),0)</f>
        <v>0</v>
      </c>
      <c r="S42" s="57">
        <f t="shared" si="8"/>
        <v>0</v>
      </c>
      <c r="T42" s="56">
        <f>_xlfn.IFNA(VLOOKUP($H42,Report_Regression!$O:$Y,6,FALSE),0)</f>
        <v>597.30342792519559</v>
      </c>
      <c r="U42" s="56">
        <f>_xlfn.IFNA(VLOOKUP($H42,Report_Regression!$O:$Y,7,FALSE),0)</f>
        <v>502.88306565049282</v>
      </c>
      <c r="V42" s="56">
        <f>_xlfn.IFNA(VLOOKUP($H42,Report_Regression!$O:$Y,5,FALSE),0)</f>
        <v>691.72379019989842</v>
      </c>
      <c r="W42" s="5">
        <f t="shared" si="9"/>
        <v>597.30342792519559</v>
      </c>
      <c r="X42" s="64">
        <f t="shared" si="10"/>
        <v>552.13719197707735</v>
      </c>
      <c r="Y42" s="56">
        <f>SUMIF('Input 3_2019CUST-YTD'!S:S,G42,'Input 3_2019CUST-YTD'!R:R)</f>
        <v>223</v>
      </c>
      <c r="Z42" s="56">
        <f>SUMIF('Input 4_2020CUST-YTD'!S:S,G42,'Input 4_2020CUST-YTD'!R:R)</f>
        <v>239</v>
      </c>
      <c r="AA42" s="56">
        <f>SUMIF('Input 5_2021CUST-YTD'!S:S,G42,'Input 5_2021CUST-YTD'!R:R)</f>
        <v>236</v>
      </c>
      <c r="AB42" s="56">
        <f t="shared" si="19"/>
        <v>237.44779859318584</v>
      </c>
      <c r="AC42" s="56">
        <f t="shared" si="20"/>
        <v>238.90447905402604</v>
      </c>
      <c r="AD42" s="56" t="str">
        <f>VLOOKUP(D42,'Input 15_Fcst Inputs'!A:F,2,FALSE)</f>
        <v>UPC Growth Rate</v>
      </c>
      <c r="AE42" s="56">
        <f>SUMIF('Input 3.1_2019VOL-YTD'!R:R,G42,'Input 3.1_2019VOL-YTD'!O:O)</f>
        <v>10839.05</v>
      </c>
      <c r="AF42" s="56">
        <f>SUMIF('Input 4.1_2020VOL-YTD'!R:R,G42,'Input 4.1_2020VOL-YTD'!O:O)</f>
        <v>10261.370000000001</v>
      </c>
      <c r="AG42" s="56">
        <f>SUMIF('Input 5.1_2021VOL-YTD'!R:R,G42,'Input 5.1_2021VOL-YTD'!O:O)</f>
        <v>11015.56</v>
      </c>
      <c r="AH42" s="64">
        <f>IFERROR(IF($AD42="Historical Average",(AVERAGE($AE42:$AG42)/AVERAGE($Y42:$AA42))*AB42,IF($AD42="UPC Growth Rate",((AG42/AA42)*(1+$S42)*AB42),IF($AD42="Modeled UPC",AB42/12*$W42,IF(AD42="Base Period",AG42,IF(AD42="Adjusted",SUMIF('Input 15_Fcst Inputs'!A:A,D42,'Input 15_Fcst Inputs'!F:F),0))))),0)</f>
        <v>11083.137594369296</v>
      </c>
      <c r="AI42" s="64">
        <f>IFERROR(IF($AD42="Historical Average",(AVERAGE($AE42:$AG42)/AVERAGE($Y42:$AA42))*AC42,IF($AD42="UPC Growth Rate",((AH42/AB42)*(1+$S42)*AC42),IF($AD42="Modeled UPC",AC42/12*$W42,IF(AD42="Base Period",AG42,IF(AD42="Adjusted",SUMIF('Input 15_Fcst Inputs'!A:A,D42,'Input 15_Fcst Inputs'!G:G),0))))),0)</f>
        <v>11151.129759696471</v>
      </c>
      <c r="AJ42" s="273">
        <f>VLOOKUP($G42,'WP-Peak Month UPC'!$C:$BL,17,FALSE)</f>
        <v>83.416842105263157</v>
      </c>
      <c r="AK42" s="273">
        <f>VLOOKUP($G42,'WP-Peak Month UPC'!$C:$BL,32,FALSE)</f>
        <v>94.939473684210526</v>
      </c>
      <c r="AL42" s="273">
        <f>VLOOKUP($G42,'WP-Peak Month UPC'!$C:$BL,47,FALSE)</f>
        <v>68.594000000000008</v>
      </c>
      <c r="AM42" s="273">
        <f>IF(OR(AD42="Base Period",AD42="Adjusted"),AL42,IF(AD42="Historical Average",AVERAGE(AJ42:AL42),IF(AD42="Modeled UPC",VLOOKUP(H42,Report_Regression!AB:AJ,5,FALSE),IF(AD42="UPC Growth Rate",AL42*(1+VLOOKUP(H42,Report_Regression!AB:AN,13,FALSE))))))</f>
        <v>68.594000000000008</v>
      </c>
      <c r="AN42" s="273">
        <f>IF(OR($AD42="Base Period",$AD42="Adjusted"),$AL42,IF($AD42="Historical Average",AVERAGE($AJ42:$AL42),IF($AD42="Modeled UPC",VLOOKUP($H42,Report_Regression!$AB:$AJ,9,FALSE),IF($AD42="UPC Growth Rate",AM42*(1+VLOOKUP($H42,Report_Regression!$AB:$AN,13,FALSE))))))</f>
        <v>68.594000000000008</v>
      </c>
      <c r="AO42" s="58">
        <f>VLOOKUP(E42,'Input 7_NG Rates'!B:I,7,FALSE)</f>
        <v>48</v>
      </c>
      <c r="AP42" s="292">
        <f>VLOOKUP(E42,'Input 7_NG Rates'!B:I,8,FALSE)</f>
        <v>0</v>
      </c>
      <c r="AQ42" s="293">
        <f>VLOOKUP(D42,'Input 14_Ref Table'!C:N,12,FALSE)</f>
        <v>0</v>
      </c>
      <c r="AR42" s="292"/>
      <c r="AS42" s="151">
        <f t="shared" si="21"/>
        <v>11328</v>
      </c>
      <c r="AT42" s="151">
        <f t="shared" si="22"/>
        <v>0</v>
      </c>
      <c r="AU42" s="151">
        <f>SUMIF('Input 13.3_2021 Min Charges'!A:A,G42,'Input 13.3_2021 Min Charges'!O:O)</f>
        <v>0</v>
      </c>
      <c r="AV42" s="151">
        <f t="shared" si="23"/>
        <v>0</v>
      </c>
      <c r="AW42" s="151">
        <v>0</v>
      </c>
      <c r="AX42" s="151">
        <f t="shared" si="11"/>
        <v>11328</v>
      </c>
      <c r="AY42" s="533">
        <f>SUMIF('Input 6_2021MARG-YTD'!AN:AN,G42,'Input 6_2021MARG-YTD'!AK:AK)</f>
        <v>11204.8</v>
      </c>
      <c r="AZ42" s="533">
        <f t="shared" si="12"/>
        <v>-123.20000000000073</v>
      </c>
      <c r="BA42" s="533"/>
      <c r="BB42" s="533"/>
      <c r="BC42" s="533"/>
      <c r="BD42" s="533"/>
      <c r="BE42" s="533"/>
      <c r="BF42" s="533"/>
      <c r="BG42" s="55"/>
      <c r="BH42" s="294"/>
      <c r="BI42" s="294"/>
      <c r="BJ42" s="191" t="s">
        <v>677</v>
      </c>
      <c r="BK42" s="514">
        <v>0.15536</v>
      </c>
      <c r="BL42" s="190">
        <f t="shared" si="24"/>
        <v>1732.4395194664437</v>
      </c>
      <c r="BM42" s="518" cm="1">
        <f t="array" ref="BM42">IFERROR(INDEX('Input 1_GRIP Factors'!$K$5:$K$54,MATCH(1,(BJ42='Input 1_GRIP Factors'!$G$5:$G$54)*(A42='Input 1_GRIP Factors'!$J$5:$J$54),0)),0)</f>
        <v>7.9429790322580649</v>
      </c>
      <c r="BN42" s="190">
        <f>BM42*AA42</f>
        <v>1874.5430516129034</v>
      </c>
      <c r="BO42" s="190">
        <f t="shared" si="13"/>
        <v>17.205555236206411</v>
      </c>
      <c r="BP42" s="190">
        <f t="shared" si="14"/>
        <v>1891.7486068491098</v>
      </c>
      <c r="BQ42" s="551" cm="1">
        <f t="array" ref="BQ42">IFERROR(INDEX('Input 1_GRIP Factors'!$Y$5:$Y$54,MATCH(1,(BJ42='Input 1_GRIP Factors'!$G$5:$G$54)*(A42='Input 1_GRIP Factors'!$J$5:$J$54),0)),0)*AA42</f>
        <v>915.68</v>
      </c>
      <c r="BR42" s="190">
        <f t="shared" si="15"/>
        <v>916.68876439138285</v>
      </c>
      <c r="BS42" s="44" cm="1">
        <f t="array" ref="BS42">IFERROR(INDEX('Input 1_GRIP Factors'!$AC$5:$AC$54,MATCH(1,(BJ42='Input 1_GRIP Factors'!$G$5:$G$54)*(A42='Input 1_GRIP Factors'!$J$5:$J$54),0)),0)*AA42</f>
        <v>1349.2592</v>
      </c>
      <c r="BT42" s="190">
        <f t="shared" si="16"/>
        <v>2434.2968590853152</v>
      </c>
      <c r="BU42" s="190">
        <f t="shared" si="25"/>
        <v>16570.734230325808</v>
      </c>
      <c r="BV42" s="190">
        <f t="shared" ca="1" si="17"/>
        <v>14.79292599131456</v>
      </c>
      <c r="BW42" s="190">
        <f t="shared" ca="1" si="26"/>
        <v>0</v>
      </c>
      <c r="BX42" s="190" cm="1">
        <f t="array" aca="1" ref="BX42" ca="1">IFERROR(INDEX('Input 1_GRIP Factors'!$AC$5:$AC$65,MATCH(1,(BJ42='Input 1_GRIP Factors'!$G$5:$G$65)*(A42='Input 1_GRIP Factors'!$J$5:$J$65),0)),0)*BW42</f>
        <v>0</v>
      </c>
      <c r="BY42" s="190"/>
      <c r="BZ42" s="56">
        <f>SUMIF('Monthly VOL'!G:G,'Master '!G42,'Monthly VOL'!BV:BV)</f>
        <v>1388.7638844264291</v>
      </c>
      <c r="CA42" s="519"/>
      <c r="CB42" s="56"/>
      <c r="CC42" s="553" t="s">
        <v>117</v>
      </c>
    </row>
    <row r="43" spans="1:81" s="60" customFormat="1">
      <c r="A43" s="60" t="s">
        <v>17</v>
      </c>
      <c r="B43" s="60" t="s">
        <v>993</v>
      </c>
      <c r="C43" s="55" t="s">
        <v>1245</v>
      </c>
      <c r="D43" s="55" t="s">
        <v>1252</v>
      </c>
      <c r="E43" s="55" t="str">
        <f>VLOOKUP(D43,'Input 14_Ref Table'!C:D,2,FALSE)</f>
        <v>CC815</v>
      </c>
      <c r="F43" s="172" t="s">
        <v>1286</v>
      </c>
      <c r="G43" s="59" t="str">
        <f>VLOOKUP(D43,'Input 14_Ref Table'!C:I,7,FALSE)</f>
        <v>CFG - FTS-2 NR</v>
      </c>
      <c r="H43" s="59" t="str">
        <f>VLOOKUP(D43,'Input 14_Ref Table'!C:K,8,FALSE)</f>
        <v>FTS2</v>
      </c>
      <c r="I43" s="55" t="str">
        <f>VLOOKUP(E43,'Input 7_NG Rates'!B:G,6,FALSE)</f>
        <v>FTS-2</v>
      </c>
      <c r="J43" s="56" t="str">
        <f>IFERROR(VLOOKUP(H43,Report_Regression!B:L,11,FALSE),"")</f>
        <v>Median</v>
      </c>
      <c r="K43" s="57">
        <f>_xlfn.IFNA(VLOOKUP($H43,Report_Regression!$B:$L,9,FALSE),0)</f>
        <v>5.7427510434033407E-2</v>
      </c>
      <c r="L43" s="57">
        <f>_xlfn.IFNA(VLOOKUP($H43,Report_Regression!$B:$L,10,FALSE),0)</f>
        <v>5.352031492648783E-2</v>
      </c>
      <c r="M43" s="57">
        <f>_xlfn.IFNA(VLOOKUP($H43,Report_Regression!$B:$L,8,FALSE),0)</f>
        <v>6.1052014053353108E-2</v>
      </c>
      <c r="N43" s="57">
        <f t="shared" si="7"/>
        <v>5.7427510434033407E-2</v>
      </c>
      <c r="O43" s="57" t="str">
        <f>IFERROR(VLOOKUP(H43,Report_Regression!O:Y,11,FALSE),"")</f>
        <v>Median</v>
      </c>
      <c r="P43" s="57">
        <f>IFERROR(VLOOKUP($H43,Report_Regression!$O:$Y,9,FALSE),0)</f>
        <v>-1.970443349753722E-2</v>
      </c>
      <c r="Q43" s="57">
        <f>IFERROR(VLOOKUP($H43,Report_Regression!$O:$Y,10,FALSE),0)</f>
        <v>-2.5095188646590511E-2</v>
      </c>
      <c r="R43" s="57">
        <f>IFERROR(VLOOKUP($H43,Report_Regression!$O:$Y,8,FALSE),0)</f>
        <v>-1.5386747990019593E-2</v>
      </c>
      <c r="S43" s="57">
        <f t="shared" si="8"/>
        <v>-1.970443349753722E-2</v>
      </c>
      <c r="T43" s="56">
        <f>_xlfn.IFNA(VLOOKUP($H43,Report_Regression!$O:$Y,6,FALSE),0)</f>
        <v>636.79999999999995</v>
      </c>
      <c r="U43" s="56">
        <f>_xlfn.IFNA(VLOOKUP($H43,Report_Regression!$O:$Y,7,FALSE),0)</f>
        <v>563.30000000000007</v>
      </c>
      <c r="V43" s="56">
        <f>_xlfn.IFNA(VLOOKUP($H43,Report_Regression!$O:$Y,5,FALSE),0)</f>
        <v>710.3</v>
      </c>
      <c r="W43" s="5">
        <f t="shared" si="9"/>
        <v>636.79999999999995</v>
      </c>
      <c r="X43" s="64">
        <f t="shared" si="10"/>
        <v>704.51699914748508</v>
      </c>
      <c r="Y43" s="56">
        <f>SUMIF('Input 3_2019CUST-YTD'!S:S,G43,'Input 3_2019CUST-YTD'!R:R)</f>
        <v>1140</v>
      </c>
      <c r="Z43" s="56">
        <f>SUMIF('Input 4_2020CUST-YTD'!S:S,G43,'Input 4_2020CUST-YTD'!R:R)</f>
        <v>1204</v>
      </c>
      <c r="AA43" s="56">
        <f>SUMIF('Input 5_2021CUST-YTD'!S:S,G43,'Input 5_2021CUST-YTD'!R:R)</f>
        <v>1175</v>
      </c>
      <c r="AB43" s="56">
        <f t="shared" si="19"/>
        <v>1242.4773247599892</v>
      </c>
      <c r="AC43" s="56">
        <f t="shared" si="20"/>
        <v>1313.8297042916934</v>
      </c>
      <c r="AD43" s="56" t="str">
        <f>VLOOKUP(D43,'Input 15_Fcst Inputs'!A:F,2,FALSE)</f>
        <v>UPC Growth Rate</v>
      </c>
      <c r="AE43" s="56">
        <f>SUMIF('Input 3.1_2019VOL-YTD'!R:R,G43,'Input 3.1_2019VOL-YTD'!O:O)</f>
        <v>74329.64</v>
      </c>
      <c r="AF43" s="56">
        <f>SUMIF('Input 4.1_2020VOL-YTD'!R:R,G43,'Input 4.1_2020VOL-YTD'!O:O)</f>
        <v>64248.369999999995</v>
      </c>
      <c r="AG43" s="56">
        <f>SUMIF('Input 5.1_2021VOL-YTD'!R:R,G43,'Input 5.1_2021VOL-YTD'!O:O)</f>
        <v>68021.599999999991</v>
      </c>
      <c r="AH43" s="64">
        <f>IFERROR(IF($AD43="Historical Average",(AVERAGE($AE43:$AG43)/AVERAGE($Y43:$AA43))*AB43,IF($AD43="UPC Growth Rate",((AG43/AA43)*(1+$S43)*AB43),IF($AD43="Modeled UPC",AB43/12*$W43,IF(AD43="Base Period",AG43,IF(AD43="Adjusted",SUMIF('Input 15_Fcst Inputs'!A:A,D43,'Input 15_Fcst Inputs'!F:F),0))))),0)</f>
        <v>70510.612401991049</v>
      </c>
      <c r="AI43" s="64">
        <f>IFERROR(IF($AD43="Historical Average",(AVERAGE($AE43:$AG43)/AVERAGE($Y43:$AA43))*AC43,IF($AD43="UPC Growth Rate",((AH43/AB43)*(1+$S43)*AC43),IF($AD43="Modeled UPC",AC43/12*$W43,IF(AD43="Base Period",AG43,IF(AD43="Adjusted",SUMIF('Input 15_Fcst Inputs'!A:A,D43,'Input 15_Fcst Inputs'!G:G),0))))),0)</f>
        <v>73090.701502225973</v>
      </c>
      <c r="AJ43" s="273">
        <f>VLOOKUP($G43,'WP-Peak Month UPC'!$C:$BL,17,FALSE)</f>
        <v>93.656276595744686</v>
      </c>
      <c r="AK43" s="273">
        <f>VLOOKUP($G43,'WP-Peak Month UPC'!$C:$BL,32,FALSE)</f>
        <v>75.092626262626268</v>
      </c>
      <c r="AL43" s="273">
        <f>VLOOKUP($G43,'WP-Peak Month UPC'!$C:$BL,47,FALSE)</f>
        <v>83.427549019607852</v>
      </c>
      <c r="AM43" s="273">
        <f>IF(OR(AD43="Base Period",AD43="Adjusted"),AL43,IF(AD43="Historical Average",AVERAGE(AJ43:AL43),IF(AD43="Modeled UPC",VLOOKUP(H43,Report_Regression!AB:AJ,5,FALSE),IF(AD43="UPC Growth Rate",AL43*(1+VLOOKUP(H43,Report_Regression!AB:AN,13,FALSE))))))</f>
        <v>80.150525817528333</v>
      </c>
      <c r="AN43" s="273">
        <f>IF(OR($AD43="Base Period",$AD43="Adjusted"),$AL43,IF($AD43="Historical Average",AVERAGE($AJ43:$AL43),IF($AD43="Modeled UPC",VLOOKUP($H43,Report_Regression!$AB:$AJ,9,FALSE),IF($AD43="UPC Growth Rate",AM43*(1+VLOOKUP($H43,Report_Regression!$AB:$AN,13,FALSE))))))</f>
        <v>77.002223657756346</v>
      </c>
      <c r="AO43" s="58">
        <f>VLOOKUP(E43,'Input 7_NG Rates'!B:I,7,FALSE)</f>
        <v>34</v>
      </c>
      <c r="AP43" s="292">
        <f>VLOOKUP(E43,'Input 7_NG Rates'!B:I,8,FALSE)</f>
        <v>0.3196</v>
      </c>
      <c r="AQ43" s="293">
        <f>VLOOKUP(D43,'Input 14_Ref Table'!C:N,12,FALSE)</f>
        <v>0</v>
      </c>
      <c r="AR43" s="292"/>
      <c r="AS43" s="151">
        <f t="shared" si="21"/>
        <v>39950</v>
      </c>
      <c r="AT43" s="151">
        <f t="shared" si="22"/>
        <v>21739.703359999996</v>
      </c>
      <c r="AU43" s="151">
        <f>SUMIF('Input 13.3_2021 Min Charges'!A:A,G43,'Input 13.3_2021 Min Charges'!O:O)</f>
        <v>0</v>
      </c>
      <c r="AV43" s="151">
        <f t="shared" si="23"/>
        <v>0</v>
      </c>
      <c r="AW43" s="151">
        <v>0</v>
      </c>
      <c r="AX43" s="151">
        <f t="shared" si="11"/>
        <v>61689.70336</v>
      </c>
      <c r="AY43" s="533">
        <f>SUMIF('Input 6_2021MARG-YTD'!AN:AN,G43,'Input 6_2021MARG-YTD'!AK:AK)</f>
        <v>61519.609999999993</v>
      </c>
      <c r="AZ43" s="533">
        <f t="shared" si="12"/>
        <v>-170.09336000000621</v>
      </c>
      <c r="BA43" s="533"/>
      <c r="BB43" s="533"/>
      <c r="BC43" s="533"/>
      <c r="BD43" s="533"/>
      <c r="BE43" s="533"/>
      <c r="BF43" s="533"/>
      <c r="BG43" s="55"/>
      <c r="BH43" s="294"/>
      <c r="BI43" s="294"/>
      <c r="BJ43" s="191" t="s">
        <v>668</v>
      </c>
      <c r="BK43" s="514">
        <v>0.15536</v>
      </c>
      <c r="BL43" s="190">
        <f t="shared" si="24"/>
        <v>11355.371385385826</v>
      </c>
      <c r="BM43" s="518" cm="1">
        <f t="array" ref="BM43">IFERROR(INDEX('Input 1_GRIP Factors'!$K$5:$K$54,MATCH(1,(BJ43='Input 1_GRIP Factors'!$G$5:$G$54)*(A43='Input 1_GRIP Factors'!$J$5:$J$54),0)),0)</f>
        <v>0.13790724594372689</v>
      </c>
      <c r="BN43" s="190">
        <f>BM43*AG43</f>
        <v>9380.6715206858116</v>
      </c>
      <c r="BO43" s="190">
        <f t="shared" si="13"/>
        <v>86.100802999960905</v>
      </c>
      <c r="BP43" s="190">
        <f t="shared" si="14"/>
        <v>9466.7723236857728</v>
      </c>
      <c r="BQ43" s="44" cm="1">
        <f t="array" ref="BQ43">IFERROR(INDEX('Input 1_GRIP Factors'!$Y$5:$Y$65,MATCH(1,(BJ43='Input 1_GRIP Factors'!$G$5:$G$65)*(A43='Input 1_GRIP Factors'!$J$5:$J$65),0)),0)*AG43</f>
        <v>4464.9378239999996</v>
      </c>
      <c r="BR43" s="190">
        <f t="shared" si="15"/>
        <v>4469.8566496668154</v>
      </c>
      <c r="BS43" s="44" cm="1">
        <f t="array" ref="BS43">IFERROR(INDEX('Input 1_GRIP Factors'!$AC$5:$AC$65,MATCH(1,(BJ43='Input 1_GRIP Factors'!$G$5:$G$65)*(A43='Input 1_GRIP Factors'!$J$5:$J$65),0)),0)*AG43</f>
        <v>8974.7699039999989</v>
      </c>
      <c r="BT43" s="190">
        <f t="shared" si="16"/>
        <v>16192.036480700386</v>
      </c>
      <c r="BU43" s="190">
        <f t="shared" si="25"/>
        <v>91818.368814052985</v>
      </c>
      <c r="BV43" s="190">
        <f t="shared" ca="1" si="17"/>
        <v>80.558899737873332</v>
      </c>
      <c r="BW43" s="190">
        <f t="shared" ca="1" si="26"/>
        <v>252.06163872926575</v>
      </c>
      <c r="BX43" s="190" cm="1">
        <f t="array" aca="1" ref="BX43" ca="1">IFERROR(INDEX('Input 1_GRIP Factors'!$AC$5:$AC$65,MATCH(1,(BJ43='Input 1_GRIP Factors'!$G$5:$G$65)*(A43='Input 1_GRIP Factors'!$J$5:$J$65),0)),0)*BW43</f>
        <v>33.257012613939324</v>
      </c>
      <c r="BY43" s="190"/>
      <c r="BZ43" s="56">
        <f>SUMIF('Monthly VOL'!G:G,'Master '!G43,'Monthly VOL'!BV:BV)</f>
        <v>9143.7626343743359</v>
      </c>
      <c r="CA43" s="519"/>
      <c r="CB43" s="56"/>
      <c r="CC43" s="553" t="s">
        <v>117</v>
      </c>
    </row>
    <row r="44" spans="1:81" s="60" customFormat="1">
      <c r="A44" s="60" t="s">
        <v>17</v>
      </c>
      <c r="B44" s="60" t="s">
        <v>993</v>
      </c>
      <c r="C44" s="55" t="s">
        <v>1245</v>
      </c>
      <c r="D44" s="55" t="s">
        <v>1253</v>
      </c>
      <c r="E44" s="55" t="str">
        <f>VLOOKUP(D44,'Input 14_Ref Table'!C:D,2,FALSE)</f>
        <v>CC820</v>
      </c>
      <c r="F44" s="174" t="s">
        <v>1287</v>
      </c>
      <c r="G44" s="59" t="str">
        <f>VLOOKUP(D44,'Input 14_Ref Table'!C:I,7,FALSE)</f>
        <v>CFG - FTS-2 - Fixed NR</v>
      </c>
      <c r="H44" s="59" t="str">
        <f>VLOOKUP(D44,'Input 14_Ref Table'!C:K,8,FALSE)</f>
        <v>FTS2</v>
      </c>
      <c r="I44" s="55" t="str">
        <f>VLOOKUP(E44,'Input 7_NG Rates'!B:G,6,FALSE)</f>
        <v>FTS-2</v>
      </c>
      <c r="J44" s="56" t="str">
        <f>IFERROR(VLOOKUP(H44,Report_Regression!B:L,11,FALSE),"")</f>
        <v>Median</v>
      </c>
      <c r="K44" s="57">
        <f>_xlfn.IFNA(VLOOKUP($H44,Report_Regression!$B:$L,9,FALSE),0)</f>
        <v>5.7427510434033407E-2</v>
      </c>
      <c r="L44" s="57">
        <f>_xlfn.IFNA(VLOOKUP($H44,Report_Regression!$B:$L,10,FALSE),0)</f>
        <v>5.352031492648783E-2</v>
      </c>
      <c r="M44" s="57">
        <f>_xlfn.IFNA(VLOOKUP($H44,Report_Regression!$B:$L,8,FALSE),0)</f>
        <v>6.1052014053353108E-2</v>
      </c>
      <c r="N44" s="57">
        <f t="shared" si="7"/>
        <v>5.7427510434033407E-2</v>
      </c>
      <c r="O44" s="57" t="str">
        <f>IFERROR(VLOOKUP(H44,Report_Regression!O:Y,11,FALSE),"")</f>
        <v>Median</v>
      </c>
      <c r="P44" s="57">
        <f>IFERROR(VLOOKUP($H44,Report_Regression!$O:$Y,9,FALSE),0)</f>
        <v>-1.970443349753722E-2</v>
      </c>
      <c r="Q44" s="57">
        <f>IFERROR(VLOOKUP($H44,Report_Regression!$O:$Y,10,FALSE),0)</f>
        <v>-2.5095188646590511E-2</v>
      </c>
      <c r="R44" s="57">
        <f>IFERROR(VLOOKUP($H44,Report_Regression!$O:$Y,8,FALSE),0)</f>
        <v>-1.5386747990019593E-2</v>
      </c>
      <c r="S44" s="57">
        <f t="shared" si="8"/>
        <v>-1.970443349753722E-2</v>
      </c>
      <c r="T44" s="56">
        <f>_xlfn.IFNA(VLOOKUP($H44,Report_Regression!$O:$Y,6,FALSE),0)</f>
        <v>636.79999999999995</v>
      </c>
      <c r="U44" s="56">
        <f>_xlfn.IFNA(VLOOKUP($H44,Report_Regression!$O:$Y,7,FALSE),0)</f>
        <v>563.30000000000007</v>
      </c>
      <c r="V44" s="56">
        <f>_xlfn.IFNA(VLOOKUP($H44,Report_Regression!$O:$Y,5,FALSE),0)</f>
        <v>710.3</v>
      </c>
      <c r="W44" s="5">
        <f t="shared" si="9"/>
        <v>636.79999999999995</v>
      </c>
      <c r="X44" s="64">
        <f t="shared" si="10"/>
        <v>616.65624365482222</v>
      </c>
      <c r="Y44" s="56">
        <f>SUMIF('Input 3_2019CUST-YTD'!S:S,G44,'Input 3_2019CUST-YTD'!R:R)</f>
        <v>63</v>
      </c>
      <c r="Z44" s="56">
        <f>SUMIF('Input 4_2020CUST-YTD'!S:S,G44,'Input 4_2020CUST-YTD'!R:R)</f>
        <v>67</v>
      </c>
      <c r="AA44" s="56">
        <f>SUMIF('Input 5_2021CUST-YTD'!S:S,G44,'Input 5_2021CUST-YTD'!R:R)</f>
        <v>67</v>
      </c>
      <c r="AB44" s="56">
        <f t="shared" si="19"/>
        <v>70.847643199080238</v>
      </c>
      <c r="AC44" s="56">
        <f t="shared" si="20"/>
        <v>74.916246968122095</v>
      </c>
      <c r="AD44" s="56" t="str">
        <f>VLOOKUP(D44,'Input 15_Fcst Inputs'!A:F,2,FALSE)</f>
        <v>UPC Growth Rate</v>
      </c>
      <c r="AE44" s="56">
        <f>SUMIF('Input 3.1_2019VOL-YTD'!R:R,G44,'Input 3.1_2019VOL-YTD'!O:O)</f>
        <v>4452.0999999999995</v>
      </c>
      <c r="AF44" s="56">
        <f>SUMIF('Input 4.1_2020VOL-YTD'!R:R,G44,'Input 4.1_2020VOL-YTD'!O:O)</f>
        <v>2389.8399999999997</v>
      </c>
      <c r="AG44" s="56">
        <f>SUMIF('Input 5.1_2021VOL-YTD'!R:R,G44,'Input 5.1_2021VOL-YTD'!O:O)</f>
        <v>3281.4999999999995</v>
      </c>
      <c r="AH44" s="64">
        <f>IFERROR(IF($AD44="Historical Average",(AVERAGE($AE44:$AG44)/AVERAGE($Y44:$AA44))*AB44,IF($AD44="UPC Growth Rate",((AG44/AA44)*(1+$S44)*AB44),IF($AD44="Modeled UPC",AB44/12*$W44,IF(AD44="Base Period",AG44,IF(AD44="Adjusted",SUMIF('Input 15_Fcst Inputs'!A:A,D44,'Input 15_Fcst Inputs'!F:F),0))))),0)</f>
        <v>3401.575008484564</v>
      </c>
      <c r="AI44" s="64">
        <f>IFERROR(IF($AD44="Historical Average",(AVERAGE($AE44:$AG44)/AVERAGE($Y44:$AA44))*AC44,IF($AD44="UPC Growth Rate",((AH44/AB44)*(1+$S44)*AC44),IF($AD44="Modeled UPC",AC44/12*$W44,IF(AD44="Base Period",AG44,IF(AD44="Adjusted",SUMIF('Input 15_Fcst Inputs'!A:A,D44,'Input 15_Fcst Inputs'!G:G),0))))),0)</f>
        <v>3526.0437416872664</v>
      </c>
      <c r="AJ44" s="273">
        <f>VLOOKUP($G44,'WP-Peak Month UPC'!$C:$BL,17,FALSE)</f>
        <v>113.758</v>
      </c>
      <c r="AK44" s="273">
        <f>VLOOKUP($G44,'WP-Peak Month UPC'!$C:$BL,32,FALSE)</f>
        <v>47.594000000000001</v>
      </c>
      <c r="AL44" s="273">
        <f>VLOOKUP($G44,'WP-Peak Month UPC'!$C:$BL,47,FALSE)</f>
        <v>37.723333333333336</v>
      </c>
      <c r="AM44" s="273">
        <f>IF(OR(AD44="Base Period",AD44="Adjusted"),AL44,IF(AD44="Historical Average",AVERAGE(AJ44:AL44),IF(AD44="Modeled UPC",VLOOKUP(H44,Report_Regression!AB:AJ,5,FALSE),IF(AD44="UPC Growth Rate",AL44*(1+VLOOKUP(H44,Report_Regression!AB:AN,13,FALSE))))))</f>
        <v>36.241565739225315</v>
      </c>
      <c r="AN44" s="273">
        <f>IF(OR($AD44="Base Period",$AD44="Adjusted"),$AL44,IF($AD44="Historical Average",AVERAGE($AJ44:$AL44),IF($AD44="Modeled UPC",VLOOKUP($H44,Report_Regression!$AB:$AJ,9,FALSE),IF($AD44="UPC Growth Rate",AM44*(1+VLOOKUP($H44,Report_Regression!$AB:$AN,13,FALSE))))))</f>
        <v>34.818001782201733</v>
      </c>
      <c r="AO44" s="58">
        <f>VLOOKUP(E44,'Input 7_NG Rates'!B:I,7,FALSE)</f>
        <v>48</v>
      </c>
      <c r="AP44" s="292">
        <f>VLOOKUP(E44,'Input 7_NG Rates'!B:I,8,FALSE)</f>
        <v>0</v>
      </c>
      <c r="AQ44" s="293">
        <f>VLOOKUP(D44,'Input 14_Ref Table'!C:N,12,FALSE)</f>
        <v>0</v>
      </c>
      <c r="AR44" s="292"/>
      <c r="AS44" s="151">
        <f t="shared" si="21"/>
        <v>3216</v>
      </c>
      <c r="AT44" s="151">
        <f t="shared" si="22"/>
        <v>0</v>
      </c>
      <c r="AU44" s="151">
        <f>SUMIF('Input 13.3_2021 Min Charges'!A:A,G44,'Input 13.3_2021 Min Charges'!O:O)</f>
        <v>0</v>
      </c>
      <c r="AV44" s="151">
        <f t="shared" si="23"/>
        <v>0</v>
      </c>
      <c r="AW44" s="151">
        <v>0</v>
      </c>
      <c r="AX44" s="151">
        <f t="shared" si="11"/>
        <v>3216</v>
      </c>
      <c r="AY44" s="533">
        <f>SUMIF('Input 6_2021MARG-YTD'!AN:AN,G44,'Input 6_2021MARG-YTD'!AK:AK)</f>
        <v>3177.6</v>
      </c>
      <c r="AZ44" s="533">
        <f t="shared" si="12"/>
        <v>-38.400000000000091</v>
      </c>
      <c r="BA44" s="533"/>
      <c r="BB44" s="533"/>
      <c r="BC44" s="533"/>
      <c r="BD44" s="533"/>
      <c r="BE44" s="533"/>
      <c r="BF44" s="533"/>
      <c r="BG44" s="55"/>
      <c r="BH44" s="294"/>
      <c r="BI44" s="294"/>
      <c r="BJ44" s="191" t="s">
        <v>677</v>
      </c>
      <c r="BK44" s="514">
        <v>0.15536</v>
      </c>
      <c r="BL44" s="190">
        <f t="shared" si="24"/>
        <v>547.80615570853365</v>
      </c>
      <c r="BM44" s="518" cm="1">
        <f t="array" ref="BM44">IFERROR(INDEX('Input 1_GRIP Factors'!$K$5:$K$54,MATCH(1,(BJ44='Input 1_GRIP Factors'!$G$5:$G$54)*(A44='Input 1_GRIP Factors'!$J$5:$J$54),0)),0)</f>
        <v>7.9429790322580649</v>
      </c>
      <c r="BN44" s="190">
        <f>BM44*AA44</f>
        <v>532.17959516129031</v>
      </c>
      <c r="BO44" s="190">
        <f t="shared" si="13"/>
        <v>4.8846279696009729</v>
      </c>
      <c r="BP44" s="190">
        <f t="shared" si="14"/>
        <v>537.06422313089126</v>
      </c>
      <c r="BQ44" s="551" cm="1">
        <f t="array" ref="BQ44">IFERROR(INDEX('Input 1_GRIP Factors'!$Y$5:$Y$54,MATCH(1,(BJ44='Input 1_GRIP Factors'!$G$5:$G$54)*(A44='Input 1_GRIP Factors'!$J$5:$J$54),0)),0)*AA44</f>
        <v>259.95999999999998</v>
      </c>
      <c r="BR44" s="190">
        <f t="shared" si="15"/>
        <v>260.2463865009434</v>
      </c>
      <c r="BS44" s="44" cm="1">
        <f t="array" ref="BS44">IFERROR(INDEX('Input 1_GRIP Factors'!$AC$5:$AC$54,MATCH(1,(BJ44='Input 1_GRIP Factors'!$G$5:$G$54)*(A44='Input 1_GRIP Factors'!$J$5:$J$54),0)),0)*AA44</f>
        <v>383.05239999999998</v>
      </c>
      <c r="BT44" s="190">
        <f t="shared" si="16"/>
        <v>691.09275236744134</v>
      </c>
      <c r="BU44" s="190">
        <f t="shared" si="25"/>
        <v>4704.4033619992761</v>
      </c>
      <c r="BV44" s="190">
        <f t="shared" ca="1" si="17"/>
        <v>4.199686616178286</v>
      </c>
      <c r="BW44" s="190">
        <f t="shared" ca="1" si="26"/>
        <v>0</v>
      </c>
      <c r="BX44" s="190" cm="1">
        <f t="array" aca="1" ref="BX44" ca="1">IFERROR(INDEX('Input 1_GRIP Factors'!$AC$5:$AC$65,MATCH(1,(BJ44='Input 1_GRIP Factors'!$G$5:$G$65)*(A44='Input 1_GRIP Factors'!$J$5:$J$65),0)),0)*BW44</f>
        <v>0</v>
      </c>
      <c r="BY44" s="190"/>
      <c r="BZ44" s="56">
        <f>SUMIF('Monthly VOL'!G:G,'Master '!G44,'Monthly VOL'!BV:BV)</f>
        <v>243.20729559454395</v>
      </c>
      <c r="CA44" s="519"/>
      <c r="CB44" s="56"/>
      <c r="CC44" s="553" t="s">
        <v>117</v>
      </c>
    </row>
    <row r="45" spans="1:81" s="60" customFormat="1">
      <c r="A45" s="60" t="s">
        <v>17</v>
      </c>
      <c r="B45" s="60" t="s">
        <v>993</v>
      </c>
      <c r="C45" s="55" t="s">
        <v>8</v>
      </c>
      <c r="D45" s="55" t="s">
        <v>1254</v>
      </c>
      <c r="E45" s="55" t="str">
        <f>VLOOKUP(D45,'Input 14_Ref Table'!C:D,2,FALSE)</f>
        <v>CR825</v>
      </c>
      <c r="F45" s="172" t="s">
        <v>1286</v>
      </c>
      <c r="G45" s="59" t="str">
        <f>VLOOKUP(D45,'Input 14_Ref Table'!C:I,7,FALSE)</f>
        <v>CFG - FTS-2.1 R</v>
      </c>
      <c r="H45" s="59" t="str">
        <f>VLOOKUP(D45,'Input 14_Ref Table'!C:K,8,FALSE)</f>
        <v>FTS_2.1</v>
      </c>
      <c r="I45" s="55" t="str">
        <f>VLOOKUP(E45,'Input 7_NG Rates'!B:G,6,FALSE)</f>
        <v>FTS21</v>
      </c>
      <c r="J45" s="56" t="str">
        <f>IFERROR(VLOOKUP(H45,Report_Regression!B:L,11,FALSE),"")</f>
        <v>Median</v>
      </c>
      <c r="K45" s="57">
        <f>_xlfn.IFNA(VLOOKUP($H45,Report_Regression!$B:$L,9,FALSE),0)</f>
        <v>-2.0400907354704373E-2</v>
      </c>
      <c r="L45" s="57">
        <f>_xlfn.IFNA(VLOOKUP($H45,Report_Regression!$B:$L,10,FALSE),0)</f>
        <v>-5.8885380908403812E-2</v>
      </c>
      <c r="M45" s="57">
        <f>_xlfn.IFNA(VLOOKUP($H45,Report_Regression!$B:$L,8,FALSE),0)</f>
        <v>1.3983779024195529E-2</v>
      </c>
      <c r="N45" s="57">
        <f t="shared" si="7"/>
        <v>-2.0400907354704373E-2</v>
      </c>
      <c r="O45" s="57" t="str">
        <f>IFERROR(VLOOKUP(H45,Report_Regression!O:Y,11,FALSE),"")</f>
        <v>Median</v>
      </c>
      <c r="P45" s="57">
        <f>IFERROR(VLOOKUP($H45,Report_Regression!$O:$Y,9,FALSE),0)</f>
        <v>-4.2673976859106559E-2</v>
      </c>
      <c r="Q45" s="57">
        <f>IFERROR(VLOOKUP($H45,Report_Regression!$O:$Y,10,FALSE),0)</f>
        <v>-9.4883282598638069E-2</v>
      </c>
      <c r="R45" s="57">
        <f>IFERROR(VLOOKUP($H45,Report_Regression!$O:$Y,8,FALSE),0)</f>
        <v>-8.4170622033785409E-3</v>
      </c>
      <c r="S45" s="57">
        <f t="shared" si="8"/>
        <v>-4.2673976859106559E-2</v>
      </c>
      <c r="T45" s="56">
        <f>_xlfn.IFNA(VLOOKUP($H45,Report_Regression!$O:$Y,6,FALSE),0)</f>
        <v>871.59467421763247</v>
      </c>
      <c r="U45" s="56">
        <f>_xlfn.IFNA(VLOOKUP($H45,Report_Regression!$O:$Y,7,FALSE),0)</f>
        <v>652.96673277073285</v>
      </c>
      <c r="V45" s="56">
        <f>_xlfn.IFNA(VLOOKUP($H45,Report_Regression!$O:$Y,5,FALSE),0)</f>
        <v>1090.2226156645322</v>
      </c>
      <c r="W45" s="5">
        <f t="shared" si="9"/>
        <v>871.59467421763247</v>
      </c>
      <c r="X45" s="64">
        <f t="shared" si="10"/>
        <v>984.3542164502162</v>
      </c>
      <c r="Y45" s="56">
        <f>SUMIF('Input 3_2019CUST-YTD'!S:S,G45,'Input 3_2019CUST-YTD'!R:R)</f>
        <v>5789</v>
      </c>
      <c r="Z45" s="56">
        <f>SUMIF('Input 4_2020CUST-YTD'!S:S,G45,'Input 4_2020CUST-YTD'!R:R)</f>
        <v>5764</v>
      </c>
      <c r="AA45" s="56">
        <f>SUMIF('Input 5_2021CUST-YTD'!S:S,G45,'Input 5_2021CUST-YTD'!R:R)</f>
        <v>5772</v>
      </c>
      <c r="AB45" s="56">
        <f t="shared" si="19"/>
        <v>5654.2459627486469</v>
      </c>
      <c r="AC45" s="56">
        <f t="shared" si="20"/>
        <v>5538.8942147019006</v>
      </c>
      <c r="AD45" s="56" t="str">
        <f>VLOOKUP(D45,'Input 15_Fcst Inputs'!A:F,2,FALSE)</f>
        <v>UPC Growth Rate</v>
      </c>
      <c r="AE45" s="56">
        <f>SUMIF('Input 3.1_2019VOL-YTD'!R:R,G45,'Input 3.1_2019VOL-YTD'!O:O)</f>
        <v>534136.82999999996</v>
      </c>
      <c r="AF45" s="56">
        <f>SUMIF('Input 4.1_2020VOL-YTD'!R:R,G45,'Input 4.1_2020VOL-YTD'!O:O)</f>
        <v>409436.17999999982</v>
      </c>
      <c r="AG45" s="56">
        <f>SUMIF('Input 5.1_2021VOL-YTD'!R:R,G45,'Input 5.1_2021VOL-YTD'!O:O)</f>
        <v>477588.38999999996</v>
      </c>
      <c r="AH45" s="64">
        <f>IFERROR(IF($AD45="Historical Average",(AVERAGE($AE45:$AG45)/AVERAGE($Y45:$AA45))*AB45,IF($AD45="UPC Growth Rate",((AG45/AA45)*(1+$S45)*AB45),IF($AD45="Modeled UPC",AB45/12*$W45,IF(AD45="Base Period",AG45,IF(AD45="Adjusted",SUMIF('Input 15_Fcst Inputs'!A:A,D45,'Input 15_Fcst Inputs'!F:F),0))))),0)</f>
        <v>447880.3402477412</v>
      </c>
      <c r="AI45" s="64">
        <f>IFERROR(IF($AD45="Historical Average",(AVERAGE($AE45:$AG45)/AVERAGE($Y45:$AA45))*AC45,IF($AD45="UPC Growth Rate",((AH45/AB45)*(1+$S45)*AC45),IF($AD45="Modeled UPC",AC45/12*$W45,IF(AD45="Base Period",AG45,IF(AD45="Adjusted",SUMIF('Input 15_Fcst Inputs'!A:A,D45,'Input 15_Fcst Inputs'!G:G),0))))),0)</f>
        <v>420020.25882671145</v>
      </c>
      <c r="AJ45" s="273">
        <f>VLOOKUP($G45,'WP-Peak Month UPC'!$C:$BL,17,FALSE)</f>
        <v>179.3436929460581</v>
      </c>
      <c r="AK45" s="273">
        <f>VLOOKUP($G45,'WP-Peak Month UPC'!$C:$BL,32,FALSE)</f>
        <v>173.30298538622108</v>
      </c>
      <c r="AL45" s="273">
        <f>VLOOKUP($G45,'WP-Peak Month UPC'!$C:$BL,47,FALSE)</f>
        <v>158.06089211618257</v>
      </c>
      <c r="AM45" s="273">
        <f>IF(OR(AD45="Base Period",AD45="Adjusted"),AL45,IF(AD45="Historical Average",AVERAGE(AJ45:AL45),IF(AD45="Modeled UPC",VLOOKUP(H45,Report_Regression!AB:AJ,5,FALSE),IF(AD45="UPC Growth Rate",AL45*(1+VLOOKUP(H45,Report_Regression!AB:AN,13,FALSE))))))</f>
        <v>144.47825102329662</v>
      </c>
      <c r="AN45" s="273">
        <f>IF(OR($AD45="Base Period",$AD45="Adjusted"),$AL45,IF($AD45="Historical Average",AVERAGE($AJ45:$AL45),IF($AD45="Modeled UPC",VLOOKUP($H45,Report_Regression!$AB:$AJ,9,FALSE),IF($AD45="UPC Growth Rate",AM45*(1+VLOOKUP($H45,Report_Regression!$AB:$AN,13,FALSE))))))</f>
        <v>132.06280655057492</v>
      </c>
      <c r="AO45" s="58">
        <f>VLOOKUP(E45,'Input 7_NG Rates'!B:I,7,FALSE)</f>
        <v>40</v>
      </c>
      <c r="AP45" s="292">
        <f>VLOOKUP(E45,'Input 7_NG Rates'!B:I,8,FALSE)</f>
        <v>0.30826999999999999</v>
      </c>
      <c r="AQ45" s="293">
        <f>VLOOKUP(D45,'Input 14_Ref Table'!C:N,12,FALSE)</f>
        <v>0</v>
      </c>
      <c r="AR45" s="292"/>
      <c r="AS45" s="151">
        <f t="shared" si="21"/>
        <v>230880</v>
      </c>
      <c r="AT45" s="151">
        <f t="shared" si="22"/>
        <v>147226.17298529999</v>
      </c>
      <c r="AU45" s="151">
        <f>SUMIF('Input 13.3_2021 Min Charges'!A:A,G45,'Input 13.3_2021 Min Charges'!O:O)</f>
        <v>0</v>
      </c>
      <c r="AV45" s="151">
        <f t="shared" si="23"/>
        <v>0</v>
      </c>
      <c r="AW45" s="151">
        <v>0</v>
      </c>
      <c r="AX45" s="151">
        <f t="shared" si="11"/>
        <v>378106.17298529996</v>
      </c>
      <c r="AY45" s="533">
        <f>SUMIF('Input 6_2021MARG-YTD'!AN:AN,G45,'Input 6_2021MARG-YTD'!AK:AK)</f>
        <v>375405.8299999999</v>
      </c>
      <c r="AZ45" s="533">
        <f t="shared" si="12"/>
        <v>-2700.3429853000562</v>
      </c>
      <c r="BA45" s="533"/>
      <c r="BB45" s="533"/>
      <c r="BC45" s="533"/>
      <c r="BD45" s="533"/>
      <c r="BE45" s="533"/>
      <c r="BF45" s="533"/>
      <c r="BG45" s="55"/>
      <c r="BH45" s="294"/>
      <c r="BI45" s="294"/>
      <c r="BJ45" s="191" t="s">
        <v>671</v>
      </c>
      <c r="BK45" s="514">
        <v>0.15931999999999996</v>
      </c>
      <c r="BL45" s="190">
        <f t="shared" si="24"/>
        <v>66917.627636271645</v>
      </c>
      <c r="BM45" s="518" cm="1">
        <f t="array" ref="BM45">IFERROR(INDEX('Input 1_GRIP Factors'!$K$5:$K$54,MATCH(1,(BJ45='Input 1_GRIP Factors'!$G$5:$G$54)*(A45='Input 1_GRIP Factors'!$J$5:$J$54),0)),0)</f>
        <v>0.14624196951007992</v>
      </c>
      <c r="BN45" s="190">
        <f>BM45*AG45</f>
        <v>69843.466768748156</v>
      </c>
      <c r="BO45" s="190">
        <f t="shared" si="13"/>
        <v>641.06056371651459</v>
      </c>
      <c r="BP45" s="190">
        <f t="shared" si="14"/>
        <v>70484.52733246467</v>
      </c>
      <c r="BQ45" s="44" cm="1">
        <f t="array" ref="BQ45">IFERROR(INDEX('Input 1_GRIP Factors'!$Y$5:$Y$65,MATCH(1,(BJ45='Input 1_GRIP Factors'!$G$5:$G$65)*(A45='Input 1_GRIP Factors'!$J$5:$J$65),0)),0)*AG45</f>
        <v>23053.191585299999</v>
      </c>
      <c r="BR45" s="190">
        <f t="shared" si="15"/>
        <v>23078.588272766119</v>
      </c>
      <c r="BS45" s="44" cm="1">
        <f t="array" ref="BS45">IFERROR(INDEX('Input 1_GRIP Factors'!$AC$5:$AC$65,MATCH(1,(BJ45='Input 1_GRIP Factors'!$G$5:$G$65)*(A45='Input 1_GRIP Factors'!$J$5:$J$65),0)),0)*AG45</f>
        <v>59421.547483800001</v>
      </c>
      <c r="BT45" s="190">
        <f t="shared" si="16"/>
        <v>107206.74456161076</v>
      </c>
      <c r="BU45" s="190">
        <f t="shared" si="25"/>
        <v>578876.03315214149</v>
      </c>
      <c r="BV45" s="190">
        <f t="shared" ca="1" si="17"/>
        <v>493.75853052884202</v>
      </c>
      <c r="BW45" s="190">
        <f t="shared" ca="1" si="26"/>
        <v>1601.708017416038</v>
      </c>
      <c r="BX45" s="190" cm="1">
        <f t="array" aca="1" ref="BX45" ca="1">IFERROR(INDEX('Input 1_GRIP Factors'!$AC$5:$AC$65,MATCH(1,(BJ45='Input 1_GRIP Factors'!$G$5:$G$65)*(A45='Input 1_GRIP Factors'!$J$5:$J$65),0)),0)*BW45</f>
        <v>199.28451152690349</v>
      </c>
      <c r="BY45" s="190"/>
      <c r="BZ45" s="56">
        <f>SUMIF('Monthly VOL'!G:G,'Master '!G45,'Monthly VOL'!BV:BV)</f>
        <v>67002.027469310138</v>
      </c>
      <c r="CA45" s="519"/>
      <c r="CB45" s="56"/>
      <c r="CC45" s="553" t="s">
        <v>118</v>
      </c>
    </row>
    <row r="46" spans="1:81" s="60" customFormat="1">
      <c r="A46" s="60" t="s">
        <v>17</v>
      </c>
      <c r="B46" s="60" t="s">
        <v>993</v>
      </c>
      <c r="C46" s="55" t="s">
        <v>8</v>
      </c>
      <c r="D46" s="55" t="s">
        <v>1255</v>
      </c>
      <c r="E46" s="55" t="str">
        <f>VLOOKUP(D46,'Input 14_Ref Table'!C:D,2,FALSE)</f>
        <v>CR827</v>
      </c>
      <c r="F46" s="174" t="s">
        <v>1287</v>
      </c>
      <c r="G46" s="59" t="str">
        <f>VLOOKUP(D46,'Input 14_Ref Table'!C:I,7,FALSE)</f>
        <v>CFG - FTS-2.1 - Fixed R</v>
      </c>
      <c r="H46" s="59" t="str">
        <f>VLOOKUP(D46,'Input 14_Ref Table'!C:K,8,FALSE)</f>
        <v>FTS_2.1</v>
      </c>
      <c r="I46" s="55" t="str">
        <f>VLOOKUP(E46,'Input 7_NG Rates'!B:G,6,FALSE)</f>
        <v>FTS21</v>
      </c>
      <c r="J46" s="56" t="str">
        <f>IFERROR(VLOOKUP(H46,Report_Regression!B:L,11,FALSE),"")</f>
        <v>Median</v>
      </c>
      <c r="K46" s="57">
        <f>_xlfn.IFNA(VLOOKUP($H46,Report_Regression!$B:$L,9,FALSE),0)</f>
        <v>-2.0400907354704373E-2</v>
      </c>
      <c r="L46" s="57">
        <f>_xlfn.IFNA(VLOOKUP($H46,Report_Regression!$B:$L,10,FALSE),0)</f>
        <v>-5.8885380908403812E-2</v>
      </c>
      <c r="M46" s="57">
        <f>_xlfn.IFNA(VLOOKUP($H46,Report_Regression!$B:$L,8,FALSE),0)</f>
        <v>1.3983779024195529E-2</v>
      </c>
      <c r="N46" s="57">
        <f t="shared" si="7"/>
        <v>-2.0400907354704373E-2</v>
      </c>
      <c r="O46" s="57" t="str">
        <f>IFERROR(VLOOKUP(H46,Report_Regression!O:Y,11,FALSE),"")</f>
        <v>Median</v>
      </c>
      <c r="P46" s="57">
        <f>IFERROR(VLOOKUP($H46,Report_Regression!$O:$Y,9,FALSE),0)</f>
        <v>-4.2673976859106559E-2</v>
      </c>
      <c r="Q46" s="57">
        <f>IFERROR(VLOOKUP($H46,Report_Regression!$O:$Y,10,FALSE),0)</f>
        <v>-9.4883282598638069E-2</v>
      </c>
      <c r="R46" s="57">
        <f>IFERROR(VLOOKUP($H46,Report_Regression!$O:$Y,8,FALSE),0)</f>
        <v>-8.4170622033785409E-3</v>
      </c>
      <c r="S46" s="57">
        <f t="shared" si="8"/>
        <v>-4.2673976859106559E-2</v>
      </c>
      <c r="T46" s="56">
        <f>_xlfn.IFNA(VLOOKUP($H46,Report_Regression!$O:$Y,6,FALSE),0)</f>
        <v>871.59467421763247</v>
      </c>
      <c r="U46" s="56">
        <f>_xlfn.IFNA(VLOOKUP($H46,Report_Regression!$O:$Y,7,FALSE),0)</f>
        <v>652.96673277073285</v>
      </c>
      <c r="V46" s="56">
        <f>_xlfn.IFNA(VLOOKUP($H46,Report_Regression!$O:$Y,5,FALSE),0)</f>
        <v>1090.2226156645322</v>
      </c>
      <c r="W46" s="5">
        <f t="shared" si="9"/>
        <v>871.59467421763247</v>
      </c>
      <c r="X46" s="64">
        <f t="shared" si="10"/>
        <v>1134.0255052264808</v>
      </c>
      <c r="Y46" s="56">
        <f>SUMIF('Input 3_2019CUST-YTD'!S:S,G46,'Input 3_2019CUST-YTD'!R:R)</f>
        <v>106</v>
      </c>
      <c r="Z46" s="56">
        <f>SUMIF('Input 4_2020CUST-YTD'!S:S,G46,'Input 4_2020CUST-YTD'!R:R)</f>
        <v>96</v>
      </c>
      <c r="AA46" s="56">
        <f>SUMIF('Input 5_2021CUST-YTD'!S:S,G46,'Input 5_2021CUST-YTD'!R:R)</f>
        <v>85</v>
      </c>
      <c r="AB46" s="56">
        <f t="shared" si="19"/>
        <v>83.265922874850133</v>
      </c>
      <c r="AC46" s="56">
        <f t="shared" si="20"/>
        <v>81.567222496476361</v>
      </c>
      <c r="AD46" s="56" t="str">
        <f>VLOOKUP(D46,'Input 15_Fcst Inputs'!A:F,2,FALSE)</f>
        <v>UPC Growth Rate</v>
      </c>
      <c r="AE46" s="56">
        <f>SUMIF('Input 3.1_2019VOL-YTD'!R:R,G46,'Input 3.1_2019VOL-YTD'!O:O)</f>
        <v>9720.6400000000012</v>
      </c>
      <c r="AF46" s="56">
        <f>SUMIF('Input 4.1_2020VOL-YTD'!R:R,G46,'Input 4.1_2020VOL-YTD'!O:O)</f>
        <v>7897.3099999999995</v>
      </c>
      <c r="AG46" s="56">
        <f>SUMIF('Input 5.1_2021VOL-YTD'!R:R,G46,'Input 5.1_2021VOL-YTD'!O:O)</f>
        <v>9504.16</v>
      </c>
      <c r="AH46" s="64">
        <f>IFERROR(IF($AD46="Historical Average",(AVERAGE($AE46:$AG46)/AVERAGE($Y46:$AA46))*AB46,IF($AD46="UPC Growth Rate",((AG46/AA46)*(1+$S46)*AB46),IF($AD46="Modeled UPC",AB46/12*$W46,IF(AD46="Base Period",AG46,IF(AD46="Adjusted",SUMIF('Input 15_Fcst Inputs'!A:A,D46,'Input 15_Fcst Inputs'!F:F),0))))),0)</f>
        <v>8912.9604146553302</v>
      </c>
      <c r="AI46" s="64">
        <f>IFERROR(IF($AD46="Historical Average",(AVERAGE($AE46:$AG46)/AVERAGE($Y46:$AA46))*AC46,IF($AD46="UPC Growth Rate",((AH46/AB46)*(1+$S46)*AC46),IF($AD46="Modeled UPC",AC46/12*$W46,IF(AD46="Base Period",AG46,IF(AD46="Adjusted",SUMIF('Input 15_Fcst Inputs'!A:A,D46,'Input 15_Fcst Inputs'!G:G),0))))),0)</f>
        <v>8358.5359835285726</v>
      </c>
      <c r="AJ46" s="273">
        <f>VLOOKUP($G46,'WP-Peak Month UPC'!$C:$BL,17,FALSE)</f>
        <v>193.32888888888888</v>
      </c>
      <c r="AK46" s="273">
        <f>VLOOKUP($G46,'WP-Peak Month UPC'!$C:$BL,32,FALSE)</f>
        <v>213.215</v>
      </c>
      <c r="AL46" s="273">
        <f>VLOOKUP($G46,'WP-Peak Month UPC'!$C:$BL,47,FALSE)</f>
        <v>218.8942857142857</v>
      </c>
      <c r="AM46" s="273">
        <f>IF(OR(AD46="Base Period",AD46="Adjusted"),AL46,IF(AD46="Historical Average",AVERAGE(AJ46:AL46),IF(AD46="Modeled UPC",VLOOKUP(H46,Report_Regression!AB:AJ,5,FALSE),IF(AD46="UPC Growth Rate",AL46*(1+VLOOKUP(H46,Report_Regression!AB:AN,13,FALSE))))))</f>
        <v>200.08405074512359</v>
      </c>
      <c r="AN46" s="273">
        <f>IF(OR($AD46="Base Period",$AD46="Adjusted"),$AL46,IF($AD46="Historical Average",AVERAGE($AJ46:$AL46),IF($AD46="Modeled UPC",VLOOKUP($H46,Report_Regression!$AB:$AJ,9,FALSE),IF($AD46="UPC Growth Rate",AM46*(1+VLOOKUP($H46,Report_Regression!$AB:$AN,13,FALSE))))))</f>
        <v>182.89023503716103</v>
      </c>
      <c r="AO46" s="58">
        <f>VLOOKUP(E46,'Input 7_NG Rates'!B:I,7,FALSE)</f>
        <v>87</v>
      </c>
      <c r="AP46" s="292">
        <f>VLOOKUP(E46,'Input 7_NG Rates'!B:I,8,FALSE)</f>
        <v>0</v>
      </c>
      <c r="AQ46" s="293">
        <f>VLOOKUP(D46,'Input 14_Ref Table'!C:N,12,FALSE)</f>
        <v>0</v>
      </c>
      <c r="AR46" s="292"/>
      <c r="AS46" s="151">
        <f t="shared" si="21"/>
        <v>7395</v>
      </c>
      <c r="AT46" s="151">
        <f t="shared" si="22"/>
        <v>0</v>
      </c>
      <c r="AU46" s="151">
        <f>SUMIF('Input 13.3_2021 Min Charges'!A:A,G46,'Input 13.3_2021 Min Charges'!O:O)</f>
        <v>0</v>
      </c>
      <c r="AV46" s="151">
        <f t="shared" si="23"/>
        <v>0</v>
      </c>
      <c r="AW46" s="151">
        <v>0</v>
      </c>
      <c r="AX46" s="151">
        <f t="shared" si="11"/>
        <v>7395</v>
      </c>
      <c r="AY46" s="533">
        <f>SUMIF('Input 6_2021MARG-YTD'!AN:AN,G46,'Input 6_2021MARG-YTD'!AK:AK)</f>
        <v>7247.1</v>
      </c>
      <c r="AZ46" s="533">
        <f t="shared" si="12"/>
        <v>-147.89999999999964</v>
      </c>
      <c r="BA46" s="533"/>
      <c r="BB46" s="533"/>
      <c r="BC46" s="533"/>
      <c r="BD46" s="533"/>
      <c r="BE46" s="533"/>
      <c r="BF46" s="533"/>
      <c r="BG46" s="55"/>
      <c r="BH46" s="294"/>
      <c r="BI46" s="294"/>
      <c r="BJ46" s="191" t="s">
        <v>673</v>
      </c>
      <c r="BK46" s="514">
        <v>0.15931999999999996</v>
      </c>
      <c r="BL46" s="190">
        <f t="shared" si="24"/>
        <v>1331.6819528957719</v>
      </c>
      <c r="BM46" s="518" cm="1">
        <f t="array" ref="BM46">IFERROR(INDEX('Input 1_GRIP Factors'!$K$5:$K$54,MATCH(1,(BJ46='Input 1_GRIP Factors'!$G$5:$G$54)*(A46='Input 1_GRIP Factors'!$J$5:$J$54),0)),0)</f>
        <v>16.260971386253182</v>
      </c>
      <c r="BN46" s="190">
        <f>BM46*AA46</f>
        <v>1382.1825678315204</v>
      </c>
      <c r="BO46" s="190">
        <f t="shared" si="13"/>
        <v>12.686408293949231</v>
      </c>
      <c r="BP46" s="190">
        <f t="shared" si="14"/>
        <v>1394.8689761254695</v>
      </c>
      <c r="BQ46" s="551" cm="1">
        <f t="array" ref="BQ46">IFERROR(INDEX('Input 1_GRIP Factors'!$Y$5:$Y$54,MATCH(1,(BJ46='Input 1_GRIP Factors'!$G$5:$G$54)*(A46='Input 1_GRIP Factors'!$J$5:$J$54),0)),0)*AA46</f>
        <v>468.34999999999997</v>
      </c>
      <c r="BR46" s="190">
        <f t="shared" si="15"/>
        <v>468.86596060054183</v>
      </c>
      <c r="BS46" s="44" cm="1">
        <f t="array" ref="BS46">IFERROR(INDEX('Input 1_GRIP Factors'!$AC$5:$AC$54,MATCH(1,(BJ46='Input 1_GRIP Factors'!$G$5:$G$54)*(A46='Input 1_GRIP Factors'!$J$5:$J$54),0)),0)*AA46</f>
        <v>1622.9389999999999</v>
      </c>
      <c r="BT46" s="190">
        <f t="shared" si="16"/>
        <v>2928.0625325267843</v>
      </c>
      <c r="BU46" s="190">
        <f t="shared" si="25"/>
        <v>12186.797469252797</v>
      </c>
      <c r="BV46" s="190">
        <f t="shared" ca="1" si="17"/>
        <v>9.6569286463427932</v>
      </c>
      <c r="BW46" s="190">
        <f t="shared" ca="1" si="26"/>
        <v>0</v>
      </c>
      <c r="BX46" s="190" cm="1">
        <f t="array" aca="1" ref="BX46" ca="1">IFERROR(INDEX('Input 1_GRIP Factors'!$AC$5:$AC$65,MATCH(1,(BJ46='Input 1_GRIP Factors'!$G$5:$G$65)*(A46='Input 1_GRIP Factors'!$J$5:$J$65),0)),0)*BW46</f>
        <v>0</v>
      </c>
      <c r="BY46" s="190"/>
      <c r="BZ46" s="56">
        <f>SUMIF('Monthly VOL'!G:G,'Master '!G46,'Monthly VOL'!BV:BV)</f>
        <v>1347.5625774525565</v>
      </c>
      <c r="CA46" s="519"/>
      <c r="CB46" s="56"/>
      <c r="CC46" s="553" t="s">
        <v>118</v>
      </c>
    </row>
    <row r="47" spans="1:81" s="60" customFormat="1">
      <c r="A47" s="60" t="s">
        <v>17</v>
      </c>
      <c r="B47" s="60" t="s">
        <v>993</v>
      </c>
      <c r="C47" s="55" t="s">
        <v>1245</v>
      </c>
      <c r="D47" s="55" t="s">
        <v>1256</v>
      </c>
      <c r="E47" s="55" t="str">
        <f>VLOOKUP(D47,'Input 14_Ref Table'!C:D,2,FALSE)</f>
        <v>CC816</v>
      </c>
      <c r="F47" s="172" t="s">
        <v>1286</v>
      </c>
      <c r="G47" s="59" t="str">
        <f>VLOOKUP(D47,'Input 14_Ref Table'!C:I,7,FALSE)</f>
        <v>CFG - FTS-2.1 NR</v>
      </c>
      <c r="H47" s="59" t="str">
        <f>VLOOKUP(D47,'Input 14_Ref Table'!C:K,8,FALSE)</f>
        <v>FTS2.1</v>
      </c>
      <c r="I47" s="55" t="str">
        <f>VLOOKUP(E47,'Input 7_NG Rates'!B:G,6,FALSE)</f>
        <v>FTS21</v>
      </c>
      <c r="J47" s="56" t="str">
        <f>IFERROR(VLOOKUP(H47,Report_Regression!B:L,11,FALSE),"")</f>
        <v>Median</v>
      </c>
      <c r="K47" s="57">
        <f>_xlfn.IFNA(VLOOKUP($H47,Report_Regression!$B:$L,9,FALSE),0)</f>
        <v>2.748906551832106E-2</v>
      </c>
      <c r="L47" s="57">
        <f>_xlfn.IFNA(VLOOKUP($H47,Report_Regression!$B:$L,10,FALSE),0)</f>
        <v>2.5561879187322677E-2</v>
      </c>
      <c r="M47" s="57">
        <f>_xlfn.IFNA(VLOOKUP($H47,Report_Regression!$B:$L,8,FALSE),0)</f>
        <v>2.9340079346640572E-2</v>
      </c>
      <c r="N47" s="57">
        <f t="shared" si="7"/>
        <v>2.748906551832106E-2</v>
      </c>
      <c r="O47" s="57" t="str">
        <f>IFERROR(VLOOKUP(H47,Report_Regression!O:Y,11,FALSE),"")</f>
        <v>Median</v>
      </c>
      <c r="P47" s="57">
        <f>IFERROR(VLOOKUP($H47,Report_Regression!$O:$Y,9,FALSE),0)</f>
        <v>-1.8059022170019087E-2</v>
      </c>
      <c r="Q47" s="57">
        <f>IFERROR(VLOOKUP($H47,Report_Regression!$O:$Y,10,FALSE),0)</f>
        <v>-2.0071918927754197E-2</v>
      </c>
      <c r="R47" s="57">
        <f>IFERROR(VLOOKUP($H47,Report_Regression!$O:$Y,8,FALSE),0)</f>
        <v>-1.6417910447761409E-2</v>
      </c>
      <c r="S47" s="57">
        <f t="shared" si="8"/>
        <v>-1.8059022170019087E-2</v>
      </c>
      <c r="T47" s="56">
        <f>_xlfn.IFNA(VLOOKUP($H47,Report_Regression!$O:$Y,6,FALSE),0)</f>
        <v>1672</v>
      </c>
      <c r="U47" s="56">
        <f>_xlfn.IFNA(VLOOKUP($H47,Report_Regression!$O:$Y,7,FALSE),0)</f>
        <v>1498.8</v>
      </c>
      <c r="V47" s="56">
        <f>_xlfn.IFNA(VLOOKUP($H47,Report_Regression!$O:$Y,5,FALSE),0)</f>
        <v>1845.1999999999998</v>
      </c>
      <c r="W47" s="5">
        <f t="shared" si="9"/>
        <v>1672</v>
      </c>
      <c r="X47" s="64">
        <f t="shared" si="10"/>
        <v>1823.8794139387537</v>
      </c>
      <c r="Y47" s="56">
        <f>SUMIF('Input 3_2019CUST-YTD'!S:S,G47,'Input 3_2019CUST-YTD'!R:R)</f>
        <v>2415</v>
      </c>
      <c r="Z47" s="56">
        <f>SUMIF('Input 4_2020CUST-YTD'!S:S,G47,'Input 4_2020CUST-YTD'!R:R)</f>
        <v>2529</v>
      </c>
      <c r="AA47" s="56">
        <f>SUMIF('Input 5_2021CUST-YTD'!S:S,G47,'Input 5_2021CUST-YTD'!R:R)</f>
        <v>2632</v>
      </c>
      <c r="AB47" s="56">
        <f t="shared" si="19"/>
        <v>2704.3512204442213</v>
      </c>
      <c r="AC47" s="56">
        <f t="shared" si="20"/>
        <v>2778.691308327564</v>
      </c>
      <c r="AD47" s="56" t="str">
        <f>VLOOKUP(D47,'Input 15_Fcst Inputs'!A:F,2,FALSE)</f>
        <v>UPC Growth Rate</v>
      </c>
      <c r="AE47" s="56">
        <f>SUMIF('Input 3.1_2019VOL-YTD'!R:R,G47,'Input 3.1_2019VOL-YTD'!O:O)</f>
        <v>378330.98</v>
      </c>
      <c r="AF47" s="56">
        <f>SUMIF('Input 4.1_2020VOL-YTD'!R:R,G47,'Input 4.1_2020VOL-YTD'!O:O)</f>
        <v>375255.91</v>
      </c>
      <c r="AG47" s="56">
        <f>SUMIF('Input 5.1_2021VOL-YTD'!R:R,G47,'Input 5.1_2021VOL-YTD'!O:O)</f>
        <v>397888.98</v>
      </c>
      <c r="AH47" s="64">
        <f>IFERROR(IF($AD47="Historical Average",(AVERAGE($AE47:$AG47)/AVERAGE($Y47:$AA47))*AB47,IF($AD47="UPC Growth Rate",((AG47/AA47)*(1+$S47)*AB47),IF($AD47="Modeled UPC",AB47/12*$W47,IF(AD47="Base Period",AG47,IF(AD47="Adjusted",SUMIF('Input 15_Fcst Inputs'!A:A,D47,'Input 15_Fcst Inputs'!F:F),0))))),0)</f>
        <v>401443.56803622254</v>
      </c>
      <c r="AI47" s="64">
        <f>IFERROR(IF($AD47="Historical Average",(AVERAGE($AE47:$AG47)/AVERAGE($Y47:$AA47))*AC47,IF($AD47="UPC Growth Rate",((AH47/AB47)*(1+$S47)*AC47),IF($AD47="Modeled UPC",AC47/12*$W47,IF(AD47="Base Period",AG47,IF(AD47="Adjusted",SUMIF('Input 15_Fcst Inputs'!A:A,D47,'Input 15_Fcst Inputs'!G:G),0))))),0)</f>
        <v>405029.91140305815</v>
      </c>
      <c r="AJ47" s="273">
        <f>VLOOKUP($G47,'WP-Peak Month UPC'!$C:$BL,17,FALSE)</f>
        <v>189.64515463917527</v>
      </c>
      <c r="AK47" s="273">
        <f>VLOOKUP($G47,'WP-Peak Month UPC'!$C:$BL,32,FALSE)</f>
        <v>175.98561904761905</v>
      </c>
      <c r="AL47" s="273">
        <f>VLOOKUP($G47,'WP-Peak Month UPC'!$C:$BL,47,FALSE)</f>
        <v>194.90679069767441</v>
      </c>
      <c r="AM47" s="273">
        <f>IF(OR(AD47="Base Period",AD47="Adjusted"),AL47,IF(AD47="Historical Average",AVERAGE(AJ47:AL47),IF(AD47="Modeled UPC",VLOOKUP(H47,Report_Regression!AB:AJ,5,FALSE),IF(AD47="UPC Growth Rate",AL47*(1+VLOOKUP(H47,Report_Regression!AB:AN,13,FALSE))))))</f>
        <v>195.52475769417939</v>
      </c>
      <c r="AN47" s="273">
        <f>IF(OR($AD47="Base Period",$AD47="Adjusted"),$AL47,IF($AD47="Historical Average",AVERAGE($AJ47:$AL47),IF($AD47="Modeled UPC",VLOOKUP($H47,Report_Regression!$AB:$AJ,9,FALSE),IF($AD47="UPC Growth Rate",AM47*(1+VLOOKUP($H47,Report_Regression!$AB:$AN,13,FALSE))))))</f>
        <v>196.14468400265807</v>
      </c>
      <c r="AO47" s="58">
        <f>VLOOKUP(E47,'Input 7_NG Rates'!B:I,7,FALSE)</f>
        <v>40</v>
      </c>
      <c r="AP47" s="292">
        <f>VLOOKUP(E47,'Input 7_NG Rates'!B:I,8,FALSE)</f>
        <v>0.30826999999999999</v>
      </c>
      <c r="AQ47" s="293">
        <f>VLOOKUP(D47,'Input 14_Ref Table'!C:N,12,FALSE)</f>
        <v>0</v>
      </c>
      <c r="AR47" s="292"/>
      <c r="AS47" s="151">
        <f t="shared" si="21"/>
        <v>105280</v>
      </c>
      <c r="AT47" s="151">
        <f t="shared" si="22"/>
        <v>122657.23586459999</v>
      </c>
      <c r="AU47" s="151">
        <f>SUMIF('Input 13.3_2021 Min Charges'!A:A,G47,'Input 13.3_2021 Min Charges'!O:O)</f>
        <v>0</v>
      </c>
      <c r="AV47" s="151">
        <f t="shared" si="23"/>
        <v>0</v>
      </c>
      <c r="AW47" s="151">
        <v>0</v>
      </c>
      <c r="AX47" s="151">
        <f t="shared" si="11"/>
        <v>227937.23586459999</v>
      </c>
      <c r="AY47" s="533">
        <f>SUMIF('Input 6_2021MARG-YTD'!AN:AN,G47,'Input 6_2021MARG-YTD'!AK:AK)</f>
        <v>228371.78</v>
      </c>
      <c r="AZ47" s="533">
        <f t="shared" si="12"/>
        <v>434.54413540000678</v>
      </c>
      <c r="BA47" s="533"/>
      <c r="BB47" s="533"/>
      <c r="BC47" s="533"/>
      <c r="BD47" s="533"/>
      <c r="BE47" s="533"/>
      <c r="BF47" s="533"/>
      <c r="BG47" s="55"/>
      <c r="BH47" s="294"/>
      <c r="BI47" s="294"/>
      <c r="BJ47" s="191" t="s">
        <v>671</v>
      </c>
      <c r="BK47" s="514">
        <v>0.15931999999999996</v>
      </c>
      <c r="BL47" s="190">
        <f t="shared" si="24"/>
        <v>64529.365484735208</v>
      </c>
      <c r="BM47" s="518" cm="1">
        <f t="array" ref="BM47">IFERROR(INDEX('Input 1_GRIP Factors'!$K$5:$K$54,MATCH(1,(BJ47='Input 1_GRIP Factors'!$G$5:$G$54)*(A47='Input 1_GRIP Factors'!$J$5:$J$54),0)),0)</f>
        <v>0.14624196951007992</v>
      </c>
      <c r="BN47" s="190">
        <f>BM47*AG47</f>
        <v>58188.068081556798</v>
      </c>
      <c r="BO47" s="190">
        <f t="shared" si="13"/>
        <v>534.08110238062739</v>
      </c>
      <c r="BP47" s="190">
        <f t="shared" si="14"/>
        <v>58722.149183937428</v>
      </c>
      <c r="BQ47" s="44" cm="1">
        <f t="array" ref="BQ47">IFERROR(INDEX('Input 1_GRIP Factors'!$Y$5:$Y$65,MATCH(1,(BJ47='Input 1_GRIP Factors'!$G$5:$G$65)*(A47='Input 1_GRIP Factors'!$J$5:$J$65),0)),0)*AG47</f>
        <v>19206.1010646</v>
      </c>
      <c r="BR47" s="190">
        <f t="shared" si="15"/>
        <v>19227.259581605143</v>
      </c>
      <c r="BS47" s="44" cm="1">
        <f t="array" ref="BS47">IFERROR(INDEX('Input 1_GRIP Factors'!$AC$5:$AC$65,MATCH(1,(BJ47='Input 1_GRIP Factors'!$G$5:$G$65)*(A47='Input 1_GRIP Factors'!$J$5:$J$65),0)),0)*AG47</f>
        <v>49505.346891600006</v>
      </c>
      <c r="BT47" s="190">
        <f t="shared" si="16"/>
        <v>89316.204363217155</v>
      </c>
      <c r="BU47" s="190">
        <f t="shared" si="25"/>
        <v>395202.84899335972</v>
      </c>
      <c r="BV47" s="190">
        <f t="shared" ca="1" si="17"/>
        <v>297.65701454889108</v>
      </c>
      <c r="BW47" s="190">
        <f t="shared" ca="1" si="26"/>
        <v>965.57243503711391</v>
      </c>
      <c r="BX47" s="190" cm="1">
        <f t="array" aca="1" ref="BX47" ca="1">IFERROR(INDEX('Input 1_GRIP Factors'!$AC$5:$AC$65,MATCH(1,(BJ47='Input 1_GRIP Factors'!$G$5:$G$65)*(A47='Input 1_GRIP Factors'!$J$5:$J$65),0)),0)*BW47</f>
        <v>120.13652236731772</v>
      </c>
      <c r="BY47" s="190"/>
      <c r="BZ47" s="56">
        <f>SUMIF('Monthly VOL'!G:G,'Master '!G47,'Monthly VOL'!BV:BV)</f>
        <v>42657.030200104302</v>
      </c>
      <c r="CA47" s="519"/>
      <c r="CB47" s="56"/>
      <c r="CC47" s="553" t="s">
        <v>118</v>
      </c>
    </row>
    <row r="48" spans="1:81" s="60" customFormat="1" ht="14.25" customHeight="1">
      <c r="A48" s="60" t="s">
        <v>17</v>
      </c>
      <c r="B48" s="60" t="s">
        <v>993</v>
      </c>
      <c r="C48" s="55" t="s">
        <v>1245</v>
      </c>
      <c r="D48" s="55" t="s">
        <v>1257</v>
      </c>
      <c r="E48" s="55" t="str">
        <f>VLOOKUP(D48,'Input 14_Ref Table'!C:D,2,FALSE)</f>
        <v>CC827</v>
      </c>
      <c r="F48" s="174" t="s">
        <v>1287</v>
      </c>
      <c r="G48" s="59" t="str">
        <f>VLOOKUP(D48,'Input 14_Ref Table'!C:I,7,FALSE)</f>
        <v>CFG - FTS-2.1 - Fixed NR</v>
      </c>
      <c r="H48" s="59" t="str">
        <f>VLOOKUP(D48,'Input 14_Ref Table'!C:K,8,FALSE)</f>
        <v>FTS2.1</v>
      </c>
      <c r="I48" s="55" t="str">
        <f>VLOOKUP(E48,'Input 7_NG Rates'!B:G,6,FALSE)</f>
        <v>FTS21</v>
      </c>
      <c r="J48" s="56" t="str">
        <f>IFERROR(VLOOKUP(H48,Report_Regression!B:L,11,FALSE),"")</f>
        <v>Median</v>
      </c>
      <c r="K48" s="57">
        <f>_xlfn.IFNA(VLOOKUP($H48,Report_Regression!$B:$L,9,FALSE),0)</f>
        <v>2.748906551832106E-2</v>
      </c>
      <c r="L48" s="57">
        <f>_xlfn.IFNA(VLOOKUP($H48,Report_Regression!$B:$L,10,FALSE),0)</f>
        <v>2.5561879187322677E-2</v>
      </c>
      <c r="M48" s="57">
        <f>_xlfn.IFNA(VLOOKUP($H48,Report_Regression!$B:$L,8,FALSE),0)</f>
        <v>2.9340079346640572E-2</v>
      </c>
      <c r="N48" s="57">
        <f t="shared" si="7"/>
        <v>2.748906551832106E-2</v>
      </c>
      <c r="O48" s="57" t="str">
        <f>IFERROR(VLOOKUP(H48,Report_Regression!O:Y,11,FALSE),"")</f>
        <v>Median</v>
      </c>
      <c r="P48" s="57">
        <f>IFERROR(VLOOKUP($H48,Report_Regression!$O:$Y,9,FALSE),0)</f>
        <v>-1.8059022170019087E-2</v>
      </c>
      <c r="Q48" s="57">
        <f>IFERROR(VLOOKUP($H48,Report_Regression!$O:$Y,10,FALSE),0)</f>
        <v>-2.0071918927754197E-2</v>
      </c>
      <c r="R48" s="57">
        <f>IFERROR(VLOOKUP($H48,Report_Regression!$O:$Y,8,FALSE),0)</f>
        <v>-1.6417910447761409E-2</v>
      </c>
      <c r="S48" s="57">
        <f t="shared" si="8"/>
        <v>-1.8059022170019087E-2</v>
      </c>
      <c r="T48" s="56">
        <f>_xlfn.IFNA(VLOOKUP($H48,Report_Regression!$O:$Y,6,FALSE),0)</f>
        <v>1672</v>
      </c>
      <c r="U48" s="56">
        <f>_xlfn.IFNA(VLOOKUP($H48,Report_Regression!$O:$Y,7,FALSE),0)</f>
        <v>1498.8</v>
      </c>
      <c r="V48" s="56">
        <f>_xlfn.IFNA(VLOOKUP($H48,Report_Regression!$O:$Y,5,FALSE),0)</f>
        <v>1845.1999999999998</v>
      </c>
      <c r="W48" s="5">
        <f t="shared" si="9"/>
        <v>1672</v>
      </c>
      <c r="X48" s="64">
        <f t="shared" si="10"/>
        <v>1635.3043902439026</v>
      </c>
      <c r="Y48" s="56">
        <f>SUMIF('Input 3_2019CUST-YTD'!S:S,G48,'Input 3_2019CUST-YTD'!R:R)</f>
        <v>128</v>
      </c>
      <c r="Z48" s="56">
        <f>SUMIF('Input 4_2020CUST-YTD'!S:S,G48,'Input 4_2020CUST-YTD'!R:R)</f>
        <v>119</v>
      </c>
      <c r="AA48" s="56">
        <f>SUMIF('Input 5_2021CUST-YTD'!S:S,G48,'Input 5_2021CUST-YTD'!R:R)</f>
        <v>122</v>
      </c>
      <c r="AB48" s="56">
        <f t="shared" si="19"/>
        <v>125.35366599323517</v>
      </c>
      <c r="AC48" s="56">
        <f t="shared" si="20"/>
        <v>128.79952113068495</v>
      </c>
      <c r="AD48" s="56" t="str">
        <f>VLOOKUP(D48,'Input 15_Fcst Inputs'!A:F,2,FALSE)</f>
        <v>UPC Growth Rate</v>
      </c>
      <c r="AE48" s="56">
        <f>SUMIF('Input 3.1_2019VOL-YTD'!R:R,G48,'Input 3.1_2019VOL-YTD'!O:O)</f>
        <v>18485.39</v>
      </c>
      <c r="AF48" s="56">
        <f>SUMIF('Input 4.1_2020VOL-YTD'!R:R,G48,'Input 4.1_2020VOL-YTD'!O:O)</f>
        <v>13846.25</v>
      </c>
      <c r="AG48" s="56">
        <f>SUMIF('Input 5.1_2021VOL-YTD'!R:R,G48,'Input 5.1_2021VOL-YTD'!O:O)</f>
        <v>17953.97</v>
      </c>
      <c r="AH48" s="64">
        <f>IFERROR(IF($AD48="Historical Average",(AVERAGE($AE48:$AG48)/AVERAGE($Y48:$AA48))*AB48,IF($AD48="UPC Growth Rate",((AG48/AA48)*(1+$S48)*AB48),IF($AD48="Modeled UPC",AB48/12*$W48,IF(AD48="Base Period",AG48,IF(AD48="Adjusted",SUMIF('Input 15_Fcst Inputs'!A:A,D48,'Input 15_Fcst Inputs'!F:F),0))))),0)</f>
        <v>18114.363904261179</v>
      </c>
      <c r="AI48" s="64">
        <f>IFERROR(IF($AD48="Historical Average",(AVERAGE($AE48:$AG48)/AVERAGE($Y48:$AA48))*AC48,IF($AD48="UPC Growth Rate",((AH48/AB48)*(1+$S48)*AC48),IF($AD48="Modeled UPC",AC48/12*$W48,IF(AD48="Base Period",AG48,IF(AD48="Adjusted",SUMIF('Input 15_Fcst Inputs'!A:A,D48,'Input 15_Fcst Inputs'!G:G),0))))),0)</f>
        <v>18276.190706345187</v>
      </c>
      <c r="AJ48" s="273">
        <f>VLOOKUP($G48,'WP-Peak Month UPC'!$C:$BL,17,FALSE)</f>
        <v>168.77181818181819</v>
      </c>
      <c r="AK48" s="273">
        <f>VLOOKUP($G48,'WP-Peak Month UPC'!$C:$BL,32,FALSE)</f>
        <v>145.42400000000001</v>
      </c>
      <c r="AL48" s="273">
        <f>VLOOKUP($G48,'WP-Peak Month UPC'!$C:$BL,47,FALSE)</f>
        <v>172.41199999999998</v>
      </c>
      <c r="AM48" s="273">
        <f>IF(OR(AD48="Base Period",AD48="Adjusted"),AL48,IF(AD48="Historical Average",AVERAGE(AJ48:AL48),IF(AD48="Modeled UPC",VLOOKUP(H48,Report_Regression!AB:AJ,5,FALSE),IF(AD48="UPC Growth Rate",AL48*(1+VLOOKUP(H48,Report_Regression!AB:AN,13,FALSE))))))</f>
        <v>172.95864552948632</v>
      </c>
      <c r="AN48" s="273">
        <f>IF(OR($AD48="Base Period",$AD48="Adjusted"),$AL48,IF($AD48="Historical Average",AVERAGE($AJ48:$AL48),IF($AD48="Modeled UPC",VLOOKUP($H48,Report_Regression!$AB:$AJ,9,FALSE),IF($AD48="UPC Growth Rate",AM48*(1+VLOOKUP($H48,Report_Regression!$AB:$AN,13,FALSE))))))</f>
        <v>173.50702424074024</v>
      </c>
      <c r="AO48" s="58">
        <f>VLOOKUP(E48,'Input 7_NG Rates'!B:I,7,FALSE)</f>
        <v>87</v>
      </c>
      <c r="AP48" s="292">
        <f>VLOOKUP(E48,'Input 7_NG Rates'!B:I,8,FALSE)</f>
        <v>0</v>
      </c>
      <c r="AQ48" s="293">
        <f>VLOOKUP(D48,'Input 14_Ref Table'!C:N,12,FALSE)</f>
        <v>0</v>
      </c>
      <c r="AR48" s="292"/>
      <c r="AS48" s="151">
        <f t="shared" si="21"/>
        <v>10614</v>
      </c>
      <c r="AT48" s="151">
        <f t="shared" si="22"/>
        <v>0</v>
      </c>
      <c r="AU48" s="151">
        <f>SUMIF('Input 13.3_2021 Min Charges'!A:A,G48,'Input 13.3_2021 Min Charges'!O:O)</f>
        <v>0</v>
      </c>
      <c r="AV48" s="151">
        <f t="shared" si="23"/>
        <v>0</v>
      </c>
      <c r="AW48" s="151">
        <v>0</v>
      </c>
      <c r="AX48" s="151">
        <f t="shared" si="11"/>
        <v>10614</v>
      </c>
      <c r="AY48" s="533">
        <f>SUMIF('Input 6_2021MARG-YTD'!AN:AN,G48,'Input 6_2021MARG-YTD'!AK:AK)</f>
        <v>10437.099999999999</v>
      </c>
      <c r="AZ48" s="533">
        <f t="shared" si="12"/>
        <v>-176.90000000000146</v>
      </c>
      <c r="BA48" s="533"/>
      <c r="BB48" s="533"/>
      <c r="BC48" s="533"/>
      <c r="BD48" s="533"/>
      <c r="BE48" s="533"/>
      <c r="BF48" s="533"/>
      <c r="BG48" s="55"/>
      <c r="BH48" s="294"/>
      <c r="BI48" s="294"/>
      <c r="BJ48" s="191" t="s">
        <v>673</v>
      </c>
      <c r="BK48" s="514">
        <v>0.15931999999999996</v>
      </c>
      <c r="BL48" s="190">
        <f t="shared" si="24"/>
        <v>2911.7627033349145</v>
      </c>
      <c r="BM48" s="518" cm="1">
        <f t="array" ref="BM48">IFERROR(INDEX('Input 1_GRIP Factors'!$K$5:$K$54,MATCH(1,(BJ48='Input 1_GRIP Factors'!$G$5:$G$54)*(A48='Input 1_GRIP Factors'!$J$5:$J$54),0)),0)</f>
        <v>16.260971386253182</v>
      </c>
      <c r="BN48" s="190">
        <f>BM48*AA48</f>
        <v>1983.8385091228881</v>
      </c>
      <c r="BO48" s="190">
        <f t="shared" si="13"/>
        <v>18.208727198374191</v>
      </c>
      <c r="BP48" s="190">
        <f t="shared" si="14"/>
        <v>2002.0472363212623</v>
      </c>
      <c r="BQ48" s="551" cm="1">
        <f t="array" ref="BQ48">IFERROR(INDEX('Input 1_GRIP Factors'!$Y$5:$Y$54,MATCH(1,(BJ48='Input 1_GRIP Factors'!$G$5:$G$54)*(A48='Input 1_GRIP Factors'!$J$5:$J$54),0)),0)*AA48</f>
        <v>672.22</v>
      </c>
      <c r="BR48" s="190">
        <f t="shared" si="15"/>
        <v>672.96055521489541</v>
      </c>
      <c r="BS48" s="44" cm="1">
        <f t="array" ref="BS48">IFERROR(INDEX('Input 1_GRIP Factors'!$AC$5:$AC$54,MATCH(1,(BJ48='Input 1_GRIP Factors'!$G$5:$G$54)*(A48='Input 1_GRIP Factors'!$J$5:$J$54),0)),0)*AA48</f>
        <v>2329.3948</v>
      </c>
      <c r="BT48" s="190">
        <f t="shared" si="16"/>
        <v>4202.6309290384434</v>
      </c>
      <c r="BU48" s="190">
        <f t="shared" si="25"/>
        <v>17491.6387205746</v>
      </c>
      <c r="BV48" s="190">
        <f t="shared" ca="1" si="17"/>
        <v>13.860532880633185</v>
      </c>
      <c r="BW48" s="190">
        <f t="shared" ca="1" si="26"/>
        <v>0</v>
      </c>
      <c r="BX48" s="190" cm="1">
        <f t="array" aca="1" ref="BX48" ca="1">IFERROR(INDEX('Input 1_GRIP Factors'!$AC$5:$AC$65,MATCH(1,(BJ48='Input 1_GRIP Factors'!$G$5:$G$65)*(A48='Input 1_GRIP Factors'!$J$5:$J$65),0)),0)*BW48</f>
        <v>0</v>
      </c>
      <c r="BY48" s="190"/>
      <c r="BZ48" s="56">
        <f>SUMIF('Monthly VOL'!G:G,'Master '!G48,'Monthly VOL'!BV:BV)</f>
        <v>1755.0628591127115</v>
      </c>
      <c r="CA48" s="519"/>
      <c r="CB48" s="56"/>
      <c r="CC48" s="553" t="s">
        <v>118</v>
      </c>
    </row>
    <row r="49" spans="1:81" s="60" customFormat="1">
      <c r="A49" s="60" t="s">
        <v>17</v>
      </c>
      <c r="B49" s="60" t="s">
        <v>993</v>
      </c>
      <c r="C49" s="55" t="s">
        <v>8</v>
      </c>
      <c r="D49" s="60" t="s">
        <v>1291</v>
      </c>
      <c r="E49" s="55" t="str">
        <f>VLOOKUP(D49,'Input 14_Ref Table'!C:D,2,FALSE)</f>
        <v>CR245</v>
      </c>
      <c r="F49" s="172" t="s">
        <v>1286</v>
      </c>
      <c r="G49" s="59" t="str">
        <f>VLOOKUP(D49,'Input 14_Ref Table'!C:I,7,FALSE)</f>
        <v>CFG - FTS-3 R</v>
      </c>
      <c r="H49" s="59" t="str">
        <f>VLOOKUP(D49,'Input 14_Ref Table'!C:K,8,FALSE)</f>
        <v>FTS3</v>
      </c>
      <c r="I49" s="55" t="str">
        <f>VLOOKUP(E49,'Input 7_NG Rates'!B:G,6,FALSE)</f>
        <v>FTS-3</v>
      </c>
      <c r="J49" s="56" t="str">
        <f>IFERROR(VLOOKUP(H49,Report_Regression!B:L,11,FALSE),"")</f>
        <v>Median</v>
      </c>
      <c r="K49" s="57">
        <f>_xlfn.IFNA(VLOOKUP($H49,Report_Regression!$B:$L,9,FALSE),0)</f>
        <v>2.6784283829125063E-2</v>
      </c>
      <c r="L49" s="57">
        <f>_xlfn.IFNA(VLOOKUP($H49,Report_Regression!$B:$L,10,FALSE),0)</f>
        <v>2.2427493718462355E-2</v>
      </c>
      <c r="M49" s="57">
        <f>_xlfn.IFNA(VLOOKUP($H49,Report_Regression!$B:$L,8,FALSE),0)</f>
        <v>3.1020324094097884E-2</v>
      </c>
      <c r="N49" s="57">
        <f t="shared" si="7"/>
        <v>2.6784283829125063E-2</v>
      </c>
      <c r="O49" s="57" t="str">
        <f>IFERROR(VLOOKUP(H49,Report_Regression!O:Y,11,FALSE),"")</f>
        <v>Median</v>
      </c>
      <c r="P49" s="57">
        <f>IFERROR(VLOOKUP($H49,Report_Regression!$O:$Y,9,FALSE),0)</f>
        <v>1.22672019627513E-3</v>
      </c>
      <c r="Q49" s="57">
        <f>IFERROR(VLOOKUP($H49,Report_Regression!$O:$Y,10,FALSE),0)</f>
        <v>5.6980056980073348E-4</v>
      </c>
      <c r="R49" s="57">
        <f>IFERROR(VLOOKUP($H49,Report_Regression!$O:$Y,8,FALSE),0)</f>
        <v>1.7972962413063428E-3</v>
      </c>
      <c r="S49" s="57">
        <f t="shared" si="8"/>
        <v>1.22672019627513E-3</v>
      </c>
      <c r="T49" s="56">
        <f>_xlfn.IFNA(VLOOKUP($H49,Report_Regression!$O:$Y,6,FALSE),0)</f>
        <v>3591.2</v>
      </c>
      <c r="U49" s="56">
        <f>_xlfn.IFNA(VLOOKUP($H49,Report_Regression!$O:$Y,7,FALSE),0)</f>
        <v>3336.4000000000005</v>
      </c>
      <c r="V49" s="56">
        <f>_xlfn.IFNA(VLOOKUP($H49,Report_Regression!$O:$Y,5,FALSE),0)</f>
        <v>3845.9999999999995</v>
      </c>
      <c r="W49" s="5">
        <f t="shared" si="9"/>
        <v>3591.2</v>
      </c>
      <c r="X49" s="64">
        <f t="shared" si="10"/>
        <v>2152.2539792387543</v>
      </c>
      <c r="Y49" s="56">
        <f>SUMIF('Input 3_2019CUST-YTD'!S:S,G49,'Input 3_2019CUST-YTD'!R:R)</f>
        <v>193</v>
      </c>
      <c r="Z49" s="56">
        <f>SUMIF('Input 4_2020CUST-YTD'!S:S,G49,'Input 4_2020CUST-YTD'!R:R)</f>
        <v>194</v>
      </c>
      <c r="AA49" s="56">
        <f>SUMIF('Input 5_2021CUST-YTD'!S:S,G49,'Input 5_2021CUST-YTD'!R:R)</f>
        <v>191</v>
      </c>
      <c r="AB49" s="56">
        <f t="shared" si="19"/>
        <v>196.11579821136289</v>
      </c>
      <c r="AC49" s="56">
        <f t="shared" si="20"/>
        <v>201.36861941403143</v>
      </c>
      <c r="AD49" s="56" t="str">
        <f>VLOOKUP(D49,'Input 15_Fcst Inputs'!A:F,2,FALSE)</f>
        <v>UPC Growth Rate</v>
      </c>
      <c r="AE49" s="56">
        <f>SUMIF('Input 3.1_2019VOL-YTD'!R:R,G49,'Input 3.1_2019VOL-YTD'!O:O)</f>
        <v>36917.149999999994</v>
      </c>
      <c r="AF49" s="56">
        <f>SUMIF('Input 4.1_2020VOL-YTD'!R:R,G49,'Input 4.1_2020VOL-YTD'!O:O)</f>
        <v>32448.590000000004</v>
      </c>
      <c r="AG49" s="56">
        <f>SUMIF('Input 5.1_2021VOL-YTD'!R:R,G49,'Input 5.1_2021VOL-YTD'!O:O)</f>
        <v>34301.160000000003</v>
      </c>
      <c r="AH49" s="64">
        <f>IFERROR(IF($AD49="Historical Average",(AVERAGE($AE49:$AG49)/AVERAGE($Y49:$AA49))*AB49,IF($AD49="UPC Growth Rate",((AG49/AA49)*(1+$S49)*AB49),IF($AD49="Modeled UPC",AB49/12*$W49,IF(AD49="Base Period",AG49,IF(AD49="Adjusted",SUMIF('Input 15_Fcst Inputs'!A:A,D49,'Input 15_Fcst Inputs'!F:F),0))))),0)</f>
        <v>35263.096957941532</v>
      </c>
      <c r="AI49" s="64">
        <f>IFERROR(IF($AD49="Historical Average",(AVERAGE($AE49:$AG49)/AVERAGE($Y49:$AA49))*AC49,IF($AD49="UPC Growth Rate",((AH49/AB49)*(1+$S49)*AC49),IF($AD49="Modeled UPC",AC49/12*$W49,IF(AD49="Base Period",AG49,IF(AD49="Adjusted",SUMIF('Input 15_Fcst Inputs'!A:A,D49,'Input 15_Fcst Inputs'!G:G),0))))),0)</f>
        <v>36252.01034207546</v>
      </c>
      <c r="AJ49" s="273">
        <f>VLOOKUP($G49,'WP-Peak Month UPC'!$C:$BL,17,FALSE)</f>
        <v>421.99</v>
      </c>
      <c r="AK49" s="273">
        <f>VLOOKUP($G49,'WP-Peak Month UPC'!$C:$BL,32,FALSE)</f>
        <v>393.14812499999999</v>
      </c>
      <c r="AL49" s="273">
        <f>VLOOKUP($G49,'WP-Peak Month UPC'!$C:$BL,47,FALSE)</f>
        <v>486.55687499999999</v>
      </c>
      <c r="AM49" s="273">
        <f>IF(OR(AD49="Base Period",AD49="Adjusted"),AL49,IF(AD49="Historical Average",AVERAGE(AJ49:AL49),IF(AD49="Modeled UPC",VLOOKUP(H49,Report_Regression!AB:AJ,5,FALSE),IF(AD49="UPC Growth Rate",AL49*(1+VLOOKUP(H49,Report_Regression!AB:AN,13,FALSE))))))</f>
        <v>498.2529537259615</v>
      </c>
      <c r="AN49" s="273">
        <f>IF(OR($AD49="Base Period",$AD49="Adjusted"),$AL49,IF($AD49="Historical Average",AVERAGE($AJ49:$AL49),IF($AD49="Modeled UPC",VLOOKUP($H49,Report_Regression!$AB:$AJ,9,FALSE),IF($AD49="UPC Growth Rate",AM49*(1+VLOOKUP($H49,Report_Regression!$AB:$AN,13,FALSE))))))</f>
        <v>510.23018819052783</v>
      </c>
      <c r="AO49" s="58">
        <f>VLOOKUP(E49,'Input 7_NG Rates'!B:I,7,FALSE)</f>
        <v>108</v>
      </c>
      <c r="AP49" s="292">
        <f>VLOOKUP(E49,'Input 7_NG Rates'!B:I,8,FALSE)</f>
        <v>0.24102000000000001</v>
      </c>
      <c r="AQ49" s="293">
        <f>VLOOKUP(D49,'Input 14_Ref Table'!C:N,12,FALSE)</f>
        <v>0</v>
      </c>
      <c r="AR49" s="292"/>
      <c r="AS49" s="151">
        <f t="shared" si="21"/>
        <v>20628</v>
      </c>
      <c r="AT49" s="151">
        <f t="shared" si="22"/>
        <v>8267.2655832000019</v>
      </c>
      <c r="AU49" s="151">
        <f>SUMIF('Input 13.3_2021 Min Charges'!A:A,G49,'Input 13.3_2021 Min Charges'!O:O)</f>
        <v>0</v>
      </c>
      <c r="AV49" s="151">
        <f t="shared" si="23"/>
        <v>0</v>
      </c>
      <c r="AW49" s="151">
        <v>0</v>
      </c>
      <c r="AX49" s="151">
        <f t="shared" si="11"/>
        <v>28895.265583200002</v>
      </c>
      <c r="AY49" s="533">
        <f>SUMIF('Input 6_2021MARG-YTD'!AN:AN,G49,'Input 6_2021MARG-YTD'!AK:AK)</f>
        <v>28722.440000000002</v>
      </c>
      <c r="AZ49" s="533">
        <f t="shared" si="12"/>
        <v>-172.82558319999953</v>
      </c>
      <c r="BA49" s="533"/>
      <c r="BB49" s="533"/>
      <c r="BC49" s="533"/>
      <c r="BD49" s="533"/>
      <c r="BE49" s="533"/>
      <c r="BF49" s="533"/>
      <c r="BG49" s="55"/>
      <c r="BH49" s="294"/>
      <c r="BI49" s="294"/>
      <c r="BJ49" s="191" t="s">
        <v>653</v>
      </c>
      <c r="BK49" s="514">
        <v>5.9479999999999998E-2</v>
      </c>
      <c r="BL49" s="190">
        <f t="shared" si="24"/>
        <v>2156.2695751466481</v>
      </c>
      <c r="BM49" s="518" cm="1">
        <f t="array" ref="BM49">IFERROR(INDEX('Input 1_GRIP Factors'!$K$5:$K$54,MATCH(1,(BJ49='Input 1_GRIP Factors'!$G$5:$G$54)*(A49='Input 1_GRIP Factors'!$J$5:$J$54),0)),0)</f>
        <v>6.0567597862095243E-2</v>
      </c>
      <c r="BN49" s="190">
        <f>BM49*AG49</f>
        <v>2077.538865083387</v>
      </c>
      <c r="BO49" s="190">
        <f t="shared" si="13"/>
        <v>19.068759006522537</v>
      </c>
      <c r="BP49" s="190">
        <f t="shared" si="14"/>
        <v>2096.6076240899097</v>
      </c>
      <c r="BQ49" s="44" cm="1">
        <f t="array" ref="BQ49">IFERROR(INDEX('Input 1_GRIP Factors'!$Y$5:$Y$65,MATCH(1,(BJ49='Input 1_GRIP Factors'!$G$5:$G$65)*(A49='Input 1_GRIP Factors'!$J$5:$J$65),0)),0)*AG49</f>
        <v>1489.0133556000001</v>
      </c>
      <c r="BR49" s="190">
        <f t="shared" si="15"/>
        <v>1490.6537361384226</v>
      </c>
      <c r="BS49" s="44" cm="1">
        <f t="array" ref="BS49">IFERROR(INDEX('Input 1_GRIP Factors'!$AC$5:$AC$65,MATCH(1,(BJ49='Input 1_GRIP Factors'!$G$5:$G$65)*(A49='Input 1_GRIP Factors'!$J$5:$J$65),0)),0)*AG49</f>
        <v>3451.3827192000003</v>
      </c>
      <c r="BT49" s="190">
        <f t="shared" si="16"/>
        <v>6226.8911065048851</v>
      </c>
      <c r="BU49" s="190">
        <f t="shared" si="25"/>
        <v>38709.418049933214</v>
      </c>
      <c r="BV49" s="190">
        <f t="shared" ca="1" si="17"/>
        <v>37.733538600958362</v>
      </c>
      <c r="BW49" s="190">
        <f t="shared" ca="1" si="26"/>
        <v>156.55770724818836</v>
      </c>
      <c r="BX49" s="190" cm="1">
        <f t="array" aca="1" ref="BX49" ca="1">IFERROR(INDEX('Input 1_GRIP Factors'!$AC$5:$AC$65,MATCH(1,(BJ49='Input 1_GRIP Factors'!$G$5:$G$65)*(A49='Input 1_GRIP Factors'!$J$5:$J$65),0)),0)*BW49</f>
        <v>15.752836503312713</v>
      </c>
      <c r="BY49" s="190"/>
      <c r="BZ49" s="56">
        <f>SUMIF('Monthly VOL'!G:G,'Master '!G49,'Monthly VOL'!BV:BV)</f>
        <v>8227.6703712681028</v>
      </c>
      <c r="CA49" s="519"/>
      <c r="CB49" s="56"/>
      <c r="CC49" s="553" t="s">
        <v>119</v>
      </c>
    </row>
    <row r="50" spans="1:81" s="60" customFormat="1">
      <c r="A50" s="60" t="s">
        <v>17</v>
      </c>
      <c r="B50" s="60" t="s">
        <v>993</v>
      </c>
      <c r="C50" s="55" t="s">
        <v>8</v>
      </c>
      <c r="D50" s="60" t="s">
        <v>1292</v>
      </c>
      <c r="E50" s="55" t="str">
        <f>VLOOKUP(D50,'Input 14_Ref Table'!C:D,2,FALSE)</f>
        <v>CR828</v>
      </c>
      <c r="F50" s="174" t="s">
        <v>1287</v>
      </c>
      <c r="G50" s="59" t="str">
        <f>VLOOKUP(D50,'Input 14_Ref Table'!C:I,7,FALSE)</f>
        <v>CFG - FTS-3 - Fixed R</v>
      </c>
      <c r="H50" s="59" t="str">
        <f>VLOOKUP(D50,'Input 14_Ref Table'!C:K,8,FALSE)</f>
        <v>FTS3</v>
      </c>
      <c r="I50" s="55" t="str">
        <f>VLOOKUP(E50,'Input 7_NG Rates'!B:G,6,FALSE)</f>
        <v>FTS-3</v>
      </c>
      <c r="J50" s="56" t="str">
        <f>IFERROR(VLOOKUP(H50,Report_Regression!B:L,11,FALSE),"")</f>
        <v>Median</v>
      </c>
      <c r="K50" s="57">
        <f>_xlfn.IFNA(VLOOKUP($H50,Report_Regression!$B:$L,9,FALSE),0)</f>
        <v>2.6784283829125063E-2</v>
      </c>
      <c r="L50" s="57">
        <f>_xlfn.IFNA(VLOOKUP($H50,Report_Regression!$B:$L,10,FALSE),0)</f>
        <v>2.2427493718462355E-2</v>
      </c>
      <c r="M50" s="57">
        <f>_xlfn.IFNA(VLOOKUP($H50,Report_Regression!$B:$L,8,FALSE),0)</f>
        <v>3.1020324094097884E-2</v>
      </c>
      <c r="N50" s="57">
        <f t="shared" si="7"/>
        <v>2.6784283829125063E-2</v>
      </c>
      <c r="O50" s="57" t="str">
        <f>IFERROR(VLOOKUP(H50,Report_Regression!O:Y,11,FALSE),"")</f>
        <v>Median</v>
      </c>
      <c r="P50" s="57">
        <f>IFERROR(VLOOKUP($H50,Report_Regression!$O:$Y,9,FALSE),0)</f>
        <v>1.22672019627513E-3</v>
      </c>
      <c r="Q50" s="57">
        <f>IFERROR(VLOOKUP($H50,Report_Regression!$O:$Y,10,FALSE),0)</f>
        <v>5.6980056980073348E-4</v>
      </c>
      <c r="R50" s="57">
        <f>IFERROR(VLOOKUP($H50,Report_Regression!$O:$Y,8,FALSE),0)</f>
        <v>1.7972962413063428E-3</v>
      </c>
      <c r="S50" s="57">
        <f t="shared" si="8"/>
        <v>1.22672019627513E-3</v>
      </c>
      <c r="T50" s="56">
        <f>_xlfn.IFNA(VLOOKUP($H50,Report_Regression!$O:$Y,6,FALSE),0)</f>
        <v>3591.2</v>
      </c>
      <c r="U50" s="56">
        <f>_xlfn.IFNA(VLOOKUP($H50,Report_Regression!$O:$Y,7,FALSE),0)</f>
        <v>3336.4000000000005</v>
      </c>
      <c r="V50" s="56">
        <f>_xlfn.IFNA(VLOOKUP($H50,Report_Regression!$O:$Y,5,FALSE),0)</f>
        <v>3845.9999999999995</v>
      </c>
      <c r="W50" s="5">
        <f t="shared" si="9"/>
        <v>3591.2</v>
      </c>
      <c r="X50" s="64">
        <f t="shared" si="10"/>
        <v>0</v>
      </c>
      <c r="Y50" s="56">
        <f>SUMIF('Input 3_2019CUST-YTD'!S:S,G50,'Input 3_2019CUST-YTD'!R:R)</f>
        <v>0</v>
      </c>
      <c r="Z50" s="56">
        <f>SUMIF('Input 4_2020CUST-YTD'!S:S,G50,'Input 4_2020CUST-YTD'!R:R)</f>
        <v>0</v>
      </c>
      <c r="AA50" s="56">
        <f>SUMIF('Input 5_2021CUST-YTD'!S:S,G50,'Input 5_2021CUST-YTD'!R:R)</f>
        <v>0</v>
      </c>
      <c r="AB50" s="56">
        <f t="shared" si="19"/>
        <v>0</v>
      </c>
      <c r="AC50" s="56">
        <f t="shared" si="20"/>
        <v>0</v>
      </c>
      <c r="AD50" s="56" t="str">
        <f>VLOOKUP(D50,'Input 15_Fcst Inputs'!A:F,2,FALSE)</f>
        <v>UPC Growth Rate</v>
      </c>
      <c r="AE50" s="56">
        <f>SUMIF('Input 3.1_2019VOL-YTD'!R:R,G50,'Input 3.1_2019VOL-YTD'!O:O)</f>
        <v>0</v>
      </c>
      <c r="AF50" s="56">
        <f>SUMIF('Input 4.1_2020VOL-YTD'!R:R,G50,'Input 4.1_2020VOL-YTD'!O:O)</f>
        <v>0</v>
      </c>
      <c r="AG50" s="56">
        <f>SUMIF('Input 5.1_2021VOL-YTD'!R:R,G50,'Input 5.1_2021VOL-YTD'!O:O)</f>
        <v>0</v>
      </c>
      <c r="AH50" s="64">
        <f>IFERROR(IF($AD50="Historical Average",(AVERAGE($AE50:$AG50)/AVERAGE($Y50:$AA50))*AB50,IF($AD50="UPC Growth Rate",((AG50/AA50)*(1+$S50)*AB50),IF($AD50="Modeled UPC",AB50/12*$W50,IF(AD50="Base Period",AG50,IF(AD50="Adjusted",SUMIF('Input 15_Fcst Inputs'!A:A,D50,'Input 15_Fcst Inputs'!F:F),0))))),0)</f>
        <v>0</v>
      </c>
      <c r="AI50" s="64">
        <f>IFERROR(IF($AD50="Historical Average",(AVERAGE($AE50:$AG50)/AVERAGE($Y50:$AA50))*AC50,IF($AD50="UPC Growth Rate",((AH50/AB50)*(1+$S50)*AC50),IF($AD50="Modeled UPC",AC50/12*$W50,IF(AD50="Base Period",AG50,IF(AD50="Adjusted",SUMIF('Input 15_Fcst Inputs'!A:A,D50,'Input 15_Fcst Inputs'!G:G),0))))),0)</f>
        <v>0</v>
      </c>
      <c r="AJ50" s="273">
        <f>VLOOKUP($G50,'WP-Peak Month UPC'!$C:$BL,17,FALSE)</f>
        <v>0</v>
      </c>
      <c r="AK50" s="273">
        <f>VLOOKUP($G50,'WP-Peak Month UPC'!$C:$BL,32,FALSE)</f>
        <v>0</v>
      </c>
      <c r="AL50" s="273">
        <f>VLOOKUP($G50,'WP-Peak Month UPC'!$C:$BL,47,FALSE)</f>
        <v>0</v>
      </c>
      <c r="AM50" s="273">
        <f>IF(OR(AD50="Base Period",AD50="Adjusted"),AL50,IF(AD50="Historical Average",AVERAGE(AJ50:AL50),IF(AD50="Modeled UPC",VLOOKUP(H50,Report_Regression!AB:AJ,5,FALSE),IF(AD50="UPC Growth Rate",AL50*(1+VLOOKUP(H50,Report_Regression!AB:AN,13,FALSE))))))</f>
        <v>0</v>
      </c>
      <c r="AN50" s="273">
        <f>IF(OR($AD50="Base Period",$AD50="Adjusted"),$AL50,IF($AD50="Historical Average",AVERAGE($AJ50:$AL50),IF($AD50="Modeled UPC",VLOOKUP($H50,Report_Regression!$AB:$AJ,9,FALSE),IF($AD50="UPC Growth Rate",AM50*(1+VLOOKUP($H50,Report_Regression!$AB:$AN,13,FALSE))))))</f>
        <v>0</v>
      </c>
      <c r="AO50" s="58">
        <f>VLOOKUP(E50,'Input 7_NG Rates'!B:I,7,FALSE)</f>
        <v>162</v>
      </c>
      <c r="AP50" s="292">
        <f>VLOOKUP(E50,'Input 7_NG Rates'!B:I,8,FALSE)</f>
        <v>0</v>
      </c>
      <c r="AQ50" s="293">
        <f>VLOOKUP(D50,'Input 14_Ref Table'!C:N,12,FALSE)</f>
        <v>0</v>
      </c>
      <c r="AR50" s="292"/>
      <c r="AS50" s="151">
        <f t="shared" si="21"/>
        <v>0</v>
      </c>
      <c r="AT50" s="151">
        <f t="shared" si="22"/>
        <v>0</v>
      </c>
      <c r="AU50" s="151">
        <f>SUMIF('Input 13.3_2021 Min Charges'!A:A,G50,'Input 13.3_2021 Min Charges'!O:O)</f>
        <v>0</v>
      </c>
      <c r="AV50" s="151">
        <f t="shared" si="23"/>
        <v>0</v>
      </c>
      <c r="AW50" s="151">
        <v>0</v>
      </c>
      <c r="AX50" s="151">
        <f t="shared" si="11"/>
        <v>0</v>
      </c>
      <c r="AY50" s="533">
        <f>SUMIF('Input 6_2021MARG-YTD'!AN:AN,G50,'Input 6_2021MARG-YTD'!AK:AK)</f>
        <v>0</v>
      </c>
      <c r="AZ50" s="533">
        <f t="shared" si="12"/>
        <v>0</v>
      </c>
      <c r="BA50" s="533"/>
      <c r="BB50" s="533"/>
      <c r="BC50" s="533"/>
      <c r="BD50" s="533"/>
      <c r="BE50" s="533"/>
      <c r="BF50" s="533"/>
      <c r="BG50" s="55"/>
      <c r="BH50" s="294"/>
      <c r="BI50" s="294"/>
      <c r="BJ50" s="191" t="s">
        <v>675</v>
      </c>
      <c r="BK50" s="514">
        <v>5.9479999999999998E-2</v>
      </c>
      <c r="BL50" s="190">
        <f t="shared" si="24"/>
        <v>0</v>
      </c>
      <c r="BM50" s="518" cm="1">
        <f t="array" ref="BM50">IFERROR(INDEX('Input 1_GRIP Factors'!$K$5:$K$54,MATCH(1,(BJ50='Input 1_GRIP Factors'!$G$5:$G$54)*(A50='Input 1_GRIP Factors'!$J$5:$J$54),0)),0)</f>
        <v>17.657355122636687</v>
      </c>
      <c r="BN50" s="190">
        <f>BM50*AA50</f>
        <v>0</v>
      </c>
      <c r="BO50" s="190">
        <f t="shared" si="13"/>
        <v>0</v>
      </c>
      <c r="BP50" s="190">
        <f t="shared" si="14"/>
        <v>0</v>
      </c>
      <c r="BQ50" s="551" cm="1">
        <f t="array" ref="BQ50">IFERROR(INDEX('Input 1_GRIP Factors'!$Y$5:$Y$54,MATCH(1,(BJ50='Input 1_GRIP Factors'!$G$5:$G$54)*(A50='Input 1_GRIP Factors'!$J$5:$J$54),0)),0)*AA50</f>
        <v>0</v>
      </c>
      <c r="BR50" s="190">
        <f t="shared" si="15"/>
        <v>0</v>
      </c>
      <c r="BS50" s="44" cm="1">
        <f t="array" ref="BS50">IFERROR(INDEX('Input 1_GRIP Factors'!$AC$5:$AC$54,MATCH(1,(BJ50='Input 1_GRIP Factors'!$G$5:$G$54)*(A50='Input 1_GRIP Factors'!$J$5:$J$54),0)),0)*AA50</f>
        <v>0</v>
      </c>
      <c r="BT50" s="190">
        <f t="shared" si="16"/>
        <v>0</v>
      </c>
      <c r="BU50" s="190">
        <f t="shared" si="25"/>
        <v>0</v>
      </c>
      <c r="BV50" s="190">
        <f t="shared" ca="1" si="17"/>
        <v>0</v>
      </c>
      <c r="BW50" s="190">
        <f t="shared" ca="1" si="26"/>
        <v>0</v>
      </c>
      <c r="BX50" s="190" cm="1">
        <f t="array" aca="1" ref="BX50" ca="1">IFERROR(INDEX('Input 1_GRIP Factors'!$AC$5:$AC$65,MATCH(1,(BJ50='Input 1_GRIP Factors'!$G$5:$G$65)*(A50='Input 1_GRIP Factors'!$J$5:$J$65),0)),0)*BW50</f>
        <v>0</v>
      </c>
      <c r="BY50" s="190"/>
      <c r="BZ50" s="56">
        <f>SUMIF('Monthly VOL'!G:G,'Master '!G50,'Monthly VOL'!BV:BV)</f>
        <v>0</v>
      </c>
      <c r="CA50" s="519"/>
      <c r="CB50" s="56"/>
      <c r="CC50" s="553" t="s">
        <v>119</v>
      </c>
    </row>
    <row r="51" spans="1:81" s="60" customFormat="1">
      <c r="A51" s="60" t="s">
        <v>17</v>
      </c>
      <c r="B51" s="60" t="s">
        <v>993</v>
      </c>
      <c r="C51" s="55" t="s">
        <v>1245</v>
      </c>
      <c r="D51" s="60" t="s">
        <v>1299</v>
      </c>
      <c r="E51" s="55" t="str">
        <f>VLOOKUP(D51,'Input 14_Ref Table'!C:D,2,FALSE)</f>
        <v>CC245</v>
      </c>
      <c r="F51" s="172" t="s">
        <v>1286</v>
      </c>
      <c r="G51" s="59" t="str">
        <f>VLOOKUP(D51,'Input 14_Ref Table'!C:I,7,FALSE)</f>
        <v>CFG - FTS-3 NR</v>
      </c>
      <c r="H51" s="59" t="str">
        <f>VLOOKUP(D51,'Input 14_Ref Table'!C:K,8,FALSE)</f>
        <v>FTS3</v>
      </c>
      <c r="I51" s="55" t="str">
        <f>VLOOKUP(E51,'Input 7_NG Rates'!B:G,6,FALSE)</f>
        <v>FTS-3</v>
      </c>
      <c r="J51" s="56" t="str">
        <f>IFERROR(VLOOKUP(H51,Report_Regression!B:L,11,FALSE),"")</f>
        <v>Median</v>
      </c>
      <c r="K51" s="57">
        <f>_xlfn.IFNA(VLOOKUP($H51,Report_Regression!$B:$L,9,FALSE),0)</f>
        <v>2.6784283829125063E-2</v>
      </c>
      <c r="L51" s="57">
        <f>_xlfn.IFNA(VLOOKUP($H51,Report_Regression!$B:$L,10,FALSE),0)</f>
        <v>2.2427493718462355E-2</v>
      </c>
      <c r="M51" s="57">
        <f>_xlfn.IFNA(VLOOKUP($H51,Report_Regression!$B:$L,8,FALSE),0)</f>
        <v>3.1020324094097884E-2</v>
      </c>
      <c r="N51" s="57">
        <f t="shared" si="7"/>
        <v>2.6784283829125063E-2</v>
      </c>
      <c r="O51" s="57" t="str">
        <f>IFERROR(VLOOKUP(H51,Report_Regression!O:Y,11,FALSE),"")</f>
        <v>Median</v>
      </c>
      <c r="P51" s="57">
        <f>IFERROR(VLOOKUP($H51,Report_Regression!$O:$Y,9,FALSE),0)</f>
        <v>1.22672019627513E-3</v>
      </c>
      <c r="Q51" s="57">
        <f>IFERROR(VLOOKUP($H51,Report_Regression!$O:$Y,10,FALSE),0)</f>
        <v>5.6980056980073348E-4</v>
      </c>
      <c r="R51" s="57">
        <f>IFERROR(VLOOKUP($H51,Report_Regression!$O:$Y,8,FALSE),0)</f>
        <v>1.7972962413063428E-3</v>
      </c>
      <c r="S51" s="57">
        <f t="shared" si="8"/>
        <v>1.22672019627513E-3</v>
      </c>
      <c r="T51" s="56">
        <f>_xlfn.IFNA(VLOOKUP($H51,Report_Regression!$O:$Y,6,FALSE),0)</f>
        <v>3591.2</v>
      </c>
      <c r="U51" s="56">
        <f>_xlfn.IFNA(VLOOKUP($H51,Report_Regression!$O:$Y,7,FALSE),0)</f>
        <v>3336.4000000000005</v>
      </c>
      <c r="V51" s="56">
        <f>_xlfn.IFNA(VLOOKUP($H51,Report_Regression!$O:$Y,5,FALSE),0)</f>
        <v>3845.9999999999995</v>
      </c>
      <c r="W51" s="5">
        <f t="shared" si="9"/>
        <v>3591.2</v>
      </c>
      <c r="X51" s="64">
        <f t="shared" si="10"/>
        <v>3739.5312185917178</v>
      </c>
      <c r="Y51" s="56">
        <f>SUMIF('Input 3_2019CUST-YTD'!S:S,G51,'Input 3_2019CUST-YTD'!R:R)</f>
        <v>3251</v>
      </c>
      <c r="Z51" s="56">
        <f>SUMIF('Input 4_2020CUST-YTD'!S:S,G51,'Input 4_2020CUST-YTD'!R:R)</f>
        <v>3351</v>
      </c>
      <c r="AA51" s="56">
        <f>SUMIF('Input 5_2021CUST-YTD'!S:S,G51,'Input 5_2021CUST-YTD'!R:R)</f>
        <v>3467</v>
      </c>
      <c r="AB51" s="56">
        <f t="shared" si="19"/>
        <v>3559.8611120355763</v>
      </c>
      <c r="AC51" s="56">
        <f t="shared" si="20"/>
        <v>3655.2094424526017</v>
      </c>
      <c r="AD51" s="56" t="str">
        <f>VLOOKUP(D51,'Input 15_Fcst Inputs'!A:F,2,FALSE)</f>
        <v>UPC Growth Rate</v>
      </c>
      <c r="AE51" s="56">
        <f>SUMIF('Input 3.1_2019VOL-YTD'!R:R,G51,'Input 3.1_2019VOL-YTD'!O:O)</f>
        <v>1046214.8000000003</v>
      </c>
      <c r="AF51" s="56">
        <f>SUMIF('Input 4.1_2020VOL-YTD'!R:R,G51,'Input 4.1_2020VOL-YTD'!O:O)</f>
        <v>994633.17000000016</v>
      </c>
      <c r="AG51" s="56">
        <f>SUMIF('Input 5.1_2021VOL-YTD'!R:R,G51,'Input 5.1_2021VOL-YTD'!O:O)</f>
        <v>1096930.3500000003</v>
      </c>
      <c r="AH51" s="64">
        <f>IFERROR(IF($AD51="Historical Average",(AVERAGE($AE51:$AG51)/AVERAGE($Y51:$AA51))*AB51,IF($AD51="UPC Growth Rate",((AG51/AA51)*(1+$S51)*AB51),IF($AD51="Modeled UPC",AB51/12*$W51,IF(AD51="Base Period",AG51,IF(AD51="Adjusted",SUMIF('Input 15_Fcst Inputs'!A:A,D51,'Input 15_Fcst Inputs'!F:F),0))))),0)</f>
        <v>1127692.5120945983</v>
      </c>
      <c r="AI51" s="64">
        <f>IFERROR(IF($AD51="Historical Average",(AVERAGE($AE51:$AG51)/AVERAGE($Y51:$AA51))*AC51,IF($AD51="UPC Growth Rate",((AH51/AB51)*(1+$S51)*AC51),IF($AD51="Modeled UPC",AC51/12*$W51,IF(AD51="Base Period",AG51,IF(AD51="Adjusted",SUMIF('Input 15_Fcst Inputs'!A:A,D51,'Input 15_Fcst Inputs'!G:G),0))))),0)</f>
        <v>1159317.3639823396</v>
      </c>
      <c r="AJ51" s="273">
        <f>VLOOKUP($G51,'WP-Peak Month UPC'!$C:$BL,17,FALSE)</f>
        <v>348.38984905660413</v>
      </c>
      <c r="AK51" s="273">
        <f>VLOOKUP($G51,'WP-Peak Month UPC'!$C:$BL,32,FALSE)</f>
        <v>354.83865942028984</v>
      </c>
      <c r="AL51" s="273">
        <f>VLOOKUP($G51,'WP-Peak Month UPC'!$C:$BL,47,FALSE)</f>
        <v>358.40000000000003</v>
      </c>
      <c r="AM51" s="273">
        <f>IF(OR(AD51="Base Period",AD51="Adjusted"),AL51,IF(AD51="Historical Average",AVERAGE(AJ51:AL51),IF(AD51="Modeled UPC",VLOOKUP(H51,Report_Regression!AB:AJ,5,FALSE),IF(AD51="UPC Growth Rate",AL51*(1+VLOOKUP(H51,Report_Regression!AB:AN,13,FALSE))))))</f>
        <v>367.01538461538462</v>
      </c>
      <c r="AN51" s="273">
        <f>IF(OR($AD51="Base Period",$AD51="Adjusted"),$AL51,IF($AD51="Historical Average",AVERAGE($AJ51:$AL51),IF($AD51="Modeled UPC",VLOOKUP($H51,Report_Regression!$AB:$AJ,9,FALSE),IF($AD51="UPC Growth Rate",AM51*(1+VLOOKUP($H51,Report_Regression!$AB:$AN,13,FALSE))))))</f>
        <v>375.83786982248517</v>
      </c>
      <c r="AO51" s="58">
        <f>VLOOKUP(E51,'Input 7_NG Rates'!B:I,7,FALSE)</f>
        <v>108</v>
      </c>
      <c r="AP51" s="292">
        <f>VLOOKUP(E51,'Input 7_NG Rates'!B:I,8,FALSE)</f>
        <v>0.24102000000000001</v>
      </c>
      <c r="AQ51" s="293">
        <f>VLOOKUP(D51,'Input 14_Ref Table'!C:N,12,FALSE)</f>
        <v>0</v>
      </c>
      <c r="AR51" s="292"/>
      <c r="AS51" s="151">
        <f t="shared" si="21"/>
        <v>374436</v>
      </c>
      <c r="AT51" s="151">
        <f t="shared" si="22"/>
        <v>264382.15295700007</v>
      </c>
      <c r="AU51" s="151">
        <f>SUMIF('Input 13.3_2021 Min Charges'!A:A,G51,'Input 13.3_2021 Min Charges'!O:O)</f>
        <v>0</v>
      </c>
      <c r="AV51" s="151">
        <f t="shared" si="23"/>
        <v>0</v>
      </c>
      <c r="AW51" s="151">
        <v>0</v>
      </c>
      <c r="AX51" s="151">
        <f t="shared" si="11"/>
        <v>638818.15295700007</v>
      </c>
      <c r="AY51" s="533">
        <f>SUMIF('Input 6_2021MARG-YTD'!AN:AN,G51,'Input 6_2021MARG-YTD'!AK:AK)</f>
        <v>637676.79</v>
      </c>
      <c r="AZ51" s="533">
        <f t="shared" si="12"/>
        <v>-1141.3629570000339</v>
      </c>
      <c r="BA51" s="533"/>
      <c r="BB51" s="533"/>
      <c r="BC51" s="533"/>
      <c r="BD51" s="533"/>
      <c r="BE51" s="533"/>
      <c r="BF51" s="533"/>
      <c r="BG51" s="55"/>
      <c r="BH51" s="294"/>
      <c r="BI51" s="294"/>
      <c r="BJ51" s="191" t="s">
        <v>653</v>
      </c>
      <c r="BK51" s="514">
        <v>5.9479999999999998E-2</v>
      </c>
      <c r="BL51" s="190">
        <f t="shared" si="24"/>
        <v>68956.196809669564</v>
      </c>
      <c r="BM51" s="518" cm="1">
        <f t="array" ref="BM51">IFERROR(INDEX('Input 1_GRIP Factors'!$K$5:$K$54,MATCH(1,(BJ51='Input 1_GRIP Factors'!$G$5:$G$54)*(A51='Input 1_GRIP Factors'!$J$5:$J$54),0)),0)</f>
        <v>6.0567597862095243E-2</v>
      </c>
      <c r="BN51" s="190">
        <f>BM51*AG51</f>
        <v>66438.436321527406</v>
      </c>
      <c r="BO51" s="190">
        <f t="shared" si="13"/>
        <v>609.80737943236977</v>
      </c>
      <c r="BP51" s="190">
        <f t="shared" si="14"/>
        <v>67048.243700959778</v>
      </c>
      <c r="BQ51" s="44" cm="1">
        <f t="array" ref="BQ51">IFERROR(INDEX('Input 1_GRIP Factors'!$Y$5:$Y$65,MATCH(1,(BJ51='Input 1_GRIP Factors'!$G$5:$G$65)*(A51='Input 1_GRIP Factors'!$J$5:$J$65),0)),0)*AG51</f>
        <v>47617.74649350001</v>
      </c>
      <c r="BR51" s="190">
        <f t="shared" si="15"/>
        <v>47670.204870946865</v>
      </c>
      <c r="BS51" s="44" cm="1">
        <f t="array" ref="BS51">IFERROR(INDEX('Input 1_GRIP Factors'!$AC$5:$AC$65,MATCH(1,(BJ51='Input 1_GRIP Factors'!$G$5:$G$65)*(A51='Input 1_GRIP Factors'!$J$5:$J$65),0)),0)*AG51</f>
        <v>110373.13181700003</v>
      </c>
      <c r="BT51" s="190">
        <f t="shared" si="16"/>
        <v>199132.21129752733</v>
      </c>
      <c r="BU51" s="190">
        <f t="shared" si="25"/>
        <v>952668.81282643392</v>
      </c>
      <c r="BV51" s="190">
        <f t="shared" ca="1" si="17"/>
        <v>834.21518878894472</v>
      </c>
      <c r="BW51" s="190">
        <f t="shared" ca="1" si="26"/>
        <v>3461.1865770016789</v>
      </c>
      <c r="BX51" s="190" cm="1">
        <f t="array" aca="1" ref="BX51" ca="1">IFERROR(INDEX('Input 1_GRIP Factors'!$AC$5:$AC$65,MATCH(1,(BJ51='Input 1_GRIP Factors'!$G$5:$G$65)*(A51='Input 1_GRIP Factors'!$J$5:$J$65),0)),0)*BW51</f>
        <v>348.26459337790891</v>
      </c>
      <c r="BY51" s="190"/>
      <c r="BZ51" s="56">
        <f>SUMIF('Monthly VOL'!G:G,'Master '!G51,'Monthly VOL'!BV:BV)</f>
        <v>106817.0051059835</v>
      </c>
      <c r="CA51" s="519"/>
      <c r="CB51" s="56"/>
      <c r="CC51" s="553" t="s">
        <v>119</v>
      </c>
    </row>
    <row r="52" spans="1:81" s="60" customFormat="1">
      <c r="A52" s="60" t="s">
        <v>17</v>
      </c>
      <c r="B52" s="60" t="s">
        <v>993</v>
      </c>
      <c r="C52" s="55" t="s">
        <v>1245</v>
      </c>
      <c r="D52" s="60" t="s">
        <v>1300</v>
      </c>
      <c r="E52" s="55" t="str">
        <f>VLOOKUP(D52,'Input 14_Ref Table'!C:D,2,FALSE)</f>
        <v>CC828</v>
      </c>
      <c r="F52" s="174" t="s">
        <v>1287</v>
      </c>
      <c r="G52" s="59" t="str">
        <f>VLOOKUP(D52,'Input 14_Ref Table'!C:I,7,FALSE)</f>
        <v>CFG - FTS-3 - Fixed NR</v>
      </c>
      <c r="H52" s="59" t="str">
        <f>VLOOKUP(D52,'Input 14_Ref Table'!C:K,8,FALSE)</f>
        <v>FTS3</v>
      </c>
      <c r="I52" s="55" t="str">
        <f>VLOOKUP(E52,'Input 7_NG Rates'!B:G,6,FALSE)</f>
        <v>FTS-3</v>
      </c>
      <c r="J52" s="56" t="str">
        <f>IFERROR(VLOOKUP(H52,Report_Regression!B:L,11,FALSE),"")</f>
        <v>Median</v>
      </c>
      <c r="K52" s="57">
        <f>_xlfn.IFNA(VLOOKUP($H52,Report_Regression!$B:$L,9,FALSE),0)</f>
        <v>2.6784283829125063E-2</v>
      </c>
      <c r="L52" s="57">
        <f>_xlfn.IFNA(VLOOKUP($H52,Report_Regression!$B:$L,10,FALSE),0)</f>
        <v>2.2427493718462355E-2</v>
      </c>
      <c r="M52" s="57">
        <f>_xlfn.IFNA(VLOOKUP($H52,Report_Regression!$B:$L,8,FALSE),0)</f>
        <v>3.1020324094097884E-2</v>
      </c>
      <c r="N52" s="57">
        <f t="shared" si="7"/>
        <v>2.6784283829125063E-2</v>
      </c>
      <c r="O52" s="57" t="str">
        <f>IFERROR(VLOOKUP(H52,Report_Regression!O:Y,11,FALSE),"")</f>
        <v>Median</v>
      </c>
      <c r="P52" s="57">
        <f>IFERROR(VLOOKUP($H52,Report_Regression!$O:$Y,9,FALSE),0)</f>
        <v>1.22672019627513E-3</v>
      </c>
      <c r="Q52" s="57">
        <f>IFERROR(VLOOKUP($H52,Report_Regression!$O:$Y,10,FALSE),0)</f>
        <v>5.6980056980073348E-4</v>
      </c>
      <c r="R52" s="57">
        <f>IFERROR(VLOOKUP($H52,Report_Regression!$O:$Y,8,FALSE),0)</f>
        <v>1.7972962413063428E-3</v>
      </c>
      <c r="S52" s="57">
        <f t="shared" si="8"/>
        <v>1.22672019627513E-3</v>
      </c>
      <c r="T52" s="56">
        <f>_xlfn.IFNA(VLOOKUP($H52,Report_Regression!$O:$Y,6,FALSE),0)</f>
        <v>3591.2</v>
      </c>
      <c r="U52" s="56">
        <f>_xlfn.IFNA(VLOOKUP($H52,Report_Regression!$O:$Y,7,FALSE),0)</f>
        <v>3336.4000000000005</v>
      </c>
      <c r="V52" s="56">
        <f>_xlfn.IFNA(VLOOKUP($H52,Report_Regression!$O:$Y,5,FALSE),0)</f>
        <v>3845.9999999999995</v>
      </c>
      <c r="W52" s="5">
        <f t="shared" si="9"/>
        <v>3591.2</v>
      </c>
      <c r="X52" s="64">
        <f t="shared" si="10"/>
        <v>3434.4567515923568</v>
      </c>
      <c r="Y52" s="56">
        <f>SUMIF('Input 3_2019CUST-YTD'!S:S,G52,'Input 3_2019CUST-YTD'!R:R)</f>
        <v>211</v>
      </c>
      <c r="Z52" s="56">
        <f>SUMIF('Input 4_2020CUST-YTD'!S:S,G52,'Input 4_2020CUST-YTD'!R:R)</f>
        <v>214</v>
      </c>
      <c r="AA52" s="56">
        <f>SUMIF('Input 5_2021CUST-YTD'!S:S,G52,'Input 5_2021CUST-YTD'!R:R)</f>
        <v>203</v>
      </c>
      <c r="AB52" s="56">
        <f t="shared" si="19"/>
        <v>208.43720961731239</v>
      </c>
      <c r="AC52" s="56">
        <f t="shared" si="20"/>
        <v>214.02005100025332</v>
      </c>
      <c r="AD52" s="56" t="str">
        <f>VLOOKUP(D52,'Input 15_Fcst Inputs'!A:F,2,FALSE)</f>
        <v>UPC Growth Rate</v>
      </c>
      <c r="AE52" s="56">
        <f>SUMIF('Input 3.1_2019VOL-YTD'!R:R,G52,'Input 3.1_2019VOL-YTD'!O:O)</f>
        <v>63850.9</v>
      </c>
      <c r="AF52" s="56">
        <f>SUMIF('Input 4.1_2020VOL-YTD'!R:R,G52,'Input 4.1_2020VOL-YTD'!O:O)</f>
        <v>56372.82</v>
      </c>
      <c r="AG52" s="56">
        <f>SUMIF('Input 5.1_2021VOL-YTD'!R:R,G52,'Input 5.1_2021VOL-YTD'!O:O)</f>
        <v>59512.849999999991</v>
      </c>
      <c r="AH52" s="64">
        <f>IFERROR(IF($AD52="Historical Average",(AVERAGE($AE52:$AG52)/AVERAGE($Y52:$AA52))*AB52,IF($AD52="UPC Growth Rate",((AG52/AA52)*(1+$S52)*AB52),IF($AD52="Modeled UPC",AB52/12*$W52,IF(AD52="Base Period",AG52,IF(AD52="Adjusted",SUMIF('Input 15_Fcst Inputs'!A:A,D52,'Input 15_Fcst Inputs'!F:F),0))))),0)</f>
        <v>61181.820084027197</v>
      </c>
      <c r="AI52" s="64">
        <f>IFERROR(IF($AD52="Historical Average",(AVERAGE($AE52:$AG52)/AVERAGE($Y52:$AA52))*AC52,IF($AD52="UPC Growth Rate",((AH52/AB52)*(1+$S52)*AC52),IF($AD52="Modeled UPC",AC52/12*$W52,IF(AD52="Base Period",AG52,IF(AD52="Adjusted",SUMIF('Input 15_Fcst Inputs'!A:A,D52,'Input 15_Fcst Inputs'!G:G),0))))),0)</f>
        <v>62897.594532849194</v>
      </c>
      <c r="AJ52" s="273">
        <f>VLOOKUP($G52,'WP-Peak Month UPC'!$C:$BL,17,FALSE)</f>
        <v>281.315</v>
      </c>
      <c r="AK52" s="273">
        <f>VLOOKUP($G52,'WP-Peak Month UPC'!$C:$BL,32,FALSE)</f>
        <v>283.18799999999999</v>
      </c>
      <c r="AL52" s="273">
        <f>VLOOKUP($G52,'WP-Peak Month UPC'!$C:$BL,47,FALSE)</f>
        <v>300.46470588235292</v>
      </c>
      <c r="AM52" s="273">
        <f>IF(OR(AD52="Base Period",AD52="Adjusted"),AL52,IF(AD52="Historical Average",AVERAGE(AJ52:AL52),IF(AD52="Modeled UPC",VLOOKUP(H52,Report_Regression!AB:AJ,5,FALSE),IF(AD52="UPC Growth Rate",AL52*(1+VLOOKUP(H52,Report_Regression!AB:AN,13,FALSE))))))</f>
        <v>307.68741515837098</v>
      </c>
      <c r="AN52" s="273">
        <f>IF(OR($AD52="Base Period",$AD52="Adjusted"),$AL52,IF($AD52="Historical Average",AVERAGE($AJ52:$AL52),IF($AD52="Modeled UPC",VLOOKUP($H52,Report_Regression!$AB:$AJ,9,FALSE),IF($AD52="UPC Growth Rate",AM52*(1+VLOOKUP($H52,Report_Regression!$AB:$AN,13,FALSE))))))</f>
        <v>315.08374725352411</v>
      </c>
      <c r="AO52" s="58">
        <f>VLOOKUP(E52,'Input 7_NG Rates'!B:I,7,FALSE)</f>
        <v>162</v>
      </c>
      <c r="AP52" s="292">
        <f>VLOOKUP(E52,'Input 7_NG Rates'!B:I,8,FALSE)</f>
        <v>0</v>
      </c>
      <c r="AQ52" s="293">
        <f>VLOOKUP(D52,'Input 14_Ref Table'!C:N,12,FALSE)</f>
        <v>0</v>
      </c>
      <c r="AR52" s="292"/>
      <c r="AS52" s="151">
        <f t="shared" si="21"/>
        <v>32886</v>
      </c>
      <c r="AT52" s="151">
        <f t="shared" si="22"/>
        <v>0</v>
      </c>
      <c r="AU52" s="151">
        <f>SUMIF('Input 13.3_2021 Min Charges'!A:A,G52,'Input 13.3_2021 Min Charges'!O:O)</f>
        <v>0</v>
      </c>
      <c r="AV52" s="151">
        <f t="shared" si="23"/>
        <v>0</v>
      </c>
      <c r="AW52" s="151">
        <v>0</v>
      </c>
      <c r="AX52" s="151">
        <f t="shared" si="11"/>
        <v>32886</v>
      </c>
      <c r="AY52" s="533">
        <f>SUMIF('Input 6_2021MARG-YTD'!AN:AN,G52,'Input 6_2021MARG-YTD'!AK:AK)</f>
        <v>32745.600000000002</v>
      </c>
      <c r="AZ52" s="533">
        <f t="shared" si="12"/>
        <v>-140.39999999999782</v>
      </c>
      <c r="BA52" s="533"/>
      <c r="BB52" s="533"/>
      <c r="BC52" s="533"/>
      <c r="BD52" s="533"/>
      <c r="BE52" s="533"/>
      <c r="BF52" s="533"/>
      <c r="BG52" s="55"/>
      <c r="BH52" s="294"/>
      <c r="BI52" s="294"/>
      <c r="BJ52" s="191" t="s">
        <v>675</v>
      </c>
      <c r="BK52" s="514">
        <v>5.9479999999999998E-2</v>
      </c>
      <c r="BL52" s="190">
        <f t="shared" si="24"/>
        <v>3741.1489228138698</v>
      </c>
      <c r="BM52" s="518" cm="1">
        <f t="array" ref="BM52">IFERROR(INDEX('Input 1_GRIP Factors'!$K$5:$K$54,MATCH(1,(BJ52='Input 1_GRIP Factors'!$G$5:$G$54)*(A52='Input 1_GRIP Factors'!$J$5:$J$54),0)),0)</f>
        <v>17.657355122636687</v>
      </c>
      <c r="BN52" s="190">
        <f>BM52*AA52</f>
        <v>3584.4430898952473</v>
      </c>
      <c r="BO52" s="190">
        <f t="shared" si="13"/>
        <v>32.89992914335398</v>
      </c>
      <c r="BP52" s="190">
        <f t="shared" si="14"/>
        <v>3617.3430190386011</v>
      </c>
      <c r="BQ52" s="551" cm="1">
        <f t="array" ref="BQ52">IFERROR(INDEX('Input 1_GRIP Factors'!$Y$5:$Y$54,MATCH(1,(BJ52='Input 1_GRIP Factors'!$G$5:$G$54)*(A52='Input 1_GRIP Factors'!$J$5:$J$54),0)),0)*AA52</f>
        <v>2710.0499999999997</v>
      </c>
      <c r="BR52" s="190">
        <f t="shared" si="15"/>
        <v>2713.0355429176861</v>
      </c>
      <c r="BS52" s="44" cm="1">
        <f t="array" ref="BS52">IFERROR(INDEX('Input 1_GRIP Factors'!$AC$5:$AC$54,MATCH(1,(BJ52='Input 1_GRIP Factors'!$G$5:$G$54)*(A52='Input 1_GRIP Factors'!$J$5:$J$54),0)),0)*AA52</f>
        <v>4529.4171999999999</v>
      </c>
      <c r="BT52" s="190">
        <f t="shared" si="16"/>
        <v>8171.8516823505852</v>
      </c>
      <c r="BU52" s="190">
        <f t="shared" si="25"/>
        <v>47388.230244306869</v>
      </c>
      <c r="BV52" s="190">
        <f t="shared" ca="1" si="17"/>
        <v>42.944929744912656</v>
      </c>
      <c r="BW52" s="190">
        <f t="shared" ca="1" si="26"/>
        <v>0</v>
      </c>
      <c r="BX52" s="190" cm="1">
        <f t="array" aca="1" ref="BX52" ca="1">IFERROR(INDEX('Input 1_GRIP Factors'!$AC$5:$AC$65,MATCH(1,(BJ52='Input 1_GRIP Factors'!$G$5:$G$65)*(A52='Input 1_GRIP Factors'!$J$5:$J$65),0)),0)*BW52</f>
        <v>0</v>
      </c>
      <c r="BY52" s="190"/>
      <c r="BZ52" s="56">
        <f>SUMIF('Monthly VOL'!G:G,'Master '!G52,'Monthly VOL'!BV:BV)</f>
        <v>5398.4076231324898</v>
      </c>
      <c r="CA52" s="519"/>
      <c r="CB52" s="56"/>
      <c r="CC52" s="553" t="s">
        <v>119</v>
      </c>
    </row>
    <row r="53" spans="1:81" s="60" customFormat="1">
      <c r="A53" s="60" t="s">
        <v>17</v>
      </c>
      <c r="B53" s="60" t="s">
        <v>993</v>
      </c>
      <c r="C53" s="55" t="s">
        <v>1245</v>
      </c>
      <c r="D53" s="60" t="s">
        <v>1301</v>
      </c>
      <c r="E53" s="55" t="str">
        <f>VLOOKUP(D53,'Input 14_Ref Table'!C:D,2,FALSE)</f>
        <v>CC824</v>
      </c>
      <c r="F53" s="172" t="s">
        <v>1286</v>
      </c>
      <c r="G53" s="59" t="str">
        <f>VLOOKUP(D53,'Input 14_Ref Table'!C:I,7,FALSE)</f>
        <v>CFG - FTS-3.1 NR</v>
      </c>
      <c r="H53" s="59" t="str">
        <f>VLOOKUP(D53,'Input 14_Ref Table'!C:K,8,FALSE)</f>
        <v>FTS3.1</v>
      </c>
      <c r="I53" s="55" t="str">
        <f>VLOOKUP(E53,'Input 7_NG Rates'!B:G,6,FALSE)</f>
        <v>FTS31</v>
      </c>
      <c r="J53" s="56" t="str">
        <f>IFERROR(VLOOKUP(H53,Report_Regression!B:L,11,FALSE),"")</f>
        <v>Median</v>
      </c>
      <c r="K53" s="57">
        <f>_xlfn.IFNA(VLOOKUP($H53,Report_Regression!$B:$L,9,FALSE),0)</f>
        <v>-1.0532413897830479E-2</v>
      </c>
      <c r="L53" s="57">
        <f>_xlfn.IFNA(VLOOKUP($H53,Report_Regression!$B:$L,10,FALSE),0)</f>
        <v>-2.1782179918380277E-2</v>
      </c>
      <c r="M53" s="57">
        <f>_xlfn.IFNA(VLOOKUP($H53,Report_Regression!$B:$L,8,FALSE),0)</f>
        <v>3.5798619761134349E-4</v>
      </c>
      <c r="N53" s="57">
        <f t="shared" si="7"/>
        <v>-1.0532413897830479E-2</v>
      </c>
      <c r="O53" s="57" t="str">
        <f>IFERROR(VLOOKUP(H53,Report_Regression!O:Y,11,FALSE),"")</f>
        <v>Median</v>
      </c>
      <c r="P53" s="57">
        <f>IFERROR(VLOOKUP($H53,Report_Regression!$O:$Y,9,FALSE),0)</f>
        <v>-5.3752990430621737E-3</v>
      </c>
      <c r="Q53" s="57">
        <f>IFERROR(VLOOKUP($H53,Report_Regression!$O:$Y,10,FALSE),0)</f>
        <v>-6.6995073891624422E-3</v>
      </c>
      <c r="R53" s="57">
        <f>IFERROR(VLOOKUP($H53,Report_Regression!$O:$Y,8,FALSE),0)</f>
        <v>-4.268460060389714E-3</v>
      </c>
      <c r="S53" s="57">
        <f t="shared" si="8"/>
        <v>-5.3752990430621737E-3</v>
      </c>
      <c r="T53" s="56">
        <f>_xlfn.IFNA(VLOOKUP($H53,Report_Regression!$O:$Y,6,FALSE),0)</f>
        <v>6652.05</v>
      </c>
      <c r="U53" s="56">
        <f>_xlfn.IFNA(VLOOKUP($H53,Report_Regression!$O:$Y,7,FALSE),0)</f>
        <v>6049.2000000000007</v>
      </c>
      <c r="V53" s="56">
        <f>_xlfn.IFNA(VLOOKUP($H53,Report_Regression!$O:$Y,5,FALSE),0)</f>
        <v>7254.9</v>
      </c>
      <c r="W53" s="5">
        <f t="shared" si="9"/>
        <v>6652.05</v>
      </c>
      <c r="X53" s="64">
        <f t="shared" si="10"/>
        <v>6939.6362100000006</v>
      </c>
      <c r="Y53" s="56">
        <f>SUMIF('Input 3_2019CUST-YTD'!S:S,G53,'Input 3_2019CUST-YTD'!R:R)</f>
        <v>3967</v>
      </c>
      <c r="Z53" s="56">
        <f>SUMIF('Input 4_2020CUST-YTD'!S:S,G53,'Input 4_2020CUST-YTD'!R:R)</f>
        <v>4033</v>
      </c>
      <c r="AA53" s="56">
        <f>SUMIF('Input 5_2021CUST-YTD'!S:S,G53,'Input 5_2021CUST-YTD'!R:R)</f>
        <v>4000</v>
      </c>
      <c r="AB53" s="56">
        <f t="shared" si="19"/>
        <v>3957.8703444086782</v>
      </c>
      <c r="AC53" s="56">
        <f t="shared" si="20"/>
        <v>3916.1844157874175</v>
      </c>
      <c r="AD53" s="56" t="str">
        <f>VLOOKUP(D53,'Input 15_Fcst Inputs'!A:F,2,FALSE)</f>
        <v>UPC Growth Rate</v>
      </c>
      <c r="AE53" s="56">
        <f>SUMIF('Input 3.1_2019VOL-YTD'!R:R,G53,'Input 3.1_2019VOL-YTD'!O:O)</f>
        <v>2375136</v>
      </c>
      <c r="AF53" s="56">
        <f>SUMIF('Input 4.1_2020VOL-YTD'!R:R,G53,'Input 4.1_2020VOL-YTD'!O:O)</f>
        <v>2187651.4499999997</v>
      </c>
      <c r="AG53" s="56">
        <f>SUMIF('Input 5.1_2021VOL-YTD'!R:R,G53,'Input 5.1_2021VOL-YTD'!O:O)</f>
        <v>2376848.7600000002</v>
      </c>
      <c r="AH53" s="64">
        <f>IFERROR(IF($AD53="Historical Average",(AVERAGE($AE53:$AG53)/AVERAGE($Y53:$AA53))*AB53,IF($AD53="UPC Growth Rate",((AG53/AA53)*(1+$S53)*AB53),IF($AD53="Modeled UPC",AB53/12*$W53,IF(AD53="Base Period",AG53,IF(AD53="Adjusted",SUMIF('Input 15_Fcst Inputs'!A:A,D53,'Input 15_Fcst Inputs'!F:F),0))))),0)</f>
        <v>2339173.0972158909</v>
      </c>
      <c r="AI53" s="64">
        <f>IFERROR(IF($AD53="Historical Average",(AVERAGE($AE53:$AG53)/AVERAGE($Y53:$AA53))*AC53,IF($AD53="UPC Growth Rate",((AH53/AB53)*(1+$S53)*AC53),IF($AD53="Modeled UPC",AC53/12*$W53,IF(AD53="Base Period",AG53,IF(AD53="Adjusted",SUMIF('Input 15_Fcst Inputs'!A:A,D53,'Input 15_Fcst Inputs'!G:G),0))))),0)</f>
        <v>2302094.6350572947</v>
      </c>
      <c r="AJ53" s="273">
        <f>VLOOKUP($G53,'WP-Peak Month UPC'!$C:$BL,17,FALSE)</f>
        <v>677.4848484848485</v>
      </c>
      <c r="AK53" s="273">
        <f>VLOOKUP($G53,'WP-Peak Month UPC'!$C:$BL,32,FALSE)</f>
        <v>749.22169642857136</v>
      </c>
      <c r="AL53" s="273">
        <f>VLOOKUP($G53,'WP-Peak Month UPC'!$C:$BL,47,FALSE)</f>
        <v>691.97423880597012</v>
      </c>
      <c r="AM53" s="273">
        <f>IF(OR(AD53="Base Period",AD53="Adjusted"),AL53,IF(AD53="Historical Average",AVERAGE(AJ53:AL53),IF(AD53="Modeled UPC",VLOOKUP(H53,Report_Regression!AB:AJ,5,FALSE),IF(AD53="UPC Growth Rate",AL53*(1+VLOOKUP(H53,Report_Regression!AB:AN,13,FALSE))))))</f>
        <v>677.28083290425855</v>
      </c>
      <c r="AN53" s="273">
        <f>IF(OR($AD53="Base Period",$AD53="Adjusted"),$AL53,IF($AD53="Historical Average",AVERAGE($AJ53:$AL53),IF($AD53="Modeled UPC",VLOOKUP($H53,Report_Regression!$AB:$AJ,9,FALSE),IF($AD53="UPC Growth Rate",AM53*(1+VLOOKUP($H53,Report_Regression!$AB:$AN,13,FALSE))))))</f>
        <v>662.8994273125079</v>
      </c>
      <c r="AO53" s="58">
        <f>VLOOKUP(E53,'Input 7_NG Rates'!B:I,7,FALSE)</f>
        <v>134</v>
      </c>
      <c r="AP53" s="292">
        <f>VLOOKUP(E53,'Input 7_NG Rates'!B:I,8,FALSE)</f>
        <v>0.20383000000000001</v>
      </c>
      <c r="AQ53" s="293">
        <f>VLOOKUP(D53,'Input 14_Ref Table'!C:N,12,FALSE)</f>
        <v>0</v>
      </c>
      <c r="AR53" s="292"/>
      <c r="AS53" s="151">
        <f t="shared" si="21"/>
        <v>536000</v>
      </c>
      <c r="AT53" s="151">
        <f t="shared" si="22"/>
        <v>484473.08275080007</v>
      </c>
      <c r="AU53" s="151">
        <f>SUMIF('Input 13.3_2021 Min Charges'!A:A,G53,'Input 13.3_2021 Min Charges'!O:O)</f>
        <v>0</v>
      </c>
      <c r="AV53" s="151">
        <f t="shared" si="23"/>
        <v>0</v>
      </c>
      <c r="AW53" s="151">
        <v>0</v>
      </c>
      <c r="AX53" s="151">
        <f t="shared" si="11"/>
        <v>1020473.0827508001</v>
      </c>
      <c r="AY53" s="533">
        <f>SUMIF('Input 6_2021MARG-YTD'!AN:AN,G53,'Input 6_2021MARG-YTD'!AK:AK)</f>
        <v>1019878.4600000003</v>
      </c>
      <c r="AZ53" s="533">
        <f t="shared" si="12"/>
        <v>-594.6227507997537</v>
      </c>
      <c r="BA53" s="533"/>
      <c r="BB53" s="533"/>
      <c r="BC53" s="533"/>
      <c r="BD53" s="533"/>
      <c r="BE53" s="533"/>
      <c r="BF53" s="533"/>
      <c r="BG53" s="55"/>
      <c r="BH53" s="294"/>
      <c r="BI53" s="294"/>
      <c r="BJ53" s="191" t="s">
        <v>528</v>
      </c>
      <c r="BK53" s="514">
        <v>7.5529999999999986E-2</v>
      </c>
      <c r="BL53" s="190">
        <f t="shared" si="24"/>
        <v>173877.20778587743</v>
      </c>
      <c r="BM53" s="518" cm="1">
        <f t="array" ref="BM53">IFERROR(INDEX('Input 1_GRIP Factors'!$K$5:$K$54,MATCH(1,(BJ53='Input 1_GRIP Factors'!$G$5:$G$54)*(A53='Input 1_GRIP Factors'!$J$5:$J$54),0)),0)</f>
        <v>7.4686924084199621E-2</v>
      </c>
      <c r="BN53" s="190">
        <f>BM53*AG53</f>
        <v>177519.52289774403</v>
      </c>
      <c r="BO53" s="190">
        <f t="shared" si="13"/>
        <v>1629.3687968884626</v>
      </c>
      <c r="BP53" s="190">
        <f t="shared" si="14"/>
        <v>179148.8916946325</v>
      </c>
      <c r="BQ53" s="44" cm="1">
        <f t="array" ref="BQ53">IFERROR(INDEX('Input 1_GRIP Factors'!$Y$5:$Y$65,MATCH(1,(BJ53='Input 1_GRIP Factors'!$G$5:$G$65)*(A53='Input 1_GRIP Factors'!$J$5:$J$65),0)),0)*AG53</f>
        <v>75369.87417960001</v>
      </c>
      <c r="BR53" s="190">
        <f t="shared" si="15"/>
        <v>75452.905855791905</v>
      </c>
      <c r="BS53" s="44" cm="1">
        <f t="array" ref="BS53">IFERROR(INDEX('Input 1_GRIP Factors'!$AC$5:$AC$65,MATCH(1,(BJ53='Input 1_GRIP Factors'!$G$5:$G$65)*(A53='Input 1_GRIP Factors'!$J$5:$J$65),0)),0)*AG53</f>
        <v>257032.42490640003</v>
      </c>
      <c r="BT53" s="190">
        <f t="shared" si="16"/>
        <v>463730.9307453541</v>
      </c>
      <c r="BU53" s="190">
        <f t="shared" si="25"/>
        <v>1738805.8110465787</v>
      </c>
      <c r="BV53" s="190">
        <f t="shared" ca="1" si="17"/>
        <v>1332.6079439672671</v>
      </c>
      <c r="BW53" s="190">
        <f t="shared" ca="1" si="26"/>
        <v>6537.8400822610365</v>
      </c>
      <c r="BX53" s="190" cm="1">
        <f t="array" aca="1" ref="BX53" ca="1">IFERROR(INDEX('Input 1_GRIP Factors'!$AC$5:$AC$65,MATCH(1,(BJ53='Input 1_GRIP Factors'!$G$5:$G$65)*(A53='Input 1_GRIP Factors'!$J$5:$J$65),0)),0)*BW53</f>
        <v>707.00202649570849</v>
      </c>
      <c r="BY53" s="190"/>
      <c r="BZ53" s="56">
        <f>SUMIF('Monthly VOL'!G:G,'Master '!G53,'Monthly VOL'!BV:BV)</f>
        <v>224520.68478361296</v>
      </c>
      <c r="CA53" s="519"/>
      <c r="CB53" s="56"/>
      <c r="CC53" s="553" t="s">
        <v>120</v>
      </c>
    </row>
    <row r="54" spans="1:81" s="60" customFormat="1">
      <c r="A54" s="60" t="s">
        <v>17</v>
      </c>
      <c r="B54" s="60" t="s">
        <v>993</v>
      </c>
      <c r="C54" s="55" t="s">
        <v>1245</v>
      </c>
      <c r="D54" s="60" t="s">
        <v>1302</v>
      </c>
      <c r="E54" s="55" t="str">
        <f>VLOOKUP(D54,'Input 14_Ref Table'!C:D,2,FALSE)</f>
        <v>CC826</v>
      </c>
      <c r="F54" s="174" t="s">
        <v>1287</v>
      </c>
      <c r="G54" s="59" t="str">
        <f>VLOOKUP(D54,'Input 14_Ref Table'!C:I,7,FALSE)</f>
        <v>CFG - FTS-3.1 - Fixed NR</v>
      </c>
      <c r="H54" s="59" t="str">
        <f>VLOOKUP(D54,'Input 14_Ref Table'!C:K,8,FALSE)</f>
        <v>FTS3.1</v>
      </c>
      <c r="I54" s="55" t="str">
        <f>VLOOKUP(E54,'Input 7_NG Rates'!B:G,6,FALSE)</f>
        <v>FTS31</v>
      </c>
      <c r="J54" s="56" t="str">
        <f>IFERROR(VLOOKUP(H54,Report_Regression!B:L,11,FALSE),"")</f>
        <v>Median</v>
      </c>
      <c r="K54" s="57">
        <f>_xlfn.IFNA(VLOOKUP($H54,Report_Regression!$B:$L,9,FALSE),0)</f>
        <v>-1.0532413897830479E-2</v>
      </c>
      <c r="L54" s="57">
        <f>_xlfn.IFNA(VLOOKUP($H54,Report_Regression!$B:$L,10,FALSE),0)</f>
        <v>-2.1782179918380277E-2</v>
      </c>
      <c r="M54" s="57">
        <f>_xlfn.IFNA(VLOOKUP($H54,Report_Regression!$B:$L,8,FALSE),0)</f>
        <v>3.5798619761134349E-4</v>
      </c>
      <c r="N54" s="57">
        <f t="shared" si="7"/>
        <v>-1.0532413897830479E-2</v>
      </c>
      <c r="O54" s="57" t="str">
        <f>IFERROR(VLOOKUP(H54,Report_Regression!O:Y,11,FALSE),"")</f>
        <v>Median</v>
      </c>
      <c r="P54" s="57">
        <f>IFERROR(VLOOKUP($H54,Report_Regression!$O:$Y,9,FALSE),0)</f>
        <v>-5.3752990430621737E-3</v>
      </c>
      <c r="Q54" s="57">
        <f>IFERROR(VLOOKUP($H54,Report_Regression!$O:$Y,10,FALSE),0)</f>
        <v>-6.6995073891624422E-3</v>
      </c>
      <c r="R54" s="57">
        <f>IFERROR(VLOOKUP($H54,Report_Regression!$O:$Y,8,FALSE),0)</f>
        <v>-4.268460060389714E-3</v>
      </c>
      <c r="S54" s="57">
        <f t="shared" si="8"/>
        <v>-5.3752990430621737E-3</v>
      </c>
      <c r="T54" s="56">
        <f>_xlfn.IFNA(VLOOKUP($H54,Report_Regression!$O:$Y,6,FALSE),0)</f>
        <v>6652.05</v>
      </c>
      <c r="U54" s="56">
        <f>_xlfn.IFNA(VLOOKUP($H54,Report_Regression!$O:$Y,7,FALSE),0)</f>
        <v>6049.2000000000007</v>
      </c>
      <c r="V54" s="56">
        <f>_xlfn.IFNA(VLOOKUP($H54,Report_Regression!$O:$Y,5,FALSE),0)</f>
        <v>7254.9</v>
      </c>
      <c r="W54" s="5">
        <f t="shared" si="9"/>
        <v>6652.05</v>
      </c>
      <c r="X54" s="64">
        <f t="shared" si="10"/>
        <v>6492.4332530120482</v>
      </c>
      <c r="Y54" s="56">
        <f>SUMIF('Input 3_2019CUST-YTD'!S:S,G54,'Input 3_2019CUST-YTD'!R:R)</f>
        <v>84</v>
      </c>
      <c r="Z54" s="56">
        <f>SUMIF('Input 4_2020CUST-YTD'!S:S,G54,'Input 4_2020CUST-YTD'!R:R)</f>
        <v>84</v>
      </c>
      <c r="AA54" s="56">
        <f>SUMIF('Input 5_2021CUST-YTD'!S:S,G54,'Input 5_2021CUST-YTD'!R:R)</f>
        <v>81</v>
      </c>
      <c r="AB54" s="56">
        <f t="shared" si="19"/>
        <v>80.146874474275734</v>
      </c>
      <c r="AC54" s="56">
        <f t="shared" si="20"/>
        <v>79.302734419695199</v>
      </c>
      <c r="AD54" s="56" t="str">
        <f>VLOOKUP(D54,'Input 15_Fcst Inputs'!A:F,2,FALSE)</f>
        <v>UPC Growth Rate</v>
      </c>
      <c r="AE54" s="56">
        <f>SUMIF('Input 3.1_2019VOL-YTD'!R:R,G54,'Input 3.1_2019VOL-YTD'!O:O)</f>
        <v>46889.649999999994</v>
      </c>
      <c r="AF54" s="56">
        <f>SUMIF('Input 4.1_2020VOL-YTD'!R:R,G54,'Input 4.1_2020VOL-YTD'!O:O)</f>
        <v>40285.82</v>
      </c>
      <c r="AG54" s="56">
        <f>SUMIF('Input 5.1_2021VOL-YTD'!R:R,G54,'Input 5.1_2021VOL-YTD'!O:O)</f>
        <v>47542.520000000004</v>
      </c>
      <c r="AH54" s="64">
        <f>IFERROR(IF($AD54="Historical Average",(AVERAGE($AE54:$AG54)/AVERAGE($Y54:$AA54))*AB54,IF($AD54="UPC Growth Rate",((AG54/AA54)*(1+$S54)*AB54),IF($AD54="Modeled UPC",AB54/12*$W54,IF(AD54="Base Period",AG54,IF(AD54="Adjusted",SUMIF('Input 15_Fcst Inputs'!A:A,D54,'Input 15_Fcst Inputs'!F:F),0))))),0)</f>
        <v>46788.918853149255</v>
      </c>
      <c r="AI54" s="64">
        <f>IFERROR(IF($AD54="Historical Average",(AVERAGE($AE54:$AG54)/AVERAGE($Y54:$AA54))*AC54,IF($AD54="UPC Growth Rate",((AH54/AB54)*(1+$S54)*AC54),IF($AD54="Modeled UPC",AC54/12*$W54,IF(AD54="Base Period",AG54,IF(AD54="Adjusted",SUMIF('Input 15_Fcst Inputs'!A:A,D54,'Input 15_Fcst Inputs'!G:G),0))))),0)</f>
        <v>46047.263111980305</v>
      </c>
      <c r="AJ54" s="273">
        <f>VLOOKUP($G54,'WP-Peak Month UPC'!$C:$BL,17,FALSE)</f>
        <v>571.36714285714288</v>
      </c>
      <c r="AK54" s="273">
        <f>VLOOKUP($G54,'WP-Peak Month UPC'!$C:$BL,32,FALSE)</f>
        <v>567.00428571428574</v>
      </c>
      <c r="AL54" s="273">
        <f>VLOOKUP($G54,'WP-Peak Month UPC'!$C:$BL,47,FALSE)</f>
        <v>694.77571428571434</v>
      </c>
      <c r="AM54" s="273">
        <f>IF(OR(AD54="Base Period",AD54="Adjusted"),AL54,IF(AD54="Historical Average",AVERAGE(AJ54:AL54),IF(AD54="Modeled UPC",VLOOKUP(H54,Report_Regression!AB:AJ,5,FALSE),IF(AD54="UPC Growth Rate",AL54*(1+VLOOKUP(H54,Report_Regression!AB:AN,13,FALSE))))))</f>
        <v>680.02282175279731</v>
      </c>
      <c r="AN54" s="273">
        <f>IF(OR($AD54="Base Period",$AD54="Adjusted"),$AL54,IF($AD54="Historical Average",AVERAGE($AJ54:$AL54),IF($AD54="Modeled UPC",VLOOKUP($H54,Report_Regression!$AB:$AJ,9,FALSE),IF($AD54="UPC Growth Rate",AM54*(1+VLOOKUP($H54,Report_Regression!$AB:$AN,13,FALSE))))))</f>
        <v>665.58319267111006</v>
      </c>
      <c r="AO54" s="58">
        <f>VLOOKUP(E54,'Input 7_NG Rates'!B:I,7,FALSE)</f>
        <v>263</v>
      </c>
      <c r="AP54" s="292">
        <f>VLOOKUP(E54,'Input 7_NG Rates'!B:I,8,FALSE)</f>
        <v>0</v>
      </c>
      <c r="AQ54" s="293">
        <f>VLOOKUP(D54,'Input 14_Ref Table'!C:N,12,FALSE)</f>
        <v>0</v>
      </c>
      <c r="AR54" s="292"/>
      <c r="AS54" s="151">
        <f t="shared" si="21"/>
        <v>21303</v>
      </c>
      <c r="AT54" s="151">
        <f t="shared" si="22"/>
        <v>0</v>
      </c>
      <c r="AU54" s="151">
        <f>SUMIF('Input 13.3_2021 Min Charges'!A:A,G54,'Input 13.3_2021 Min Charges'!O:O)</f>
        <v>0</v>
      </c>
      <c r="AV54" s="151">
        <f t="shared" si="23"/>
        <v>0</v>
      </c>
      <c r="AW54" s="151">
        <v>0</v>
      </c>
      <c r="AX54" s="151">
        <f t="shared" si="11"/>
        <v>21303</v>
      </c>
      <c r="AY54" s="533">
        <f>SUMIF('Input 6_2021MARG-YTD'!AN:AN,G54,'Input 6_2021MARG-YTD'!AK:AK)</f>
        <v>21408.2</v>
      </c>
      <c r="AZ54" s="533">
        <f t="shared" si="12"/>
        <v>105.20000000000073</v>
      </c>
      <c r="BA54" s="533"/>
      <c r="BB54" s="533"/>
      <c r="BC54" s="533"/>
      <c r="BD54" s="533"/>
      <c r="BE54" s="533"/>
      <c r="BF54" s="533"/>
      <c r="BG54" s="55"/>
      <c r="BH54" s="294"/>
      <c r="BI54" s="294"/>
      <c r="BJ54" s="191" t="s">
        <v>532</v>
      </c>
      <c r="BK54" s="514">
        <v>7.5529999999999986E-2</v>
      </c>
      <c r="BL54" s="190">
        <f t="shared" si="24"/>
        <v>3477.9497828478716</v>
      </c>
      <c r="BM54" s="518" cm="1">
        <f t="array" ref="BM54">IFERROR(INDEX('Input 1_GRIP Factors'!$K$5:$K$54,MATCH(1,(BJ54='Input 1_GRIP Factors'!$G$5:$G$54)*(A54='Input 1_GRIP Factors'!$J$5:$J$54),0)),0)</f>
        <v>42.915289937304081</v>
      </c>
      <c r="BN54" s="190">
        <f>BM54*AA54</f>
        <v>3476.1384849216306</v>
      </c>
      <c r="BO54" s="190">
        <f t="shared" si="13"/>
        <v>31.905851753877258</v>
      </c>
      <c r="BP54" s="190">
        <f t="shared" si="14"/>
        <v>3508.044336675508</v>
      </c>
      <c r="BQ54" s="551" cm="1">
        <f t="array" ref="BQ54">IFERROR(INDEX('Input 1_GRIP Factors'!$Y$5:$Y$54,MATCH(1,(BJ54='Input 1_GRIP Factors'!$G$5:$G$54)*(A54='Input 1_GRIP Factors'!$J$5:$J$54),0)),0)*AA54</f>
        <v>1504.17</v>
      </c>
      <c r="BR54" s="190">
        <f t="shared" si="15"/>
        <v>1505.8270779470847</v>
      </c>
      <c r="BS54" s="44" cm="1">
        <f t="array" ref="BS54">IFERROR(INDEX('Input 1_GRIP Factors'!$AC$5:$AC$54,MATCH(1,(BJ54='Input 1_GRIP Factors'!$G$5:$G$54)*(A54='Input 1_GRIP Factors'!$J$5:$J$54),0)),0)*AA54</f>
        <v>5551.6670999999997</v>
      </c>
      <c r="BT54" s="190">
        <f t="shared" si="16"/>
        <v>10016.167230297397</v>
      </c>
      <c r="BU54" s="190">
        <f t="shared" si="25"/>
        <v>36333.038644919987</v>
      </c>
      <c r="BV54" s="190">
        <f t="shared" ca="1" si="17"/>
        <v>27.819006214069038</v>
      </c>
      <c r="BW54" s="190">
        <f t="shared" ca="1" si="26"/>
        <v>0</v>
      </c>
      <c r="BX54" s="190" cm="1">
        <f t="array" aca="1" ref="BX54" ca="1">IFERROR(INDEX('Input 1_GRIP Factors'!$AC$5:$AC$65,MATCH(1,(BJ54='Input 1_GRIP Factors'!$G$5:$G$65)*(A54='Input 1_GRIP Factors'!$J$5:$J$65),0)),0)*BW54</f>
        <v>0</v>
      </c>
      <c r="BY54" s="190"/>
      <c r="BZ54" s="56">
        <f>SUMIF('Monthly VOL'!G:G,'Master '!G54,'Monthly VOL'!BV:BV)</f>
        <v>4710.4705605991921</v>
      </c>
      <c r="CA54" s="519"/>
      <c r="CB54" s="56"/>
      <c r="CC54" s="553" t="s">
        <v>120</v>
      </c>
    </row>
    <row r="55" spans="1:81" s="60" customFormat="1">
      <c r="A55" s="60" t="s">
        <v>17</v>
      </c>
      <c r="B55" s="60" t="s">
        <v>993</v>
      </c>
      <c r="C55" s="55" t="s">
        <v>1245</v>
      </c>
      <c r="D55" s="60" t="s">
        <v>65</v>
      </c>
      <c r="E55" s="55" t="str">
        <f>VLOOKUP(D55,'Input 14_Ref Table'!C:D,2,FALSE)</f>
        <v>CC601</v>
      </c>
      <c r="F55" s="172" t="s">
        <v>1286</v>
      </c>
      <c r="G55" s="59" t="str">
        <f>VLOOKUP(D55,'Input 14_Ref Table'!C:I,7,FALSE)</f>
        <v>CFG - FTS-4</v>
      </c>
      <c r="H55" s="59" t="str">
        <f>VLOOKUP(D55,'Input 14_Ref Table'!C:K,8,FALSE)</f>
        <v>FTS4</v>
      </c>
      <c r="I55" s="55" t="str">
        <f>VLOOKUP(E55,'Input 7_NG Rates'!B:G,6,FALSE)</f>
        <v>FTS-4</v>
      </c>
      <c r="J55" s="56" t="str">
        <f>IFERROR(VLOOKUP(H55,Report_Regression!B:L,11,FALSE),"")</f>
        <v>Median</v>
      </c>
      <c r="K55" s="57">
        <f>_xlfn.IFNA(VLOOKUP($H55,Report_Regression!$B:$L,9,FALSE),0)</f>
        <v>1.8974393636890258E-2</v>
      </c>
      <c r="L55" s="57">
        <f>_xlfn.IFNA(VLOOKUP($H55,Report_Regression!$B:$L,10,FALSE),0)</f>
        <v>1.2695374204291092E-2</v>
      </c>
      <c r="M55" s="57">
        <f>_xlfn.IFNA(VLOOKUP($H55,Report_Regression!$B:$L,8,FALSE),0)</f>
        <v>2.5034446367125145E-2</v>
      </c>
      <c r="N55" s="57">
        <f t="shared" si="7"/>
        <v>1.8974393636890258E-2</v>
      </c>
      <c r="O55" s="57" t="str">
        <f>IFERROR(VLOOKUP(H55,Report_Regression!O:Y,11,FALSE),"")</f>
        <v>Median</v>
      </c>
      <c r="P55" s="57">
        <f>IFERROR(VLOOKUP($H55,Report_Regression!$O:$Y,9,FALSE),0)</f>
        <v>-1.9094755816262625E-5</v>
      </c>
      <c r="Q55" s="57">
        <f>IFERROR(VLOOKUP($H55,Report_Regression!$O:$Y,10,FALSE),0)</f>
        <v>-7.4886967209516079E-3</v>
      </c>
      <c r="R55" s="57">
        <f>IFERROR(VLOOKUP($H55,Report_Regression!$O:$Y,8,FALSE),0)</f>
        <v>5.7317823274551771E-3</v>
      </c>
      <c r="S55" s="57">
        <f t="shared" si="8"/>
        <v>-1.9094755816262625E-5</v>
      </c>
      <c r="T55" s="56">
        <f>_xlfn.IFNA(VLOOKUP($H55,Report_Regression!$O:$Y,6,FALSE),0)</f>
        <v>13092.349999999999</v>
      </c>
      <c r="U55" s="56">
        <f>_xlfn.IFNA(VLOOKUP($H55,Report_Regression!$O:$Y,7,FALSE),0)</f>
        <v>11305.199999999999</v>
      </c>
      <c r="V55" s="56">
        <f>_xlfn.IFNA(VLOOKUP($H55,Report_Regression!$O:$Y,5,FALSE),0)</f>
        <v>14879.499999999998</v>
      </c>
      <c r="W55" s="5">
        <f t="shared" si="9"/>
        <v>13092.349999999999</v>
      </c>
      <c r="X55" s="64">
        <f t="shared" si="10"/>
        <v>14182.919605211213</v>
      </c>
      <c r="Y55" s="56">
        <f>SUMIF('Input 3_2019CUST-YTD'!S:S,G55,'Input 3_2019CUST-YTD'!R:R)</f>
        <v>2522</v>
      </c>
      <c r="Z55" s="56">
        <f>SUMIF('Input 4_2020CUST-YTD'!S:S,G55,'Input 4_2020CUST-YTD'!R:R)</f>
        <v>2521</v>
      </c>
      <c r="AA55" s="56">
        <f>SUMIF('Input 5_2021CUST-YTD'!S:S,G55,'Input 5_2021CUST-YTD'!R:R)</f>
        <v>2556</v>
      </c>
      <c r="AB55" s="56">
        <f t="shared" si="19"/>
        <v>2604.4985501358915</v>
      </c>
      <c r="AC55" s="56">
        <f t="shared" si="20"/>
        <v>2653.9173308528798</v>
      </c>
      <c r="AD55" s="56" t="str">
        <f>VLOOKUP(D55,'Input 15_Fcst Inputs'!A:F,2,FALSE)</f>
        <v>UPC Growth Rate</v>
      </c>
      <c r="AE55" s="56">
        <f>SUMIF('Input 3.1_2019VOL-YTD'!R:R,G55,'Input 3.1_2019VOL-YTD'!O:O)</f>
        <v>3177361.0100000002</v>
      </c>
      <c r="AF55" s="56">
        <f>SUMIF('Input 4.1_2020VOL-YTD'!R:R,G55,'Input 4.1_2020VOL-YTD'!O:O)</f>
        <v>2769647.3300000005</v>
      </c>
      <c r="AG55" s="56">
        <f>SUMIF('Input 5.1_2021VOL-YTD'!R:R,G55,'Input 5.1_2021VOL-YTD'!O:O)</f>
        <v>3034325.4999999991</v>
      </c>
      <c r="AH55" s="64">
        <f>IFERROR(IF($AD55="Historical Average",(AVERAGE($AE55:$AG55)/AVERAGE($Y55:$AA55))*AB55,IF($AD55="UPC Growth Rate",((AG55/AA55)*(1+$S55)*AB55),IF($AD55="Modeled UPC",AB55/12*$W55,IF(AD55="Base Period",AG55,IF(AD55="Adjusted",SUMIF('Input 15_Fcst Inputs'!A:A,D55,'Input 15_Fcst Inputs'!F:F),0))))),0)</f>
        <v>3091840.9473842033</v>
      </c>
      <c r="AI55" s="64">
        <f>IFERROR(IF($AD55="Historical Average",(AVERAGE($AE55:$AG55)/AVERAGE($Y55:$AA55))*AC55,IF($AD55="UPC Growth Rate",((AH55/AB55)*(1+$S55)*AC55),IF($AD55="Modeled UPC",AC55/12*$W55,IF(AD55="Base Period",AG55,IF(AD55="Adjusted",SUMIF('Input 15_Fcst Inputs'!A:A,D55,'Input 15_Fcst Inputs'!G:G),0))))),0)</f>
        <v>3150446.5964253508</v>
      </c>
      <c r="AJ55" s="273">
        <f>VLOOKUP($G55,'WP-Peak Month UPC'!$C:$BL,17,FALSE)</f>
        <v>1551.3023557692309</v>
      </c>
      <c r="AK55" s="273">
        <f>VLOOKUP($G55,'WP-Peak Month UPC'!$C:$BL,32,FALSE)</f>
        <v>1500.1405714285715</v>
      </c>
      <c r="AL55" s="273">
        <f>VLOOKUP($G55,'WP-Peak Month UPC'!$C:$BL,47,FALSE)</f>
        <v>1508.2987677725118</v>
      </c>
      <c r="AM55" s="273">
        <f>IF(OR(AD55="Base Period",AD55="Adjusted"),AL55,IF(AD55="Historical Average",AVERAGE(AJ55:AL55),IF(AD55="Modeled UPC",VLOOKUP(H55,Report_Regression!AB:AJ,5,FALSE),IF(AD55="UPC Growth Rate",AL55*(1+VLOOKUP(H55,Report_Regression!AB:AN,13,FALSE))))))</f>
        <v>1489.5940691512121</v>
      </c>
      <c r="AN55" s="273">
        <f>IF(OR($AD55="Base Period",$AD55="Adjusted"),$AL55,IF($AD55="Historical Average",AVERAGE($AJ55:$AL55),IF($AD55="Modeled UPC",VLOOKUP($H55,Report_Regression!$AB:$AJ,9,FALSE),IF($AD55="UPC Growth Rate",AM55*(1+VLOOKUP($H55,Report_Regression!$AB:$AN,13,FALSE))))))</f>
        <v>1471.1213310393216</v>
      </c>
      <c r="AO55" s="58">
        <f>VLOOKUP(E55,'Input 7_NG Rates'!B:I,7,FALSE)</f>
        <v>210</v>
      </c>
      <c r="AP55" s="292">
        <f>VLOOKUP(E55,'Input 7_NG Rates'!B:I,8,FALSE)</f>
        <v>0.189</v>
      </c>
      <c r="AQ55" s="293">
        <f>VLOOKUP(D55,'Input 14_Ref Table'!C:N,12,FALSE)</f>
        <v>0</v>
      </c>
      <c r="AR55" s="292"/>
      <c r="AS55" s="151">
        <f t="shared" si="21"/>
        <v>536760</v>
      </c>
      <c r="AT55" s="151">
        <f t="shared" si="22"/>
        <v>573487.51949999982</v>
      </c>
      <c r="AU55" s="151">
        <f>SUMIF('Input 13.3_2021 Min Charges'!A:A,G55,'Input 13.3_2021 Min Charges'!O:O)</f>
        <v>0</v>
      </c>
      <c r="AV55" s="151">
        <f t="shared" si="23"/>
        <v>0</v>
      </c>
      <c r="AW55" s="151">
        <v>0</v>
      </c>
      <c r="AX55" s="151">
        <f t="shared" si="11"/>
        <v>1110247.5194999999</v>
      </c>
      <c r="AY55" s="533">
        <f>SUMIF('Input 6_2021MARG-YTD'!AN:AN,G55,'Input 6_2021MARG-YTD'!AK:AK)</f>
        <v>1110821.5699999998</v>
      </c>
      <c r="AZ55" s="533">
        <f t="shared" si="12"/>
        <v>574.05049999989569</v>
      </c>
      <c r="BA55" s="533"/>
      <c r="BB55" s="533"/>
      <c r="BC55" s="533"/>
      <c r="BD55" s="533"/>
      <c r="BE55" s="533"/>
      <c r="BF55" s="533"/>
      <c r="BG55" s="55"/>
      <c r="BH55" s="294"/>
      <c r="BI55" s="294"/>
      <c r="BJ55" s="191" t="s">
        <v>486</v>
      </c>
      <c r="BK55" s="514">
        <v>8.3809999999999996E-2</v>
      </c>
      <c r="BL55" s="190">
        <f t="shared" si="24"/>
        <v>264038.92924640863</v>
      </c>
      <c r="BM55" s="518" cm="1">
        <f t="array" ref="BM55">IFERROR(INDEX('Input 1_GRIP Factors'!$K$5:$K$54,MATCH(1,(BJ55='Input 1_GRIP Factors'!$G$5:$G$54)*(A55='Input 1_GRIP Factors'!$J$5:$J$54),0)),0)</f>
        <v>7.9037986774523256E-2</v>
      </c>
      <c r="BN55" s="190">
        <f t="shared" ref="BN55:BN65" si="27">BM55*AG55</f>
        <v>239826.97873859858</v>
      </c>
      <c r="BO55" s="190">
        <f t="shared" si="13"/>
        <v>2201.2598357071815</v>
      </c>
      <c r="BP55" s="190">
        <f t="shared" si="14"/>
        <v>242028.23857430575</v>
      </c>
      <c r="BQ55" s="44" cm="1">
        <f t="array" ref="BQ55">IFERROR(INDEX('Input 1_GRIP Factors'!$Y$5:$Y$65,MATCH(1,(BJ55='Input 1_GRIP Factors'!$G$5:$G$65)*(A55='Input 1_GRIP Factors'!$J$5:$J$65),0)),0)*AG55</f>
        <v>80439.969004999977</v>
      </c>
      <c r="BR55" s="190">
        <f t="shared" si="15"/>
        <v>80528.586181716935</v>
      </c>
      <c r="BS55" s="44" cm="1">
        <f t="array" ref="BS55">IFERROR(INDEX('Input 1_GRIP Factors'!$AC$5:$AC$65,MATCH(1,(BJ55='Input 1_GRIP Factors'!$G$5:$G$65)*(A55='Input 1_GRIP Factors'!$J$5:$J$65),0)),0)*AG55</f>
        <v>321517.12997999991</v>
      </c>
      <c r="BT55" s="190">
        <f t="shared" si="16"/>
        <v>580072.4869264845</v>
      </c>
      <c r="BU55" s="190">
        <f t="shared" si="25"/>
        <v>2012876.8311825073</v>
      </c>
      <c r="BV55" s="190">
        <f t="shared" ca="1" si="17"/>
        <v>1449.8419304382121</v>
      </c>
      <c r="BW55" s="190">
        <f t="shared" ca="1" si="26"/>
        <v>7671.1213250699057</v>
      </c>
      <c r="BX55" s="190" cm="1">
        <f t="array" aca="1" ref="BX55" ca="1">IFERROR(INDEX('Input 1_GRIP Factors'!$AC$5:$AC$65,MATCH(1,(BJ55='Input 1_GRIP Factors'!$G$5:$G$65)*(A55='Input 1_GRIP Factors'!$J$5:$J$65),0)),0)*BW55</f>
        <v>812.83201560440716</v>
      </c>
      <c r="BY55" s="190"/>
      <c r="BZ55" s="56">
        <f>SUMIF('Monthly VOL'!G:G,'Master '!G55,'Monthly VOL'!BV:BV)</f>
        <v>330430.24084819789</v>
      </c>
      <c r="CA55" s="519"/>
      <c r="CB55" s="56"/>
      <c r="CC55" s="553" t="s">
        <v>121</v>
      </c>
    </row>
    <row r="56" spans="1:81" s="60" customFormat="1">
      <c r="A56" s="60" t="s">
        <v>17</v>
      </c>
      <c r="B56" s="60" t="s">
        <v>993</v>
      </c>
      <c r="C56" s="55" t="s">
        <v>1245</v>
      </c>
      <c r="D56" s="60" t="s">
        <v>67</v>
      </c>
      <c r="E56" s="55" t="str">
        <f>VLOOKUP(D56,'Input 14_Ref Table'!C:D,2,FALSE)</f>
        <v>CC602</v>
      </c>
      <c r="F56" s="172" t="s">
        <v>1286</v>
      </c>
      <c r="G56" s="59" t="str">
        <f>VLOOKUP(D56,'Input 14_Ref Table'!C:I,7,FALSE)</f>
        <v>CFG - FTS-5</v>
      </c>
      <c r="H56" s="59" t="str">
        <f>VLOOKUP(D56,'Input 14_Ref Table'!C:K,8,FALSE)</f>
        <v>Base Period</v>
      </c>
      <c r="I56" s="55" t="str">
        <f>VLOOKUP(E56,'Input 7_NG Rates'!B:G,6,FALSE)</f>
        <v>FTS-5</v>
      </c>
      <c r="J56" s="56" t="str">
        <f>IFERROR(VLOOKUP(H56,Report_Regression!B:L,11,FALSE),"")</f>
        <v>Base Period</v>
      </c>
      <c r="K56" s="57">
        <f>_xlfn.IFNA(VLOOKUP($H56,Report_Regression!$B:$L,9,FALSE),0)</f>
        <v>0</v>
      </c>
      <c r="L56" s="57">
        <f>_xlfn.IFNA(VLOOKUP($H56,Report_Regression!$B:$L,10,FALSE),0)</f>
        <v>0</v>
      </c>
      <c r="M56" s="57">
        <f>_xlfn.IFNA(VLOOKUP($H56,Report_Regression!$B:$L,8,FALSE),0)</f>
        <v>0</v>
      </c>
      <c r="N56" s="57">
        <f t="shared" si="7"/>
        <v>0</v>
      </c>
      <c r="O56" s="57" t="str">
        <f>IFERROR(VLOOKUP(H56,Report_Regression!O:Y,11,FALSE),"")</f>
        <v>Base Period</v>
      </c>
      <c r="P56" s="57">
        <f>IFERROR(VLOOKUP($H56,Report_Regression!$O:$Y,9,FALSE),0)</f>
        <v>0</v>
      </c>
      <c r="Q56" s="57">
        <f>IFERROR(VLOOKUP($H56,Report_Regression!$O:$Y,10,FALSE),0)</f>
        <v>0</v>
      </c>
      <c r="R56" s="57">
        <f>IFERROR(VLOOKUP($H56,Report_Regression!$O:$Y,8,FALSE),0)</f>
        <v>0</v>
      </c>
      <c r="S56" s="57">
        <f t="shared" si="8"/>
        <v>0</v>
      </c>
      <c r="T56" s="56">
        <f>_xlfn.IFNA(VLOOKUP($H56,Report_Regression!$O:$Y,6,FALSE),0)</f>
        <v>0</v>
      </c>
      <c r="U56" s="56">
        <f>_xlfn.IFNA(VLOOKUP($H56,Report_Regression!$O:$Y,7,FALSE),0)</f>
        <v>0</v>
      </c>
      <c r="V56" s="56">
        <f>_xlfn.IFNA(VLOOKUP($H56,Report_Regression!$O:$Y,5,FALSE),0)</f>
        <v>0</v>
      </c>
      <c r="W56" s="5">
        <f t="shared" si="9"/>
        <v>29072.603888888887</v>
      </c>
      <c r="X56" s="64">
        <f t="shared" si="10"/>
        <v>29398.029389671363</v>
      </c>
      <c r="Y56" s="56">
        <f>SUMIF('Input 3_2019CUST-YTD'!S:S,G56,'Input 3_2019CUST-YTD'!R:R)</f>
        <v>414</v>
      </c>
      <c r="Z56" s="56">
        <f>SUMIF('Input 4_2020CUST-YTD'!S:S,G56,'Input 4_2020CUST-YTD'!R:R)</f>
        <v>432</v>
      </c>
      <c r="AA56" s="56">
        <f>SUMIF('Input 5_2021CUST-YTD'!S:S,G56,'Input 5_2021CUST-YTD'!R:R)</f>
        <v>432</v>
      </c>
      <c r="AB56" s="56">
        <f t="shared" si="19"/>
        <v>432</v>
      </c>
      <c r="AC56" s="56">
        <f t="shared" si="20"/>
        <v>432</v>
      </c>
      <c r="AD56" s="56" t="str">
        <f>VLOOKUP(D56,'Input 15_Fcst Inputs'!A:F,2,FALSE)</f>
        <v>Base Period</v>
      </c>
      <c r="AE56" s="56">
        <f>SUMIF('Input 3.1_2019VOL-YTD'!R:R,G56,'Input 3.1_2019VOL-YTD'!O:O)</f>
        <v>1055390.52</v>
      </c>
      <c r="AF56" s="56">
        <f>SUMIF('Input 4.1_2020VOL-YTD'!R:R,G56,'Input 4.1_2020VOL-YTD'!O:O)</f>
        <v>1028885.8700000001</v>
      </c>
      <c r="AG56" s="56">
        <f>SUMIF('Input 5.1_2021VOL-YTD'!R:R,G56,'Input 5.1_2021VOL-YTD'!O:O)</f>
        <v>1046613.74</v>
      </c>
      <c r="AH56" s="64">
        <f>IFERROR(IF($AD56="Historical Average",(AVERAGE($AE56:$AG56)/AVERAGE($Y56:$AA56))*AB56,IF($AD56="UPC Growth Rate",((AG56/AA56)*(1+$S56)*AB56),IF($AD56="Modeled UPC",AB56/12*$W56,IF(AD56="Base Period",AG56,IF(AD56="Adjusted",SUMIF('Input 15_Fcst Inputs'!A:A,D56,'Input 15_Fcst Inputs'!F:F),0))))),0)</f>
        <v>1046613.74</v>
      </c>
      <c r="AI56" s="64">
        <f>IFERROR(IF($AD56="Historical Average",(AVERAGE($AE56:$AG56)/AVERAGE($Y56:$AA56))*AC56,IF($AD56="UPC Growth Rate",((AH56/AB56)*(1+$S56)*AC56),IF($AD56="Modeled UPC",AC56/12*$W56,IF(AD56="Base Period",AG56,IF(AD56="Adjusted",SUMIF('Input 15_Fcst Inputs'!A:A,D56,'Input 15_Fcst Inputs'!G:G),0))))),0)</f>
        <v>1046613.74</v>
      </c>
      <c r="AJ56" s="273">
        <f>VLOOKUP($G56,'WP-Peak Month UPC'!$C:$BL,17,FALSE)</f>
        <v>3310.3658823529413</v>
      </c>
      <c r="AK56" s="273">
        <f>VLOOKUP($G56,'WP-Peak Month UPC'!$C:$BL,32,FALSE)</f>
        <v>2678.9994444444442</v>
      </c>
      <c r="AL56" s="273">
        <f>VLOOKUP($G56,'WP-Peak Month UPC'!$C:$BL,47,FALSE)</f>
        <v>2937.8266666666664</v>
      </c>
      <c r="AM56" s="273">
        <f>IF(OR(AD56="Base Period",AD56="Adjusted"),AL56,IF(AD56="Historical Average",AVERAGE(AJ56:AL56),IF(AD56="Modeled UPC",VLOOKUP(H56,Report_Regression!AB:AJ,5,FALSE),IF(AD56="UPC Growth Rate",AL56*(1+VLOOKUP(H56,Report_Regression!AB:AN,13,FALSE))))))</f>
        <v>2937.8266666666664</v>
      </c>
      <c r="AN56" s="273">
        <f>IF(OR($AD56="Base Period",$AD56="Adjusted"),$AL56,IF($AD56="Historical Average",AVERAGE($AJ56:$AL56),IF($AD56="Modeled UPC",VLOOKUP($H56,Report_Regression!$AB:$AJ,9,FALSE),IF($AD56="UPC Growth Rate",AM56*(1+VLOOKUP($H56,Report_Regression!$AB:$AN,13,FALSE))))))</f>
        <v>2937.8266666666664</v>
      </c>
      <c r="AO56" s="58">
        <f>VLOOKUP(E56,'Input 7_NG Rates'!B:I,7,FALSE)</f>
        <v>380</v>
      </c>
      <c r="AP56" s="292">
        <f>VLOOKUP(E56,'Input 7_NG Rates'!B:I,8,FALSE)</f>
        <v>0.1658</v>
      </c>
      <c r="AQ56" s="293">
        <f>VLOOKUP(D56,'Input 14_Ref Table'!C:N,12,FALSE)</f>
        <v>0</v>
      </c>
      <c r="AR56" s="292"/>
      <c r="AS56" s="151">
        <f t="shared" si="21"/>
        <v>164160</v>
      </c>
      <c r="AT56" s="151">
        <f t="shared" si="22"/>
        <v>173528.55809199999</v>
      </c>
      <c r="AU56" s="151">
        <f>SUMIF('Input 13.3_2021 Min Charges'!A:A,G56,'Input 13.3_2021 Min Charges'!O:O)</f>
        <v>0</v>
      </c>
      <c r="AV56" s="151">
        <f t="shared" si="23"/>
        <v>0</v>
      </c>
      <c r="AW56" s="151">
        <v>0</v>
      </c>
      <c r="AX56" s="151">
        <f t="shared" si="11"/>
        <v>337688.55809199996</v>
      </c>
      <c r="AY56" s="533">
        <f>SUMIF('Input 6_2021MARG-YTD'!AN:AN,G56,'Input 6_2021MARG-YTD'!AK:AK)</f>
        <v>339271.84</v>
      </c>
      <c r="AZ56" s="533">
        <f t="shared" si="12"/>
        <v>1583.2819080000627</v>
      </c>
      <c r="BA56" s="533"/>
      <c r="BB56" s="533"/>
      <c r="BC56" s="533"/>
      <c r="BD56" s="533"/>
      <c r="BE56" s="533"/>
      <c r="BF56" s="533"/>
      <c r="BG56" s="55"/>
      <c r="BH56" s="294"/>
      <c r="BI56" s="294"/>
      <c r="BJ56" s="191" t="s">
        <v>489</v>
      </c>
      <c r="BK56" s="514">
        <v>8.9869999999999992E-2</v>
      </c>
      <c r="BL56" s="190">
        <f t="shared" si="24"/>
        <v>94059.17681379999</v>
      </c>
      <c r="BM56" s="518" cm="1">
        <f t="array" ref="BM56">IFERROR(INDEX('Input 1_GRIP Factors'!$K$5:$K$54,MATCH(1,(BJ56='Input 1_GRIP Factors'!$G$5:$G$54)*(A56='Input 1_GRIP Factors'!$J$5:$J$54),0)),0)</f>
        <v>9.3676777028921868E-2</v>
      </c>
      <c r="BN56" s="190">
        <f t="shared" si="27"/>
        <v>98043.401957385999</v>
      </c>
      <c r="BO56" s="190">
        <f t="shared" si="13"/>
        <v>899.89459909813729</v>
      </c>
      <c r="BP56" s="190">
        <f t="shared" si="14"/>
        <v>98943.296556484129</v>
      </c>
      <c r="BQ56" s="44" cm="1">
        <f t="array" ref="BQ56">IFERROR(INDEX('Input 1_GRIP Factors'!$Y$5:$Y$65,MATCH(1,(BJ56='Input 1_GRIP Factors'!$G$5:$G$65)*(A56='Input 1_GRIP Factors'!$J$5:$J$65),0)),0)*AG56</f>
        <v>23915.123958999997</v>
      </c>
      <c r="BR56" s="190">
        <f t="shared" si="15"/>
        <v>23941.470199461015</v>
      </c>
      <c r="BS56" s="44" cm="1">
        <f t="array" ref="BS56">IFERROR(INDEX('Input 1_GRIP Factors'!$AC$5:$AC$65,MATCH(1,(BJ56='Input 1_GRIP Factors'!$G$5:$G$65)*(A56='Input 1_GRIP Factors'!$J$5:$J$65),0)),0)*AG56</f>
        <v>104022.93961860001</v>
      </c>
      <c r="BT56" s="190">
        <f t="shared" si="16"/>
        <v>187675.36673930363</v>
      </c>
      <c r="BU56" s="190">
        <f t="shared" si="25"/>
        <v>648248.69158724882</v>
      </c>
      <c r="BV56" s="190">
        <f t="shared" ca="1" si="17"/>
        <v>440.97827047746136</v>
      </c>
      <c r="BW56" s="190">
        <f t="shared" ca="1" si="26"/>
        <v>2659.7000631933738</v>
      </c>
      <c r="BX56" s="190" cm="1">
        <f t="array" aca="1" ref="BX56" ca="1">IFERROR(INDEX('Input 1_GRIP Factors'!$AC$5:$AC$65,MATCH(1,(BJ56='Input 1_GRIP Factors'!$G$5:$G$65)*(A56='Input 1_GRIP Factors'!$J$5:$J$65),0)),0)*BW56</f>
        <v>264.34758928078946</v>
      </c>
      <c r="BY56" s="190"/>
      <c r="BZ56" s="56">
        <f>SUMIF('Monthly VOL'!G:G,'Master '!G56,'Monthly VOL'!BV:BV)</f>
        <v>105761.76</v>
      </c>
      <c r="CA56" s="519"/>
      <c r="CB56" s="56"/>
      <c r="CC56" s="553" t="s">
        <v>142</v>
      </c>
    </row>
    <row r="57" spans="1:81" s="60" customFormat="1">
      <c r="A57" s="60" t="s">
        <v>17</v>
      </c>
      <c r="B57" s="60" t="s">
        <v>993</v>
      </c>
      <c r="C57" s="55" t="s">
        <v>1245</v>
      </c>
      <c r="D57" s="60" t="s">
        <v>69</v>
      </c>
      <c r="E57" s="55" t="str">
        <f>VLOOKUP(D57,'Input 14_Ref Table'!C:D,2,FALSE)</f>
        <v>CC603</v>
      </c>
      <c r="F57" s="172" t="s">
        <v>1286</v>
      </c>
      <c r="G57" s="59" t="str">
        <f>VLOOKUP(D57,'Input 14_Ref Table'!C:I,7,FALSE)</f>
        <v>CFG - FTS-6</v>
      </c>
      <c r="H57" s="59" t="str">
        <f>VLOOKUP(D57,'Input 14_Ref Table'!C:K,8,FALSE)</f>
        <v>Base Period</v>
      </c>
      <c r="I57" s="55" t="str">
        <f>VLOOKUP(E57,'Input 7_NG Rates'!B:G,6,FALSE)</f>
        <v>FTS-6</v>
      </c>
      <c r="J57" s="56" t="str">
        <f>IFERROR(VLOOKUP(H57,Report_Regression!B:L,11,FALSE),"")</f>
        <v>Base Period</v>
      </c>
      <c r="K57" s="57">
        <f>_xlfn.IFNA(VLOOKUP($H57,Report_Regression!$B:$L,9,FALSE),0)</f>
        <v>0</v>
      </c>
      <c r="L57" s="57">
        <f>_xlfn.IFNA(VLOOKUP($H57,Report_Regression!$B:$L,10,FALSE),0)</f>
        <v>0</v>
      </c>
      <c r="M57" s="57">
        <f>_xlfn.IFNA(VLOOKUP($H57,Report_Regression!$B:$L,8,FALSE),0)</f>
        <v>0</v>
      </c>
      <c r="N57" s="57">
        <f t="shared" si="7"/>
        <v>0</v>
      </c>
      <c r="O57" s="57" t="str">
        <f>IFERROR(VLOOKUP(H57,Report_Regression!O:Y,11,FALSE),"")</f>
        <v>Base Period</v>
      </c>
      <c r="P57" s="57">
        <f>IFERROR(VLOOKUP($H57,Report_Regression!$O:$Y,9,FALSE),0)</f>
        <v>0</v>
      </c>
      <c r="Q57" s="57">
        <f>IFERROR(VLOOKUP($H57,Report_Regression!$O:$Y,10,FALSE),0)</f>
        <v>0</v>
      </c>
      <c r="R57" s="57">
        <f>IFERROR(VLOOKUP($H57,Report_Regression!$O:$Y,8,FALSE),0)</f>
        <v>0</v>
      </c>
      <c r="S57" s="57">
        <f t="shared" si="8"/>
        <v>0</v>
      </c>
      <c r="T57" s="56">
        <f>_xlfn.IFNA(VLOOKUP($H57,Report_Regression!$O:$Y,6,FALSE),0)</f>
        <v>0</v>
      </c>
      <c r="U57" s="56">
        <f>_xlfn.IFNA(VLOOKUP($H57,Report_Regression!$O:$Y,7,FALSE),0)</f>
        <v>0</v>
      </c>
      <c r="V57" s="56">
        <f>_xlfn.IFNA(VLOOKUP($H57,Report_Regression!$O:$Y,5,FALSE),0)</f>
        <v>0</v>
      </c>
      <c r="W57" s="5">
        <f t="shared" si="9"/>
        <v>82722.10633333333</v>
      </c>
      <c r="X57" s="64">
        <f t="shared" si="10"/>
        <v>72831.851377245504</v>
      </c>
      <c r="Y57" s="56">
        <f>SUMIF('Input 3_2019CUST-YTD'!S:S,G57,'Input 3_2019CUST-YTD'!R:R)</f>
        <v>312</v>
      </c>
      <c r="Z57" s="56">
        <f>SUMIF('Input 4_2020CUST-YTD'!S:S,G57,'Input 4_2020CUST-YTD'!R:R)</f>
        <v>330</v>
      </c>
      <c r="AA57" s="56">
        <f>SUMIF('Input 5_2021CUST-YTD'!S:S,G57,'Input 5_2021CUST-YTD'!R:R)</f>
        <v>360</v>
      </c>
      <c r="AB57" s="56">
        <f t="shared" si="19"/>
        <v>360</v>
      </c>
      <c r="AC57" s="56">
        <f t="shared" si="20"/>
        <v>360</v>
      </c>
      <c r="AD57" s="56" t="str">
        <f>VLOOKUP(D57,'Input 15_Fcst Inputs'!A:F,2,FALSE)</f>
        <v>Base Period</v>
      </c>
      <c r="AE57" s="56">
        <f>SUMIF('Input 3.1_2019VOL-YTD'!R:R,G57,'Input 3.1_2019VOL-YTD'!O:O)</f>
        <v>1766616.12</v>
      </c>
      <c r="AF57" s="56">
        <f>SUMIF('Input 4.1_2020VOL-YTD'!R:R,G57,'Input 4.1_2020VOL-YTD'!O:O)</f>
        <v>1833180.28</v>
      </c>
      <c r="AG57" s="56">
        <f>SUMIF('Input 5.1_2021VOL-YTD'!R:R,G57,'Input 5.1_2021VOL-YTD'!O:O)</f>
        <v>2481663.19</v>
      </c>
      <c r="AH57" s="64">
        <f>IFERROR(IF($AD57="Historical Average",(AVERAGE($AE57:$AG57)/AVERAGE($Y57:$AA57))*AB57,IF($AD57="UPC Growth Rate",((AG57/AA57)*(1+$S57)*AB57),IF($AD57="Modeled UPC",AB57/12*$W57,IF(AD57="Base Period",AG57,IF(AD57="Adjusted",SUMIF('Input 15_Fcst Inputs'!A:A,D57,'Input 15_Fcst Inputs'!F:F),0))))),0)</f>
        <v>2481663.19</v>
      </c>
      <c r="AI57" s="64">
        <f>IFERROR(IF($AD57="Historical Average",(AVERAGE($AE57:$AG57)/AVERAGE($Y57:$AA57))*AC57,IF($AD57="UPC Growth Rate",((AH57/AB57)*(1+$S57)*AC57),IF($AD57="Modeled UPC",AC57/12*$W57,IF(AD57="Base Period",AG57,IF(AD57="Adjusted",SUMIF('Input 15_Fcst Inputs'!A:A,D57,'Input 15_Fcst Inputs'!G:G),0))))),0)</f>
        <v>2481663.19</v>
      </c>
      <c r="AJ57" s="273">
        <f>VLOOKUP($G57,'WP-Peak Month UPC'!$C:$BL,17,FALSE)</f>
        <v>7171.418846153847</v>
      </c>
      <c r="AK57" s="273">
        <f>VLOOKUP($G57,'WP-Peak Month UPC'!$C:$BL,32,FALSE)</f>
        <v>6538.4115384615388</v>
      </c>
      <c r="AL57" s="273">
        <f>VLOOKUP($G57,'WP-Peak Month UPC'!$C:$BL,47,FALSE)</f>
        <v>7506.1953571428576</v>
      </c>
      <c r="AM57" s="273">
        <f>IF(OR(AD57="Base Period",AD57="Adjusted"),AL57,IF(AD57="Historical Average",AVERAGE(AJ57:AL57),IF(AD57="Modeled UPC",VLOOKUP(H57,Report_Regression!AB:AJ,5,FALSE),IF(AD57="UPC Growth Rate",AL57*(1+VLOOKUP(H57,Report_Regression!AB:AN,13,FALSE))))))</f>
        <v>7506.1953571428576</v>
      </c>
      <c r="AN57" s="273">
        <f>IF(OR($AD57="Base Period",$AD57="Adjusted"),$AL57,IF($AD57="Historical Average",AVERAGE($AJ57:$AL57),IF($AD57="Modeled UPC",VLOOKUP($H57,Report_Regression!$AB:$AJ,9,FALSE),IF($AD57="UPC Growth Rate",AM57*(1+VLOOKUP($H57,Report_Regression!$AB:$AN,13,FALSE))))))</f>
        <v>7506.1953571428576</v>
      </c>
      <c r="AO57" s="58">
        <f>VLOOKUP(E57,'Input 7_NG Rates'!B:I,7,FALSE)</f>
        <v>600</v>
      </c>
      <c r="AP57" s="292">
        <f>VLOOKUP(E57,'Input 7_NG Rates'!B:I,8,FALSE)</f>
        <v>0.15137</v>
      </c>
      <c r="AQ57" s="293">
        <f>VLOOKUP(D57,'Input 14_Ref Table'!C:N,12,FALSE)</f>
        <v>0</v>
      </c>
      <c r="AR57" s="292"/>
      <c r="AS57" s="151">
        <f t="shared" si="21"/>
        <v>216000</v>
      </c>
      <c r="AT57" s="151">
        <f t="shared" si="22"/>
        <v>375649.35707030003</v>
      </c>
      <c r="AU57" s="151">
        <f>SUMIF('Input 13.3_2021 Min Charges'!A:A,G57,'Input 13.3_2021 Min Charges'!O:O)</f>
        <v>0</v>
      </c>
      <c r="AV57" s="151">
        <f t="shared" si="23"/>
        <v>0</v>
      </c>
      <c r="AW57" s="151">
        <v>0</v>
      </c>
      <c r="AX57" s="151">
        <f t="shared" si="11"/>
        <v>591649.35707030003</v>
      </c>
      <c r="AY57" s="533">
        <f>SUMIF('Input 6_2021MARG-YTD'!AN:AN,G57,'Input 6_2021MARG-YTD'!AK:AK)</f>
        <v>608790.67999999993</v>
      </c>
      <c r="AZ57" s="533">
        <f t="shared" si="12"/>
        <v>17141.322929699905</v>
      </c>
      <c r="BA57" s="533"/>
      <c r="BB57" s="533"/>
      <c r="BC57" s="533"/>
      <c r="BD57" s="533"/>
      <c r="BE57" s="533"/>
      <c r="BF57" s="533"/>
      <c r="BG57" s="55"/>
      <c r="BH57" s="294"/>
      <c r="BI57" s="294"/>
      <c r="BJ57" s="191" t="s">
        <v>492</v>
      </c>
      <c r="BK57" s="514">
        <v>5.7680000000000009E-2</v>
      </c>
      <c r="BL57" s="190">
        <f t="shared" si="24"/>
        <v>143142.33279920003</v>
      </c>
      <c r="BM57" s="518" cm="1">
        <f t="array" ref="BM57">IFERROR(INDEX('Input 1_GRIP Factors'!$K$5:$K$54,MATCH(1,(BJ57='Input 1_GRIP Factors'!$G$5:$G$54)*(A57='Input 1_GRIP Factors'!$J$5:$J$54),0)),0)</f>
        <v>6.3871322341516837E-2</v>
      </c>
      <c r="BN57" s="190">
        <f t="shared" si="27"/>
        <v>158507.10955156694</v>
      </c>
      <c r="BO57" s="190">
        <f t="shared" si="13"/>
        <v>1454.8627338136369</v>
      </c>
      <c r="BP57" s="190">
        <f t="shared" si="14"/>
        <v>159961.97228538059</v>
      </c>
      <c r="BQ57" s="44" cm="1">
        <f t="array" ref="BQ57">IFERROR(INDEX('Input 1_GRIP Factors'!$Y$5:$Y$65,MATCH(1,(BJ57='Input 1_GRIP Factors'!$G$5:$G$65)*(A57='Input 1_GRIP Factors'!$J$5:$J$65),0)),0)*AG57</f>
        <v>47846.466303199995</v>
      </c>
      <c r="BR57" s="190">
        <f t="shared" si="15"/>
        <v>47899.176651203852</v>
      </c>
      <c r="BS57" s="44" cm="1">
        <f t="array" ref="BS57">IFERROR(INDEX('Input 1_GRIP Factors'!$AC$5:$AC$65,MATCH(1,(BJ57='Input 1_GRIP Factors'!$G$5:$G$65)*(A57='Input 1_GRIP Factors'!$J$5:$J$65),0)),0)*AG57</f>
        <v>252409.96305490003</v>
      </c>
      <c r="BT57" s="190">
        <f t="shared" si="16"/>
        <v>455391.21042597573</v>
      </c>
      <c r="BU57" s="190">
        <f t="shared" si="25"/>
        <v>1254901.7164328601</v>
      </c>
      <c r="BV57" s="190">
        <f t="shared" ca="1" si="17"/>
        <v>772.61874575827937</v>
      </c>
      <c r="BW57" s="190">
        <f t="shared" ca="1" si="26"/>
        <v>5104.173520237031</v>
      </c>
      <c r="BX57" s="190" cm="1">
        <f t="array" aca="1" ref="BX57" ca="1">IFERROR(INDEX('Input 1_GRIP Factors'!$AC$5:$AC$65,MATCH(1,(BJ57='Input 1_GRIP Factors'!$G$5:$G$65)*(A57='Input 1_GRIP Factors'!$J$5:$J$65),0)),0)*BW57</f>
        <v>519.14548874330842</v>
      </c>
      <c r="BY57" s="190"/>
      <c r="BZ57" s="56">
        <f>SUMIF('Monthly VOL'!G:G,'Master '!G57,'Monthly VOL'!BV:BV)</f>
        <v>210173.47</v>
      </c>
      <c r="CA57" s="519"/>
      <c r="CB57" s="56"/>
      <c r="CC57" s="553" t="s">
        <v>143</v>
      </c>
    </row>
    <row r="58" spans="1:81" s="60" customFormat="1">
      <c r="A58" s="60" t="s">
        <v>17</v>
      </c>
      <c r="B58" s="60" t="s">
        <v>993</v>
      </c>
      <c r="C58" s="55" t="s">
        <v>1245</v>
      </c>
      <c r="D58" s="60" t="s">
        <v>71</v>
      </c>
      <c r="E58" s="55" t="str">
        <f>VLOOKUP(D58,'Input 14_Ref Table'!C:D,2,FALSE)</f>
        <v>CC605</v>
      </c>
      <c r="F58" s="172" t="s">
        <v>1286</v>
      </c>
      <c r="G58" s="59" t="str">
        <f>VLOOKUP(D58,'Input 14_Ref Table'!C:I,7,FALSE)</f>
        <v>CFG - FTS-7</v>
      </c>
      <c r="H58" s="59" t="str">
        <f>VLOOKUP(D58,'Input 14_Ref Table'!C:K,8,FALSE)</f>
        <v>Base Period</v>
      </c>
      <c r="I58" s="55" t="str">
        <f>VLOOKUP(E58,'Input 7_NG Rates'!B:G,6,FALSE)</f>
        <v>FTS-7</v>
      </c>
      <c r="J58" s="56" t="str">
        <f>IFERROR(VLOOKUP(H58,Report_Regression!B:L,11,FALSE),"")</f>
        <v>Base Period</v>
      </c>
      <c r="K58" s="57">
        <f>_xlfn.IFNA(VLOOKUP($H58,Report_Regression!$B:$L,9,FALSE),0)</f>
        <v>0</v>
      </c>
      <c r="L58" s="57">
        <f>_xlfn.IFNA(VLOOKUP($H58,Report_Regression!$B:$L,10,FALSE),0)</f>
        <v>0</v>
      </c>
      <c r="M58" s="57">
        <f>_xlfn.IFNA(VLOOKUP($H58,Report_Regression!$B:$L,8,FALSE),0)</f>
        <v>0</v>
      </c>
      <c r="N58" s="57">
        <f t="shared" si="7"/>
        <v>0</v>
      </c>
      <c r="O58" s="57" t="str">
        <f>IFERROR(VLOOKUP(H58,Report_Regression!O:Y,11,FALSE),"")</f>
        <v>Base Period</v>
      </c>
      <c r="P58" s="57">
        <f>IFERROR(VLOOKUP($H58,Report_Regression!$O:$Y,9,FALSE),0)</f>
        <v>0</v>
      </c>
      <c r="Q58" s="57">
        <f>IFERROR(VLOOKUP($H58,Report_Regression!$O:$Y,10,FALSE),0)</f>
        <v>0</v>
      </c>
      <c r="R58" s="57">
        <f>IFERROR(VLOOKUP($H58,Report_Regression!$O:$Y,8,FALSE),0)</f>
        <v>0</v>
      </c>
      <c r="S58" s="57">
        <f t="shared" si="8"/>
        <v>0</v>
      </c>
      <c r="T58" s="56">
        <f>_xlfn.IFNA(VLOOKUP($H58,Report_Regression!$O:$Y,6,FALSE),0)</f>
        <v>0</v>
      </c>
      <c r="U58" s="56">
        <f>_xlfn.IFNA(VLOOKUP($H58,Report_Regression!$O:$Y,7,FALSE),0)</f>
        <v>0</v>
      </c>
      <c r="V58" s="56">
        <f>_xlfn.IFNA(VLOOKUP($H58,Report_Regression!$O:$Y,5,FALSE),0)</f>
        <v>0</v>
      </c>
      <c r="W58" s="5">
        <f t="shared" si="9"/>
        <v>165170.7373076923</v>
      </c>
      <c r="X58" s="64">
        <f t="shared" si="10"/>
        <v>158884.40176271184</v>
      </c>
      <c r="Y58" s="56">
        <f>SUMIF('Input 3_2019CUST-YTD'!S:S,G58,'Input 3_2019CUST-YTD'!R:R)</f>
        <v>271</v>
      </c>
      <c r="Z58" s="56">
        <f>SUMIF('Input 4_2020CUST-YTD'!S:S,G58,'Input 4_2020CUST-YTD'!R:R)</f>
        <v>302</v>
      </c>
      <c r="AA58" s="56">
        <f>SUMIF('Input 5_2021CUST-YTD'!S:S,G58,'Input 5_2021CUST-YTD'!R:R)</f>
        <v>312</v>
      </c>
      <c r="AB58" s="56">
        <f t="shared" si="19"/>
        <v>312</v>
      </c>
      <c r="AC58" s="56">
        <f t="shared" si="20"/>
        <v>312</v>
      </c>
      <c r="AD58" s="56" t="str">
        <f>VLOOKUP(D58,'Input 15_Fcst Inputs'!A:F,2,FALSE)</f>
        <v>Base Period</v>
      </c>
      <c r="AE58" s="56">
        <f>SUMIF('Input 3.1_2019VOL-YTD'!R:R,G58,'Input 3.1_2019VOL-YTD'!O:O)</f>
        <v>3671319.6399999997</v>
      </c>
      <c r="AF58" s="56">
        <f>SUMIF('Input 4.1_2020VOL-YTD'!R:R,G58,'Input 4.1_2020VOL-YTD'!O:O)</f>
        <v>3751965.82</v>
      </c>
      <c r="AG58" s="56">
        <f>SUMIF('Input 5.1_2021VOL-YTD'!R:R,G58,'Input 5.1_2021VOL-YTD'!O:O)</f>
        <v>4294439.17</v>
      </c>
      <c r="AH58" s="64">
        <f>IFERROR(IF($AD58="Historical Average",(AVERAGE($AE58:$AG58)/AVERAGE($Y58:$AA58))*AB58,IF($AD58="UPC Growth Rate",((AG58/AA58)*(1+$S58)*AB58),IF($AD58="Modeled UPC",AB58/12*$W58,IF(AD58="Base Period",AG58,IF(AD58="Adjusted",SUMIF('Input 15_Fcst Inputs'!A:A,D58,'Input 15_Fcst Inputs'!F:F),0))))),0)</f>
        <v>4294439.17</v>
      </c>
      <c r="AI58" s="64">
        <f>IFERROR(IF($AD58="Historical Average",(AVERAGE($AE58:$AG58)/AVERAGE($Y58:$AA58))*AC58,IF($AD58="UPC Growth Rate",((AH58/AB58)*(1+$S58)*AC58),IF($AD58="Modeled UPC",AC58/12*$W58,IF(AD58="Base Period",AG58,IF(AD58="Adjusted",SUMIF('Input 15_Fcst Inputs'!A:A,D58,'Input 15_Fcst Inputs'!G:G),0))))),0)</f>
        <v>4294439.17</v>
      </c>
      <c r="AJ58" s="273">
        <f>VLOOKUP($G58,'WP-Peak Month UPC'!$C:$BL,17,FALSE)</f>
        <v>16544.710454545453</v>
      </c>
      <c r="AK58" s="273">
        <f>VLOOKUP($G58,'WP-Peak Month UPC'!$C:$BL,32,FALSE)</f>
        <v>13842.4828</v>
      </c>
      <c r="AL58" s="273">
        <f>VLOOKUP($G58,'WP-Peak Month UPC'!$C:$BL,47,FALSE)</f>
        <v>14956.400769230768</v>
      </c>
      <c r="AM58" s="273">
        <f>IF(OR(AD58="Base Period",AD58="Adjusted"),AL58,IF(AD58="Historical Average",AVERAGE(AJ58:AL58),IF(AD58="Modeled UPC",VLOOKUP(H58,Report_Regression!AB:AJ,5,FALSE),IF(AD58="UPC Growth Rate",AL58*(1+VLOOKUP(H58,Report_Regression!AB:AN,13,FALSE))))))</f>
        <v>14956.400769230768</v>
      </c>
      <c r="AN58" s="273">
        <f>IF(OR($AD58="Base Period",$AD58="Adjusted"),$AL58,IF($AD58="Historical Average",AVERAGE($AJ58:$AL58),IF($AD58="Modeled UPC",VLOOKUP($H58,Report_Regression!$AB:$AJ,9,FALSE),IF($AD58="UPC Growth Rate",AM58*(1+VLOOKUP($H58,Report_Regression!$AB:$AN,13,FALSE))))))</f>
        <v>14956.400769230768</v>
      </c>
      <c r="AO58" s="58">
        <f>VLOOKUP(E58,'Input 7_NG Rates'!B:I,7,FALSE)</f>
        <v>700</v>
      </c>
      <c r="AP58" s="292">
        <f>VLOOKUP(E58,'Input 7_NG Rates'!B:I,8,FALSE)</f>
        <v>0.123</v>
      </c>
      <c r="AQ58" s="293">
        <f>VLOOKUP(D58,'Input 14_Ref Table'!C:N,12,FALSE)</f>
        <v>0</v>
      </c>
      <c r="AR58" s="292"/>
      <c r="AS58" s="151">
        <f t="shared" si="21"/>
        <v>218400</v>
      </c>
      <c r="AT58" s="151">
        <f t="shared" si="22"/>
        <v>528216.01790999994</v>
      </c>
      <c r="AU58" s="151">
        <f>SUMIF('Input 13.3_2021 Min Charges'!A:A,G58,'Input 13.3_2021 Min Charges'!O:O)</f>
        <v>0</v>
      </c>
      <c r="AV58" s="151">
        <f t="shared" si="23"/>
        <v>0</v>
      </c>
      <c r="AW58" s="151">
        <v>0</v>
      </c>
      <c r="AX58" s="151">
        <f t="shared" si="11"/>
        <v>746616.01790999994</v>
      </c>
      <c r="AY58" s="533">
        <f>SUMIF('Input 6_2021MARG-YTD'!AN:AN,G58,'Input 6_2021MARG-YTD'!AK:AK)</f>
        <v>746826.12</v>
      </c>
      <c r="AZ58" s="533">
        <f t="shared" si="12"/>
        <v>210.10209000005852</v>
      </c>
      <c r="BA58" s="533"/>
      <c r="BB58" s="533"/>
      <c r="BC58" s="533"/>
      <c r="BD58" s="533"/>
      <c r="BE58" s="533"/>
      <c r="BF58" s="533"/>
      <c r="BG58" s="55"/>
      <c r="BH58" s="294"/>
      <c r="BI58" s="294"/>
      <c r="BJ58" s="191" t="s">
        <v>495</v>
      </c>
      <c r="BK58" s="514">
        <v>7.7160000000000006E-2</v>
      </c>
      <c r="BL58" s="190">
        <f t="shared" si="24"/>
        <v>331358.92635720002</v>
      </c>
      <c r="BM58" s="518" cm="1">
        <f t="array" ref="BM58">IFERROR(INDEX('Input 1_GRIP Factors'!$K$5:$K$54,MATCH(1,(BJ58='Input 1_GRIP Factors'!$G$5:$G$54)*(A58='Input 1_GRIP Factors'!$J$5:$J$54),0)),0)</f>
        <v>7.8964769977720145E-2</v>
      </c>
      <c r="BN58" s="190">
        <f t="shared" si="27"/>
        <v>339109.4012423614</v>
      </c>
      <c r="BO58" s="190">
        <f t="shared" si="13"/>
        <v>3112.5268257627517</v>
      </c>
      <c r="BP58" s="190">
        <f t="shared" si="14"/>
        <v>342221.92806812417</v>
      </c>
      <c r="BQ58" s="44" cm="1">
        <f t="array" ref="BQ58">IFERROR(INDEX('Input 1_GRIP Factors'!$Y$5:$Y$65,MATCH(1,(BJ58='Input 1_GRIP Factors'!$G$5:$G$65)*(A58='Input 1_GRIP Factors'!$J$5:$J$65),0)),0)*AG58</f>
        <v>55612.987251499995</v>
      </c>
      <c r="BR58" s="190">
        <f t="shared" si="15"/>
        <v>55674.253634120279</v>
      </c>
      <c r="BS58" s="44" cm="1">
        <f t="array" ref="BS58">IFERROR(INDEX('Input 1_GRIP Factors'!$AC$5:$AC$65,MATCH(1,(BJ58='Input 1_GRIP Factors'!$G$5:$G$65)*(A58='Input 1_GRIP Factors'!$J$5:$J$65),0)),0)*AG58</f>
        <v>430302.80483400007</v>
      </c>
      <c r="BT58" s="190">
        <f t="shared" si="16"/>
        <v>776340.65142042981</v>
      </c>
      <c r="BU58" s="190">
        <f t="shared" si="25"/>
        <v>1920852.8510326743</v>
      </c>
      <c r="BV58" s="190">
        <f t="shared" ca="1" si="17"/>
        <v>974.98547818437635</v>
      </c>
      <c r="BW58" s="190">
        <f t="shared" ca="1" si="26"/>
        <v>7926.7112047510273</v>
      </c>
      <c r="BX58" s="190" cm="1">
        <f t="array" aca="1" ref="BX58" ca="1">IFERROR(INDEX('Input 1_GRIP Factors'!$AC$5:$AC$65,MATCH(1,(BJ58='Input 1_GRIP Factors'!$G$5:$G$65)*(A58='Input 1_GRIP Factors'!$J$5:$J$65),0)),0)*BW58</f>
        <v>794.25646271605297</v>
      </c>
      <c r="BY58" s="190"/>
      <c r="BZ58" s="56">
        <f>SUMIF('Monthly VOL'!G:G,'Master '!G58,'Monthly VOL'!BV:BV)</f>
        <v>388866.42</v>
      </c>
      <c r="CA58" s="519"/>
      <c r="CB58" s="56"/>
      <c r="CC58" s="553" t="s">
        <v>144</v>
      </c>
    </row>
    <row r="59" spans="1:81" s="55" customFormat="1">
      <c r="A59" s="55" t="s">
        <v>17</v>
      </c>
      <c r="B59" s="55" t="s">
        <v>993</v>
      </c>
      <c r="C59" s="55" t="s">
        <v>1245</v>
      </c>
      <c r="D59" s="55" t="s">
        <v>73</v>
      </c>
      <c r="E59" s="55" t="str">
        <f>VLOOKUP(D59,'Input 14_Ref Table'!C:D,2,FALSE)</f>
        <v>CI406</v>
      </c>
      <c r="F59" s="172" t="s">
        <v>1286</v>
      </c>
      <c r="G59" s="59" t="str">
        <f>VLOOKUP(D59,'Input 14_Ref Table'!C:I,7,FALSE)</f>
        <v>CFG - FTS-8</v>
      </c>
      <c r="H59" s="59" t="str">
        <f>VLOOKUP(D59,'Input 14_Ref Table'!C:K,8,FALSE)</f>
        <v>Base Period</v>
      </c>
      <c r="I59" s="55" t="str">
        <f>VLOOKUP(E59,'Input 7_NG Rates'!B:G,6,FALSE)</f>
        <v>FTS-8</v>
      </c>
      <c r="J59" s="56" t="str">
        <f>IFERROR(VLOOKUP(H59,Report_Regression!B:L,11,FALSE),"")</f>
        <v>Base Period</v>
      </c>
      <c r="K59" s="57">
        <f>_xlfn.IFNA(VLOOKUP($H59,Report_Regression!$B:$L,9,FALSE),0)</f>
        <v>0</v>
      </c>
      <c r="L59" s="57">
        <f>_xlfn.IFNA(VLOOKUP($H59,Report_Regression!$B:$L,10,FALSE),0)</f>
        <v>0</v>
      </c>
      <c r="M59" s="57">
        <f>_xlfn.IFNA(VLOOKUP($H59,Report_Regression!$B:$L,8,FALSE),0)</f>
        <v>0</v>
      </c>
      <c r="N59" s="57">
        <f t="shared" si="7"/>
        <v>0</v>
      </c>
      <c r="O59" s="57" t="str">
        <f>IFERROR(VLOOKUP(H59,Report_Regression!O:Y,11,FALSE),"")</f>
        <v>Base Period</v>
      </c>
      <c r="P59" s="57">
        <f>IFERROR(VLOOKUP($H59,Report_Regression!$O:$Y,9,FALSE),0)</f>
        <v>0</v>
      </c>
      <c r="Q59" s="57">
        <f>IFERROR(VLOOKUP($H59,Report_Regression!$O:$Y,10,FALSE),0)</f>
        <v>0</v>
      </c>
      <c r="R59" s="57">
        <f>IFERROR(VLOOKUP($H59,Report_Regression!$O:$Y,8,FALSE),0)</f>
        <v>0</v>
      </c>
      <c r="S59" s="57">
        <f t="shared" si="8"/>
        <v>0</v>
      </c>
      <c r="T59" s="56">
        <f>_xlfn.IFNA(VLOOKUP($H59,Report_Regression!$O:$Y,6,FALSE),0)</f>
        <v>0</v>
      </c>
      <c r="U59" s="56">
        <f>_xlfn.IFNA(VLOOKUP($H59,Report_Regression!$O:$Y,7,FALSE),0)</f>
        <v>0</v>
      </c>
      <c r="V59" s="56">
        <f>_xlfn.IFNA(VLOOKUP($H59,Report_Regression!$O:$Y,5,FALSE),0)</f>
        <v>0</v>
      </c>
      <c r="W59" s="5">
        <f t="shared" si="9"/>
        <v>293058.25764705881</v>
      </c>
      <c r="X59" s="64">
        <f t="shared" si="10"/>
        <v>295805.23149350646</v>
      </c>
      <c r="Y59" s="56">
        <f>SUMIF('Input 3_2019CUST-YTD'!S:S,G59,'Input 3_2019CUST-YTD'!R:R)</f>
        <v>207</v>
      </c>
      <c r="Z59" s="56">
        <f>SUMIF('Input 4_2020CUST-YTD'!S:S,G59,'Input 4_2020CUST-YTD'!R:R)</f>
        <v>205</v>
      </c>
      <c r="AA59" s="56">
        <f>SUMIF('Input 5_2021CUST-YTD'!S:S,G59,'Input 5_2021CUST-YTD'!R:R)</f>
        <v>204</v>
      </c>
      <c r="AB59" s="56">
        <f>ROUND(AA59*(1+N59)/12,0)*12+24</f>
        <v>228</v>
      </c>
      <c r="AC59" s="56">
        <f>ROUND(AB59*(1+N59)/12,0)*12</f>
        <v>228</v>
      </c>
      <c r="AD59" s="56" t="str">
        <f>VLOOKUP(D59,'Input 15_Fcst Inputs'!A:F,2,FALSE)</f>
        <v>Base Period</v>
      </c>
      <c r="AE59" s="56">
        <f>SUMIF('Input 3.1_2019VOL-YTD'!R:R,G59,'Input 3.1_2019VOL-YTD'!O:O)</f>
        <v>4974440.8499999996</v>
      </c>
      <c r="AF59" s="56">
        <f>SUMIF('Input 4.1_2020VOL-YTD'!R:R,G59,'Input 4.1_2020VOL-YTD'!O:O)</f>
        <v>5228237.3199999994</v>
      </c>
      <c r="AG59" s="56">
        <f>SUMIF('Input 5.1_2021VOL-YTD'!R:R,G59,'Input 5.1_2021VOL-YTD'!O:O)</f>
        <v>4981990.38</v>
      </c>
      <c r="AH59" s="64">
        <f>IFERROR(IF($AD59="Historical Average",(AVERAGE($AE59:$AG59)/AVERAGE($Y59:$AA59))*AB59,IF($AD59="UPC Growth Rate",((AG59/AA59)*(1+$S59)*AB59),IF($AD59="Modeled UPC",AB59/12*$W59,IF(AD59="Base Period",AG59,IF(AD59="Adjusted",SUMIF('Input 15_Fcst Inputs'!A:A,D59,'Input 15_Fcst Inputs'!F:F),0))))),0)</f>
        <v>4981990.38</v>
      </c>
      <c r="AI59" s="64">
        <f>IFERROR(IF($AD59="Historical Average",(AVERAGE($AE59:$AG59)/AVERAGE($Y59:$AA59))*AC59,IF($AD59="UPC Growth Rate",((AH59/AB59)*(1+$S59)*AC59),IF($AD59="Modeled UPC",AC59/12*$W59,IF(AD59="Base Period",AG59,IF(AD59="Adjusted",SUMIF('Input 15_Fcst Inputs'!A:A,D59,'Input 15_Fcst Inputs'!G:G),0))))),0)+516106</f>
        <v>5498096.3799999999</v>
      </c>
      <c r="AJ59" s="273">
        <f>VLOOKUP($G59,'WP-Peak Month UPC'!$C:$BL,17,FALSE)</f>
        <v>28791.135294117645</v>
      </c>
      <c r="AK59" s="273">
        <f>VLOOKUP($G59,'WP-Peak Month UPC'!$C:$BL,32,FALSE)</f>
        <v>32257.446315789472</v>
      </c>
      <c r="AL59" s="273">
        <f>VLOOKUP($G59,'WP-Peak Month UPC'!$C:$BL,47,FALSE)</f>
        <v>28498.691764705884</v>
      </c>
      <c r="AM59" s="273">
        <f>IF(OR(AD59="Base Period",AD59="Adjusted"),AL59,IF(AD59="Historical Average",AVERAGE(AJ59:AL59),IF(AD59="Modeled UPC",VLOOKUP(H59,Report_Regression!AB:AJ,5,FALSE),IF(AD59="UPC Growth Rate",AL59*(1+VLOOKUP(H59,Report_Regression!AB:AN,13,FALSE))))))</f>
        <v>28498.691764705884</v>
      </c>
      <c r="AN59" s="273">
        <f>IF(OR($AD59="Base Period",$AD59="Adjusted"),$AL59,IF($AD59="Historical Average",AVERAGE($AJ59:$AL59),IF($AD59="Modeled UPC",VLOOKUP($H59,Report_Regression!$AB:$AJ,9,FALSE),IF($AD59="UPC Growth Rate",AM59*(1+VLOOKUP($H59,Report_Regression!$AB:$AN,13,FALSE))))))</f>
        <v>28498.691764705884</v>
      </c>
      <c r="AO59" s="58">
        <f>VLOOKUP(E59,'Input 7_NG Rates'!B:I,7,FALSE)</f>
        <v>1200</v>
      </c>
      <c r="AP59" s="292">
        <f>VLOOKUP(E59,'Input 7_NG Rates'!B:I,8,FALSE)</f>
        <v>0.11024</v>
      </c>
      <c r="AQ59" s="293">
        <f>VLOOKUP(D59,'Input 14_Ref Table'!C:N,12,FALSE)</f>
        <v>0</v>
      </c>
      <c r="AR59" s="292"/>
      <c r="AS59" s="151">
        <f t="shared" si="21"/>
        <v>244800</v>
      </c>
      <c r="AT59" s="151">
        <f t="shared" si="22"/>
        <v>549214.61949119996</v>
      </c>
      <c r="AU59" s="151">
        <f>SUMIF('Input 13.3_2021 Min Charges'!A:A,G59,'Input 13.3_2021 Min Charges'!O:O)</f>
        <v>0</v>
      </c>
      <c r="AV59" s="151">
        <f t="shared" si="23"/>
        <v>0</v>
      </c>
      <c r="AW59" s="151">
        <v>0</v>
      </c>
      <c r="AX59" s="151">
        <f t="shared" si="11"/>
        <v>794014.61949119996</v>
      </c>
      <c r="AY59" s="533">
        <f>SUMIF('Input 6_2021MARG-YTD'!AN:AN,G59,'Input 6_2021MARG-YTD'!AK:AK)</f>
        <v>794014.59</v>
      </c>
      <c r="AZ59" s="533">
        <f t="shared" si="12"/>
        <v>-2.9491199995391071E-2</v>
      </c>
      <c r="BA59" s="533"/>
      <c r="BB59" s="533"/>
      <c r="BC59" s="533"/>
      <c r="BD59" s="533"/>
      <c r="BE59" s="533"/>
      <c r="BF59" s="533"/>
      <c r="BH59" s="294"/>
      <c r="BI59" s="294"/>
      <c r="BJ59" s="191" t="s">
        <v>483</v>
      </c>
      <c r="BK59" s="514">
        <v>8.3180000000000004E-2</v>
      </c>
      <c r="BL59" s="190">
        <f t="shared" si="24"/>
        <v>457331.65688840003</v>
      </c>
      <c r="BM59" s="518" cm="1">
        <f t="array" ref="BM59">IFERROR(INDEX('Input 1_GRIP Factors'!$K$5:$K$54,MATCH(1,(BJ59='Input 1_GRIP Factors'!$G$5:$G$54)*(A59='Input 1_GRIP Factors'!$J$5:$J$54),0)),0)</f>
        <v>8.4722000490383712E-2</v>
      </c>
      <c r="BN59" s="190">
        <f t="shared" si="27"/>
        <v>422084.19141744694</v>
      </c>
      <c r="BO59" s="190">
        <f t="shared" si="13"/>
        <v>3874.1136745372864</v>
      </c>
      <c r="BP59" s="190">
        <f t="shared" si="14"/>
        <v>425958.30509198422</v>
      </c>
      <c r="BQ59" s="44" cm="1">
        <f t="array" ref="BQ59">IFERROR(INDEX('Input 1_GRIP Factors'!$Y$5:$Y$65,MATCH(1,(BJ59='Input 1_GRIP Factors'!$G$5:$G$65)*(A59='Input 1_GRIP Factors'!$J$5:$J$65),0)),0)*AG59</f>
        <v>58538.386964999998</v>
      </c>
      <c r="BR59" s="190">
        <f t="shared" si="15"/>
        <v>58602.876131847894</v>
      </c>
      <c r="BS59" s="44" cm="1">
        <f t="array" ref="BS59">IFERROR(INDEX('Input 1_GRIP Factors'!$AC$5:$AC$65,MATCH(1,(BJ59='Input 1_GRIP Factors'!$G$5:$G$65)*(A59='Input 1_GRIP Factors'!$J$5:$J$65),0)),0)*AG59</f>
        <v>563313.65226660005</v>
      </c>
      <c r="BT59" s="190">
        <f t="shared" si="16"/>
        <v>1016315.2153362839</v>
      </c>
      <c r="BU59" s="190">
        <f t="shared" si="25"/>
        <v>2294891.0160513157</v>
      </c>
      <c r="BV59" s="190">
        <f t="shared" ca="1" si="17"/>
        <v>1036.882018198721</v>
      </c>
      <c r="BW59" s="190">
        <f t="shared" ca="1" si="26"/>
        <v>9405.6786846763516</v>
      </c>
      <c r="BX59" s="190" cm="1">
        <f t="array" aca="1" ref="BX59" ca="1">IFERROR(INDEX('Input 1_GRIP Factors'!$AC$5:$AC$65,MATCH(1,(BJ59='Input 1_GRIP Factors'!$G$5:$G$65)*(A59='Input 1_GRIP Factors'!$J$5:$J$65),0)),0)*BW59</f>
        <v>1063.5000888763552</v>
      </c>
      <c r="BY59" s="190"/>
      <c r="BZ59" s="56">
        <f>SUMIF('Monthly VOL'!G:G,'Master '!G59,'Monthly VOL'!BV:BV)</f>
        <v>527486.59</v>
      </c>
      <c r="CA59" s="519"/>
      <c r="CB59" s="56"/>
      <c r="CC59" s="553" t="s">
        <v>145</v>
      </c>
    </row>
    <row r="60" spans="1:81" s="55" customFormat="1">
      <c r="A60" s="55" t="s">
        <v>17</v>
      </c>
      <c r="B60" s="55" t="s">
        <v>993</v>
      </c>
      <c r="C60" s="55" t="s">
        <v>1245</v>
      </c>
      <c r="D60" s="55" t="s">
        <v>75</v>
      </c>
      <c r="E60" s="55" t="str">
        <f>VLOOKUP(D60,'Input 14_Ref Table'!C:D,2,FALSE)</f>
        <v>CC905</v>
      </c>
      <c r="F60" s="172" t="s">
        <v>1286</v>
      </c>
      <c r="G60" s="59" t="str">
        <f>VLOOKUP(D60,'Input 14_Ref Table'!C:I,7,FALSE)</f>
        <v>CFG - FTS-9</v>
      </c>
      <c r="H60" s="59" t="str">
        <f>VLOOKUP(D60,'Input 14_Ref Table'!C:K,8,FALSE)</f>
        <v>Base Period</v>
      </c>
      <c r="I60" s="55" t="str">
        <f>VLOOKUP(E60,'Input 7_NG Rates'!B:G,6,FALSE)</f>
        <v>FTS-9</v>
      </c>
      <c r="J60" s="56" t="str">
        <f>IFERROR(VLOOKUP(H60,Report_Regression!B:L,11,FALSE),"")</f>
        <v>Base Period</v>
      </c>
      <c r="K60" s="57">
        <f>_xlfn.IFNA(VLOOKUP($H60,Report_Regression!$B:$L,9,FALSE),0)</f>
        <v>0</v>
      </c>
      <c r="L60" s="57">
        <f>_xlfn.IFNA(VLOOKUP($H60,Report_Regression!$B:$L,10,FALSE),0)</f>
        <v>0</v>
      </c>
      <c r="M60" s="57">
        <f>_xlfn.IFNA(VLOOKUP($H60,Report_Regression!$B:$L,8,FALSE),0)</f>
        <v>0</v>
      </c>
      <c r="N60" s="57">
        <f t="shared" si="7"/>
        <v>0</v>
      </c>
      <c r="O60" s="57" t="str">
        <f>IFERROR(VLOOKUP(H60,Report_Regression!O:Y,11,FALSE),"")</f>
        <v>Base Period</v>
      </c>
      <c r="P60" s="57">
        <f>IFERROR(VLOOKUP($H60,Report_Regression!$O:$Y,9,FALSE),0)</f>
        <v>0</v>
      </c>
      <c r="Q60" s="57">
        <f>IFERROR(VLOOKUP($H60,Report_Regression!$O:$Y,10,FALSE),0)</f>
        <v>0</v>
      </c>
      <c r="R60" s="57">
        <f>IFERROR(VLOOKUP($H60,Report_Regression!$O:$Y,8,FALSE),0)</f>
        <v>0</v>
      </c>
      <c r="S60" s="57">
        <f t="shared" si="8"/>
        <v>0</v>
      </c>
      <c r="T60" s="56">
        <f>_xlfn.IFNA(VLOOKUP($H60,Report_Regression!$O:$Y,6,FALSE),0)</f>
        <v>0</v>
      </c>
      <c r="U60" s="56">
        <f>_xlfn.IFNA(VLOOKUP($H60,Report_Regression!$O:$Y,7,FALSE),0)</f>
        <v>0</v>
      </c>
      <c r="V60" s="56">
        <f>_xlfn.IFNA(VLOOKUP($H60,Report_Regression!$O:$Y,5,FALSE),0)</f>
        <v>0</v>
      </c>
      <c r="W60" s="5">
        <f t="shared" si="9"/>
        <v>522822.03811764705</v>
      </c>
      <c r="X60" s="64">
        <f t="shared" si="10"/>
        <v>548876.81164556951</v>
      </c>
      <c r="Y60" s="56">
        <f>SUMIF('Input 3_2019CUST-YTD'!S:S,G60,'Input 3_2019CUST-YTD'!R:R)</f>
        <v>79</v>
      </c>
      <c r="Z60" s="56">
        <f>SUMIF('Input 4_2020CUST-YTD'!S:S,G60,'Input 4_2020CUST-YTD'!R:R)</f>
        <v>73</v>
      </c>
      <c r="AA60" s="56">
        <f>SUMIF('Input 5_2021CUST-YTD'!S:S,G60,'Input 5_2021CUST-YTD'!R:R)</f>
        <v>85</v>
      </c>
      <c r="AB60" s="56">
        <f t="shared" ref="AB60:AB65" si="28">AA60*(1+N60)</f>
        <v>85</v>
      </c>
      <c r="AC60" s="56">
        <f t="shared" ref="AC60:AC65" si="29">AB60*(1+N60)</f>
        <v>85</v>
      </c>
      <c r="AD60" s="56" t="str">
        <f>VLOOKUP(D60,'Input 15_Fcst Inputs'!A:F,2,FALSE)</f>
        <v>Base Period</v>
      </c>
      <c r="AE60" s="56">
        <f>SUMIF('Input 3.1_2019VOL-YTD'!R:R,G60,'Input 3.1_2019VOL-YTD'!O:O)</f>
        <v>3765224.8499999987</v>
      </c>
      <c r="AF60" s="56">
        <f>SUMIF('Input 4.1_2020VOL-YTD'!R:R,G60,'Input 4.1_2020VOL-YTD'!O:O)</f>
        <v>3371769.41</v>
      </c>
      <c r="AG60" s="56">
        <f>SUMIF('Input 5.1_2021VOL-YTD'!R:R,G60,'Input 5.1_2021VOL-YTD'!O:O)</f>
        <v>3703322.77</v>
      </c>
      <c r="AH60" s="64">
        <f>IFERROR(IF($AD60="Historical Average",(AVERAGE($AE60:$AG60)/AVERAGE($Y60:$AA60))*AB60,IF($AD60="UPC Growth Rate",((AG60/AA60)*(1+$S60)*AB60),IF($AD60="Modeled UPC",AB60/12*$W60,IF(AD60="Base Period",AG60,IF(AD60="Adjusted",SUMIF('Input 15_Fcst Inputs'!A:A,D60,'Input 15_Fcst Inputs'!F:F),0))))),0)</f>
        <v>3703322.77</v>
      </c>
      <c r="AI60" s="64">
        <f>IFERROR(IF($AD60="Historical Average",(AVERAGE($AE60:$AG60)/AVERAGE($Y60:$AA60))*AC60,IF($AD60="UPC Growth Rate",((AH60/AB60)*(1+$S60)*AC60),IF($AD60="Modeled UPC",AC60/12*$W60,IF(AD60="Base Period",AG60,IF(AD60="Adjusted",SUMIF('Input 15_Fcst Inputs'!A:A,D60,'Input 15_Fcst Inputs'!G:G),0))))),0)</f>
        <v>3703322.77</v>
      </c>
      <c r="AJ60" s="273">
        <f>VLOOKUP($G60,'WP-Peak Month UPC'!$C:$BL,17,FALSE)</f>
        <v>51574.6</v>
      </c>
      <c r="AK60" s="273">
        <f>VLOOKUP($G60,'WP-Peak Month UPC'!$C:$BL,32,FALSE)</f>
        <v>53092.584999999999</v>
      </c>
      <c r="AL60" s="273">
        <f>VLOOKUP($G60,'WP-Peak Month UPC'!$C:$BL,47,FALSE)</f>
        <v>51809.841666666667</v>
      </c>
      <c r="AM60" s="273">
        <f>IF(OR(AD60="Base Period",AD60="Adjusted"),AL60,IF(AD60="Historical Average",AVERAGE(AJ60:AL60),IF(AD60="Modeled UPC",VLOOKUP(H60,Report_Regression!AB:AJ,5,FALSE),IF(AD60="UPC Growth Rate",AL60*(1+VLOOKUP(H60,Report_Regression!AB:AN,13,FALSE))))))</f>
        <v>51809.841666666667</v>
      </c>
      <c r="AN60" s="273">
        <f>IF(OR($AD60="Base Period",$AD60="Adjusted"),$AL60,IF($AD60="Historical Average",AVERAGE($AJ60:$AL60),IF($AD60="Modeled UPC",VLOOKUP($H60,Report_Regression!$AB:$AJ,9,FALSE),IF($AD60="UPC Growth Rate",AM60*(1+VLOOKUP($H60,Report_Regression!$AB:$AN,13,FALSE))))))</f>
        <v>51809.841666666667</v>
      </c>
      <c r="AO60" s="58">
        <f>VLOOKUP(E60,'Input 7_NG Rates'!B:I,7,FALSE)</f>
        <v>2000</v>
      </c>
      <c r="AP60" s="292">
        <f>VLOOKUP(E60,'Input 7_NG Rates'!B:I,8,FALSE)</f>
        <v>9.1329999999999995E-2</v>
      </c>
      <c r="AQ60" s="293">
        <f>VLOOKUP(D60,'Input 14_Ref Table'!C:N,12,FALSE)</f>
        <v>0</v>
      </c>
      <c r="AR60" s="292"/>
      <c r="AS60" s="151">
        <f t="shared" si="21"/>
        <v>170000</v>
      </c>
      <c r="AT60" s="151">
        <f t="shared" si="22"/>
        <v>338224.46858409996</v>
      </c>
      <c r="AU60" s="151">
        <f>SUMIF('Input 13.3_2021 Min Charges'!A:A,G60,'Input 13.3_2021 Min Charges'!O:O)</f>
        <v>0</v>
      </c>
      <c r="AV60" s="151">
        <f t="shared" si="23"/>
        <v>0</v>
      </c>
      <c r="AW60" s="151">
        <v>0</v>
      </c>
      <c r="AX60" s="151">
        <f t="shared" si="11"/>
        <v>508224.46858409996</v>
      </c>
      <c r="AY60" s="533">
        <f>SUMIF('Input 6_2021MARG-YTD'!AN:AN,G60,'Input 6_2021MARG-YTD'!AK:AK)</f>
        <v>510024.51</v>
      </c>
      <c r="AZ60" s="533">
        <f t="shared" si="12"/>
        <v>1800.0414159000502</v>
      </c>
      <c r="BA60" s="533"/>
      <c r="BB60" s="533"/>
      <c r="BC60" s="533"/>
      <c r="BD60" s="533"/>
      <c r="BE60" s="533"/>
      <c r="BF60" s="533"/>
      <c r="BH60" s="294"/>
      <c r="BI60" s="294"/>
      <c r="BJ60" s="191" t="s">
        <v>541</v>
      </c>
      <c r="BK60" s="514">
        <v>0.129</v>
      </c>
      <c r="BL60" s="190">
        <f t="shared" si="24"/>
        <v>477728.63733</v>
      </c>
      <c r="BM60" s="518" cm="1">
        <f t="array" ref="BM60">IFERROR(INDEX('Input 1_GRIP Factors'!$K$5:$K$54,MATCH(1,(BJ60='Input 1_GRIP Factors'!$G$5:$G$54)*(A60='Input 1_GRIP Factors'!$J$5:$J$54),0)),0)</f>
        <v>0.17979350106674624</v>
      </c>
      <c r="BN60" s="190">
        <f t="shared" si="27"/>
        <v>665833.36639850063</v>
      </c>
      <c r="BO60" s="190">
        <f t="shared" si="13"/>
        <v>6111.3735178403131</v>
      </c>
      <c r="BP60" s="190">
        <f t="shared" si="14"/>
        <v>671944.73991634091</v>
      </c>
      <c r="BQ60" s="44" cm="1">
        <f t="array" ref="BQ60">IFERROR(INDEX('Input 1_GRIP Factors'!$Y$5:$Y$65,MATCH(1,(BJ60='Input 1_GRIP Factors'!$G$5:$G$65)*(A60='Input 1_GRIP Factors'!$J$5:$J$65),0)),0)*AG60</f>
        <v>36329.596373699998</v>
      </c>
      <c r="BR60" s="190">
        <f t="shared" si="15"/>
        <v>36369.619092526555</v>
      </c>
      <c r="BS60" s="44" cm="1">
        <f t="array" ref="BS60">IFERROR(INDEX('Input 1_GRIP Factors'!$AC$5:$AC$65,MATCH(1,(BJ60='Input 1_GRIP Factors'!$G$5:$G$65)*(A60='Input 1_GRIP Factors'!$J$5:$J$65),0)),0)*AG60</f>
        <v>362888.59823229996</v>
      </c>
      <c r="BT60" s="190">
        <f t="shared" si="16"/>
        <v>654713.7680252695</v>
      </c>
      <c r="BU60" s="190">
        <f t="shared" si="25"/>
        <v>1871252.595618237</v>
      </c>
      <c r="BV60" s="190">
        <f t="shared" ca="1" si="17"/>
        <v>663.67646104694234</v>
      </c>
      <c r="BW60" s="190">
        <f t="shared" ca="1" si="26"/>
        <v>7266.7958069302786</v>
      </c>
      <c r="BX60" s="190" cm="1">
        <f t="array" aca="1" ref="BX60" ca="1">IFERROR(INDEX('Input 1_GRIP Factors'!$AC$5:$AC$65,MATCH(1,(BJ60='Input 1_GRIP Factors'!$G$5:$G$65)*(A60='Input 1_GRIP Factors'!$J$5:$J$65),0)),0)*BW60</f>
        <v>712.07332112109793</v>
      </c>
      <c r="BY60" s="190"/>
      <c r="BZ60" s="56">
        <f>SUMIF('Monthly VOL'!G:G,'Master '!G60,'Monthly VOL'!BV:BV)</f>
        <v>310859.05</v>
      </c>
      <c r="CA60" s="519"/>
      <c r="CB60" s="56"/>
      <c r="CC60" s="553" t="s">
        <v>146</v>
      </c>
    </row>
    <row r="61" spans="1:81" s="55" customFormat="1">
      <c r="A61" s="55" t="s">
        <v>17</v>
      </c>
      <c r="B61" s="55" t="s">
        <v>993</v>
      </c>
      <c r="C61" s="55" t="s">
        <v>1245</v>
      </c>
      <c r="D61" s="55" t="s">
        <v>77</v>
      </c>
      <c r="E61" s="55" t="str">
        <f>VLOOKUP(D61,'Input 14_Ref Table'!C:D,2,FALSE)</f>
        <v>CI905</v>
      </c>
      <c r="F61" s="172" t="s">
        <v>1286</v>
      </c>
      <c r="G61" s="59" t="str">
        <f>VLOOKUP(D61,'Input 14_Ref Table'!C:I,7,FALSE)</f>
        <v>CFG - FTS-10</v>
      </c>
      <c r="H61" s="59" t="str">
        <f>VLOOKUP(D61,'Input 14_Ref Table'!C:K,8,FALSE)</f>
        <v>Base Period</v>
      </c>
      <c r="I61" s="55" t="str">
        <f>VLOOKUP(E61,'Input 7_NG Rates'!B:G,6,FALSE)</f>
        <v>FTS10</v>
      </c>
      <c r="J61" s="56" t="str">
        <f>IFERROR(VLOOKUP(H61,Report_Regression!B:L,11,FALSE),"")</f>
        <v>Base Period</v>
      </c>
      <c r="K61" s="57">
        <f>_xlfn.IFNA(VLOOKUP($H61,Report_Regression!$B:$L,9,FALSE),0)</f>
        <v>0</v>
      </c>
      <c r="L61" s="57">
        <f>_xlfn.IFNA(VLOOKUP($H61,Report_Regression!$B:$L,10,FALSE),0)</f>
        <v>0</v>
      </c>
      <c r="M61" s="57">
        <f>_xlfn.IFNA(VLOOKUP($H61,Report_Regression!$B:$L,8,FALSE),0)</f>
        <v>0</v>
      </c>
      <c r="N61" s="57">
        <f t="shared" si="7"/>
        <v>0</v>
      </c>
      <c r="O61" s="57" t="str">
        <f>IFERROR(VLOOKUP(H61,Report_Regression!O:Y,11,FALSE),"")</f>
        <v>Base Period</v>
      </c>
      <c r="P61" s="57">
        <f>IFERROR(VLOOKUP($H61,Report_Regression!$O:$Y,9,FALSE),0)</f>
        <v>0</v>
      </c>
      <c r="Q61" s="57">
        <f>IFERROR(VLOOKUP($H61,Report_Regression!$O:$Y,10,FALSE),0)</f>
        <v>0</v>
      </c>
      <c r="R61" s="57">
        <f>IFERROR(VLOOKUP($H61,Report_Regression!$O:$Y,8,FALSE),0)</f>
        <v>0</v>
      </c>
      <c r="S61" s="57">
        <f t="shared" si="8"/>
        <v>0</v>
      </c>
      <c r="T61" s="56">
        <f>_xlfn.IFNA(VLOOKUP($H61,Report_Regression!$O:$Y,6,FALSE),0)</f>
        <v>0</v>
      </c>
      <c r="U61" s="56">
        <f>_xlfn.IFNA(VLOOKUP($H61,Report_Regression!$O:$Y,7,FALSE),0)</f>
        <v>0</v>
      </c>
      <c r="V61" s="56">
        <f>_xlfn.IFNA(VLOOKUP($H61,Report_Regression!$O:$Y,5,FALSE),0)</f>
        <v>0</v>
      </c>
      <c r="W61" s="5">
        <f t="shared" si="9"/>
        <v>1210296.3333333335</v>
      </c>
      <c r="X61" s="64">
        <f t="shared" si="10"/>
        <v>986230.6399999999</v>
      </c>
      <c r="Y61" s="56">
        <f>SUMIF('Input 3_2019CUST-YTD'!S:S,G61,'Input 3_2019CUST-YTD'!R:R)</f>
        <v>36</v>
      </c>
      <c r="Z61" s="56">
        <f>SUMIF('Input 4_2020CUST-YTD'!S:S,G61,'Input 4_2020CUST-YTD'!R:R)</f>
        <v>36</v>
      </c>
      <c r="AA61" s="56">
        <f>SUMIF('Input 5_2021CUST-YTD'!S:S,G61,'Input 5_2021CUST-YTD'!R:R)</f>
        <v>36</v>
      </c>
      <c r="AB61" s="56">
        <f t="shared" si="28"/>
        <v>36</v>
      </c>
      <c r="AC61" s="56">
        <f t="shared" si="29"/>
        <v>36</v>
      </c>
      <c r="AD61" s="56" t="str">
        <f>VLOOKUP(D61,'Input 15_Fcst Inputs'!A:F,2,FALSE)</f>
        <v>Base Period</v>
      </c>
      <c r="AE61" s="56">
        <f>SUMIF('Input 3.1_2019VOL-YTD'!R:R,G61,'Input 3.1_2019VOL-YTD'!O:O)</f>
        <v>2456435.31</v>
      </c>
      <c r="AF61" s="56">
        <f>SUMIF('Input 4.1_2020VOL-YTD'!R:R,G61,'Input 4.1_2020VOL-YTD'!O:O)</f>
        <v>2788751.4499999997</v>
      </c>
      <c r="AG61" s="56">
        <f>SUMIF('Input 5.1_2021VOL-YTD'!R:R,G61,'Input 5.1_2021VOL-YTD'!O:O)</f>
        <v>3630889.0000000005</v>
      </c>
      <c r="AH61" s="64">
        <f>IFERROR(IF($AD61="Historical Average",(AVERAGE($AE61:$AG61)/AVERAGE($Y61:$AA61))*AB61,IF($AD61="UPC Growth Rate",((AG61/AA61)*(1+$S61)*AB61),IF($AD61="Modeled UPC",AB61/12*$W61,IF(AD61="Base Period",AG61,IF(AD61="Adjusted",SUMIF('Input 15_Fcst Inputs'!A:A,D61,'Input 15_Fcst Inputs'!F:F),0))))),0)</f>
        <v>3630889.0000000005</v>
      </c>
      <c r="AI61" s="64">
        <f>IFERROR(IF($AD61="Historical Average",(AVERAGE($AE61:$AG61)/AVERAGE($Y61:$AA61))*AC61,IF($AD61="UPC Growth Rate",((AH61/AB61)*(1+$S61)*AC61),IF($AD61="Modeled UPC",AC61/12*$W61,IF(AD61="Base Period",AG61,IF(AD61="Adjusted",SUMIF('Input 15_Fcst Inputs'!A:A,D61,'Input 15_Fcst Inputs'!G:G),0))))),0)</f>
        <v>3630889.0000000005</v>
      </c>
      <c r="AJ61" s="273">
        <f>VLOOKUP($G61,'WP-Peak Month UPC'!$C:$BL,17,FALSE)</f>
        <v>79867.31</v>
      </c>
      <c r="AK61" s="273">
        <f>VLOOKUP($G61,'WP-Peak Month UPC'!$C:$BL,32,FALSE)</f>
        <v>73694.31</v>
      </c>
      <c r="AL61" s="273">
        <f>VLOOKUP($G61,'WP-Peak Month UPC'!$C:$BL,47,FALSE)</f>
        <v>124432.52</v>
      </c>
      <c r="AM61" s="273">
        <f>IF(OR(AD61="Base Period",AD61="Adjusted"),AL61,IF(AD61="Historical Average",AVERAGE(AJ61:AL61),IF(AD61="Modeled UPC",VLOOKUP(H61,Report_Regression!AB:AJ,5,FALSE),IF(AD61="UPC Growth Rate",AL61*(1+VLOOKUP(H61,Report_Regression!AB:AN,13,FALSE))))))</f>
        <v>124432.52</v>
      </c>
      <c r="AN61" s="273">
        <f>IF(OR($AD61="Base Period",$AD61="Adjusted"),$AL61,IF($AD61="Historical Average",AVERAGE($AJ61:$AL61),IF($AD61="Modeled UPC",VLOOKUP($H61,Report_Regression!$AB:$AJ,9,FALSE),IF($AD61="UPC Growth Rate",AM61*(1+VLOOKUP($H61,Report_Regression!$AB:$AN,13,FALSE))))))</f>
        <v>124432.52</v>
      </c>
      <c r="AO61" s="58">
        <f>VLOOKUP(E61,'Input 7_NG Rates'!B:I,7,FALSE)</f>
        <v>3000</v>
      </c>
      <c r="AP61" s="292">
        <f>VLOOKUP(E61,'Input 7_NG Rates'!B:I,8,FALSE)</f>
        <v>8.3180000000000004E-2</v>
      </c>
      <c r="AQ61" s="293">
        <f>VLOOKUP(D61,'Input 14_Ref Table'!C:N,12,FALSE)</f>
        <v>0</v>
      </c>
      <c r="AR61" s="292"/>
      <c r="AS61" s="151">
        <f t="shared" si="21"/>
        <v>108000</v>
      </c>
      <c r="AT61" s="151">
        <f t="shared" si="22"/>
        <v>302017.34702000004</v>
      </c>
      <c r="AU61" s="151">
        <f>SUMIF('Input 13.3_2021 Min Charges'!A:A,G61,'Input 13.3_2021 Min Charges'!O:O)</f>
        <v>0</v>
      </c>
      <c r="AV61" s="151">
        <f t="shared" si="23"/>
        <v>0</v>
      </c>
      <c r="AW61" s="151">
        <v>0</v>
      </c>
      <c r="AX61" s="151">
        <f t="shared" si="11"/>
        <v>410017.34702000004</v>
      </c>
      <c r="AY61" s="533">
        <f>SUMIF('Input 6_2021MARG-YTD'!AN:AN,G61,'Input 6_2021MARG-YTD'!AK:AK)</f>
        <v>410017.33999999997</v>
      </c>
      <c r="AZ61" s="533">
        <f t="shared" si="12"/>
        <v>-7.0200000773184001E-3</v>
      </c>
      <c r="BA61" s="533"/>
      <c r="BB61" s="533"/>
      <c r="BC61" s="533"/>
      <c r="BD61" s="533"/>
      <c r="BE61" s="533"/>
      <c r="BF61" s="533"/>
      <c r="BH61" s="294"/>
      <c r="BI61" s="294"/>
      <c r="BJ61" s="191" t="s">
        <v>544</v>
      </c>
      <c r="BK61" s="514">
        <v>7.393000000000001E-2</v>
      </c>
      <c r="BL61" s="190">
        <f t="shared" si="24"/>
        <v>268431.62377000006</v>
      </c>
      <c r="BM61" s="518" cm="1">
        <f t="array" ref="BM61">IFERROR(INDEX('Input 1_GRIP Factors'!$K$5:$K$54,MATCH(1,(BJ61='Input 1_GRIP Factors'!$G$5:$G$54)*(A61='Input 1_GRIP Factors'!$J$5:$J$54),0)),0)</f>
        <v>0.10788515345072508</v>
      </c>
      <c r="BN61" s="190">
        <f t="shared" si="27"/>
        <v>391719.01692754979</v>
      </c>
      <c r="BO61" s="190">
        <f t="shared" si="13"/>
        <v>3595.4059188026599</v>
      </c>
      <c r="BP61" s="190">
        <f t="shared" si="14"/>
        <v>395314.42284635245</v>
      </c>
      <c r="BQ61" s="44" cm="1">
        <f t="array" ref="BQ61">IFERROR(INDEX('Input 1_GRIP Factors'!$Y$5:$Y$65,MATCH(1,(BJ61='Input 1_GRIP Factors'!$G$5:$G$65)*(A61='Input 1_GRIP Factors'!$J$5:$J$65),0)),0)*AG61</f>
        <v>33985.121040000005</v>
      </c>
      <c r="BR61" s="190">
        <f t="shared" si="15"/>
        <v>34022.560953443557</v>
      </c>
      <c r="BS61" s="44" cm="1">
        <f t="array" ref="BS61">IFERROR(INDEX('Input 1_GRIP Factors'!$AC$5:$AC$65,MATCH(1,(BJ61='Input 1_GRIP Factors'!$G$5:$G$65)*(A61='Input 1_GRIP Factors'!$J$5:$J$65),0)),0)*AG61</f>
        <v>354084.29528000008</v>
      </c>
      <c r="BT61" s="190">
        <f t="shared" si="16"/>
        <v>638829.28339606035</v>
      </c>
      <c r="BU61" s="190">
        <f t="shared" si="25"/>
        <v>1478183.6142158564</v>
      </c>
      <c r="BV61" s="190">
        <f t="shared" ca="1" si="17"/>
        <v>535.43046165448447</v>
      </c>
      <c r="BW61" s="190">
        <f t="shared" ca="1" si="26"/>
        <v>6437.0096375869734</v>
      </c>
      <c r="BX61" s="190" cm="1">
        <f t="array" aca="1" ref="BX61" ca="1">IFERROR(INDEX('Input 1_GRIP Factors'!$AC$5:$AC$65,MATCH(1,(BJ61='Input 1_GRIP Factors'!$G$5:$G$65)*(A61='Input 1_GRIP Factors'!$J$5:$J$65),0)),0)*BW61</f>
        <v>627.73717985748169</v>
      </c>
      <c r="BY61" s="190"/>
      <c r="BZ61" s="56">
        <f>SUMIF('Monthly VOL'!G:G,'Master '!G61,'Monthly VOL'!BV:BV)</f>
        <v>373297.56</v>
      </c>
      <c r="CA61" s="519"/>
      <c r="CB61" s="56"/>
      <c r="CC61" s="553" t="s">
        <v>147</v>
      </c>
    </row>
    <row r="62" spans="1:81" s="55" customFormat="1">
      <c r="A62" s="55" t="s">
        <v>17</v>
      </c>
      <c r="B62" s="55" t="s">
        <v>993</v>
      </c>
      <c r="C62" s="55" t="s">
        <v>1245</v>
      </c>
      <c r="D62" s="55" t="s">
        <v>79</v>
      </c>
      <c r="E62" s="55" t="str">
        <f>VLOOKUP(D62,'Input 14_Ref Table'!C:D,2,FALSE)</f>
        <v>CI107</v>
      </c>
      <c r="F62" s="172" t="s">
        <v>1286</v>
      </c>
      <c r="G62" s="59" t="str">
        <f>VLOOKUP(D62,'Input 14_Ref Table'!C:I,7,FALSE)</f>
        <v>CFG - FTS-11</v>
      </c>
      <c r="H62" s="59" t="str">
        <f>VLOOKUP(D62,'Input 14_Ref Table'!C:K,8,FALSE)</f>
        <v>Base Period</v>
      </c>
      <c r="I62" s="55" t="str">
        <f>VLOOKUP(E62,'Input 7_NG Rates'!B:G,6,FALSE)</f>
        <v>FTS11</v>
      </c>
      <c r="J62" s="56" t="str">
        <f>IFERROR(VLOOKUP(H62,Report_Regression!B:L,11,FALSE),"")</f>
        <v>Base Period</v>
      </c>
      <c r="K62" s="57">
        <f>_xlfn.IFNA(VLOOKUP($H62,Report_Regression!$B:$L,9,FALSE),0)</f>
        <v>0</v>
      </c>
      <c r="L62" s="57">
        <f>_xlfn.IFNA(VLOOKUP($H62,Report_Regression!$B:$L,10,FALSE),0)</f>
        <v>0</v>
      </c>
      <c r="M62" s="57">
        <f>_xlfn.IFNA(VLOOKUP($H62,Report_Regression!$B:$L,8,FALSE),0)</f>
        <v>0</v>
      </c>
      <c r="N62" s="57">
        <f t="shared" si="7"/>
        <v>0</v>
      </c>
      <c r="O62" s="57" t="str">
        <f>IFERROR(VLOOKUP(H62,Report_Regression!O:Y,11,FALSE),"")</f>
        <v>Base Period</v>
      </c>
      <c r="P62" s="57">
        <f>IFERROR(VLOOKUP($H62,Report_Regression!$O:$Y,9,FALSE),0)</f>
        <v>0</v>
      </c>
      <c r="Q62" s="57">
        <f>IFERROR(VLOOKUP($H62,Report_Regression!$O:$Y,10,FALSE),0)</f>
        <v>0</v>
      </c>
      <c r="R62" s="57">
        <f>IFERROR(VLOOKUP($H62,Report_Regression!$O:$Y,8,FALSE),0)</f>
        <v>0</v>
      </c>
      <c r="S62" s="57">
        <f t="shared" si="8"/>
        <v>0</v>
      </c>
      <c r="T62" s="56">
        <f>_xlfn.IFNA(VLOOKUP($H62,Report_Regression!$O:$Y,6,FALSE),0)</f>
        <v>0</v>
      </c>
      <c r="U62" s="56">
        <f>_xlfn.IFNA(VLOOKUP($H62,Report_Regression!$O:$Y,7,FALSE),0)</f>
        <v>0</v>
      </c>
      <c r="V62" s="56">
        <f>_xlfn.IFNA(VLOOKUP($H62,Report_Regression!$O:$Y,5,FALSE),0)</f>
        <v>0</v>
      </c>
      <c r="W62" s="5">
        <f t="shared" si="9"/>
        <v>1227248.6200000001</v>
      </c>
      <c r="X62" s="64">
        <f t="shared" si="10"/>
        <v>1993849.7569230772</v>
      </c>
      <c r="Y62" s="56">
        <f>SUMIF('Input 3_2019CUST-YTD'!S:S,G62,'Input 3_2019CUST-YTD'!R:R)</f>
        <v>15</v>
      </c>
      <c r="Z62" s="56">
        <f>SUMIF('Input 4_2020CUST-YTD'!S:S,G62,'Input 4_2020CUST-YTD'!R:R)</f>
        <v>12</v>
      </c>
      <c r="AA62" s="56">
        <f>SUMIF('Input 5_2021CUST-YTD'!S:S,G62,'Input 5_2021CUST-YTD'!R:R)</f>
        <v>12</v>
      </c>
      <c r="AB62" s="56">
        <f t="shared" si="28"/>
        <v>12</v>
      </c>
      <c r="AC62" s="56">
        <f t="shared" si="29"/>
        <v>12</v>
      </c>
      <c r="AD62" s="56" t="str">
        <f>VLOOKUP(D62,'Input 15_Fcst Inputs'!A:F,2,FALSE)</f>
        <v>Adjusted</v>
      </c>
      <c r="AE62" s="56">
        <f>SUMIF('Input 3.1_2019VOL-YTD'!R:R,G62,'Input 3.1_2019VOL-YTD'!O:O)</f>
        <v>3102303.72</v>
      </c>
      <c r="AF62" s="56">
        <f>SUMIF('Input 4.1_2020VOL-YTD'!R:R,G62,'Input 4.1_2020VOL-YTD'!O:O)</f>
        <v>2150459.37</v>
      </c>
      <c r="AG62" s="56">
        <f>SUMIF('Input 5.1_2021VOL-YTD'!R:R,G62,'Input 5.1_2021VOL-YTD'!O:O)</f>
        <v>1227248.6200000001</v>
      </c>
      <c r="AH62" s="64">
        <f>IFERROR(IF($AD62="Historical Average",(AVERAGE($AE62:$AG62)/AVERAGE($Y62:$AA62))*AB62,IF($AD62="UPC Growth Rate",((AG62/AA62)*(1+$S62)*AB62),IF($AD62="Modeled UPC",AB62/12*$W62,IF(AD62="Base Period",AG62,IF(AD62="Adjusted",SUMIF('Input 15_Fcst Inputs'!A:A,D62,'Input 15_Fcst Inputs'!F:F),0))))),0)</f>
        <v>1527248.62</v>
      </c>
      <c r="AI62" s="64">
        <f>IFERROR(IF($AD62="Historical Average",(AVERAGE($AE62:$AG62)/AVERAGE($Y62:$AA62))*AC62,IF($AD62="UPC Growth Rate",((AH62/AB62)*(1+$S62)*AC62),IF($AD62="Modeled UPC",AC62/12*$W62,IF(AD62="Base Period",AG62,IF(AD62="Adjusted",SUMIF('Input 15_Fcst Inputs'!A:A,D62,'Input 15_Fcst Inputs'!G:G),0))))),0)</f>
        <v>1527248.62</v>
      </c>
      <c r="AJ62" s="273">
        <f>VLOOKUP($G62,'WP-Peak Month UPC'!$C:$BL,17,FALSE)</f>
        <v>218414.655</v>
      </c>
      <c r="AK62" s="273">
        <f>VLOOKUP($G62,'WP-Peak Month UPC'!$C:$BL,32,FALSE)</f>
        <v>238439.79</v>
      </c>
      <c r="AL62" s="273">
        <f>VLOOKUP($G62,'WP-Peak Month UPC'!$C:$BL,47,FALSE)</f>
        <v>146807.04999999999</v>
      </c>
      <c r="AM62" s="273">
        <f>IF(OR(AD62="Base Period",AD62="Adjusted"),AL62,IF(AD62="Historical Average",AVERAGE(AJ62:AL62),IF(AD62="Modeled UPC",VLOOKUP(H62,Report_Regression!AB:AJ,5,FALSE),IF(AD62="UPC Growth Rate",AL62*(1+VLOOKUP(H62,Report_Regression!AB:AN,13,FALSE))))))</f>
        <v>146807.04999999999</v>
      </c>
      <c r="AN62" s="273">
        <f>IF(OR($AD62="Base Period",$AD62="Adjusted"),$AL62,IF($AD62="Historical Average",AVERAGE($AJ62:$AL62),IF($AD62="Modeled UPC",VLOOKUP($H62,Report_Regression!$AB:$AJ,9,FALSE),IF($AD62="UPC Growth Rate",AM62*(1+VLOOKUP($H62,Report_Regression!$AB:$AN,13,FALSE))))))</f>
        <v>146807.04999999999</v>
      </c>
      <c r="AO62" s="58">
        <f>VLOOKUP(E62,'Input 7_NG Rates'!B:I,7,FALSE)</f>
        <v>5500</v>
      </c>
      <c r="AP62" s="292">
        <f>VLOOKUP(E62,'Input 7_NG Rates'!B:I,8,FALSE)</f>
        <v>6.9769999999999999E-2</v>
      </c>
      <c r="AQ62" s="293">
        <f>VLOOKUP(D62,'Input 14_Ref Table'!C:N,12,FALSE)</f>
        <v>0</v>
      </c>
      <c r="AR62" s="292"/>
      <c r="AS62" s="151">
        <f t="shared" si="21"/>
        <v>66000</v>
      </c>
      <c r="AT62" s="151">
        <f t="shared" si="22"/>
        <v>85625.13621740001</v>
      </c>
      <c r="AU62" s="151">
        <f>SUMIF('Input 13.3_2021 Min Charges'!A:A,G62,'Input 13.3_2021 Min Charges'!O:O)</f>
        <v>0</v>
      </c>
      <c r="AV62" s="151">
        <f t="shared" si="23"/>
        <v>0</v>
      </c>
      <c r="AW62" s="151">
        <v>0</v>
      </c>
      <c r="AX62" s="151">
        <f t="shared" si="11"/>
        <v>151625.13621740002</v>
      </c>
      <c r="AY62" s="533">
        <f>SUMIF('Input 6_2021MARG-YTD'!AN:AN,G62,'Input 6_2021MARG-YTD'!AK:AK)</f>
        <v>151625.13999999998</v>
      </c>
      <c r="AZ62" s="533">
        <f t="shared" si="12"/>
        <v>3.782599960686639E-3</v>
      </c>
      <c r="BA62" s="533"/>
      <c r="BB62" s="533"/>
      <c r="BC62" s="533"/>
      <c r="BD62" s="533"/>
      <c r="BE62" s="533"/>
      <c r="BF62" s="533"/>
      <c r="BH62" s="294"/>
      <c r="BI62" s="294"/>
      <c r="BJ62" s="191" t="s">
        <v>596</v>
      </c>
      <c r="BK62" s="514">
        <v>5.3280000000000001E-2</v>
      </c>
      <c r="BL62" s="190">
        <f t="shared" si="24"/>
        <v>81371.806473600009</v>
      </c>
      <c r="BM62" s="518" cm="1">
        <f t="array" ref="BM62">IFERROR(INDEX('Input 1_GRIP Factors'!$K$5:$K$54,MATCH(1,(BJ62='Input 1_GRIP Factors'!$G$5:$G$54)*(A62='Input 1_GRIP Factors'!$J$5:$J$54),0)),0)</f>
        <v>0.14365914764254772</v>
      </c>
      <c r="BN62" s="190">
        <f t="shared" si="27"/>
        <v>176305.49069469297</v>
      </c>
      <c r="BO62" s="190">
        <f t="shared" si="13"/>
        <v>1618.225762264555</v>
      </c>
      <c r="BP62" s="190">
        <f t="shared" si="14"/>
        <v>177923.71645695751</v>
      </c>
      <c r="BQ62" s="44" cm="1">
        <f t="array" ref="BQ62">IFERROR(INDEX('Input 1_GRIP Factors'!$Y$5:$Y$65,MATCH(1,(BJ62='Input 1_GRIP Factors'!$G$5:$G$65)*(A62='Input 1_GRIP Factors'!$J$5:$J$65),0)),0)*AG62</f>
        <v>9044.8223293999999</v>
      </c>
      <c r="BR62" s="190">
        <f t="shared" si="15"/>
        <v>9054.7866124380525</v>
      </c>
      <c r="BS62" s="44" cm="1">
        <f t="array" ref="BS62">IFERROR(INDEX('Input 1_GRIP Factors'!$AC$5:$AC$65,MATCH(1,(BJ62='Input 1_GRIP Factors'!$G$5:$G$65)*(A62='Input 1_GRIP Factors'!$J$5:$J$65),0)),0)*AG62</f>
        <v>123878.47570280002</v>
      </c>
      <c r="BT62" s="190">
        <f t="shared" si="16"/>
        <v>223498.18649493193</v>
      </c>
      <c r="BU62" s="190">
        <f t="shared" si="25"/>
        <v>562101.82578172744</v>
      </c>
      <c r="BV62" s="190">
        <f t="shared" ca="1" si="17"/>
        <v>198.00312663197275</v>
      </c>
      <c r="BW62" s="190">
        <f t="shared" ca="1" si="26"/>
        <v>2837.9407572305108</v>
      </c>
      <c r="BX62" s="190" cm="1">
        <f t="array" aca="1" ref="BX62" ca="1">IFERROR(INDEX('Input 1_GRIP Factors'!$AC$5:$AC$65,MATCH(1,(BJ62='Input 1_GRIP Factors'!$G$5:$G$65)*(A62='Input 1_GRIP Factors'!$J$5:$J$65),0)),0)*BW62</f>
        <v>286.46174003484776</v>
      </c>
      <c r="BY62" s="190"/>
      <c r="BZ62" s="56">
        <f>SUMIF('Monthly VOL'!G:G,'Master '!G62,'Monthly VOL'!BV:BV)</f>
        <v>127270.71833333334</v>
      </c>
      <c r="CA62" s="519"/>
      <c r="CB62" s="56"/>
      <c r="CC62" s="553" t="s">
        <v>148</v>
      </c>
    </row>
    <row r="63" spans="1:81" s="55" customFormat="1">
      <c r="A63" s="55" t="s">
        <v>17</v>
      </c>
      <c r="B63" s="55" t="s">
        <v>993</v>
      </c>
      <c r="C63" s="55" t="s">
        <v>1245</v>
      </c>
      <c r="D63" s="55" t="s">
        <v>81</v>
      </c>
      <c r="E63" s="55" t="str">
        <f>VLOOKUP(D63,'Input 14_Ref Table'!C:D,2,FALSE)</f>
        <v>CI108</v>
      </c>
      <c r="F63" s="172" t="s">
        <v>1286</v>
      </c>
      <c r="G63" s="59" t="str">
        <f>VLOOKUP(D63,'Input 14_Ref Table'!C:I,7,FALSE)</f>
        <v>CFG - FTS-12</v>
      </c>
      <c r="H63" s="59" t="str">
        <f>VLOOKUP(D63,'Input 14_Ref Table'!C:K,8,FALSE)</f>
        <v>Base Period</v>
      </c>
      <c r="I63" s="55" t="str">
        <f>VLOOKUP(E63,'Input 7_NG Rates'!B:G,6,FALSE)</f>
        <v>FTS12</v>
      </c>
      <c r="J63" s="56" t="str">
        <f>IFERROR(VLOOKUP(H63,Report_Regression!B:L,11,FALSE),"")</f>
        <v>Base Period</v>
      </c>
      <c r="K63" s="57">
        <f>_xlfn.IFNA(VLOOKUP($H63,Report_Regression!$B:$L,9,FALSE),0)</f>
        <v>0</v>
      </c>
      <c r="L63" s="57">
        <f>_xlfn.IFNA(VLOOKUP($H63,Report_Regression!$B:$L,10,FALSE),0)</f>
        <v>0</v>
      </c>
      <c r="M63" s="57">
        <f>_xlfn.IFNA(VLOOKUP($H63,Report_Regression!$B:$L,8,FALSE),0)</f>
        <v>0</v>
      </c>
      <c r="N63" s="57">
        <f t="shared" si="7"/>
        <v>0</v>
      </c>
      <c r="O63" s="57" t="str">
        <f>IFERROR(VLOOKUP(H63,Report_Regression!O:Y,11,FALSE),"")</f>
        <v>Base Period</v>
      </c>
      <c r="P63" s="57">
        <f>IFERROR(VLOOKUP($H63,Report_Regression!$O:$Y,9,FALSE),0)</f>
        <v>0</v>
      </c>
      <c r="Q63" s="57">
        <f>IFERROR(VLOOKUP($H63,Report_Regression!$O:$Y,10,FALSE),0)</f>
        <v>0</v>
      </c>
      <c r="R63" s="57">
        <f>IFERROR(VLOOKUP($H63,Report_Regression!$O:$Y,8,FALSE),0)</f>
        <v>0</v>
      </c>
      <c r="S63" s="57">
        <f t="shared" si="8"/>
        <v>0</v>
      </c>
      <c r="T63" s="56">
        <f>_xlfn.IFNA(VLOOKUP($H63,Report_Regression!$O:$Y,6,FALSE),0)</f>
        <v>0</v>
      </c>
      <c r="U63" s="56">
        <f>_xlfn.IFNA(VLOOKUP($H63,Report_Regression!$O:$Y,7,FALSE),0)</f>
        <v>0</v>
      </c>
      <c r="V63" s="56">
        <f>_xlfn.IFNA(VLOOKUP($H63,Report_Regression!$O:$Y,5,FALSE),0)</f>
        <v>0</v>
      </c>
      <c r="W63" s="5">
        <f t="shared" si="9"/>
        <v>3405406.7120000003</v>
      </c>
      <c r="X63" s="64">
        <f t="shared" si="10"/>
        <v>3435259.5675000008</v>
      </c>
      <c r="Y63" s="56">
        <f>SUMIF('Input 3_2019CUST-YTD'!S:S,G63,'Input 3_2019CUST-YTD'!R:R)</f>
        <v>56</v>
      </c>
      <c r="Z63" s="56">
        <f>SUMIF('Input 4_2020CUST-YTD'!S:S,G63,'Input 4_2020CUST-YTD'!R:R)</f>
        <v>60</v>
      </c>
      <c r="AA63" s="56">
        <f>SUMIF('Input 5_2021CUST-YTD'!S:S,G63,'Input 5_2021CUST-YTD'!R:R)</f>
        <v>60</v>
      </c>
      <c r="AB63" s="56">
        <f t="shared" si="28"/>
        <v>60</v>
      </c>
      <c r="AC63" s="56">
        <f t="shared" si="29"/>
        <v>60</v>
      </c>
      <c r="AD63" s="56" t="str">
        <f>VLOOKUP(D63,'Input 15_Fcst Inputs'!A:F,2,FALSE)</f>
        <v>Base Period</v>
      </c>
      <c r="AE63" s="56">
        <f>SUMIF('Input 3.1_2019VOL-YTD'!R:R,G63,'Input 3.1_2019VOL-YTD'!O:O)</f>
        <v>17456733.789999999</v>
      </c>
      <c r="AF63" s="56">
        <f>SUMIF('Input 4.1_2020VOL-YTD'!R:R,G63,'Input 4.1_2020VOL-YTD'!O:O)</f>
        <v>15900039.640000001</v>
      </c>
      <c r="AG63" s="56">
        <f>SUMIF('Input 5.1_2021VOL-YTD'!R:R,G63,'Input 5.1_2021VOL-YTD'!O:O)</f>
        <v>17027033.560000002</v>
      </c>
      <c r="AH63" s="64">
        <f>IFERROR(IF($AD63="Historical Average",(AVERAGE($AE63:$AG63)/AVERAGE($Y63:$AA63))*AB63,IF($AD63="UPC Growth Rate",((AG63/AA63)*(1+$S63)*AB63),IF($AD63="Modeled UPC",AB63/12*$W63,IF(AD63="Base Period",AG63,IF(AD63="Adjusted",SUMIF('Input 15_Fcst Inputs'!A:A,D63,'Input 15_Fcst Inputs'!F:F),0))))),0)</f>
        <v>17027033.560000002</v>
      </c>
      <c r="AI63" s="64">
        <f>IFERROR(IF($AD63="Historical Average",(AVERAGE($AE63:$AG63)/AVERAGE($Y63:$AA63))*AC63,IF($AD63="UPC Growth Rate",((AH63/AB63)*(1+$S63)*AC63),IF($AD63="Modeled UPC",AC63/12*$W63,IF(AD63="Base Period",AG63,IF(AD63="Adjusted",SUMIF('Input 15_Fcst Inputs'!A:A,D63,'Input 15_Fcst Inputs'!G:G),0))))),0)</f>
        <v>17027033.560000002</v>
      </c>
      <c r="AJ63" s="273">
        <f>VLOOKUP($G63,'WP-Peak Month UPC'!$C:$BL,17,FALSE)</f>
        <v>371183.92499999999</v>
      </c>
      <c r="AK63" s="273">
        <f>VLOOKUP($G63,'WP-Peak Month UPC'!$C:$BL,32,FALSE)</f>
        <v>226326.55800000002</v>
      </c>
      <c r="AL63" s="273">
        <f>VLOOKUP($G63,'WP-Peak Month UPC'!$C:$BL,47,FALSE)</f>
        <v>300696.50800000003</v>
      </c>
      <c r="AM63" s="273">
        <f>IF(OR(AD63="Base Period",AD63="Adjusted"),AL63,IF(AD63="Historical Average",AVERAGE(AJ63:AL63),IF(AD63="Modeled UPC",VLOOKUP(H63,Report_Regression!AB:AJ,5,FALSE),IF(AD63="UPC Growth Rate",AL63*(1+VLOOKUP(H63,Report_Regression!AB:AN,13,FALSE))))))</f>
        <v>300696.50800000003</v>
      </c>
      <c r="AN63" s="273">
        <f>IF(OR($AD63="Base Period",$AD63="Adjusted"),$AL63,IF($AD63="Historical Average",AVERAGE($AJ63:$AL63),IF($AD63="Modeled UPC",VLOOKUP($H63,Report_Regression!$AB:$AJ,9,FALSE),IF($AD63="UPC Growth Rate",AM63*(1+VLOOKUP($H63,Report_Regression!$AB:$AN,13,FALSE))))))</f>
        <v>300696.50800000003</v>
      </c>
      <c r="AO63" s="58">
        <f>VLOOKUP(E63,'Input 7_NG Rates'!B:I,7,FALSE)</f>
        <v>9000</v>
      </c>
      <c r="AP63" s="292">
        <f>VLOOKUP(E63,'Input 7_NG Rates'!B:I,8,FALSE)</f>
        <v>6.123E-2</v>
      </c>
      <c r="AQ63" s="293">
        <f>VLOOKUP(D63,'Input 14_Ref Table'!C:N,12,FALSE)</f>
        <v>0</v>
      </c>
      <c r="AR63" s="292"/>
      <c r="AS63" s="151">
        <f t="shared" si="21"/>
        <v>540000</v>
      </c>
      <c r="AT63" s="151">
        <f t="shared" si="22"/>
        <v>1042565.2648788001</v>
      </c>
      <c r="AU63" s="151">
        <f>SUMIF('Input 13.3_2021 Min Charges'!A:A,G63,'Input 13.3_2021 Min Charges'!O:O)</f>
        <v>0</v>
      </c>
      <c r="AV63" s="151">
        <f t="shared" si="23"/>
        <v>0</v>
      </c>
      <c r="AW63" s="151">
        <v>0</v>
      </c>
      <c r="AX63" s="151">
        <f t="shared" si="11"/>
        <v>1582565.2648788001</v>
      </c>
      <c r="AY63" s="533">
        <f>SUMIF('Input 6_2021MARG-YTD'!AN:AN,G63,'Input 6_2021MARG-YTD'!AK:AK)</f>
        <v>1582565.2499999998</v>
      </c>
      <c r="AZ63" s="533">
        <f t="shared" si="12"/>
        <v>-1.4878800371661782E-2</v>
      </c>
      <c r="BA63" s="533"/>
      <c r="BB63" s="533"/>
      <c r="BC63" s="533"/>
      <c r="BD63" s="533"/>
      <c r="BE63" s="533"/>
      <c r="BF63" s="533"/>
      <c r="BH63" s="294"/>
      <c r="BI63" s="294"/>
      <c r="BJ63" s="191" t="s">
        <v>600</v>
      </c>
      <c r="BK63" s="514">
        <v>3.7080000000000002E-2</v>
      </c>
      <c r="BL63" s="190">
        <f t="shared" si="24"/>
        <v>631362.40440480015</v>
      </c>
      <c r="BM63" s="518" cm="1">
        <f t="array" ref="BM63">IFERROR(INDEX('Input 1_GRIP Factors'!$K$5:$K$54,MATCH(1,(BJ63='Input 1_GRIP Factors'!$G$5:$G$54)*(A63='Input 1_GRIP Factors'!$J$5:$J$54),0)),0)</f>
        <v>3.3261070730913146E-2</v>
      </c>
      <c r="BN63" s="190">
        <f t="shared" si="27"/>
        <v>566337.3675767919</v>
      </c>
      <c r="BO63" s="190">
        <f t="shared" si="13"/>
        <v>5198.1462105050723</v>
      </c>
      <c r="BP63" s="190">
        <f t="shared" si="14"/>
        <v>571535.51378729695</v>
      </c>
      <c r="BQ63" s="44" cm="1">
        <f t="array" ref="BQ63">IFERROR(INDEX('Input 1_GRIP Factors'!$Y$5:$Y$65,MATCH(1,(BJ63='Input 1_GRIP Factors'!$G$5:$G$65)*(A63='Input 1_GRIP Factors'!$J$5:$J$65),0)),0)*AG63</f>
        <v>110845.98847560002</v>
      </c>
      <c r="BR63" s="190">
        <f t="shared" si="15"/>
        <v>110968.10262694309</v>
      </c>
      <c r="BS63" s="44" cm="1">
        <f t="array" ref="BS63">IFERROR(INDEX('Input 1_GRIP Factors'!$AC$5:$AC$65,MATCH(1,(BJ63='Input 1_GRIP Factors'!$G$5:$G$65)*(A63='Input 1_GRIP Factors'!$J$5:$J$65),0)),0)*AG63</f>
        <v>1500081.6566360001</v>
      </c>
      <c r="BT63" s="190">
        <f t="shared" si="16"/>
        <v>2706406.6453061886</v>
      </c>
      <c r="BU63" s="190">
        <f t="shared" si="25"/>
        <v>4971475.5265992284</v>
      </c>
      <c r="BV63" s="190">
        <f t="shared" ca="1" si="17"/>
        <v>2066.6287817599941</v>
      </c>
      <c r="BW63" s="190">
        <f t="shared" ca="1" si="26"/>
        <v>33751.899097827765</v>
      </c>
      <c r="BX63" s="190" cm="1">
        <f t="array" aca="1" ref="BX63" ca="1">IFERROR(INDEX('Input 1_GRIP Factors'!$AC$5:$AC$65,MATCH(1,(BJ63='Input 1_GRIP Factors'!$G$5:$G$65)*(A63='Input 1_GRIP Factors'!$J$5:$J$65),0)),0)*BW63</f>
        <v>2973.542310518626</v>
      </c>
      <c r="BY63" s="190"/>
      <c r="BZ63" s="56">
        <f>SUMIF('Monthly VOL'!G:G,'Master '!G63,'Monthly VOL'!BV:BV)</f>
        <v>1503482.54</v>
      </c>
      <c r="CA63" s="519"/>
      <c r="CB63" s="56"/>
      <c r="CC63" s="553" t="s">
        <v>149</v>
      </c>
    </row>
    <row r="64" spans="1:81" s="55" customFormat="1">
      <c r="A64" s="55" t="s">
        <v>17</v>
      </c>
      <c r="B64" s="55" t="s">
        <v>993</v>
      </c>
      <c r="C64" s="55" t="s">
        <v>1245</v>
      </c>
      <c r="D64" s="55" t="s">
        <v>122</v>
      </c>
      <c r="E64" s="55" t="str">
        <f>VLOOKUP(D64,'Input 14_Ref Table'!C:D,2,FALSE)</f>
        <v>CICID</v>
      </c>
      <c r="F64" s="172" t="s">
        <v>1286</v>
      </c>
      <c r="G64" s="59" t="str">
        <f>VLOOKUP(D64,'Input 14_Ref Table'!C:I,7,FALSE)</f>
        <v>CFG - FTS-13</v>
      </c>
      <c r="H64" s="59" t="str">
        <f>VLOOKUP(D64,'Input 14_Ref Table'!C:K,8,FALSE)</f>
        <v>Base Period</v>
      </c>
      <c r="I64" s="55" t="str">
        <f>VLOOKUP(E64,'Input 7_NG Rates'!B:G,6,FALSE)</f>
        <v>FTS13</v>
      </c>
      <c r="J64" s="56" t="str">
        <f>IFERROR(VLOOKUP(H64,Report_Regression!B:L,11,FALSE),"")</f>
        <v>Base Period</v>
      </c>
      <c r="K64" s="57">
        <f>_xlfn.IFNA(VLOOKUP($H64,Report_Regression!$B:$L,9,FALSE),0)</f>
        <v>0</v>
      </c>
      <c r="L64" s="57">
        <f>_xlfn.IFNA(VLOOKUP($H64,Report_Regression!$B:$L,10,FALSE),0)</f>
        <v>0</v>
      </c>
      <c r="M64" s="57">
        <f>_xlfn.IFNA(VLOOKUP($H64,Report_Regression!$B:$L,8,FALSE),0)</f>
        <v>0</v>
      </c>
      <c r="N64" s="57">
        <f t="shared" si="7"/>
        <v>0</v>
      </c>
      <c r="O64" s="57" t="str">
        <f>IFERROR(VLOOKUP(H64,Report_Regression!O:Y,11,FALSE),"")</f>
        <v>Base Period</v>
      </c>
      <c r="P64" s="57">
        <f>IFERROR(VLOOKUP($H64,Report_Regression!$O:$Y,9,FALSE),0)</f>
        <v>0</v>
      </c>
      <c r="Q64" s="57">
        <f>IFERROR(VLOOKUP($H64,Report_Regression!$O:$Y,10,FALSE),0)</f>
        <v>0</v>
      </c>
      <c r="R64" s="57">
        <f>IFERROR(VLOOKUP($H64,Report_Regression!$O:$Y,8,FALSE),0)</f>
        <v>0</v>
      </c>
      <c r="S64" s="57">
        <f t="shared" si="8"/>
        <v>0</v>
      </c>
      <c r="T64" s="56">
        <f>_xlfn.IFNA(VLOOKUP($H64,Report_Regression!$O:$Y,6,FALSE),0)</f>
        <v>0</v>
      </c>
      <c r="U64" s="56">
        <f>_xlfn.IFNA(VLOOKUP($H64,Report_Regression!$O:$Y,7,FALSE),0)</f>
        <v>0</v>
      </c>
      <c r="V64" s="56">
        <f>_xlfn.IFNA(VLOOKUP($H64,Report_Regression!$O:$Y,5,FALSE),0)</f>
        <v>0</v>
      </c>
      <c r="W64" s="5">
        <f t="shared" si="9"/>
        <v>0</v>
      </c>
      <c r="X64" s="64">
        <f t="shared" si="10"/>
        <v>0</v>
      </c>
      <c r="Y64" s="56">
        <f>SUMIF('Input 3_2019CUST-YTD'!S:S,G64,'Input 3_2019CUST-YTD'!R:R)</f>
        <v>0</v>
      </c>
      <c r="Z64" s="56">
        <f>SUMIF('Input 4_2020CUST-YTD'!S:S,G64,'Input 4_2020CUST-YTD'!R:R)</f>
        <v>0</v>
      </c>
      <c r="AA64" s="56">
        <f>SUMIF('Input 5_2021CUST-YTD'!S:S,G64,'Input 5_2021CUST-YTD'!R:R)</f>
        <v>0</v>
      </c>
      <c r="AB64" s="56">
        <f t="shared" si="28"/>
        <v>0</v>
      </c>
      <c r="AC64" s="56">
        <f t="shared" si="29"/>
        <v>0</v>
      </c>
      <c r="AD64" s="56" t="str">
        <f>VLOOKUP(D64,'Input 15_Fcst Inputs'!A:F,2,FALSE)</f>
        <v>Base Period</v>
      </c>
      <c r="AE64" s="56">
        <f>SUMIF('Input 3.1_2019VOL-YTD'!R:R,G64,'Input 3.1_2019VOL-YTD'!O:O)</f>
        <v>0</v>
      </c>
      <c r="AF64" s="56">
        <f>SUMIF('Input 4.1_2020VOL-YTD'!R:R,G64,'Input 4.1_2020VOL-YTD'!O:O)</f>
        <v>0</v>
      </c>
      <c r="AG64" s="56">
        <f>SUMIF('Input 5.1_2021VOL-YTD'!R:R,G64,'Input 5.1_2021VOL-YTD'!O:O)</f>
        <v>0</v>
      </c>
      <c r="AH64" s="64">
        <f>IFERROR(IF($AD64="Historical Average",(AVERAGE($AE64:$AG64)/AVERAGE($Y64:$AA64))*AB64,IF($AD64="UPC Growth Rate",((AG64/AA64)*(1+$S64)*AB64),IF($AD64="Modeled UPC",AB64/12*$W64,IF(AD64="Base Period",AG64,IF(AD64="Adjusted",SUMIF('Input 15_Fcst Inputs'!A:A,D64,'Input 15_Fcst Inputs'!F:F),0))))),0)</f>
        <v>0</v>
      </c>
      <c r="AI64" s="64">
        <f>IFERROR(IF($AD64="Historical Average",(AVERAGE($AE64:$AG64)/AVERAGE($Y64:$AA64))*AC64,IF($AD64="UPC Growth Rate",((AH64/AB64)*(1+$S64)*AC64),IF($AD64="Modeled UPC",AC64/12*$W64,IF(AD64="Base Period",AG64,IF(AD64="Adjusted",SUMIF('Input 15_Fcst Inputs'!A:A,D64,'Input 15_Fcst Inputs'!G:G),0))))),0)</f>
        <v>0</v>
      </c>
      <c r="AJ64" s="273">
        <f>VLOOKUP($G64,'WP-Peak Month UPC'!$C:$BL,17,FALSE)</f>
        <v>0</v>
      </c>
      <c r="AK64" s="273">
        <f>VLOOKUP($G64,'WP-Peak Month UPC'!$C:$BL,32,FALSE)</f>
        <v>0</v>
      </c>
      <c r="AL64" s="273">
        <f>VLOOKUP($G64,'WP-Peak Month UPC'!$C:$BL,47,FALSE)</f>
        <v>0</v>
      </c>
      <c r="AM64" s="273">
        <f>IF(OR(AD64="Base Period",AD64="Adjusted"),AL64,IF(AD64="Historical Average",AVERAGE(AJ64:AL64),IF(AD64="Modeled UPC",VLOOKUP(H64,Report_Regression!AB:AJ,5,FALSE),IF(AD64="UPC Growth Rate",AL64*(1+VLOOKUP(H64,Report_Regression!AB:AN,13,FALSE))))))</f>
        <v>0</v>
      </c>
      <c r="AN64" s="273">
        <f>IF(OR($AD64="Base Period",$AD64="Adjusted"),$AL64,IF($AD64="Historical Average",AVERAGE($AJ64:$AL64),IF($AD64="Modeled UPC",VLOOKUP($H64,Report_Regression!$AB:$AJ,9,FALSE),IF($AD64="UPC Growth Rate",AM64*(1+VLOOKUP($H64,Report_Regression!$AB:$AN,13,FALSE))))))</f>
        <v>0</v>
      </c>
      <c r="AO64" s="58">
        <f>VLOOKUP(E64,'Input 7_NG Rates'!B:I,7,FALSE)</f>
        <v>16692.25</v>
      </c>
      <c r="AP64" s="292">
        <f>VLOOKUP(E64,'Input 7_NG Rates'!B:I,8,FALSE)</f>
        <v>0</v>
      </c>
      <c r="AQ64" s="293">
        <f>VLOOKUP(D64,'Input 14_Ref Table'!C:N,12,FALSE)</f>
        <v>0</v>
      </c>
      <c r="AR64" s="292"/>
      <c r="AS64" s="151">
        <f t="shared" si="21"/>
        <v>0</v>
      </c>
      <c r="AT64" s="151">
        <f t="shared" si="22"/>
        <v>0</v>
      </c>
      <c r="AU64" s="151">
        <f>SUMIF('Input 13.3_2021 Min Charges'!A:A,G64,'Input 13.3_2021 Min Charges'!O:O)</f>
        <v>0</v>
      </c>
      <c r="AV64" s="151">
        <f t="shared" si="23"/>
        <v>0</v>
      </c>
      <c r="AW64" s="151">
        <v>0</v>
      </c>
      <c r="AX64" s="151">
        <f t="shared" si="11"/>
        <v>0</v>
      </c>
      <c r="AY64" s="533">
        <f>SUMIF('Input 6_2021MARG-YTD'!AN:AN,G64,'Input 6_2021MARG-YTD'!AK:AK)</f>
        <v>0</v>
      </c>
      <c r="AZ64" s="533">
        <f t="shared" si="12"/>
        <v>0</v>
      </c>
      <c r="BA64" s="533"/>
      <c r="BB64" s="533"/>
      <c r="BC64" s="533"/>
      <c r="BD64" s="533"/>
      <c r="BE64" s="533"/>
      <c r="BF64" s="533"/>
      <c r="BH64" s="294"/>
      <c r="BI64" s="294"/>
      <c r="BJ64" s="191" t="s">
        <v>563</v>
      </c>
      <c r="BK64" s="514">
        <v>0</v>
      </c>
      <c r="BL64" s="190">
        <f t="shared" si="24"/>
        <v>0</v>
      </c>
      <c r="BM64" s="518" cm="1">
        <f t="array" ref="BM64">IFERROR(INDEX('Input 1_GRIP Factors'!$K$5:$K$54,MATCH(1,(BJ64='Input 1_GRIP Factors'!$G$5:$G$54)*(A64='Input 1_GRIP Factors'!$J$5:$J$54),0)),0)</f>
        <v>0</v>
      </c>
      <c r="BN64" s="190">
        <f t="shared" si="27"/>
        <v>0</v>
      </c>
      <c r="BO64" s="190">
        <f t="shared" si="13"/>
        <v>0</v>
      </c>
      <c r="BP64" s="190">
        <f t="shared" si="14"/>
        <v>0</v>
      </c>
      <c r="BQ64" s="44" cm="1">
        <f t="array" ref="BQ64">IFERROR(INDEX('Input 1_GRIP Factors'!$Y$5:$Y$65,MATCH(1,(BJ64='Input 1_GRIP Factors'!$G$5:$G$65)*(A64='Input 1_GRIP Factors'!$J$5:$J$65),0)),0)*AG64</f>
        <v>0</v>
      </c>
      <c r="BR64" s="190">
        <f t="shared" si="15"/>
        <v>0</v>
      </c>
      <c r="BS64" s="44" cm="1">
        <f t="array" ref="BS64">IFERROR(INDEX('Input 1_GRIP Factors'!$AC$5:$AC$65,MATCH(1,(BJ64='Input 1_GRIP Factors'!$G$5:$G$65)*(A64='Input 1_GRIP Factors'!$J$5:$J$65),0)),0)*AG64</f>
        <v>0</v>
      </c>
      <c r="BT64" s="190">
        <f t="shared" si="16"/>
        <v>0</v>
      </c>
      <c r="BU64" s="190">
        <f t="shared" si="25"/>
        <v>0</v>
      </c>
      <c r="BV64" s="190">
        <f t="shared" ca="1" si="17"/>
        <v>0</v>
      </c>
      <c r="BW64" s="190">
        <f t="shared" ca="1" si="26"/>
        <v>0</v>
      </c>
      <c r="BX64" s="190" cm="1">
        <f t="array" aca="1" ref="BX64" ca="1">IFERROR(INDEX('Input 1_GRIP Factors'!$AC$5:$AC$65,MATCH(1,(BJ64='Input 1_GRIP Factors'!$G$5:$G$65)*(A64='Input 1_GRIP Factors'!$J$5:$J$65),0)),0)*BW64</f>
        <v>0</v>
      </c>
      <c r="BY64" s="190"/>
      <c r="BZ64" s="56">
        <f>SUMIF('Monthly VOL'!G:G,'Master '!G64,'Monthly VOL'!BV:BV)</f>
        <v>0</v>
      </c>
      <c r="CA64" s="519"/>
      <c r="CB64" s="56"/>
      <c r="CC64" s="553" t="s">
        <v>975</v>
      </c>
    </row>
    <row r="65" spans="1:81" s="55" customFormat="1">
      <c r="A65" s="55" t="s">
        <v>17</v>
      </c>
      <c r="B65" s="55" t="s">
        <v>993</v>
      </c>
      <c r="C65" s="55" t="s">
        <v>1245</v>
      </c>
      <c r="D65" s="55" t="s">
        <v>83</v>
      </c>
      <c r="E65" s="55" t="str">
        <f>VLOOKUP(D65,'Input 14_Ref Table'!C:D,2,FALSE)</f>
        <v>CCNGV</v>
      </c>
      <c r="F65" s="172" t="s">
        <v>1286</v>
      </c>
      <c r="G65" s="59" t="str">
        <f>VLOOKUP(D65,'Input 14_Ref Table'!C:I,7,FALSE)</f>
        <v>CFG - FTS-NGV</v>
      </c>
      <c r="H65" s="59" t="str">
        <f>VLOOKUP(D65,'Input 14_Ref Table'!C:K,8,FALSE)</f>
        <v>Base Period</v>
      </c>
      <c r="I65" s="55" t="s">
        <v>1439</v>
      </c>
      <c r="J65" s="56" t="str">
        <f>IFERROR(VLOOKUP(H65,Report_Regression!B:L,11,FALSE),"")</f>
        <v>Base Period</v>
      </c>
      <c r="K65" s="57">
        <f>_xlfn.IFNA(VLOOKUP($H65,Report_Regression!$B:$L,9,FALSE),0)</f>
        <v>0</v>
      </c>
      <c r="L65" s="57">
        <f>_xlfn.IFNA(VLOOKUP($H65,Report_Regression!$B:$L,10,FALSE),0)</f>
        <v>0</v>
      </c>
      <c r="M65" s="57">
        <f>_xlfn.IFNA(VLOOKUP($H65,Report_Regression!$B:$L,8,FALSE),0)</f>
        <v>0</v>
      </c>
      <c r="N65" s="57">
        <f t="shared" si="7"/>
        <v>0</v>
      </c>
      <c r="O65" s="57" t="str">
        <f>IFERROR(VLOOKUP(H65,Report_Regression!O:Y,11,FALSE),"")</f>
        <v>Base Period</v>
      </c>
      <c r="P65" s="57">
        <f>IFERROR(VLOOKUP($H65,Report_Regression!$O:$Y,9,FALSE),0)</f>
        <v>0</v>
      </c>
      <c r="Q65" s="57">
        <f>IFERROR(VLOOKUP($H65,Report_Regression!$O:$Y,10,FALSE),0)</f>
        <v>0</v>
      </c>
      <c r="R65" s="57">
        <f>IFERROR(VLOOKUP($H65,Report_Regression!$O:$Y,8,FALSE),0)</f>
        <v>0</v>
      </c>
      <c r="S65" s="57">
        <f t="shared" si="8"/>
        <v>0</v>
      </c>
      <c r="T65" s="56">
        <f>_xlfn.IFNA(VLOOKUP($H65,Report_Regression!$O:$Y,6,FALSE),0)</f>
        <v>0</v>
      </c>
      <c r="U65" s="56">
        <f>_xlfn.IFNA(VLOOKUP($H65,Report_Regression!$O:$Y,7,FALSE),0)</f>
        <v>0</v>
      </c>
      <c r="V65" s="56">
        <f>_xlfn.IFNA(VLOOKUP($H65,Report_Regression!$O:$Y,5,FALSE),0)</f>
        <v>0</v>
      </c>
      <c r="W65" s="5">
        <f t="shared" si="9"/>
        <v>887806.67999999982</v>
      </c>
      <c r="X65" s="64">
        <f t="shared" si="10"/>
        <v>1512541.5636363635</v>
      </c>
      <c r="Y65" s="56">
        <f>SUMIF('Input 3_2019CUST-YTD'!S:S,G65,'Input 3_2019CUST-YTD'!R:R)</f>
        <v>9</v>
      </c>
      <c r="Z65" s="56">
        <f>SUMIF('Input 4_2020CUST-YTD'!S:S,G65,'Input 4_2020CUST-YTD'!R:R)</f>
        <v>12</v>
      </c>
      <c r="AA65" s="56">
        <f>SUMIF('Input 5_2021CUST-YTD'!S:S,G65,'Input 5_2021CUST-YTD'!R:R)</f>
        <v>12</v>
      </c>
      <c r="AB65" s="56">
        <f t="shared" si="28"/>
        <v>12</v>
      </c>
      <c r="AC65" s="56">
        <f t="shared" si="29"/>
        <v>12</v>
      </c>
      <c r="AD65" s="56" t="str">
        <f>VLOOKUP(D65,'Input 15_Fcst Inputs'!A:F,2,FALSE)</f>
        <v>Adjusted</v>
      </c>
      <c r="AE65" s="56">
        <f>SUMIF('Input 3.1_2019VOL-YTD'!R:R,G65,'Input 3.1_2019VOL-YTD'!O:O)</f>
        <v>1645841.3499999999</v>
      </c>
      <c r="AF65" s="56">
        <f>SUMIF('Input 4.1_2020VOL-YTD'!R:R,G65,'Input 4.1_2020VOL-YTD'!O:O)</f>
        <v>1625841.2699999998</v>
      </c>
      <c r="AG65" s="56">
        <f>SUMIF('Input 5.1_2021VOL-YTD'!R:R,G65,'Input 5.1_2021VOL-YTD'!O:O)</f>
        <v>887806.67999999982</v>
      </c>
      <c r="AH65" s="64">
        <f>IFERROR(IF($AD65="Historical Average",(AVERAGE($AE65:$AG65)/AVERAGE($Y65:$AA65))*AB65,IF($AD65="UPC Growth Rate",((AG65/AA65)*(1+$S65)*AB65),IF($AD65="Modeled UPC",AB65/12*$W65,IF(AD65="Base Period",AG65,IF(AD65="Adjusted",SUMIF('Input 15_Fcst Inputs'!A:A,D65,'Input 15_Fcst Inputs'!F:F),0))))),0)</f>
        <v>100131</v>
      </c>
      <c r="AI65" s="64">
        <f>IFERROR(IF($AD65="Historical Average",(AVERAGE($AE65:$AG65)/AVERAGE($Y65:$AA65))*AC65,IF($AD65="UPC Growth Rate",((AH65/AB65)*(1+$S65)*AC65),IF($AD65="Modeled UPC",AC65/12*$W65,IF(AD65="Base Period",AG65,IF(AD65="Adjusted",SUMIF('Input 15_Fcst Inputs'!A:A,D65,'Input 15_Fcst Inputs'!G:G),0))))),0)</f>
        <v>100131</v>
      </c>
      <c r="AJ65" s="273">
        <f>VLOOKUP($G65,'WP-Peak Month UPC'!$C:$BL,17,FALSE)</f>
        <v>0</v>
      </c>
      <c r="AK65" s="273">
        <f>VLOOKUP($G65,'WP-Peak Month UPC'!$C:$BL,32,FALSE)</f>
        <v>153010.59</v>
      </c>
      <c r="AL65" s="273">
        <f>VLOOKUP($G65,'WP-Peak Month UPC'!$C:$BL,47,FALSE)</f>
        <v>109372.81</v>
      </c>
      <c r="AM65" s="273">
        <f>IF(OR(AD65="Base Period",AD65="Adjusted"),AL65,IF(AD65="Historical Average",AVERAGE(AJ65:AL65),IF(AD65="Modeled UPC",VLOOKUP(H65,Report_Regression!AB:AJ,5,FALSE),IF(AD65="UPC Growth Rate",AL65*(1+VLOOKUP(H65,Report_Regression!AB:AN,13,FALSE))))))</f>
        <v>109372.81</v>
      </c>
      <c r="AN65" s="273">
        <f>IF(OR($AD65="Base Period",$AD65="Adjusted"),$AL65,IF($AD65="Historical Average",AVERAGE($AJ65:$AL65),IF($AD65="Modeled UPC",VLOOKUP($H65,Report_Regression!$AB:$AJ,9,FALSE),IF($AD65="UPC Growth Rate",AM65*(1+VLOOKUP($H65,Report_Regression!$AB:$AN,13,FALSE))))))</f>
        <v>109372.81</v>
      </c>
      <c r="AO65" s="58">
        <f>VLOOKUP(E65,'Input 7_NG Rates'!B:I,7,FALSE)</f>
        <v>100</v>
      </c>
      <c r="AP65" s="292">
        <f>VLOOKUP(E65,'Input 7_NG Rates'!B:I,8,FALSE)</f>
        <v>0.17111000000000001</v>
      </c>
      <c r="AQ65" s="293">
        <f>VLOOKUP(D65,'Input 14_Ref Table'!C:N,12,FALSE)</f>
        <v>0</v>
      </c>
      <c r="AR65" s="292"/>
      <c r="AS65" s="151">
        <f t="shared" si="21"/>
        <v>1200</v>
      </c>
      <c r="AT65" s="151">
        <f t="shared" si="22"/>
        <v>151912.60101479999</v>
      </c>
      <c r="AU65" s="151">
        <f>SUMIF('Input 13.3_2021 Min Charges'!A:A,G65,'Input 13.3_2021 Min Charges'!O:O)</f>
        <v>0</v>
      </c>
      <c r="AV65" s="151">
        <f t="shared" si="23"/>
        <v>0</v>
      </c>
      <c r="AW65" s="151">
        <v>0</v>
      </c>
      <c r="AX65" s="151">
        <f t="shared" si="11"/>
        <v>153112.60101479999</v>
      </c>
      <c r="AY65" s="533">
        <f>SUMIF('Input 6_2021MARG-YTD'!AN:AN,G65,'Input 6_2021MARG-YTD'!AK:AK)</f>
        <v>153112.80000000002</v>
      </c>
      <c r="AZ65" s="533">
        <f t="shared" si="12"/>
        <v>0.19898520002607256</v>
      </c>
      <c r="BA65" s="533"/>
      <c r="BB65" s="533"/>
      <c r="BC65" s="533"/>
      <c r="BD65" s="533"/>
      <c r="BE65" s="533"/>
      <c r="BF65" s="533"/>
      <c r="BH65" s="294"/>
      <c r="BI65" s="294"/>
      <c r="BJ65" s="191" t="s">
        <v>474</v>
      </c>
      <c r="BK65" s="514">
        <v>5.3290000000000004E-2</v>
      </c>
      <c r="BL65" s="190">
        <f t="shared" si="24"/>
        <v>5335.98099</v>
      </c>
      <c r="BM65" s="518" cm="1">
        <f t="array" ref="BM65">IFERROR(INDEX('Input 1_GRIP Factors'!$K$5:$K$54,MATCH(1,(BJ65='Input 1_GRIP Factors'!$G$5:$G$54)*(A65='Input 1_GRIP Factors'!$J$5:$J$54),0)),0)</f>
        <v>0.14365482126169521</v>
      </c>
      <c r="BN65" s="190">
        <f t="shared" si="27"/>
        <v>127537.70993033901</v>
      </c>
      <c r="BO65" s="190">
        <f t="shared" si="13"/>
        <v>1170.6090777790564</v>
      </c>
      <c r="BP65" s="190">
        <f t="shared" si="14"/>
        <v>128708.31900811807</v>
      </c>
      <c r="BQ65" s="44" cm="1">
        <f t="array" ref="BQ65">IFERROR(INDEX('Input 1_GRIP Factors'!$Y$5:$Y$65,MATCH(1,(BJ65='Input 1_GRIP Factors'!$G$5:$G$65)*(A65='Input 1_GRIP Factors'!$J$5:$J$65),0)),0)*AG65</f>
        <v>0</v>
      </c>
      <c r="BR65" s="190">
        <f t="shared" si="15"/>
        <v>0</v>
      </c>
      <c r="BS65" s="44" cm="1">
        <f t="array" ref="BS65">IFERROR(INDEX('Input 1_GRIP Factors'!$AC$5:$AC$65,MATCH(1,(BJ65='Input 1_GRIP Factors'!$G$5:$G$65)*(A65='Input 1_GRIP Factors'!$J$5:$J$65),0)),0)*AG65</f>
        <v>0</v>
      </c>
      <c r="BT65" s="190">
        <f t="shared" si="16"/>
        <v>0</v>
      </c>
      <c r="BU65" s="190">
        <f t="shared" si="25"/>
        <v>281820.92002291803</v>
      </c>
      <c r="BV65" s="190">
        <f t="shared" ca="1" si="17"/>
        <v>199.94556630911111</v>
      </c>
      <c r="BW65" s="190">
        <f t="shared" ca="1" si="26"/>
        <v>1168.5206376547899</v>
      </c>
      <c r="BX65" s="190" cm="1">
        <f t="array" aca="1" ref="BX65" ca="1">IFERROR(INDEX('Input 1_GRIP Factors'!$AC$5:$AC$65,MATCH(1,(BJ65='Input 1_GRIP Factors'!$G$5:$G$65)*(A65='Input 1_GRIP Factors'!$J$5:$J$65),0)),0)*BW65</f>
        <v>0</v>
      </c>
      <c r="BY65" s="190"/>
      <c r="BZ65" s="56">
        <f>SUMIF('Monthly VOL'!G:G,'Master '!G65,'Monthly VOL'!BV:BV)</f>
        <v>8344.25</v>
      </c>
      <c r="CA65" s="519"/>
      <c r="CB65" s="56"/>
      <c r="CC65" s="553" t="s">
        <v>110</v>
      </c>
    </row>
    <row r="66" spans="1:81" ht="13.5" thickBot="1">
      <c r="A66" s="186" t="s">
        <v>9</v>
      </c>
      <c r="B66" s="188" t="s">
        <v>1246</v>
      </c>
      <c r="C66" s="188" t="s">
        <v>1246</v>
      </c>
      <c r="D66" s="188" t="s">
        <v>1246</v>
      </c>
      <c r="E66" s="188" t="s">
        <v>1246</v>
      </c>
      <c r="F66" s="188" t="s">
        <v>1246</v>
      </c>
      <c r="G66" s="188" t="s">
        <v>1246</v>
      </c>
      <c r="H66" s="188" t="s">
        <v>1246</v>
      </c>
      <c r="I66" s="188" t="s">
        <v>1246</v>
      </c>
      <c r="J66" s="188" t="s">
        <v>1246</v>
      </c>
      <c r="K66" s="188" t="s">
        <v>1246</v>
      </c>
      <c r="L66" s="188" t="s">
        <v>1246</v>
      </c>
      <c r="M66" s="188" t="s">
        <v>1246</v>
      </c>
      <c r="N66" s="188" t="s">
        <v>1246</v>
      </c>
      <c r="O66" s="188" t="s">
        <v>1246</v>
      </c>
      <c r="P66" s="188" t="s">
        <v>1246</v>
      </c>
      <c r="Q66" s="188" t="s">
        <v>1246</v>
      </c>
      <c r="R66" s="188" t="s">
        <v>1246</v>
      </c>
      <c r="S66" s="188" t="s">
        <v>1246</v>
      </c>
      <c r="T66" s="188" t="s">
        <v>1246</v>
      </c>
      <c r="U66" s="188" t="s">
        <v>1246</v>
      </c>
      <c r="V66" s="188" t="s">
        <v>1246</v>
      </c>
      <c r="W66" s="188" t="s">
        <v>1246</v>
      </c>
      <c r="X66" s="188" t="s">
        <v>1246</v>
      </c>
      <c r="Y66" s="25">
        <f>SUBTOTAL(9,Y2:Y65)</f>
        <v>994082</v>
      </c>
      <c r="Z66" s="25">
        <f>SUBTOTAL(9,Z2:Z65)</f>
        <v>1032280</v>
      </c>
      <c r="AA66" s="25">
        <f>SUBTOTAL(9,AA2:AA65)</f>
        <v>1076075.5</v>
      </c>
      <c r="AB66" s="25">
        <f>SUBTOTAL(9,AB2:AB65)</f>
        <v>1103862.6046284342</v>
      </c>
      <c r="AC66" s="25">
        <f>SUBTOTAL(9,AC2:AC65)</f>
        <v>1132612.5940570179</v>
      </c>
      <c r="AD66" s="188" t="s">
        <v>1246</v>
      </c>
      <c r="AE66" s="25">
        <f t="shared" ref="AE66:AN66" si="30">SUBTOTAL(9,AE2:AE65)</f>
        <v>131559265.03000033</v>
      </c>
      <c r="AF66" s="25">
        <f t="shared" si="30"/>
        <v>124747916.6000004</v>
      </c>
      <c r="AG66" s="25">
        <f t="shared" si="30"/>
        <v>132571478.04000016</v>
      </c>
      <c r="AH66" s="25">
        <f t="shared" si="30"/>
        <v>131501697.64613628</v>
      </c>
      <c r="AI66" s="25">
        <f t="shared" si="30"/>
        <v>132344253.78597832</v>
      </c>
      <c r="AJ66" s="283">
        <f t="shared" si="30"/>
        <v>868369.99324988527</v>
      </c>
      <c r="AK66" s="283">
        <f t="shared" si="30"/>
        <v>901291.16903116845</v>
      </c>
      <c r="AL66" s="283">
        <f t="shared" si="30"/>
        <v>901047.1872671321</v>
      </c>
      <c r="AM66" s="283">
        <f t="shared" si="30"/>
        <v>895421.89706188417</v>
      </c>
      <c r="AN66" s="283">
        <f t="shared" si="30"/>
        <v>895184.01461737161</v>
      </c>
      <c r="AO66" s="188" t="s">
        <v>1246</v>
      </c>
      <c r="AP66" s="188" t="s">
        <v>1246</v>
      </c>
      <c r="AQ66" s="188" t="s">
        <v>1246</v>
      </c>
      <c r="AR66" s="188" t="s">
        <v>1246</v>
      </c>
      <c r="AS66" s="25">
        <f t="shared" ref="AS66:BZ66" si="31">SUBTOTAL(9,AS2:AS65)</f>
        <v>19956897.16</v>
      </c>
      <c r="AT66" s="25">
        <f t="shared" si="31"/>
        <v>37222360.564462483</v>
      </c>
      <c r="AU66" s="25">
        <f t="shared" si="31"/>
        <v>787513.8899999999</v>
      </c>
      <c r="AV66" s="25">
        <f t="shared" si="31"/>
        <v>0</v>
      </c>
      <c r="AW66" s="25">
        <f t="shared" si="31"/>
        <v>165360.5</v>
      </c>
      <c r="AX66" s="25">
        <f t="shared" si="31"/>
        <v>58132132.114462495</v>
      </c>
      <c r="AY66" s="534">
        <f t="shared" si="31"/>
        <v>58097127.229999885</v>
      </c>
      <c r="AZ66" s="534">
        <f t="shared" si="31"/>
        <v>-35004.884462606249</v>
      </c>
      <c r="BA66" s="534">
        <f t="shared" si="31"/>
        <v>0</v>
      </c>
      <c r="BB66" s="534">
        <f t="shared" si="31"/>
        <v>0</v>
      </c>
      <c r="BC66" s="534">
        <f t="shared" si="31"/>
        <v>0</v>
      </c>
      <c r="BD66" s="534">
        <f t="shared" si="31"/>
        <v>0</v>
      </c>
      <c r="BE66" s="534">
        <f t="shared" si="31"/>
        <v>0</v>
      </c>
      <c r="BF66" s="534">
        <f t="shared" si="31"/>
        <v>0</v>
      </c>
      <c r="BG66" s="25">
        <f t="shared" si="31"/>
        <v>0</v>
      </c>
      <c r="BH66" s="25">
        <f t="shared" si="31"/>
        <v>0</v>
      </c>
      <c r="BI66" s="25">
        <f t="shared" si="31"/>
        <v>0</v>
      </c>
      <c r="BJ66" s="515" t="s">
        <v>1246</v>
      </c>
      <c r="BK66" s="515">
        <f t="shared" si="31"/>
        <v>10.561959999999999</v>
      </c>
      <c r="BL66" s="515">
        <f t="shared" si="31"/>
        <v>19755935.239785511</v>
      </c>
      <c r="BM66" s="515"/>
      <c r="BN66" s="515">
        <f t="shared" si="31"/>
        <v>14832272.652597988</v>
      </c>
      <c r="BO66" s="515">
        <f t="shared" si="31"/>
        <v>2161789.4274020041</v>
      </c>
      <c r="BP66" s="515">
        <f t="shared" si="31"/>
        <v>16994062.080000002</v>
      </c>
      <c r="BQ66" s="531">
        <f t="shared" si="31"/>
        <v>4057342.0752461152</v>
      </c>
      <c r="BR66" s="531">
        <f t="shared" si="31"/>
        <v>4057963.8999999994</v>
      </c>
      <c r="BS66" s="545">
        <f t="shared" si="31"/>
        <v>40980629.396638475</v>
      </c>
      <c r="BT66" s="545">
        <f t="shared" si="31"/>
        <v>45117097.000000015</v>
      </c>
      <c r="BU66" s="515">
        <f t="shared" si="31"/>
        <v>124301255.09446253</v>
      </c>
      <c r="BV66" s="515">
        <f t="shared" ca="1" si="31"/>
        <v>80973.140000000029</v>
      </c>
      <c r="BW66" s="543">
        <f t="shared" ca="1" si="31"/>
        <v>272743.01462950173</v>
      </c>
      <c r="BX66" s="543">
        <f t="shared" ca="1" si="31"/>
        <v>95482.291852906899</v>
      </c>
      <c r="BY66" s="543">
        <f t="shared" si="31"/>
        <v>0</v>
      </c>
      <c r="BZ66" s="543">
        <f t="shared" si="31"/>
        <v>12616159.67705977</v>
      </c>
      <c r="CC66" s="555" t="s">
        <v>1246</v>
      </c>
    </row>
    <row r="67" spans="1:81">
      <c r="A67" s="186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56"/>
      <c r="AE67" s="187"/>
      <c r="AF67" s="187"/>
      <c r="AG67" s="187"/>
      <c r="AH67" s="187"/>
      <c r="AI67" s="187"/>
      <c r="AJ67" s="284"/>
      <c r="AK67" s="284"/>
      <c r="AL67" s="284"/>
      <c r="AM67" s="284"/>
      <c r="AN67" s="284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549"/>
      <c r="AZ67" s="549"/>
      <c r="BA67" s="535"/>
      <c r="BB67" s="535"/>
      <c r="BC67" s="535"/>
      <c r="BD67" s="535"/>
      <c r="BE67" s="535"/>
      <c r="BF67" s="535"/>
      <c r="BG67" s="187"/>
      <c r="BH67" s="187"/>
      <c r="BI67" s="187"/>
      <c r="BJ67" s="516"/>
      <c r="BK67" s="516"/>
      <c r="BL67" s="516"/>
      <c r="BM67" s="516"/>
      <c r="BN67" s="494"/>
      <c r="BO67" s="494"/>
      <c r="BP67" s="494"/>
      <c r="BQ67" s="47"/>
      <c r="BR67" s="494"/>
      <c r="BT67" s="494"/>
      <c r="BU67" s="494"/>
      <c r="BW67" s="494"/>
      <c r="BX67" s="494"/>
      <c r="BY67" s="494"/>
    </row>
    <row r="68" spans="1:81">
      <c r="X68" s="176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285"/>
      <c r="AK68" s="285"/>
      <c r="AL68" s="285"/>
      <c r="AM68" s="285"/>
      <c r="AN68" s="285"/>
      <c r="AO68" s="97"/>
      <c r="AP68" s="97"/>
      <c r="AQ68" s="148"/>
      <c r="AR68" s="97"/>
      <c r="AS68" s="97"/>
      <c r="AT68" s="97"/>
      <c r="AU68" s="97"/>
      <c r="AV68" s="97"/>
      <c r="AW68" s="97"/>
      <c r="AX68" s="97"/>
      <c r="AY68" s="549"/>
      <c r="AZ68" s="549"/>
      <c r="BA68" s="536"/>
      <c r="BB68" s="536"/>
      <c r="BC68" s="536"/>
      <c r="BD68" s="536"/>
      <c r="BE68" s="536"/>
      <c r="BF68" s="536"/>
      <c r="BG68" s="61"/>
      <c r="BH68" s="97"/>
      <c r="BI68" s="97"/>
      <c r="BN68" s="494"/>
      <c r="BO68" s="494"/>
      <c r="BP68" s="494"/>
      <c r="BQ68" s="47"/>
      <c r="BR68" s="494"/>
      <c r="BT68" s="494"/>
      <c r="BU68" s="494"/>
      <c r="BW68" s="494"/>
      <c r="BX68" s="494"/>
      <c r="BY68" s="494"/>
    </row>
    <row r="69" spans="1:81">
      <c r="X69" s="176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285"/>
      <c r="AK69" s="285"/>
      <c r="AL69" s="285"/>
      <c r="AM69" s="285"/>
      <c r="AN69" s="285"/>
      <c r="AO69" s="97"/>
      <c r="AP69" s="97"/>
      <c r="AQ69" s="148"/>
      <c r="AR69" s="97"/>
      <c r="AS69" s="97"/>
      <c r="AT69" s="97"/>
      <c r="AU69" s="97"/>
      <c r="AV69" s="97"/>
      <c r="AW69" s="97"/>
      <c r="AX69" s="97"/>
      <c r="AY69" s="536"/>
      <c r="AZ69" s="536"/>
      <c r="BA69" s="536"/>
      <c r="BB69" s="536"/>
      <c r="BC69" s="536"/>
      <c r="BD69" s="536"/>
      <c r="BE69" s="536"/>
      <c r="BF69" s="536"/>
      <c r="BG69" s="61"/>
      <c r="BH69" s="97"/>
      <c r="BI69" s="97"/>
    </row>
    <row r="70" spans="1:81">
      <c r="C70" s="55"/>
      <c r="X70" s="176"/>
      <c r="Y70" s="97"/>
      <c r="Z70" s="97"/>
      <c r="AA70" s="97"/>
      <c r="AB70" s="97"/>
      <c r="AC70" s="97"/>
      <c r="AD70" s="97"/>
      <c r="AE70" s="29">
        <f>SUMIF($C$2:$C$65,$C70,AE$2:AE$65)</f>
        <v>0</v>
      </c>
      <c r="AF70" s="97"/>
      <c r="AG70" s="97"/>
      <c r="AH70" s="97"/>
      <c r="AI70" s="97"/>
      <c r="AJ70" s="285"/>
      <c r="AK70" s="285"/>
      <c r="AL70" s="285"/>
      <c r="AM70" s="285"/>
      <c r="AN70" s="285"/>
      <c r="AO70" s="97"/>
      <c r="AP70" s="97"/>
      <c r="AQ70" s="148"/>
      <c r="AR70" s="97"/>
      <c r="AS70" s="97"/>
      <c r="AT70" s="97"/>
      <c r="AU70" s="97"/>
      <c r="AV70" s="97"/>
      <c r="AW70" s="97"/>
      <c r="AX70" s="97"/>
      <c r="AY70" s="536"/>
      <c r="AZ70" s="536"/>
      <c r="BA70" s="536"/>
      <c r="BB70" s="536"/>
      <c r="BC70" s="536"/>
      <c r="BD70" s="536"/>
      <c r="BE70" s="536"/>
      <c r="BF70" s="536"/>
      <c r="BG70" s="61"/>
      <c r="BH70" s="97"/>
      <c r="BI70" s="97"/>
    </row>
    <row r="71" spans="1:81">
      <c r="C71" s="53"/>
      <c r="X71" s="176"/>
      <c r="Y71" s="97"/>
      <c r="Z71" s="97"/>
      <c r="AA71" s="97"/>
      <c r="AB71" s="97"/>
      <c r="AC71" s="97"/>
      <c r="AD71" s="97"/>
      <c r="AE71" s="29">
        <f>SUMIF($C$2:$C$65,$C71,AE$2:AE$65)</f>
        <v>0</v>
      </c>
      <c r="AF71" s="97"/>
      <c r="AG71" s="97"/>
      <c r="AH71" s="97"/>
      <c r="AI71" s="97"/>
      <c r="AJ71" s="285"/>
      <c r="AK71" s="285"/>
      <c r="AL71" s="285"/>
      <c r="AM71" s="285"/>
      <c r="AN71" s="285"/>
      <c r="AO71" s="97"/>
      <c r="AP71" s="97"/>
      <c r="AQ71" s="148"/>
      <c r="AR71" s="97"/>
      <c r="AS71" s="97"/>
      <c r="AT71" s="97"/>
      <c r="AU71" s="97"/>
      <c r="AV71" s="97"/>
      <c r="AW71" s="97"/>
      <c r="AX71" s="97"/>
      <c r="AY71" s="536"/>
      <c r="AZ71" s="536"/>
      <c r="BA71" s="536"/>
      <c r="BB71" s="536"/>
      <c r="BC71" s="536"/>
      <c r="BD71" s="536"/>
      <c r="BE71" s="536"/>
      <c r="BF71" s="536"/>
      <c r="BG71" s="61"/>
      <c r="BH71" s="97"/>
      <c r="BI71" s="97"/>
    </row>
    <row r="72" spans="1:81">
      <c r="X72" s="176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285"/>
      <c r="AK72" s="285"/>
      <c r="AL72" s="285"/>
      <c r="AM72" s="285"/>
      <c r="AN72" s="285"/>
      <c r="AO72" s="97"/>
      <c r="AP72" s="97"/>
      <c r="AQ72" s="148"/>
      <c r="AR72" s="97"/>
      <c r="AS72" s="97"/>
      <c r="AT72" s="97"/>
      <c r="AU72" s="97"/>
      <c r="AV72" s="97"/>
      <c r="AW72" s="97"/>
      <c r="AX72" s="97"/>
      <c r="AY72" s="536"/>
      <c r="AZ72" s="536"/>
      <c r="BA72" s="536"/>
      <c r="BB72" s="536"/>
      <c r="BC72" s="536"/>
      <c r="BD72" s="536"/>
      <c r="BE72" s="536"/>
      <c r="BF72" s="536"/>
      <c r="BG72" s="61"/>
      <c r="BH72" s="169"/>
      <c r="BI72" s="169"/>
    </row>
    <row r="73" spans="1:81" s="53" customFormat="1">
      <c r="A73" s="288" t="s">
        <v>1107</v>
      </c>
      <c r="F73" s="143"/>
      <c r="G73" s="54"/>
      <c r="H73" s="54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6"/>
      <c r="V73" s="56"/>
      <c r="W73" s="56"/>
      <c r="X73" s="268"/>
      <c r="Y73" s="55"/>
      <c r="Z73" s="55"/>
      <c r="AA73" s="508"/>
      <c r="AB73" s="508"/>
      <c r="AC73" s="268"/>
      <c r="AD73" s="268"/>
      <c r="AE73" s="268"/>
      <c r="AF73" s="268"/>
      <c r="AI73" s="526"/>
      <c r="AJ73" s="267"/>
      <c r="AK73" s="267"/>
      <c r="AL73" s="267"/>
      <c r="AM73" s="267"/>
      <c r="AN73" s="267"/>
      <c r="AQ73" s="146"/>
      <c r="AX73" s="288"/>
      <c r="AY73" s="538"/>
      <c r="AZ73" s="538"/>
      <c r="BA73" s="537"/>
      <c r="BB73" s="537"/>
      <c r="BC73" s="537"/>
      <c r="BD73" s="537"/>
      <c r="BE73" s="538"/>
      <c r="BF73" s="538"/>
      <c r="BG73" s="61"/>
      <c r="BH73" s="61"/>
      <c r="BI73" s="61"/>
      <c r="BK73" s="527"/>
      <c r="BQ73" s="45"/>
      <c r="BS73" s="47"/>
      <c r="BV73" s="268"/>
      <c r="BZ73" s="268"/>
      <c r="CA73" s="472"/>
      <c r="CC73" s="553"/>
    </row>
    <row r="74" spans="1:81" s="53" customFormat="1">
      <c r="A74" s="53" t="s">
        <v>12</v>
      </c>
      <c r="F74" s="143"/>
      <c r="G74" s="54"/>
      <c r="H74" s="54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6"/>
      <c r="V74" s="56"/>
      <c r="W74" s="56"/>
      <c r="X74" s="56"/>
      <c r="Y74" s="56">
        <f t="shared" ref="Y74:AC77" si="32">SUMIF($A$2:$A$65,$A74,Y$2:Y$65)</f>
        <v>8340</v>
      </c>
      <c r="Z74" s="56">
        <f t="shared" si="32"/>
        <v>8383</v>
      </c>
      <c r="AA74" s="56">
        <f t="shared" si="32"/>
        <v>8371</v>
      </c>
      <c r="AB74" s="56">
        <f t="shared" si="32"/>
        <v>8391.2868691636631</v>
      </c>
      <c r="AC74" s="56">
        <f t="shared" si="32"/>
        <v>8411.6245603896205</v>
      </c>
      <c r="AD74" s="56"/>
      <c r="AE74" s="56">
        <f t="shared" ref="AE74:AI77" si="33">SUMIF($A$2:$A$65,$A74,AE$2:AE$65)</f>
        <v>202048.91000000003</v>
      </c>
      <c r="AF74" s="56">
        <f t="shared" si="33"/>
        <v>205653.63</v>
      </c>
      <c r="AG74" s="56">
        <f t="shared" si="33"/>
        <v>204840.34999999995</v>
      </c>
      <c r="AH74" s="56">
        <f t="shared" si="33"/>
        <v>188941.03215109635</v>
      </c>
      <c r="AI74" s="56">
        <f t="shared" si="33"/>
        <v>189191.54457788888</v>
      </c>
      <c r="AJ74" s="267"/>
      <c r="AK74" s="273">
        <f>SUMIF($A$2:$A$65,$A74,AK$2:AK$65)</f>
        <v>679.5194916621839</v>
      </c>
      <c r="AL74" s="267"/>
      <c r="AM74" s="267"/>
      <c r="AN74" s="267"/>
      <c r="AQ74" s="146"/>
      <c r="AS74" s="56">
        <f t="shared" ref="AS74:AW77" si="34">SUMIF($A$2:$A$65,$A74,AS$2:AS$65)</f>
        <v>80127</v>
      </c>
      <c r="AT74" s="56">
        <f t="shared" si="34"/>
        <v>48896.677288999977</v>
      </c>
      <c r="AU74" s="56">
        <f t="shared" si="34"/>
        <v>0</v>
      </c>
      <c r="AV74" s="56">
        <f t="shared" si="34"/>
        <v>0</v>
      </c>
      <c r="AW74" s="56">
        <f t="shared" si="34"/>
        <v>0</v>
      </c>
      <c r="AX74" s="56">
        <f>SUMIF($A$2:$A$65,$A74,AX$2:AX$65)</f>
        <v>129023.67728899998</v>
      </c>
      <c r="AY74" s="56">
        <f t="shared" ref="AY74:BF77" si="35">SUMIF($A$2:$A$65,$A74,AY$2:AY$65)</f>
        <v>122653.03000000001</v>
      </c>
      <c r="AZ74" s="56">
        <f t="shared" si="35"/>
        <v>-6370.6472889999877</v>
      </c>
      <c r="BA74" s="56">
        <f t="shared" si="35"/>
        <v>0</v>
      </c>
      <c r="BB74" s="56">
        <f t="shared" si="35"/>
        <v>0</v>
      </c>
      <c r="BC74" s="56">
        <f t="shared" si="35"/>
        <v>0</v>
      </c>
      <c r="BD74" s="56">
        <f t="shared" si="35"/>
        <v>0</v>
      </c>
      <c r="BE74" s="56">
        <f t="shared" si="35"/>
        <v>0</v>
      </c>
      <c r="BF74" s="56">
        <f t="shared" si="35"/>
        <v>0</v>
      </c>
      <c r="BG74" s="61"/>
      <c r="BH74" s="5"/>
      <c r="BI74" s="471"/>
      <c r="BK74" s="527"/>
      <c r="BL74" s="56">
        <f>SUMIF($A$2:$A$65,$A74,BL$2:BL$65)</f>
        <v>0</v>
      </c>
      <c r="BN74" s="56">
        <f>SUMIF($A$2:$A$65,$A74,BN$2:BN$65)</f>
        <v>0</v>
      </c>
      <c r="BO74" s="56">
        <f t="shared" ref="BO74:BU77" si="36">SUMIF($A$2:$A$65,$A74,BO$2:BO$65)</f>
        <v>0</v>
      </c>
      <c r="BP74" s="56">
        <f t="shared" si="36"/>
        <v>0</v>
      </c>
      <c r="BQ74" s="44">
        <f t="shared" si="36"/>
        <v>9501.495674699996</v>
      </c>
      <c r="BR74" s="56">
        <f t="shared" si="36"/>
        <v>9529.6299999999992</v>
      </c>
      <c r="BS74" s="44">
        <f t="shared" si="36"/>
        <v>20900.660653999992</v>
      </c>
      <c r="BT74" s="56">
        <f t="shared" si="36"/>
        <v>20901</v>
      </c>
      <c r="BU74" s="56">
        <f t="shared" si="36"/>
        <v>159454.30728899999</v>
      </c>
      <c r="BV74" s="56"/>
      <c r="BW74" s="56"/>
      <c r="BX74" s="56"/>
      <c r="BY74" s="56"/>
      <c r="BZ74" s="268"/>
      <c r="CA74" s="472"/>
      <c r="CC74" s="553"/>
    </row>
    <row r="75" spans="1:81" s="53" customFormat="1">
      <c r="A75" s="53" t="s">
        <v>996</v>
      </c>
      <c r="F75" s="143"/>
      <c r="G75" s="54"/>
      <c r="H75" s="54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6"/>
      <c r="V75" s="56"/>
      <c r="W75" s="56"/>
      <c r="X75" s="56"/>
      <c r="Y75" s="56">
        <f t="shared" si="32"/>
        <v>7077</v>
      </c>
      <c r="Z75" s="56">
        <f t="shared" si="32"/>
        <v>7051</v>
      </c>
      <c r="AA75" s="56">
        <f t="shared" si="32"/>
        <v>7063</v>
      </c>
      <c r="AB75" s="56">
        <f t="shared" si="32"/>
        <v>6705.712454377408</v>
      </c>
      <c r="AC75" s="56">
        <f t="shared" si="32"/>
        <v>6366.8429700103316</v>
      </c>
      <c r="AD75" s="56"/>
      <c r="AE75" s="56">
        <f t="shared" si="33"/>
        <v>220994.37999999995</v>
      </c>
      <c r="AF75" s="56">
        <f t="shared" si="33"/>
        <v>265330.4499999999</v>
      </c>
      <c r="AG75" s="56">
        <f t="shared" si="33"/>
        <v>315615.95999999996</v>
      </c>
      <c r="AH75" s="56">
        <f t="shared" si="33"/>
        <v>305616.03819536848</v>
      </c>
      <c r="AI75" s="56">
        <f t="shared" si="33"/>
        <v>299892.55095466727</v>
      </c>
      <c r="AJ75" s="267"/>
      <c r="AK75" s="273">
        <f>SUMIF($A$2:$A$65,$A75,AK$2:AK$65)</f>
        <v>8609.2179060385224</v>
      </c>
      <c r="AL75" s="267"/>
      <c r="AM75" s="267"/>
      <c r="AN75" s="267"/>
      <c r="AQ75" s="146"/>
      <c r="AS75" s="56">
        <f t="shared" si="34"/>
        <v>71483.5</v>
      </c>
      <c r="AT75" s="56">
        <f t="shared" si="34"/>
        <v>118451.48015999999</v>
      </c>
      <c r="AU75" s="56">
        <f t="shared" si="34"/>
        <v>0</v>
      </c>
      <c r="AV75" s="56">
        <f t="shared" si="34"/>
        <v>0</v>
      </c>
      <c r="AW75" s="56">
        <f t="shared" si="34"/>
        <v>960</v>
      </c>
      <c r="AX75" s="56">
        <f>SUMIF($A$2:$A$65,$A75,AX$2:AX$65)</f>
        <v>190894.98016000004</v>
      </c>
      <c r="AY75" s="56">
        <f t="shared" si="35"/>
        <v>190403.16999999993</v>
      </c>
      <c r="AZ75" s="56">
        <f t="shared" si="35"/>
        <v>-491.81016000005184</v>
      </c>
      <c r="BA75" s="56">
        <f t="shared" si="35"/>
        <v>0</v>
      </c>
      <c r="BB75" s="56">
        <f t="shared" si="35"/>
        <v>0</v>
      </c>
      <c r="BC75" s="56">
        <f t="shared" si="35"/>
        <v>0</v>
      </c>
      <c r="BD75" s="56">
        <f t="shared" si="35"/>
        <v>0</v>
      </c>
      <c r="BE75" s="56">
        <f t="shared" si="35"/>
        <v>0</v>
      </c>
      <c r="BF75" s="56">
        <f t="shared" si="35"/>
        <v>0</v>
      </c>
      <c r="BG75" s="61"/>
      <c r="BH75" s="5"/>
      <c r="BI75" s="471"/>
      <c r="BK75" s="527"/>
      <c r="BL75" s="56">
        <f>SUMIF($A$2:$A$65,$A75,BL$2:BL$65)</f>
        <v>9756.5178978151253</v>
      </c>
      <c r="BN75" s="56">
        <f>SUMIF($A$2:$A$65,$A75,BN$2:BN$65)</f>
        <v>12555.386570098897</v>
      </c>
      <c r="BO75" s="56">
        <f t="shared" si="36"/>
        <v>11941.253429901104</v>
      </c>
      <c r="BP75" s="56">
        <f t="shared" si="36"/>
        <v>24496.639999999999</v>
      </c>
      <c r="BQ75" s="44">
        <f t="shared" si="36"/>
        <v>12303.7279817</v>
      </c>
      <c r="BR75" s="56">
        <f t="shared" si="36"/>
        <v>13964.439999999999</v>
      </c>
      <c r="BS75" s="44">
        <f t="shared" si="36"/>
        <v>14921.439655999997</v>
      </c>
      <c r="BT75" s="56">
        <f t="shared" si="36"/>
        <v>18917</v>
      </c>
      <c r="BU75" s="56">
        <f t="shared" si="36"/>
        <v>248273.06015999999</v>
      </c>
      <c r="BV75" s="56"/>
      <c r="BW75" s="56"/>
      <c r="BX75" s="56"/>
      <c r="BY75" s="56"/>
      <c r="BZ75" s="268"/>
      <c r="CA75" s="472"/>
      <c r="CC75" s="553"/>
    </row>
    <row r="76" spans="1:81" s="53" customFormat="1">
      <c r="A76" s="53" t="s">
        <v>15</v>
      </c>
      <c r="F76" s="143"/>
      <c r="G76" s="54"/>
      <c r="H76" s="54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6"/>
      <c r="V76" s="56"/>
      <c r="W76" s="56"/>
      <c r="X76" s="56"/>
      <c r="Y76" s="56">
        <f t="shared" si="32"/>
        <v>752972</v>
      </c>
      <c r="Z76" s="56">
        <f t="shared" si="32"/>
        <v>782799</v>
      </c>
      <c r="AA76" s="56">
        <f t="shared" si="32"/>
        <v>817822.5</v>
      </c>
      <c r="AB76" s="56">
        <f t="shared" si="32"/>
        <v>840566.08992354304</v>
      </c>
      <c r="AC76" s="56">
        <f t="shared" si="32"/>
        <v>864061.32300373726</v>
      </c>
      <c r="AD76" s="56"/>
      <c r="AE76" s="56">
        <f t="shared" si="33"/>
        <v>80379926.500000328</v>
      </c>
      <c r="AF76" s="56">
        <f t="shared" si="33"/>
        <v>76395932.020000353</v>
      </c>
      <c r="AG76" s="56">
        <f t="shared" si="33"/>
        <v>81628109.960000172</v>
      </c>
      <c r="AH76" s="56">
        <f t="shared" si="33"/>
        <v>80964061.157643467</v>
      </c>
      <c r="AI76" s="56">
        <f t="shared" si="33"/>
        <v>81179384.349779755</v>
      </c>
      <c r="AJ76" s="267"/>
      <c r="AK76" s="273">
        <f>SUMIF($A$2:$A$65,$A76,AK$2:AK$65)</f>
        <v>87089.386416474998</v>
      </c>
      <c r="AL76" s="267"/>
      <c r="AM76" s="267"/>
      <c r="AN76" s="267"/>
      <c r="AQ76" s="146"/>
      <c r="AS76" s="56">
        <f t="shared" si="34"/>
        <v>11968665.16</v>
      </c>
      <c r="AT76" s="56">
        <f t="shared" si="34"/>
        <v>30341976.852934383</v>
      </c>
      <c r="AU76" s="56">
        <f t="shared" si="34"/>
        <v>787513.8899999999</v>
      </c>
      <c r="AV76" s="56">
        <f t="shared" si="34"/>
        <v>0</v>
      </c>
      <c r="AW76" s="56">
        <f t="shared" si="34"/>
        <v>164400.5</v>
      </c>
      <c r="AX76" s="56">
        <f>SUMIF($A$2:$A$65,$A76,AX$2:AX$65)</f>
        <v>43262556.40293438</v>
      </c>
      <c r="AY76" s="56">
        <f t="shared" si="35"/>
        <v>43248700.429999851</v>
      </c>
      <c r="AZ76" s="56">
        <f t="shared" si="35"/>
        <v>-13855.972934528996</v>
      </c>
      <c r="BA76" s="56">
        <f t="shared" si="35"/>
        <v>0</v>
      </c>
      <c r="BB76" s="56">
        <f t="shared" si="35"/>
        <v>0</v>
      </c>
      <c r="BC76" s="56">
        <f t="shared" si="35"/>
        <v>0</v>
      </c>
      <c r="BD76" s="56">
        <f t="shared" si="35"/>
        <v>0</v>
      </c>
      <c r="BE76" s="56">
        <f t="shared" si="35"/>
        <v>0</v>
      </c>
      <c r="BF76" s="56">
        <f t="shared" si="35"/>
        <v>0</v>
      </c>
      <c r="BG76" s="61"/>
      <c r="BH76" s="5"/>
      <c r="BI76" s="471"/>
      <c r="BK76" s="527"/>
      <c r="BL76" s="56">
        <f>SUMIF($A$2:$A$65,$A76,BL$2:BL$65)</f>
        <v>16067875.61083811</v>
      </c>
      <c r="BN76" s="56">
        <f>SUMIF($A$2:$A$65,$A76,BN$2:BN$65)</f>
        <v>10734005.456648763</v>
      </c>
      <c r="BO76" s="56">
        <f t="shared" si="36"/>
        <v>2112347.333351234</v>
      </c>
      <c r="BP76" s="56">
        <f t="shared" si="36"/>
        <v>12846352.789999997</v>
      </c>
      <c r="BQ76" s="44">
        <f t="shared" si="36"/>
        <v>2972214.4371369132</v>
      </c>
      <c r="BR76" s="56">
        <f t="shared" si="36"/>
        <v>2969975.9999999995</v>
      </c>
      <c r="BS76" s="44">
        <f t="shared" si="36"/>
        <v>36035455.155178964</v>
      </c>
      <c r="BT76" s="56">
        <f t="shared" si="36"/>
        <v>36219959</v>
      </c>
      <c r="BU76" s="56">
        <f t="shared" si="36"/>
        <v>95298844.192934379</v>
      </c>
      <c r="BV76" s="56"/>
      <c r="BW76" s="56"/>
      <c r="BX76" s="56"/>
      <c r="BY76" s="56"/>
      <c r="BZ76" s="268"/>
      <c r="CA76" s="472"/>
      <c r="CC76" s="553"/>
    </row>
    <row r="77" spans="1:81" s="53" customFormat="1">
      <c r="A77" s="53" t="s">
        <v>17</v>
      </c>
      <c r="F77" s="143"/>
      <c r="G77" s="54"/>
      <c r="H77" s="54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6"/>
      <c r="V77" s="56"/>
      <c r="W77" s="56"/>
      <c r="X77" s="56"/>
      <c r="Y77" s="56">
        <f t="shared" si="32"/>
        <v>225693</v>
      </c>
      <c r="Z77" s="56">
        <f t="shared" si="32"/>
        <v>234047</v>
      </c>
      <c r="AA77" s="56">
        <f t="shared" si="32"/>
        <v>242819</v>
      </c>
      <c r="AB77" s="56">
        <f t="shared" si="32"/>
        <v>248199.51538134966</v>
      </c>
      <c r="AC77" s="56">
        <f t="shared" si="32"/>
        <v>253772.80352288089</v>
      </c>
      <c r="AD77" s="56"/>
      <c r="AE77" s="56">
        <f t="shared" si="33"/>
        <v>50756295.23999998</v>
      </c>
      <c r="AF77" s="56">
        <f t="shared" si="33"/>
        <v>47881000.500000045</v>
      </c>
      <c r="AG77" s="56">
        <f t="shared" si="33"/>
        <v>50422911.770000003</v>
      </c>
      <c r="AH77" s="56">
        <f t="shared" si="33"/>
        <v>50043079.418146372</v>
      </c>
      <c r="AI77" s="56">
        <f t="shared" si="33"/>
        <v>50675785.340665996</v>
      </c>
      <c r="AJ77" s="267"/>
      <c r="AK77" s="273">
        <f>SUMIF($A$2:$A$65,$A77,AK$2:AK$65)</f>
        <v>804913.04521699285</v>
      </c>
      <c r="AL77" s="267"/>
      <c r="AM77" s="267"/>
      <c r="AN77" s="267"/>
      <c r="AQ77" s="146"/>
      <c r="AS77" s="56">
        <f t="shared" si="34"/>
        <v>7836621.5</v>
      </c>
      <c r="AT77" s="56">
        <f t="shared" si="34"/>
        <v>6713035.5540791042</v>
      </c>
      <c r="AU77" s="56">
        <f t="shared" si="34"/>
        <v>0</v>
      </c>
      <c r="AV77" s="56">
        <f t="shared" si="34"/>
        <v>0</v>
      </c>
      <c r="AW77" s="56">
        <f t="shared" si="34"/>
        <v>0</v>
      </c>
      <c r="AX77" s="56">
        <f>SUMIF($A$2:$A$65,$A77,AX$2:AX$65)</f>
        <v>14549657.054079104</v>
      </c>
      <c r="AY77" s="56">
        <f t="shared" si="35"/>
        <v>14535370.600000026</v>
      </c>
      <c r="AZ77" s="56">
        <f t="shared" si="35"/>
        <v>-14286.45407907723</v>
      </c>
      <c r="BA77" s="56">
        <f t="shared" si="35"/>
        <v>0</v>
      </c>
      <c r="BB77" s="56">
        <f t="shared" si="35"/>
        <v>0</v>
      </c>
      <c r="BC77" s="56">
        <f t="shared" si="35"/>
        <v>0</v>
      </c>
      <c r="BD77" s="56">
        <f t="shared" si="35"/>
        <v>0</v>
      </c>
      <c r="BE77" s="56">
        <f t="shared" si="35"/>
        <v>0</v>
      </c>
      <c r="BF77" s="56">
        <f t="shared" si="35"/>
        <v>0</v>
      </c>
      <c r="BH77" s="5"/>
      <c r="BI77" s="471"/>
      <c r="BK77" s="527"/>
      <c r="BL77" s="56">
        <f>SUMIF($A$2:$A$65,$A77,BL$2:BL$65)</f>
        <v>3678303.1110495925</v>
      </c>
      <c r="BN77" s="56">
        <f>SUMIF($A$2:$A$65,$A77,BN$2:BN$65)</f>
        <v>4085711.8093791306</v>
      </c>
      <c r="BO77" s="56">
        <f t="shared" si="36"/>
        <v>37500.84062086932</v>
      </c>
      <c r="BP77" s="56">
        <f t="shared" si="36"/>
        <v>4123212.6500000008</v>
      </c>
      <c r="BQ77" s="44">
        <f t="shared" si="36"/>
        <v>1063322.414452801</v>
      </c>
      <c r="BR77" s="56">
        <f t="shared" si="36"/>
        <v>1064493.8299999998</v>
      </c>
      <c r="BS77" s="44">
        <f t="shared" si="36"/>
        <v>4909352.1411495013</v>
      </c>
      <c r="BT77" s="56">
        <f t="shared" si="36"/>
        <v>8857320</v>
      </c>
      <c r="BU77" s="56">
        <f t="shared" si="36"/>
        <v>28594683.534079101</v>
      </c>
      <c r="BV77" s="56"/>
      <c r="BW77" s="56"/>
      <c r="BX77" s="56"/>
      <c r="BY77" s="56"/>
      <c r="BZ77" s="268"/>
      <c r="CA77" s="472"/>
      <c r="CC77" s="553"/>
    </row>
    <row r="78" spans="1:81" s="53" customFormat="1">
      <c r="F78" s="143"/>
      <c r="G78" s="54"/>
      <c r="H78" s="54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6"/>
      <c r="V78" s="56"/>
      <c r="W78" s="56"/>
      <c r="X78" s="528"/>
      <c r="Y78" s="528">
        <f>SUM(Y74:Y77)-Y66</f>
        <v>0</v>
      </c>
      <c r="Z78" s="528">
        <f t="shared" ref="Z78:AI78" si="37">SUM(Z74:Z77)-Z66</f>
        <v>0</v>
      </c>
      <c r="AA78" s="528">
        <f t="shared" si="37"/>
        <v>0</v>
      </c>
      <c r="AB78" s="528">
        <f t="shared" si="37"/>
        <v>0</v>
      </c>
      <c r="AC78" s="528">
        <f t="shared" si="37"/>
        <v>0</v>
      </c>
      <c r="AD78" s="528"/>
      <c r="AE78" s="528">
        <f t="shared" si="37"/>
        <v>0</v>
      </c>
      <c r="AF78" s="528">
        <f t="shared" si="37"/>
        <v>0</v>
      </c>
      <c r="AG78" s="528">
        <f t="shared" si="37"/>
        <v>0</v>
      </c>
      <c r="AH78" s="528">
        <f t="shared" si="37"/>
        <v>0</v>
      </c>
      <c r="AI78" s="528">
        <f t="shared" si="37"/>
        <v>0</v>
      </c>
      <c r="AJ78" s="267"/>
      <c r="AK78" s="267"/>
      <c r="AL78" s="267"/>
      <c r="AM78" s="267"/>
      <c r="AN78" s="267"/>
      <c r="AQ78" s="146"/>
      <c r="AS78" s="528">
        <f t="shared" ref="AS78:BA78" si="38">SUM(AS74:AS77)-AS66</f>
        <v>0</v>
      </c>
      <c r="AT78" s="528">
        <f t="shared" si="38"/>
        <v>0</v>
      </c>
      <c r="AU78" s="528"/>
      <c r="AV78" s="528">
        <f t="shared" si="38"/>
        <v>0</v>
      </c>
      <c r="AW78" s="528"/>
      <c r="AX78" s="528">
        <f>SUM(AX74:AX77)-AX66</f>
        <v>0</v>
      </c>
      <c r="AY78" s="539"/>
      <c r="AZ78" s="539"/>
      <c r="BA78" s="539">
        <f t="shared" si="38"/>
        <v>0</v>
      </c>
      <c r="BB78" s="539">
        <f>SUM(BB74:BB77)-BB66</f>
        <v>0</v>
      </c>
      <c r="BC78" s="539"/>
      <c r="BD78" s="539">
        <f>SUM(BD74:BD77)-BD66</f>
        <v>0</v>
      </c>
      <c r="BE78" s="539">
        <f>SUM(BE74:BE77)-BE66</f>
        <v>0</v>
      </c>
      <c r="BF78" s="539">
        <f>SUM(BF74:BF77)-BF66</f>
        <v>0</v>
      </c>
      <c r="BH78" s="541"/>
      <c r="BI78" s="529"/>
      <c r="BK78" s="527"/>
      <c r="BN78" s="528">
        <f>SUM(BN74:BN77)-BN66</f>
        <v>0</v>
      </c>
      <c r="BO78" s="528">
        <f t="shared" ref="BO78:BR78" si="39">SUM(BO74:BO77)-BO66</f>
        <v>0</v>
      </c>
      <c r="BP78" s="528">
        <f t="shared" si="39"/>
        <v>0</v>
      </c>
      <c r="BQ78" s="532">
        <f t="shared" si="39"/>
        <v>0</v>
      </c>
      <c r="BR78" s="528">
        <f t="shared" si="39"/>
        <v>0</v>
      </c>
      <c r="BS78" s="546">
        <f t="shared" ref="BS78" si="40">SUM(BS74:BS77)-BS66</f>
        <v>0</v>
      </c>
      <c r="BT78" s="528">
        <f t="shared" ref="BT78:BU78" si="41">SUM(BT74:BT77)-BT66</f>
        <v>0</v>
      </c>
      <c r="BU78" s="528">
        <f t="shared" si="41"/>
        <v>0</v>
      </c>
      <c r="BV78" s="473"/>
      <c r="BW78" s="541"/>
      <c r="BX78" s="541"/>
      <c r="BY78" s="541"/>
      <c r="BZ78" s="268"/>
      <c r="CA78" s="472"/>
      <c r="CC78" s="553"/>
    </row>
    <row r="79" spans="1:81"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H79" s="71"/>
      <c r="AI79" s="71"/>
      <c r="AJ79" s="71"/>
      <c r="AK79" s="71"/>
      <c r="AL79" s="71"/>
      <c r="AM79" s="71"/>
      <c r="AN79" s="71"/>
      <c r="AQ79" s="71"/>
      <c r="AX79" s="71"/>
      <c r="AY79" s="71"/>
      <c r="AZ79" s="71"/>
      <c r="BA79" s="71"/>
      <c r="BB79" s="71"/>
      <c r="BC79" s="71"/>
      <c r="BD79" s="71"/>
      <c r="BE79" s="71"/>
      <c r="BF79" s="71"/>
      <c r="BH79" s="12"/>
      <c r="BI79" s="12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</row>
    <row r="80" spans="1:81" s="45" customFormat="1">
      <c r="A80" s="288"/>
      <c r="F80" s="171"/>
      <c r="G80" s="43"/>
      <c r="H80" s="43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4"/>
      <c r="V80" s="44"/>
      <c r="W80" s="44"/>
      <c r="X80" s="65"/>
      <c r="AD80" s="47"/>
      <c r="AE80" s="47"/>
      <c r="AF80" s="47"/>
      <c r="AH80" s="65"/>
      <c r="AI80" s="66"/>
      <c r="AJ80" s="287"/>
      <c r="AK80" s="287"/>
      <c r="AL80" s="287"/>
      <c r="AM80" s="287"/>
      <c r="AN80" s="287"/>
      <c r="AQ80" s="150"/>
      <c r="AX80" s="48"/>
      <c r="AY80" s="538"/>
      <c r="AZ80" s="538"/>
      <c r="BA80" s="537"/>
      <c r="BB80" s="537"/>
      <c r="BC80" s="537"/>
      <c r="BD80" s="537"/>
      <c r="BE80" s="538"/>
      <c r="BF80" s="538"/>
      <c r="BH80" s="560"/>
      <c r="BI80" s="560"/>
      <c r="BJ80" s="496"/>
      <c r="BK80" s="517"/>
      <c r="BL80" s="496"/>
      <c r="BM80" s="496"/>
      <c r="BN80" s="496"/>
      <c r="BO80" s="496"/>
      <c r="BP80" s="496"/>
      <c r="BR80" s="496"/>
      <c r="BS80" s="47"/>
      <c r="BT80" s="496"/>
      <c r="BU80" s="496"/>
      <c r="BV80" s="494"/>
      <c r="BW80" s="496"/>
      <c r="BX80" s="496"/>
      <c r="BY80" s="496"/>
      <c r="BZ80" s="47"/>
      <c r="CA80" s="492"/>
      <c r="CC80" s="557"/>
    </row>
    <row r="81" spans="1:81" s="45" customFormat="1">
      <c r="A81" s="53" t="s">
        <v>12</v>
      </c>
      <c r="F81" s="171"/>
      <c r="G81" s="43"/>
      <c r="H81" s="43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4"/>
      <c r="V81" s="44"/>
      <c r="W81" s="44"/>
      <c r="X81" s="65"/>
      <c r="AD81" s="47"/>
      <c r="AE81" s="47"/>
      <c r="AF81" s="47"/>
      <c r="AH81" s="65"/>
      <c r="AI81" s="66"/>
      <c r="AJ81" s="287"/>
      <c r="AK81" s="287"/>
      <c r="AL81" s="287"/>
      <c r="AM81" s="287"/>
      <c r="AN81" s="287"/>
      <c r="AQ81" s="150"/>
      <c r="AX81" s="47"/>
      <c r="AY81" s="547"/>
      <c r="AZ81" s="547"/>
      <c r="BA81" s="537"/>
      <c r="BB81" s="537"/>
      <c r="BC81" s="537"/>
      <c r="BD81" s="537"/>
      <c r="BE81" s="559"/>
      <c r="BF81" s="559"/>
      <c r="BG81" s="560"/>
      <c r="BH81" s="561"/>
      <c r="BI81" s="562"/>
      <c r="BJ81" s="496"/>
      <c r="BK81" s="517"/>
      <c r="BL81" s="496"/>
      <c r="BM81" s="496"/>
      <c r="BN81" s="494"/>
      <c r="BO81" s="496"/>
      <c r="BP81" s="496"/>
      <c r="BQ81" s="463">
        <v>28.134325300003184</v>
      </c>
      <c r="BR81" s="494">
        <v>-9529.6299999999992</v>
      </c>
      <c r="BS81" s="47">
        <v>0.3393460000079358</v>
      </c>
      <c r="BT81" s="494">
        <v>-20901</v>
      </c>
      <c r="BU81" s="496"/>
      <c r="BV81" s="494">
        <f ca="1">'Input 6_2021MARG-YTD'!AK146</f>
        <v>0</v>
      </c>
      <c r="BW81" s="496"/>
      <c r="BX81" s="496"/>
      <c r="BY81" s="496"/>
      <c r="BZ81" s="47"/>
      <c r="CA81" s="492"/>
      <c r="CC81" s="557"/>
    </row>
    <row r="82" spans="1:81" s="45" customFormat="1">
      <c r="A82" s="53" t="s">
        <v>996</v>
      </c>
      <c r="F82" s="171"/>
      <c r="G82" s="43"/>
      <c r="H82" s="43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4"/>
      <c r="V82" s="44"/>
      <c r="W82" s="44"/>
      <c r="X82" s="65"/>
      <c r="AD82" s="47"/>
      <c r="AE82" s="47"/>
      <c r="AF82" s="47"/>
      <c r="AH82" s="65"/>
      <c r="AI82" s="66"/>
      <c r="AJ82" s="287"/>
      <c r="AK82" s="287"/>
      <c r="AL82" s="287"/>
      <c r="AM82" s="287"/>
      <c r="AN82" s="287"/>
      <c r="AQ82" s="150"/>
      <c r="AX82" s="47"/>
      <c r="AY82" s="547"/>
      <c r="AZ82" s="547"/>
      <c r="BA82" s="537"/>
      <c r="BB82" s="537"/>
      <c r="BC82" s="537"/>
      <c r="BD82" s="537"/>
      <c r="BE82" s="559"/>
      <c r="BF82" s="559"/>
      <c r="BG82" s="560"/>
      <c r="BH82" s="561"/>
      <c r="BI82" s="562"/>
      <c r="BJ82" s="496"/>
      <c r="BK82" s="517"/>
      <c r="BL82" s="496"/>
      <c r="BM82" s="496"/>
      <c r="BN82" s="494">
        <v>11941.253429901102</v>
      </c>
      <c r="BO82" s="496"/>
      <c r="BP82" s="496"/>
      <c r="BQ82" s="463">
        <v>1660.7120182999988</v>
      </c>
      <c r="BR82" s="494">
        <v>-13964.439999999999</v>
      </c>
      <c r="BS82" s="47">
        <v>3995.5603440000032</v>
      </c>
      <c r="BT82" s="494">
        <v>-18917</v>
      </c>
      <c r="BU82" s="496"/>
      <c r="BV82" s="494">
        <f ca="1">'Input 6_2021MARG-YTD'!AK147</f>
        <v>336.13999999999942</v>
      </c>
      <c r="BW82" s="496"/>
      <c r="BX82" s="496"/>
      <c r="BY82" s="496"/>
      <c r="BZ82" s="47"/>
      <c r="CA82" s="492"/>
      <c r="CC82" s="557"/>
    </row>
    <row r="83" spans="1:81" s="45" customFormat="1">
      <c r="A83" s="53" t="s">
        <v>15</v>
      </c>
      <c r="F83" s="171"/>
      <c r="G83" s="43"/>
      <c r="H83" s="43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4"/>
      <c r="V83" s="44"/>
      <c r="W83" s="44"/>
      <c r="X83" s="65"/>
      <c r="AD83" s="47"/>
      <c r="AE83" s="47"/>
      <c r="AF83" s="47"/>
      <c r="AG83" s="47"/>
      <c r="AH83" s="47"/>
      <c r="AI83" s="47"/>
      <c r="AJ83" s="287"/>
      <c r="AK83" s="287"/>
      <c r="AL83" s="287"/>
      <c r="AM83" s="287"/>
      <c r="AN83" s="287"/>
      <c r="AQ83" s="150"/>
      <c r="AX83" s="47"/>
      <c r="AY83" s="547"/>
      <c r="AZ83" s="547"/>
      <c r="BA83" s="537"/>
      <c r="BB83" s="537"/>
      <c r="BC83" s="537"/>
      <c r="BD83" s="537"/>
      <c r="BE83" s="559"/>
      <c r="BF83" s="559"/>
      <c r="BG83" s="560"/>
      <c r="BH83" s="561"/>
      <c r="BI83" s="562"/>
      <c r="BJ83" s="496"/>
      <c r="BK83" s="517"/>
      <c r="BL83" s="496"/>
      <c r="BM83" s="496"/>
      <c r="BN83" s="494">
        <v>2112347.333351234</v>
      </c>
      <c r="BO83" s="496"/>
      <c r="BP83" s="496"/>
      <c r="BQ83" s="463">
        <v>-2238.4371369136497</v>
      </c>
      <c r="BR83" s="494">
        <v>-2969975.9999999995</v>
      </c>
      <c r="BS83" s="47">
        <v>184503.84482103586</v>
      </c>
      <c r="BT83" s="494">
        <v>-36219959</v>
      </c>
      <c r="BU83" s="494"/>
      <c r="BV83" s="494">
        <f ca="1">'Input 6_2021MARG-YTD'!AK144</f>
        <v>61637</v>
      </c>
      <c r="BW83" s="494"/>
      <c r="BX83" s="494"/>
      <c r="BY83" s="494"/>
      <c r="BZ83" s="47"/>
      <c r="CA83" s="492"/>
      <c r="CC83" s="557"/>
    </row>
    <row r="84" spans="1:81" s="45" customFormat="1">
      <c r="A84" s="53" t="s">
        <v>17</v>
      </c>
      <c r="F84" s="171"/>
      <c r="G84" s="43"/>
      <c r="H84" s="43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4"/>
      <c r="V84" s="44"/>
      <c r="W84" s="44"/>
      <c r="X84" s="66"/>
      <c r="Y84" s="46"/>
      <c r="Z84" s="46"/>
      <c r="AA84" s="46"/>
      <c r="AB84" s="46"/>
      <c r="AC84" s="47"/>
      <c r="AD84" s="47"/>
      <c r="AE84" s="47"/>
      <c r="AF84" s="47"/>
      <c r="AH84" s="65"/>
      <c r="AI84" s="66"/>
      <c r="AJ84" s="287"/>
      <c r="AK84" s="287"/>
      <c r="AL84" s="287"/>
      <c r="AM84" s="287"/>
      <c r="AN84" s="287"/>
      <c r="AQ84" s="150"/>
      <c r="AX84" s="47"/>
      <c r="AY84" s="547"/>
      <c r="AZ84" s="547"/>
      <c r="BA84" s="537"/>
      <c r="BB84" s="537"/>
      <c r="BC84" s="537"/>
      <c r="BD84" s="537"/>
      <c r="BE84" s="559"/>
      <c r="BF84" s="559"/>
      <c r="BG84" s="560"/>
      <c r="BH84" s="561"/>
      <c r="BI84" s="562"/>
      <c r="BJ84" s="496"/>
      <c r="BK84" s="517"/>
      <c r="BL84" s="496"/>
      <c r="BM84" s="496"/>
      <c r="BN84" s="494">
        <v>37500.840620869305</v>
      </c>
      <c r="BO84" s="496"/>
      <c r="BP84" s="496"/>
      <c r="BQ84" s="463">
        <v>1171.4155471990816</v>
      </c>
      <c r="BR84" s="494">
        <v>-1064493.83</v>
      </c>
      <c r="BS84" s="47">
        <v>3947967.8588504987</v>
      </c>
      <c r="BT84" s="494">
        <v>-8857320</v>
      </c>
      <c r="BU84" s="494"/>
      <c r="BV84" s="494">
        <f ca="1">'Input 6_2021MARG-YTD'!AK145</f>
        <v>19000</v>
      </c>
      <c r="BW84" s="494"/>
      <c r="BX84" s="494"/>
      <c r="BY84" s="494"/>
      <c r="BZ84" s="47"/>
      <c r="CA84" s="492"/>
      <c r="CC84" s="557"/>
    </row>
    <row r="85" spans="1:81" s="45" customFormat="1">
      <c r="A85" s="50"/>
      <c r="F85" s="171"/>
      <c r="G85" s="43"/>
      <c r="H85" s="43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4"/>
      <c r="V85" s="44"/>
      <c r="W85" s="44"/>
      <c r="X85" s="66"/>
      <c r="Y85" s="46"/>
      <c r="Z85" s="46"/>
      <c r="AA85" s="46"/>
      <c r="AB85" s="46"/>
      <c r="AC85" s="47"/>
      <c r="AD85" s="47"/>
      <c r="AE85" s="47"/>
      <c r="AF85" s="47"/>
      <c r="AH85" s="65"/>
      <c r="AI85" s="66"/>
      <c r="AJ85" s="287"/>
      <c r="AK85" s="287"/>
      <c r="AL85" s="287"/>
      <c r="AM85" s="287"/>
      <c r="AN85" s="287"/>
      <c r="AQ85" s="150"/>
      <c r="AX85" s="48"/>
      <c r="AY85" s="538"/>
      <c r="AZ85" s="538"/>
      <c r="BA85" s="537"/>
      <c r="BB85" s="537"/>
      <c r="BC85" s="537"/>
      <c r="BD85" s="537"/>
      <c r="BE85" s="559"/>
      <c r="BF85" s="559"/>
      <c r="BG85" s="560"/>
      <c r="BH85" s="563"/>
      <c r="BI85" s="560"/>
      <c r="BJ85" s="496"/>
      <c r="BK85" s="517"/>
      <c r="BL85" s="496"/>
      <c r="BM85" s="496"/>
      <c r="BN85" s="496"/>
      <c r="BO85" s="496"/>
      <c r="BP85" s="496"/>
      <c r="BR85" s="496"/>
      <c r="BS85" s="47"/>
      <c r="BT85" s="496"/>
      <c r="BU85" s="496"/>
      <c r="BV85" s="494"/>
      <c r="BW85" s="496"/>
      <c r="BX85" s="496"/>
      <c r="BY85" s="496"/>
      <c r="BZ85" s="47"/>
      <c r="CA85" s="492"/>
      <c r="CC85" s="557"/>
    </row>
    <row r="86" spans="1:81" s="45" customFormat="1">
      <c r="A86" s="50"/>
      <c r="F86" s="171"/>
      <c r="G86" s="43"/>
      <c r="H86" s="43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4"/>
      <c r="V86" s="44"/>
      <c r="W86" s="44"/>
      <c r="X86" s="66"/>
      <c r="Y86" s="46"/>
      <c r="Z86" s="46"/>
      <c r="AA86" s="46"/>
      <c r="AB86" s="46"/>
      <c r="AC86" s="47"/>
      <c r="AD86" s="47"/>
      <c r="AE86" s="47"/>
      <c r="AF86" s="47"/>
      <c r="AH86" s="65"/>
      <c r="AI86" s="66"/>
      <c r="AJ86" s="287"/>
      <c r="AK86" s="287"/>
      <c r="AL86" s="287"/>
      <c r="AM86" s="287"/>
      <c r="AN86" s="287"/>
      <c r="AQ86" s="150"/>
      <c r="AX86" s="48"/>
      <c r="AY86" s="538"/>
      <c r="AZ86" s="538"/>
      <c r="BA86" s="537"/>
      <c r="BB86" s="537"/>
      <c r="BC86" s="537"/>
      <c r="BD86" s="537"/>
      <c r="BE86" s="559"/>
      <c r="BF86" s="559"/>
      <c r="BG86" s="560"/>
      <c r="BH86" s="560"/>
      <c r="BI86" s="560"/>
      <c r="BJ86" s="496"/>
      <c r="BK86" s="517"/>
      <c r="BL86" s="496"/>
      <c r="BM86" s="496"/>
      <c r="BN86" s="496"/>
      <c r="BO86" s="496"/>
      <c r="BP86" s="496"/>
      <c r="BR86" s="496"/>
      <c r="BS86" s="47"/>
      <c r="BT86" s="496"/>
      <c r="BU86" s="496"/>
      <c r="BV86" s="494"/>
      <c r="BW86" s="496"/>
      <c r="BX86" s="496"/>
      <c r="BY86" s="496"/>
      <c r="BZ86" s="47"/>
      <c r="CA86" s="492"/>
      <c r="CC86" s="557"/>
    </row>
    <row r="87" spans="1:81">
      <c r="A87" s="26"/>
      <c r="AX87" s="31"/>
      <c r="AY87" s="540"/>
      <c r="AZ87" s="540"/>
      <c r="BE87" s="564"/>
      <c r="BF87" s="564"/>
      <c r="BG87" s="12"/>
      <c r="BH87" s="565"/>
      <c r="BI87" s="12"/>
    </row>
    <row r="88" spans="1:81">
      <c r="A88" s="26"/>
      <c r="AX88" s="31"/>
      <c r="AY88" s="540"/>
      <c r="AZ88" s="540"/>
      <c r="BE88" s="564"/>
      <c r="BF88" s="564"/>
      <c r="BG88" s="12"/>
      <c r="BH88" s="565"/>
      <c r="BI88" s="12"/>
    </row>
    <row r="89" spans="1:81">
      <c r="A89" s="30"/>
      <c r="AX89" s="31"/>
      <c r="AY89" s="540"/>
      <c r="AZ89" s="540"/>
      <c r="BE89" s="564"/>
      <c r="BF89" s="564"/>
      <c r="BG89" s="12"/>
      <c r="BH89" s="565"/>
      <c r="BI89" s="12"/>
    </row>
    <row r="90" spans="1:81">
      <c r="A90" s="30"/>
      <c r="AX90" s="31"/>
      <c r="AY90" s="540"/>
      <c r="AZ90" s="540"/>
      <c r="BE90" s="564"/>
      <c r="BF90" s="564"/>
      <c r="BG90" s="12"/>
      <c r="BH90" s="565"/>
      <c r="BI90" s="12"/>
    </row>
    <row r="91" spans="1:81">
      <c r="BE91" s="566"/>
      <c r="BF91" s="566"/>
      <c r="BG91" s="12"/>
      <c r="BH91" s="12"/>
      <c r="BI91" s="12"/>
    </row>
    <row r="92" spans="1:81">
      <c r="BE92" s="566"/>
      <c r="BF92" s="566"/>
      <c r="BG92" s="12"/>
      <c r="BH92" s="12"/>
      <c r="BI92" s="12"/>
    </row>
    <row r="94" spans="1:81">
      <c r="A94" s="92"/>
    </row>
    <row r="95" spans="1:81" s="26" customFormat="1">
      <c r="F95" s="170"/>
      <c r="G95" s="27"/>
      <c r="H95" s="27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9"/>
      <c r="V95" s="29"/>
      <c r="W95" s="29"/>
      <c r="X95" s="176"/>
      <c r="Y95" s="76"/>
      <c r="Z95" s="76"/>
      <c r="AA95" s="76"/>
      <c r="AB95" s="76"/>
      <c r="AC95" s="76"/>
      <c r="AD95" s="77"/>
      <c r="AE95" s="77"/>
      <c r="AF95" s="77"/>
      <c r="AI95" s="77"/>
      <c r="AJ95" s="286"/>
      <c r="AK95" s="286"/>
      <c r="AL95" s="286"/>
      <c r="AM95" s="286"/>
      <c r="AN95" s="286"/>
      <c r="AQ95" s="149"/>
      <c r="AX95" s="78"/>
      <c r="AY95" s="538"/>
      <c r="AZ95" s="538"/>
      <c r="BA95" s="537"/>
      <c r="BB95" s="537"/>
      <c r="BC95" s="537"/>
      <c r="BD95" s="537"/>
      <c r="BE95" s="538"/>
      <c r="BF95" s="538"/>
      <c r="BJ95" s="496"/>
      <c r="BK95" s="517"/>
      <c r="BL95" s="496"/>
      <c r="BM95" s="496"/>
      <c r="BN95" s="496"/>
      <c r="BO95" s="496"/>
      <c r="BP95" s="496"/>
      <c r="BQ95" s="45"/>
      <c r="BR95" s="496"/>
      <c r="BS95" s="47"/>
      <c r="BT95" s="496"/>
      <c r="BU95" s="496"/>
      <c r="BV95" s="494"/>
      <c r="BW95" s="496"/>
      <c r="BX95" s="496"/>
      <c r="BY95" s="496"/>
      <c r="BZ95" s="77"/>
      <c r="CA95" s="492"/>
      <c r="CC95" s="558"/>
    </row>
    <row r="96" spans="1:81" s="26" customFormat="1">
      <c r="F96" s="170"/>
      <c r="G96" s="27"/>
      <c r="H96" s="27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9"/>
      <c r="V96" s="29"/>
      <c r="W96" s="29"/>
      <c r="X96" s="64"/>
      <c r="Y96" s="29"/>
      <c r="Z96" s="29"/>
      <c r="AA96" s="29"/>
      <c r="AB96" s="29"/>
      <c r="AC96" s="29"/>
      <c r="AD96" s="77"/>
      <c r="AE96" s="77"/>
      <c r="AF96" s="77"/>
      <c r="AI96" s="77"/>
      <c r="AJ96" s="286"/>
      <c r="AK96" s="286"/>
      <c r="AL96" s="286"/>
      <c r="AM96" s="286"/>
      <c r="AN96" s="286"/>
      <c r="AQ96" s="149"/>
      <c r="AX96" s="78"/>
      <c r="AY96" s="538"/>
      <c r="AZ96" s="538"/>
      <c r="BA96" s="537"/>
      <c r="BB96" s="537"/>
      <c r="BC96" s="537"/>
      <c r="BD96" s="537"/>
      <c r="BE96" s="538"/>
      <c r="BF96" s="538"/>
      <c r="BJ96" s="496"/>
      <c r="BK96" s="517"/>
      <c r="BL96" s="496"/>
      <c r="BM96" s="496"/>
      <c r="BN96" s="496"/>
      <c r="BO96" s="496"/>
      <c r="BP96" s="496"/>
      <c r="BQ96" s="45"/>
      <c r="BR96" s="496"/>
      <c r="BS96" s="47"/>
      <c r="BT96" s="496"/>
      <c r="BU96" s="496"/>
      <c r="BV96" s="494"/>
      <c r="BW96" s="496"/>
      <c r="BX96" s="496"/>
      <c r="BY96" s="496"/>
      <c r="BZ96" s="77"/>
      <c r="CA96" s="492"/>
      <c r="CC96" s="558"/>
    </row>
    <row r="97" spans="1:81" s="26" customFormat="1">
      <c r="F97" s="170"/>
      <c r="G97" s="27"/>
      <c r="H97" s="27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9"/>
      <c r="V97" s="29"/>
      <c r="W97" s="29"/>
      <c r="X97" s="64"/>
      <c r="Y97" s="29"/>
      <c r="Z97" s="29"/>
      <c r="AA97" s="29"/>
      <c r="AB97" s="29"/>
      <c r="AC97" s="29"/>
      <c r="AD97" s="77"/>
      <c r="AE97" s="77"/>
      <c r="AF97" s="77"/>
      <c r="AI97" s="77"/>
      <c r="AJ97" s="286"/>
      <c r="AK97" s="286"/>
      <c r="AL97" s="286"/>
      <c r="AM97" s="286"/>
      <c r="AN97" s="286"/>
      <c r="AQ97" s="149"/>
      <c r="AX97" s="78"/>
      <c r="AY97" s="538"/>
      <c r="AZ97" s="538"/>
      <c r="BA97" s="537"/>
      <c r="BB97" s="537"/>
      <c r="BC97" s="537"/>
      <c r="BD97" s="537"/>
      <c r="BE97" s="538"/>
      <c r="BF97" s="538"/>
      <c r="BJ97" s="496"/>
      <c r="BK97" s="517"/>
      <c r="BL97" s="496"/>
      <c r="BM97" s="496"/>
      <c r="BN97" s="496"/>
      <c r="BO97" s="496"/>
      <c r="BP97" s="496"/>
      <c r="BQ97" s="45"/>
      <c r="BR97" s="496"/>
      <c r="BS97" s="47"/>
      <c r="BT97" s="496"/>
      <c r="BU97" s="496"/>
      <c r="BV97" s="494"/>
      <c r="BW97" s="496"/>
      <c r="BX97" s="496"/>
      <c r="BY97" s="496"/>
      <c r="BZ97" s="77"/>
      <c r="CA97" s="492"/>
      <c r="CC97" s="558"/>
    </row>
    <row r="98" spans="1:81" s="26" customFormat="1">
      <c r="F98" s="170"/>
      <c r="G98" s="27"/>
      <c r="H98" s="27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9"/>
      <c r="V98" s="29"/>
      <c r="W98" s="29"/>
      <c r="X98" s="64"/>
      <c r="Y98" s="29"/>
      <c r="Z98" s="29"/>
      <c r="AA98" s="29"/>
      <c r="AB98" s="29"/>
      <c r="AC98" s="29"/>
      <c r="AD98" s="77"/>
      <c r="AE98" s="77"/>
      <c r="AF98" s="77"/>
      <c r="AI98" s="77"/>
      <c r="AJ98" s="286"/>
      <c r="AK98" s="286"/>
      <c r="AL98" s="286"/>
      <c r="AM98" s="286"/>
      <c r="AN98" s="286"/>
      <c r="AQ98" s="149"/>
      <c r="AX98" s="78"/>
      <c r="AY98" s="538"/>
      <c r="AZ98" s="538"/>
      <c r="BA98" s="537"/>
      <c r="BB98" s="537"/>
      <c r="BC98" s="537"/>
      <c r="BD98" s="537"/>
      <c r="BE98" s="538"/>
      <c r="BF98" s="538"/>
      <c r="BJ98" s="496"/>
      <c r="BK98" s="517"/>
      <c r="BL98" s="496"/>
      <c r="BM98" s="496"/>
      <c r="BN98" s="496"/>
      <c r="BO98" s="496"/>
      <c r="BP98" s="496"/>
      <c r="BQ98" s="45"/>
      <c r="BR98" s="496"/>
      <c r="BS98" s="47"/>
      <c r="BT98" s="496"/>
      <c r="BU98" s="496"/>
      <c r="BV98" s="494"/>
      <c r="BW98" s="496"/>
      <c r="BX98" s="496"/>
      <c r="BY98" s="496"/>
      <c r="BZ98" s="77"/>
      <c r="CA98" s="492"/>
      <c r="CC98" s="558"/>
    </row>
    <row r="99" spans="1:81">
      <c r="A99" s="79"/>
    </row>
    <row r="100" spans="1:81">
      <c r="A100" s="26"/>
      <c r="X100" s="176"/>
      <c r="Y100" s="97"/>
      <c r="Z100" s="97"/>
      <c r="AA100" s="97"/>
      <c r="AB100" s="97"/>
      <c r="AC100" s="97"/>
    </row>
    <row r="101" spans="1:81">
      <c r="A101" s="26"/>
      <c r="X101" s="176"/>
      <c r="Y101" s="97"/>
      <c r="Z101" s="97"/>
      <c r="AA101" s="97"/>
      <c r="AB101" s="97"/>
      <c r="AC101" s="97"/>
    </row>
    <row r="102" spans="1:81">
      <c r="A102" s="26"/>
      <c r="X102" s="176"/>
      <c r="Y102" s="97"/>
      <c r="Z102" s="97"/>
      <c r="AA102" s="97"/>
      <c r="AB102" s="97"/>
      <c r="AC102" s="97"/>
    </row>
    <row r="103" spans="1:81">
      <c r="A103" s="26"/>
      <c r="X103" s="176"/>
      <c r="Y103" s="97"/>
      <c r="Z103" s="97"/>
      <c r="AA103" s="97"/>
      <c r="AB103" s="97"/>
      <c r="AC103" s="97"/>
    </row>
  </sheetData>
  <autoFilter ref="A1:CC68" xr:uid="{8CAC629D-0650-4E7C-8209-BAEC9579CD22}"/>
  <phoneticPr fontId="57" type="noConversion"/>
  <hyperlinks>
    <hyperlink ref="A81" location="'Indiantown Pro Forma Revenues20'!A1" display="Indiantown" xr:uid="{54B0F6E8-DEC8-4E47-9FA5-18AA3CEA054D}"/>
    <hyperlink ref="A82" location="'Ft. Meade Pro Forma Revenues 20'!A1" display="Ft. Meade " xr:uid="{EBFA2B01-D8E2-460E-BEB0-C43C27C838B0}"/>
    <hyperlink ref="A83" location="'FPUC Pro Forma Revenues 2020'!A1" display="FPUC" xr:uid="{ED507D58-1380-4573-B654-04E3B9995A0C}"/>
    <hyperlink ref="A84" location="'CFG Pro Forma Revenues 2020'!A1" display="CFG" xr:uid="{EBB73ED2-E18A-4A11-A044-CE0318039E4D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661B-9EAB-40CE-ACDF-F98F6858148C}">
  <sheetPr codeName="Sheet5">
    <tabColor theme="0" tint="-0.34998626667073579"/>
  </sheetPr>
  <dimension ref="A1:Y268"/>
  <sheetViews>
    <sheetView workbookViewId="0"/>
  </sheetViews>
  <sheetFormatPr defaultColWidth="9.140625" defaultRowHeight="12.75"/>
  <cols>
    <col min="1" max="1" width="4.140625" style="121" bestFit="1" customWidth="1"/>
    <col min="2" max="2" width="28.5703125" style="121" bestFit="1" customWidth="1"/>
    <col min="3" max="3" width="7.5703125" style="121" bestFit="1" customWidth="1"/>
    <col min="4" max="4" width="7.5703125" style="121" customWidth="1"/>
    <col min="5" max="14" width="7.5703125" style="121" bestFit="1" customWidth="1"/>
    <col min="15" max="15" width="10" style="121" bestFit="1" customWidth="1"/>
    <col min="16" max="17" width="9.140625" style="121"/>
    <col min="18" max="18" width="10.42578125" style="310" bestFit="1" customWidth="1"/>
    <col min="19" max="19" width="21.42578125" style="121" bestFit="1" customWidth="1"/>
    <col min="20" max="20" width="9.140625" style="121"/>
    <col min="21" max="21" width="27" style="121" bestFit="1" customWidth="1"/>
    <col min="22" max="22" width="10" style="121"/>
    <col min="23" max="23" width="10.42578125" style="121" bestFit="1" customWidth="1"/>
    <col min="24" max="16384" width="9.140625" style="121"/>
  </cols>
  <sheetData>
    <row r="1" spans="1:25" ht="13.5" thickBot="1">
      <c r="B1" s="306" t="s">
        <v>248</v>
      </c>
      <c r="C1" s="260">
        <v>1</v>
      </c>
      <c r="D1" s="260">
        <v>2</v>
      </c>
      <c r="E1" s="260">
        <v>3</v>
      </c>
      <c r="F1" s="260">
        <v>4</v>
      </c>
      <c r="G1" s="260">
        <v>5</v>
      </c>
      <c r="H1" s="260">
        <v>6</v>
      </c>
      <c r="I1" s="260">
        <v>7</v>
      </c>
      <c r="J1" s="260">
        <v>8</v>
      </c>
      <c r="K1" s="260">
        <v>9</v>
      </c>
      <c r="L1" s="260">
        <v>10</v>
      </c>
      <c r="M1" s="260">
        <v>11</v>
      </c>
      <c r="N1" s="260">
        <v>12</v>
      </c>
      <c r="O1" s="260" t="s">
        <v>156</v>
      </c>
      <c r="R1" s="307" t="s">
        <v>249</v>
      </c>
    </row>
    <row r="2" spans="1:25" ht="13.5" thickBot="1">
      <c r="A2" s="121">
        <v>2</v>
      </c>
      <c r="B2" s="308" t="s">
        <v>250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10"/>
      <c r="Q2" s="259"/>
      <c r="R2" s="307" t="s">
        <v>251</v>
      </c>
      <c r="S2" s="259"/>
      <c r="T2" s="259"/>
    </row>
    <row r="3" spans="1:25">
      <c r="A3" s="121">
        <f t="shared" ref="A3:A66" si="0">+A2+1</f>
        <v>3</v>
      </c>
      <c r="B3" s="311" t="s">
        <v>158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Q3" s="260"/>
      <c r="R3" s="309"/>
      <c r="S3" s="260"/>
      <c r="T3" s="260"/>
      <c r="U3" s="121" t="s">
        <v>159</v>
      </c>
    </row>
    <row r="4" spans="1:25">
      <c r="A4" s="121">
        <f t="shared" si="0"/>
        <v>4</v>
      </c>
      <c r="B4" s="312" t="s">
        <v>114</v>
      </c>
      <c r="C4" s="313">
        <v>1144</v>
      </c>
      <c r="D4" s="313">
        <v>1148</v>
      </c>
      <c r="E4" s="313">
        <v>1156</v>
      </c>
      <c r="F4" s="313">
        <v>1148</v>
      </c>
      <c r="G4" s="313">
        <v>1139</v>
      </c>
      <c r="H4" s="313">
        <v>1134</v>
      </c>
      <c r="I4" s="313">
        <v>1135</v>
      </c>
      <c r="J4" s="313">
        <v>1133</v>
      </c>
      <c r="K4" s="313">
        <v>1126</v>
      </c>
      <c r="L4" s="313">
        <v>1130</v>
      </c>
      <c r="M4" s="313">
        <v>1139</v>
      </c>
      <c r="N4" s="313">
        <v>1133</v>
      </c>
      <c r="O4" s="310">
        <f>AVERAGE(C4:N4)</f>
        <v>1138.75</v>
      </c>
      <c r="Q4" s="121" t="s">
        <v>17</v>
      </c>
      <c r="R4" s="310">
        <f>+SUM(C4:N4)</f>
        <v>13665</v>
      </c>
      <c r="S4" s="257" t="str">
        <f t="shared" ref="S4:S10" si="1">CONCATENATE(Q4," - ",B4," R")</f>
        <v>CFG - FTS-A R</v>
      </c>
      <c r="T4" s="257"/>
      <c r="U4" s="121" t="s">
        <v>160</v>
      </c>
      <c r="V4" s="121" t="s">
        <v>8</v>
      </c>
      <c r="Y4" s="257"/>
    </row>
    <row r="5" spans="1:25">
      <c r="A5" s="121">
        <f t="shared" si="0"/>
        <v>5</v>
      </c>
      <c r="B5" s="312" t="s">
        <v>115</v>
      </c>
      <c r="C5" s="313">
        <v>2241</v>
      </c>
      <c r="D5" s="313">
        <v>2245</v>
      </c>
      <c r="E5" s="313">
        <v>2250</v>
      </c>
      <c r="F5" s="313">
        <v>2242</v>
      </c>
      <c r="G5" s="313">
        <v>2241</v>
      </c>
      <c r="H5" s="313">
        <v>2232</v>
      </c>
      <c r="I5" s="313">
        <v>2240</v>
      </c>
      <c r="J5" s="313">
        <v>2241</v>
      </c>
      <c r="K5" s="313">
        <v>2243</v>
      </c>
      <c r="L5" s="313">
        <v>2249</v>
      </c>
      <c r="M5" s="313">
        <v>2244</v>
      </c>
      <c r="N5" s="313">
        <v>2249</v>
      </c>
      <c r="O5" s="310">
        <f t="shared" ref="O5:O10" si="2">AVERAGE(C5:N5)</f>
        <v>2243.0833333333335</v>
      </c>
      <c r="Q5" s="121" t="s">
        <v>17</v>
      </c>
      <c r="R5" s="310">
        <f t="shared" ref="R5:R15" si="3">+SUM(C5:N5)</f>
        <v>26917</v>
      </c>
      <c r="S5" s="257" t="str">
        <f t="shared" si="1"/>
        <v>CFG - FTS-B R</v>
      </c>
      <c r="T5" s="257"/>
      <c r="U5" s="121" t="s">
        <v>160</v>
      </c>
      <c r="V5" s="121" t="s">
        <v>8</v>
      </c>
      <c r="Y5" s="257"/>
    </row>
    <row r="6" spans="1:25">
      <c r="A6" s="121">
        <f t="shared" si="0"/>
        <v>6</v>
      </c>
      <c r="B6" s="312" t="s">
        <v>116</v>
      </c>
      <c r="C6" s="313">
        <v>12704</v>
      </c>
      <c r="D6" s="313">
        <v>12745</v>
      </c>
      <c r="E6" s="313">
        <v>12795</v>
      </c>
      <c r="F6" s="313">
        <v>12827</v>
      </c>
      <c r="G6" s="313">
        <v>12878</v>
      </c>
      <c r="H6" s="313">
        <v>12915</v>
      </c>
      <c r="I6" s="313">
        <v>12978</v>
      </c>
      <c r="J6" s="313">
        <v>13027</v>
      </c>
      <c r="K6" s="313">
        <v>13136</v>
      </c>
      <c r="L6" s="313">
        <v>13220</v>
      </c>
      <c r="M6" s="313">
        <v>13463</v>
      </c>
      <c r="N6" s="313">
        <v>13576</v>
      </c>
      <c r="O6" s="310">
        <f t="shared" si="2"/>
        <v>13022</v>
      </c>
      <c r="Q6" s="121" t="s">
        <v>17</v>
      </c>
      <c r="R6" s="310">
        <f t="shared" si="3"/>
        <v>156264</v>
      </c>
      <c r="S6" s="257" t="str">
        <f t="shared" si="1"/>
        <v>CFG - FTS-1 R</v>
      </c>
      <c r="T6" s="257"/>
      <c r="U6" s="121" t="s">
        <v>160</v>
      </c>
      <c r="V6" s="121" t="s">
        <v>8</v>
      </c>
      <c r="Y6" s="257"/>
    </row>
    <row r="7" spans="1:25">
      <c r="A7" s="121">
        <f t="shared" si="0"/>
        <v>7</v>
      </c>
      <c r="B7" s="312" t="s">
        <v>117</v>
      </c>
      <c r="C7" s="313">
        <v>732</v>
      </c>
      <c r="D7" s="313">
        <v>727</v>
      </c>
      <c r="E7" s="313">
        <v>731</v>
      </c>
      <c r="F7" s="313">
        <v>733</v>
      </c>
      <c r="G7" s="313">
        <v>729</v>
      </c>
      <c r="H7" s="313">
        <v>732</v>
      </c>
      <c r="I7" s="313">
        <v>729</v>
      </c>
      <c r="J7" s="313">
        <v>730</v>
      </c>
      <c r="K7" s="313">
        <v>734</v>
      </c>
      <c r="L7" s="313">
        <v>739</v>
      </c>
      <c r="M7" s="313">
        <v>737</v>
      </c>
      <c r="N7" s="313">
        <v>740</v>
      </c>
      <c r="O7" s="310">
        <f t="shared" si="2"/>
        <v>732.75</v>
      </c>
      <c r="Q7" s="121" t="s">
        <v>17</v>
      </c>
      <c r="R7" s="310">
        <f t="shared" si="3"/>
        <v>8793</v>
      </c>
      <c r="S7" s="257" t="str">
        <f t="shared" si="1"/>
        <v>CFG - FTS-2 R</v>
      </c>
      <c r="T7" s="257"/>
      <c r="U7" s="121" t="s">
        <v>160</v>
      </c>
      <c r="V7" s="121" t="s">
        <v>8</v>
      </c>
      <c r="Y7" s="257"/>
    </row>
    <row r="8" spans="1:25">
      <c r="A8" s="121">
        <f t="shared" si="0"/>
        <v>8</v>
      </c>
      <c r="B8" s="312" t="s">
        <v>118</v>
      </c>
      <c r="C8" s="313">
        <v>479</v>
      </c>
      <c r="D8" s="313">
        <v>485</v>
      </c>
      <c r="E8" s="313">
        <v>480</v>
      </c>
      <c r="F8" s="313">
        <v>479</v>
      </c>
      <c r="G8" s="313">
        <v>475</v>
      </c>
      <c r="H8" s="313">
        <v>479</v>
      </c>
      <c r="I8" s="313">
        <v>480</v>
      </c>
      <c r="J8" s="313">
        <v>480</v>
      </c>
      <c r="K8" s="313">
        <v>482</v>
      </c>
      <c r="L8" s="313">
        <v>482</v>
      </c>
      <c r="M8" s="313">
        <v>482</v>
      </c>
      <c r="N8" s="313">
        <v>481</v>
      </c>
      <c r="O8" s="310">
        <f t="shared" si="2"/>
        <v>480.33333333333331</v>
      </c>
      <c r="Q8" s="121" t="s">
        <v>17</v>
      </c>
      <c r="R8" s="310">
        <f t="shared" si="3"/>
        <v>5764</v>
      </c>
      <c r="S8" s="257" t="str">
        <f t="shared" si="1"/>
        <v>CFG - FTS-2.1 R</v>
      </c>
      <c r="T8" s="353"/>
      <c r="U8" s="121" t="s">
        <v>160</v>
      </c>
      <c r="V8" s="121" t="s">
        <v>8</v>
      </c>
      <c r="X8" s="314"/>
      <c r="Y8" s="257"/>
    </row>
    <row r="9" spans="1:25">
      <c r="A9" s="121">
        <f t="shared" si="0"/>
        <v>9</v>
      </c>
      <c r="B9" s="315" t="s">
        <v>119</v>
      </c>
      <c r="C9" s="313">
        <v>16</v>
      </c>
      <c r="D9" s="313">
        <v>16</v>
      </c>
      <c r="E9" s="313">
        <v>16</v>
      </c>
      <c r="F9" s="313">
        <v>16</v>
      </c>
      <c r="G9" s="313">
        <v>17</v>
      </c>
      <c r="H9" s="313">
        <v>16</v>
      </c>
      <c r="I9" s="313">
        <v>16</v>
      </c>
      <c r="J9" s="313">
        <v>16</v>
      </c>
      <c r="K9" s="313">
        <v>16</v>
      </c>
      <c r="L9" s="313">
        <v>16</v>
      </c>
      <c r="M9" s="313">
        <v>16</v>
      </c>
      <c r="N9" s="313">
        <v>17</v>
      </c>
      <c r="O9" s="310">
        <f t="shared" si="2"/>
        <v>16.166666666666668</v>
      </c>
      <c r="Q9" s="121" t="s">
        <v>17</v>
      </c>
      <c r="R9" s="310">
        <f t="shared" si="3"/>
        <v>194</v>
      </c>
      <c r="S9" s="257" t="str">
        <f t="shared" si="1"/>
        <v>CFG - FTS-3 R</v>
      </c>
      <c r="T9" s="257"/>
      <c r="U9" s="121" t="s">
        <v>160</v>
      </c>
      <c r="V9" s="121" t="s">
        <v>8</v>
      </c>
      <c r="Y9" s="257"/>
    </row>
    <row r="10" spans="1:25">
      <c r="A10" s="121">
        <f t="shared" si="0"/>
        <v>10</v>
      </c>
      <c r="B10" s="315" t="s">
        <v>120</v>
      </c>
      <c r="C10" s="313">
        <v>0</v>
      </c>
      <c r="D10" s="313">
        <v>0</v>
      </c>
      <c r="E10" s="313">
        <v>0</v>
      </c>
      <c r="F10" s="313">
        <v>0</v>
      </c>
      <c r="G10" s="313">
        <v>0</v>
      </c>
      <c r="H10" s="313">
        <v>0</v>
      </c>
      <c r="I10" s="313">
        <v>0</v>
      </c>
      <c r="J10" s="313">
        <v>0</v>
      </c>
      <c r="K10" s="313">
        <v>0</v>
      </c>
      <c r="L10" s="313">
        <v>0</v>
      </c>
      <c r="M10" s="313">
        <v>0</v>
      </c>
      <c r="N10" s="313">
        <v>0</v>
      </c>
      <c r="O10" s="310">
        <f t="shared" si="2"/>
        <v>0</v>
      </c>
      <c r="Q10" s="121" t="s">
        <v>17</v>
      </c>
      <c r="R10" s="310">
        <f t="shared" si="3"/>
        <v>0</v>
      </c>
      <c r="S10" s="257" t="str">
        <f t="shared" si="1"/>
        <v>CFG - FTS-3.1 R</v>
      </c>
      <c r="T10" s="257"/>
      <c r="U10" s="121" t="s">
        <v>160</v>
      </c>
      <c r="V10" s="121" t="s">
        <v>8</v>
      </c>
      <c r="Y10" s="257"/>
    </row>
    <row r="11" spans="1:25">
      <c r="A11" s="121">
        <f t="shared" si="0"/>
        <v>11</v>
      </c>
      <c r="B11" s="315" t="s">
        <v>161</v>
      </c>
      <c r="C11" s="313">
        <v>56960</v>
      </c>
      <c r="D11" s="313">
        <v>57116</v>
      </c>
      <c r="E11" s="313">
        <v>57325</v>
      </c>
      <c r="F11" s="313">
        <v>57693</v>
      </c>
      <c r="G11" s="313">
        <v>57766</v>
      </c>
      <c r="H11" s="313">
        <v>58003</v>
      </c>
      <c r="I11" s="313">
        <v>58395</v>
      </c>
      <c r="J11" s="313">
        <v>58502</v>
      </c>
      <c r="K11" s="313">
        <v>58692</v>
      </c>
      <c r="L11" s="313">
        <v>59012</v>
      </c>
      <c r="M11" s="313">
        <v>59322</v>
      </c>
      <c r="N11" s="313">
        <v>59506</v>
      </c>
      <c r="O11" s="310">
        <f>AVERAGE(C11:N11)</f>
        <v>58191</v>
      </c>
      <c r="Q11" s="121" t="s">
        <v>16</v>
      </c>
      <c r="R11" s="310">
        <f>+SUM(C11:N11)</f>
        <v>698292</v>
      </c>
      <c r="S11" s="257" t="str">
        <f t="shared" ref="S11:S61" si="4">CONCATENATE(Q11," - ",B11)</f>
        <v>FPU - FPU - RS</v>
      </c>
      <c r="T11" s="257"/>
      <c r="V11" s="121" t="s">
        <v>8</v>
      </c>
      <c r="W11" s="257"/>
      <c r="X11" s="314"/>
      <c r="Y11" s="257"/>
    </row>
    <row r="12" spans="1:25">
      <c r="A12" s="121">
        <f t="shared" si="0"/>
        <v>12</v>
      </c>
      <c r="B12" s="315" t="s">
        <v>163</v>
      </c>
      <c r="C12" s="313">
        <v>564</v>
      </c>
      <c r="D12" s="313">
        <v>563</v>
      </c>
      <c r="E12" s="313">
        <v>568</v>
      </c>
      <c r="F12" s="313">
        <v>578</v>
      </c>
      <c r="G12" s="313">
        <v>575</v>
      </c>
      <c r="H12" s="313">
        <v>585</v>
      </c>
      <c r="I12" s="313">
        <v>593</v>
      </c>
      <c r="J12" s="313">
        <v>594</v>
      </c>
      <c r="K12" s="313">
        <v>611</v>
      </c>
      <c r="L12" s="313">
        <v>629</v>
      </c>
      <c r="M12" s="313">
        <v>648</v>
      </c>
      <c r="N12" s="313">
        <v>653</v>
      </c>
      <c r="O12" s="310">
        <f>AVERAGE(C12:N12)</f>
        <v>596.75</v>
      </c>
      <c r="Q12" s="121" t="s">
        <v>16</v>
      </c>
      <c r="R12" s="310">
        <f>+SUM(C12:N12)</f>
        <v>7161</v>
      </c>
      <c r="S12" s="257" t="str">
        <f t="shared" si="4"/>
        <v>FPU - FPU - RS-GS</v>
      </c>
      <c r="T12" s="257"/>
      <c r="U12" s="121" t="s">
        <v>162</v>
      </c>
      <c r="V12" s="121" t="s">
        <v>8</v>
      </c>
      <c r="Y12" s="257"/>
    </row>
    <row r="13" spans="1:25">
      <c r="A13" s="121">
        <f t="shared" si="0"/>
        <v>13</v>
      </c>
      <c r="B13" s="315" t="s">
        <v>111</v>
      </c>
      <c r="C13" s="313">
        <v>565</v>
      </c>
      <c r="D13" s="313">
        <v>564</v>
      </c>
      <c r="E13" s="313">
        <v>563</v>
      </c>
      <c r="F13" s="313">
        <v>556</v>
      </c>
      <c r="G13" s="313">
        <v>549</v>
      </c>
      <c r="H13" s="313">
        <v>545</v>
      </c>
      <c r="I13" s="313">
        <v>549</v>
      </c>
      <c r="J13" s="313">
        <v>549</v>
      </c>
      <c r="K13" s="313">
        <v>551</v>
      </c>
      <c r="L13" s="313">
        <v>554</v>
      </c>
      <c r="M13" s="313">
        <v>553</v>
      </c>
      <c r="N13" s="313">
        <v>554</v>
      </c>
      <c r="O13" s="310">
        <f>AVERAGE(C13:N13)</f>
        <v>554.33333333333337</v>
      </c>
      <c r="Q13" s="121" t="s">
        <v>14</v>
      </c>
      <c r="R13" s="310">
        <f t="shared" si="3"/>
        <v>6652</v>
      </c>
      <c r="S13" s="257" t="str">
        <f t="shared" si="4"/>
        <v>FT - FT-RS</v>
      </c>
      <c r="T13" s="257"/>
      <c r="U13" s="121" t="s">
        <v>164</v>
      </c>
      <c r="V13" s="121" t="s">
        <v>8</v>
      </c>
      <c r="X13" s="314"/>
      <c r="Y13" s="257"/>
    </row>
    <row r="14" spans="1:25">
      <c r="A14" s="121">
        <f t="shared" si="0"/>
        <v>14</v>
      </c>
      <c r="B14" s="315" t="s">
        <v>105</v>
      </c>
      <c r="C14" s="313">
        <v>676</v>
      </c>
      <c r="D14" s="313">
        <v>674</v>
      </c>
      <c r="E14" s="313">
        <v>673</v>
      </c>
      <c r="F14" s="313">
        <v>673</v>
      </c>
      <c r="G14" s="313">
        <v>674</v>
      </c>
      <c r="H14" s="313">
        <v>671</v>
      </c>
      <c r="I14" s="313">
        <v>673</v>
      </c>
      <c r="J14" s="313">
        <v>675</v>
      </c>
      <c r="K14" s="313">
        <v>676</v>
      </c>
      <c r="L14" s="313">
        <v>675</v>
      </c>
      <c r="M14" s="313">
        <v>674</v>
      </c>
      <c r="N14" s="313">
        <v>672</v>
      </c>
      <c r="O14" s="310">
        <f>AVERAGE(C14:N14)</f>
        <v>673.83333333333337</v>
      </c>
      <c r="Q14" s="121" t="s">
        <v>13</v>
      </c>
      <c r="R14" s="310">
        <f t="shared" si="3"/>
        <v>8086</v>
      </c>
      <c r="S14" s="257" t="str">
        <f t="shared" si="4"/>
        <v>IGC - IGC - TS1</v>
      </c>
      <c r="T14" s="257"/>
      <c r="U14" s="121" t="s">
        <v>165</v>
      </c>
      <c r="V14" s="121" t="s">
        <v>8</v>
      </c>
      <c r="X14" s="314"/>
      <c r="Y14" s="257"/>
    </row>
    <row r="15" spans="1:25">
      <c r="A15" s="121">
        <f t="shared" si="0"/>
        <v>15</v>
      </c>
      <c r="B15" s="316" t="s">
        <v>166</v>
      </c>
      <c r="C15" s="317">
        <f>SUM(C4:C14)</f>
        <v>76081</v>
      </c>
      <c r="D15" s="317">
        <f t="shared" ref="D15:N15" si="5">SUM(D4:D14)</f>
        <v>76283</v>
      </c>
      <c r="E15" s="317">
        <f t="shared" si="5"/>
        <v>76557</v>
      </c>
      <c r="F15" s="317">
        <f t="shared" si="5"/>
        <v>76945</v>
      </c>
      <c r="G15" s="317">
        <f t="shared" si="5"/>
        <v>77043</v>
      </c>
      <c r="H15" s="317">
        <f t="shared" si="5"/>
        <v>77312</v>
      </c>
      <c r="I15" s="317">
        <f t="shared" si="5"/>
        <v>77788</v>
      </c>
      <c r="J15" s="317">
        <f t="shared" si="5"/>
        <v>77947</v>
      </c>
      <c r="K15" s="317">
        <f t="shared" si="5"/>
        <v>78267</v>
      </c>
      <c r="L15" s="317">
        <f t="shared" si="5"/>
        <v>78706</v>
      </c>
      <c r="M15" s="317">
        <f t="shared" si="5"/>
        <v>79278</v>
      </c>
      <c r="N15" s="317">
        <f t="shared" si="5"/>
        <v>79581</v>
      </c>
      <c r="O15" s="317">
        <f>+SUM(O4:O14)</f>
        <v>77648.999999999985</v>
      </c>
      <c r="R15" s="310">
        <f t="shared" si="3"/>
        <v>931788</v>
      </c>
      <c r="S15" s="257"/>
      <c r="U15" s="257"/>
      <c r="X15" s="314"/>
      <c r="Y15" s="257"/>
    </row>
    <row r="16" spans="1:25">
      <c r="A16" s="121">
        <f t="shared" si="0"/>
        <v>16</v>
      </c>
      <c r="B16" s="311" t="s">
        <v>167</v>
      </c>
      <c r="C16" s="310"/>
      <c r="D16" s="318"/>
      <c r="E16" s="310"/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S16" s="257"/>
      <c r="U16" s="257"/>
      <c r="Y16" s="257"/>
    </row>
    <row r="17" spans="1:25">
      <c r="A17" s="121">
        <f t="shared" si="0"/>
        <v>17</v>
      </c>
      <c r="B17" s="312" t="s">
        <v>114</v>
      </c>
      <c r="C17" s="313">
        <v>33</v>
      </c>
      <c r="D17" s="313">
        <v>35</v>
      </c>
      <c r="E17" s="313">
        <v>35</v>
      </c>
      <c r="F17" s="313">
        <v>33</v>
      </c>
      <c r="G17" s="313">
        <v>31</v>
      </c>
      <c r="H17" s="313">
        <v>31</v>
      </c>
      <c r="I17" s="313">
        <v>31</v>
      </c>
      <c r="J17" s="313">
        <v>29</v>
      </c>
      <c r="K17" s="313">
        <v>29</v>
      </c>
      <c r="L17" s="313">
        <v>30</v>
      </c>
      <c r="M17" s="313">
        <v>32</v>
      </c>
      <c r="N17" s="313">
        <v>32</v>
      </c>
      <c r="O17" s="310">
        <f t="shared" ref="O17:O23" si="6">AVERAGE(C17:N17)</f>
        <v>31.75</v>
      </c>
      <c r="Q17" s="121" t="s">
        <v>17</v>
      </c>
      <c r="R17" s="310">
        <f t="shared" ref="R17:R24" si="7">+SUM(C17:N17)</f>
        <v>381</v>
      </c>
      <c r="S17" s="257" t="str">
        <f>CONCATENATE(Q17," - ",B17," - ",T17)</f>
        <v>CFG - FTS-A - Fixed R</v>
      </c>
      <c r="T17" s="121" t="s">
        <v>168</v>
      </c>
      <c r="U17" s="121" t="s">
        <v>160</v>
      </c>
      <c r="V17" s="121" t="s">
        <v>8</v>
      </c>
      <c r="Y17" s="257"/>
    </row>
    <row r="18" spans="1:25">
      <c r="A18" s="121">
        <f t="shared" si="0"/>
        <v>18</v>
      </c>
      <c r="B18" s="312" t="s">
        <v>115</v>
      </c>
      <c r="C18" s="313">
        <v>63</v>
      </c>
      <c r="D18" s="313">
        <v>61</v>
      </c>
      <c r="E18" s="313">
        <v>61</v>
      </c>
      <c r="F18" s="313">
        <v>62</v>
      </c>
      <c r="G18" s="313">
        <v>60</v>
      </c>
      <c r="H18" s="313">
        <v>60</v>
      </c>
      <c r="I18" s="313">
        <v>60</v>
      </c>
      <c r="J18" s="313">
        <v>61</v>
      </c>
      <c r="K18" s="313">
        <v>61</v>
      </c>
      <c r="L18" s="313">
        <v>63</v>
      </c>
      <c r="M18" s="313">
        <v>62</v>
      </c>
      <c r="N18" s="313">
        <v>62</v>
      </c>
      <c r="O18" s="310">
        <f t="shared" si="6"/>
        <v>61.333333333333336</v>
      </c>
      <c r="Q18" s="121" t="s">
        <v>17</v>
      </c>
      <c r="R18" s="310">
        <f t="shared" si="7"/>
        <v>736</v>
      </c>
      <c r="S18" s="257" t="str">
        <f t="shared" ref="S18:S23" si="8">CONCATENATE(Q18," - ",B18," - ",T18)</f>
        <v>CFG - FTS-B - Fixed R</v>
      </c>
      <c r="T18" s="121" t="s">
        <v>168</v>
      </c>
      <c r="U18" s="121" t="s">
        <v>160</v>
      </c>
      <c r="V18" s="121" t="s">
        <v>8</v>
      </c>
      <c r="Y18" s="257"/>
    </row>
    <row r="19" spans="1:25">
      <c r="A19" s="121">
        <f t="shared" si="0"/>
        <v>19</v>
      </c>
      <c r="B19" s="312" t="s">
        <v>116</v>
      </c>
      <c r="C19" s="313">
        <v>167</v>
      </c>
      <c r="D19" s="313">
        <v>167</v>
      </c>
      <c r="E19" s="313">
        <v>168</v>
      </c>
      <c r="F19" s="313">
        <v>167</v>
      </c>
      <c r="G19" s="313">
        <v>164</v>
      </c>
      <c r="H19" s="313">
        <v>164</v>
      </c>
      <c r="I19" s="313">
        <v>164</v>
      </c>
      <c r="J19" s="313">
        <v>165</v>
      </c>
      <c r="K19" s="313">
        <v>164</v>
      </c>
      <c r="L19" s="313">
        <v>165</v>
      </c>
      <c r="M19" s="313">
        <v>165</v>
      </c>
      <c r="N19" s="313">
        <v>165</v>
      </c>
      <c r="O19" s="310">
        <f t="shared" si="6"/>
        <v>165.41666666666666</v>
      </c>
      <c r="Q19" s="121" t="s">
        <v>17</v>
      </c>
      <c r="R19" s="310">
        <f t="shared" si="7"/>
        <v>1985</v>
      </c>
      <c r="S19" s="257" t="str">
        <f t="shared" si="8"/>
        <v>CFG - FTS-1 - Fixed R</v>
      </c>
      <c r="T19" s="121" t="s">
        <v>168</v>
      </c>
      <c r="U19" s="121" t="s">
        <v>160</v>
      </c>
      <c r="V19" s="121" t="s">
        <v>8</v>
      </c>
      <c r="Y19" s="257"/>
    </row>
    <row r="20" spans="1:25">
      <c r="A20" s="121">
        <f t="shared" si="0"/>
        <v>20</v>
      </c>
      <c r="B20" s="312" t="s">
        <v>117</v>
      </c>
      <c r="C20" s="313">
        <v>19</v>
      </c>
      <c r="D20" s="313">
        <v>19</v>
      </c>
      <c r="E20" s="313">
        <v>20</v>
      </c>
      <c r="F20" s="313">
        <v>20</v>
      </c>
      <c r="G20" s="313">
        <v>20</v>
      </c>
      <c r="H20" s="313">
        <v>20</v>
      </c>
      <c r="I20" s="313">
        <v>20</v>
      </c>
      <c r="J20" s="313">
        <v>20</v>
      </c>
      <c r="K20" s="313">
        <v>20</v>
      </c>
      <c r="L20" s="313">
        <v>21</v>
      </c>
      <c r="M20" s="313">
        <v>20</v>
      </c>
      <c r="N20" s="313">
        <v>20</v>
      </c>
      <c r="O20" s="310">
        <f t="shared" si="6"/>
        <v>19.916666666666668</v>
      </c>
      <c r="Q20" s="121" t="s">
        <v>17</v>
      </c>
      <c r="R20" s="310">
        <f t="shared" si="7"/>
        <v>239</v>
      </c>
      <c r="S20" s="257" t="str">
        <f t="shared" si="8"/>
        <v>CFG - FTS-2 - Fixed R</v>
      </c>
      <c r="T20" s="121" t="s">
        <v>168</v>
      </c>
      <c r="U20" s="121" t="s">
        <v>160</v>
      </c>
      <c r="V20" s="121" t="s">
        <v>8</v>
      </c>
      <c r="Y20" s="257"/>
    </row>
    <row r="21" spans="1:25">
      <c r="A21" s="121">
        <f t="shared" si="0"/>
        <v>21</v>
      </c>
      <c r="B21" s="312" t="s">
        <v>118</v>
      </c>
      <c r="C21" s="313">
        <v>8</v>
      </c>
      <c r="D21" s="313">
        <v>8</v>
      </c>
      <c r="E21" s="313">
        <v>8</v>
      </c>
      <c r="F21" s="313">
        <v>8</v>
      </c>
      <c r="G21" s="313">
        <v>8</v>
      </c>
      <c r="H21" s="313">
        <v>8</v>
      </c>
      <c r="I21" s="313">
        <v>8</v>
      </c>
      <c r="J21" s="313">
        <v>8</v>
      </c>
      <c r="K21" s="313">
        <v>8</v>
      </c>
      <c r="L21" s="313">
        <v>8</v>
      </c>
      <c r="M21" s="313">
        <v>8</v>
      </c>
      <c r="N21" s="313">
        <v>8</v>
      </c>
      <c r="O21" s="310">
        <f t="shared" si="6"/>
        <v>8</v>
      </c>
      <c r="Q21" s="121" t="s">
        <v>17</v>
      </c>
      <c r="R21" s="310">
        <f t="shared" si="7"/>
        <v>96</v>
      </c>
      <c r="S21" s="257" t="str">
        <f t="shared" si="8"/>
        <v>CFG - FTS-2.1 - Fixed R</v>
      </c>
      <c r="T21" s="121" t="s">
        <v>168</v>
      </c>
      <c r="U21" s="121" t="s">
        <v>160</v>
      </c>
      <c r="V21" s="121" t="s">
        <v>8</v>
      </c>
      <c r="Y21" s="257"/>
    </row>
    <row r="22" spans="1:25">
      <c r="A22" s="121">
        <f t="shared" si="0"/>
        <v>22</v>
      </c>
      <c r="B22" s="315" t="s">
        <v>119</v>
      </c>
      <c r="C22" s="313">
        <v>0</v>
      </c>
      <c r="D22" s="313">
        <v>0</v>
      </c>
      <c r="E22" s="313">
        <v>0</v>
      </c>
      <c r="F22" s="313">
        <v>0</v>
      </c>
      <c r="G22" s="313">
        <v>0</v>
      </c>
      <c r="H22" s="313">
        <v>0</v>
      </c>
      <c r="I22" s="313">
        <v>0</v>
      </c>
      <c r="J22" s="313">
        <v>0</v>
      </c>
      <c r="K22" s="313">
        <v>0</v>
      </c>
      <c r="L22" s="313">
        <v>0</v>
      </c>
      <c r="M22" s="313">
        <v>0</v>
      </c>
      <c r="N22" s="313">
        <v>0</v>
      </c>
      <c r="O22" s="310">
        <f t="shared" si="6"/>
        <v>0</v>
      </c>
      <c r="Q22" s="121" t="s">
        <v>17</v>
      </c>
      <c r="R22" s="310">
        <f t="shared" si="7"/>
        <v>0</v>
      </c>
      <c r="S22" s="257" t="str">
        <f t="shared" si="8"/>
        <v>CFG - FTS-3 - Fixed R</v>
      </c>
      <c r="T22" s="121" t="s">
        <v>168</v>
      </c>
      <c r="U22" s="121" t="s">
        <v>160</v>
      </c>
      <c r="V22" s="121" t="s">
        <v>8</v>
      </c>
      <c r="Y22" s="257"/>
    </row>
    <row r="23" spans="1:25" ht="12.75" customHeight="1">
      <c r="A23" s="121">
        <f t="shared" si="0"/>
        <v>23</v>
      </c>
      <c r="B23" s="315" t="s">
        <v>120</v>
      </c>
      <c r="C23" s="313">
        <v>0</v>
      </c>
      <c r="D23" s="313">
        <v>0</v>
      </c>
      <c r="E23" s="313">
        <v>0</v>
      </c>
      <c r="F23" s="313">
        <v>0</v>
      </c>
      <c r="G23" s="313">
        <v>0</v>
      </c>
      <c r="H23" s="313">
        <v>0</v>
      </c>
      <c r="I23" s="313">
        <v>0</v>
      </c>
      <c r="J23" s="313">
        <v>0</v>
      </c>
      <c r="K23" s="313">
        <v>0</v>
      </c>
      <c r="L23" s="313">
        <v>0</v>
      </c>
      <c r="M23" s="313">
        <v>0</v>
      </c>
      <c r="N23" s="313">
        <v>0</v>
      </c>
      <c r="O23" s="319">
        <f t="shared" si="6"/>
        <v>0</v>
      </c>
      <c r="Q23" s="121" t="s">
        <v>17</v>
      </c>
      <c r="R23" s="310">
        <f t="shared" si="7"/>
        <v>0</v>
      </c>
      <c r="S23" s="257" t="str">
        <f t="shared" si="8"/>
        <v>CFG - FTS-3.1 - Fixed R</v>
      </c>
      <c r="T23" s="121" t="s">
        <v>168</v>
      </c>
      <c r="U23" s="121" t="s">
        <v>160</v>
      </c>
      <c r="V23" s="121" t="s">
        <v>8</v>
      </c>
      <c r="Y23" s="257"/>
    </row>
    <row r="24" spans="1:25">
      <c r="A24" s="121">
        <f t="shared" si="0"/>
        <v>24</v>
      </c>
      <c r="B24" s="316" t="s">
        <v>169</v>
      </c>
      <c r="C24" s="317">
        <f t="shared" ref="C24:N24" si="9">SUM(C17:C23)</f>
        <v>290</v>
      </c>
      <c r="D24" s="317">
        <f t="shared" si="9"/>
        <v>290</v>
      </c>
      <c r="E24" s="317">
        <f t="shared" si="9"/>
        <v>292</v>
      </c>
      <c r="F24" s="317">
        <f t="shared" si="9"/>
        <v>290</v>
      </c>
      <c r="G24" s="317">
        <f t="shared" si="9"/>
        <v>283</v>
      </c>
      <c r="H24" s="317">
        <f t="shared" si="9"/>
        <v>283</v>
      </c>
      <c r="I24" s="317">
        <f t="shared" si="9"/>
        <v>283</v>
      </c>
      <c r="J24" s="317">
        <f t="shared" si="9"/>
        <v>283</v>
      </c>
      <c r="K24" s="317">
        <f t="shared" si="9"/>
        <v>282</v>
      </c>
      <c r="L24" s="317">
        <f t="shared" si="9"/>
        <v>287</v>
      </c>
      <c r="M24" s="317">
        <f t="shared" si="9"/>
        <v>287</v>
      </c>
      <c r="N24" s="317">
        <f t="shared" si="9"/>
        <v>287</v>
      </c>
      <c r="O24" s="310">
        <f>SUM(O17:O23)</f>
        <v>286.41666666666669</v>
      </c>
      <c r="R24" s="310">
        <f t="shared" si="7"/>
        <v>3437</v>
      </c>
      <c r="S24" s="257"/>
      <c r="Y24" s="257"/>
    </row>
    <row r="25" spans="1:25">
      <c r="A25" s="121">
        <f t="shared" si="0"/>
        <v>25</v>
      </c>
      <c r="B25" s="320" t="s">
        <v>170</v>
      </c>
      <c r="C25" s="310"/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0"/>
      <c r="R25" s="121"/>
      <c r="S25" s="257"/>
      <c r="Y25" s="257"/>
    </row>
    <row r="26" spans="1:25">
      <c r="A26" s="121">
        <f t="shared" si="0"/>
        <v>26</v>
      </c>
      <c r="B26" s="312" t="s">
        <v>114</v>
      </c>
      <c r="C26" s="313">
        <v>10</v>
      </c>
      <c r="D26" s="313">
        <v>10</v>
      </c>
      <c r="E26" s="313">
        <v>10</v>
      </c>
      <c r="F26" s="313">
        <v>10</v>
      </c>
      <c r="G26" s="313">
        <v>10</v>
      </c>
      <c r="H26" s="313">
        <v>10</v>
      </c>
      <c r="I26" s="313">
        <v>10</v>
      </c>
      <c r="J26" s="313">
        <v>10</v>
      </c>
      <c r="K26" s="313">
        <v>10</v>
      </c>
      <c r="L26" s="313">
        <v>10</v>
      </c>
      <c r="M26" s="313">
        <v>10</v>
      </c>
      <c r="N26" s="313">
        <v>10</v>
      </c>
      <c r="O26" s="310">
        <f t="shared" ref="O26:O61" si="10">AVERAGE(C26:N26)</f>
        <v>10</v>
      </c>
      <c r="Q26" s="121" t="s">
        <v>17</v>
      </c>
      <c r="R26" s="310">
        <f t="shared" ref="R26:R62" si="11">+SUM(C26:N26)</f>
        <v>120</v>
      </c>
      <c r="S26" s="257" t="str">
        <f t="shared" ref="S26:S32" si="12">CONCATENATE(Q26," - ",B26," NR")</f>
        <v>CFG - FTS-A NR</v>
      </c>
      <c r="U26" s="121" t="s">
        <v>171</v>
      </c>
      <c r="V26" s="121" t="s">
        <v>1245</v>
      </c>
      <c r="Y26" s="257"/>
    </row>
    <row r="27" spans="1:25">
      <c r="A27" s="121">
        <f t="shared" si="0"/>
        <v>27</v>
      </c>
      <c r="B27" s="312" t="s">
        <v>115</v>
      </c>
      <c r="C27" s="313">
        <v>7</v>
      </c>
      <c r="D27" s="313">
        <v>7</v>
      </c>
      <c r="E27" s="313">
        <v>7</v>
      </c>
      <c r="F27" s="313">
        <v>6</v>
      </c>
      <c r="G27" s="313">
        <v>6</v>
      </c>
      <c r="H27" s="313">
        <v>6</v>
      </c>
      <c r="I27" s="313">
        <v>6</v>
      </c>
      <c r="J27" s="313">
        <v>6</v>
      </c>
      <c r="K27" s="313">
        <v>6</v>
      </c>
      <c r="L27" s="313">
        <v>6</v>
      </c>
      <c r="M27" s="313">
        <v>6</v>
      </c>
      <c r="N27" s="313">
        <v>7</v>
      </c>
      <c r="O27" s="310">
        <f t="shared" si="10"/>
        <v>6.333333333333333</v>
      </c>
      <c r="Q27" s="121" t="s">
        <v>17</v>
      </c>
      <c r="R27" s="310">
        <f t="shared" si="11"/>
        <v>76</v>
      </c>
      <c r="S27" s="257" t="str">
        <f t="shared" si="12"/>
        <v>CFG - FTS-B NR</v>
      </c>
      <c r="T27" s="355"/>
      <c r="U27" s="121" t="s">
        <v>171</v>
      </c>
      <c r="V27" s="121" t="s">
        <v>1245</v>
      </c>
      <c r="Y27" s="257"/>
    </row>
    <row r="28" spans="1:25">
      <c r="A28" s="121">
        <f t="shared" si="0"/>
        <v>28</v>
      </c>
      <c r="B28" s="312" t="s">
        <v>116</v>
      </c>
      <c r="C28" s="313">
        <v>230</v>
      </c>
      <c r="D28" s="313">
        <v>230</v>
      </c>
      <c r="E28" s="313">
        <v>231</v>
      </c>
      <c r="F28" s="313">
        <v>229</v>
      </c>
      <c r="G28" s="313">
        <v>229</v>
      </c>
      <c r="H28" s="313">
        <v>227</v>
      </c>
      <c r="I28" s="313">
        <v>225</v>
      </c>
      <c r="J28" s="313">
        <v>226</v>
      </c>
      <c r="K28" s="313">
        <v>230</v>
      </c>
      <c r="L28" s="313">
        <v>229</v>
      </c>
      <c r="M28" s="313">
        <v>228</v>
      </c>
      <c r="N28" s="313">
        <v>227</v>
      </c>
      <c r="O28" s="310">
        <f t="shared" si="10"/>
        <v>228.41666666666666</v>
      </c>
      <c r="Q28" s="121" t="s">
        <v>17</v>
      </c>
      <c r="R28" s="310">
        <f t="shared" si="11"/>
        <v>2741</v>
      </c>
      <c r="S28" s="257" t="str">
        <f t="shared" si="12"/>
        <v>CFG - FTS-1 NR</v>
      </c>
      <c r="T28" s="355"/>
      <c r="U28" s="121" t="s">
        <v>171</v>
      </c>
      <c r="V28" s="121" t="s">
        <v>1245</v>
      </c>
      <c r="Y28" s="257"/>
    </row>
    <row r="29" spans="1:25">
      <c r="A29" s="121">
        <f t="shared" si="0"/>
        <v>29</v>
      </c>
      <c r="B29" s="312" t="s">
        <v>117</v>
      </c>
      <c r="C29" s="313">
        <v>99</v>
      </c>
      <c r="D29" s="313">
        <v>100</v>
      </c>
      <c r="E29" s="313">
        <v>101</v>
      </c>
      <c r="F29" s="313">
        <v>101</v>
      </c>
      <c r="G29" s="313">
        <v>100</v>
      </c>
      <c r="H29" s="313">
        <v>101</v>
      </c>
      <c r="I29" s="313">
        <v>99</v>
      </c>
      <c r="J29" s="313">
        <v>101</v>
      </c>
      <c r="K29" s="313">
        <v>101</v>
      </c>
      <c r="L29" s="313">
        <v>101</v>
      </c>
      <c r="M29" s="313">
        <v>101</v>
      </c>
      <c r="N29" s="313">
        <v>99</v>
      </c>
      <c r="O29" s="310">
        <f t="shared" si="10"/>
        <v>100.33333333333333</v>
      </c>
      <c r="Q29" s="121" t="s">
        <v>17</v>
      </c>
      <c r="R29" s="310">
        <f t="shared" si="11"/>
        <v>1204</v>
      </c>
      <c r="S29" s="257" t="str">
        <f t="shared" si="12"/>
        <v>CFG - FTS-2 NR</v>
      </c>
      <c r="T29" s="355"/>
      <c r="U29" s="121" t="s">
        <v>171</v>
      </c>
      <c r="V29" s="121" t="s">
        <v>1245</v>
      </c>
      <c r="Y29" s="257"/>
    </row>
    <row r="30" spans="1:25">
      <c r="A30" s="121">
        <f t="shared" si="0"/>
        <v>30</v>
      </c>
      <c r="B30" s="312" t="s">
        <v>118</v>
      </c>
      <c r="C30" s="313">
        <v>210</v>
      </c>
      <c r="D30" s="313">
        <v>210</v>
      </c>
      <c r="E30" s="313">
        <v>211</v>
      </c>
      <c r="F30" s="313">
        <v>212</v>
      </c>
      <c r="G30" s="313">
        <v>211</v>
      </c>
      <c r="H30" s="313">
        <v>210</v>
      </c>
      <c r="I30" s="313">
        <v>209</v>
      </c>
      <c r="J30" s="313">
        <v>209</v>
      </c>
      <c r="K30" s="313">
        <v>208</v>
      </c>
      <c r="L30" s="313">
        <v>210</v>
      </c>
      <c r="M30" s="313">
        <v>215</v>
      </c>
      <c r="N30" s="313">
        <v>214</v>
      </c>
      <c r="O30" s="310">
        <f t="shared" si="10"/>
        <v>210.75</v>
      </c>
      <c r="Q30" s="121" t="s">
        <v>17</v>
      </c>
      <c r="R30" s="310">
        <f t="shared" si="11"/>
        <v>2529</v>
      </c>
      <c r="S30" s="257" t="str">
        <f t="shared" si="12"/>
        <v>CFG - FTS-2.1 NR</v>
      </c>
      <c r="T30" s="355"/>
      <c r="U30" s="121" t="s">
        <v>171</v>
      </c>
      <c r="V30" s="121" t="s">
        <v>1245</v>
      </c>
      <c r="Y30" s="257"/>
    </row>
    <row r="31" spans="1:25">
      <c r="A31" s="121">
        <f t="shared" si="0"/>
        <v>31</v>
      </c>
      <c r="B31" s="315" t="s">
        <v>119</v>
      </c>
      <c r="C31" s="313">
        <v>276</v>
      </c>
      <c r="D31" s="313">
        <v>277</v>
      </c>
      <c r="E31" s="313">
        <v>277</v>
      </c>
      <c r="F31" s="313">
        <v>280</v>
      </c>
      <c r="G31" s="313">
        <v>279</v>
      </c>
      <c r="H31" s="313">
        <v>277</v>
      </c>
      <c r="I31" s="313">
        <v>278</v>
      </c>
      <c r="J31" s="313">
        <v>280</v>
      </c>
      <c r="K31" s="313">
        <v>280</v>
      </c>
      <c r="L31" s="313">
        <v>283</v>
      </c>
      <c r="M31" s="313">
        <v>281</v>
      </c>
      <c r="N31" s="313">
        <v>283</v>
      </c>
      <c r="O31" s="310">
        <f t="shared" si="10"/>
        <v>279.25</v>
      </c>
      <c r="Q31" s="121" t="s">
        <v>17</v>
      </c>
      <c r="R31" s="310">
        <f t="shared" si="11"/>
        <v>3351</v>
      </c>
      <c r="S31" s="257" t="str">
        <f t="shared" si="12"/>
        <v>CFG - FTS-3 NR</v>
      </c>
      <c r="U31" s="121" t="s">
        <v>171</v>
      </c>
      <c r="V31" s="121" t="s">
        <v>1245</v>
      </c>
      <c r="Y31" s="257"/>
    </row>
    <row r="32" spans="1:25">
      <c r="A32" s="121">
        <f t="shared" si="0"/>
        <v>32</v>
      </c>
      <c r="B32" s="315" t="s">
        <v>120</v>
      </c>
      <c r="C32" s="313">
        <v>336</v>
      </c>
      <c r="D32" s="313">
        <v>337</v>
      </c>
      <c r="E32" s="313">
        <v>338</v>
      </c>
      <c r="F32" s="313">
        <v>337</v>
      </c>
      <c r="G32" s="313">
        <v>337</v>
      </c>
      <c r="H32" s="313">
        <v>336</v>
      </c>
      <c r="I32" s="313">
        <v>334</v>
      </c>
      <c r="J32" s="313">
        <v>340</v>
      </c>
      <c r="K32" s="313">
        <v>334</v>
      </c>
      <c r="L32" s="313">
        <v>338</v>
      </c>
      <c r="M32" s="313">
        <v>334</v>
      </c>
      <c r="N32" s="313">
        <v>332</v>
      </c>
      <c r="O32" s="310">
        <f t="shared" si="10"/>
        <v>336.08333333333331</v>
      </c>
      <c r="Q32" s="121" t="s">
        <v>17</v>
      </c>
      <c r="R32" s="310">
        <f t="shared" si="11"/>
        <v>4033</v>
      </c>
      <c r="S32" s="257" t="str">
        <f t="shared" si="12"/>
        <v>CFG - FTS-3.1 NR</v>
      </c>
      <c r="U32" s="121" t="s">
        <v>171</v>
      </c>
      <c r="V32" s="121" t="s">
        <v>1245</v>
      </c>
      <c r="Y32" s="257"/>
    </row>
    <row r="33" spans="1:25">
      <c r="A33" s="121">
        <f t="shared" si="0"/>
        <v>33</v>
      </c>
      <c r="B33" s="315" t="s">
        <v>121</v>
      </c>
      <c r="C33" s="313">
        <v>210</v>
      </c>
      <c r="D33" s="313">
        <v>210</v>
      </c>
      <c r="E33" s="313">
        <v>209</v>
      </c>
      <c r="F33" s="313">
        <v>209</v>
      </c>
      <c r="G33" s="313">
        <v>211</v>
      </c>
      <c r="H33" s="313">
        <v>210</v>
      </c>
      <c r="I33" s="313">
        <v>210</v>
      </c>
      <c r="J33" s="313">
        <v>211</v>
      </c>
      <c r="K33" s="313">
        <v>212</v>
      </c>
      <c r="L33" s="313">
        <v>211</v>
      </c>
      <c r="M33" s="313">
        <v>208</v>
      </c>
      <c r="N33" s="313">
        <v>210</v>
      </c>
      <c r="O33" s="310">
        <f t="shared" si="10"/>
        <v>210.08333333333334</v>
      </c>
      <c r="Q33" s="121" t="s">
        <v>17</v>
      </c>
      <c r="R33" s="310">
        <f t="shared" si="11"/>
        <v>2521</v>
      </c>
      <c r="S33" s="257" t="str">
        <f t="shared" si="4"/>
        <v>CFG - FTS-4</v>
      </c>
      <c r="U33" s="121" t="s">
        <v>171</v>
      </c>
      <c r="V33" s="121" t="s">
        <v>1245</v>
      </c>
      <c r="Y33" s="257"/>
    </row>
    <row r="34" spans="1:25">
      <c r="A34" s="121">
        <f t="shared" si="0"/>
        <v>34</v>
      </c>
      <c r="B34" s="315" t="s">
        <v>142</v>
      </c>
      <c r="C34" s="313">
        <v>36</v>
      </c>
      <c r="D34" s="313">
        <v>36</v>
      </c>
      <c r="E34" s="313">
        <v>36</v>
      </c>
      <c r="F34" s="313">
        <v>36</v>
      </c>
      <c r="G34" s="313">
        <v>36</v>
      </c>
      <c r="H34" s="313">
        <v>36</v>
      </c>
      <c r="I34" s="313">
        <v>36</v>
      </c>
      <c r="J34" s="313">
        <v>36</v>
      </c>
      <c r="K34" s="313">
        <v>36</v>
      </c>
      <c r="L34" s="313">
        <v>36</v>
      </c>
      <c r="M34" s="313">
        <v>36</v>
      </c>
      <c r="N34" s="313">
        <v>36</v>
      </c>
      <c r="O34" s="310">
        <f t="shared" si="10"/>
        <v>36</v>
      </c>
      <c r="Q34" s="121" t="s">
        <v>17</v>
      </c>
      <c r="R34" s="310">
        <f t="shared" si="11"/>
        <v>432</v>
      </c>
      <c r="S34" s="257" t="str">
        <f t="shared" si="4"/>
        <v>CFG - FTS-5</v>
      </c>
      <c r="U34" s="121" t="s">
        <v>171</v>
      </c>
      <c r="V34" s="121" t="s">
        <v>1245</v>
      </c>
      <c r="Y34" s="257"/>
    </row>
    <row r="35" spans="1:25">
      <c r="A35" s="121">
        <f t="shared" si="0"/>
        <v>35</v>
      </c>
      <c r="B35" s="315" t="s">
        <v>143</v>
      </c>
      <c r="C35" s="313">
        <v>26</v>
      </c>
      <c r="D35" s="313">
        <v>27</v>
      </c>
      <c r="E35" s="313">
        <v>26</v>
      </c>
      <c r="F35" s="313">
        <v>27</v>
      </c>
      <c r="G35" s="313">
        <v>27</v>
      </c>
      <c r="H35" s="313">
        <v>27</v>
      </c>
      <c r="I35" s="313">
        <v>27</v>
      </c>
      <c r="J35" s="313">
        <v>28</v>
      </c>
      <c r="K35" s="313">
        <v>29</v>
      </c>
      <c r="L35" s="313">
        <v>28</v>
      </c>
      <c r="M35" s="313">
        <v>29</v>
      </c>
      <c r="N35" s="313">
        <v>29</v>
      </c>
      <c r="O35" s="310">
        <f t="shared" si="10"/>
        <v>27.5</v>
      </c>
      <c r="Q35" s="121" t="s">
        <v>17</v>
      </c>
      <c r="R35" s="310">
        <f t="shared" si="11"/>
        <v>330</v>
      </c>
      <c r="S35" s="257" t="str">
        <f t="shared" si="4"/>
        <v>CFG - FTS-6</v>
      </c>
      <c r="U35" s="121" t="s">
        <v>171</v>
      </c>
      <c r="V35" s="121" t="s">
        <v>1245</v>
      </c>
      <c r="Y35" s="257"/>
    </row>
    <row r="36" spans="1:25">
      <c r="A36" s="121">
        <f t="shared" si="0"/>
        <v>36</v>
      </c>
      <c r="B36" s="315" t="s">
        <v>144</v>
      </c>
      <c r="C36" s="313">
        <v>25</v>
      </c>
      <c r="D36" s="313">
        <v>24</v>
      </c>
      <c r="E36" s="313">
        <v>25</v>
      </c>
      <c r="F36" s="313">
        <v>24</v>
      </c>
      <c r="G36" s="313">
        <v>26</v>
      </c>
      <c r="H36" s="313">
        <v>25</v>
      </c>
      <c r="I36" s="313">
        <v>25</v>
      </c>
      <c r="J36" s="313">
        <v>25</v>
      </c>
      <c r="K36" s="313">
        <v>25</v>
      </c>
      <c r="L36" s="313">
        <v>26</v>
      </c>
      <c r="M36" s="313">
        <v>26</v>
      </c>
      <c r="N36" s="313">
        <v>26</v>
      </c>
      <c r="O36" s="310">
        <f t="shared" si="10"/>
        <v>25.166666666666668</v>
      </c>
      <c r="Q36" s="121" t="s">
        <v>17</v>
      </c>
      <c r="R36" s="310">
        <f t="shared" si="11"/>
        <v>302</v>
      </c>
      <c r="S36" s="257" t="str">
        <f t="shared" si="4"/>
        <v>CFG - FTS-7</v>
      </c>
      <c r="U36" s="121" t="s">
        <v>171</v>
      </c>
      <c r="V36" s="121" t="s">
        <v>1245</v>
      </c>
      <c r="Y36" s="257"/>
    </row>
    <row r="37" spans="1:25">
      <c r="A37" s="121">
        <f t="shared" si="0"/>
        <v>37</v>
      </c>
      <c r="B37" s="315" t="s">
        <v>145</v>
      </c>
      <c r="C37" s="313">
        <v>19</v>
      </c>
      <c r="D37" s="313">
        <v>16</v>
      </c>
      <c r="E37" s="313">
        <v>17</v>
      </c>
      <c r="F37" s="313">
        <v>17</v>
      </c>
      <c r="G37" s="313">
        <v>17</v>
      </c>
      <c r="H37" s="313">
        <v>17</v>
      </c>
      <c r="I37" s="313">
        <v>17</v>
      </c>
      <c r="J37" s="313">
        <v>17</v>
      </c>
      <c r="K37" s="313">
        <v>17</v>
      </c>
      <c r="L37" s="313">
        <v>17</v>
      </c>
      <c r="M37" s="313">
        <v>17</v>
      </c>
      <c r="N37" s="313">
        <v>17</v>
      </c>
      <c r="O37" s="310">
        <f t="shared" si="10"/>
        <v>17.083333333333332</v>
      </c>
      <c r="Q37" s="121" t="s">
        <v>17</v>
      </c>
      <c r="R37" s="310">
        <f t="shared" si="11"/>
        <v>205</v>
      </c>
      <c r="S37" s="257" t="str">
        <f t="shared" si="4"/>
        <v>CFG - FTS-8</v>
      </c>
      <c r="U37" s="121" t="s">
        <v>171</v>
      </c>
      <c r="V37" s="121" t="s">
        <v>1245</v>
      </c>
      <c r="Y37" s="257"/>
    </row>
    <row r="38" spans="1:25">
      <c r="A38" s="121">
        <f t="shared" si="0"/>
        <v>38</v>
      </c>
      <c r="B38" s="315" t="s">
        <v>146</v>
      </c>
      <c r="C38" s="313">
        <v>6</v>
      </c>
      <c r="D38" s="313">
        <v>6</v>
      </c>
      <c r="E38" s="313">
        <v>6</v>
      </c>
      <c r="F38" s="313">
        <v>6</v>
      </c>
      <c r="G38" s="313">
        <v>6</v>
      </c>
      <c r="H38" s="313">
        <v>6</v>
      </c>
      <c r="I38" s="313">
        <v>6</v>
      </c>
      <c r="J38" s="313">
        <v>6</v>
      </c>
      <c r="K38" s="313">
        <v>6</v>
      </c>
      <c r="L38" s="313">
        <v>6</v>
      </c>
      <c r="M38" s="313">
        <v>7</v>
      </c>
      <c r="N38" s="313">
        <v>6</v>
      </c>
      <c r="O38" s="310">
        <f t="shared" si="10"/>
        <v>6.083333333333333</v>
      </c>
      <c r="Q38" s="121" t="s">
        <v>17</v>
      </c>
      <c r="R38" s="310">
        <f t="shared" si="11"/>
        <v>73</v>
      </c>
      <c r="S38" s="257" t="str">
        <f t="shared" si="4"/>
        <v>CFG - FTS-9</v>
      </c>
      <c r="U38" s="121" t="s">
        <v>171</v>
      </c>
      <c r="V38" s="121" t="s">
        <v>1245</v>
      </c>
      <c r="Y38" s="257"/>
    </row>
    <row r="39" spans="1:25">
      <c r="A39" s="121">
        <f t="shared" si="0"/>
        <v>39</v>
      </c>
      <c r="B39" s="315" t="s">
        <v>147</v>
      </c>
      <c r="C39" s="313">
        <v>3</v>
      </c>
      <c r="D39" s="313">
        <v>3</v>
      </c>
      <c r="E39" s="313">
        <v>3</v>
      </c>
      <c r="F39" s="313">
        <v>3</v>
      </c>
      <c r="G39" s="313">
        <v>3</v>
      </c>
      <c r="H39" s="313">
        <v>3</v>
      </c>
      <c r="I39" s="313">
        <v>3</v>
      </c>
      <c r="J39" s="313">
        <v>3</v>
      </c>
      <c r="K39" s="313">
        <v>3</v>
      </c>
      <c r="L39" s="313">
        <v>3</v>
      </c>
      <c r="M39" s="313">
        <v>3</v>
      </c>
      <c r="N39" s="313">
        <v>3</v>
      </c>
      <c r="O39" s="310">
        <f t="shared" si="10"/>
        <v>3</v>
      </c>
      <c r="Q39" s="121" t="s">
        <v>17</v>
      </c>
      <c r="R39" s="310">
        <f t="shared" si="11"/>
        <v>36</v>
      </c>
      <c r="S39" s="257" t="str">
        <f t="shared" si="4"/>
        <v>CFG - FTS-10</v>
      </c>
      <c r="U39" s="121" t="s">
        <v>171</v>
      </c>
      <c r="V39" s="121" t="s">
        <v>1245</v>
      </c>
      <c r="Y39" s="257"/>
    </row>
    <row r="40" spans="1:25">
      <c r="A40" s="121">
        <f t="shared" si="0"/>
        <v>40</v>
      </c>
      <c r="B40" s="315" t="s">
        <v>148</v>
      </c>
      <c r="C40" s="313">
        <v>1</v>
      </c>
      <c r="D40" s="313">
        <v>1</v>
      </c>
      <c r="E40" s="313">
        <v>1</v>
      </c>
      <c r="F40" s="313">
        <v>1</v>
      </c>
      <c r="G40" s="313">
        <v>1</v>
      </c>
      <c r="H40" s="313">
        <v>1</v>
      </c>
      <c r="I40" s="313">
        <v>1</v>
      </c>
      <c r="J40" s="313">
        <v>1</v>
      </c>
      <c r="K40" s="313">
        <v>1</v>
      </c>
      <c r="L40" s="313">
        <v>1</v>
      </c>
      <c r="M40" s="313">
        <v>1</v>
      </c>
      <c r="N40" s="313">
        <v>1</v>
      </c>
      <c r="O40" s="310">
        <f t="shared" si="10"/>
        <v>1</v>
      </c>
      <c r="Q40" s="121" t="s">
        <v>17</v>
      </c>
      <c r="R40" s="310">
        <f t="shared" si="11"/>
        <v>12</v>
      </c>
      <c r="S40" s="257" t="str">
        <f t="shared" si="4"/>
        <v>CFG - FTS-11</v>
      </c>
      <c r="U40" s="121" t="s">
        <v>171</v>
      </c>
      <c r="V40" s="121" t="s">
        <v>1245</v>
      </c>
      <c r="Y40" s="257"/>
    </row>
    <row r="41" spans="1:25">
      <c r="A41" s="121">
        <f t="shared" si="0"/>
        <v>41</v>
      </c>
      <c r="B41" s="315" t="s">
        <v>149</v>
      </c>
      <c r="C41" s="313">
        <v>5</v>
      </c>
      <c r="D41" s="313">
        <v>5</v>
      </c>
      <c r="E41" s="313">
        <v>5</v>
      </c>
      <c r="F41" s="313">
        <v>5</v>
      </c>
      <c r="G41" s="313">
        <v>5</v>
      </c>
      <c r="H41" s="313">
        <v>5</v>
      </c>
      <c r="I41" s="313">
        <v>5</v>
      </c>
      <c r="J41" s="313">
        <v>5</v>
      </c>
      <c r="K41" s="313">
        <v>5</v>
      </c>
      <c r="L41" s="313">
        <v>5</v>
      </c>
      <c r="M41" s="313">
        <v>5</v>
      </c>
      <c r="N41" s="313">
        <v>5</v>
      </c>
      <c r="O41" s="310">
        <f t="shared" si="10"/>
        <v>5</v>
      </c>
      <c r="Q41" s="121" t="s">
        <v>17</v>
      </c>
      <c r="R41" s="310">
        <f t="shared" si="11"/>
        <v>60</v>
      </c>
      <c r="S41" s="257" t="str">
        <f t="shared" si="4"/>
        <v>CFG - FTS-12</v>
      </c>
      <c r="U41" s="121" t="s">
        <v>171</v>
      </c>
      <c r="V41" s="121" t="s">
        <v>1245</v>
      </c>
      <c r="Y41" s="257"/>
    </row>
    <row r="42" spans="1:25">
      <c r="A42" s="121">
        <f t="shared" si="0"/>
        <v>42</v>
      </c>
      <c r="B42" s="315" t="s">
        <v>150</v>
      </c>
      <c r="C42" s="313">
        <v>1</v>
      </c>
      <c r="D42" s="313">
        <v>1</v>
      </c>
      <c r="E42" s="313">
        <v>1</v>
      </c>
      <c r="F42" s="313">
        <v>1</v>
      </c>
      <c r="G42" s="313">
        <v>1</v>
      </c>
      <c r="H42" s="313">
        <v>1</v>
      </c>
      <c r="I42" s="313">
        <v>1</v>
      </c>
      <c r="J42" s="313">
        <v>1</v>
      </c>
      <c r="K42" s="313">
        <v>1</v>
      </c>
      <c r="L42" s="313">
        <v>1</v>
      </c>
      <c r="M42" s="313">
        <v>1</v>
      </c>
      <c r="N42" s="313">
        <v>1</v>
      </c>
      <c r="O42" s="310">
        <f t="shared" si="10"/>
        <v>1</v>
      </c>
      <c r="Q42" s="121" t="s">
        <v>17</v>
      </c>
      <c r="R42" s="310">
        <f t="shared" si="11"/>
        <v>12</v>
      </c>
      <c r="S42" s="257" t="str">
        <f t="shared" si="4"/>
        <v>CFG - FTS-NGV</v>
      </c>
      <c r="U42" s="121" t="s">
        <v>171</v>
      </c>
      <c r="V42" s="121" t="s">
        <v>1245</v>
      </c>
      <c r="Y42" s="257"/>
    </row>
    <row r="43" spans="1:25">
      <c r="A43" s="121">
        <f t="shared" si="0"/>
        <v>43</v>
      </c>
      <c r="B43" s="315" t="s">
        <v>113</v>
      </c>
      <c r="C43" s="313">
        <v>893</v>
      </c>
      <c r="D43" s="313">
        <v>886</v>
      </c>
      <c r="E43" s="313">
        <v>887</v>
      </c>
      <c r="F43" s="313">
        <v>896</v>
      </c>
      <c r="G43" s="313">
        <v>900</v>
      </c>
      <c r="H43" s="313">
        <v>910</v>
      </c>
      <c r="I43" s="313">
        <v>893</v>
      </c>
      <c r="J43" s="313">
        <v>883</v>
      </c>
      <c r="K43" s="313">
        <v>892</v>
      </c>
      <c r="L43" s="313">
        <v>894</v>
      </c>
      <c r="M43" s="313">
        <v>893</v>
      </c>
      <c r="N43" s="313">
        <v>886</v>
      </c>
      <c r="O43" s="310">
        <f t="shared" si="10"/>
        <v>892.75</v>
      </c>
      <c r="Q43" s="121" t="s">
        <v>16</v>
      </c>
      <c r="R43" s="310">
        <f t="shared" si="11"/>
        <v>10713</v>
      </c>
      <c r="S43" s="257" t="str">
        <f t="shared" si="4"/>
        <v>FPU - FPU - GS - 1</v>
      </c>
      <c r="U43" s="121" t="s">
        <v>172</v>
      </c>
      <c r="V43" s="121" t="s">
        <v>1245</v>
      </c>
      <c r="Y43" s="257"/>
    </row>
    <row r="44" spans="1:25">
      <c r="A44" s="121">
        <f t="shared" si="0"/>
        <v>44</v>
      </c>
      <c r="B44" s="315" t="s">
        <v>173</v>
      </c>
      <c r="C44" s="313">
        <v>376</v>
      </c>
      <c r="D44" s="313">
        <v>375</v>
      </c>
      <c r="E44" s="313">
        <v>370</v>
      </c>
      <c r="F44" s="313">
        <v>368</v>
      </c>
      <c r="G44" s="313">
        <v>370</v>
      </c>
      <c r="H44" s="313">
        <v>372</v>
      </c>
      <c r="I44" s="313">
        <v>370</v>
      </c>
      <c r="J44" s="313">
        <v>376</v>
      </c>
      <c r="K44" s="313">
        <v>375</v>
      </c>
      <c r="L44" s="313">
        <v>373</v>
      </c>
      <c r="M44" s="313">
        <v>371</v>
      </c>
      <c r="N44" s="313">
        <v>369</v>
      </c>
      <c r="O44" s="310">
        <f t="shared" si="10"/>
        <v>372.08333333333331</v>
      </c>
      <c r="Q44" s="121" t="s">
        <v>16</v>
      </c>
      <c r="R44" s="310">
        <f>+SUM(C44:N44)</f>
        <v>4465</v>
      </c>
      <c r="S44" s="257" t="str">
        <f t="shared" si="4"/>
        <v>FPU - FPU - GSTS - 1</v>
      </c>
      <c r="U44" s="121" t="s">
        <v>174</v>
      </c>
      <c r="V44" s="121" t="s">
        <v>1245</v>
      </c>
      <c r="Y44" s="257"/>
    </row>
    <row r="45" spans="1:25">
      <c r="A45" s="121">
        <f t="shared" si="0"/>
        <v>45</v>
      </c>
      <c r="B45" s="315" t="s">
        <v>175</v>
      </c>
      <c r="C45" s="313">
        <v>2132</v>
      </c>
      <c r="D45" s="313">
        <v>2126</v>
      </c>
      <c r="E45" s="313">
        <v>2135</v>
      </c>
      <c r="F45" s="313">
        <v>2134</v>
      </c>
      <c r="G45" s="313">
        <v>2106</v>
      </c>
      <c r="H45" s="313">
        <v>2111</v>
      </c>
      <c r="I45" s="313">
        <v>2143</v>
      </c>
      <c r="J45" s="313">
        <v>2138</v>
      </c>
      <c r="K45" s="313">
        <v>2131</v>
      </c>
      <c r="L45" s="313">
        <v>2145</v>
      </c>
      <c r="M45" s="313">
        <v>2154</v>
      </c>
      <c r="N45" s="313">
        <v>2161</v>
      </c>
      <c r="O45" s="310">
        <f t="shared" si="10"/>
        <v>2134.6666666666665</v>
      </c>
      <c r="Q45" s="121" t="s">
        <v>16</v>
      </c>
      <c r="R45" s="310">
        <f t="shared" si="11"/>
        <v>25616</v>
      </c>
      <c r="S45" s="257" t="str">
        <f t="shared" si="4"/>
        <v>FPU - FPU - GS - 2</v>
      </c>
      <c r="U45" s="121" t="s">
        <v>172</v>
      </c>
      <c r="V45" s="121" t="s">
        <v>1245</v>
      </c>
      <c r="Y45" s="257"/>
    </row>
    <row r="46" spans="1:25">
      <c r="A46" s="121">
        <f t="shared" si="0"/>
        <v>46</v>
      </c>
      <c r="B46" s="315" t="s">
        <v>176</v>
      </c>
      <c r="C46" s="313">
        <v>797</v>
      </c>
      <c r="D46" s="313">
        <v>808</v>
      </c>
      <c r="E46" s="313">
        <v>813</v>
      </c>
      <c r="F46" s="313">
        <v>819</v>
      </c>
      <c r="G46" s="313">
        <v>816</v>
      </c>
      <c r="H46" s="313">
        <v>818</v>
      </c>
      <c r="I46" s="313">
        <v>824</v>
      </c>
      <c r="J46" s="313">
        <v>817</v>
      </c>
      <c r="K46" s="313">
        <v>820</v>
      </c>
      <c r="L46" s="313">
        <v>828</v>
      </c>
      <c r="M46" s="313">
        <v>828</v>
      </c>
      <c r="N46" s="313">
        <v>829</v>
      </c>
      <c r="O46" s="310">
        <f t="shared" si="10"/>
        <v>818.08333333333337</v>
      </c>
      <c r="Q46" s="121" t="s">
        <v>16</v>
      </c>
      <c r="R46" s="310">
        <f t="shared" si="11"/>
        <v>9817</v>
      </c>
      <c r="S46" s="257" t="str">
        <f t="shared" si="4"/>
        <v>FPU - FPU - GSTS - 2</v>
      </c>
      <c r="U46" s="121" t="s">
        <v>174</v>
      </c>
      <c r="V46" s="121" t="s">
        <v>1245</v>
      </c>
      <c r="Y46" s="257"/>
    </row>
    <row r="47" spans="1:25">
      <c r="A47" s="121">
        <f t="shared" si="0"/>
        <v>47</v>
      </c>
      <c r="B47" s="315" t="s">
        <v>177</v>
      </c>
      <c r="C47" s="313">
        <v>247</v>
      </c>
      <c r="D47" s="313">
        <v>250</v>
      </c>
      <c r="E47" s="313">
        <v>247</v>
      </c>
      <c r="F47" s="313">
        <v>251</v>
      </c>
      <c r="G47" s="313">
        <v>253</v>
      </c>
      <c r="H47" s="313">
        <v>256</v>
      </c>
      <c r="I47" s="313">
        <v>253</v>
      </c>
      <c r="J47" s="313">
        <v>258</v>
      </c>
      <c r="K47" s="313">
        <v>260</v>
      </c>
      <c r="L47" s="313">
        <v>262</v>
      </c>
      <c r="M47" s="313">
        <v>261</v>
      </c>
      <c r="N47" s="313">
        <v>266</v>
      </c>
      <c r="O47" s="310">
        <f t="shared" si="10"/>
        <v>255.33333333333334</v>
      </c>
      <c r="Q47" s="121" t="s">
        <v>16</v>
      </c>
      <c r="R47" s="310">
        <f t="shared" si="11"/>
        <v>3064</v>
      </c>
      <c r="S47" s="257" t="str">
        <f t="shared" si="4"/>
        <v>FPU - FPU - CS - GS</v>
      </c>
      <c r="U47" s="121" t="s">
        <v>172</v>
      </c>
      <c r="V47" s="121" t="s">
        <v>1245</v>
      </c>
      <c r="Y47" s="257"/>
    </row>
    <row r="48" spans="1:25">
      <c r="A48" s="121">
        <f t="shared" si="0"/>
        <v>48</v>
      </c>
      <c r="B48" s="315" t="s">
        <v>178</v>
      </c>
      <c r="C48" s="313">
        <v>649</v>
      </c>
      <c r="D48" s="313">
        <v>658</v>
      </c>
      <c r="E48" s="313">
        <v>664</v>
      </c>
      <c r="F48" s="313">
        <v>661</v>
      </c>
      <c r="G48" s="313">
        <v>652</v>
      </c>
      <c r="H48" s="313">
        <v>647</v>
      </c>
      <c r="I48" s="313">
        <v>650</v>
      </c>
      <c r="J48" s="313">
        <v>643</v>
      </c>
      <c r="K48" s="313">
        <v>644</v>
      </c>
      <c r="L48" s="313">
        <v>647</v>
      </c>
      <c r="M48" s="313">
        <v>652</v>
      </c>
      <c r="N48" s="313">
        <v>657</v>
      </c>
      <c r="O48" s="310">
        <f t="shared" si="10"/>
        <v>652</v>
      </c>
      <c r="Q48" s="121" t="s">
        <v>16</v>
      </c>
      <c r="R48" s="310">
        <f t="shared" si="11"/>
        <v>7824</v>
      </c>
      <c r="S48" s="257" t="str">
        <f t="shared" si="4"/>
        <v>FPU - FPU - LVS</v>
      </c>
      <c r="U48" s="121" t="s">
        <v>179</v>
      </c>
      <c r="V48" s="121" t="s">
        <v>1245</v>
      </c>
      <c r="Y48" s="257"/>
    </row>
    <row r="49" spans="1:25">
      <c r="A49" s="121">
        <f t="shared" si="0"/>
        <v>49</v>
      </c>
      <c r="B49" s="315" t="s">
        <v>180</v>
      </c>
      <c r="C49" s="313">
        <v>0</v>
      </c>
      <c r="D49" s="313">
        <v>0</v>
      </c>
      <c r="E49" s="313">
        <v>0</v>
      </c>
      <c r="F49" s="313">
        <v>0</v>
      </c>
      <c r="G49" s="313">
        <v>0</v>
      </c>
      <c r="H49" s="313">
        <v>0</v>
      </c>
      <c r="I49" s="313">
        <v>0</v>
      </c>
      <c r="J49" s="313">
        <v>0</v>
      </c>
      <c r="K49" s="313">
        <v>0</v>
      </c>
      <c r="L49" s="313">
        <v>0</v>
      </c>
      <c r="M49" s="313">
        <v>0</v>
      </c>
      <c r="N49" s="313">
        <v>0</v>
      </c>
      <c r="O49" s="310">
        <f t="shared" si="10"/>
        <v>0</v>
      </c>
      <c r="Q49" s="121" t="s">
        <v>16</v>
      </c>
      <c r="R49" s="310">
        <f t="shared" si="11"/>
        <v>0</v>
      </c>
      <c r="S49" s="257" t="str">
        <f t="shared" si="4"/>
        <v>FPU - FPU - LVTS &lt;50k</v>
      </c>
      <c r="V49" s="121" t="s">
        <v>1245</v>
      </c>
      <c r="Y49" s="257"/>
    </row>
    <row r="50" spans="1:25">
      <c r="A50" s="121">
        <f t="shared" si="0"/>
        <v>50</v>
      </c>
      <c r="B50" s="315" t="s">
        <v>181</v>
      </c>
      <c r="C50" s="313">
        <v>1264</v>
      </c>
      <c r="D50" s="313">
        <v>1264</v>
      </c>
      <c r="E50" s="313">
        <v>1261</v>
      </c>
      <c r="F50" s="313">
        <v>1271</v>
      </c>
      <c r="G50" s="313">
        <v>1276</v>
      </c>
      <c r="H50" s="313">
        <v>1278</v>
      </c>
      <c r="I50" s="313">
        <v>1273</v>
      </c>
      <c r="J50" s="313">
        <v>1269</v>
      </c>
      <c r="K50" s="313">
        <v>1264</v>
      </c>
      <c r="L50" s="313">
        <v>1269</v>
      </c>
      <c r="M50" s="313">
        <v>1264</v>
      </c>
      <c r="N50" s="313">
        <v>1264</v>
      </c>
      <c r="O50" s="310">
        <f t="shared" si="10"/>
        <v>1268.0833333333333</v>
      </c>
      <c r="Q50" s="121" t="s">
        <v>16</v>
      </c>
      <c r="R50" s="310">
        <f t="shared" si="11"/>
        <v>15217</v>
      </c>
      <c r="S50" s="257" t="str">
        <f t="shared" si="4"/>
        <v>FPU - FPU - LVTS &gt;50k</v>
      </c>
      <c r="U50" s="121" t="s">
        <v>182</v>
      </c>
      <c r="V50" s="121" t="s">
        <v>1245</v>
      </c>
      <c r="Y50" s="257"/>
    </row>
    <row r="51" spans="1:25">
      <c r="A51" s="121">
        <f t="shared" si="0"/>
        <v>51</v>
      </c>
      <c r="B51" s="315" t="s">
        <v>183</v>
      </c>
      <c r="C51" s="313">
        <v>0</v>
      </c>
      <c r="D51" s="313">
        <v>0</v>
      </c>
      <c r="E51" s="313">
        <v>0</v>
      </c>
      <c r="F51" s="313">
        <v>0</v>
      </c>
      <c r="G51" s="313">
        <v>0</v>
      </c>
      <c r="H51" s="313">
        <v>0</v>
      </c>
      <c r="I51" s="313">
        <v>0</v>
      </c>
      <c r="J51" s="313">
        <v>0</v>
      </c>
      <c r="K51" s="313">
        <v>0</v>
      </c>
      <c r="L51" s="313">
        <v>0</v>
      </c>
      <c r="M51" s="313">
        <v>0</v>
      </c>
      <c r="N51" s="313">
        <v>0</v>
      </c>
      <c r="O51" s="310">
        <f t="shared" si="10"/>
        <v>0</v>
      </c>
      <c r="Q51" s="121" t="s">
        <v>16</v>
      </c>
      <c r="R51" s="310">
        <f t="shared" si="11"/>
        <v>0</v>
      </c>
      <c r="S51" s="257" t="str">
        <f t="shared" si="4"/>
        <v>FPU - FPU - IS</v>
      </c>
      <c r="V51" s="121" t="s">
        <v>1245</v>
      </c>
      <c r="Y51" s="257"/>
    </row>
    <row r="52" spans="1:25">
      <c r="A52" s="121">
        <f t="shared" si="0"/>
        <v>52</v>
      </c>
      <c r="B52" s="315" t="s">
        <v>184</v>
      </c>
      <c r="C52" s="313">
        <v>19</v>
      </c>
      <c r="D52" s="313">
        <v>18</v>
      </c>
      <c r="E52" s="313">
        <v>18</v>
      </c>
      <c r="F52" s="313">
        <v>18</v>
      </c>
      <c r="G52" s="313">
        <v>18</v>
      </c>
      <c r="H52" s="313">
        <v>18</v>
      </c>
      <c r="I52" s="313">
        <v>18</v>
      </c>
      <c r="J52" s="313">
        <v>18</v>
      </c>
      <c r="K52" s="313">
        <v>18</v>
      </c>
      <c r="L52" s="313">
        <v>18</v>
      </c>
      <c r="M52" s="313">
        <v>18</v>
      </c>
      <c r="N52" s="313">
        <v>18</v>
      </c>
      <c r="O52" s="310">
        <f t="shared" si="10"/>
        <v>18.083333333333332</v>
      </c>
      <c r="Q52" s="121" t="s">
        <v>16</v>
      </c>
      <c r="R52" s="310">
        <f t="shared" si="11"/>
        <v>217</v>
      </c>
      <c r="S52" s="257" t="str">
        <f t="shared" si="4"/>
        <v>FPU - FPU - ITS</v>
      </c>
      <c r="U52" s="121" t="s">
        <v>185</v>
      </c>
      <c r="V52" s="121" t="s">
        <v>1245</v>
      </c>
      <c r="Y52" s="257"/>
    </row>
    <row r="53" spans="1:25">
      <c r="A53" s="121">
        <f t="shared" si="0"/>
        <v>53</v>
      </c>
      <c r="B53" s="315" t="s">
        <v>186</v>
      </c>
      <c r="C53" s="313">
        <v>34</v>
      </c>
      <c r="D53" s="313">
        <v>34</v>
      </c>
      <c r="E53" s="313">
        <v>32</v>
      </c>
      <c r="F53" s="313">
        <v>32</v>
      </c>
      <c r="G53" s="313">
        <v>32</v>
      </c>
      <c r="H53" s="313">
        <v>32</v>
      </c>
      <c r="I53" s="313">
        <v>32</v>
      </c>
      <c r="J53" s="313">
        <v>32</v>
      </c>
      <c r="K53" s="313">
        <v>32</v>
      </c>
      <c r="L53" s="313">
        <v>33</v>
      </c>
      <c r="M53" s="313">
        <v>33</v>
      </c>
      <c r="N53" s="313">
        <v>31</v>
      </c>
      <c r="O53" s="310">
        <f t="shared" si="10"/>
        <v>32.416666666666664</v>
      </c>
      <c r="Q53" s="121" t="s">
        <v>16</v>
      </c>
      <c r="R53" s="310">
        <f t="shared" si="11"/>
        <v>389</v>
      </c>
      <c r="S53" s="257" t="str">
        <f t="shared" si="4"/>
        <v>FPU - FPU - GLS</v>
      </c>
      <c r="U53" s="121" t="s">
        <v>187</v>
      </c>
      <c r="V53" s="121" t="s">
        <v>1245</v>
      </c>
      <c r="Y53" s="257"/>
    </row>
    <row r="54" spans="1:25">
      <c r="A54" s="121">
        <f t="shared" si="0"/>
        <v>54</v>
      </c>
      <c r="B54" s="315" t="s">
        <v>188</v>
      </c>
      <c r="C54" s="313">
        <v>0</v>
      </c>
      <c r="D54" s="313">
        <v>0</v>
      </c>
      <c r="E54" s="313">
        <v>0</v>
      </c>
      <c r="F54" s="313">
        <v>0</v>
      </c>
      <c r="G54" s="313">
        <v>0</v>
      </c>
      <c r="H54" s="313">
        <v>0</v>
      </c>
      <c r="I54" s="313">
        <v>0</v>
      </c>
      <c r="J54" s="313">
        <v>0</v>
      </c>
      <c r="K54" s="313">
        <v>0</v>
      </c>
      <c r="L54" s="313">
        <v>0</v>
      </c>
      <c r="M54" s="313">
        <v>0</v>
      </c>
      <c r="N54" s="313">
        <v>0</v>
      </c>
      <c r="O54" s="310">
        <f t="shared" si="10"/>
        <v>0</v>
      </c>
      <c r="Q54" s="121" t="s">
        <v>16</v>
      </c>
      <c r="R54" s="310">
        <f t="shared" si="11"/>
        <v>0</v>
      </c>
      <c r="S54" s="257" t="str">
        <f t="shared" si="4"/>
        <v>FPU - FPU-NGVS</v>
      </c>
      <c r="V54" s="121" t="s">
        <v>1245</v>
      </c>
      <c r="Y54" s="257"/>
    </row>
    <row r="55" spans="1:25">
      <c r="A55" s="121">
        <f t="shared" si="0"/>
        <v>55</v>
      </c>
      <c r="B55" s="315" t="s">
        <v>189</v>
      </c>
      <c r="C55" s="313">
        <v>2</v>
      </c>
      <c r="D55" s="313">
        <v>2</v>
      </c>
      <c r="E55" s="313">
        <v>2</v>
      </c>
      <c r="F55" s="313">
        <v>2</v>
      </c>
      <c r="G55" s="313">
        <v>2</v>
      </c>
      <c r="H55" s="313">
        <v>2</v>
      </c>
      <c r="I55" s="313">
        <v>2</v>
      </c>
      <c r="J55" s="313">
        <v>2</v>
      </c>
      <c r="K55" s="313">
        <v>2</v>
      </c>
      <c r="L55" s="313">
        <v>2</v>
      </c>
      <c r="M55" s="313">
        <v>2</v>
      </c>
      <c r="N55" s="313">
        <v>2</v>
      </c>
      <c r="O55" s="310">
        <f t="shared" si="10"/>
        <v>2</v>
      </c>
      <c r="Q55" s="121" t="s">
        <v>16</v>
      </c>
      <c r="R55" s="310">
        <f t="shared" si="11"/>
        <v>24</v>
      </c>
      <c r="S55" s="257" t="str">
        <f t="shared" si="4"/>
        <v>FPU - FPU- NGVTS</v>
      </c>
      <c r="U55" s="121" t="s">
        <v>174</v>
      </c>
      <c r="V55" s="121" t="s">
        <v>1245</v>
      </c>
      <c r="Y55" s="257"/>
    </row>
    <row r="56" spans="1:25">
      <c r="A56" s="121">
        <f t="shared" si="0"/>
        <v>56</v>
      </c>
      <c r="B56" s="315" t="s">
        <v>190</v>
      </c>
      <c r="C56" s="313">
        <v>4</v>
      </c>
      <c r="D56" s="313">
        <v>4</v>
      </c>
      <c r="E56" s="313">
        <v>4</v>
      </c>
      <c r="F56" s="313">
        <v>4</v>
      </c>
      <c r="G56" s="313">
        <v>4</v>
      </c>
      <c r="H56" s="313">
        <v>4</v>
      </c>
      <c r="I56" s="313">
        <v>4</v>
      </c>
      <c r="J56" s="313">
        <v>4</v>
      </c>
      <c r="K56" s="313">
        <v>4</v>
      </c>
      <c r="L56" s="313">
        <v>4</v>
      </c>
      <c r="M56" s="313">
        <v>4</v>
      </c>
      <c r="N56" s="313">
        <v>4</v>
      </c>
      <c r="O56" s="310">
        <f t="shared" si="10"/>
        <v>4</v>
      </c>
      <c r="Q56" s="121" t="s">
        <v>14</v>
      </c>
      <c r="R56" s="310">
        <f>+SUM(C56:N56)</f>
        <v>48</v>
      </c>
      <c r="S56" s="257" t="str">
        <f t="shared" si="4"/>
        <v>FT - FT-Comm PA</v>
      </c>
      <c r="T56" s="257"/>
      <c r="U56" s="121" t="s">
        <v>191</v>
      </c>
      <c r="V56" s="121" t="s">
        <v>1245</v>
      </c>
      <c r="Y56" s="257"/>
    </row>
    <row r="57" spans="1:25">
      <c r="A57" s="121">
        <f t="shared" si="0"/>
        <v>57</v>
      </c>
      <c r="B57" s="315" t="s">
        <v>192</v>
      </c>
      <c r="C57" s="313">
        <v>29</v>
      </c>
      <c r="D57" s="313">
        <v>28</v>
      </c>
      <c r="E57" s="313">
        <v>29</v>
      </c>
      <c r="F57" s="313">
        <v>29</v>
      </c>
      <c r="G57" s="313">
        <v>29</v>
      </c>
      <c r="H57" s="313">
        <v>29</v>
      </c>
      <c r="I57" s="313">
        <v>29</v>
      </c>
      <c r="J57" s="313">
        <v>29</v>
      </c>
      <c r="K57" s="313">
        <v>29</v>
      </c>
      <c r="L57" s="313">
        <v>30</v>
      </c>
      <c r="M57" s="313">
        <v>30</v>
      </c>
      <c r="N57" s="313">
        <v>31</v>
      </c>
      <c r="O57" s="310">
        <f t="shared" si="10"/>
        <v>29.25</v>
      </c>
      <c r="Q57" s="121" t="s">
        <v>14</v>
      </c>
      <c r="R57" s="310">
        <f t="shared" si="11"/>
        <v>351</v>
      </c>
      <c r="S57" s="257" t="str">
        <f t="shared" si="4"/>
        <v>FT - FT-Comm Small</v>
      </c>
      <c r="T57" s="257"/>
      <c r="U57" s="121" t="s">
        <v>191</v>
      </c>
      <c r="V57" s="121" t="s">
        <v>1245</v>
      </c>
      <c r="Y57" s="257"/>
    </row>
    <row r="58" spans="1:25">
      <c r="A58" s="121">
        <f t="shared" si="0"/>
        <v>58</v>
      </c>
      <c r="B58" s="315" t="s">
        <v>194</v>
      </c>
      <c r="C58" s="313">
        <v>9</v>
      </c>
      <c r="D58" s="313">
        <v>9</v>
      </c>
      <c r="E58" s="313">
        <v>9</v>
      </c>
      <c r="F58" s="313">
        <v>9</v>
      </c>
      <c r="G58" s="313">
        <v>9</v>
      </c>
      <c r="H58" s="313">
        <v>9</v>
      </c>
      <c r="I58" s="313">
        <v>9</v>
      </c>
      <c r="J58" s="313">
        <v>9</v>
      </c>
      <c r="K58" s="313">
        <v>9</v>
      </c>
      <c r="L58" s="313">
        <v>10</v>
      </c>
      <c r="M58" s="313">
        <v>9</v>
      </c>
      <c r="N58" s="313">
        <v>10</v>
      </c>
      <c r="O58" s="310">
        <f t="shared" si="10"/>
        <v>9.1666666666666661</v>
      </c>
      <c r="Q58" s="121" t="s">
        <v>14</v>
      </c>
      <c r="R58" s="310">
        <f t="shared" si="11"/>
        <v>110</v>
      </c>
      <c r="S58" s="257" t="str">
        <f t="shared" si="4"/>
        <v>FT - FT-Transportation</v>
      </c>
      <c r="T58" s="257"/>
      <c r="U58" s="121" t="s">
        <v>195</v>
      </c>
      <c r="V58" s="121" t="s">
        <v>1245</v>
      </c>
      <c r="Y58" s="257"/>
    </row>
    <row r="59" spans="1:25">
      <c r="A59" s="121">
        <f t="shared" si="0"/>
        <v>59</v>
      </c>
      <c r="B59" s="312" t="s">
        <v>107</v>
      </c>
      <c r="C59" s="313">
        <v>22</v>
      </c>
      <c r="D59" s="313">
        <v>22</v>
      </c>
      <c r="E59" s="313">
        <v>22</v>
      </c>
      <c r="F59" s="313">
        <v>22</v>
      </c>
      <c r="G59" s="313">
        <v>22</v>
      </c>
      <c r="H59" s="313">
        <v>22</v>
      </c>
      <c r="I59" s="313">
        <v>22</v>
      </c>
      <c r="J59" s="313">
        <v>22</v>
      </c>
      <c r="K59" s="313">
        <v>22</v>
      </c>
      <c r="L59" s="313">
        <v>21</v>
      </c>
      <c r="M59" s="313">
        <v>21</v>
      </c>
      <c r="N59" s="313">
        <v>21</v>
      </c>
      <c r="O59" s="310">
        <f t="shared" si="10"/>
        <v>21.75</v>
      </c>
      <c r="Q59" s="121" t="s">
        <v>13</v>
      </c>
      <c r="R59" s="310">
        <f t="shared" si="11"/>
        <v>261</v>
      </c>
      <c r="S59" s="257" t="str">
        <f t="shared" si="4"/>
        <v>IGC - IGC - TS2</v>
      </c>
      <c r="U59" s="121" t="s">
        <v>196</v>
      </c>
      <c r="V59" s="121" t="s">
        <v>1245</v>
      </c>
      <c r="Y59" s="257"/>
    </row>
    <row r="60" spans="1:25">
      <c r="A60" s="121">
        <f t="shared" si="0"/>
        <v>60</v>
      </c>
      <c r="B60" s="312" t="s">
        <v>108</v>
      </c>
      <c r="C60" s="313">
        <v>1</v>
      </c>
      <c r="D60" s="313">
        <v>1</v>
      </c>
      <c r="E60" s="313">
        <v>1</v>
      </c>
      <c r="F60" s="313">
        <v>1</v>
      </c>
      <c r="G60" s="313">
        <v>1</v>
      </c>
      <c r="H60" s="313">
        <v>1</v>
      </c>
      <c r="I60" s="313">
        <v>1</v>
      </c>
      <c r="J60" s="313">
        <v>1</v>
      </c>
      <c r="K60" s="313">
        <v>1</v>
      </c>
      <c r="L60" s="313">
        <v>1</v>
      </c>
      <c r="M60" s="313">
        <v>1</v>
      </c>
      <c r="N60" s="313">
        <v>1</v>
      </c>
      <c r="O60" s="310">
        <f t="shared" si="10"/>
        <v>1</v>
      </c>
      <c r="Q60" s="121" t="s">
        <v>13</v>
      </c>
      <c r="R60" s="310">
        <f t="shared" si="11"/>
        <v>12</v>
      </c>
      <c r="S60" s="257" t="str">
        <f t="shared" si="4"/>
        <v>IGC - IGC - TS3</v>
      </c>
      <c r="U60" s="121" t="s">
        <v>197</v>
      </c>
      <c r="V60" s="121" t="s">
        <v>1245</v>
      </c>
      <c r="Y60" s="257"/>
    </row>
    <row r="61" spans="1:25">
      <c r="A61" s="121">
        <f t="shared" si="0"/>
        <v>61</v>
      </c>
      <c r="B61" s="321" t="s">
        <v>109</v>
      </c>
      <c r="C61" s="313">
        <v>2</v>
      </c>
      <c r="D61" s="313">
        <v>2</v>
      </c>
      <c r="E61" s="313">
        <v>2</v>
      </c>
      <c r="F61" s="313">
        <v>2</v>
      </c>
      <c r="G61" s="313">
        <v>2</v>
      </c>
      <c r="H61" s="313">
        <v>2</v>
      </c>
      <c r="I61" s="313">
        <v>2</v>
      </c>
      <c r="J61" s="313">
        <v>2</v>
      </c>
      <c r="K61" s="313">
        <v>2</v>
      </c>
      <c r="L61" s="313">
        <v>2</v>
      </c>
      <c r="M61" s="313">
        <v>2</v>
      </c>
      <c r="N61" s="313">
        <v>2</v>
      </c>
      <c r="O61" s="319">
        <f t="shared" si="10"/>
        <v>2</v>
      </c>
      <c r="Q61" s="121" t="s">
        <v>13</v>
      </c>
      <c r="R61" s="310">
        <f t="shared" si="11"/>
        <v>24</v>
      </c>
      <c r="S61" s="257" t="str">
        <f t="shared" si="4"/>
        <v>IGC - IGC - TS4</v>
      </c>
      <c r="U61" s="121" t="s">
        <v>198</v>
      </c>
      <c r="V61" s="121" t="s">
        <v>1245</v>
      </c>
      <c r="Y61" s="257"/>
    </row>
    <row r="62" spans="1:25">
      <c r="A62" s="121">
        <f t="shared" si="0"/>
        <v>62</v>
      </c>
      <c r="B62" s="322" t="s">
        <v>199</v>
      </c>
      <c r="C62" s="317">
        <f t="shared" ref="C62:N62" si="13">SUM(C26:C61)</f>
        <v>7980</v>
      </c>
      <c r="D62" s="317">
        <f t="shared" si="13"/>
        <v>7987</v>
      </c>
      <c r="E62" s="317">
        <f t="shared" si="13"/>
        <v>8000</v>
      </c>
      <c r="F62" s="317">
        <f t="shared" si="13"/>
        <v>8023</v>
      </c>
      <c r="G62" s="317">
        <f t="shared" si="13"/>
        <v>7997</v>
      </c>
      <c r="H62" s="317">
        <f t="shared" si="13"/>
        <v>8009</v>
      </c>
      <c r="I62" s="317">
        <f t="shared" si="13"/>
        <v>8017</v>
      </c>
      <c r="J62" s="317">
        <f t="shared" si="13"/>
        <v>8008</v>
      </c>
      <c r="K62" s="317">
        <f t="shared" si="13"/>
        <v>8009</v>
      </c>
      <c r="L62" s="317">
        <f t="shared" si="13"/>
        <v>8050</v>
      </c>
      <c r="M62" s="317">
        <f t="shared" si="13"/>
        <v>8051</v>
      </c>
      <c r="N62" s="317">
        <f t="shared" si="13"/>
        <v>8058</v>
      </c>
      <c r="O62" s="310">
        <f>SUM(O26:O61)</f>
        <v>8015.7499999999991</v>
      </c>
      <c r="R62" s="310">
        <f t="shared" si="11"/>
        <v>96189</v>
      </c>
      <c r="S62" s="257"/>
      <c r="Y62" s="257"/>
    </row>
    <row r="63" spans="1:25">
      <c r="A63" s="121">
        <f t="shared" si="0"/>
        <v>63</v>
      </c>
      <c r="B63" s="320" t="s">
        <v>200</v>
      </c>
      <c r="C63" s="310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R63" s="121"/>
      <c r="S63" s="257"/>
      <c r="Y63" s="257"/>
    </row>
    <row r="64" spans="1:25">
      <c r="A64" s="121">
        <f t="shared" si="0"/>
        <v>64</v>
      </c>
      <c r="B64" s="312" t="s">
        <v>114</v>
      </c>
      <c r="C64" s="313">
        <v>0</v>
      </c>
      <c r="D64" s="313">
        <v>0</v>
      </c>
      <c r="E64" s="313">
        <v>0</v>
      </c>
      <c r="F64" s="313">
        <v>0</v>
      </c>
      <c r="G64" s="313">
        <v>0</v>
      </c>
      <c r="H64" s="313">
        <v>0</v>
      </c>
      <c r="I64" s="313">
        <v>0</v>
      </c>
      <c r="J64" s="313">
        <v>0</v>
      </c>
      <c r="K64" s="313">
        <v>0</v>
      </c>
      <c r="L64" s="313">
        <v>0</v>
      </c>
      <c r="M64" s="313">
        <v>0</v>
      </c>
      <c r="N64" s="313">
        <v>0</v>
      </c>
      <c r="O64" s="310">
        <f t="shared" ref="O64:O70" si="14">AVERAGE(C64:N64)</f>
        <v>0</v>
      </c>
      <c r="Q64" s="121" t="s">
        <v>17</v>
      </c>
      <c r="R64" s="310">
        <f t="shared" ref="R64:R71" si="15">+SUM(C64:N64)</f>
        <v>0</v>
      </c>
      <c r="S64" s="257" t="str">
        <f>CONCATENATE(Q64," - ",B64," - ",T64)</f>
        <v>CFG - FTS-A - Fixed NR</v>
      </c>
      <c r="T64" s="121" t="s">
        <v>201</v>
      </c>
      <c r="U64" s="121" t="s">
        <v>171</v>
      </c>
      <c r="V64" s="121" t="s">
        <v>1245</v>
      </c>
      <c r="Y64" s="257"/>
    </row>
    <row r="65" spans="1:25">
      <c r="A65" s="121">
        <f t="shared" si="0"/>
        <v>65</v>
      </c>
      <c r="B65" s="312" t="s">
        <v>115</v>
      </c>
      <c r="C65" s="313">
        <v>1</v>
      </c>
      <c r="D65" s="313">
        <v>1</v>
      </c>
      <c r="E65" s="313">
        <v>1</v>
      </c>
      <c r="F65" s="313">
        <v>1</v>
      </c>
      <c r="G65" s="313">
        <v>1</v>
      </c>
      <c r="H65" s="313">
        <v>1</v>
      </c>
      <c r="I65" s="313">
        <v>1</v>
      </c>
      <c r="J65" s="313">
        <v>1</v>
      </c>
      <c r="K65" s="313">
        <v>1</v>
      </c>
      <c r="L65" s="313">
        <v>1</v>
      </c>
      <c r="M65" s="313">
        <v>1</v>
      </c>
      <c r="N65" s="313">
        <v>1</v>
      </c>
      <c r="O65" s="310">
        <f t="shared" si="14"/>
        <v>1</v>
      </c>
      <c r="Q65" s="121" t="s">
        <v>17</v>
      </c>
      <c r="R65" s="310">
        <f t="shared" si="15"/>
        <v>12</v>
      </c>
      <c r="S65" s="257" t="str">
        <f t="shared" ref="S65:S70" si="16">CONCATENATE(Q65," - ",B65," - ",T65)</f>
        <v>CFG - FTS-B - Fixed NR</v>
      </c>
      <c r="T65" s="121" t="s">
        <v>201</v>
      </c>
      <c r="U65" s="121" t="s">
        <v>171</v>
      </c>
      <c r="V65" s="121" t="s">
        <v>1245</v>
      </c>
      <c r="Y65" s="257"/>
    </row>
    <row r="66" spans="1:25">
      <c r="A66" s="121">
        <f t="shared" si="0"/>
        <v>66</v>
      </c>
      <c r="B66" s="312" t="s">
        <v>116</v>
      </c>
      <c r="C66" s="313">
        <v>37</v>
      </c>
      <c r="D66" s="313">
        <v>36</v>
      </c>
      <c r="E66" s="313">
        <v>37</v>
      </c>
      <c r="F66" s="313">
        <v>38</v>
      </c>
      <c r="G66" s="313">
        <v>38</v>
      </c>
      <c r="H66" s="313">
        <v>40</v>
      </c>
      <c r="I66" s="313">
        <v>41</v>
      </c>
      <c r="J66" s="313">
        <v>42</v>
      </c>
      <c r="K66" s="313">
        <v>43</v>
      </c>
      <c r="L66" s="313">
        <v>42</v>
      </c>
      <c r="M66" s="313">
        <v>43</v>
      </c>
      <c r="N66" s="313">
        <v>43</v>
      </c>
      <c r="O66" s="310">
        <f t="shared" si="14"/>
        <v>40</v>
      </c>
      <c r="Q66" s="121" t="s">
        <v>17</v>
      </c>
      <c r="R66" s="310">
        <f t="shared" si="15"/>
        <v>480</v>
      </c>
      <c r="S66" s="257" t="str">
        <f t="shared" si="16"/>
        <v>CFG - FTS-1 - Fixed NR</v>
      </c>
      <c r="T66" s="121" t="s">
        <v>201</v>
      </c>
      <c r="U66" s="121" t="s">
        <v>171</v>
      </c>
      <c r="V66" s="121" t="s">
        <v>1245</v>
      </c>
      <c r="Y66" s="257"/>
    </row>
    <row r="67" spans="1:25">
      <c r="A67" s="121">
        <f t="shared" ref="A67:A130" si="17">+A66+1</f>
        <v>67</v>
      </c>
      <c r="B67" s="315" t="s">
        <v>117</v>
      </c>
      <c r="C67" s="313">
        <v>5</v>
      </c>
      <c r="D67" s="313">
        <v>6</v>
      </c>
      <c r="E67" s="313">
        <v>6</v>
      </c>
      <c r="F67" s="313">
        <v>6</v>
      </c>
      <c r="G67" s="313">
        <v>6</v>
      </c>
      <c r="H67" s="313">
        <v>6</v>
      </c>
      <c r="I67" s="313">
        <v>6</v>
      </c>
      <c r="J67" s="313">
        <v>5</v>
      </c>
      <c r="K67" s="313">
        <v>5</v>
      </c>
      <c r="L67" s="313">
        <v>5</v>
      </c>
      <c r="M67" s="313">
        <v>5</v>
      </c>
      <c r="N67" s="313">
        <v>6</v>
      </c>
      <c r="O67" s="310">
        <f t="shared" si="14"/>
        <v>5.583333333333333</v>
      </c>
      <c r="Q67" s="121" t="s">
        <v>17</v>
      </c>
      <c r="R67" s="310">
        <f t="shared" si="15"/>
        <v>67</v>
      </c>
      <c r="S67" s="257" t="str">
        <f t="shared" si="16"/>
        <v>CFG - FTS-2 - Fixed NR</v>
      </c>
      <c r="T67" s="121" t="s">
        <v>201</v>
      </c>
      <c r="U67" s="121" t="s">
        <v>171</v>
      </c>
      <c r="V67" s="121" t="s">
        <v>1245</v>
      </c>
      <c r="Y67" s="257"/>
    </row>
    <row r="68" spans="1:25">
      <c r="A68" s="121">
        <f t="shared" si="17"/>
        <v>68</v>
      </c>
      <c r="B68" s="315" t="s">
        <v>118</v>
      </c>
      <c r="C68" s="313">
        <v>10</v>
      </c>
      <c r="D68" s="313">
        <v>10</v>
      </c>
      <c r="E68" s="313">
        <v>10</v>
      </c>
      <c r="F68" s="313">
        <v>10</v>
      </c>
      <c r="G68" s="313">
        <v>10</v>
      </c>
      <c r="H68" s="313">
        <v>10</v>
      </c>
      <c r="I68" s="313">
        <v>10</v>
      </c>
      <c r="J68" s="313">
        <v>10</v>
      </c>
      <c r="K68" s="313">
        <v>10</v>
      </c>
      <c r="L68" s="313">
        <v>9</v>
      </c>
      <c r="M68" s="313">
        <v>10</v>
      </c>
      <c r="N68" s="313">
        <v>10</v>
      </c>
      <c r="O68" s="310">
        <f t="shared" si="14"/>
        <v>9.9166666666666661</v>
      </c>
      <c r="Q68" s="121" t="s">
        <v>17</v>
      </c>
      <c r="R68" s="310">
        <f t="shared" si="15"/>
        <v>119</v>
      </c>
      <c r="S68" s="257" t="str">
        <f t="shared" si="16"/>
        <v>CFG - FTS-2.1 - Fixed NR</v>
      </c>
      <c r="T68" s="121" t="s">
        <v>201</v>
      </c>
      <c r="U68" s="121" t="s">
        <v>171</v>
      </c>
      <c r="V68" s="121" t="s">
        <v>1245</v>
      </c>
      <c r="Y68" s="257"/>
    </row>
    <row r="69" spans="1:25">
      <c r="A69" s="121">
        <f t="shared" si="17"/>
        <v>69</v>
      </c>
      <c r="B69" s="315" t="s">
        <v>119</v>
      </c>
      <c r="C69" s="313">
        <v>20</v>
      </c>
      <c r="D69" s="313">
        <v>19</v>
      </c>
      <c r="E69" s="313">
        <v>19</v>
      </c>
      <c r="F69" s="313">
        <v>19</v>
      </c>
      <c r="G69" s="313">
        <v>18</v>
      </c>
      <c r="H69" s="313">
        <v>17</v>
      </c>
      <c r="I69" s="313">
        <v>17</v>
      </c>
      <c r="J69" s="313">
        <v>17</v>
      </c>
      <c r="K69" s="313">
        <v>17</v>
      </c>
      <c r="L69" s="313">
        <v>17</v>
      </c>
      <c r="M69" s="313">
        <v>17</v>
      </c>
      <c r="N69" s="313">
        <v>17</v>
      </c>
      <c r="O69" s="310">
        <f t="shared" si="14"/>
        <v>17.833333333333332</v>
      </c>
      <c r="Q69" s="121" t="s">
        <v>17</v>
      </c>
      <c r="R69" s="310">
        <f t="shared" si="15"/>
        <v>214</v>
      </c>
      <c r="S69" s="257" t="str">
        <f t="shared" si="16"/>
        <v>CFG - FTS-3 - Fixed NR</v>
      </c>
      <c r="T69" s="121" t="s">
        <v>201</v>
      </c>
      <c r="U69" s="121" t="s">
        <v>171</v>
      </c>
      <c r="V69" s="121" t="s">
        <v>1245</v>
      </c>
      <c r="Y69" s="257"/>
    </row>
    <row r="70" spans="1:25">
      <c r="A70" s="121">
        <f t="shared" si="17"/>
        <v>70</v>
      </c>
      <c r="B70" s="321" t="s">
        <v>120</v>
      </c>
      <c r="C70" s="313">
        <v>7</v>
      </c>
      <c r="D70" s="313">
        <v>7</v>
      </c>
      <c r="E70" s="313">
        <v>7</v>
      </c>
      <c r="F70" s="313">
        <v>7</v>
      </c>
      <c r="G70" s="313">
        <v>7</v>
      </c>
      <c r="H70" s="313">
        <v>7</v>
      </c>
      <c r="I70" s="313">
        <v>7</v>
      </c>
      <c r="J70" s="313">
        <v>7</v>
      </c>
      <c r="K70" s="313">
        <v>7</v>
      </c>
      <c r="L70" s="313">
        <v>7</v>
      </c>
      <c r="M70" s="313">
        <v>7</v>
      </c>
      <c r="N70" s="313">
        <v>7</v>
      </c>
      <c r="O70" s="310">
        <f t="shared" si="14"/>
        <v>7</v>
      </c>
      <c r="Q70" s="121" t="s">
        <v>17</v>
      </c>
      <c r="R70" s="310">
        <f t="shared" si="15"/>
        <v>84</v>
      </c>
      <c r="S70" s="257" t="str">
        <f t="shared" si="16"/>
        <v>CFG - FTS-3.1 - Fixed NR</v>
      </c>
      <c r="T70" s="121" t="s">
        <v>201</v>
      </c>
      <c r="U70" s="121" t="s">
        <v>171</v>
      </c>
      <c r="V70" s="121" t="s">
        <v>1245</v>
      </c>
      <c r="W70" s="257">
        <f>R15+R24+R62+R71</f>
        <v>1032390</v>
      </c>
      <c r="Y70" s="257"/>
    </row>
    <row r="71" spans="1:25">
      <c r="A71" s="121">
        <f t="shared" si="17"/>
        <v>71</v>
      </c>
      <c r="B71" s="322" t="s">
        <v>202</v>
      </c>
      <c r="C71" s="317">
        <f t="shared" ref="C71:N71" si="18">SUM(C64:C70)</f>
        <v>80</v>
      </c>
      <c r="D71" s="317">
        <f t="shared" si="18"/>
        <v>79</v>
      </c>
      <c r="E71" s="317">
        <f t="shared" si="18"/>
        <v>80</v>
      </c>
      <c r="F71" s="317">
        <f t="shared" si="18"/>
        <v>81</v>
      </c>
      <c r="G71" s="317">
        <f t="shared" si="18"/>
        <v>80</v>
      </c>
      <c r="H71" s="317">
        <f t="shared" si="18"/>
        <v>81</v>
      </c>
      <c r="I71" s="317">
        <f t="shared" si="18"/>
        <v>82</v>
      </c>
      <c r="J71" s="317">
        <f t="shared" si="18"/>
        <v>82</v>
      </c>
      <c r="K71" s="317">
        <f t="shared" si="18"/>
        <v>83</v>
      </c>
      <c r="L71" s="317">
        <f t="shared" si="18"/>
        <v>81</v>
      </c>
      <c r="M71" s="317">
        <f t="shared" si="18"/>
        <v>83</v>
      </c>
      <c r="N71" s="317">
        <f t="shared" si="18"/>
        <v>84</v>
      </c>
      <c r="O71" s="317">
        <f>SUM(O64:O70)</f>
        <v>81.333333333333329</v>
      </c>
      <c r="R71" s="310">
        <f t="shared" si="15"/>
        <v>976</v>
      </c>
      <c r="W71" s="257">
        <f>SUM(R56:R58)</f>
        <v>509</v>
      </c>
      <c r="Y71" s="257"/>
    </row>
    <row r="72" spans="1:25">
      <c r="A72" s="121">
        <f t="shared" si="17"/>
        <v>72</v>
      </c>
      <c r="B72" s="320" t="s">
        <v>203</v>
      </c>
      <c r="C72" s="310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R72" s="121"/>
      <c r="S72" s="257"/>
      <c r="W72" s="257">
        <f>SUM(R257:R260)</f>
        <v>0</v>
      </c>
      <c r="Y72" s="257"/>
    </row>
    <row r="73" spans="1:25">
      <c r="A73" s="121">
        <f t="shared" si="17"/>
        <v>73</v>
      </c>
      <c r="B73" s="127" t="s">
        <v>204</v>
      </c>
      <c r="C73" s="313">
        <v>2</v>
      </c>
      <c r="D73" s="313">
        <v>2</v>
      </c>
      <c r="E73" s="313">
        <v>2</v>
      </c>
      <c r="F73" s="313">
        <v>2</v>
      </c>
      <c r="G73" s="313">
        <v>2</v>
      </c>
      <c r="H73" s="313">
        <v>2</v>
      </c>
      <c r="I73" s="313">
        <v>2</v>
      </c>
      <c r="J73" s="313">
        <v>2</v>
      </c>
      <c r="K73" s="313">
        <v>2</v>
      </c>
      <c r="L73" s="313">
        <v>2</v>
      </c>
      <c r="M73" s="313">
        <v>2</v>
      </c>
      <c r="N73" s="313">
        <v>2</v>
      </c>
      <c r="O73" s="310">
        <f t="shared" ref="O73:O87" si="19">AVERAGE(C73:N73)</f>
        <v>2</v>
      </c>
      <c r="Q73" s="121" t="s">
        <v>17</v>
      </c>
      <c r="R73" s="310">
        <f t="shared" ref="R73:R88" si="20">+SUM(C73:N73)</f>
        <v>24</v>
      </c>
      <c r="U73" s="121" t="s">
        <v>205</v>
      </c>
      <c r="W73" s="257">
        <f>W70-W71+W72</f>
        <v>1031881</v>
      </c>
      <c r="Y73" s="257"/>
    </row>
    <row r="74" spans="1:25">
      <c r="A74" s="121">
        <f t="shared" si="17"/>
        <v>74</v>
      </c>
      <c r="B74" s="127" t="s">
        <v>206</v>
      </c>
      <c r="C74" s="313">
        <v>1</v>
      </c>
      <c r="D74" s="313">
        <v>1</v>
      </c>
      <c r="E74" s="313">
        <v>1</v>
      </c>
      <c r="F74" s="313">
        <v>1</v>
      </c>
      <c r="G74" s="313">
        <v>1</v>
      </c>
      <c r="H74" s="313">
        <v>1</v>
      </c>
      <c r="I74" s="313">
        <v>1</v>
      </c>
      <c r="J74" s="313">
        <v>1</v>
      </c>
      <c r="K74" s="313">
        <v>1</v>
      </c>
      <c r="L74" s="313">
        <v>1</v>
      </c>
      <c r="M74" s="313">
        <v>1</v>
      </c>
      <c r="N74" s="313">
        <v>1</v>
      </c>
      <c r="O74" s="310">
        <f t="shared" si="19"/>
        <v>1</v>
      </c>
      <c r="Q74" s="121" t="s">
        <v>17</v>
      </c>
      <c r="R74" s="310">
        <f t="shared" si="20"/>
        <v>12</v>
      </c>
      <c r="U74" s="121" t="s">
        <v>205</v>
      </c>
      <c r="Y74" s="257"/>
    </row>
    <row r="75" spans="1:25">
      <c r="A75" s="121">
        <f t="shared" si="17"/>
        <v>75</v>
      </c>
      <c r="B75" s="127" t="s">
        <v>207</v>
      </c>
      <c r="C75" s="313">
        <v>1</v>
      </c>
      <c r="D75" s="313">
        <v>1</v>
      </c>
      <c r="E75" s="313">
        <v>1</v>
      </c>
      <c r="F75" s="313">
        <v>1</v>
      </c>
      <c r="G75" s="313">
        <v>1</v>
      </c>
      <c r="H75" s="313">
        <v>1</v>
      </c>
      <c r="I75" s="313">
        <v>1</v>
      </c>
      <c r="J75" s="313">
        <v>1</v>
      </c>
      <c r="K75" s="313">
        <v>1</v>
      </c>
      <c r="L75" s="313">
        <v>1</v>
      </c>
      <c r="M75" s="313">
        <v>1</v>
      </c>
      <c r="N75" s="313">
        <v>1</v>
      </c>
      <c r="O75" s="310">
        <f t="shared" si="19"/>
        <v>1</v>
      </c>
      <c r="Q75" s="121" t="s">
        <v>17</v>
      </c>
      <c r="R75" s="310">
        <f t="shared" si="20"/>
        <v>12</v>
      </c>
      <c r="U75" s="121" t="s">
        <v>205</v>
      </c>
      <c r="Y75" s="257"/>
    </row>
    <row r="76" spans="1:25">
      <c r="A76" s="121">
        <f t="shared" si="17"/>
        <v>76</v>
      </c>
      <c r="B76" s="127" t="s">
        <v>208</v>
      </c>
      <c r="C76" s="313">
        <v>1</v>
      </c>
      <c r="D76" s="313">
        <v>1</v>
      </c>
      <c r="E76" s="313">
        <v>1</v>
      </c>
      <c r="F76" s="313">
        <v>1</v>
      </c>
      <c r="G76" s="313">
        <v>1</v>
      </c>
      <c r="H76" s="313">
        <v>1</v>
      </c>
      <c r="I76" s="313">
        <v>1</v>
      </c>
      <c r="J76" s="313">
        <v>1</v>
      </c>
      <c r="K76" s="313">
        <v>1</v>
      </c>
      <c r="L76" s="313">
        <v>1</v>
      </c>
      <c r="M76" s="313">
        <v>1</v>
      </c>
      <c r="N76" s="313">
        <v>1</v>
      </c>
      <c r="O76" s="310">
        <f t="shared" si="19"/>
        <v>1</v>
      </c>
      <c r="Q76" s="121" t="s">
        <v>17</v>
      </c>
      <c r="R76" s="310">
        <f t="shared" si="20"/>
        <v>12</v>
      </c>
      <c r="U76" s="121" t="s">
        <v>205</v>
      </c>
      <c r="Y76" s="257"/>
    </row>
    <row r="77" spans="1:25">
      <c r="A77" s="121">
        <f t="shared" si="17"/>
        <v>77</v>
      </c>
      <c r="B77" s="127" t="s">
        <v>209</v>
      </c>
      <c r="C77" s="313">
        <v>0</v>
      </c>
      <c r="D77" s="313">
        <v>0</v>
      </c>
      <c r="E77" s="313">
        <v>0</v>
      </c>
      <c r="F77" s="313">
        <v>0</v>
      </c>
      <c r="G77" s="313">
        <v>0</v>
      </c>
      <c r="H77" s="313">
        <v>0</v>
      </c>
      <c r="I77" s="313">
        <v>0</v>
      </c>
      <c r="J77" s="313">
        <v>0</v>
      </c>
      <c r="K77" s="313">
        <v>0</v>
      </c>
      <c r="L77" s="313">
        <v>0</v>
      </c>
      <c r="M77" s="313">
        <v>0</v>
      </c>
      <c r="N77" s="313">
        <v>0</v>
      </c>
      <c r="O77" s="310">
        <f t="shared" si="19"/>
        <v>0</v>
      </c>
      <c r="Q77" s="121" t="s">
        <v>17</v>
      </c>
      <c r="R77" s="310">
        <f t="shared" si="20"/>
        <v>0</v>
      </c>
      <c r="U77" s="121" t="s">
        <v>205</v>
      </c>
      <c r="Y77" s="257"/>
    </row>
    <row r="78" spans="1:25">
      <c r="A78" s="121">
        <f t="shared" si="17"/>
        <v>78</v>
      </c>
      <c r="B78" s="127" t="s">
        <v>210</v>
      </c>
      <c r="C78" s="313">
        <v>1</v>
      </c>
      <c r="D78" s="313">
        <v>1</v>
      </c>
      <c r="E78" s="313">
        <v>1</v>
      </c>
      <c r="F78" s="313">
        <v>1</v>
      </c>
      <c r="G78" s="313">
        <v>1</v>
      </c>
      <c r="H78" s="313">
        <v>1</v>
      </c>
      <c r="I78" s="313">
        <v>1</v>
      </c>
      <c r="J78" s="313">
        <v>1</v>
      </c>
      <c r="K78" s="313">
        <v>1</v>
      </c>
      <c r="L78" s="313">
        <v>1</v>
      </c>
      <c r="M78" s="313">
        <v>1</v>
      </c>
      <c r="N78" s="313">
        <v>1</v>
      </c>
      <c r="O78" s="310">
        <f t="shared" si="19"/>
        <v>1</v>
      </c>
      <c r="Q78" s="121" t="s">
        <v>17</v>
      </c>
      <c r="R78" s="310">
        <f t="shared" si="20"/>
        <v>12</v>
      </c>
      <c r="U78" s="121" t="s">
        <v>205</v>
      </c>
      <c r="Y78" s="257"/>
    </row>
    <row r="79" spans="1:25" ht="10.5" customHeight="1">
      <c r="A79" s="121">
        <f t="shared" si="17"/>
        <v>79</v>
      </c>
      <c r="B79" s="127" t="s">
        <v>211</v>
      </c>
      <c r="C79" s="313">
        <v>1</v>
      </c>
      <c r="D79" s="313">
        <v>1</v>
      </c>
      <c r="E79" s="313">
        <v>1</v>
      </c>
      <c r="F79" s="313">
        <v>1</v>
      </c>
      <c r="G79" s="313">
        <v>1</v>
      </c>
      <c r="H79" s="313">
        <v>1</v>
      </c>
      <c r="I79" s="313">
        <v>1</v>
      </c>
      <c r="J79" s="313">
        <v>1</v>
      </c>
      <c r="K79" s="313">
        <v>1</v>
      </c>
      <c r="L79" s="313">
        <v>1</v>
      </c>
      <c r="M79" s="313">
        <v>1</v>
      </c>
      <c r="N79" s="313">
        <v>1</v>
      </c>
      <c r="O79" s="310">
        <f t="shared" si="19"/>
        <v>1</v>
      </c>
      <c r="Q79" s="121" t="s">
        <v>17</v>
      </c>
      <c r="R79" s="310">
        <f t="shared" si="20"/>
        <v>12</v>
      </c>
      <c r="U79" s="121" t="s">
        <v>205</v>
      </c>
      <c r="Y79" s="257"/>
    </row>
    <row r="80" spans="1:25">
      <c r="A80" s="121">
        <f t="shared" si="17"/>
        <v>80</v>
      </c>
      <c r="B80" s="127" t="s">
        <v>212</v>
      </c>
      <c r="C80" s="313">
        <v>1</v>
      </c>
      <c r="D80" s="313">
        <v>1</v>
      </c>
      <c r="E80" s="313">
        <v>1</v>
      </c>
      <c r="F80" s="313">
        <v>1</v>
      </c>
      <c r="G80" s="313">
        <v>1</v>
      </c>
      <c r="H80" s="313">
        <v>1</v>
      </c>
      <c r="I80" s="313">
        <v>1</v>
      </c>
      <c r="J80" s="313">
        <v>1</v>
      </c>
      <c r="K80" s="313">
        <v>1</v>
      </c>
      <c r="L80" s="313">
        <v>1</v>
      </c>
      <c r="M80" s="313">
        <v>1</v>
      </c>
      <c r="N80" s="313">
        <v>1</v>
      </c>
      <c r="O80" s="310">
        <f t="shared" si="19"/>
        <v>1</v>
      </c>
      <c r="Q80" s="121" t="s">
        <v>16</v>
      </c>
      <c r="R80" s="310">
        <f t="shared" si="20"/>
        <v>12</v>
      </c>
      <c r="U80" s="121" t="s">
        <v>213</v>
      </c>
      <c r="Y80" s="257"/>
    </row>
    <row r="81" spans="1:25">
      <c r="A81" s="121">
        <f t="shared" si="17"/>
        <v>81</v>
      </c>
      <c r="B81" s="127" t="s">
        <v>214</v>
      </c>
      <c r="C81" s="313">
        <v>1</v>
      </c>
      <c r="D81" s="313">
        <v>1</v>
      </c>
      <c r="E81" s="313">
        <v>1</v>
      </c>
      <c r="F81" s="313">
        <v>1</v>
      </c>
      <c r="G81" s="313">
        <v>1</v>
      </c>
      <c r="H81" s="313">
        <v>1</v>
      </c>
      <c r="I81" s="313">
        <v>1</v>
      </c>
      <c r="J81" s="313">
        <v>1</v>
      </c>
      <c r="K81" s="313">
        <v>1</v>
      </c>
      <c r="L81" s="313">
        <v>1</v>
      </c>
      <c r="M81" s="313">
        <v>1</v>
      </c>
      <c r="N81" s="313">
        <v>1</v>
      </c>
      <c r="O81" s="310">
        <f t="shared" si="19"/>
        <v>1</v>
      </c>
      <c r="Q81" s="121" t="s">
        <v>17</v>
      </c>
      <c r="R81" s="310">
        <f t="shared" si="20"/>
        <v>12</v>
      </c>
      <c r="U81" s="121" t="s">
        <v>205</v>
      </c>
      <c r="Y81" s="257"/>
    </row>
    <row r="82" spans="1:25">
      <c r="A82" s="121">
        <f t="shared" si="17"/>
        <v>82</v>
      </c>
      <c r="B82" s="127" t="s">
        <v>215</v>
      </c>
      <c r="C82" s="313">
        <v>1</v>
      </c>
      <c r="D82" s="313">
        <v>1</v>
      </c>
      <c r="E82" s="313">
        <v>1</v>
      </c>
      <c r="F82" s="313">
        <v>1</v>
      </c>
      <c r="G82" s="313">
        <v>1</v>
      </c>
      <c r="H82" s="313">
        <v>1</v>
      </c>
      <c r="I82" s="313">
        <v>1</v>
      </c>
      <c r="J82" s="313">
        <v>1</v>
      </c>
      <c r="K82" s="313">
        <v>1</v>
      </c>
      <c r="L82" s="313">
        <v>1</v>
      </c>
      <c r="M82" s="313">
        <v>1</v>
      </c>
      <c r="N82" s="313">
        <v>1</v>
      </c>
      <c r="O82" s="310">
        <f t="shared" si="19"/>
        <v>1</v>
      </c>
      <c r="Q82" s="121" t="s">
        <v>17</v>
      </c>
      <c r="R82" s="310">
        <f t="shared" si="20"/>
        <v>12</v>
      </c>
      <c r="U82" s="121" t="s">
        <v>205</v>
      </c>
      <c r="Y82" s="257"/>
    </row>
    <row r="83" spans="1:25">
      <c r="A83" s="121">
        <f t="shared" si="17"/>
        <v>83</v>
      </c>
      <c r="B83" s="127" t="s">
        <v>216</v>
      </c>
      <c r="C83" s="313">
        <v>1</v>
      </c>
      <c r="D83" s="313">
        <v>1</v>
      </c>
      <c r="E83" s="313">
        <v>1</v>
      </c>
      <c r="F83" s="313">
        <v>1</v>
      </c>
      <c r="G83" s="313">
        <v>1</v>
      </c>
      <c r="H83" s="313">
        <v>1</v>
      </c>
      <c r="I83" s="313">
        <v>1</v>
      </c>
      <c r="J83" s="313">
        <v>1</v>
      </c>
      <c r="K83" s="313">
        <v>1</v>
      </c>
      <c r="L83" s="313">
        <v>1</v>
      </c>
      <c r="M83" s="313">
        <v>1</v>
      </c>
      <c r="N83" s="313">
        <v>1</v>
      </c>
      <c r="O83" s="310">
        <f t="shared" si="19"/>
        <v>1</v>
      </c>
      <c r="Q83" s="121" t="s">
        <v>17</v>
      </c>
      <c r="R83" s="310">
        <f t="shared" si="20"/>
        <v>12</v>
      </c>
      <c r="U83" s="121" t="s">
        <v>205</v>
      </c>
      <c r="Y83" s="257"/>
    </row>
    <row r="84" spans="1:25">
      <c r="A84" s="121">
        <f t="shared" si="17"/>
        <v>84</v>
      </c>
      <c r="B84" s="323" t="s">
        <v>217</v>
      </c>
      <c r="C84" s="313">
        <v>0</v>
      </c>
      <c r="D84" s="313">
        <v>0</v>
      </c>
      <c r="E84" s="313">
        <v>0</v>
      </c>
      <c r="F84" s="313">
        <v>0</v>
      </c>
      <c r="G84" s="313">
        <v>0</v>
      </c>
      <c r="H84" s="313">
        <v>0</v>
      </c>
      <c r="I84" s="313">
        <v>0</v>
      </c>
      <c r="J84" s="313">
        <v>0</v>
      </c>
      <c r="K84" s="313">
        <v>0</v>
      </c>
      <c r="L84" s="313">
        <v>0</v>
      </c>
      <c r="M84" s="313">
        <v>0</v>
      </c>
      <c r="N84" s="313">
        <v>0</v>
      </c>
      <c r="O84" s="310">
        <f t="shared" si="19"/>
        <v>0</v>
      </c>
      <c r="Q84" s="121" t="s">
        <v>17</v>
      </c>
      <c r="R84" s="310">
        <f t="shared" si="20"/>
        <v>0</v>
      </c>
      <c r="U84" s="121" t="s">
        <v>205</v>
      </c>
      <c r="Y84" s="257"/>
    </row>
    <row r="85" spans="1:25">
      <c r="A85" s="121">
        <f t="shared" si="17"/>
        <v>85</v>
      </c>
      <c r="B85" s="127" t="s">
        <v>218</v>
      </c>
      <c r="C85" s="313">
        <v>1</v>
      </c>
      <c r="D85" s="313">
        <v>1</v>
      </c>
      <c r="E85" s="313">
        <v>1</v>
      </c>
      <c r="F85" s="313">
        <v>1</v>
      </c>
      <c r="G85" s="313">
        <v>1</v>
      </c>
      <c r="H85" s="313">
        <v>1</v>
      </c>
      <c r="I85" s="313">
        <v>1</v>
      </c>
      <c r="J85" s="313">
        <v>1</v>
      </c>
      <c r="K85" s="313">
        <v>1</v>
      </c>
      <c r="L85" s="313">
        <v>1</v>
      </c>
      <c r="M85" s="313">
        <v>1</v>
      </c>
      <c r="N85" s="313">
        <v>1</v>
      </c>
      <c r="O85" s="310">
        <f t="shared" si="19"/>
        <v>1</v>
      </c>
      <c r="Q85" s="121" t="s">
        <v>16</v>
      </c>
      <c r="R85" s="310">
        <f t="shared" si="20"/>
        <v>12</v>
      </c>
      <c r="U85" s="121" t="s">
        <v>213</v>
      </c>
      <c r="Y85" s="257"/>
    </row>
    <row r="86" spans="1:25">
      <c r="A86" s="121">
        <f t="shared" si="17"/>
        <v>86</v>
      </c>
      <c r="B86" s="127" t="s">
        <v>219</v>
      </c>
      <c r="C86" s="313">
        <v>1</v>
      </c>
      <c r="D86" s="313">
        <v>1</v>
      </c>
      <c r="E86" s="313">
        <v>1</v>
      </c>
      <c r="F86" s="313">
        <v>1</v>
      </c>
      <c r="G86" s="313">
        <v>1</v>
      </c>
      <c r="H86" s="313">
        <v>1</v>
      </c>
      <c r="I86" s="313">
        <v>1</v>
      </c>
      <c r="J86" s="313">
        <v>1</v>
      </c>
      <c r="K86" s="313">
        <v>1</v>
      </c>
      <c r="L86" s="313">
        <v>1</v>
      </c>
      <c r="M86" s="313">
        <v>1</v>
      </c>
      <c r="N86" s="313">
        <v>1</v>
      </c>
      <c r="O86" s="310">
        <f t="shared" si="19"/>
        <v>1</v>
      </c>
      <c r="Q86" s="121" t="s">
        <v>16</v>
      </c>
      <c r="R86" s="310">
        <f t="shared" si="20"/>
        <v>12</v>
      </c>
      <c r="U86" s="121" t="s">
        <v>213</v>
      </c>
      <c r="Y86" s="257"/>
    </row>
    <row r="87" spans="1:25">
      <c r="A87" s="121">
        <f t="shared" si="17"/>
        <v>87</v>
      </c>
      <c r="B87" s="323" t="s">
        <v>220</v>
      </c>
      <c r="C87" s="313">
        <v>1</v>
      </c>
      <c r="D87" s="313">
        <v>1</v>
      </c>
      <c r="E87" s="313">
        <v>1</v>
      </c>
      <c r="F87" s="313">
        <v>1</v>
      </c>
      <c r="G87" s="313">
        <v>1</v>
      </c>
      <c r="H87" s="313">
        <v>1</v>
      </c>
      <c r="I87" s="313">
        <v>1</v>
      </c>
      <c r="J87" s="313">
        <v>1</v>
      </c>
      <c r="K87" s="313">
        <v>1</v>
      </c>
      <c r="L87" s="313">
        <v>1</v>
      </c>
      <c r="M87" s="313">
        <v>1</v>
      </c>
      <c r="N87" s="313">
        <v>1</v>
      </c>
      <c r="O87" s="319">
        <f t="shared" si="19"/>
        <v>1</v>
      </c>
      <c r="Q87" s="121" t="s">
        <v>17</v>
      </c>
      <c r="R87" s="310">
        <f t="shared" si="20"/>
        <v>12</v>
      </c>
      <c r="U87" s="121" t="s">
        <v>205</v>
      </c>
      <c r="Y87" s="257"/>
    </row>
    <row r="88" spans="1:25">
      <c r="A88" s="121">
        <f t="shared" si="17"/>
        <v>88</v>
      </c>
      <c r="B88" s="322" t="s">
        <v>221</v>
      </c>
      <c r="C88" s="317">
        <f>SUM(C73:C87)</f>
        <v>14</v>
      </c>
      <c r="D88" s="317">
        <f t="shared" ref="D88:N88" si="21">SUM(D73:D87)</f>
        <v>14</v>
      </c>
      <c r="E88" s="317">
        <f t="shared" si="21"/>
        <v>14</v>
      </c>
      <c r="F88" s="317">
        <f t="shared" si="21"/>
        <v>14</v>
      </c>
      <c r="G88" s="317">
        <f t="shared" si="21"/>
        <v>14</v>
      </c>
      <c r="H88" s="317">
        <f t="shared" si="21"/>
        <v>14</v>
      </c>
      <c r="I88" s="317">
        <f t="shared" si="21"/>
        <v>14</v>
      </c>
      <c r="J88" s="317">
        <f t="shared" si="21"/>
        <v>14</v>
      </c>
      <c r="K88" s="317">
        <f t="shared" si="21"/>
        <v>14</v>
      </c>
      <c r="L88" s="317">
        <f t="shared" si="21"/>
        <v>14</v>
      </c>
      <c r="M88" s="317">
        <f t="shared" si="21"/>
        <v>14</v>
      </c>
      <c r="N88" s="317">
        <f t="shared" si="21"/>
        <v>14</v>
      </c>
      <c r="O88" s="310">
        <f>SUM(O73:O87)</f>
        <v>14</v>
      </c>
      <c r="R88" s="310">
        <f t="shared" si="20"/>
        <v>168</v>
      </c>
      <c r="Y88" s="257"/>
    </row>
    <row r="89" spans="1:25">
      <c r="A89" s="121">
        <f t="shared" si="17"/>
        <v>89</v>
      </c>
      <c r="B89" s="320" t="s">
        <v>222</v>
      </c>
      <c r="C89" s="310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R89" s="121"/>
      <c r="Y89" s="257"/>
    </row>
    <row r="90" spans="1:25">
      <c r="A90" s="121">
        <f t="shared" si="17"/>
        <v>90</v>
      </c>
      <c r="B90" s="323"/>
      <c r="C90" s="313"/>
      <c r="D90" s="313"/>
      <c r="E90" s="313"/>
      <c r="F90" s="313"/>
      <c r="G90" s="313"/>
      <c r="H90" s="313"/>
      <c r="I90" s="313"/>
      <c r="J90" s="313"/>
      <c r="K90" s="313"/>
      <c r="L90" s="313"/>
      <c r="M90" s="313"/>
      <c r="N90" s="313"/>
      <c r="O90" s="310"/>
      <c r="Q90" s="121" t="s">
        <v>17</v>
      </c>
      <c r="R90" s="310">
        <f>+SUM(C90:N90)</f>
        <v>0</v>
      </c>
      <c r="U90" s="121" t="s">
        <v>205</v>
      </c>
      <c r="Y90" s="257"/>
    </row>
    <row r="91" spans="1:25">
      <c r="A91" s="121">
        <f t="shared" si="17"/>
        <v>91</v>
      </c>
      <c r="B91" s="127" t="s">
        <v>223</v>
      </c>
      <c r="C91" s="313">
        <v>1</v>
      </c>
      <c r="D91" s="313">
        <v>1</v>
      </c>
      <c r="E91" s="313">
        <v>1</v>
      </c>
      <c r="F91" s="313">
        <v>1</v>
      </c>
      <c r="G91" s="313">
        <v>1</v>
      </c>
      <c r="H91" s="313">
        <v>1</v>
      </c>
      <c r="I91" s="313">
        <v>1</v>
      </c>
      <c r="J91" s="313">
        <v>1</v>
      </c>
      <c r="K91" s="313">
        <v>1</v>
      </c>
      <c r="L91" s="313">
        <v>1</v>
      </c>
      <c r="M91" s="313">
        <v>1</v>
      </c>
      <c r="N91" s="313">
        <v>1</v>
      </c>
      <c r="O91" s="310">
        <f>AVERAGE(C91:N91)</f>
        <v>1</v>
      </c>
      <c r="Q91" s="121" t="s">
        <v>17</v>
      </c>
      <c r="R91" s="310">
        <f>+SUM(C91:N91)</f>
        <v>12</v>
      </c>
      <c r="U91" s="121" t="s">
        <v>205</v>
      </c>
      <c r="Y91" s="257"/>
    </row>
    <row r="92" spans="1:25">
      <c r="A92" s="121">
        <f t="shared" si="17"/>
        <v>92</v>
      </c>
      <c r="B92" s="127" t="s">
        <v>224</v>
      </c>
      <c r="C92" s="313">
        <v>1</v>
      </c>
      <c r="D92" s="313">
        <v>1</v>
      </c>
      <c r="E92" s="313">
        <v>1</v>
      </c>
      <c r="F92" s="313">
        <v>1</v>
      </c>
      <c r="G92" s="313">
        <v>1</v>
      </c>
      <c r="H92" s="313">
        <v>1</v>
      </c>
      <c r="I92" s="313">
        <v>1</v>
      </c>
      <c r="J92" s="313">
        <v>1</v>
      </c>
      <c r="K92" s="313">
        <v>1</v>
      </c>
      <c r="L92" s="313">
        <v>1</v>
      </c>
      <c r="M92" s="313">
        <v>1</v>
      </c>
      <c r="N92" s="313">
        <v>1</v>
      </c>
      <c r="O92" s="310">
        <f>AVERAGE(C92:N92)</f>
        <v>1</v>
      </c>
      <c r="Q92" s="121" t="s">
        <v>16</v>
      </c>
      <c r="R92" s="310">
        <f>+SUM(C92:N92)</f>
        <v>12</v>
      </c>
      <c r="U92" s="121" t="s">
        <v>213</v>
      </c>
      <c r="Y92" s="257"/>
    </row>
    <row r="93" spans="1:25">
      <c r="A93" s="121">
        <f t="shared" si="17"/>
        <v>93</v>
      </c>
      <c r="B93" s="127" t="s">
        <v>252</v>
      </c>
      <c r="C93" s="313">
        <v>1</v>
      </c>
      <c r="D93" s="313">
        <v>1</v>
      </c>
      <c r="E93" s="313">
        <v>1</v>
      </c>
      <c r="F93" s="313">
        <v>1</v>
      </c>
      <c r="G93" s="313">
        <v>1</v>
      </c>
      <c r="H93" s="313">
        <v>1</v>
      </c>
      <c r="I93" s="313">
        <v>1</v>
      </c>
      <c r="J93" s="313">
        <v>1</v>
      </c>
      <c r="K93" s="313">
        <v>1</v>
      </c>
      <c r="L93" s="313">
        <v>1</v>
      </c>
      <c r="M93" s="313">
        <v>1</v>
      </c>
      <c r="N93" s="313">
        <v>1</v>
      </c>
      <c r="O93" s="310">
        <f>AVERAGE(C93:N93)</f>
        <v>1</v>
      </c>
      <c r="Q93" s="121" t="s">
        <v>16</v>
      </c>
      <c r="R93" s="310">
        <f>+SUM(C93:N93)</f>
        <v>12</v>
      </c>
      <c r="U93" s="121" t="s">
        <v>213</v>
      </c>
      <c r="Y93" s="257"/>
    </row>
    <row r="94" spans="1:25">
      <c r="A94" s="121">
        <f t="shared" si="17"/>
        <v>94</v>
      </c>
      <c r="B94" s="322" t="s">
        <v>226</v>
      </c>
      <c r="C94" s="317">
        <f>SUM(C90:C93)</f>
        <v>3</v>
      </c>
      <c r="D94" s="317">
        <f t="shared" ref="D94:O94" si="22">SUM(D90:D93)</f>
        <v>3</v>
      </c>
      <c r="E94" s="317">
        <f t="shared" si="22"/>
        <v>3</v>
      </c>
      <c r="F94" s="317">
        <f t="shared" si="22"/>
        <v>3</v>
      </c>
      <c r="G94" s="317">
        <f t="shared" si="22"/>
        <v>3</v>
      </c>
      <c r="H94" s="317">
        <f t="shared" si="22"/>
        <v>3</v>
      </c>
      <c r="I94" s="317">
        <f t="shared" si="22"/>
        <v>3</v>
      </c>
      <c r="J94" s="317">
        <f t="shared" si="22"/>
        <v>3</v>
      </c>
      <c r="K94" s="317">
        <f t="shared" si="22"/>
        <v>3</v>
      </c>
      <c r="L94" s="317">
        <f t="shared" si="22"/>
        <v>3</v>
      </c>
      <c r="M94" s="317">
        <f t="shared" si="22"/>
        <v>3</v>
      </c>
      <c r="N94" s="317">
        <f t="shared" si="22"/>
        <v>3</v>
      </c>
      <c r="O94" s="317">
        <f t="shared" si="22"/>
        <v>3</v>
      </c>
      <c r="R94" s="310">
        <f>+SUM(C94:N94)</f>
        <v>36</v>
      </c>
      <c r="Y94" s="257"/>
    </row>
    <row r="95" spans="1:25">
      <c r="A95" s="121">
        <f t="shared" si="17"/>
        <v>95</v>
      </c>
      <c r="B95" s="320"/>
      <c r="C95" s="310"/>
      <c r="D95" s="310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Y95" s="257"/>
    </row>
    <row r="96" spans="1:25">
      <c r="A96" s="121">
        <f t="shared" si="17"/>
        <v>96</v>
      </c>
      <c r="B96" s="127"/>
      <c r="C96" s="313"/>
      <c r="D96" s="313"/>
      <c r="E96" s="313"/>
      <c r="F96" s="313"/>
      <c r="G96" s="313"/>
      <c r="H96" s="313"/>
      <c r="I96" s="313"/>
      <c r="J96" s="313"/>
      <c r="K96" s="313"/>
      <c r="L96" s="313"/>
      <c r="M96" s="313"/>
      <c r="N96" s="313"/>
      <c r="O96" s="310">
        <v>0</v>
      </c>
      <c r="Q96" s="121" t="s">
        <v>17</v>
      </c>
      <c r="U96" s="121" t="s">
        <v>205</v>
      </c>
      <c r="Y96" s="257"/>
    </row>
    <row r="97" spans="1:25">
      <c r="A97" s="121">
        <f t="shared" si="17"/>
        <v>97</v>
      </c>
      <c r="B97" s="128" t="s">
        <v>207</v>
      </c>
      <c r="C97" s="313">
        <v>0</v>
      </c>
      <c r="D97" s="313">
        <v>0</v>
      </c>
      <c r="E97" s="313">
        <v>0</v>
      </c>
      <c r="F97" s="313">
        <v>0</v>
      </c>
      <c r="G97" s="313">
        <v>0</v>
      </c>
      <c r="H97" s="313">
        <v>0</v>
      </c>
      <c r="I97" s="313">
        <v>0</v>
      </c>
      <c r="J97" s="313">
        <v>0</v>
      </c>
      <c r="K97" s="313">
        <v>0</v>
      </c>
      <c r="L97" s="313">
        <v>0</v>
      </c>
      <c r="M97" s="313">
        <v>0</v>
      </c>
      <c r="N97" s="313"/>
      <c r="O97" s="310">
        <f>AVERAGE(C97:N97)</f>
        <v>0</v>
      </c>
      <c r="Q97" s="121" t="s">
        <v>17</v>
      </c>
      <c r="R97" s="310">
        <f>+SUM(C97:N97)</f>
        <v>0</v>
      </c>
      <c r="U97" s="121" t="s">
        <v>205</v>
      </c>
      <c r="Y97" s="257"/>
    </row>
    <row r="98" spans="1:25">
      <c r="A98" s="121">
        <f t="shared" si="17"/>
        <v>98</v>
      </c>
      <c r="B98" s="322" t="s">
        <v>228</v>
      </c>
      <c r="C98" s="317">
        <f t="shared" ref="C98:N98" si="23">SUM(C96:C97)</f>
        <v>0</v>
      </c>
      <c r="D98" s="317">
        <f t="shared" si="23"/>
        <v>0</v>
      </c>
      <c r="E98" s="317">
        <f t="shared" si="23"/>
        <v>0</v>
      </c>
      <c r="F98" s="317">
        <f t="shared" si="23"/>
        <v>0</v>
      </c>
      <c r="G98" s="317">
        <f t="shared" si="23"/>
        <v>0</v>
      </c>
      <c r="H98" s="317">
        <f t="shared" si="23"/>
        <v>0</v>
      </c>
      <c r="I98" s="317">
        <f t="shared" si="23"/>
        <v>0</v>
      </c>
      <c r="J98" s="317">
        <f t="shared" si="23"/>
        <v>0</v>
      </c>
      <c r="K98" s="317">
        <f t="shared" si="23"/>
        <v>0</v>
      </c>
      <c r="L98" s="317">
        <f t="shared" si="23"/>
        <v>0</v>
      </c>
      <c r="M98" s="317">
        <f t="shared" si="23"/>
        <v>0</v>
      </c>
      <c r="N98" s="317">
        <f t="shared" si="23"/>
        <v>0</v>
      </c>
      <c r="O98" s="317">
        <f>AVERAGE(C98:N98)</f>
        <v>0</v>
      </c>
      <c r="R98" s="310">
        <f>+SUM(C98:N98)</f>
        <v>0</v>
      </c>
      <c r="Y98" s="257"/>
    </row>
    <row r="99" spans="1:25">
      <c r="A99" s="121">
        <f t="shared" si="17"/>
        <v>99</v>
      </c>
      <c r="B99" s="322"/>
      <c r="C99" s="310"/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0"/>
      <c r="R99" s="121"/>
      <c r="Y99" s="257"/>
    </row>
    <row r="100" spans="1:25">
      <c r="A100" s="121">
        <f t="shared" si="17"/>
        <v>100</v>
      </c>
      <c r="B100" s="324" t="s">
        <v>229</v>
      </c>
      <c r="C100" s="325">
        <f t="shared" ref="C100:O100" si="24">+C15+C24+C62+C71+C88+C94+C98</f>
        <v>84448</v>
      </c>
      <c r="D100" s="325">
        <f t="shared" si="24"/>
        <v>84656</v>
      </c>
      <c r="E100" s="325">
        <f t="shared" si="24"/>
        <v>84946</v>
      </c>
      <c r="F100" s="325">
        <f t="shared" si="24"/>
        <v>85356</v>
      </c>
      <c r="G100" s="325">
        <f t="shared" si="24"/>
        <v>85420</v>
      </c>
      <c r="H100" s="325">
        <f t="shared" si="24"/>
        <v>85702</v>
      </c>
      <c r="I100" s="325">
        <f t="shared" si="24"/>
        <v>86187</v>
      </c>
      <c r="J100" s="325">
        <f t="shared" si="24"/>
        <v>86337</v>
      </c>
      <c r="K100" s="325">
        <f t="shared" si="24"/>
        <v>86658</v>
      </c>
      <c r="L100" s="325">
        <f t="shared" si="24"/>
        <v>87141</v>
      </c>
      <c r="M100" s="325">
        <f t="shared" si="24"/>
        <v>87716</v>
      </c>
      <c r="N100" s="325">
        <f t="shared" si="24"/>
        <v>88027</v>
      </c>
      <c r="O100" s="326">
        <f t="shared" si="24"/>
        <v>86049.499999999985</v>
      </c>
      <c r="R100" s="121"/>
      <c r="Y100" s="257"/>
    </row>
    <row r="101" spans="1:25">
      <c r="A101" s="121">
        <f t="shared" si="17"/>
        <v>101</v>
      </c>
      <c r="B101" s="327" t="s">
        <v>230</v>
      </c>
      <c r="C101" s="310">
        <f t="shared" ref="C101:M101" si="25">C100-C94-C88</f>
        <v>84431</v>
      </c>
      <c r="D101" s="310">
        <f t="shared" si="25"/>
        <v>84639</v>
      </c>
      <c r="E101" s="310">
        <f t="shared" si="25"/>
        <v>84929</v>
      </c>
      <c r="F101" s="310">
        <f t="shared" si="25"/>
        <v>85339</v>
      </c>
      <c r="G101" s="310">
        <f t="shared" si="25"/>
        <v>85403</v>
      </c>
      <c r="H101" s="310">
        <f t="shared" si="25"/>
        <v>85685</v>
      </c>
      <c r="I101" s="310">
        <f t="shared" si="25"/>
        <v>86170</v>
      </c>
      <c r="J101" s="310">
        <f t="shared" si="25"/>
        <v>86320</v>
      </c>
      <c r="K101" s="310">
        <f t="shared" si="25"/>
        <v>86641</v>
      </c>
      <c r="L101" s="310">
        <f t="shared" si="25"/>
        <v>87124</v>
      </c>
      <c r="M101" s="310">
        <f t="shared" si="25"/>
        <v>87699</v>
      </c>
      <c r="N101" s="310">
        <f>N100-N94-N88</f>
        <v>88010</v>
      </c>
      <c r="O101" s="310">
        <f>O100-O94-O88</f>
        <v>86032.499999999985</v>
      </c>
      <c r="R101" s="121"/>
      <c r="Y101" s="257"/>
    </row>
    <row r="102" spans="1:25">
      <c r="A102" s="121">
        <f t="shared" si="17"/>
        <v>102</v>
      </c>
      <c r="B102" s="127" t="s">
        <v>231</v>
      </c>
      <c r="C102" s="313"/>
      <c r="D102" s="313"/>
      <c r="E102" s="313"/>
      <c r="F102" s="313"/>
      <c r="G102" s="313"/>
      <c r="H102" s="313"/>
      <c r="I102" s="313"/>
      <c r="J102" s="313"/>
      <c r="K102" s="313"/>
      <c r="L102" s="313"/>
      <c r="M102" s="313"/>
      <c r="N102" s="313">
        <v>1</v>
      </c>
      <c r="O102" s="310">
        <f>AVERAGE(C102:N102)</f>
        <v>1</v>
      </c>
      <c r="Q102" s="121" t="s">
        <v>16</v>
      </c>
      <c r="R102" s="310">
        <f>+SUM(C102:N102)</f>
        <v>1</v>
      </c>
      <c r="U102" s="121" t="s">
        <v>213</v>
      </c>
      <c r="Y102" s="257"/>
    </row>
    <row r="103" spans="1:25">
      <c r="A103" s="121">
        <f t="shared" si="17"/>
        <v>103</v>
      </c>
      <c r="B103" s="127" t="s">
        <v>232</v>
      </c>
      <c r="C103" s="313">
        <v>1</v>
      </c>
      <c r="D103" s="313">
        <v>1</v>
      </c>
      <c r="E103" s="313">
        <v>1</v>
      </c>
      <c r="F103" s="313">
        <v>1</v>
      </c>
      <c r="G103" s="313">
        <v>1</v>
      </c>
      <c r="H103" s="313">
        <v>1</v>
      </c>
      <c r="I103" s="313">
        <v>1</v>
      </c>
      <c r="J103" s="313">
        <v>1</v>
      </c>
      <c r="K103" s="313">
        <v>1</v>
      </c>
      <c r="L103" s="313">
        <v>1</v>
      </c>
      <c r="M103" s="313">
        <v>1</v>
      </c>
      <c r="N103" s="313">
        <v>1</v>
      </c>
      <c r="O103" s="310">
        <f>AVERAGE(C103:N103)</f>
        <v>1</v>
      </c>
      <c r="Q103" s="121" t="s">
        <v>17</v>
      </c>
      <c r="R103" s="310">
        <f>+SUM(C103:N103)</f>
        <v>12</v>
      </c>
      <c r="U103" s="121" t="s">
        <v>205</v>
      </c>
      <c r="Y103" s="257"/>
    </row>
    <row r="104" spans="1:25">
      <c r="A104" s="121">
        <f t="shared" si="17"/>
        <v>104</v>
      </c>
      <c r="B104" s="128" t="s">
        <v>233</v>
      </c>
      <c r="C104" s="313">
        <v>1</v>
      </c>
      <c r="D104" s="313">
        <v>1</v>
      </c>
      <c r="E104" s="313">
        <v>1</v>
      </c>
      <c r="F104" s="313">
        <v>1</v>
      </c>
      <c r="G104" s="313">
        <v>1</v>
      </c>
      <c r="H104" s="313">
        <v>1</v>
      </c>
      <c r="I104" s="313">
        <v>1</v>
      </c>
      <c r="J104" s="313">
        <v>1</v>
      </c>
      <c r="K104" s="313">
        <v>1</v>
      </c>
      <c r="L104" s="313">
        <v>1</v>
      </c>
      <c r="M104" s="313">
        <v>1</v>
      </c>
      <c r="N104" s="313">
        <v>1</v>
      </c>
      <c r="O104" s="319">
        <f>AVERAGE(C104:N104)</f>
        <v>1</v>
      </c>
      <c r="Q104" s="121" t="s">
        <v>17</v>
      </c>
      <c r="R104" s="310">
        <f>+SUM(C104:N104)</f>
        <v>12</v>
      </c>
      <c r="U104" s="121" t="s">
        <v>205</v>
      </c>
      <c r="Y104" s="257"/>
    </row>
    <row r="105" spans="1:25">
      <c r="A105" s="121">
        <f t="shared" si="17"/>
        <v>105</v>
      </c>
      <c r="B105" s="322" t="s">
        <v>234</v>
      </c>
      <c r="C105" s="317">
        <f>SUM(C102:C104)</f>
        <v>2</v>
      </c>
      <c r="D105" s="317">
        <f t="shared" ref="D105:O105" si="26">SUM(D102:D104)</f>
        <v>2</v>
      </c>
      <c r="E105" s="317">
        <f t="shared" si="26"/>
        <v>2</v>
      </c>
      <c r="F105" s="317">
        <f t="shared" si="26"/>
        <v>2</v>
      </c>
      <c r="G105" s="317">
        <f t="shared" si="26"/>
        <v>2</v>
      </c>
      <c r="H105" s="317">
        <f t="shared" si="26"/>
        <v>2</v>
      </c>
      <c r="I105" s="317">
        <f t="shared" si="26"/>
        <v>2</v>
      </c>
      <c r="J105" s="317">
        <f t="shared" si="26"/>
        <v>2</v>
      </c>
      <c r="K105" s="317">
        <f t="shared" si="26"/>
        <v>2</v>
      </c>
      <c r="L105" s="317">
        <f t="shared" si="26"/>
        <v>2</v>
      </c>
      <c r="M105" s="317">
        <f t="shared" si="26"/>
        <v>2</v>
      </c>
      <c r="N105" s="317">
        <f t="shared" si="26"/>
        <v>3</v>
      </c>
      <c r="O105" s="317">
        <f t="shared" si="26"/>
        <v>3</v>
      </c>
      <c r="R105" s="310">
        <f>+SUM(C105:N105)</f>
        <v>25</v>
      </c>
      <c r="Y105" s="257"/>
    </row>
    <row r="106" spans="1:25">
      <c r="A106" s="121">
        <f t="shared" si="17"/>
        <v>106</v>
      </c>
      <c r="B106" s="320" t="s">
        <v>235</v>
      </c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10"/>
      <c r="R106" s="121"/>
      <c r="Y106" s="257"/>
    </row>
    <row r="107" spans="1:25">
      <c r="A107" s="121">
        <f t="shared" si="17"/>
        <v>107</v>
      </c>
      <c r="B107" s="127" t="s">
        <v>236</v>
      </c>
      <c r="C107" s="313">
        <v>0</v>
      </c>
      <c r="D107" s="313">
        <v>0</v>
      </c>
      <c r="E107" s="313">
        <v>0</v>
      </c>
      <c r="F107" s="313">
        <v>0</v>
      </c>
      <c r="G107" s="313">
        <v>0</v>
      </c>
      <c r="H107" s="313">
        <v>0</v>
      </c>
      <c r="I107" s="313">
        <v>0</v>
      </c>
      <c r="J107" s="313">
        <v>0</v>
      </c>
      <c r="K107" s="313">
        <v>0</v>
      </c>
      <c r="L107" s="313">
        <v>0</v>
      </c>
      <c r="M107" s="313">
        <v>0</v>
      </c>
      <c r="N107" s="313">
        <v>0</v>
      </c>
      <c r="O107" s="310">
        <f>AVERAGE(C107:N107)</f>
        <v>0</v>
      </c>
      <c r="Q107" s="121" t="s">
        <v>253</v>
      </c>
      <c r="R107" s="310">
        <f>+SUM(C107:N107)</f>
        <v>0</v>
      </c>
      <c r="Y107" s="257"/>
    </row>
    <row r="108" spans="1:25">
      <c r="A108" s="121">
        <f t="shared" si="17"/>
        <v>108</v>
      </c>
      <c r="B108" s="127" t="s">
        <v>237</v>
      </c>
      <c r="C108" s="313">
        <v>1</v>
      </c>
      <c r="D108" s="313">
        <v>1</v>
      </c>
      <c r="E108" s="313">
        <v>1</v>
      </c>
      <c r="F108" s="313">
        <v>1</v>
      </c>
      <c r="G108" s="313">
        <v>1</v>
      </c>
      <c r="H108" s="313">
        <v>1</v>
      </c>
      <c r="I108" s="313">
        <v>1</v>
      </c>
      <c r="J108" s="313">
        <v>1</v>
      </c>
      <c r="K108" s="313">
        <v>1</v>
      </c>
      <c r="L108" s="313">
        <v>1</v>
      </c>
      <c r="M108" s="313">
        <v>1</v>
      </c>
      <c r="N108" s="313">
        <v>1</v>
      </c>
      <c r="O108" s="310">
        <f>AVERAGE(C108:N108)</f>
        <v>1</v>
      </c>
      <c r="Q108" s="121" t="s">
        <v>17</v>
      </c>
      <c r="R108" s="310">
        <f>+SUM(C108:N108)</f>
        <v>12</v>
      </c>
      <c r="U108" s="121" t="s">
        <v>205</v>
      </c>
      <c r="Y108" s="257"/>
    </row>
    <row r="109" spans="1:25">
      <c r="A109" s="121">
        <f t="shared" si="17"/>
        <v>109</v>
      </c>
      <c r="B109" s="128" t="s">
        <v>238</v>
      </c>
      <c r="C109" s="313">
        <v>1</v>
      </c>
      <c r="D109" s="313">
        <v>1</v>
      </c>
      <c r="E109" s="313">
        <v>1</v>
      </c>
      <c r="F109" s="313">
        <v>1</v>
      </c>
      <c r="G109" s="313">
        <v>1</v>
      </c>
      <c r="H109" s="313">
        <v>1</v>
      </c>
      <c r="I109" s="313">
        <v>1</v>
      </c>
      <c r="J109" s="313">
        <v>1</v>
      </c>
      <c r="K109" s="313">
        <v>1</v>
      </c>
      <c r="L109" s="313">
        <v>1</v>
      </c>
      <c r="M109" s="313">
        <v>1</v>
      </c>
      <c r="N109" s="313">
        <v>1</v>
      </c>
      <c r="O109" s="319">
        <f>AVERAGE(C109:N109)</f>
        <v>1</v>
      </c>
      <c r="Q109" s="121" t="s">
        <v>17</v>
      </c>
      <c r="R109" s="310">
        <f>+SUM(C109:N109)</f>
        <v>12</v>
      </c>
      <c r="U109" s="121" t="s">
        <v>205</v>
      </c>
      <c r="Y109" s="257"/>
    </row>
    <row r="110" spans="1:25">
      <c r="A110" s="121">
        <f t="shared" si="17"/>
        <v>110</v>
      </c>
      <c r="B110" s="322" t="s">
        <v>239</v>
      </c>
      <c r="C110" s="317">
        <f>SUM(C107:C109)</f>
        <v>2</v>
      </c>
      <c r="D110" s="317">
        <f>SUM(D107:D109)</f>
        <v>2</v>
      </c>
      <c r="E110" s="317">
        <f t="shared" ref="E110:N110" si="27">SUM(E107:E109)</f>
        <v>2</v>
      </c>
      <c r="F110" s="317">
        <f t="shared" si="27"/>
        <v>2</v>
      </c>
      <c r="G110" s="317">
        <f t="shared" si="27"/>
        <v>2</v>
      </c>
      <c r="H110" s="317">
        <f t="shared" si="27"/>
        <v>2</v>
      </c>
      <c r="I110" s="317">
        <f t="shared" si="27"/>
        <v>2</v>
      </c>
      <c r="J110" s="317">
        <f t="shared" si="27"/>
        <v>2</v>
      </c>
      <c r="K110" s="317">
        <f t="shared" si="27"/>
        <v>2</v>
      </c>
      <c r="L110" s="317">
        <f t="shared" si="27"/>
        <v>2</v>
      </c>
      <c r="M110" s="317">
        <f t="shared" si="27"/>
        <v>2</v>
      </c>
      <c r="N110" s="317">
        <f t="shared" si="27"/>
        <v>2</v>
      </c>
      <c r="O110" s="310">
        <f>SUM(O107:O109)</f>
        <v>2</v>
      </c>
      <c r="R110" s="310">
        <f>+SUM(C110:N110)</f>
        <v>24</v>
      </c>
      <c r="Y110" s="257"/>
    </row>
    <row r="111" spans="1:25">
      <c r="A111" s="121">
        <f t="shared" si="17"/>
        <v>111</v>
      </c>
      <c r="B111" s="322"/>
      <c r="C111" s="310"/>
      <c r="D111" s="31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0"/>
      <c r="Y111" s="257"/>
    </row>
    <row r="112" spans="1:25">
      <c r="A112" s="121">
        <f t="shared" si="17"/>
        <v>112</v>
      </c>
      <c r="B112" s="324" t="s">
        <v>240</v>
      </c>
      <c r="C112" s="325">
        <f t="shared" ref="C112:O112" si="28">+C105+C110</f>
        <v>4</v>
      </c>
      <c r="D112" s="325">
        <f t="shared" si="28"/>
        <v>4</v>
      </c>
      <c r="E112" s="325">
        <f t="shared" si="28"/>
        <v>4</v>
      </c>
      <c r="F112" s="325">
        <f t="shared" si="28"/>
        <v>4</v>
      </c>
      <c r="G112" s="325">
        <f t="shared" si="28"/>
        <v>4</v>
      </c>
      <c r="H112" s="325">
        <f t="shared" si="28"/>
        <v>4</v>
      </c>
      <c r="I112" s="325">
        <f t="shared" si="28"/>
        <v>4</v>
      </c>
      <c r="J112" s="325">
        <f t="shared" si="28"/>
        <v>4</v>
      </c>
      <c r="K112" s="325">
        <f t="shared" si="28"/>
        <v>4</v>
      </c>
      <c r="L112" s="325">
        <f t="shared" si="28"/>
        <v>4</v>
      </c>
      <c r="M112" s="325">
        <f t="shared" si="28"/>
        <v>4</v>
      </c>
      <c r="N112" s="325">
        <f t="shared" si="28"/>
        <v>5</v>
      </c>
      <c r="O112" s="326">
        <f t="shared" si="28"/>
        <v>5</v>
      </c>
      <c r="R112" s="310">
        <f>+SUM(C112:N112)</f>
        <v>49</v>
      </c>
      <c r="Y112" s="257"/>
    </row>
    <row r="113" spans="1:25">
      <c r="A113" s="121">
        <f t="shared" si="17"/>
        <v>113</v>
      </c>
      <c r="B113" s="328"/>
      <c r="C113" s="329"/>
      <c r="D113" s="329"/>
      <c r="E113" s="329"/>
      <c r="F113" s="329"/>
      <c r="G113" s="329"/>
      <c r="H113" s="329"/>
      <c r="I113" s="329"/>
      <c r="J113" s="329"/>
      <c r="K113" s="329"/>
      <c r="L113" s="329"/>
      <c r="M113" s="329"/>
      <c r="N113" s="329"/>
      <c r="O113" s="329"/>
      <c r="Y113" s="257"/>
    </row>
    <row r="114" spans="1:25">
      <c r="A114" s="121">
        <f t="shared" si="17"/>
        <v>114</v>
      </c>
      <c r="B114" s="356" t="s">
        <v>254</v>
      </c>
      <c r="C114" s="329"/>
      <c r="D114" s="329"/>
      <c r="E114" s="329"/>
      <c r="F114" s="329"/>
      <c r="G114" s="329"/>
      <c r="H114" s="329"/>
      <c r="I114" s="329"/>
      <c r="J114" s="329"/>
      <c r="K114" s="329"/>
      <c r="L114" s="329"/>
      <c r="M114" s="329"/>
      <c r="N114" s="329"/>
      <c r="O114" s="329"/>
      <c r="Y114" s="257"/>
    </row>
    <row r="115" spans="1:25">
      <c r="A115" s="121">
        <f t="shared" si="17"/>
        <v>115</v>
      </c>
      <c r="B115" s="357" t="s">
        <v>173</v>
      </c>
      <c r="C115" s="313">
        <v>182</v>
      </c>
      <c r="D115" s="313">
        <v>183</v>
      </c>
      <c r="E115" s="313">
        <v>181</v>
      </c>
      <c r="F115" s="313">
        <v>179</v>
      </c>
      <c r="G115" s="313">
        <v>180</v>
      </c>
      <c r="H115" s="313">
        <v>181</v>
      </c>
      <c r="I115" s="313">
        <v>181</v>
      </c>
      <c r="J115" s="313">
        <v>183</v>
      </c>
      <c r="K115" s="313">
        <v>182</v>
      </c>
      <c r="L115" s="313">
        <v>182</v>
      </c>
      <c r="M115" s="313">
        <v>181</v>
      </c>
      <c r="N115" s="313">
        <v>181</v>
      </c>
      <c r="O115" s="310">
        <f t="shared" ref="O115:O120" si="29">AVERAGE(C115:N115)</f>
        <v>181.33333333333334</v>
      </c>
      <c r="R115" s="310">
        <f t="shared" ref="R115:R121" si="30">+SUM(C115:N115)</f>
        <v>2176</v>
      </c>
      <c r="Y115" s="257"/>
    </row>
    <row r="116" spans="1:25">
      <c r="A116" s="121">
        <f t="shared" si="17"/>
        <v>116</v>
      </c>
      <c r="B116" s="357" t="s">
        <v>176</v>
      </c>
      <c r="C116" s="313">
        <v>958</v>
      </c>
      <c r="D116" s="313">
        <v>964</v>
      </c>
      <c r="E116" s="313">
        <v>965</v>
      </c>
      <c r="F116" s="313">
        <v>965</v>
      </c>
      <c r="G116" s="313">
        <v>972</v>
      </c>
      <c r="H116" s="313">
        <v>971</v>
      </c>
      <c r="I116" s="313">
        <v>969</v>
      </c>
      <c r="J116" s="313">
        <v>972</v>
      </c>
      <c r="K116" s="313">
        <v>974</v>
      </c>
      <c r="L116" s="313">
        <v>984</v>
      </c>
      <c r="M116" s="313">
        <v>984</v>
      </c>
      <c r="N116" s="313">
        <v>983</v>
      </c>
      <c r="O116" s="310">
        <f t="shared" si="29"/>
        <v>971.75</v>
      </c>
      <c r="R116" s="310">
        <f t="shared" si="30"/>
        <v>11661</v>
      </c>
      <c r="Y116" s="257"/>
    </row>
    <row r="117" spans="1:25">
      <c r="A117" s="121">
        <f t="shared" si="17"/>
        <v>117</v>
      </c>
      <c r="B117" s="357" t="s">
        <v>180</v>
      </c>
      <c r="C117" s="313">
        <v>1192</v>
      </c>
      <c r="D117" s="313">
        <v>1180</v>
      </c>
      <c r="E117" s="313">
        <v>1183</v>
      </c>
      <c r="F117" s="313">
        <v>1186</v>
      </c>
      <c r="G117" s="313">
        <v>1204</v>
      </c>
      <c r="H117" s="313">
        <v>1188</v>
      </c>
      <c r="I117" s="313">
        <v>1187</v>
      </c>
      <c r="J117" s="313">
        <v>1184</v>
      </c>
      <c r="K117" s="313">
        <v>1184</v>
      </c>
      <c r="L117" s="313">
        <v>1191</v>
      </c>
      <c r="M117" s="313">
        <v>1183</v>
      </c>
      <c r="N117" s="313">
        <v>1182</v>
      </c>
      <c r="O117" s="310">
        <f t="shared" si="29"/>
        <v>1187</v>
      </c>
      <c r="R117" s="310">
        <f t="shared" si="30"/>
        <v>14244</v>
      </c>
      <c r="Y117" s="257"/>
    </row>
    <row r="118" spans="1:25">
      <c r="A118" s="121">
        <f t="shared" si="17"/>
        <v>118</v>
      </c>
      <c r="B118" s="357" t="s">
        <v>181</v>
      </c>
      <c r="C118" s="313">
        <v>53</v>
      </c>
      <c r="D118" s="313">
        <v>48</v>
      </c>
      <c r="E118" s="313">
        <v>57</v>
      </c>
      <c r="F118" s="313">
        <v>54</v>
      </c>
      <c r="G118" s="313">
        <v>50</v>
      </c>
      <c r="H118" s="313">
        <v>50</v>
      </c>
      <c r="I118" s="313">
        <v>45</v>
      </c>
      <c r="J118" s="313">
        <v>43</v>
      </c>
      <c r="K118" s="313">
        <v>49</v>
      </c>
      <c r="L118" s="313">
        <v>43</v>
      </c>
      <c r="M118" s="313">
        <v>44</v>
      </c>
      <c r="N118" s="313">
        <v>41</v>
      </c>
      <c r="O118" s="310">
        <f t="shared" si="29"/>
        <v>48.083333333333336</v>
      </c>
      <c r="R118" s="310">
        <f t="shared" si="30"/>
        <v>577</v>
      </c>
      <c r="Y118" s="257"/>
    </row>
    <row r="119" spans="1:25">
      <c r="A119" s="121">
        <f t="shared" si="17"/>
        <v>119</v>
      </c>
      <c r="B119" s="357" t="s">
        <v>184</v>
      </c>
      <c r="C119" s="313">
        <v>20</v>
      </c>
      <c r="D119" s="313">
        <v>18</v>
      </c>
      <c r="E119" s="313">
        <v>18</v>
      </c>
      <c r="F119" s="313">
        <v>18</v>
      </c>
      <c r="G119" s="313">
        <v>18</v>
      </c>
      <c r="H119" s="313">
        <v>18</v>
      </c>
      <c r="I119" s="313">
        <v>18</v>
      </c>
      <c r="J119" s="313">
        <v>18</v>
      </c>
      <c r="K119" s="313">
        <v>18</v>
      </c>
      <c r="L119" s="313">
        <v>18</v>
      </c>
      <c r="M119" s="313">
        <v>18</v>
      </c>
      <c r="N119" s="313">
        <v>18</v>
      </c>
      <c r="O119" s="310">
        <f t="shared" si="29"/>
        <v>18.166666666666668</v>
      </c>
      <c r="R119" s="310">
        <f t="shared" si="30"/>
        <v>218</v>
      </c>
      <c r="Y119" s="257"/>
    </row>
    <row r="120" spans="1:25">
      <c r="A120" s="121">
        <f t="shared" si="17"/>
        <v>120</v>
      </c>
      <c r="B120" s="357" t="s">
        <v>255</v>
      </c>
      <c r="C120" s="313">
        <v>7</v>
      </c>
      <c r="D120" s="313">
        <v>7</v>
      </c>
      <c r="E120" s="313">
        <v>7</v>
      </c>
      <c r="F120" s="313">
        <v>7</v>
      </c>
      <c r="G120" s="313">
        <v>7</v>
      </c>
      <c r="H120" s="313">
        <v>7</v>
      </c>
      <c r="I120" s="313">
        <v>7</v>
      </c>
      <c r="J120" s="313">
        <v>7</v>
      </c>
      <c r="K120" s="313">
        <v>7</v>
      </c>
      <c r="L120" s="313">
        <v>7</v>
      </c>
      <c r="M120" s="313">
        <v>7</v>
      </c>
      <c r="N120" s="313">
        <v>8</v>
      </c>
      <c r="O120" s="310">
        <f t="shared" si="29"/>
        <v>7.083333333333333</v>
      </c>
      <c r="R120" s="310">
        <f t="shared" si="30"/>
        <v>85</v>
      </c>
      <c r="Y120" s="257"/>
    </row>
    <row r="121" spans="1:25">
      <c r="A121" s="121">
        <f t="shared" si="17"/>
        <v>121</v>
      </c>
      <c r="B121" s="358" t="s">
        <v>256</v>
      </c>
      <c r="C121" s="329">
        <f t="shared" ref="C121:O121" si="31">+SUM(C115:C120)</f>
        <v>2412</v>
      </c>
      <c r="D121" s="329">
        <f t="shared" si="31"/>
        <v>2400</v>
      </c>
      <c r="E121" s="329">
        <f t="shared" si="31"/>
        <v>2411</v>
      </c>
      <c r="F121" s="329">
        <f t="shared" si="31"/>
        <v>2409</v>
      </c>
      <c r="G121" s="329">
        <f t="shared" si="31"/>
        <v>2431</v>
      </c>
      <c r="H121" s="329">
        <f t="shared" si="31"/>
        <v>2415</v>
      </c>
      <c r="I121" s="329">
        <f t="shared" si="31"/>
        <v>2407</v>
      </c>
      <c r="J121" s="329">
        <f t="shared" si="31"/>
        <v>2407</v>
      </c>
      <c r="K121" s="329">
        <f t="shared" si="31"/>
        <v>2414</v>
      </c>
      <c r="L121" s="329">
        <f t="shared" si="31"/>
        <v>2425</v>
      </c>
      <c r="M121" s="329">
        <f t="shared" si="31"/>
        <v>2417</v>
      </c>
      <c r="N121" s="329">
        <f t="shared" si="31"/>
        <v>2413</v>
      </c>
      <c r="O121" s="329">
        <f t="shared" si="31"/>
        <v>2413.4166666666665</v>
      </c>
      <c r="R121" s="310">
        <f t="shared" si="30"/>
        <v>28961</v>
      </c>
      <c r="Y121" s="257"/>
    </row>
    <row r="122" spans="1:25">
      <c r="A122" s="121">
        <f t="shared" si="17"/>
        <v>122</v>
      </c>
      <c r="B122" s="358"/>
      <c r="C122" s="329"/>
      <c r="D122" s="329"/>
      <c r="E122" s="329"/>
      <c r="F122" s="329"/>
      <c r="G122" s="329"/>
      <c r="H122" s="329"/>
      <c r="I122" s="329"/>
      <c r="J122" s="329"/>
      <c r="K122" s="329"/>
      <c r="L122" s="329"/>
      <c r="M122" s="329"/>
      <c r="N122" s="329"/>
      <c r="O122" s="329"/>
      <c r="Y122" s="257"/>
    </row>
    <row r="123" spans="1:25">
      <c r="A123" s="121">
        <f t="shared" si="17"/>
        <v>123</v>
      </c>
      <c r="B123" s="356" t="s">
        <v>257</v>
      </c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29"/>
      <c r="N123" s="329"/>
      <c r="O123" s="329"/>
      <c r="Y123" s="257"/>
    </row>
    <row r="124" spans="1:25">
      <c r="A124" s="121">
        <f t="shared" si="17"/>
        <v>124</v>
      </c>
      <c r="B124" s="357" t="s">
        <v>181</v>
      </c>
      <c r="C124" s="313">
        <v>40</v>
      </c>
      <c r="D124" s="313">
        <v>39</v>
      </c>
      <c r="E124" s="313">
        <v>39</v>
      </c>
      <c r="F124" s="313">
        <v>39</v>
      </c>
      <c r="G124" s="313">
        <v>39</v>
      </c>
      <c r="H124" s="313">
        <v>39</v>
      </c>
      <c r="I124" s="313">
        <v>39</v>
      </c>
      <c r="J124" s="313">
        <v>39</v>
      </c>
      <c r="K124" s="313">
        <v>39</v>
      </c>
      <c r="L124" s="313">
        <v>39</v>
      </c>
      <c r="M124" s="313">
        <v>39</v>
      </c>
      <c r="N124" s="313">
        <v>39</v>
      </c>
      <c r="O124" s="310">
        <f>AVERAGE(C124:N124)</f>
        <v>39.083333333333336</v>
      </c>
      <c r="R124" s="310">
        <f>+SUM(C124:N124)</f>
        <v>469</v>
      </c>
      <c r="Y124" s="257"/>
    </row>
    <row r="125" spans="1:25">
      <c r="A125" s="121">
        <f t="shared" si="17"/>
        <v>125</v>
      </c>
      <c r="B125" s="357" t="s">
        <v>184</v>
      </c>
      <c r="C125" s="313">
        <v>19</v>
      </c>
      <c r="D125" s="313">
        <v>17</v>
      </c>
      <c r="E125" s="313">
        <v>17</v>
      </c>
      <c r="F125" s="313">
        <v>17</v>
      </c>
      <c r="G125" s="313">
        <v>17</v>
      </c>
      <c r="H125" s="313">
        <v>17</v>
      </c>
      <c r="I125" s="313">
        <v>17</v>
      </c>
      <c r="J125" s="313">
        <v>17</v>
      </c>
      <c r="K125" s="313">
        <v>17</v>
      </c>
      <c r="L125" s="313">
        <v>17</v>
      </c>
      <c r="M125" s="313">
        <v>17</v>
      </c>
      <c r="N125" s="313">
        <v>17</v>
      </c>
      <c r="O125" s="310">
        <f>AVERAGE(C125:N125)</f>
        <v>17.166666666666668</v>
      </c>
      <c r="R125" s="310">
        <f>+SUM(C125:N125)</f>
        <v>206</v>
      </c>
      <c r="Y125" s="257"/>
    </row>
    <row r="126" spans="1:25">
      <c r="A126" s="121">
        <f t="shared" si="17"/>
        <v>126</v>
      </c>
      <c r="B126" s="358" t="s">
        <v>258</v>
      </c>
      <c r="C126" s="310">
        <f t="shared" ref="C126:O126" si="32">+SUM(C124:C125)</f>
        <v>59</v>
      </c>
      <c r="D126" s="310">
        <f t="shared" si="32"/>
        <v>56</v>
      </c>
      <c r="E126" s="310">
        <f t="shared" si="32"/>
        <v>56</v>
      </c>
      <c r="F126" s="310">
        <f t="shared" si="32"/>
        <v>56</v>
      </c>
      <c r="G126" s="310">
        <f t="shared" si="32"/>
        <v>56</v>
      </c>
      <c r="H126" s="310">
        <f t="shared" si="32"/>
        <v>56</v>
      </c>
      <c r="I126" s="310">
        <f t="shared" si="32"/>
        <v>56</v>
      </c>
      <c r="J126" s="310">
        <f t="shared" si="32"/>
        <v>56</v>
      </c>
      <c r="K126" s="310">
        <f t="shared" si="32"/>
        <v>56</v>
      </c>
      <c r="L126" s="310">
        <f t="shared" si="32"/>
        <v>56</v>
      </c>
      <c r="M126" s="310">
        <f t="shared" si="32"/>
        <v>56</v>
      </c>
      <c r="N126" s="310">
        <f t="shared" si="32"/>
        <v>56</v>
      </c>
      <c r="O126" s="310">
        <f t="shared" si="32"/>
        <v>56.25</v>
      </c>
      <c r="R126" s="310">
        <f>+SUM(C126:N126)</f>
        <v>675</v>
      </c>
      <c r="Y126" s="257"/>
    </row>
    <row r="127" spans="1:25">
      <c r="A127" s="121">
        <f t="shared" si="17"/>
        <v>127</v>
      </c>
      <c r="B127" s="358"/>
      <c r="C127" s="310"/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0"/>
      <c r="Y127" s="257"/>
    </row>
    <row r="128" spans="1:25">
      <c r="A128" s="121">
        <f t="shared" si="17"/>
        <v>128</v>
      </c>
      <c r="B128" s="324" t="s">
        <v>241</v>
      </c>
      <c r="C128" s="325">
        <f t="shared" ref="C128:O128" si="33">+C100+C112</f>
        <v>84452</v>
      </c>
      <c r="D128" s="325">
        <f t="shared" si="33"/>
        <v>84660</v>
      </c>
      <c r="E128" s="325">
        <f t="shared" si="33"/>
        <v>84950</v>
      </c>
      <c r="F128" s="325">
        <f t="shared" si="33"/>
        <v>85360</v>
      </c>
      <c r="G128" s="325">
        <f t="shared" si="33"/>
        <v>85424</v>
      </c>
      <c r="H128" s="325">
        <f t="shared" si="33"/>
        <v>85706</v>
      </c>
      <c r="I128" s="325">
        <f t="shared" si="33"/>
        <v>86191</v>
      </c>
      <c r="J128" s="325">
        <f t="shared" si="33"/>
        <v>86341</v>
      </c>
      <c r="K128" s="325">
        <f t="shared" si="33"/>
        <v>86662</v>
      </c>
      <c r="L128" s="325">
        <f>+L100+L112</f>
        <v>87145</v>
      </c>
      <c r="M128" s="325">
        <f t="shared" si="33"/>
        <v>87720</v>
      </c>
      <c r="N128" s="325">
        <f t="shared" si="33"/>
        <v>88032</v>
      </c>
      <c r="O128" s="326">
        <f t="shared" si="33"/>
        <v>86054.499999999985</v>
      </c>
      <c r="R128" s="310">
        <f>+SUM(C128:N128)</f>
        <v>1032643</v>
      </c>
      <c r="Y128" s="257"/>
    </row>
    <row r="129" spans="1:18">
      <c r="A129" s="121">
        <f t="shared" si="17"/>
        <v>129</v>
      </c>
      <c r="B129" s="311" t="s">
        <v>158</v>
      </c>
      <c r="C129" s="310"/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0"/>
    </row>
    <row r="130" spans="1:18">
      <c r="A130" s="121">
        <f t="shared" si="17"/>
        <v>130</v>
      </c>
      <c r="B130" s="312" t="s">
        <v>114</v>
      </c>
      <c r="C130" s="310">
        <f t="shared" ref="C130:C140" si="34">+C4</f>
        <v>1144</v>
      </c>
      <c r="D130" s="310">
        <f t="shared" ref="D130:D140" si="35">AVERAGE(C4:D4)</f>
        <v>1146</v>
      </c>
      <c r="E130" s="310">
        <f t="shared" ref="E130:E140" si="36">AVERAGE(C4:E4)</f>
        <v>1149.3333333333333</v>
      </c>
      <c r="F130" s="310">
        <f t="shared" ref="F130:F140" si="37">AVERAGE(C4:F4)</f>
        <v>1149</v>
      </c>
      <c r="G130" s="310">
        <f t="shared" ref="G130:G140" si="38">AVERAGE(C4:G4)</f>
        <v>1147</v>
      </c>
      <c r="H130" s="310">
        <f t="shared" ref="H130:H140" si="39">AVERAGE(C4:H4)</f>
        <v>1144.8333333333333</v>
      </c>
      <c r="I130" s="310">
        <f t="shared" ref="I130:I140" si="40">AVERAGE(C4:I4)</f>
        <v>1143.4285714285713</v>
      </c>
      <c r="J130" s="310">
        <f t="shared" ref="J130:J140" si="41">AVERAGE(C4:J4)</f>
        <v>1142.125</v>
      </c>
      <c r="K130" s="310">
        <f t="shared" ref="K130:K140" si="42">AVERAGE(C4:K4)</f>
        <v>1140.3333333333333</v>
      </c>
      <c r="L130" s="310">
        <f t="shared" ref="L130:L140" si="43">AVERAGE(C4:L4)</f>
        <v>1139.3</v>
      </c>
      <c r="M130" s="310">
        <f t="shared" ref="M130:M140" si="44">AVERAGE(C4:M4)</f>
        <v>1139.2727272727273</v>
      </c>
      <c r="N130" s="310">
        <f t="shared" ref="N130:N140" si="45">AVERAGE(C4:N4)</f>
        <v>1138.75</v>
      </c>
      <c r="O130" s="310">
        <f t="shared" ref="O130:O139" si="46">SUM(C130:N130)</f>
        <v>13723.376298701298</v>
      </c>
    </row>
    <row r="131" spans="1:18">
      <c r="A131" s="121">
        <f t="shared" ref="A131:A194" si="47">+A130+1</f>
        <v>131</v>
      </c>
      <c r="B131" s="312" t="s">
        <v>115</v>
      </c>
      <c r="C131" s="310">
        <f t="shared" si="34"/>
        <v>2241</v>
      </c>
      <c r="D131" s="310">
        <f t="shared" si="35"/>
        <v>2243</v>
      </c>
      <c r="E131" s="310">
        <f t="shared" si="36"/>
        <v>2245.3333333333335</v>
      </c>
      <c r="F131" s="310">
        <f t="shared" si="37"/>
        <v>2244.5</v>
      </c>
      <c r="G131" s="310">
        <f t="shared" si="38"/>
        <v>2243.8000000000002</v>
      </c>
      <c r="H131" s="310">
        <f t="shared" si="39"/>
        <v>2241.8333333333335</v>
      </c>
      <c r="I131" s="310">
        <f t="shared" si="40"/>
        <v>2241.5714285714284</v>
      </c>
      <c r="J131" s="310">
        <f t="shared" si="41"/>
        <v>2241.5</v>
      </c>
      <c r="K131" s="310">
        <f t="shared" si="42"/>
        <v>2241.6666666666665</v>
      </c>
      <c r="L131" s="310">
        <f t="shared" si="43"/>
        <v>2242.4</v>
      </c>
      <c r="M131" s="310">
        <f t="shared" si="44"/>
        <v>2242.5454545454545</v>
      </c>
      <c r="N131" s="310">
        <f t="shared" si="45"/>
        <v>2243.0833333333335</v>
      </c>
      <c r="O131" s="310">
        <f t="shared" si="46"/>
        <v>26912.233549783556</v>
      </c>
    </row>
    <row r="132" spans="1:18">
      <c r="A132" s="121">
        <f t="shared" si="47"/>
        <v>132</v>
      </c>
      <c r="B132" s="312" t="s">
        <v>116</v>
      </c>
      <c r="C132" s="310">
        <f t="shared" si="34"/>
        <v>12704</v>
      </c>
      <c r="D132" s="310">
        <f t="shared" si="35"/>
        <v>12724.5</v>
      </c>
      <c r="E132" s="310">
        <f t="shared" si="36"/>
        <v>12748</v>
      </c>
      <c r="F132" s="310">
        <f t="shared" si="37"/>
        <v>12767.75</v>
      </c>
      <c r="G132" s="310">
        <f t="shared" si="38"/>
        <v>12789.8</v>
      </c>
      <c r="H132" s="310">
        <f t="shared" si="39"/>
        <v>12810.666666666666</v>
      </c>
      <c r="I132" s="310">
        <f t="shared" si="40"/>
        <v>12834.571428571429</v>
      </c>
      <c r="J132" s="310">
        <f t="shared" si="41"/>
        <v>12858.625</v>
      </c>
      <c r="K132" s="310">
        <f t="shared" si="42"/>
        <v>12889.444444444445</v>
      </c>
      <c r="L132" s="310">
        <f t="shared" si="43"/>
        <v>12922.5</v>
      </c>
      <c r="M132" s="310">
        <f t="shared" si="44"/>
        <v>12971.636363636364</v>
      </c>
      <c r="N132" s="310">
        <f t="shared" si="45"/>
        <v>13022</v>
      </c>
      <c r="O132" s="310">
        <f t="shared" si="46"/>
        <v>154043.49390331891</v>
      </c>
    </row>
    <row r="133" spans="1:18">
      <c r="A133" s="121">
        <f t="shared" si="47"/>
        <v>133</v>
      </c>
      <c r="B133" s="312" t="s">
        <v>117</v>
      </c>
      <c r="C133" s="310">
        <f t="shared" si="34"/>
        <v>732</v>
      </c>
      <c r="D133" s="310">
        <f t="shared" si="35"/>
        <v>729.5</v>
      </c>
      <c r="E133" s="310">
        <f t="shared" si="36"/>
        <v>730</v>
      </c>
      <c r="F133" s="310">
        <f t="shared" si="37"/>
        <v>730.75</v>
      </c>
      <c r="G133" s="310">
        <f t="shared" si="38"/>
        <v>730.4</v>
      </c>
      <c r="H133" s="310">
        <f t="shared" si="39"/>
        <v>730.66666666666663</v>
      </c>
      <c r="I133" s="310">
        <f t="shared" si="40"/>
        <v>730.42857142857144</v>
      </c>
      <c r="J133" s="310">
        <f t="shared" si="41"/>
        <v>730.375</v>
      </c>
      <c r="K133" s="310">
        <f t="shared" si="42"/>
        <v>730.77777777777783</v>
      </c>
      <c r="L133" s="310">
        <f t="shared" si="43"/>
        <v>731.6</v>
      </c>
      <c r="M133" s="310">
        <f t="shared" si="44"/>
        <v>732.09090909090912</v>
      </c>
      <c r="N133" s="310">
        <f t="shared" si="45"/>
        <v>732.75</v>
      </c>
      <c r="O133" s="310">
        <f t="shared" si="46"/>
        <v>8771.3389249639258</v>
      </c>
    </row>
    <row r="134" spans="1:18">
      <c r="A134" s="121">
        <f t="shared" si="47"/>
        <v>134</v>
      </c>
      <c r="B134" s="312" t="s">
        <v>118</v>
      </c>
      <c r="C134" s="310">
        <f t="shared" si="34"/>
        <v>479</v>
      </c>
      <c r="D134" s="310">
        <f t="shared" si="35"/>
        <v>482</v>
      </c>
      <c r="E134" s="310">
        <f t="shared" si="36"/>
        <v>481.33333333333331</v>
      </c>
      <c r="F134" s="310">
        <f t="shared" si="37"/>
        <v>480.75</v>
      </c>
      <c r="G134" s="310">
        <f t="shared" si="38"/>
        <v>479.6</v>
      </c>
      <c r="H134" s="310">
        <f t="shared" si="39"/>
        <v>479.5</v>
      </c>
      <c r="I134" s="310">
        <f t="shared" si="40"/>
        <v>479.57142857142856</v>
      </c>
      <c r="J134" s="310">
        <f t="shared" si="41"/>
        <v>479.625</v>
      </c>
      <c r="K134" s="310">
        <f t="shared" si="42"/>
        <v>479.88888888888891</v>
      </c>
      <c r="L134" s="310">
        <f t="shared" si="43"/>
        <v>480.1</v>
      </c>
      <c r="M134" s="310">
        <f t="shared" si="44"/>
        <v>480.27272727272725</v>
      </c>
      <c r="N134" s="310">
        <f t="shared" si="45"/>
        <v>480.33333333333331</v>
      </c>
      <c r="O134" s="310">
        <f t="shared" si="46"/>
        <v>5761.9747113997109</v>
      </c>
    </row>
    <row r="135" spans="1:18">
      <c r="A135" s="121">
        <f t="shared" si="47"/>
        <v>135</v>
      </c>
      <c r="B135" s="315" t="s">
        <v>119</v>
      </c>
      <c r="C135" s="310">
        <f t="shared" si="34"/>
        <v>16</v>
      </c>
      <c r="D135" s="310">
        <f t="shared" si="35"/>
        <v>16</v>
      </c>
      <c r="E135" s="310">
        <f t="shared" si="36"/>
        <v>16</v>
      </c>
      <c r="F135" s="310">
        <f t="shared" si="37"/>
        <v>16</v>
      </c>
      <c r="G135" s="310">
        <f t="shared" si="38"/>
        <v>16.2</v>
      </c>
      <c r="H135" s="310">
        <f t="shared" si="39"/>
        <v>16.166666666666668</v>
      </c>
      <c r="I135" s="310">
        <f t="shared" si="40"/>
        <v>16.142857142857142</v>
      </c>
      <c r="J135" s="310">
        <f t="shared" si="41"/>
        <v>16.125</v>
      </c>
      <c r="K135" s="310">
        <f t="shared" si="42"/>
        <v>16.111111111111111</v>
      </c>
      <c r="L135" s="310">
        <f t="shared" si="43"/>
        <v>16.100000000000001</v>
      </c>
      <c r="M135" s="310">
        <f t="shared" si="44"/>
        <v>16.09090909090909</v>
      </c>
      <c r="N135" s="310">
        <f t="shared" si="45"/>
        <v>16.166666666666668</v>
      </c>
      <c r="O135" s="310">
        <f t="shared" si="46"/>
        <v>193.10321067821067</v>
      </c>
    </row>
    <row r="136" spans="1:18">
      <c r="A136" s="121">
        <f t="shared" si="47"/>
        <v>136</v>
      </c>
      <c r="B136" s="315" t="s">
        <v>120</v>
      </c>
      <c r="C136" s="310">
        <f t="shared" si="34"/>
        <v>0</v>
      </c>
      <c r="D136" s="310">
        <f t="shared" si="35"/>
        <v>0</v>
      </c>
      <c r="E136" s="310">
        <f t="shared" si="36"/>
        <v>0</v>
      </c>
      <c r="F136" s="310">
        <f t="shared" si="37"/>
        <v>0</v>
      </c>
      <c r="G136" s="310">
        <f t="shared" si="38"/>
        <v>0</v>
      </c>
      <c r="H136" s="310">
        <f t="shared" si="39"/>
        <v>0</v>
      </c>
      <c r="I136" s="310">
        <f t="shared" si="40"/>
        <v>0</v>
      </c>
      <c r="J136" s="310">
        <f t="shared" si="41"/>
        <v>0</v>
      </c>
      <c r="K136" s="310">
        <f t="shared" si="42"/>
        <v>0</v>
      </c>
      <c r="L136" s="310">
        <f t="shared" si="43"/>
        <v>0</v>
      </c>
      <c r="M136" s="310">
        <f t="shared" si="44"/>
        <v>0</v>
      </c>
      <c r="N136" s="310">
        <f t="shared" si="45"/>
        <v>0</v>
      </c>
      <c r="O136" s="310">
        <f t="shared" si="46"/>
        <v>0</v>
      </c>
    </row>
    <row r="137" spans="1:18">
      <c r="A137" s="121">
        <f t="shared" si="47"/>
        <v>137</v>
      </c>
      <c r="B137" s="315" t="s">
        <v>161</v>
      </c>
      <c r="C137" s="310">
        <f t="shared" si="34"/>
        <v>56960</v>
      </c>
      <c r="D137" s="310">
        <f t="shared" si="35"/>
        <v>57038</v>
      </c>
      <c r="E137" s="310">
        <f t="shared" si="36"/>
        <v>57133.666666666664</v>
      </c>
      <c r="F137" s="310">
        <f t="shared" si="37"/>
        <v>57273.5</v>
      </c>
      <c r="G137" s="310">
        <f t="shared" si="38"/>
        <v>57372</v>
      </c>
      <c r="H137" s="310">
        <f t="shared" si="39"/>
        <v>57477.166666666664</v>
      </c>
      <c r="I137" s="310">
        <f t="shared" si="40"/>
        <v>57608.285714285717</v>
      </c>
      <c r="J137" s="310">
        <f t="shared" si="41"/>
        <v>57720</v>
      </c>
      <c r="K137" s="310">
        <f t="shared" si="42"/>
        <v>57828</v>
      </c>
      <c r="L137" s="310">
        <f t="shared" si="43"/>
        <v>57946.400000000001</v>
      </c>
      <c r="M137" s="310">
        <f t="shared" si="44"/>
        <v>58071.454545454544</v>
      </c>
      <c r="N137" s="310">
        <f t="shared" si="45"/>
        <v>58191</v>
      </c>
      <c r="O137" s="310">
        <f t="shared" si="46"/>
        <v>690619.47359307366</v>
      </c>
    </row>
    <row r="138" spans="1:18">
      <c r="A138" s="121">
        <f t="shared" si="47"/>
        <v>138</v>
      </c>
      <c r="B138" s="315" t="s">
        <v>163</v>
      </c>
      <c r="C138" s="310">
        <f t="shared" si="34"/>
        <v>564</v>
      </c>
      <c r="D138" s="310">
        <f t="shared" si="35"/>
        <v>563.5</v>
      </c>
      <c r="E138" s="310">
        <f t="shared" si="36"/>
        <v>565</v>
      </c>
      <c r="F138" s="310">
        <f t="shared" si="37"/>
        <v>568.25</v>
      </c>
      <c r="G138" s="310">
        <f t="shared" si="38"/>
        <v>569.6</v>
      </c>
      <c r="H138" s="310">
        <f t="shared" si="39"/>
        <v>572.16666666666663</v>
      </c>
      <c r="I138" s="310">
        <f t="shared" si="40"/>
        <v>575.14285714285711</v>
      </c>
      <c r="J138" s="310">
        <f t="shared" si="41"/>
        <v>577.5</v>
      </c>
      <c r="K138" s="310">
        <f t="shared" si="42"/>
        <v>581.22222222222217</v>
      </c>
      <c r="L138" s="310">
        <f t="shared" si="43"/>
        <v>586</v>
      </c>
      <c r="M138" s="310">
        <f t="shared" si="44"/>
        <v>591.63636363636363</v>
      </c>
      <c r="N138" s="310">
        <f t="shared" si="45"/>
        <v>596.75</v>
      </c>
      <c r="O138" s="310">
        <f t="shared" si="46"/>
        <v>6910.7681096681099</v>
      </c>
    </row>
    <row r="139" spans="1:18">
      <c r="A139" s="121">
        <f t="shared" si="47"/>
        <v>139</v>
      </c>
      <c r="B139" s="315" t="s">
        <v>111</v>
      </c>
      <c r="C139" s="310">
        <f t="shared" si="34"/>
        <v>565</v>
      </c>
      <c r="D139" s="310">
        <f t="shared" si="35"/>
        <v>564.5</v>
      </c>
      <c r="E139" s="310">
        <f t="shared" si="36"/>
        <v>564</v>
      </c>
      <c r="F139" s="310">
        <f t="shared" si="37"/>
        <v>562</v>
      </c>
      <c r="G139" s="310">
        <f t="shared" si="38"/>
        <v>559.4</v>
      </c>
      <c r="H139" s="310">
        <f t="shared" si="39"/>
        <v>557</v>
      </c>
      <c r="I139" s="310">
        <f t="shared" si="40"/>
        <v>555.85714285714289</v>
      </c>
      <c r="J139" s="310">
        <f t="shared" si="41"/>
        <v>555</v>
      </c>
      <c r="K139" s="310">
        <f t="shared" si="42"/>
        <v>554.55555555555554</v>
      </c>
      <c r="L139" s="310">
        <f t="shared" si="43"/>
        <v>554.5</v>
      </c>
      <c r="M139" s="310">
        <f t="shared" si="44"/>
        <v>554.36363636363637</v>
      </c>
      <c r="N139" s="310">
        <f t="shared" si="45"/>
        <v>554.33333333333337</v>
      </c>
      <c r="O139" s="310">
        <f t="shared" si="46"/>
        <v>6700.5096681096675</v>
      </c>
    </row>
    <row r="140" spans="1:18">
      <c r="A140" s="121">
        <f t="shared" si="47"/>
        <v>140</v>
      </c>
      <c r="B140" s="315" t="s">
        <v>105</v>
      </c>
      <c r="C140" s="319">
        <f t="shared" si="34"/>
        <v>676</v>
      </c>
      <c r="D140" s="319">
        <f t="shared" si="35"/>
        <v>675</v>
      </c>
      <c r="E140" s="319">
        <f t="shared" si="36"/>
        <v>674.33333333333337</v>
      </c>
      <c r="F140" s="319">
        <f t="shared" si="37"/>
        <v>674</v>
      </c>
      <c r="G140" s="319">
        <f t="shared" si="38"/>
        <v>674</v>
      </c>
      <c r="H140" s="319">
        <f t="shared" si="39"/>
        <v>673.5</v>
      </c>
      <c r="I140" s="319">
        <f t="shared" si="40"/>
        <v>673.42857142857144</v>
      </c>
      <c r="J140" s="319">
        <f t="shared" si="41"/>
        <v>673.625</v>
      </c>
      <c r="K140" s="319">
        <f t="shared" si="42"/>
        <v>673.88888888888891</v>
      </c>
      <c r="L140" s="319">
        <f t="shared" si="43"/>
        <v>674</v>
      </c>
      <c r="M140" s="319">
        <f t="shared" si="44"/>
        <v>674</v>
      </c>
      <c r="N140" s="319">
        <f t="shared" si="45"/>
        <v>673.83333333333337</v>
      </c>
      <c r="O140" s="319">
        <f>SUM(C140:N140)</f>
        <v>8089.6091269841263</v>
      </c>
    </row>
    <row r="141" spans="1:18">
      <c r="A141" s="121">
        <f t="shared" si="47"/>
        <v>141</v>
      </c>
      <c r="B141" s="316" t="s">
        <v>166</v>
      </c>
      <c r="C141" s="310">
        <f t="shared" ref="C141:O141" si="48">SUM(C130:C140)</f>
        <v>76081</v>
      </c>
      <c r="D141" s="310">
        <f t="shared" si="48"/>
        <v>76182</v>
      </c>
      <c r="E141" s="310">
        <f t="shared" si="48"/>
        <v>76306.999999999985</v>
      </c>
      <c r="F141" s="310">
        <f t="shared" si="48"/>
        <v>76466.5</v>
      </c>
      <c r="G141" s="310">
        <f t="shared" si="48"/>
        <v>76581.8</v>
      </c>
      <c r="H141" s="310">
        <f t="shared" si="48"/>
        <v>76703.5</v>
      </c>
      <c r="I141" s="310">
        <f t="shared" si="48"/>
        <v>76858.428571428565</v>
      </c>
      <c r="J141" s="310">
        <f t="shared" si="48"/>
        <v>76994.5</v>
      </c>
      <c r="K141" s="310">
        <f t="shared" si="48"/>
        <v>77135.888888888891</v>
      </c>
      <c r="L141" s="310">
        <f t="shared" si="48"/>
        <v>77292.899999999994</v>
      </c>
      <c r="M141" s="310">
        <f t="shared" si="48"/>
        <v>77473.363636363632</v>
      </c>
      <c r="N141" s="310">
        <f t="shared" si="48"/>
        <v>77648.999999999985</v>
      </c>
      <c r="O141" s="310">
        <f t="shared" si="48"/>
        <v>921725.88109668123</v>
      </c>
    </row>
    <row r="142" spans="1:18">
      <c r="A142" s="121">
        <f t="shared" si="47"/>
        <v>142</v>
      </c>
      <c r="B142" s="311" t="s">
        <v>167</v>
      </c>
      <c r="C142" s="310"/>
      <c r="D142" s="310"/>
      <c r="E142" s="310"/>
      <c r="F142" s="310"/>
      <c r="G142" s="310"/>
      <c r="H142" s="310"/>
      <c r="I142" s="310"/>
      <c r="J142" s="310"/>
      <c r="K142" s="310"/>
      <c r="L142" s="310"/>
      <c r="M142" s="310"/>
      <c r="N142" s="310"/>
      <c r="O142" s="310"/>
      <c r="R142" s="121"/>
    </row>
    <row r="143" spans="1:18">
      <c r="A143" s="121">
        <f t="shared" si="47"/>
        <v>143</v>
      </c>
      <c r="B143" s="312" t="s">
        <v>114</v>
      </c>
      <c r="C143" s="310">
        <f t="shared" ref="C143:C149" si="49">+C17</f>
        <v>33</v>
      </c>
      <c r="D143" s="310">
        <f t="shared" ref="D143:D149" si="50">AVERAGE(C17:D17)</f>
        <v>34</v>
      </c>
      <c r="E143" s="310">
        <f t="shared" ref="E143:E149" si="51">AVERAGE(C17:E17)</f>
        <v>34.333333333333336</v>
      </c>
      <c r="F143" s="310">
        <f t="shared" ref="F143:F149" si="52">AVERAGE(C17:F17)</f>
        <v>34</v>
      </c>
      <c r="G143" s="310">
        <f t="shared" ref="G143:G149" si="53">AVERAGE(C17:G17)</f>
        <v>33.4</v>
      </c>
      <c r="H143" s="310">
        <f t="shared" ref="H143:H149" si="54">AVERAGE(C17:H17)</f>
        <v>33</v>
      </c>
      <c r="I143" s="310">
        <f t="shared" ref="I143:I149" si="55">AVERAGE(C17:I17)</f>
        <v>32.714285714285715</v>
      </c>
      <c r="J143" s="310">
        <f t="shared" ref="J143:J149" si="56">AVERAGE(C17:J17)</f>
        <v>32.25</v>
      </c>
      <c r="K143" s="310">
        <f t="shared" ref="K143:K149" si="57">AVERAGE(C17:K17)</f>
        <v>31.888888888888889</v>
      </c>
      <c r="L143" s="310">
        <f t="shared" ref="L143:L149" si="58">AVERAGE(C17:L17)</f>
        <v>31.7</v>
      </c>
      <c r="M143" s="310">
        <f t="shared" ref="M143:M149" si="59">AVERAGE(C17:M17)</f>
        <v>31.727272727272727</v>
      </c>
      <c r="N143" s="310">
        <f t="shared" ref="N143:N149" si="60">AVERAGE(C17:N17)</f>
        <v>31.75</v>
      </c>
      <c r="O143" s="310">
        <f t="shared" ref="O143:O149" si="61">SUM(C143:N143)</f>
        <v>393.76378066378072</v>
      </c>
      <c r="R143" s="121"/>
    </row>
    <row r="144" spans="1:18">
      <c r="A144" s="121">
        <f t="shared" si="47"/>
        <v>144</v>
      </c>
      <c r="B144" s="312" t="s">
        <v>115</v>
      </c>
      <c r="C144" s="310">
        <f t="shared" si="49"/>
        <v>63</v>
      </c>
      <c r="D144" s="310">
        <f t="shared" si="50"/>
        <v>62</v>
      </c>
      <c r="E144" s="310">
        <f t="shared" si="51"/>
        <v>61.666666666666664</v>
      </c>
      <c r="F144" s="310">
        <f t="shared" si="52"/>
        <v>61.75</v>
      </c>
      <c r="G144" s="310">
        <f t="shared" si="53"/>
        <v>61.4</v>
      </c>
      <c r="H144" s="310">
        <f t="shared" si="54"/>
        <v>61.166666666666664</v>
      </c>
      <c r="I144" s="310">
        <f t="shared" si="55"/>
        <v>61</v>
      </c>
      <c r="J144" s="310">
        <f t="shared" si="56"/>
        <v>61</v>
      </c>
      <c r="K144" s="310">
        <f t="shared" si="57"/>
        <v>61</v>
      </c>
      <c r="L144" s="310">
        <f t="shared" si="58"/>
        <v>61.2</v>
      </c>
      <c r="M144" s="310">
        <f t="shared" si="59"/>
        <v>61.272727272727273</v>
      </c>
      <c r="N144" s="310">
        <f t="shared" si="60"/>
        <v>61.333333333333336</v>
      </c>
      <c r="O144" s="310">
        <f t="shared" si="61"/>
        <v>737.78939393939402</v>
      </c>
      <c r="R144" s="121"/>
    </row>
    <row r="145" spans="1:18">
      <c r="A145" s="121">
        <f t="shared" si="47"/>
        <v>145</v>
      </c>
      <c r="B145" s="312" t="s">
        <v>116</v>
      </c>
      <c r="C145" s="310">
        <f t="shared" si="49"/>
        <v>167</v>
      </c>
      <c r="D145" s="310">
        <f t="shared" si="50"/>
        <v>167</v>
      </c>
      <c r="E145" s="310">
        <f t="shared" si="51"/>
        <v>167.33333333333334</v>
      </c>
      <c r="F145" s="310">
        <f t="shared" si="52"/>
        <v>167.25</v>
      </c>
      <c r="G145" s="310">
        <f t="shared" si="53"/>
        <v>166.6</v>
      </c>
      <c r="H145" s="310">
        <f t="shared" si="54"/>
        <v>166.16666666666666</v>
      </c>
      <c r="I145" s="310">
        <f t="shared" si="55"/>
        <v>165.85714285714286</v>
      </c>
      <c r="J145" s="310">
        <f t="shared" si="56"/>
        <v>165.75</v>
      </c>
      <c r="K145" s="310">
        <f t="shared" si="57"/>
        <v>165.55555555555554</v>
      </c>
      <c r="L145" s="310">
        <f t="shared" si="58"/>
        <v>165.5</v>
      </c>
      <c r="M145" s="310">
        <f t="shared" si="59"/>
        <v>165.45454545454547</v>
      </c>
      <c r="N145" s="310">
        <f t="shared" si="60"/>
        <v>165.41666666666666</v>
      </c>
      <c r="O145" s="310">
        <f t="shared" si="61"/>
        <v>1994.8839105339105</v>
      </c>
      <c r="R145" s="121"/>
    </row>
    <row r="146" spans="1:18">
      <c r="A146" s="121">
        <f t="shared" si="47"/>
        <v>146</v>
      </c>
      <c r="B146" s="312" t="s">
        <v>117</v>
      </c>
      <c r="C146" s="310">
        <f t="shared" si="49"/>
        <v>19</v>
      </c>
      <c r="D146" s="310">
        <f t="shared" si="50"/>
        <v>19</v>
      </c>
      <c r="E146" s="310">
        <f t="shared" si="51"/>
        <v>19.333333333333332</v>
      </c>
      <c r="F146" s="310">
        <f t="shared" si="52"/>
        <v>19.5</v>
      </c>
      <c r="G146" s="310">
        <f t="shared" si="53"/>
        <v>19.600000000000001</v>
      </c>
      <c r="H146" s="310">
        <f t="shared" si="54"/>
        <v>19.666666666666668</v>
      </c>
      <c r="I146" s="310">
        <f t="shared" si="55"/>
        <v>19.714285714285715</v>
      </c>
      <c r="J146" s="310">
        <f t="shared" si="56"/>
        <v>19.75</v>
      </c>
      <c r="K146" s="310">
        <f t="shared" si="57"/>
        <v>19.777777777777779</v>
      </c>
      <c r="L146" s="310">
        <f t="shared" si="58"/>
        <v>19.899999999999999</v>
      </c>
      <c r="M146" s="310">
        <f t="shared" si="59"/>
        <v>19.90909090909091</v>
      </c>
      <c r="N146" s="310">
        <f t="shared" si="60"/>
        <v>19.916666666666668</v>
      </c>
      <c r="O146" s="310">
        <f t="shared" si="61"/>
        <v>235.06782106782106</v>
      </c>
      <c r="R146" s="121"/>
    </row>
    <row r="147" spans="1:18">
      <c r="A147" s="121">
        <f t="shared" si="47"/>
        <v>147</v>
      </c>
      <c r="B147" s="312" t="s">
        <v>118</v>
      </c>
      <c r="C147" s="310">
        <f t="shared" si="49"/>
        <v>8</v>
      </c>
      <c r="D147" s="310">
        <f t="shared" si="50"/>
        <v>8</v>
      </c>
      <c r="E147" s="310">
        <f t="shared" si="51"/>
        <v>8</v>
      </c>
      <c r="F147" s="310">
        <f t="shared" si="52"/>
        <v>8</v>
      </c>
      <c r="G147" s="310">
        <f t="shared" si="53"/>
        <v>8</v>
      </c>
      <c r="H147" s="310">
        <f t="shared" si="54"/>
        <v>8</v>
      </c>
      <c r="I147" s="310">
        <f t="shared" si="55"/>
        <v>8</v>
      </c>
      <c r="J147" s="310">
        <f t="shared" si="56"/>
        <v>8</v>
      </c>
      <c r="K147" s="310">
        <f t="shared" si="57"/>
        <v>8</v>
      </c>
      <c r="L147" s="310">
        <f t="shared" si="58"/>
        <v>8</v>
      </c>
      <c r="M147" s="310">
        <f t="shared" si="59"/>
        <v>8</v>
      </c>
      <c r="N147" s="310">
        <f t="shared" si="60"/>
        <v>8</v>
      </c>
      <c r="O147" s="310">
        <f t="shared" si="61"/>
        <v>96</v>
      </c>
      <c r="R147" s="121"/>
    </row>
    <row r="148" spans="1:18">
      <c r="A148" s="121">
        <f t="shared" si="47"/>
        <v>148</v>
      </c>
      <c r="B148" s="315" t="s">
        <v>119</v>
      </c>
      <c r="C148" s="310">
        <f t="shared" si="49"/>
        <v>0</v>
      </c>
      <c r="D148" s="310">
        <f t="shared" si="50"/>
        <v>0</v>
      </c>
      <c r="E148" s="310">
        <f t="shared" si="51"/>
        <v>0</v>
      </c>
      <c r="F148" s="310">
        <f t="shared" si="52"/>
        <v>0</v>
      </c>
      <c r="G148" s="310">
        <f t="shared" si="53"/>
        <v>0</v>
      </c>
      <c r="H148" s="310">
        <f t="shared" si="54"/>
        <v>0</v>
      </c>
      <c r="I148" s="310">
        <f t="shared" si="55"/>
        <v>0</v>
      </c>
      <c r="J148" s="310">
        <f t="shared" si="56"/>
        <v>0</v>
      </c>
      <c r="K148" s="310">
        <f t="shared" si="57"/>
        <v>0</v>
      </c>
      <c r="L148" s="310">
        <f t="shared" si="58"/>
        <v>0</v>
      </c>
      <c r="M148" s="310">
        <f t="shared" si="59"/>
        <v>0</v>
      </c>
      <c r="N148" s="310">
        <f t="shared" si="60"/>
        <v>0</v>
      </c>
      <c r="O148" s="310">
        <f t="shared" si="61"/>
        <v>0</v>
      </c>
      <c r="R148" s="121"/>
    </row>
    <row r="149" spans="1:18">
      <c r="A149" s="121">
        <f t="shared" si="47"/>
        <v>149</v>
      </c>
      <c r="B149" s="315" t="s">
        <v>120</v>
      </c>
      <c r="C149" s="319">
        <f t="shared" si="49"/>
        <v>0</v>
      </c>
      <c r="D149" s="319">
        <f t="shared" si="50"/>
        <v>0</v>
      </c>
      <c r="E149" s="319">
        <f t="shared" si="51"/>
        <v>0</v>
      </c>
      <c r="F149" s="319">
        <f t="shared" si="52"/>
        <v>0</v>
      </c>
      <c r="G149" s="319">
        <f t="shared" si="53"/>
        <v>0</v>
      </c>
      <c r="H149" s="319">
        <f t="shared" si="54"/>
        <v>0</v>
      </c>
      <c r="I149" s="319">
        <f t="shared" si="55"/>
        <v>0</v>
      </c>
      <c r="J149" s="319">
        <f t="shared" si="56"/>
        <v>0</v>
      </c>
      <c r="K149" s="319">
        <f t="shared" si="57"/>
        <v>0</v>
      </c>
      <c r="L149" s="319">
        <f t="shared" si="58"/>
        <v>0</v>
      </c>
      <c r="M149" s="319">
        <f t="shared" si="59"/>
        <v>0</v>
      </c>
      <c r="N149" s="319">
        <f t="shared" si="60"/>
        <v>0</v>
      </c>
      <c r="O149" s="319">
        <f t="shared" si="61"/>
        <v>0</v>
      </c>
      <c r="R149" s="121"/>
    </row>
    <row r="150" spans="1:18">
      <c r="A150" s="121">
        <f t="shared" si="47"/>
        <v>150</v>
      </c>
      <c r="B150" s="316" t="s">
        <v>169</v>
      </c>
      <c r="C150" s="310">
        <f t="shared" ref="C150:O150" si="62">SUM(C143:C149)</f>
        <v>290</v>
      </c>
      <c r="D150" s="310">
        <f t="shared" si="62"/>
        <v>290</v>
      </c>
      <c r="E150" s="310">
        <f t="shared" si="62"/>
        <v>290.66666666666669</v>
      </c>
      <c r="F150" s="310">
        <f t="shared" si="62"/>
        <v>290.5</v>
      </c>
      <c r="G150" s="310">
        <f t="shared" si="62"/>
        <v>289</v>
      </c>
      <c r="H150" s="310">
        <f t="shared" si="62"/>
        <v>288</v>
      </c>
      <c r="I150" s="310">
        <f t="shared" si="62"/>
        <v>287.28571428571428</v>
      </c>
      <c r="J150" s="310">
        <f t="shared" si="62"/>
        <v>286.75</v>
      </c>
      <c r="K150" s="310">
        <f t="shared" si="62"/>
        <v>286.22222222222223</v>
      </c>
      <c r="L150" s="310">
        <f t="shared" si="62"/>
        <v>286.29999999999995</v>
      </c>
      <c r="M150" s="310">
        <f t="shared" si="62"/>
        <v>286.36363636363643</v>
      </c>
      <c r="N150" s="310">
        <f t="shared" si="62"/>
        <v>286.41666666666669</v>
      </c>
      <c r="O150" s="310">
        <f t="shared" si="62"/>
        <v>3457.5049062049061</v>
      </c>
      <c r="R150" s="121"/>
    </row>
    <row r="151" spans="1:18">
      <c r="A151" s="121">
        <f t="shared" si="47"/>
        <v>151</v>
      </c>
      <c r="B151" s="320" t="s">
        <v>170</v>
      </c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R151" s="121"/>
    </row>
    <row r="152" spans="1:18">
      <c r="A152" s="121">
        <f t="shared" si="47"/>
        <v>152</v>
      </c>
      <c r="B152" s="312" t="s">
        <v>114</v>
      </c>
      <c r="C152" s="310">
        <f t="shared" ref="C152:C187" si="63">+C26</f>
        <v>10</v>
      </c>
      <c r="D152" s="310">
        <f t="shared" ref="D152:D187" si="64">AVERAGE(C26:D26)</f>
        <v>10</v>
      </c>
      <c r="E152" s="310">
        <f t="shared" ref="E152:E187" si="65">AVERAGE(C26:E26)</f>
        <v>10</v>
      </c>
      <c r="F152" s="310">
        <f t="shared" ref="F152:F187" si="66">AVERAGE(C26:F26)</f>
        <v>10</v>
      </c>
      <c r="G152" s="310">
        <f t="shared" ref="G152:G187" si="67">AVERAGE(C26:G26)</f>
        <v>10</v>
      </c>
      <c r="H152" s="310">
        <f t="shared" ref="H152:H187" si="68">AVERAGE(C26:H26)</f>
        <v>10</v>
      </c>
      <c r="I152" s="310">
        <f t="shared" ref="I152:I187" si="69">AVERAGE(C26:I26)</f>
        <v>10</v>
      </c>
      <c r="J152" s="310">
        <f t="shared" ref="J152:J187" si="70">AVERAGE(C26:J26)</f>
        <v>10</v>
      </c>
      <c r="K152" s="310">
        <f t="shared" ref="K152:K187" si="71">AVERAGE(C26:K26)</f>
        <v>10</v>
      </c>
      <c r="L152" s="310">
        <f t="shared" ref="L152:L187" si="72">AVERAGE(C26:L26)</f>
        <v>10</v>
      </c>
      <c r="M152" s="310">
        <f t="shared" ref="M152:M187" si="73">AVERAGE(C26:M26)</f>
        <v>10</v>
      </c>
      <c r="N152" s="310">
        <f t="shared" ref="N152:N187" si="74">AVERAGE(C26:N26)</f>
        <v>10</v>
      </c>
      <c r="O152" s="310">
        <f t="shared" ref="O152:O184" si="75">SUM(C152:N152)</f>
        <v>120</v>
      </c>
      <c r="R152" s="121"/>
    </row>
    <row r="153" spans="1:18">
      <c r="A153" s="121">
        <f t="shared" si="47"/>
        <v>153</v>
      </c>
      <c r="B153" s="312" t="s">
        <v>115</v>
      </c>
      <c r="C153" s="310">
        <f t="shared" si="63"/>
        <v>7</v>
      </c>
      <c r="D153" s="310">
        <f t="shared" si="64"/>
        <v>7</v>
      </c>
      <c r="E153" s="310">
        <f t="shared" si="65"/>
        <v>7</v>
      </c>
      <c r="F153" s="310">
        <f t="shared" si="66"/>
        <v>6.75</v>
      </c>
      <c r="G153" s="310">
        <f t="shared" si="67"/>
        <v>6.6</v>
      </c>
      <c r="H153" s="310">
        <f t="shared" si="68"/>
        <v>6.5</v>
      </c>
      <c r="I153" s="310">
        <f t="shared" si="69"/>
        <v>6.4285714285714288</v>
      </c>
      <c r="J153" s="310">
        <f t="shared" si="70"/>
        <v>6.375</v>
      </c>
      <c r="K153" s="310">
        <f t="shared" si="71"/>
        <v>6.333333333333333</v>
      </c>
      <c r="L153" s="310">
        <f t="shared" si="72"/>
        <v>6.3</v>
      </c>
      <c r="M153" s="310">
        <f t="shared" si="73"/>
        <v>6.2727272727272725</v>
      </c>
      <c r="N153" s="310">
        <f t="shared" si="74"/>
        <v>6.333333333333333</v>
      </c>
      <c r="O153" s="310">
        <f t="shared" si="75"/>
        <v>78.89296536796536</v>
      </c>
      <c r="R153" s="121"/>
    </row>
    <row r="154" spans="1:18">
      <c r="A154" s="121">
        <f t="shared" si="47"/>
        <v>154</v>
      </c>
      <c r="B154" s="312" t="s">
        <v>116</v>
      </c>
      <c r="C154" s="310">
        <f t="shared" si="63"/>
        <v>230</v>
      </c>
      <c r="D154" s="310">
        <f t="shared" si="64"/>
        <v>230</v>
      </c>
      <c r="E154" s="310">
        <f t="shared" si="65"/>
        <v>230.33333333333334</v>
      </c>
      <c r="F154" s="310">
        <f t="shared" si="66"/>
        <v>230</v>
      </c>
      <c r="G154" s="310">
        <f t="shared" si="67"/>
        <v>229.8</v>
      </c>
      <c r="H154" s="310">
        <f t="shared" si="68"/>
        <v>229.33333333333334</v>
      </c>
      <c r="I154" s="310">
        <f t="shared" si="69"/>
        <v>228.71428571428572</v>
      </c>
      <c r="J154" s="310">
        <f t="shared" si="70"/>
        <v>228.375</v>
      </c>
      <c r="K154" s="310">
        <f t="shared" si="71"/>
        <v>228.55555555555554</v>
      </c>
      <c r="L154" s="310">
        <f t="shared" si="72"/>
        <v>228.6</v>
      </c>
      <c r="M154" s="310">
        <f t="shared" si="73"/>
        <v>228.54545454545453</v>
      </c>
      <c r="N154" s="310">
        <f t="shared" si="74"/>
        <v>228.41666666666666</v>
      </c>
      <c r="O154" s="310">
        <f t="shared" si="75"/>
        <v>2750.6736291486291</v>
      </c>
      <c r="R154" s="121"/>
    </row>
    <row r="155" spans="1:18">
      <c r="A155" s="121">
        <f t="shared" si="47"/>
        <v>155</v>
      </c>
      <c r="B155" s="312" t="s">
        <v>117</v>
      </c>
      <c r="C155" s="310">
        <f t="shared" si="63"/>
        <v>99</v>
      </c>
      <c r="D155" s="310">
        <f t="shared" si="64"/>
        <v>99.5</v>
      </c>
      <c r="E155" s="310">
        <f t="shared" si="65"/>
        <v>100</v>
      </c>
      <c r="F155" s="310">
        <f t="shared" si="66"/>
        <v>100.25</v>
      </c>
      <c r="G155" s="310">
        <f t="shared" si="67"/>
        <v>100.2</v>
      </c>
      <c r="H155" s="310">
        <f t="shared" si="68"/>
        <v>100.33333333333333</v>
      </c>
      <c r="I155" s="310">
        <f t="shared" si="69"/>
        <v>100.14285714285714</v>
      </c>
      <c r="J155" s="310">
        <f t="shared" si="70"/>
        <v>100.25</v>
      </c>
      <c r="K155" s="310">
        <f t="shared" si="71"/>
        <v>100.33333333333333</v>
      </c>
      <c r="L155" s="310">
        <f t="shared" si="72"/>
        <v>100.4</v>
      </c>
      <c r="M155" s="310">
        <f t="shared" si="73"/>
        <v>100.45454545454545</v>
      </c>
      <c r="N155" s="310">
        <f t="shared" si="74"/>
        <v>100.33333333333333</v>
      </c>
      <c r="O155" s="310">
        <f t="shared" si="75"/>
        <v>1201.1974025974025</v>
      </c>
      <c r="R155" s="121"/>
    </row>
    <row r="156" spans="1:18">
      <c r="A156" s="121">
        <f t="shared" si="47"/>
        <v>156</v>
      </c>
      <c r="B156" s="312" t="s">
        <v>118</v>
      </c>
      <c r="C156" s="310">
        <f t="shared" si="63"/>
        <v>210</v>
      </c>
      <c r="D156" s="310">
        <f t="shared" si="64"/>
        <v>210</v>
      </c>
      <c r="E156" s="310">
        <f t="shared" si="65"/>
        <v>210.33333333333334</v>
      </c>
      <c r="F156" s="310">
        <f t="shared" si="66"/>
        <v>210.75</v>
      </c>
      <c r="G156" s="310">
        <f t="shared" si="67"/>
        <v>210.8</v>
      </c>
      <c r="H156" s="310">
        <f t="shared" si="68"/>
        <v>210.66666666666666</v>
      </c>
      <c r="I156" s="310">
        <f t="shared" si="69"/>
        <v>210.42857142857142</v>
      </c>
      <c r="J156" s="310">
        <f t="shared" si="70"/>
        <v>210.25</v>
      </c>
      <c r="K156" s="310">
        <f t="shared" si="71"/>
        <v>210</v>
      </c>
      <c r="L156" s="310">
        <f t="shared" si="72"/>
        <v>210</v>
      </c>
      <c r="M156" s="310">
        <f t="shared" si="73"/>
        <v>210.45454545454547</v>
      </c>
      <c r="N156" s="310">
        <f t="shared" si="74"/>
        <v>210.75</v>
      </c>
      <c r="O156" s="310">
        <f t="shared" si="75"/>
        <v>2524.4331168831172</v>
      </c>
      <c r="R156" s="121"/>
    </row>
    <row r="157" spans="1:18">
      <c r="A157" s="121">
        <f t="shared" si="47"/>
        <v>157</v>
      </c>
      <c r="B157" s="315" t="s">
        <v>119</v>
      </c>
      <c r="C157" s="310">
        <f t="shared" si="63"/>
        <v>276</v>
      </c>
      <c r="D157" s="310">
        <f t="shared" si="64"/>
        <v>276.5</v>
      </c>
      <c r="E157" s="310">
        <f t="shared" si="65"/>
        <v>276.66666666666669</v>
      </c>
      <c r="F157" s="310">
        <f t="shared" si="66"/>
        <v>277.5</v>
      </c>
      <c r="G157" s="310">
        <f t="shared" si="67"/>
        <v>277.8</v>
      </c>
      <c r="H157" s="310">
        <f t="shared" si="68"/>
        <v>277.66666666666669</v>
      </c>
      <c r="I157" s="310">
        <f t="shared" si="69"/>
        <v>277.71428571428572</v>
      </c>
      <c r="J157" s="310">
        <f t="shared" si="70"/>
        <v>278</v>
      </c>
      <c r="K157" s="310">
        <f t="shared" si="71"/>
        <v>278.22222222222223</v>
      </c>
      <c r="L157" s="310">
        <f t="shared" si="72"/>
        <v>278.7</v>
      </c>
      <c r="M157" s="310">
        <f t="shared" si="73"/>
        <v>278.90909090909093</v>
      </c>
      <c r="N157" s="310">
        <f t="shared" si="74"/>
        <v>279.25</v>
      </c>
      <c r="O157" s="310">
        <f t="shared" si="75"/>
        <v>3332.9289321789324</v>
      </c>
      <c r="R157" s="121"/>
    </row>
    <row r="158" spans="1:18">
      <c r="A158" s="121">
        <f t="shared" si="47"/>
        <v>158</v>
      </c>
      <c r="B158" s="315" t="s">
        <v>120</v>
      </c>
      <c r="C158" s="310">
        <f t="shared" si="63"/>
        <v>336</v>
      </c>
      <c r="D158" s="310">
        <f t="shared" si="64"/>
        <v>336.5</v>
      </c>
      <c r="E158" s="310">
        <f t="shared" si="65"/>
        <v>337</v>
      </c>
      <c r="F158" s="310">
        <f t="shared" si="66"/>
        <v>337</v>
      </c>
      <c r="G158" s="310">
        <f t="shared" si="67"/>
        <v>337</v>
      </c>
      <c r="H158" s="310">
        <f t="shared" si="68"/>
        <v>336.83333333333331</v>
      </c>
      <c r="I158" s="310">
        <f t="shared" si="69"/>
        <v>336.42857142857144</v>
      </c>
      <c r="J158" s="310">
        <f t="shared" si="70"/>
        <v>336.875</v>
      </c>
      <c r="K158" s="310">
        <f t="shared" si="71"/>
        <v>336.55555555555554</v>
      </c>
      <c r="L158" s="310">
        <f t="shared" si="72"/>
        <v>336.7</v>
      </c>
      <c r="M158" s="310">
        <f t="shared" si="73"/>
        <v>336.45454545454544</v>
      </c>
      <c r="N158" s="310">
        <f t="shared" si="74"/>
        <v>336.08333333333331</v>
      </c>
      <c r="O158" s="310">
        <f t="shared" si="75"/>
        <v>4039.430339105339</v>
      </c>
      <c r="R158" s="121"/>
    </row>
    <row r="159" spans="1:18">
      <c r="A159" s="121">
        <f t="shared" si="47"/>
        <v>159</v>
      </c>
      <c r="B159" s="315" t="s">
        <v>121</v>
      </c>
      <c r="C159" s="310">
        <f t="shared" si="63"/>
        <v>210</v>
      </c>
      <c r="D159" s="310">
        <f t="shared" si="64"/>
        <v>210</v>
      </c>
      <c r="E159" s="310">
        <f t="shared" si="65"/>
        <v>209.66666666666666</v>
      </c>
      <c r="F159" s="310">
        <f t="shared" si="66"/>
        <v>209.5</v>
      </c>
      <c r="G159" s="310">
        <f t="shared" si="67"/>
        <v>209.8</v>
      </c>
      <c r="H159" s="310">
        <f t="shared" si="68"/>
        <v>209.83333333333334</v>
      </c>
      <c r="I159" s="310">
        <f t="shared" si="69"/>
        <v>209.85714285714286</v>
      </c>
      <c r="J159" s="310">
        <f t="shared" si="70"/>
        <v>210</v>
      </c>
      <c r="K159" s="310">
        <f t="shared" si="71"/>
        <v>210.22222222222223</v>
      </c>
      <c r="L159" s="310">
        <f t="shared" si="72"/>
        <v>210.3</v>
      </c>
      <c r="M159" s="310">
        <f t="shared" si="73"/>
        <v>210.09090909090909</v>
      </c>
      <c r="N159" s="310">
        <f t="shared" si="74"/>
        <v>210.08333333333334</v>
      </c>
      <c r="O159" s="310">
        <f t="shared" si="75"/>
        <v>2519.3536075036077</v>
      </c>
      <c r="R159" s="121"/>
    </row>
    <row r="160" spans="1:18">
      <c r="A160" s="121">
        <f t="shared" si="47"/>
        <v>160</v>
      </c>
      <c r="B160" s="315" t="s">
        <v>142</v>
      </c>
      <c r="C160" s="310">
        <f t="shared" si="63"/>
        <v>36</v>
      </c>
      <c r="D160" s="310">
        <f t="shared" si="64"/>
        <v>36</v>
      </c>
      <c r="E160" s="310">
        <f t="shared" si="65"/>
        <v>36</v>
      </c>
      <c r="F160" s="310">
        <f t="shared" si="66"/>
        <v>36</v>
      </c>
      <c r="G160" s="310">
        <f t="shared" si="67"/>
        <v>36</v>
      </c>
      <c r="H160" s="310">
        <f t="shared" si="68"/>
        <v>36</v>
      </c>
      <c r="I160" s="310">
        <f t="shared" si="69"/>
        <v>36</v>
      </c>
      <c r="J160" s="310">
        <f t="shared" si="70"/>
        <v>36</v>
      </c>
      <c r="K160" s="310">
        <f t="shared" si="71"/>
        <v>36</v>
      </c>
      <c r="L160" s="310">
        <f t="shared" si="72"/>
        <v>36</v>
      </c>
      <c r="M160" s="310">
        <f t="shared" si="73"/>
        <v>36</v>
      </c>
      <c r="N160" s="310">
        <f t="shared" si="74"/>
        <v>36</v>
      </c>
      <c r="O160" s="310">
        <f t="shared" si="75"/>
        <v>432</v>
      </c>
      <c r="R160" s="121"/>
    </row>
    <row r="161" spans="1:18">
      <c r="A161" s="121">
        <f t="shared" si="47"/>
        <v>161</v>
      </c>
      <c r="B161" s="315" t="s">
        <v>143</v>
      </c>
      <c r="C161" s="310">
        <f t="shared" si="63"/>
        <v>26</v>
      </c>
      <c r="D161" s="310">
        <f t="shared" si="64"/>
        <v>26.5</v>
      </c>
      <c r="E161" s="310">
        <f t="shared" si="65"/>
        <v>26.333333333333332</v>
      </c>
      <c r="F161" s="310">
        <f t="shared" si="66"/>
        <v>26.5</v>
      </c>
      <c r="G161" s="310">
        <f t="shared" si="67"/>
        <v>26.6</v>
      </c>
      <c r="H161" s="310">
        <f t="shared" si="68"/>
        <v>26.666666666666668</v>
      </c>
      <c r="I161" s="310">
        <f t="shared" si="69"/>
        <v>26.714285714285715</v>
      </c>
      <c r="J161" s="310">
        <f t="shared" si="70"/>
        <v>26.875</v>
      </c>
      <c r="K161" s="310">
        <f t="shared" si="71"/>
        <v>27.111111111111111</v>
      </c>
      <c r="L161" s="310">
        <f t="shared" si="72"/>
        <v>27.2</v>
      </c>
      <c r="M161" s="310">
        <f t="shared" si="73"/>
        <v>27.363636363636363</v>
      </c>
      <c r="N161" s="310">
        <f t="shared" si="74"/>
        <v>27.5</v>
      </c>
      <c r="O161" s="310">
        <f t="shared" si="75"/>
        <v>321.36403318903319</v>
      </c>
      <c r="R161" s="121"/>
    </row>
    <row r="162" spans="1:18">
      <c r="A162" s="121">
        <f t="shared" si="47"/>
        <v>162</v>
      </c>
      <c r="B162" s="315" t="s">
        <v>144</v>
      </c>
      <c r="C162" s="310">
        <f t="shared" si="63"/>
        <v>25</v>
      </c>
      <c r="D162" s="310">
        <f t="shared" si="64"/>
        <v>24.5</v>
      </c>
      <c r="E162" s="310">
        <f t="shared" si="65"/>
        <v>24.666666666666668</v>
      </c>
      <c r="F162" s="310">
        <f t="shared" si="66"/>
        <v>24.5</v>
      </c>
      <c r="G162" s="310">
        <f t="shared" si="67"/>
        <v>24.8</v>
      </c>
      <c r="H162" s="310">
        <f t="shared" si="68"/>
        <v>24.833333333333332</v>
      </c>
      <c r="I162" s="310">
        <f t="shared" si="69"/>
        <v>24.857142857142858</v>
      </c>
      <c r="J162" s="310">
        <f t="shared" si="70"/>
        <v>24.875</v>
      </c>
      <c r="K162" s="310">
        <f t="shared" si="71"/>
        <v>24.888888888888889</v>
      </c>
      <c r="L162" s="310">
        <f t="shared" si="72"/>
        <v>25</v>
      </c>
      <c r="M162" s="310">
        <f t="shared" si="73"/>
        <v>25.09090909090909</v>
      </c>
      <c r="N162" s="310">
        <f t="shared" si="74"/>
        <v>25.166666666666668</v>
      </c>
      <c r="O162" s="310">
        <f t="shared" si="75"/>
        <v>298.17860750360751</v>
      </c>
      <c r="R162" s="121"/>
    </row>
    <row r="163" spans="1:18">
      <c r="A163" s="121">
        <f t="shared" si="47"/>
        <v>163</v>
      </c>
      <c r="B163" s="315" t="s">
        <v>145</v>
      </c>
      <c r="C163" s="310">
        <f t="shared" si="63"/>
        <v>19</v>
      </c>
      <c r="D163" s="310">
        <f t="shared" si="64"/>
        <v>17.5</v>
      </c>
      <c r="E163" s="310">
        <f t="shared" si="65"/>
        <v>17.333333333333332</v>
      </c>
      <c r="F163" s="310">
        <f t="shared" si="66"/>
        <v>17.25</v>
      </c>
      <c r="G163" s="310">
        <f t="shared" si="67"/>
        <v>17.2</v>
      </c>
      <c r="H163" s="310">
        <f t="shared" si="68"/>
        <v>17.166666666666668</v>
      </c>
      <c r="I163" s="310">
        <f t="shared" si="69"/>
        <v>17.142857142857142</v>
      </c>
      <c r="J163" s="310">
        <f t="shared" si="70"/>
        <v>17.125</v>
      </c>
      <c r="K163" s="310">
        <f t="shared" si="71"/>
        <v>17.111111111111111</v>
      </c>
      <c r="L163" s="310">
        <f t="shared" si="72"/>
        <v>17.100000000000001</v>
      </c>
      <c r="M163" s="310">
        <f t="shared" si="73"/>
        <v>17.09090909090909</v>
      </c>
      <c r="N163" s="310">
        <f t="shared" si="74"/>
        <v>17.083333333333332</v>
      </c>
      <c r="O163" s="310">
        <f t="shared" si="75"/>
        <v>208.1032106782107</v>
      </c>
      <c r="R163" s="121"/>
    </row>
    <row r="164" spans="1:18">
      <c r="A164" s="121">
        <f t="shared" si="47"/>
        <v>164</v>
      </c>
      <c r="B164" s="315" t="s">
        <v>146</v>
      </c>
      <c r="C164" s="310">
        <f t="shared" si="63"/>
        <v>6</v>
      </c>
      <c r="D164" s="310">
        <f t="shared" si="64"/>
        <v>6</v>
      </c>
      <c r="E164" s="310">
        <f t="shared" si="65"/>
        <v>6</v>
      </c>
      <c r="F164" s="310">
        <f t="shared" si="66"/>
        <v>6</v>
      </c>
      <c r="G164" s="310">
        <f t="shared" si="67"/>
        <v>6</v>
      </c>
      <c r="H164" s="310">
        <f t="shared" si="68"/>
        <v>6</v>
      </c>
      <c r="I164" s="310">
        <f t="shared" si="69"/>
        <v>6</v>
      </c>
      <c r="J164" s="310">
        <f t="shared" si="70"/>
        <v>6</v>
      </c>
      <c r="K164" s="310">
        <f t="shared" si="71"/>
        <v>6</v>
      </c>
      <c r="L164" s="310">
        <f t="shared" si="72"/>
        <v>6</v>
      </c>
      <c r="M164" s="310">
        <f t="shared" si="73"/>
        <v>6.0909090909090908</v>
      </c>
      <c r="N164" s="310">
        <f t="shared" si="74"/>
        <v>6.083333333333333</v>
      </c>
      <c r="O164" s="310">
        <f t="shared" si="75"/>
        <v>72.174242424242422</v>
      </c>
      <c r="R164" s="121"/>
    </row>
    <row r="165" spans="1:18">
      <c r="A165" s="121">
        <f t="shared" si="47"/>
        <v>165</v>
      </c>
      <c r="B165" s="315" t="s">
        <v>147</v>
      </c>
      <c r="C165" s="310">
        <f t="shared" si="63"/>
        <v>3</v>
      </c>
      <c r="D165" s="310">
        <f t="shared" si="64"/>
        <v>3</v>
      </c>
      <c r="E165" s="310">
        <f t="shared" si="65"/>
        <v>3</v>
      </c>
      <c r="F165" s="310">
        <f t="shared" si="66"/>
        <v>3</v>
      </c>
      <c r="G165" s="310">
        <f t="shared" si="67"/>
        <v>3</v>
      </c>
      <c r="H165" s="310">
        <f t="shared" si="68"/>
        <v>3</v>
      </c>
      <c r="I165" s="310">
        <f t="shared" si="69"/>
        <v>3</v>
      </c>
      <c r="J165" s="310">
        <f t="shared" si="70"/>
        <v>3</v>
      </c>
      <c r="K165" s="310">
        <f t="shared" si="71"/>
        <v>3</v>
      </c>
      <c r="L165" s="310">
        <f t="shared" si="72"/>
        <v>3</v>
      </c>
      <c r="M165" s="310">
        <f t="shared" si="73"/>
        <v>3</v>
      </c>
      <c r="N165" s="310">
        <f t="shared" si="74"/>
        <v>3</v>
      </c>
      <c r="O165" s="310">
        <f t="shared" si="75"/>
        <v>36</v>
      </c>
      <c r="R165" s="121"/>
    </row>
    <row r="166" spans="1:18">
      <c r="A166" s="121">
        <f t="shared" si="47"/>
        <v>166</v>
      </c>
      <c r="B166" s="315" t="s">
        <v>148</v>
      </c>
      <c r="C166" s="310">
        <f t="shared" si="63"/>
        <v>1</v>
      </c>
      <c r="D166" s="310">
        <f t="shared" si="64"/>
        <v>1</v>
      </c>
      <c r="E166" s="310">
        <f t="shared" si="65"/>
        <v>1</v>
      </c>
      <c r="F166" s="310">
        <f t="shared" si="66"/>
        <v>1</v>
      </c>
      <c r="G166" s="310">
        <f t="shared" si="67"/>
        <v>1</v>
      </c>
      <c r="H166" s="310">
        <f t="shared" si="68"/>
        <v>1</v>
      </c>
      <c r="I166" s="310">
        <f t="shared" si="69"/>
        <v>1</v>
      </c>
      <c r="J166" s="310">
        <f t="shared" si="70"/>
        <v>1</v>
      </c>
      <c r="K166" s="310">
        <f t="shared" si="71"/>
        <v>1</v>
      </c>
      <c r="L166" s="310">
        <f t="shared" si="72"/>
        <v>1</v>
      </c>
      <c r="M166" s="310">
        <f t="shared" si="73"/>
        <v>1</v>
      </c>
      <c r="N166" s="310">
        <f t="shared" si="74"/>
        <v>1</v>
      </c>
      <c r="O166" s="310">
        <f t="shared" si="75"/>
        <v>12</v>
      </c>
      <c r="R166" s="121"/>
    </row>
    <row r="167" spans="1:18">
      <c r="A167" s="121">
        <f t="shared" si="47"/>
        <v>167</v>
      </c>
      <c r="B167" s="315" t="s">
        <v>149</v>
      </c>
      <c r="C167" s="310">
        <f t="shared" si="63"/>
        <v>5</v>
      </c>
      <c r="D167" s="310">
        <f t="shared" si="64"/>
        <v>5</v>
      </c>
      <c r="E167" s="310">
        <f t="shared" si="65"/>
        <v>5</v>
      </c>
      <c r="F167" s="310">
        <f t="shared" si="66"/>
        <v>5</v>
      </c>
      <c r="G167" s="310">
        <f t="shared" si="67"/>
        <v>5</v>
      </c>
      <c r="H167" s="310">
        <f t="shared" si="68"/>
        <v>5</v>
      </c>
      <c r="I167" s="310">
        <f t="shared" si="69"/>
        <v>5</v>
      </c>
      <c r="J167" s="310">
        <f t="shared" si="70"/>
        <v>5</v>
      </c>
      <c r="K167" s="310">
        <f t="shared" si="71"/>
        <v>5</v>
      </c>
      <c r="L167" s="310">
        <f t="shared" si="72"/>
        <v>5</v>
      </c>
      <c r="M167" s="310">
        <f t="shared" si="73"/>
        <v>5</v>
      </c>
      <c r="N167" s="310">
        <f t="shared" si="74"/>
        <v>5</v>
      </c>
      <c r="O167" s="310">
        <f t="shared" si="75"/>
        <v>60</v>
      </c>
      <c r="R167" s="121"/>
    </row>
    <row r="168" spans="1:18">
      <c r="A168" s="121">
        <f t="shared" si="47"/>
        <v>168</v>
      </c>
      <c r="B168" s="315" t="s">
        <v>150</v>
      </c>
      <c r="C168" s="310">
        <f t="shared" si="63"/>
        <v>1</v>
      </c>
      <c r="D168" s="310">
        <f t="shared" si="64"/>
        <v>1</v>
      </c>
      <c r="E168" s="310">
        <f t="shared" si="65"/>
        <v>1</v>
      </c>
      <c r="F168" s="310">
        <f t="shared" si="66"/>
        <v>1</v>
      </c>
      <c r="G168" s="310">
        <f t="shared" si="67"/>
        <v>1</v>
      </c>
      <c r="H168" s="310">
        <f t="shared" si="68"/>
        <v>1</v>
      </c>
      <c r="I168" s="310">
        <f t="shared" si="69"/>
        <v>1</v>
      </c>
      <c r="J168" s="310">
        <f t="shared" si="70"/>
        <v>1</v>
      </c>
      <c r="K168" s="310">
        <f t="shared" si="71"/>
        <v>1</v>
      </c>
      <c r="L168" s="310">
        <f t="shared" si="72"/>
        <v>1</v>
      </c>
      <c r="M168" s="310">
        <f t="shared" si="73"/>
        <v>1</v>
      </c>
      <c r="N168" s="310">
        <f t="shared" si="74"/>
        <v>1</v>
      </c>
      <c r="O168" s="310">
        <f t="shared" si="75"/>
        <v>12</v>
      </c>
      <c r="R168" s="121"/>
    </row>
    <row r="169" spans="1:18">
      <c r="A169" s="121">
        <f t="shared" si="47"/>
        <v>169</v>
      </c>
      <c r="B169" s="315" t="s">
        <v>113</v>
      </c>
      <c r="C169" s="310">
        <f t="shared" si="63"/>
        <v>893</v>
      </c>
      <c r="D169" s="310">
        <f t="shared" si="64"/>
        <v>889.5</v>
      </c>
      <c r="E169" s="310">
        <f t="shared" si="65"/>
        <v>888.66666666666663</v>
      </c>
      <c r="F169" s="310">
        <f t="shared" si="66"/>
        <v>890.5</v>
      </c>
      <c r="G169" s="310">
        <f t="shared" si="67"/>
        <v>892.4</v>
      </c>
      <c r="H169" s="310">
        <f t="shared" si="68"/>
        <v>895.33333333333337</v>
      </c>
      <c r="I169" s="310">
        <f t="shared" si="69"/>
        <v>895</v>
      </c>
      <c r="J169" s="310">
        <f t="shared" si="70"/>
        <v>893.5</v>
      </c>
      <c r="K169" s="310">
        <f t="shared" si="71"/>
        <v>893.33333333333337</v>
      </c>
      <c r="L169" s="310">
        <f t="shared" si="72"/>
        <v>893.4</v>
      </c>
      <c r="M169" s="310">
        <f t="shared" si="73"/>
        <v>893.36363636363637</v>
      </c>
      <c r="N169" s="310">
        <f t="shared" si="74"/>
        <v>892.75</v>
      </c>
      <c r="O169" s="310">
        <f t="shared" si="75"/>
        <v>10710.746969696969</v>
      </c>
      <c r="R169" s="121"/>
    </row>
    <row r="170" spans="1:18">
      <c r="A170" s="121">
        <f t="shared" si="47"/>
        <v>170</v>
      </c>
      <c r="B170" s="315" t="s">
        <v>173</v>
      </c>
      <c r="C170" s="310">
        <f t="shared" si="63"/>
        <v>376</v>
      </c>
      <c r="D170" s="310">
        <f t="shared" si="64"/>
        <v>375.5</v>
      </c>
      <c r="E170" s="310">
        <f t="shared" si="65"/>
        <v>373.66666666666669</v>
      </c>
      <c r="F170" s="310">
        <f t="shared" si="66"/>
        <v>372.25</v>
      </c>
      <c r="G170" s="310">
        <f t="shared" si="67"/>
        <v>371.8</v>
      </c>
      <c r="H170" s="310">
        <f t="shared" si="68"/>
        <v>371.83333333333331</v>
      </c>
      <c r="I170" s="310">
        <f t="shared" si="69"/>
        <v>371.57142857142856</v>
      </c>
      <c r="J170" s="310">
        <f t="shared" si="70"/>
        <v>372.125</v>
      </c>
      <c r="K170" s="310">
        <f t="shared" si="71"/>
        <v>372.44444444444446</v>
      </c>
      <c r="L170" s="310">
        <f t="shared" si="72"/>
        <v>372.5</v>
      </c>
      <c r="M170" s="310">
        <f t="shared" si="73"/>
        <v>372.36363636363637</v>
      </c>
      <c r="N170" s="310">
        <f t="shared" si="74"/>
        <v>372.08333333333331</v>
      </c>
      <c r="O170" s="310">
        <f t="shared" si="75"/>
        <v>4474.137842712842</v>
      </c>
      <c r="R170" s="121"/>
    </row>
    <row r="171" spans="1:18">
      <c r="A171" s="121">
        <f t="shared" si="47"/>
        <v>171</v>
      </c>
      <c r="B171" s="315" t="s">
        <v>175</v>
      </c>
      <c r="C171" s="310">
        <f t="shared" si="63"/>
        <v>2132</v>
      </c>
      <c r="D171" s="310">
        <f t="shared" si="64"/>
        <v>2129</v>
      </c>
      <c r="E171" s="310">
        <f t="shared" si="65"/>
        <v>2131</v>
      </c>
      <c r="F171" s="310">
        <f t="shared" si="66"/>
        <v>2131.75</v>
      </c>
      <c r="G171" s="310">
        <f t="shared" si="67"/>
        <v>2126.6</v>
      </c>
      <c r="H171" s="310">
        <f t="shared" si="68"/>
        <v>2124</v>
      </c>
      <c r="I171" s="310">
        <f t="shared" si="69"/>
        <v>2126.7142857142858</v>
      </c>
      <c r="J171" s="310">
        <f t="shared" si="70"/>
        <v>2128.125</v>
      </c>
      <c r="K171" s="310">
        <f t="shared" si="71"/>
        <v>2128.4444444444443</v>
      </c>
      <c r="L171" s="310">
        <f t="shared" si="72"/>
        <v>2130.1</v>
      </c>
      <c r="M171" s="310">
        <f t="shared" si="73"/>
        <v>2132.2727272727275</v>
      </c>
      <c r="N171" s="310">
        <f t="shared" si="74"/>
        <v>2134.6666666666665</v>
      </c>
      <c r="O171" s="310">
        <f t="shared" si="75"/>
        <v>25554.673124098128</v>
      </c>
      <c r="R171" s="121"/>
    </row>
    <row r="172" spans="1:18">
      <c r="A172" s="121">
        <f t="shared" si="47"/>
        <v>172</v>
      </c>
      <c r="B172" s="315" t="s">
        <v>176</v>
      </c>
      <c r="C172" s="310">
        <f t="shared" si="63"/>
        <v>797</v>
      </c>
      <c r="D172" s="310">
        <f t="shared" si="64"/>
        <v>802.5</v>
      </c>
      <c r="E172" s="310">
        <f t="shared" si="65"/>
        <v>806</v>
      </c>
      <c r="F172" s="310">
        <f t="shared" si="66"/>
        <v>809.25</v>
      </c>
      <c r="G172" s="310">
        <f t="shared" si="67"/>
        <v>810.6</v>
      </c>
      <c r="H172" s="310">
        <f t="shared" si="68"/>
        <v>811.83333333333337</v>
      </c>
      <c r="I172" s="310">
        <f t="shared" si="69"/>
        <v>813.57142857142856</v>
      </c>
      <c r="J172" s="310">
        <f t="shared" si="70"/>
        <v>814</v>
      </c>
      <c r="K172" s="310">
        <f t="shared" si="71"/>
        <v>814.66666666666663</v>
      </c>
      <c r="L172" s="310">
        <f t="shared" si="72"/>
        <v>816</v>
      </c>
      <c r="M172" s="310">
        <f t="shared" si="73"/>
        <v>817.09090909090912</v>
      </c>
      <c r="N172" s="310">
        <f t="shared" si="74"/>
        <v>818.08333333333337</v>
      </c>
      <c r="O172" s="310">
        <f t="shared" si="75"/>
        <v>9730.5956709956718</v>
      </c>
      <c r="R172" s="121"/>
    </row>
    <row r="173" spans="1:18">
      <c r="A173" s="121">
        <f t="shared" si="47"/>
        <v>173</v>
      </c>
      <c r="B173" s="315" t="s">
        <v>177</v>
      </c>
      <c r="C173" s="310">
        <f t="shared" si="63"/>
        <v>247</v>
      </c>
      <c r="D173" s="310">
        <f t="shared" si="64"/>
        <v>248.5</v>
      </c>
      <c r="E173" s="310">
        <f t="shared" si="65"/>
        <v>248</v>
      </c>
      <c r="F173" s="310">
        <f t="shared" si="66"/>
        <v>248.75</v>
      </c>
      <c r="G173" s="310">
        <f t="shared" si="67"/>
        <v>249.6</v>
      </c>
      <c r="H173" s="310">
        <f t="shared" si="68"/>
        <v>250.66666666666666</v>
      </c>
      <c r="I173" s="310">
        <f t="shared" si="69"/>
        <v>251</v>
      </c>
      <c r="J173" s="310">
        <f t="shared" si="70"/>
        <v>251.875</v>
      </c>
      <c r="K173" s="310">
        <f t="shared" si="71"/>
        <v>252.77777777777777</v>
      </c>
      <c r="L173" s="310">
        <f t="shared" si="72"/>
        <v>253.7</v>
      </c>
      <c r="M173" s="310">
        <f t="shared" si="73"/>
        <v>254.36363636363637</v>
      </c>
      <c r="N173" s="310">
        <f t="shared" si="74"/>
        <v>255.33333333333334</v>
      </c>
      <c r="O173" s="310">
        <f t="shared" si="75"/>
        <v>3011.566414141414</v>
      </c>
      <c r="R173" s="121"/>
    </row>
    <row r="174" spans="1:18">
      <c r="A174" s="121">
        <f t="shared" si="47"/>
        <v>174</v>
      </c>
      <c r="B174" s="315" t="s">
        <v>178</v>
      </c>
      <c r="C174" s="310">
        <f t="shared" si="63"/>
        <v>649</v>
      </c>
      <c r="D174" s="310">
        <f t="shared" si="64"/>
        <v>653.5</v>
      </c>
      <c r="E174" s="310">
        <f t="shared" si="65"/>
        <v>657</v>
      </c>
      <c r="F174" s="310">
        <f t="shared" si="66"/>
        <v>658</v>
      </c>
      <c r="G174" s="310">
        <f t="shared" si="67"/>
        <v>656.8</v>
      </c>
      <c r="H174" s="310">
        <f t="shared" si="68"/>
        <v>655.16666666666663</v>
      </c>
      <c r="I174" s="310">
        <f t="shared" si="69"/>
        <v>654.42857142857144</v>
      </c>
      <c r="J174" s="310">
        <f t="shared" si="70"/>
        <v>653</v>
      </c>
      <c r="K174" s="310">
        <f t="shared" si="71"/>
        <v>652</v>
      </c>
      <c r="L174" s="310">
        <f t="shared" si="72"/>
        <v>651.5</v>
      </c>
      <c r="M174" s="310">
        <f t="shared" si="73"/>
        <v>651.5454545454545</v>
      </c>
      <c r="N174" s="310">
        <f t="shared" si="74"/>
        <v>652</v>
      </c>
      <c r="O174" s="310">
        <f t="shared" si="75"/>
        <v>7843.9406926406919</v>
      </c>
      <c r="R174" s="121"/>
    </row>
    <row r="175" spans="1:18">
      <c r="A175" s="121">
        <f t="shared" si="47"/>
        <v>175</v>
      </c>
      <c r="B175" s="315" t="s">
        <v>180</v>
      </c>
      <c r="C175" s="310">
        <f t="shared" si="63"/>
        <v>0</v>
      </c>
      <c r="D175" s="310">
        <f t="shared" si="64"/>
        <v>0</v>
      </c>
      <c r="E175" s="310">
        <f t="shared" si="65"/>
        <v>0</v>
      </c>
      <c r="F175" s="310">
        <f t="shared" si="66"/>
        <v>0</v>
      </c>
      <c r="G175" s="310">
        <f t="shared" si="67"/>
        <v>0</v>
      </c>
      <c r="H175" s="310">
        <f t="shared" si="68"/>
        <v>0</v>
      </c>
      <c r="I175" s="310">
        <f t="shared" si="69"/>
        <v>0</v>
      </c>
      <c r="J175" s="310">
        <f t="shared" si="70"/>
        <v>0</v>
      </c>
      <c r="K175" s="310">
        <f t="shared" si="71"/>
        <v>0</v>
      </c>
      <c r="L175" s="310">
        <f t="shared" si="72"/>
        <v>0</v>
      </c>
      <c r="M175" s="310">
        <f t="shared" si="73"/>
        <v>0</v>
      </c>
      <c r="N175" s="310">
        <f t="shared" si="74"/>
        <v>0</v>
      </c>
      <c r="O175" s="310">
        <f t="shared" si="75"/>
        <v>0</v>
      </c>
      <c r="R175" s="121"/>
    </row>
    <row r="176" spans="1:18">
      <c r="A176" s="121">
        <f t="shared" si="47"/>
        <v>176</v>
      </c>
      <c r="B176" s="315" t="s">
        <v>181</v>
      </c>
      <c r="C176" s="310">
        <f t="shared" si="63"/>
        <v>1264</v>
      </c>
      <c r="D176" s="310">
        <f t="shared" si="64"/>
        <v>1264</v>
      </c>
      <c r="E176" s="310">
        <f t="shared" si="65"/>
        <v>1263</v>
      </c>
      <c r="F176" s="310">
        <f t="shared" si="66"/>
        <v>1265</v>
      </c>
      <c r="G176" s="310">
        <f t="shared" si="67"/>
        <v>1267.2</v>
      </c>
      <c r="H176" s="310">
        <f t="shared" si="68"/>
        <v>1269</v>
      </c>
      <c r="I176" s="310">
        <f t="shared" si="69"/>
        <v>1269.5714285714287</v>
      </c>
      <c r="J176" s="310">
        <f t="shared" si="70"/>
        <v>1269.5</v>
      </c>
      <c r="K176" s="310">
        <f t="shared" si="71"/>
        <v>1268.8888888888889</v>
      </c>
      <c r="L176" s="310">
        <f t="shared" si="72"/>
        <v>1268.9000000000001</v>
      </c>
      <c r="M176" s="310">
        <f t="shared" si="73"/>
        <v>1268.4545454545455</v>
      </c>
      <c r="N176" s="310">
        <f t="shared" si="74"/>
        <v>1268.0833333333333</v>
      </c>
      <c r="O176" s="310">
        <f t="shared" si="75"/>
        <v>15205.598196248196</v>
      </c>
      <c r="R176" s="121"/>
    </row>
    <row r="177" spans="1:18">
      <c r="A177" s="121">
        <f t="shared" si="47"/>
        <v>177</v>
      </c>
      <c r="B177" s="315" t="s">
        <v>183</v>
      </c>
      <c r="C177" s="310">
        <f t="shared" si="63"/>
        <v>0</v>
      </c>
      <c r="D177" s="310">
        <f t="shared" si="64"/>
        <v>0</v>
      </c>
      <c r="E177" s="310">
        <f t="shared" si="65"/>
        <v>0</v>
      </c>
      <c r="F177" s="310">
        <f t="shared" si="66"/>
        <v>0</v>
      </c>
      <c r="G177" s="310">
        <f t="shared" si="67"/>
        <v>0</v>
      </c>
      <c r="H177" s="310">
        <f t="shared" si="68"/>
        <v>0</v>
      </c>
      <c r="I177" s="310">
        <f t="shared" si="69"/>
        <v>0</v>
      </c>
      <c r="J177" s="310">
        <f t="shared" si="70"/>
        <v>0</v>
      </c>
      <c r="K177" s="310">
        <f t="shared" si="71"/>
        <v>0</v>
      </c>
      <c r="L177" s="310">
        <f t="shared" si="72"/>
        <v>0</v>
      </c>
      <c r="M177" s="310">
        <f t="shared" si="73"/>
        <v>0</v>
      </c>
      <c r="N177" s="310">
        <f t="shared" si="74"/>
        <v>0</v>
      </c>
      <c r="O177" s="310">
        <f t="shared" si="75"/>
        <v>0</v>
      </c>
      <c r="R177" s="121"/>
    </row>
    <row r="178" spans="1:18">
      <c r="A178" s="121">
        <f t="shared" si="47"/>
        <v>178</v>
      </c>
      <c r="B178" s="315" t="s">
        <v>184</v>
      </c>
      <c r="C178" s="310">
        <f t="shared" si="63"/>
        <v>19</v>
      </c>
      <c r="D178" s="310">
        <f t="shared" si="64"/>
        <v>18.5</v>
      </c>
      <c r="E178" s="310">
        <f t="shared" si="65"/>
        <v>18.333333333333332</v>
      </c>
      <c r="F178" s="310">
        <f t="shared" si="66"/>
        <v>18.25</v>
      </c>
      <c r="G178" s="310">
        <f t="shared" si="67"/>
        <v>18.2</v>
      </c>
      <c r="H178" s="310">
        <f t="shared" si="68"/>
        <v>18.166666666666668</v>
      </c>
      <c r="I178" s="310">
        <f t="shared" si="69"/>
        <v>18.142857142857142</v>
      </c>
      <c r="J178" s="310">
        <f t="shared" si="70"/>
        <v>18.125</v>
      </c>
      <c r="K178" s="310">
        <f t="shared" si="71"/>
        <v>18.111111111111111</v>
      </c>
      <c r="L178" s="310">
        <f t="shared" si="72"/>
        <v>18.100000000000001</v>
      </c>
      <c r="M178" s="310">
        <f t="shared" si="73"/>
        <v>18.09090909090909</v>
      </c>
      <c r="N178" s="310">
        <f t="shared" si="74"/>
        <v>18.083333333333332</v>
      </c>
      <c r="O178" s="310">
        <f t="shared" si="75"/>
        <v>219.1032106782107</v>
      </c>
      <c r="R178" s="121"/>
    </row>
    <row r="179" spans="1:18">
      <c r="A179" s="121">
        <f t="shared" si="47"/>
        <v>179</v>
      </c>
      <c r="B179" s="315" t="s">
        <v>186</v>
      </c>
      <c r="C179" s="310">
        <f t="shared" si="63"/>
        <v>34</v>
      </c>
      <c r="D179" s="310">
        <f t="shared" si="64"/>
        <v>34</v>
      </c>
      <c r="E179" s="310">
        <f t="shared" si="65"/>
        <v>33.333333333333336</v>
      </c>
      <c r="F179" s="310">
        <f t="shared" si="66"/>
        <v>33</v>
      </c>
      <c r="G179" s="310">
        <f t="shared" si="67"/>
        <v>32.799999999999997</v>
      </c>
      <c r="H179" s="310">
        <f t="shared" si="68"/>
        <v>32.666666666666664</v>
      </c>
      <c r="I179" s="310">
        <f t="shared" si="69"/>
        <v>32.571428571428569</v>
      </c>
      <c r="J179" s="310">
        <f t="shared" si="70"/>
        <v>32.5</v>
      </c>
      <c r="K179" s="310">
        <f t="shared" si="71"/>
        <v>32.444444444444443</v>
      </c>
      <c r="L179" s="310">
        <f t="shared" si="72"/>
        <v>32.5</v>
      </c>
      <c r="M179" s="310">
        <f t="shared" si="73"/>
        <v>32.545454545454547</v>
      </c>
      <c r="N179" s="310">
        <f t="shared" si="74"/>
        <v>32.416666666666664</v>
      </c>
      <c r="O179" s="310">
        <f t="shared" si="75"/>
        <v>394.77799422799427</v>
      </c>
      <c r="R179" s="121"/>
    </row>
    <row r="180" spans="1:18">
      <c r="A180" s="121">
        <f t="shared" si="47"/>
        <v>180</v>
      </c>
      <c r="B180" s="315" t="s">
        <v>188</v>
      </c>
      <c r="C180" s="310">
        <f t="shared" si="63"/>
        <v>0</v>
      </c>
      <c r="D180" s="310">
        <f t="shared" si="64"/>
        <v>0</v>
      </c>
      <c r="E180" s="310">
        <f t="shared" si="65"/>
        <v>0</v>
      </c>
      <c r="F180" s="310">
        <f t="shared" si="66"/>
        <v>0</v>
      </c>
      <c r="G180" s="310">
        <f t="shared" si="67"/>
        <v>0</v>
      </c>
      <c r="H180" s="310">
        <f t="shared" si="68"/>
        <v>0</v>
      </c>
      <c r="I180" s="310">
        <f t="shared" si="69"/>
        <v>0</v>
      </c>
      <c r="J180" s="310">
        <f t="shared" si="70"/>
        <v>0</v>
      </c>
      <c r="K180" s="310">
        <f t="shared" si="71"/>
        <v>0</v>
      </c>
      <c r="L180" s="310">
        <f t="shared" si="72"/>
        <v>0</v>
      </c>
      <c r="M180" s="310">
        <f t="shared" si="73"/>
        <v>0</v>
      </c>
      <c r="N180" s="310">
        <f t="shared" si="74"/>
        <v>0</v>
      </c>
      <c r="O180" s="310">
        <f>SUM(C180:N180)</f>
        <v>0</v>
      </c>
      <c r="R180" s="121"/>
    </row>
    <row r="181" spans="1:18">
      <c r="A181" s="121">
        <f t="shared" si="47"/>
        <v>181</v>
      </c>
      <c r="B181" s="315" t="s">
        <v>242</v>
      </c>
      <c r="C181" s="310">
        <f t="shared" si="63"/>
        <v>2</v>
      </c>
      <c r="D181" s="310">
        <f t="shared" si="64"/>
        <v>2</v>
      </c>
      <c r="E181" s="310">
        <f t="shared" si="65"/>
        <v>2</v>
      </c>
      <c r="F181" s="310">
        <f t="shared" si="66"/>
        <v>2</v>
      </c>
      <c r="G181" s="310">
        <f t="shared" si="67"/>
        <v>2</v>
      </c>
      <c r="H181" s="310">
        <f t="shared" si="68"/>
        <v>2</v>
      </c>
      <c r="I181" s="310">
        <f t="shared" si="69"/>
        <v>2</v>
      </c>
      <c r="J181" s="310">
        <f t="shared" si="70"/>
        <v>2</v>
      </c>
      <c r="K181" s="310">
        <f t="shared" si="71"/>
        <v>2</v>
      </c>
      <c r="L181" s="310">
        <f t="shared" si="72"/>
        <v>2</v>
      </c>
      <c r="M181" s="310">
        <f t="shared" si="73"/>
        <v>2</v>
      </c>
      <c r="N181" s="310">
        <f t="shared" si="74"/>
        <v>2</v>
      </c>
      <c r="O181" s="310">
        <f>SUM(C181:N181)</f>
        <v>24</v>
      </c>
      <c r="R181" s="121"/>
    </row>
    <row r="182" spans="1:18">
      <c r="A182" s="121">
        <f t="shared" si="47"/>
        <v>182</v>
      </c>
      <c r="B182" s="315" t="s">
        <v>190</v>
      </c>
      <c r="C182" s="310">
        <f t="shared" si="63"/>
        <v>4</v>
      </c>
      <c r="D182" s="310">
        <f t="shared" si="64"/>
        <v>4</v>
      </c>
      <c r="E182" s="310">
        <f t="shared" si="65"/>
        <v>4</v>
      </c>
      <c r="F182" s="310">
        <f t="shared" si="66"/>
        <v>4</v>
      </c>
      <c r="G182" s="310">
        <f t="shared" si="67"/>
        <v>4</v>
      </c>
      <c r="H182" s="310">
        <f t="shared" si="68"/>
        <v>4</v>
      </c>
      <c r="I182" s="310">
        <f t="shared" si="69"/>
        <v>4</v>
      </c>
      <c r="J182" s="310">
        <f t="shared" si="70"/>
        <v>4</v>
      </c>
      <c r="K182" s="310">
        <f t="shared" si="71"/>
        <v>4</v>
      </c>
      <c r="L182" s="310">
        <f t="shared" si="72"/>
        <v>4</v>
      </c>
      <c r="M182" s="310">
        <f t="shared" si="73"/>
        <v>4</v>
      </c>
      <c r="N182" s="310">
        <f t="shared" si="74"/>
        <v>4</v>
      </c>
      <c r="O182" s="310">
        <f t="shared" si="75"/>
        <v>48</v>
      </c>
      <c r="R182" s="121"/>
    </row>
    <row r="183" spans="1:18">
      <c r="A183" s="121">
        <f t="shared" si="47"/>
        <v>183</v>
      </c>
      <c r="B183" s="315" t="s">
        <v>192</v>
      </c>
      <c r="C183" s="310">
        <f t="shared" si="63"/>
        <v>29</v>
      </c>
      <c r="D183" s="310">
        <f t="shared" si="64"/>
        <v>28.5</v>
      </c>
      <c r="E183" s="310">
        <f t="shared" si="65"/>
        <v>28.666666666666668</v>
      </c>
      <c r="F183" s="310">
        <f t="shared" si="66"/>
        <v>28.75</v>
      </c>
      <c r="G183" s="310">
        <f t="shared" si="67"/>
        <v>28.8</v>
      </c>
      <c r="H183" s="310">
        <f t="shared" si="68"/>
        <v>28.833333333333332</v>
      </c>
      <c r="I183" s="310">
        <f t="shared" si="69"/>
        <v>28.857142857142858</v>
      </c>
      <c r="J183" s="310">
        <f t="shared" si="70"/>
        <v>28.875</v>
      </c>
      <c r="K183" s="310">
        <f t="shared" si="71"/>
        <v>28.888888888888889</v>
      </c>
      <c r="L183" s="310">
        <f t="shared" si="72"/>
        <v>29</v>
      </c>
      <c r="M183" s="310">
        <f t="shared" si="73"/>
        <v>29.09090909090909</v>
      </c>
      <c r="N183" s="310">
        <f t="shared" si="74"/>
        <v>29.25</v>
      </c>
      <c r="O183" s="310">
        <f t="shared" si="75"/>
        <v>346.51194083694082</v>
      </c>
      <c r="R183" s="121"/>
    </row>
    <row r="184" spans="1:18">
      <c r="A184" s="121">
        <f t="shared" si="47"/>
        <v>184</v>
      </c>
      <c r="B184" s="315" t="s">
        <v>194</v>
      </c>
      <c r="C184" s="310">
        <f t="shared" si="63"/>
        <v>9</v>
      </c>
      <c r="D184" s="310">
        <f t="shared" si="64"/>
        <v>9</v>
      </c>
      <c r="E184" s="310">
        <f t="shared" si="65"/>
        <v>9</v>
      </c>
      <c r="F184" s="310">
        <f t="shared" si="66"/>
        <v>9</v>
      </c>
      <c r="G184" s="310">
        <f t="shared" si="67"/>
        <v>9</v>
      </c>
      <c r="H184" s="310">
        <f t="shared" si="68"/>
        <v>9</v>
      </c>
      <c r="I184" s="310">
        <f t="shared" si="69"/>
        <v>9</v>
      </c>
      <c r="J184" s="310">
        <f t="shared" si="70"/>
        <v>9</v>
      </c>
      <c r="K184" s="310">
        <f t="shared" si="71"/>
        <v>9</v>
      </c>
      <c r="L184" s="310">
        <f t="shared" si="72"/>
        <v>9.1</v>
      </c>
      <c r="M184" s="310">
        <f t="shared" si="73"/>
        <v>9.0909090909090917</v>
      </c>
      <c r="N184" s="310">
        <f t="shared" si="74"/>
        <v>9.1666666666666661</v>
      </c>
      <c r="O184" s="310">
        <f t="shared" si="75"/>
        <v>108.35757575757576</v>
      </c>
      <c r="R184" s="121"/>
    </row>
    <row r="185" spans="1:18">
      <c r="A185" s="121">
        <f t="shared" si="47"/>
        <v>185</v>
      </c>
      <c r="B185" s="312" t="s">
        <v>107</v>
      </c>
      <c r="C185" s="310">
        <f t="shared" si="63"/>
        <v>22</v>
      </c>
      <c r="D185" s="310">
        <f t="shared" si="64"/>
        <v>22</v>
      </c>
      <c r="E185" s="310">
        <f t="shared" si="65"/>
        <v>22</v>
      </c>
      <c r="F185" s="310">
        <f t="shared" si="66"/>
        <v>22</v>
      </c>
      <c r="G185" s="310">
        <f t="shared" si="67"/>
        <v>22</v>
      </c>
      <c r="H185" s="310">
        <f t="shared" si="68"/>
        <v>22</v>
      </c>
      <c r="I185" s="310">
        <f t="shared" si="69"/>
        <v>22</v>
      </c>
      <c r="J185" s="310">
        <f t="shared" si="70"/>
        <v>22</v>
      </c>
      <c r="K185" s="310">
        <f t="shared" si="71"/>
        <v>22</v>
      </c>
      <c r="L185" s="310">
        <f t="shared" si="72"/>
        <v>21.9</v>
      </c>
      <c r="M185" s="310">
        <f t="shared" si="73"/>
        <v>21.818181818181817</v>
      </c>
      <c r="N185" s="310">
        <f t="shared" si="74"/>
        <v>21.75</v>
      </c>
      <c r="O185" s="310">
        <f>SUM(C185:N185)</f>
        <v>263.46818181818185</v>
      </c>
      <c r="R185" s="121"/>
    </row>
    <row r="186" spans="1:18">
      <c r="A186" s="121">
        <f t="shared" si="47"/>
        <v>186</v>
      </c>
      <c r="B186" s="312" t="s">
        <v>108</v>
      </c>
      <c r="C186" s="310">
        <f t="shared" si="63"/>
        <v>1</v>
      </c>
      <c r="D186" s="310">
        <f t="shared" si="64"/>
        <v>1</v>
      </c>
      <c r="E186" s="310">
        <f t="shared" si="65"/>
        <v>1</v>
      </c>
      <c r="F186" s="310">
        <f t="shared" si="66"/>
        <v>1</v>
      </c>
      <c r="G186" s="310">
        <f t="shared" si="67"/>
        <v>1</v>
      </c>
      <c r="H186" s="310">
        <f t="shared" si="68"/>
        <v>1</v>
      </c>
      <c r="I186" s="310">
        <f t="shared" si="69"/>
        <v>1</v>
      </c>
      <c r="J186" s="310">
        <f t="shared" si="70"/>
        <v>1</v>
      </c>
      <c r="K186" s="310">
        <f t="shared" si="71"/>
        <v>1</v>
      </c>
      <c r="L186" s="310">
        <f t="shared" si="72"/>
        <v>1</v>
      </c>
      <c r="M186" s="310">
        <f t="shared" si="73"/>
        <v>1</v>
      </c>
      <c r="N186" s="310">
        <f t="shared" si="74"/>
        <v>1</v>
      </c>
      <c r="O186" s="310">
        <f>SUM(C186:N186)</f>
        <v>12</v>
      </c>
      <c r="R186" s="121"/>
    </row>
    <row r="187" spans="1:18">
      <c r="A187" s="121">
        <f t="shared" si="47"/>
        <v>187</v>
      </c>
      <c r="B187" s="321" t="s">
        <v>109</v>
      </c>
      <c r="C187" s="319">
        <f t="shared" si="63"/>
        <v>2</v>
      </c>
      <c r="D187" s="319">
        <f t="shared" si="64"/>
        <v>2</v>
      </c>
      <c r="E187" s="319">
        <f t="shared" si="65"/>
        <v>2</v>
      </c>
      <c r="F187" s="319">
        <f t="shared" si="66"/>
        <v>2</v>
      </c>
      <c r="G187" s="319">
        <f t="shared" si="67"/>
        <v>2</v>
      </c>
      <c r="H187" s="319">
        <f t="shared" si="68"/>
        <v>2</v>
      </c>
      <c r="I187" s="319">
        <f t="shared" si="69"/>
        <v>2</v>
      </c>
      <c r="J187" s="319">
        <f t="shared" si="70"/>
        <v>2</v>
      </c>
      <c r="K187" s="319">
        <f t="shared" si="71"/>
        <v>2</v>
      </c>
      <c r="L187" s="319">
        <f t="shared" si="72"/>
        <v>2</v>
      </c>
      <c r="M187" s="319">
        <f t="shared" si="73"/>
        <v>2</v>
      </c>
      <c r="N187" s="319">
        <f t="shared" si="74"/>
        <v>2</v>
      </c>
      <c r="O187" s="319">
        <f>SUM(C187:N187)</f>
        <v>24</v>
      </c>
      <c r="R187" s="121"/>
    </row>
    <row r="188" spans="1:18">
      <c r="A188" s="121">
        <f t="shared" si="47"/>
        <v>188</v>
      </c>
      <c r="B188" s="322" t="s">
        <v>199</v>
      </c>
      <c r="C188" s="310">
        <f t="shared" ref="C188:O188" si="76">SUM(C152:C187)</f>
        <v>7980</v>
      </c>
      <c r="D188" s="310">
        <f t="shared" si="76"/>
        <v>7983.5</v>
      </c>
      <c r="E188" s="310">
        <f t="shared" si="76"/>
        <v>7988.9999999999991</v>
      </c>
      <c r="F188" s="310">
        <f t="shared" si="76"/>
        <v>7997.5</v>
      </c>
      <c r="G188" s="310">
        <f t="shared" si="76"/>
        <v>7997.4000000000005</v>
      </c>
      <c r="H188" s="310">
        <f t="shared" si="76"/>
        <v>7999.3333333333339</v>
      </c>
      <c r="I188" s="310">
        <f t="shared" si="76"/>
        <v>8001.8571428571431</v>
      </c>
      <c r="J188" s="310">
        <f t="shared" si="76"/>
        <v>8002.625</v>
      </c>
      <c r="K188" s="310">
        <f t="shared" si="76"/>
        <v>8003.3333333333321</v>
      </c>
      <c r="L188" s="310">
        <f t="shared" si="76"/>
        <v>8008</v>
      </c>
      <c r="M188" s="310">
        <f t="shared" si="76"/>
        <v>8011.9090909090919</v>
      </c>
      <c r="N188" s="310">
        <f t="shared" si="76"/>
        <v>8015.7499999999991</v>
      </c>
      <c r="O188" s="310">
        <f t="shared" si="76"/>
        <v>95990.207900432899</v>
      </c>
      <c r="R188" s="121"/>
    </row>
    <row r="189" spans="1:18">
      <c r="A189" s="121">
        <f t="shared" si="47"/>
        <v>189</v>
      </c>
      <c r="B189" s="320" t="s">
        <v>200</v>
      </c>
      <c r="C189" s="310"/>
      <c r="D189" s="310"/>
      <c r="E189" s="310"/>
      <c r="F189" s="310"/>
      <c r="G189" s="310"/>
      <c r="H189" s="310"/>
      <c r="I189" s="310"/>
      <c r="J189" s="310"/>
      <c r="K189" s="310"/>
      <c r="L189" s="310"/>
      <c r="M189" s="310"/>
      <c r="N189" s="310"/>
      <c r="O189" s="310"/>
      <c r="R189" s="121"/>
    </row>
    <row r="190" spans="1:18">
      <c r="A190" s="121">
        <f t="shared" si="47"/>
        <v>190</v>
      </c>
      <c r="B190" s="312" t="s">
        <v>114</v>
      </c>
      <c r="C190" s="310">
        <f t="shared" ref="C190:C196" si="77">+C64</f>
        <v>0</v>
      </c>
      <c r="D190" s="310">
        <f t="shared" ref="D190:D196" si="78">AVERAGE(C64:D64)</f>
        <v>0</v>
      </c>
      <c r="E190" s="310">
        <f t="shared" ref="E190:E196" si="79">AVERAGE(C64:E64)</f>
        <v>0</v>
      </c>
      <c r="F190" s="310">
        <f t="shared" ref="F190:F196" si="80">AVERAGE(C64:F64)</f>
        <v>0</v>
      </c>
      <c r="G190" s="310">
        <f t="shared" ref="G190:G196" si="81">AVERAGE(C64:G64)</f>
        <v>0</v>
      </c>
      <c r="H190" s="310">
        <f t="shared" ref="H190:H196" si="82">AVERAGE(C64:H64)</f>
        <v>0</v>
      </c>
      <c r="I190" s="310">
        <f t="shared" ref="I190:I196" si="83">AVERAGE(C64:I64)</f>
        <v>0</v>
      </c>
      <c r="J190" s="310">
        <f t="shared" ref="J190:J196" si="84">AVERAGE(C64:J64)</f>
        <v>0</v>
      </c>
      <c r="K190" s="310">
        <f t="shared" ref="K190:K196" si="85">AVERAGE(C64:K64)</f>
        <v>0</v>
      </c>
      <c r="L190" s="310">
        <f t="shared" ref="L190:L196" si="86">AVERAGE(C64:L64)</f>
        <v>0</v>
      </c>
      <c r="M190" s="310">
        <f t="shared" ref="M190:M196" si="87">AVERAGE(C64:M64)</f>
        <v>0</v>
      </c>
      <c r="N190" s="310">
        <f t="shared" ref="N190:N196" si="88">AVERAGE(C64:N64)</f>
        <v>0</v>
      </c>
      <c r="O190" s="310">
        <f t="shared" ref="O190:O196" si="89">SUM(C190:N190)</f>
        <v>0</v>
      </c>
      <c r="R190" s="121"/>
    </row>
    <row r="191" spans="1:18">
      <c r="A191" s="121">
        <f t="shared" si="47"/>
        <v>191</v>
      </c>
      <c r="B191" s="312" t="s">
        <v>115</v>
      </c>
      <c r="C191" s="310">
        <f t="shared" si="77"/>
        <v>1</v>
      </c>
      <c r="D191" s="310">
        <f t="shared" si="78"/>
        <v>1</v>
      </c>
      <c r="E191" s="310">
        <f t="shared" si="79"/>
        <v>1</v>
      </c>
      <c r="F191" s="310">
        <f t="shared" si="80"/>
        <v>1</v>
      </c>
      <c r="G191" s="310">
        <f t="shared" si="81"/>
        <v>1</v>
      </c>
      <c r="H191" s="310">
        <f t="shared" si="82"/>
        <v>1</v>
      </c>
      <c r="I191" s="310">
        <f t="shared" si="83"/>
        <v>1</v>
      </c>
      <c r="J191" s="310">
        <f t="shared" si="84"/>
        <v>1</v>
      </c>
      <c r="K191" s="310">
        <f t="shared" si="85"/>
        <v>1</v>
      </c>
      <c r="L191" s="310">
        <f t="shared" si="86"/>
        <v>1</v>
      </c>
      <c r="M191" s="310">
        <f t="shared" si="87"/>
        <v>1</v>
      </c>
      <c r="N191" s="310">
        <f t="shared" si="88"/>
        <v>1</v>
      </c>
      <c r="O191" s="310">
        <f t="shared" si="89"/>
        <v>12</v>
      </c>
      <c r="R191" s="121"/>
    </row>
    <row r="192" spans="1:18">
      <c r="A192" s="121">
        <f t="shared" si="47"/>
        <v>192</v>
      </c>
      <c r="B192" s="312" t="s">
        <v>116</v>
      </c>
      <c r="C192" s="310">
        <f t="shared" si="77"/>
        <v>37</v>
      </c>
      <c r="D192" s="310">
        <f t="shared" si="78"/>
        <v>36.5</v>
      </c>
      <c r="E192" s="310">
        <f t="shared" si="79"/>
        <v>36.666666666666664</v>
      </c>
      <c r="F192" s="310">
        <f t="shared" si="80"/>
        <v>37</v>
      </c>
      <c r="G192" s="310">
        <f t="shared" si="81"/>
        <v>37.200000000000003</v>
      </c>
      <c r="H192" s="310">
        <f t="shared" si="82"/>
        <v>37.666666666666664</v>
      </c>
      <c r="I192" s="310">
        <f t="shared" si="83"/>
        <v>38.142857142857146</v>
      </c>
      <c r="J192" s="310">
        <f t="shared" si="84"/>
        <v>38.625</v>
      </c>
      <c r="K192" s="310">
        <f t="shared" si="85"/>
        <v>39.111111111111114</v>
      </c>
      <c r="L192" s="310">
        <f t="shared" si="86"/>
        <v>39.4</v>
      </c>
      <c r="M192" s="310">
        <f t="shared" si="87"/>
        <v>39.727272727272727</v>
      </c>
      <c r="N192" s="310">
        <f t="shared" si="88"/>
        <v>40</v>
      </c>
      <c r="O192" s="310">
        <f t="shared" si="89"/>
        <v>457.03957431457434</v>
      </c>
      <c r="R192" s="121"/>
    </row>
    <row r="193" spans="1:18">
      <c r="A193" s="121">
        <f t="shared" si="47"/>
        <v>193</v>
      </c>
      <c r="B193" s="312" t="s">
        <v>117</v>
      </c>
      <c r="C193" s="310">
        <f t="shared" si="77"/>
        <v>5</v>
      </c>
      <c r="D193" s="310">
        <f t="shared" si="78"/>
        <v>5.5</v>
      </c>
      <c r="E193" s="310">
        <f t="shared" si="79"/>
        <v>5.666666666666667</v>
      </c>
      <c r="F193" s="310">
        <f t="shared" si="80"/>
        <v>5.75</v>
      </c>
      <c r="G193" s="310">
        <f t="shared" si="81"/>
        <v>5.8</v>
      </c>
      <c r="H193" s="310">
        <f t="shared" si="82"/>
        <v>5.833333333333333</v>
      </c>
      <c r="I193" s="310">
        <f t="shared" si="83"/>
        <v>5.8571428571428568</v>
      </c>
      <c r="J193" s="310">
        <f t="shared" si="84"/>
        <v>5.75</v>
      </c>
      <c r="K193" s="310">
        <f t="shared" si="85"/>
        <v>5.666666666666667</v>
      </c>
      <c r="L193" s="310">
        <f t="shared" si="86"/>
        <v>5.6</v>
      </c>
      <c r="M193" s="310">
        <f t="shared" si="87"/>
        <v>5.5454545454545459</v>
      </c>
      <c r="N193" s="310">
        <f t="shared" si="88"/>
        <v>5.583333333333333</v>
      </c>
      <c r="O193" s="310">
        <f t="shared" si="89"/>
        <v>67.552597402597399</v>
      </c>
      <c r="R193" s="121"/>
    </row>
    <row r="194" spans="1:18">
      <c r="A194" s="121">
        <f t="shared" si="47"/>
        <v>194</v>
      </c>
      <c r="B194" s="312" t="s">
        <v>118</v>
      </c>
      <c r="C194" s="310">
        <f t="shared" si="77"/>
        <v>10</v>
      </c>
      <c r="D194" s="310">
        <f t="shared" si="78"/>
        <v>10</v>
      </c>
      <c r="E194" s="310">
        <f t="shared" si="79"/>
        <v>10</v>
      </c>
      <c r="F194" s="310">
        <f t="shared" si="80"/>
        <v>10</v>
      </c>
      <c r="G194" s="310">
        <f t="shared" si="81"/>
        <v>10</v>
      </c>
      <c r="H194" s="310">
        <f t="shared" si="82"/>
        <v>10</v>
      </c>
      <c r="I194" s="310">
        <f t="shared" si="83"/>
        <v>10</v>
      </c>
      <c r="J194" s="310">
        <f t="shared" si="84"/>
        <v>10</v>
      </c>
      <c r="K194" s="310">
        <f t="shared" si="85"/>
        <v>10</v>
      </c>
      <c r="L194" s="310">
        <f t="shared" si="86"/>
        <v>9.9</v>
      </c>
      <c r="M194" s="310">
        <f t="shared" si="87"/>
        <v>9.9090909090909083</v>
      </c>
      <c r="N194" s="310">
        <f t="shared" si="88"/>
        <v>9.9166666666666661</v>
      </c>
      <c r="O194" s="310">
        <f t="shared" si="89"/>
        <v>119.72575757575758</v>
      </c>
      <c r="R194" s="121"/>
    </row>
    <row r="195" spans="1:18">
      <c r="A195" s="121">
        <f t="shared" ref="A195:A254" si="90">+A194+1</f>
        <v>195</v>
      </c>
      <c r="B195" s="315" t="s">
        <v>119</v>
      </c>
      <c r="C195" s="310">
        <f t="shared" si="77"/>
        <v>20</v>
      </c>
      <c r="D195" s="310">
        <f t="shared" si="78"/>
        <v>19.5</v>
      </c>
      <c r="E195" s="310">
        <f t="shared" si="79"/>
        <v>19.333333333333332</v>
      </c>
      <c r="F195" s="310">
        <f t="shared" si="80"/>
        <v>19.25</v>
      </c>
      <c r="G195" s="310">
        <f t="shared" si="81"/>
        <v>19</v>
      </c>
      <c r="H195" s="310">
        <f t="shared" si="82"/>
        <v>18.666666666666668</v>
      </c>
      <c r="I195" s="310">
        <f t="shared" si="83"/>
        <v>18.428571428571427</v>
      </c>
      <c r="J195" s="310">
        <f t="shared" si="84"/>
        <v>18.25</v>
      </c>
      <c r="K195" s="310">
        <f t="shared" si="85"/>
        <v>18.111111111111111</v>
      </c>
      <c r="L195" s="310">
        <f t="shared" si="86"/>
        <v>18</v>
      </c>
      <c r="M195" s="310">
        <f t="shared" si="87"/>
        <v>17.90909090909091</v>
      </c>
      <c r="N195" s="310">
        <f t="shared" si="88"/>
        <v>17.833333333333332</v>
      </c>
      <c r="O195" s="310">
        <f t="shared" si="89"/>
        <v>224.28210678210678</v>
      </c>
      <c r="R195" s="121"/>
    </row>
    <row r="196" spans="1:18">
      <c r="A196" s="121">
        <f t="shared" si="90"/>
        <v>196</v>
      </c>
      <c r="B196" s="321" t="s">
        <v>120</v>
      </c>
      <c r="C196" s="319">
        <f t="shared" si="77"/>
        <v>7</v>
      </c>
      <c r="D196" s="319">
        <f t="shared" si="78"/>
        <v>7</v>
      </c>
      <c r="E196" s="319">
        <f t="shared" si="79"/>
        <v>7</v>
      </c>
      <c r="F196" s="319">
        <f t="shared" si="80"/>
        <v>7</v>
      </c>
      <c r="G196" s="319">
        <f t="shared" si="81"/>
        <v>7</v>
      </c>
      <c r="H196" s="319">
        <f t="shared" si="82"/>
        <v>7</v>
      </c>
      <c r="I196" s="319">
        <f t="shared" si="83"/>
        <v>7</v>
      </c>
      <c r="J196" s="319">
        <f t="shared" si="84"/>
        <v>7</v>
      </c>
      <c r="K196" s="319">
        <f t="shared" si="85"/>
        <v>7</v>
      </c>
      <c r="L196" s="319">
        <f t="shared" si="86"/>
        <v>7</v>
      </c>
      <c r="M196" s="319">
        <f t="shared" si="87"/>
        <v>7</v>
      </c>
      <c r="N196" s="319">
        <f t="shared" si="88"/>
        <v>7</v>
      </c>
      <c r="O196" s="319">
        <f t="shared" si="89"/>
        <v>84</v>
      </c>
      <c r="R196" s="121"/>
    </row>
    <row r="197" spans="1:18">
      <c r="A197" s="121">
        <f t="shared" si="90"/>
        <v>197</v>
      </c>
      <c r="B197" s="322" t="s">
        <v>202</v>
      </c>
      <c r="C197" s="310">
        <f t="shared" ref="C197:O197" si="91">SUM(C190:C196)</f>
        <v>80</v>
      </c>
      <c r="D197" s="310">
        <f t="shared" si="91"/>
        <v>79.5</v>
      </c>
      <c r="E197" s="310">
        <f t="shared" si="91"/>
        <v>79.666666666666657</v>
      </c>
      <c r="F197" s="310">
        <f t="shared" si="91"/>
        <v>80</v>
      </c>
      <c r="G197" s="310">
        <f t="shared" si="91"/>
        <v>80</v>
      </c>
      <c r="H197" s="310">
        <f t="shared" si="91"/>
        <v>80.166666666666671</v>
      </c>
      <c r="I197" s="310">
        <f t="shared" si="91"/>
        <v>80.428571428571431</v>
      </c>
      <c r="J197" s="310">
        <f t="shared" si="91"/>
        <v>80.625</v>
      </c>
      <c r="K197" s="310">
        <f t="shared" si="91"/>
        <v>80.888888888888886</v>
      </c>
      <c r="L197" s="310">
        <f t="shared" si="91"/>
        <v>80.900000000000006</v>
      </c>
      <c r="M197" s="310">
        <f t="shared" si="91"/>
        <v>81.090909090909093</v>
      </c>
      <c r="N197" s="310">
        <f t="shared" si="91"/>
        <v>81.333333333333329</v>
      </c>
      <c r="O197" s="310">
        <f t="shared" si="91"/>
        <v>964.60003607503609</v>
      </c>
      <c r="R197" s="121"/>
    </row>
    <row r="198" spans="1:18">
      <c r="A198" s="121">
        <f t="shared" si="90"/>
        <v>198</v>
      </c>
      <c r="B198" s="320" t="s">
        <v>203</v>
      </c>
      <c r="C198" s="310"/>
      <c r="D198" s="310"/>
      <c r="E198" s="310"/>
      <c r="F198" s="310"/>
      <c r="G198" s="310"/>
      <c r="H198" s="310"/>
      <c r="I198" s="310"/>
      <c r="J198" s="310"/>
      <c r="K198" s="310"/>
      <c r="L198" s="310"/>
      <c r="M198" s="310"/>
      <c r="N198" s="310"/>
      <c r="O198" s="310"/>
      <c r="R198" s="121"/>
    </row>
    <row r="199" spans="1:18">
      <c r="A199" s="121">
        <f t="shared" si="90"/>
        <v>199</v>
      </c>
      <c r="B199" s="127" t="s">
        <v>204</v>
      </c>
      <c r="C199" s="310">
        <f t="shared" ref="C199:C209" si="92">+C73</f>
        <v>2</v>
      </c>
      <c r="D199" s="310">
        <f>AVERAGE(C73:D73)</f>
        <v>2</v>
      </c>
      <c r="E199" s="310">
        <f>AVERAGE(C73:E73)</f>
        <v>2</v>
      </c>
      <c r="F199" s="310">
        <f>AVERAGE(C73:F73)</f>
        <v>2</v>
      </c>
      <c r="G199" s="310">
        <f>AVERAGE(C73:G73)</f>
        <v>2</v>
      </c>
      <c r="H199" s="310">
        <f>AVERAGE(C73:H73)</f>
        <v>2</v>
      </c>
      <c r="I199" s="310">
        <f>AVERAGE(C73:I73)</f>
        <v>2</v>
      </c>
      <c r="J199" s="310">
        <f>AVERAGE(C73:J73)</f>
        <v>2</v>
      </c>
      <c r="K199" s="310">
        <f>AVERAGE(C73:K73)</f>
        <v>2</v>
      </c>
      <c r="L199" s="310">
        <f>AVERAGE(C73:L73)</f>
        <v>2</v>
      </c>
      <c r="M199" s="310">
        <f>AVERAGE(C73:M73)</f>
        <v>2</v>
      </c>
      <c r="N199" s="310">
        <f>AVERAGE(C73:N73)</f>
        <v>2</v>
      </c>
      <c r="O199" s="310">
        <f t="shared" ref="O199:O213" si="93">SUM(C199:N199)</f>
        <v>24</v>
      </c>
      <c r="R199" s="121"/>
    </row>
    <row r="200" spans="1:18">
      <c r="A200" s="121">
        <f t="shared" si="90"/>
        <v>200</v>
      </c>
      <c r="B200" s="127" t="s">
        <v>206</v>
      </c>
      <c r="C200" s="310">
        <f t="shared" si="92"/>
        <v>1</v>
      </c>
      <c r="D200" s="310">
        <f>AVERAGE(C74:D74)</f>
        <v>1</v>
      </c>
      <c r="E200" s="310">
        <f>AVERAGE(C74:E74)</f>
        <v>1</v>
      </c>
      <c r="F200" s="310">
        <f>AVERAGE(C74:F74)</f>
        <v>1</v>
      </c>
      <c r="G200" s="310">
        <f>AVERAGE(C74:G74)</f>
        <v>1</v>
      </c>
      <c r="H200" s="310">
        <f>AVERAGE(C74:H74)</f>
        <v>1</v>
      </c>
      <c r="I200" s="310">
        <f>AVERAGE(C74:I74)</f>
        <v>1</v>
      </c>
      <c r="J200" s="310">
        <f>AVERAGE(C74:J74)</f>
        <v>1</v>
      </c>
      <c r="K200" s="310">
        <f>AVERAGE(C74:K74)</f>
        <v>1</v>
      </c>
      <c r="L200" s="310">
        <f>AVERAGE(C74:L74)</f>
        <v>1</v>
      </c>
      <c r="M200" s="310">
        <f>AVERAGE(C74:M74)</f>
        <v>1</v>
      </c>
      <c r="N200" s="310">
        <f>AVERAGE(C74:N74)</f>
        <v>1</v>
      </c>
      <c r="O200" s="310">
        <f t="shared" si="93"/>
        <v>12</v>
      </c>
      <c r="R200" s="121"/>
    </row>
    <row r="201" spans="1:18">
      <c r="A201" s="121">
        <f t="shared" si="90"/>
        <v>201</v>
      </c>
      <c r="B201" s="127" t="s">
        <v>207</v>
      </c>
      <c r="C201" s="310">
        <f t="shared" si="92"/>
        <v>1</v>
      </c>
      <c r="D201" s="310">
        <f>AVERAGE(C75:D75)</f>
        <v>1</v>
      </c>
      <c r="E201" s="310">
        <f>AVERAGE(C75:E75)</f>
        <v>1</v>
      </c>
      <c r="F201" s="310">
        <f>AVERAGE(C75:F75)</f>
        <v>1</v>
      </c>
      <c r="G201" s="310">
        <f>AVERAGE(C75:G75)</f>
        <v>1</v>
      </c>
      <c r="H201" s="310">
        <f>AVERAGE(C75:H75)</f>
        <v>1</v>
      </c>
      <c r="I201" s="310">
        <f>AVERAGE(C75:I75)</f>
        <v>1</v>
      </c>
      <c r="J201" s="310">
        <f>AVERAGE(C75:J75)</f>
        <v>1</v>
      </c>
      <c r="K201" s="310">
        <f>AVERAGE(C75:K75)</f>
        <v>1</v>
      </c>
      <c r="L201" s="310">
        <f>AVERAGE(C75:L75)</f>
        <v>1</v>
      </c>
      <c r="M201" s="310">
        <f>AVERAGE(C75:M75)</f>
        <v>1</v>
      </c>
      <c r="N201" s="310">
        <f>AVERAGE(C75:N75)</f>
        <v>1</v>
      </c>
      <c r="O201" s="310">
        <f t="shared" si="93"/>
        <v>12</v>
      </c>
      <c r="R201" s="121"/>
    </row>
    <row r="202" spans="1:18">
      <c r="A202" s="121">
        <f t="shared" si="90"/>
        <v>202</v>
      </c>
      <c r="B202" s="127" t="s">
        <v>208</v>
      </c>
      <c r="C202" s="310">
        <f t="shared" si="92"/>
        <v>1</v>
      </c>
      <c r="D202" s="310">
        <f>AVERAGE(C76:D76)</f>
        <v>1</v>
      </c>
      <c r="E202" s="310">
        <f>AVERAGE(C76:E76)</f>
        <v>1</v>
      </c>
      <c r="F202" s="310">
        <f>AVERAGE(C76:F76)</f>
        <v>1</v>
      </c>
      <c r="G202" s="310">
        <f>AVERAGE(C76:G76)</f>
        <v>1</v>
      </c>
      <c r="H202" s="310">
        <f>AVERAGE(C76:H76)</f>
        <v>1</v>
      </c>
      <c r="I202" s="310">
        <f>AVERAGE(C76:I76)</f>
        <v>1</v>
      </c>
      <c r="J202" s="310">
        <f>AVERAGE(C76:J76)</f>
        <v>1</v>
      </c>
      <c r="K202" s="310">
        <f>AVERAGE(C76:K76)</f>
        <v>1</v>
      </c>
      <c r="L202" s="310">
        <f>AVERAGE(C76:L76)</f>
        <v>1</v>
      </c>
      <c r="M202" s="310">
        <f>AVERAGE(C76:M76)</f>
        <v>1</v>
      </c>
      <c r="N202" s="310">
        <f>AVERAGE(C76:N76)</f>
        <v>1</v>
      </c>
      <c r="O202" s="310">
        <f t="shared" si="93"/>
        <v>12</v>
      </c>
      <c r="R202" s="121"/>
    </row>
    <row r="203" spans="1:18">
      <c r="A203" s="121">
        <f t="shared" si="90"/>
        <v>203</v>
      </c>
      <c r="B203" s="127" t="s">
        <v>209</v>
      </c>
      <c r="C203" s="310">
        <f t="shared" si="92"/>
        <v>0</v>
      </c>
      <c r="D203" s="310">
        <f>AVERAGE(C77:D77)</f>
        <v>0</v>
      </c>
      <c r="E203" s="310">
        <f>AVERAGE(C77:E77)</f>
        <v>0</v>
      </c>
      <c r="F203" s="310">
        <f>AVERAGE(C77:F77)</f>
        <v>0</v>
      </c>
      <c r="G203" s="310">
        <f>AVERAGE(C77:G77)</f>
        <v>0</v>
      </c>
      <c r="H203" s="310">
        <f>AVERAGE(C77:H77)</f>
        <v>0</v>
      </c>
      <c r="I203" s="310">
        <f>AVERAGE(C77:I77)</f>
        <v>0</v>
      </c>
      <c r="J203" s="310">
        <f>AVERAGE(C77:J77)</f>
        <v>0</v>
      </c>
      <c r="K203" s="310">
        <f>AVERAGE(C77:K77)</f>
        <v>0</v>
      </c>
      <c r="L203" s="310">
        <f>AVERAGE(C77:L77)</f>
        <v>0</v>
      </c>
      <c r="M203" s="310">
        <f>AVERAGE(C77:M77)</f>
        <v>0</v>
      </c>
      <c r="N203" s="310">
        <f>AVERAGE(C77:N77)</f>
        <v>0</v>
      </c>
      <c r="O203" s="310">
        <f t="shared" si="93"/>
        <v>0</v>
      </c>
      <c r="R203" s="121"/>
    </row>
    <row r="204" spans="1:18">
      <c r="A204" s="121">
        <f t="shared" si="90"/>
        <v>204</v>
      </c>
      <c r="B204" s="127" t="s">
        <v>210</v>
      </c>
      <c r="C204" s="310">
        <f t="shared" si="92"/>
        <v>1</v>
      </c>
      <c r="D204" s="310">
        <f>IFERROR(AVERAGE(C78:D78),0)</f>
        <v>1</v>
      </c>
      <c r="E204" s="310">
        <f>IFERROR(AVERAGE($C$78:E78),0)</f>
        <v>1</v>
      </c>
      <c r="F204" s="310">
        <f>IFERROR(AVERAGE($C$78:F78),0)</f>
        <v>1</v>
      </c>
      <c r="G204" s="310">
        <f>IFERROR(AVERAGE($C$78:G78),0)</f>
        <v>1</v>
      </c>
      <c r="H204" s="310">
        <f>IFERROR(AVERAGE($C$78:H78),0)</f>
        <v>1</v>
      </c>
      <c r="I204" s="310">
        <f>IFERROR(AVERAGE($C$78:I78),0)</f>
        <v>1</v>
      </c>
      <c r="J204" s="310">
        <f>IFERROR(AVERAGE($C$78:J78),0)</f>
        <v>1</v>
      </c>
      <c r="K204" s="310">
        <f>IFERROR(AVERAGE($C$78:K78),0)</f>
        <v>1</v>
      </c>
      <c r="L204" s="310">
        <f>IFERROR(AVERAGE($C$78:L78),0)</f>
        <v>1</v>
      </c>
      <c r="M204" s="310">
        <f>IFERROR(AVERAGE($C$78:M78),0)</f>
        <v>1</v>
      </c>
      <c r="N204" s="310">
        <f>IFERROR(AVERAGE($C$78:N78),0)</f>
        <v>1</v>
      </c>
      <c r="O204" s="310">
        <f t="shared" si="93"/>
        <v>12</v>
      </c>
      <c r="R204" s="121"/>
    </row>
    <row r="205" spans="1:18">
      <c r="A205" s="121">
        <f t="shared" si="90"/>
        <v>205</v>
      </c>
      <c r="B205" s="127" t="s">
        <v>211</v>
      </c>
      <c r="C205" s="310">
        <f t="shared" si="92"/>
        <v>1</v>
      </c>
      <c r="D205" s="310">
        <f>IFERROR(AVERAGE($C$79:D79),0)</f>
        <v>1</v>
      </c>
      <c r="E205" s="310">
        <f>IFERROR(AVERAGE($C$79:E79),0)</f>
        <v>1</v>
      </c>
      <c r="F205" s="310">
        <f>IFERROR(AVERAGE($C$79:F79),0)</f>
        <v>1</v>
      </c>
      <c r="G205" s="310">
        <f>IFERROR(AVERAGE($C$79:G79),0)</f>
        <v>1</v>
      </c>
      <c r="H205" s="310">
        <f>IFERROR(AVERAGE($C$79:H79),0)</f>
        <v>1</v>
      </c>
      <c r="I205" s="310">
        <f>IFERROR(AVERAGE($C$79:I79),0)</f>
        <v>1</v>
      </c>
      <c r="J205" s="310">
        <f>IFERROR(AVERAGE($C$79:J79),0)</f>
        <v>1</v>
      </c>
      <c r="K205" s="310">
        <f>IFERROR(AVERAGE($C$79:K79),0)</f>
        <v>1</v>
      </c>
      <c r="L205" s="310">
        <f>IFERROR(AVERAGE($C$79:L79),0)</f>
        <v>1</v>
      </c>
      <c r="M205" s="310">
        <f>IFERROR(AVERAGE($C$79:M79),0)</f>
        <v>1</v>
      </c>
      <c r="N205" s="310">
        <f>IFERROR(AVERAGE($C$79:N79),0)</f>
        <v>1</v>
      </c>
      <c r="O205" s="310">
        <f t="shared" si="93"/>
        <v>12</v>
      </c>
      <c r="R205" s="121"/>
    </row>
    <row r="206" spans="1:18">
      <c r="A206" s="121">
        <f t="shared" si="90"/>
        <v>206</v>
      </c>
      <c r="B206" s="127" t="s">
        <v>212</v>
      </c>
      <c r="C206" s="310">
        <f t="shared" si="92"/>
        <v>1</v>
      </c>
      <c r="D206" s="310">
        <f>IFERROR(AVERAGE($C$80:D80),0)</f>
        <v>1</v>
      </c>
      <c r="E206" s="310">
        <f>IFERROR(AVERAGE($C$80:E80),0)</f>
        <v>1</v>
      </c>
      <c r="F206" s="310">
        <f>IFERROR(AVERAGE($C$80:F80),0)</f>
        <v>1</v>
      </c>
      <c r="G206" s="310">
        <f>IFERROR(AVERAGE($C$80:G80),0)</f>
        <v>1</v>
      </c>
      <c r="H206" s="310">
        <f>IFERROR(AVERAGE($C$80:H80),0)</f>
        <v>1</v>
      </c>
      <c r="I206" s="310">
        <f>IFERROR(AVERAGE($C$80:I80),0)</f>
        <v>1</v>
      </c>
      <c r="J206" s="310">
        <f>IFERROR(AVERAGE($C$80:J80),0)</f>
        <v>1</v>
      </c>
      <c r="K206" s="310">
        <f>IFERROR(AVERAGE($C$80:K80),0)</f>
        <v>1</v>
      </c>
      <c r="L206" s="310">
        <f>IFERROR(AVERAGE($C$80:L80),0)</f>
        <v>1</v>
      </c>
      <c r="M206" s="310">
        <f>IFERROR(AVERAGE($C$80:M80),0)</f>
        <v>1</v>
      </c>
      <c r="N206" s="310">
        <f>IFERROR(AVERAGE($C$80:N80),0)</f>
        <v>1</v>
      </c>
      <c r="O206" s="310">
        <f t="shared" si="93"/>
        <v>12</v>
      </c>
      <c r="R206" s="121"/>
    </row>
    <row r="207" spans="1:18">
      <c r="A207" s="121">
        <f t="shared" si="90"/>
        <v>207</v>
      </c>
      <c r="B207" s="323" t="s">
        <v>214</v>
      </c>
      <c r="C207" s="310">
        <f t="shared" si="92"/>
        <v>1</v>
      </c>
      <c r="D207" s="310">
        <f>IFERROR(AVERAGE($C$81:D81),0)</f>
        <v>1</v>
      </c>
      <c r="E207" s="310">
        <f>IFERROR(AVERAGE($C$81:E81),0)</f>
        <v>1</v>
      </c>
      <c r="F207" s="310">
        <f>IFERROR(AVERAGE($C$81:F81),0)</f>
        <v>1</v>
      </c>
      <c r="G207" s="310">
        <f>IFERROR(AVERAGE($C$81:G81),0)</f>
        <v>1</v>
      </c>
      <c r="H207" s="310">
        <f>IFERROR(AVERAGE($C$81:H81),0)</f>
        <v>1</v>
      </c>
      <c r="I207" s="310">
        <f>IFERROR(AVERAGE($C$81:I81),0)</f>
        <v>1</v>
      </c>
      <c r="J207" s="310">
        <f>IFERROR(AVERAGE($C$81:J81),0)</f>
        <v>1</v>
      </c>
      <c r="K207" s="310">
        <f>IFERROR(AVERAGE($C$81:K81),0)</f>
        <v>1</v>
      </c>
      <c r="L207" s="310">
        <f>IFERROR(AVERAGE($C$81:L81),0)</f>
        <v>1</v>
      </c>
      <c r="M207" s="310">
        <f>IFERROR(AVERAGE($C$81:M81),0)</f>
        <v>1</v>
      </c>
      <c r="N207" s="310">
        <f>IFERROR(AVERAGE($C$81:N81),0)</f>
        <v>1</v>
      </c>
      <c r="O207" s="310">
        <f t="shared" si="93"/>
        <v>12</v>
      </c>
      <c r="R207" s="121"/>
    </row>
    <row r="208" spans="1:18">
      <c r="A208" s="121">
        <f t="shared" si="90"/>
        <v>208</v>
      </c>
      <c r="B208" s="127" t="s">
        <v>215</v>
      </c>
      <c r="C208" s="310">
        <f t="shared" si="92"/>
        <v>1</v>
      </c>
      <c r="D208" s="310">
        <f>IFERROR(AVERAGE($C$82:D82),0)</f>
        <v>1</v>
      </c>
      <c r="E208" s="310">
        <f>IFERROR(AVERAGE($C$82:E82),0)</f>
        <v>1</v>
      </c>
      <c r="F208" s="310">
        <f>IFERROR(AVERAGE($C$82:F82),0)</f>
        <v>1</v>
      </c>
      <c r="G208" s="310">
        <f>IFERROR(AVERAGE($C$82:G82),0)</f>
        <v>1</v>
      </c>
      <c r="H208" s="310">
        <f>IFERROR(AVERAGE($C$82:H82),0)</f>
        <v>1</v>
      </c>
      <c r="I208" s="310">
        <f>IFERROR(AVERAGE($C$82:I82),0)</f>
        <v>1</v>
      </c>
      <c r="J208" s="310">
        <f>IFERROR(AVERAGE($C$82:J82),0)</f>
        <v>1</v>
      </c>
      <c r="K208" s="310">
        <f>IFERROR(AVERAGE($C$82:K82),0)</f>
        <v>1</v>
      </c>
      <c r="L208" s="310">
        <f>IFERROR(AVERAGE($C$82:L82),0)</f>
        <v>1</v>
      </c>
      <c r="M208" s="310">
        <f>IFERROR(AVERAGE($C$82:M82),0)</f>
        <v>1</v>
      </c>
      <c r="N208" s="310">
        <f>IFERROR(AVERAGE($C$82:N82),0)</f>
        <v>1</v>
      </c>
      <c r="O208" s="310">
        <f t="shared" si="93"/>
        <v>12</v>
      </c>
      <c r="R208" s="121"/>
    </row>
    <row r="209" spans="1:18">
      <c r="A209" s="121">
        <f t="shared" si="90"/>
        <v>209</v>
      </c>
      <c r="B209" s="127" t="s">
        <v>216</v>
      </c>
      <c r="C209" s="310">
        <f t="shared" si="92"/>
        <v>1</v>
      </c>
      <c r="D209" s="310">
        <f>IFERROR(AVERAGE($C$83:D83),0)</f>
        <v>1</v>
      </c>
      <c r="E209" s="310">
        <f>IFERROR(AVERAGE($C$78:E83),0)</f>
        <v>1</v>
      </c>
      <c r="F209" s="310">
        <f>IFERROR(AVERAGE($C$78:F83),0)</f>
        <v>1</v>
      </c>
      <c r="G209" s="310">
        <f>IFERROR(AVERAGE($C$78:G83),0)</f>
        <v>1</v>
      </c>
      <c r="H209" s="310">
        <f>IFERROR(AVERAGE($C$78:H83),0)</f>
        <v>1</v>
      </c>
      <c r="I209" s="310">
        <f>IFERROR(AVERAGE($C$78:I83),0)</f>
        <v>1</v>
      </c>
      <c r="J209" s="310">
        <f>IFERROR(AVERAGE($C$78:J83),0)</f>
        <v>1</v>
      </c>
      <c r="K209" s="310">
        <f>IFERROR(AVERAGE($C$78:K83),0)</f>
        <v>1</v>
      </c>
      <c r="L209" s="310">
        <f>IFERROR(AVERAGE($C$78:L83),0)</f>
        <v>1</v>
      </c>
      <c r="M209" s="310">
        <f>IFERROR(AVERAGE($C$78:M83),0)</f>
        <v>1</v>
      </c>
      <c r="N209" s="310">
        <f>IFERROR(AVERAGE($C$78:N83),0)</f>
        <v>1</v>
      </c>
      <c r="O209" s="310">
        <f t="shared" si="93"/>
        <v>12</v>
      </c>
      <c r="R209" s="121"/>
    </row>
    <row r="210" spans="1:18">
      <c r="A210" s="121">
        <f t="shared" si="90"/>
        <v>210</v>
      </c>
      <c r="B210" s="323" t="s">
        <v>217</v>
      </c>
      <c r="C210" s="310">
        <v>0</v>
      </c>
      <c r="D210" s="310">
        <v>0</v>
      </c>
      <c r="E210" s="310">
        <v>0</v>
      </c>
      <c r="F210" s="310">
        <v>0</v>
      </c>
      <c r="G210" s="310">
        <v>0</v>
      </c>
      <c r="H210" s="310">
        <v>0</v>
      </c>
      <c r="I210" s="310">
        <v>0</v>
      </c>
      <c r="J210" s="310">
        <v>0</v>
      </c>
      <c r="K210" s="310">
        <v>0</v>
      </c>
      <c r="L210" s="310">
        <v>0</v>
      </c>
      <c r="M210" s="310">
        <v>0</v>
      </c>
      <c r="N210" s="310">
        <v>0</v>
      </c>
      <c r="O210" s="310">
        <f t="shared" si="93"/>
        <v>0</v>
      </c>
      <c r="R210" s="121"/>
    </row>
    <row r="211" spans="1:18">
      <c r="A211" s="121">
        <f t="shared" si="90"/>
        <v>211</v>
      </c>
      <c r="B211" s="127" t="s">
        <v>218</v>
      </c>
      <c r="C211" s="310">
        <f>+C85</f>
        <v>1</v>
      </c>
      <c r="D211" s="310">
        <f>IFERROR(AVERAGE($C$85:D85),0)</f>
        <v>1</v>
      </c>
      <c r="E211" s="310">
        <f>IFERROR(AVERAGE($C$85:E85),0)</f>
        <v>1</v>
      </c>
      <c r="F211" s="310">
        <f>IFERROR(AVERAGE($C$85:F85),0)</f>
        <v>1</v>
      </c>
      <c r="G211" s="310">
        <f>IFERROR(AVERAGE($C$85:G85),0)</f>
        <v>1</v>
      </c>
      <c r="H211" s="310">
        <f>IFERROR(AVERAGE($C$85:H85),0)</f>
        <v>1</v>
      </c>
      <c r="I211" s="310">
        <f>IFERROR(AVERAGE($C$85:I85),0)</f>
        <v>1</v>
      </c>
      <c r="J211" s="310">
        <f>IFERROR(AVERAGE($C$85:J85),0)</f>
        <v>1</v>
      </c>
      <c r="K211" s="310">
        <f>IFERROR(AVERAGE($C$85:K85),0)</f>
        <v>1</v>
      </c>
      <c r="L211" s="310">
        <f>IFERROR(AVERAGE($C$85:L85),0)</f>
        <v>1</v>
      </c>
      <c r="M211" s="310">
        <f>IFERROR(AVERAGE($C$85:M85),0)</f>
        <v>1</v>
      </c>
      <c r="N211" s="310">
        <f>IFERROR(AVERAGE($C$85:N85),0)</f>
        <v>1</v>
      </c>
      <c r="O211" s="310">
        <f>SUM(C211:N211)</f>
        <v>12</v>
      </c>
      <c r="R211" s="121"/>
    </row>
    <row r="212" spans="1:18">
      <c r="A212" s="121">
        <f t="shared" si="90"/>
        <v>212</v>
      </c>
      <c r="B212" s="127" t="s">
        <v>219</v>
      </c>
      <c r="C212" s="310">
        <f>+C86</f>
        <v>1</v>
      </c>
      <c r="D212" s="310">
        <f>IFERROR(AVERAGE($C$86:D86),0)</f>
        <v>1</v>
      </c>
      <c r="E212" s="310">
        <f>IFERROR(AVERAGE($C$86:E86),0)</f>
        <v>1</v>
      </c>
      <c r="F212" s="310">
        <f>IFERROR(AVERAGE($C$86:F86),0)</f>
        <v>1</v>
      </c>
      <c r="G212" s="310">
        <f>IFERROR(AVERAGE($C$86:G86),0)</f>
        <v>1</v>
      </c>
      <c r="H212" s="310">
        <f>IFERROR(AVERAGE($C$86:H86),0)</f>
        <v>1</v>
      </c>
      <c r="I212" s="310">
        <f>IFERROR(AVERAGE($C$86:I86),0)</f>
        <v>1</v>
      </c>
      <c r="J212" s="310">
        <f>IFERROR(AVERAGE($C$86:J86),0)</f>
        <v>1</v>
      </c>
      <c r="K212" s="310">
        <f>IFERROR(AVERAGE($C$86:K86),0)</f>
        <v>1</v>
      </c>
      <c r="L212" s="310">
        <f>IFERROR(AVERAGE($C$86:L86),0)</f>
        <v>1</v>
      </c>
      <c r="M212" s="310">
        <f>IFERROR(AVERAGE($C$86:M86),0)</f>
        <v>1</v>
      </c>
      <c r="N212" s="310">
        <f>IFERROR(AVERAGE($C$86:N86),0)</f>
        <v>1</v>
      </c>
      <c r="O212" s="310">
        <f t="shared" si="93"/>
        <v>12</v>
      </c>
      <c r="R212" s="121"/>
    </row>
    <row r="213" spans="1:18">
      <c r="A213" s="121">
        <f t="shared" si="90"/>
        <v>213</v>
      </c>
      <c r="B213" s="323" t="s">
        <v>220</v>
      </c>
      <c r="C213" s="319">
        <f>+C87</f>
        <v>1</v>
      </c>
      <c r="D213" s="319">
        <f>IFERROR(AVERAGE($C$87:D87),0)</f>
        <v>1</v>
      </c>
      <c r="E213" s="319">
        <f>IFERROR(AVERAGE($C$87:E87),0)</f>
        <v>1</v>
      </c>
      <c r="F213" s="319">
        <f>IFERROR(AVERAGE($C$87:F87),0)</f>
        <v>1</v>
      </c>
      <c r="G213" s="319">
        <f>IFERROR(AVERAGE($C$87:G87),0)</f>
        <v>1</v>
      </c>
      <c r="H213" s="319">
        <f>IFERROR(AVERAGE($C$87:H87),0)</f>
        <v>1</v>
      </c>
      <c r="I213" s="319">
        <f>IFERROR(AVERAGE($C$87:I87),0)</f>
        <v>1</v>
      </c>
      <c r="J213" s="319">
        <f>IFERROR(AVERAGE($C$87:J87),0)</f>
        <v>1</v>
      </c>
      <c r="K213" s="319">
        <f>IFERROR(AVERAGE($C$87:K87),0)</f>
        <v>1</v>
      </c>
      <c r="L213" s="319">
        <f>IFERROR(AVERAGE($C$87:L87),0)</f>
        <v>1</v>
      </c>
      <c r="M213" s="319">
        <f>IFERROR(AVERAGE($C$87:M87),0)</f>
        <v>1</v>
      </c>
      <c r="N213" s="319">
        <f>IFERROR(AVERAGE($C$87:N87),0)</f>
        <v>1</v>
      </c>
      <c r="O213" s="319">
        <f t="shared" si="93"/>
        <v>12</v>
      </c>
      <c r="R213" s="121"/>
    </row>
    <row r="214" spans="1:18">
      <c r="A214" s="121">
        <f t="shared" si="90"/>
        <v>214</v>
      </c>
      <c r="B214" s="322" t="s">
        <v>221</v>
      </c>
      <c r="C214" s="310">
        <f>SUM(C199:C213)</f>
        <v>14</v>
      </c>
      <c r="D214" s="310">
        <f t="shared" ref="D214:N214" si="94">SUM(D199:D213)</f>
        <v>14</v>
      </c>
      <c r="E214" s="310">
        <f t="shared" si="94"/>
        <v>14</v>
      </c>
      <c r="F214" s="310">
        <f t="shared" si="94"/>
        <v>14</v>
      </c>
      <c r="G214" s="310">
        <f t="shared" si="94"/>
        <v>14</v>
      </c>
      <c r="H214" s="310">
        <f t="shared" si="94"/>
        <v>14</v>
      </c>
      <c r="I214" s="310">
        <f t="shared" si="94"/>
        <v>14</v>
      </c>
      <c r="J214" s="310">
        <f t="shared" si="94"/>
        <v>14</v>
      </c>
      <c r="K214" s="310">
        <f t="shared" si="94"/>
        <v>14</v>
      </c>
      <c r="L214" s="310">
        <f t="shared" si="94"/>
        <v>14</v>
      </c>
      <c r="M214" s="310">
        <f t="shared" si="94"/>
        <v>14</v>
      </c>
      <c r="N214" s="310">
        <f t="shared" si="94"/>
        <v>14</v>
      </c>
      <c r="O214" s="310">
        <f>SUM(O199:O207)</f>
        <v>108</v>
      </c>
      <c r="R214" s="121"/>
    </row>
    <row r="215" spans="1:18">
      <c r="A215" s="121">
        <f t="shared" si="90"/>
        <v>215</v>
      </c>
      <c r="B215" s="320" t="s">
        <v>222</v>
      </c>
      <c r="C215" s="310"/>
      <c r="D215" s="310"/>
      <c r="E215" s="310"/>
      <c r="F215" s="310"/>
      <c r="G215" s="310"/>
      <c r="H215" s="310"/>
      <c r="I215" s="310"/>
      <c r="J215" s="310"/>
      <c r="K215" s="310"/>
      <c r="L215" s="310"/>
      <c r="M215" s="310"/>
      <c r="N215" s="310"/>
      <c r="O215" s="310"/>
      <c r="R215" s="121"/>
    </row>
    <row r="216" spans="1:18">
      <c r="A216" s="121">
        <f t="shared" si="90"/>
        <v>216</v>
      </c>
      <c r="B216" s="323" t="s">
        <v>214</v>
      </c>
      <c r="C216" s="310">
        <v>0</v>
      </c>
      <c r="D216" s="310">
        <v>0</v>
      </c>
      <c r="E216" s="310">
        <v>0</v>
      </c>
      <c r="F216" s="310">
        <v>0</v>
      </c>
      <c r="G216" s="310">
        <v>0</v>
      </c>
      <c r="H216" s="310">
        <v>0</v>
      </c>
      <c r="I216" s="310">
        <v>0</v>
      </c>
      <c r="J216" s="310">
        <v>0</v>
      </c>
      <c r="K216" s="310">
        <v>0</v>
      </c>
      <c r="L216" s="310">
        <v>0</v>
      </c>
      <c r="M216" s="310">
        <v>0</v>
      </c>
      <c r="N216" s="310">
        <v>0</v>
      </c>
      <c r="O216" s="310">
        <f>SUM(C216:N216)</f>
        <v>0</v>
      </c>
      <c r="R216" s="121"/>
    </row>
    <row r="217" spans="1:18">
      <c r="A217" s="121">
        <f t="shared" si="90"/>
        <v>217</v>
      </c>
      <c r="B217" s="127" t="s">
        <v>223</v>
      </c>
      <c r="C217" s="310">
        <f>+C91</f>
        <v>1</v>
      </c>
      <c r="D217" s="310">
        <f>AVERAGE(C91:D91)</f>
        <v>1</v>
      </c>
      <c r="E217" s="310">
        <f>AVERAGE(C91:E91)</f>
        <v>1</v>
      </c>
      <c r="F217" s="310">
        <f>AVERAGE(C91:F91)</f>
        <v>1</v>
      </c>
      <c r="G217" s="310">
        <f>AVERAGE(C91:G91)</f>
        <v>1</v>
      </c>
      <c r="H217" s="310">
        <f>AVERAGE(C91:H91)</f>
        <v>1</v>
      </c>
      <c r="I217" s="310">
        <f>AVERAGE(C91:I91)</f>
        <v>1</v>
      </c>
      <c r="J217" s="310">
        <f>AVERAGE(C91:J91)</f>
        <v>1</v>
      </c>
      <c r="K217" s="310">
        <f>AVERAGE(C91:K91)</f>
        <v>1</v>
      </c>
      <c r="L217" s="310">
        <f>AVERAGE(C91:L91)</f>
        <v>1</v>
      </c>
      <c r="M217" s="310">
        <f>AVERAGE(C91:M91)</f>
        <v>1</v>
      </c>
      <c r="N217" s="310">
        <f>AVERAGE(C91:N91)</f>
        <v>1</v>
      </c>
      <c r="O217" s="310">
        <f>SUM(C217:N217)</f>
        <v>12</v>
      </c>
      <c r="R217" s="121"/>
    </row>
    <row r="218" spans="1:18">
      <c r="A218" s="121">
        <f t="shared" si="90"/>
        <v>218</v>
      </c>
      <c r="B218" s="127" t="s">
        <v>224</v>
      </c>
      <c r="C218" s="310">
        <f>+C92</f>
        <v>1</v>
      </c>
      <c r="D218" s="310">
        <f>AVERAGE(C92:D92)</f>
        <v>1</v>
      </c>
      <c r="E218" s="310">
        <f>AVERAGE(C92:E92)</f>
        <v>1</v>
      </c>
      <c r="F218" s="310">
        <f>AVERAGE(C92:F92)</f>
        <v>1</v>
      </c>
      <c r="G218" s="310">
        <f>AVERAGE(C92:G92)</f>
        <v>1</v>
      </c>
      <c r="H218" s="310">
        <f>AVERAGE(C92:H92)</f>
        <v>1</v>
      </c>
      <c r="I218" s="310">
        <f>AVERAGE(C92:I92)</f>
        <v>1</v>
      </c>
      <c r="J218" s="310">
        <f>AVERAGE(C92:J92)</f>
        <v>1</v>
      </c>
      <c r="K218" s="310">
        <f>AVERAGE(C92:K92)</f>
        <v>1</v>
      </c>
      <c r="L218" s="310">
        <f>AVERAGE(C92:L92)</f>
        <v>1</v>
      </c>
      <c r="M218" s="310">
        <f>AVERAGE(C92:M92)</f>
        <v>1</v>
      </c>
      <c r="N218" s="310">
        <f>AVERAGE(C92:N92)</f>
        <v>1</v>
      </c>
      <c r="O218" s="310">
        <f>SUM(C218:N218)</f>
        <v>12</v>
      </c>
      <c r="R218" s="121"/>
    </row>
    <row r="219" spans="1:18">
      <c r="A219" s="121">
        <f t="shared" si="90"/>
        <v>219</v>
      </c>
      <c r="B219" s="127" t="s">
        <v>252</v>
      </c>
      <c r="C219" s="310">
        <f>+C93</f>
        <v>1</v>
      </c>
      <c r="D219" s="310">
        <f>AVERAGE(C93:D93)</f>
        <v>1</v>
      </c>
      <c r="E219" s="310">
        <f>AVERAGE(C93:E93)</f>
        <v>1</v>
      </c>
      <c r="F219" s="310">
        <f>AVERAGE(C93:F93)</f>
        <v>1</v>
      </c>
      <c r="G219" s="310">
        <f>AVERAGE(C93:G93)</f>
        <v>1</v>
      </c>
      <c r="H219" s="310">
        <f>AVERAGE(C93:H93)</f>
        <v>1</v>
      </c>
      <c r="I219" s="310">
        <f>AVERAGE(C93:I93)</f>
        <v>1</v>
      </c>
      <c r="J219" s="310">
        <f>AVERAGE(C93:J93)</f>
        <v>1</v>
      </c>
      <c r="K219" s="310">
        <f>AVERAGE(C93:K93)</f>
        <v>1</v>
      </c>
      <c r="L219" s="310">
        <f>AVERAGE(C93:L93)</f>
        <v>1</v>
      </c>
      <c r="M219" s="310">
        <f>AVERAGE(C93:M93)</f>
        <v>1</v>
      </c>
      <c r="N219" s="310">
        <f>AVERAGE(C93:N93)</f>
        <v>1</v>
      </c>
      <c r="O219" s="310">
        <f>SUM(C219:N219)</f>
        <v>12</v>
      </c>
      <c r="R219" s="121"/>
    </row>
    <row r="220" spans="1:18">
      <c r="A220" s="121">
        <f t="shared" si="90"/>
        <v>220</v>
      </c>
      <c r="B220" s="322" t="s">
        <v>226</v>
      </c>
      <c r="C220" s="317">
        <f>SUM(C216:C219)</f>
        <v>3</v>
      </c>
      <c r="D220" s="317">
        <f t="shared" ref="D220:N220" si="95">SUM(D216:D219)</f>
        <v>3</v>
      </c>
      <c r="E220" s="317">
        <f t="shared" si="95"/>
        <v>3</v>
      </c>
      <c r="F220" s="317">
        <f t="shared" si="95"/>
        <v>3</v>
      </c>
      <c r="G220" s="317">
        <f t="shared" si="95"/>
        <v>3</v>
      </c>
      <c r="H220" s="317">
        <f t="shared" si="95"/>
        <v>3</v>
      </c>
      <c r="I220" s="317">
        <f t="shared" si="95"/>
        <v>3</v>
      </c>
      <c r="J220" s="317">
        <f t="shared" si="95"/>
        <v>3</v>
      </c>
      <c r="K220" s="317">
        <f t="shared" si="95"/>
        <v>3</v>
      </c>
      <c r="L220" s="317">
        <f t="shared" si="95"/>
        <v>3</v>
      </c>
      <c r="M220" s="317">
        <f t="shared" si="95"/>
        <v>3</v>
      </c>
      <c r="N220" s="317">
        <f t="shared" si="95"/>
        <v>3</v>
      </c>
      <c r="O220" s="317">
        <f>SUM(C220:N220)</f>
        <v>36</v>
      </c>
      <c r="R220" s="121"/>
    </row>
    <row r="221" spans="1:18">
      <c r="A221" s="121">
        <f t="shared" si="90"/>
        <v>221</v>
      </c>
      <c r="B221" s="320" t="s">
        <v>227</v>
      </c>
      <c r="C221" s="310"/>
      <c r="D221" s="310"/>
      <c r="E221" s="310"/>
      <c r="F221" s="310"/>
      <c r="G221" s="310"/>
      <c r="H221" s="310"/>
      <c r="I221" s="310"/>
      <c r="J221" s="310"/>
      <c r="K221" s="310"/>
      <c r="L221" s="310"/>
      <c r="M221" s="310"/>
      <c r="N221" s="310"/>
      <c r="O221" s="310"/>
      <c r="R221" s="121"/>
    </row>
    <row r="222" spans="1:18">
      <c r="A222" s="121">
        <f t="shared" si="90"/>
        <v>222</v>
      </c>
      <c r="B222" s="127"/>
      <c r="C222" s="310"/>
      <c r="D222" s="310"/>
      <c r="E222" s="310"/>
      <c r="F222" s="310"/>
      <c r="G222" s="310"/>
      <c r="H222" s="310"/>
      <c r="I222" s="310"/>
      <c r="J222" s="310"/>
      <c r="K222" s="310"/>
      <c r="L222" s="310"/>
      <c r="M222" s="310"/>
      <c r="N222" s="310"/>
      <c r="O222" s="310"/>
      <c r="R222" s="121"/>
    </row>
    <row r="223" spans="1:18">
      <c r="A223" s="121">
        <f t="shared" si="90"/>
        <v>223</v>
      </c>
      <c r="B223" s="127" t="s">
        <v>207</v>
      </c>
      <c r="C223" s="319">
        <f>+C97</f>
        <v>0</v>
      </c>
      <c r="D223" s="319">
        <f>AVERAGE(C97:D97)</f>
        <v>0</v>
      </c>
      <c r="E223" s="319">
        <f>AVERAGE(C97:E97)</f>
        <v>0</v>
      </c>
      <c r="F223" s="319">
        <f>AVERAGE(C97:F97)</f>
        <v>0</v>
      </c>
      <c r="G223" s="319">
        <f>AVERAGE(C97:G97)</f>
        <v>0</v>
      </c>
      <c r="H223" s="319">
        <f>AVERAGE(C97:H97)</f>
        <v>0</v>
      </c>
      <c r="I223" s="319">
        <f>AVERAGE(C97:I97)</f>
        <v>0</v>
      </c>
      <c r="J223" s="319">
        <f>AVERAGE(C97:J97)</f>
        <v>0</v>
      </c>
      <c r="K223" s="319">
        <f>AVERAGE(C97:K97)</f>
        <v>0</v>
      </c>
      <c r="L223" s="319">
        <f>AVERAGE(C97:L97)</f>
        <v>0</v>
      </c>
      <c r="M223" s="319">
        <f>AVERAGE(C97:M97)</f>
        <v>0</v>
      </c>
      <c r="N223" s="319">
        <f>AVERAGE(C97:N97)</f>
        <v>0</v>
      </c>
      <c r="O223" s="319">
        <f>SUM(C223:N223)</f>
        <v>0</v>
      </c>
      <c r="R223" s="121"/>
    </row>
    <row r="224" spans="1:18">
      <c r="A224" s="121">
        <f t="shared" si="90"/>
        <v>224</v>
      </c>
      <c r="B224" s="322" t="s">
        <v>228</v>
      </c>
      <c r="C224" s="310">
        <f t="shared" ref="C224:O224" si="96">SUM(C222:C223)</f>
        <v>0</v>
      </c>
      <c r="D224" s="310">
        <f t="shared" si="96"/>
        <v>0</v>
      </c>
      <c r="E224" s="310">
        <f t="shared" si="96"/>
        <v>0</v>
      </c>
      <c r="F224" s="310">
        <f t="shared" si="96"/>
        <v>0</v>
      </c>
      <c r="G224" s="310">
        <f t="shared" si="96"/>
        <v>0</v>
      </c>
      <c r="H224" s="310">
        <f t="shared" si="96"/>
        <v>0</v>
      </c>
      <c r="I224" s="310">
        <f t="shared" si="96"/>
        <v>0</v>
      </c>
      <c r="J224" s="310">
        <f t="shared" si="96"/>
        <v>0</v>
      </c>
      <c r="K224" s="310">
        <f t="shared" si="96"/>
        <v>0</v>
      </c>
      <c r="L224" s="310">
        <f t="shared" si="96"/>
        <v>0</v>
      </c>
      <c r="M224" s="310">
        <f t="shared" si="96"/>
        <v>0</v>
      </c>
      <c r="N224" s="310">
        <f t="shared" si="96"/>
        <v>0</v>
      </c>
      <c r="O224" s="310">
        <f t="shared" si="96"/>
        <v>0</v>
      </c>
      <c r="R224" s="121"/>
    </row>
    <row r="225" spans="1:18">
      <c r="A225" s="121">
        <f t="shared" si="90"/>
        <v>225</v>
      </c>
      <c r="B225" s="322"/>
      <c r="C225" s="310"/>
      <c r="D225" s="310"/>
      <c r="E225" s="310"/>
      <c r="F225" s="310"/>
      <c r="G225" s="310"/>
      <c r="H225" s="310"/>
      <c r="I225" s="310"/>
      <c r="J225" s="310"/>
      <c r="K225" s="310"/>
      <c r="L225" s="310"/>
      <c r="M225" s="310"/>
      <c r="N225" s="310"/>
      <c r="O225" s="310"/>
      <c r="R225" s="121"/>
    </row>
    <row r="226" spans="1:18">
      <c r="A226" s="121">
        <f t="shared" si="90"/>
        <v>226</v>
      </c>
      <c r="B226" s="324" t="s">
        <v>229</v>
      </c>
      <c r="C226" s="325">
        <f t="shared" ref="C226:O226" si="97">+C141+C150+C188+C197+C214+C220+C224</f>
        <v>84448</v>
      </c>
      <c r="D226" s="325">
        <f t="shared" si="97"/>
        <v>84552</v>
      </c>
      <c r="E226" s="325">
        <f t="shared" si="97"/>
        <v>84683.333333333328</v>
      </c>
      <c r="F226" s="325">
        <f t="shared" si="97"/>
        <v>84851.5</v>
      </c>
      <c r="G226" s="325">
        <f t="shared" si="97"/>
        <v>84965.2</v>
      </c>
      <c r="H226" s="325">
        <f t="shared" si="97"/>
        <v>85088</v>
      </c>
      <c r="I226" s="325">
        <f t="shared" si="97"/>
        <v>85244.999999999985</v>
      </c>
      <c r="J226" s="325">
        <f t="shared" si="97"/>
        <v>85381.5</v>
      </c>
      <c r="K226" s="325">
        <f t="shared" si="97"/>
        <v>85523.333333333328</v>
      </c>
      <c r="L226" s="325">
        <f t="shared" si="97"/>
        <v>85685.099999999991</v>
      </c>
      <c r="M226" s="325">
        <f t="shared" si="97"/>
        <v>85869.727272727265</v>
      </c>
      <c r="N226" s="325">
        <f t="shared" si="97"/>
        <v>86049.499999999985</v>
      </c>
      <c r="O226" s="326">
        <f t="shared" si="97"/>
        <v>1022282.193939394</v>
      </c>
      <c r="R226" s="121"/>
    </row>
    <row r="227" spans="1:18">
      <c r="A227" s="121">
        <f t="shared" si="90"/>
        <v>227</v>
      </c>
      <c r="B227" s="327" t="s">
        <v>230</v>
      </c>
      <c r="C227" s="310"/>
      <c r="D227" s="310"/>
      <c r="E227" s="310"/>
      <c r="F227" s="310"/>
      <c r="G227" s="310"/>
      <c r="H227" s="310"/>
      <c r="I227" s="310"/>
      <c r="J227" s="310"/>
      <c r="K227" s="310"/>
      <c r="L227" s="310"/>
      <c r="M227" s="310"/>
      <c r="N227" s="310"/>
      <c r="O227" s="310"/>
      <c r="R227" s="121"/>
    </row>
    <row r="228" spans="1:18">
      <c r="A228" s="121">
        <f t="shared" si="90"/>
        <v>228</v>
      </c>
      <c r="B228" s="127" t="s">
        <v>231</v>
      </c>
      <c r="C228" s="310">
        <f>+C102</f>
        <v>0</v>
      </c>
      <c r="D228" s="310">
        <f>IFERROR(AVERAGE($C102:D102),0)</f>
        <v>0</v>
      </c>
      <c r="E228" s="310">
        <f>IFERROR(AVERAGE($C102:E102),0)</f>
        <v>0</v>
      </c>
      <c r="F228" s="310">
        <f>IFERROR(AVERAGE($C102:F102),0)</f>
        <v>0</v>
      </c>
      <c r="G228" s="310">
        <f>IFERROR(AVERAGE($C102:G102),0)</f>
        <v>0</v>
      </c>
      <c r="H228" s="310">
        <f>IFERROR(AVERAGE($C102:H102),0)</f>
        <v>0</v>
      </c>
      <c r="I228" s="310">
        <f>IFERROR(AVERAGE($C102:I102),0)</f>
        <v>0</v>
      </c>
      <c r="J228" s="310">
        <f>IFERROR(AVERAGE($C102:J102),0)</f>
        <v>0</v>
      </c>
      <c r="K228" s="310">
        <f>IFERROR(AVERAGE($C102:K102),0)</f>
        <v>0</v>
      </c>
      <c r="L228" s="310">
        <f>IFERROR(AVERAGE($C102:L102),0)</f>
        <v>0</v>
      </c>
      <c r="M228" s="310">
        <f>IFERROR(AVERAGE($C102:M102),0)</f>
        <v>0</v>
      </c>
      <c r="N228" s="310">
        <f>IFERROR(AVERAGE($C102:N102),0)</f>
        <v>1</v>
      </c>
      <c r="O228" s="310">
        <f>SUM(C228:N228)</f>
        <v>1</v>
      </c>
      <c r="R228" s="121"/>
    </row>
    <row r="229" spans="1:18">
      <c r="A229" s="121">
        <f t="shared" si="90"/>
        <v>229</v>
      </c>
      <c r="B229" s="127" t="s">
        <v>232</v>
      </c>
      <c r="C229" s="310">
        <f>+C103</f>
        <v>1</v>
      </c>
      <c r="D229" s="310">
        <f>AVERAGE(C103:D103)</f>
        <v>1</v>
      </c>
      <c r="E229" s="310">
        <f>AVERAGE(C103:E103)</f>
        <v>1</v>
      </c>
      <c r="F229" s="310">
        <f>AVERAGE(C103:F103)</f>
        <v>1</v>
      </c>
      <c r="G229" s="310">
        <f>AVERAGE(C103:G103)</f>
        <v>1</v>
      </c>
      <c r="H229" s="310">
        <f>AVERAGE(C103:H103)</f>
        <v>1</v>
      </c>
      <c r="I229" s="310">
        <f>AVERAGE(C103:I103)</f>
        <v>1</v>
      </c>
      <c r="J229" s="310">
        <f>AVERAGE(C103:J103)</f>
        <v>1</v>
      </c>
      <c r="K229" s="310">
        <f>AVERAGE(C103:K103)</f>
        <v>1</v>
      </c>
      <c r="L229" s="310">
        <f>AVERAGE(C103:L103)</f>
        <v>1</v>
      </c>
      <c r="M229" s="310">
        <f>AVERAGE(C103:M103)</f>
        <v>1</v>
      </c>
      <c r="N229" s="310">
        <f>AVERAGE(C103:N103)</f>
        <v>1</v>
      </c>
      <c r="O229" s="310">
        <f>SUM(C229:N229)</f>
        <v>12</v>
      </c>
      <c r="R229" s="121"/>
    </row>
    <row r="230" spans="1:18">
      <c r="A230" s="121">
        <f t="shared" si="90"/>
        <v>230</v>
      </c>
      <c r="B230" s="128" t="s">
        <v>233</v>
      </c>
      <c r="C230" s="319">
        <f>+C104</f>
        <v>1</v>
      </c>
      <c r="D230" s="319">
        <f>AVERAGE(C104:D104)</f>
        <v>1</v>
      </c>
      <c r="E230" s="319">
        <f>AVERAGE(C104:E104)</f>
        <v>1</v>
      </c>
      <c r="F230" s="319">
        <f>AVERAGE(C104:F104)</f>
        <v>1</v>
      </c>
      <c r="G230" s="319">
        <f>AVERAGE(C104:G104)</f>
        <v>1</v>
      </c>
      <c r="H230" s="319">
        <f>AVERAGE(C104:H104)</f>
        <v>1</v>
      </c>
      <c r="I230" s="319">
        <f>AVERAGE(C104:I104)</f>
        <v>1</v>
      </c>
      <c r="J230" s="319">
        <f>AVERAGE(C104:J104)</f>
        <v>1</v>
      </c>
      <c r="K230" s="319">
        <f>AVERAGE(C104:K104)</f>
        <v>1</v>
      </c>
      <c r="L230" s="319">
        <f>AVERAGE(C104:L104)</f>
        <v>1</v>
      </c>
      <c r="M230" s="319">
        <f>AVERAGE(C104:M104)</f>
        <v>1</v>
      </c>
      <c r="N230" s="319">
        <f>AVERAGE(C104:N104)</f>
        <v>1</v>
      </c>
      <c r="O230" s="319">
        <f>SUM(C230:N230)</f>
        <v>12</v>
      </c>
      <c r="R230" s="121"/>
    </row>
    <row r="231" spans="1:18">
      <c r="A231" s="121">
        <f t="shared" si="90"/>
        <v>231</v>
      </c>
      <c r="B231" s="322" t="s">
        <v>234</v>
      </c>
      <c r="C231" s="310">
        <f>SUM(C229:C230)</f>
        <v>2</v>
      </c>
      <c r="D231" s="310">
        <f t="shared" ref="D231:O231" si="98">SUM(D229:D230)</f>
        <v>2</v>
      </c>
      <c r="E231" s="310">
        <f t="shared" si="98"/>
        <v>2</v>
      </c>
      <c r="F231" s="310">
        <f t="shared" si="98"/>
        <v>2</v>
      </c>
      <c r="G231" s="310">
        <f t="shared" si="98"/>
        <v>2</v>
      </c>
      <c r="H231" s="310">
        <f t="shared" si="98"/>
        <v>2</v>
      </c>
      <c r="I231" s="310">
        <f t="shared" si="98"/>
        <v>2</v>
      </c>
      <c r="J231" s="310">
        <f t="shared" si="98"/>
        <v>2</v>
      </c>
      <c r="K231" s="310">
        <f t="shared" si="98"/>
        <v>2</v>
      </c>
      <c r="L231" s="310">
        <f t="shared" si="98"/>
        <v>2</v>
      </c>
      <c r="M231" s="310">
        <f t="shared" si="98"/>
        <v>2</v>
      </c>
      <c r="N231" s="310">
        <f t="shared" si="98"/>
        <v>2</v>
      </c>
      <c r="O231" s="310">
        <f t="shared" si="98"/>
        <v>24</v>
      </c>
      <c r="R231" s="121"/>
    </row>
    <row r="232" spans="1:18">
      <c r="A232" s="121">
        <f t="shared" si="90"/>
        <v>232</v>
      </c>
      <c r="B232" s="320" t="s">
        <v>235</v>
      </c>
      <c r="C232" s="310"/>
      <c r="D232" s="310"/>
      <c r="E232" s="310"/>
      <c r="F232" s="310"/>
      <c r="G232" s="310"/>
      <c r="H232" s="310"/>
      <c r="I232" s="310"/>
      <c r="J232" s="310"/>
      <c r="K232" s="310"/>
      <c r="L232" s="310"/>
      <c r="M232" s="310"/>
      <c r="N232" s="310"/>
      <c r="O232" s="310"/>
      <c r="R232" s="121"/>
    </row>
    <row r="233" spans="1:18">
      <c r="A233" s="121">
        <f t="shared" si="90"/>
        <v>233</v>
      </c>
      <c r="B233" s="127" t="s">
        <v>237</v>
      </c>
      <c r="C233" s="310">
        <f>+C108</f>
        <v>1</v>
      </c>
      <c r="D233" s="310">
        <f>AVERAGE(C108:D108)</f>
        <v>1</v>
      </c>
      <c r="E233" s="310">
        <f>AVERAGE(C108:E108)</f>
        <v>1</v>
      </c>
      <c r="F233" s="310">
        <f>AVERAGE(C108:F108)</f>
        <v>1</v>
      </c>
      <c r="G233" s="310">
        <f>AVERAGE(C108:G108)</f>
        <v>1</v>
      </c>
      <c r="H233" s="310">
        <f>AVERAGE(C108:H108)</f>
        <v>1</v>
      </c>
      <c r="I233" s="310">
        <f>AVERAGE(C108:I108)</f>
        <v>1</v>
      </c>
      <c r="J233" s="310">
        <f>AVERAGE(C108:J108)</f>
        <v>1</v>
      </c>
      <c r="K233" s="310">
        <f>AVERAGE(C108:K108)</f>
        <v>1</v>
      </c>
      <c r="L233" s="310">
        <f>AVERAGE(C108:L108)</f>
        <v>1</v>
      </c>
      <c r="M233" s="310">
        <f>AVERAGE(C108:M108)</f>
        <v>1</v>
      </c>
      <c r="N233" s="310">
        <f>AVERAGE(C108:N108)</f>
        <v>1</v>
      </c>
      <c r="O233" s="310">
        <f>SUM(C233:N233)</f>
        <v>12</v>
      </c>
      <c r="R233" s="121"/>
    </row>
    <row r="234" spans="1:18">
      <c r="A234" s="121">
        <f t="shared" si="90"/>
        <v>234</v>
      </c>
      <c r="B234" s="128" t="s">
        <v>238</v>
      </c>
      <c r="C234" s="319">
        <f>+C109</f>
        <v>1</v>
      </c>
      <c r="D234" s="319">
        <f>AVERAGE(C109:D109)</f>
        <v>1</v>
      </c>
      <c r="E234" s="319">
        <f>AVERAGE(C109:E109)</f>
        <v>1</v>
      </c>
      <c r="F234" s="319">
        <f>AVERAGE(C109:F109)</f>
        <v>1</v>
      </c>
      <c r="G234" s="319">
        <f>AVERAGE(C109:G109)</f>
        <v>1</v>
      </c>
      <c r="H234" s="319">
        <f>AVERAGE(C109:H109)</f>
        <v>1</v>
      </c>
      <c r="I234" s="319">
        <f>AVERAGE(C109:I109)</f>
        <v>1</v>
      </c>
      <c r="J234" s="319">
        <f>AVERAGE(C109:J109)</f>
        <v>1</v>
      </c>
      <c r="K234" s="319">
        <f>AVERAGE(C109:K109)</f>
        <v>1</v>
      </c>
      <c r="L234" s="319">
        <f>AVERAGE(C109:L109)</f>
        <v>1</v>
      </c>
      <c r="M234" s="319">
        <f>AVERAGE(C109:M109)</f>
        <v>1</v>
      </c>
      <c r="N234" s="319">
        <f>AVERAGE(C109:N109)</f>
        <v>1</v>
      </c>
      <c r="O234" s="319">
        <f>SUM(C234:N234)</f>
        <v>12</v>
      </c>
    </row>
    <row r="235" spans="1:18">
      <c r="A235" s="121">
        <f t="shared" si="90"/>
        <v>235</v>
      </c>
      <c r="B235" s="322" t="s">
        <v>239</v>
      </c>
      <c r="C235" s="310">
        <f t="shared" ref="C235:N235" si="99">SUM(C233:C234)</f>
        <v>2</v>
      </c>
      <c r="D235" s="310">
        <f t="shared" si="99"/>
        <v>2</v>
      </c>
      <c r="E235" s="310">
        <f t="shared" si="99"/>
        <v>2</v>
      </c>
      <c r="F235" s="310">
        <f t="shared" si="99"/>
        <v>2</v>
      </c>
      <c r="G235" s="310">
        <f t="shared" si="99"/>
        <v>2</v>
      </c>
      <c r="H235" s="310">
        <f t="shared" si="99"/>
        <v>2</v>
      </c>
      <c r="I235" s="310">
        <f t="shared" si="99"/>
        <v>2</v>
      </c>
      <c r="J235" s="310">
        <f t="shared" si="99"/>
        <v>2</v>
      </c>
      <c r="K235" s="310">
        <f t="shared" si="99"/>
        <v>2</v>
      </c>
      <c r="L235" s="310">
        <f t="shared" si="99"/>
        <v>2</v>
      </c>
      <c r="M235" s="310">
        <f t="shared" si="99"/>
        <v>2</v>
      </c>
      <c r="N235" s="310">
        <f t="shared" si="99"/>
        <v>2</v>
      </c>
      <c r="O235" s="310">
        <f>SUM(C235:N235)</f>
        <v>24</v>
      </c>
    </row>
    <row r="236" spans="1:18">
      <c r="A236" s="121">
        <f t="shared" si="90"/>
        <v>236</v>
      </c>
      <c r="B236" s="322"/>
      <c r="C236" s="310"/>
      <c r="D236" s="310"/>
      <c r="E236" s="310"/>
      <c r="F236" s="310"/>
      <c r="G236" s="310"/>
      <c r="H236" s="310"/>
      <c r="I236" s="310"/>
      <c r="J236" s="310"/>
      <c r="K236" s="310"/>
      <c r="L236" s="310"/>
      <c r="M236" s="310"/>
      <c r="N236" s="310"/>
      <c r="O236" s="310"/>
    </row>
    <row r="237" spans="1:18">
      <c r="A237" s="121">
        <f t="shared" si="90"/>
        <v>237</v>
      </c>
      <c r="B237" s="324" t="s">
        <v>240</v>
      </c>
      <c r="C237" s="325">
        <f t="shared" ref="C237:O237" si="100">+C231+C235</f>
        <v>4</v>
      </c>
      <c r="D237" s="325">
        <f t="shared" si="100"/>
        <v>4</v>
      </c>
      <c r="E237" s="325">
        <f t="shared" si="100"/>
        <v>4</v>
      </c>
      <c r="F237" s="325">
        <f t="shared" si="100"/>
        <v>4</v>
      </c>
      <c r="G237" s="325">
        <f t="shared" si="100"/>
        <v>4</v>
      </c>
      <c r="H237" s="325">
        <f t="shared" si="100"/>
        <v>4</v>
      </c>
      <c r="I237" s="325">
        <f t="shared" si="100"/>
        <v>4</v>
      </c>
      <c r="J237" s="325">
        <f t="shared" si="100"/>
        <v>4</v>
      </c>
      <c r="K237" s="325">
        <f t="shared" si="100"/>
        <v>4</v>
      </c>
      <c r="L237" s="325">
        <f t="shared" si="100"/>
        <v>4</v>
      </c>
      <c r="M237" s="325">
        <f t="shared" si="100"/>
        <v>4</v>
      </c>
      <c r="N237" s="325">
        <f t="shared" si="100"/>
        <v>4</v>
      </c>
      <c r="O237" s="326">
        <f t="shared" si="100"/>
        <v>48</v>
      </c>
    </row>
    <row r="238" spans="1:18">
      <c r="A238" s="121">
        <f t="shared" si="90"/>
        <v>238</v>
      </c>
      <c r="B238" s="322"/>
      <c r="C238" s="310"/>
      <c r="D238" s="310"/>
      <c r="E238" s="310"/>
      <c r="F238" s="310"/>
      <c r="G238" s="310"/>
      <c r="H238" s="310"/>
      <c r="I238" s="310"/>
      <c r="J238" s="310"/>
      <c r="K238" s="310"/>
      <c r="L238" s="310"/>
      <c r="M238" s="310"/>
      <c r="N238" s="310"/>
      <c r="O238" s="310"/>
    </row>
    <row r="239" spans="1:18">
      <c r="A239" s="121">
        <f t="shared" si="90"/>
        <v>239</v>
      </c>
      <c r="B239" s="324" t="s">
        <v>241</v>
      </c>
      <c r="C239" s="325">
        <f t="shared" ref="C239:O239" si="101">+C226+C237</f>
        <v>84452</v>
      </c>
      <c r="D239" s="325">
        <f t="shared" si="101"/>
        <v>84556</v>
      </c>
      <c r="E239" s="325">
        <f t="shared" si="101"/>
        <v>84687.333333333328</v>
      </c>
      <c r="F239" s="325">
        <f t="shared" si="101"/>
        <v>84855.5</v>
      </c>
      <c r="G239" s="325">
        <f t="shared" si="101"/>
        <v>84969.2</v>
      </c>
      <c r="H239" s="325">
        <f t="shared" si="101"/>
        <v>85092</v>
      </c>
      <c r="I239" s="325">
        <f t="shared" si="101"/>
        <v>85248.999999999985</v>
      </c>
      <c r="J239" s="325">
        <f t="shared" si="101"/>
        <v>85385.5</v>
      </c>
      <c r="K239" s="325">
        <f t="shared" si="101"/>
        <v>85527.333333333328</v>
      </c>
      <c r="L239" s="325">
        <f t="shared" si="101"/>
        <v>85689.099999999991</v>
      </c>
      <c r="M239" s="325">
        <f t="shared" si="101"/>
        <v>85873.727272727265</v>
      </c>
      <c r="N239" s="325">
        <f t="shared" si="101"/>
        <v>86053.499999999985</v>
      </c>
      <c r="O239" s="326">
        <f t="shared" si="101"/>
        <v>1022330.193939394</v>
      </c>
    </row>
    <row r="240" spans="1:18">
      <c r="A240" s="121">
        <f t="shared" si="90"/>
        <v>240</v>
      </c>
    </row>
    <row r="241" spans="1:15">
      <c r="A241" s="121">
        <f t="shared" si="90"/>
        <v>241</v>
      </c>
      <c r="B241" s="356" t="s">
        <v>254</v>
      </c>
      <c r="C241" s="329"/>
      <c r="D241" s="329"/>
      <c r="E241" s="329"/>
      <c r="F241" s="329"/>
      <c r="G241" s="329"/>
      <c r="H241" s="329"/>
      <c r="I241" s="329"/>
      <c r="J241" s="329"/>
      <c r="K241" s="329"/>
      <c r="L241" s="329"/>
      <c r="M241" s="329"/>
      <c r="N241" s="329"/>
      <c r="O241" s="329"/>
    </row>
    <row r="242" spans="1:15">
      <c r="A242" s="121">
        <f t="shared" si="90"/>
        <v>242</v>
      </c>
      <c r="B242" s="357" t="s">
        <v>173</v>
      </c>
      <c r="C242" s="310">
        <f t="shared" ref="C242:C247" si="102">+C115</f>
        <v>182</v>
      </c>
      <c r="D242" s="310">
        <f>AVERAGE($C115:D115)</f>
        <v>182.5</v>
      </c>
      <c r="E242" s="310">
        <f>AVERAGE($C115:E115)</f>
        <v>182</v>
      </c>
      <c r="F242" s="310">
        <f>AVERAGE($C115:F115)</f>
        <v>181.25</v>
      </c>
      <c r="G242" s="310">
        <f>AVERAGE($C115:G115)</f>
        <v>181</v>
      </c>
      <c r="H242" s="310">
        <f>AVERAGE($C115:H115)</f>
        <v>181</v>
      </c>
      <c r="I242" s="310">
        <f>AVERAGE($C115:I115)</f>
        <v>181</v>
      </c>
      <c r="J242" s="310">
        <f>AVERAGE($C115:J115)</f>
        <v>181.25</v>
      </c>
      <c r="K242" s="310">
        <f>AVERAGE($C115:K115)</f>
        <v>181.33333333333334</v>
      </c>
      <c r="L242" s="310">
        <f>AVERAGE($C115:L115)</f>
        <v>181.4</v>
      </c>
      <c r="M242" s="310">
        <f>AVERAGE($C115:M115)</f>
        <v>181.36363636363637</v>
      </c>
      <c r="N242" s="310">
        <f>AVERAGE($C115:N115)</f>
        <v>181.33333333333334</v>
      </c>
      <c r="O242" s="310">
        <f t="shared" ref="O242:O247" si="103">AVERAGE(C242:N242)</f>
        <v>181.45252525252525</v>
      </c>
    </row>
    <row r="243" spans="1:15">
      <c r="A243" s="121">
        <f t="shared" si="90"/>
        <v>243</v>
      </c>
      <c r="B243" s="357" t="s">
        <v>176</v>
      </c>
      <c r="C243" s="310">
        <f t="shared" si="102"/>
        <v>958</v>
      </c>
      <c r="D243" s="310">
        <f>AVERAGE($C116:D116)</f>
        <v>961</v>
      </c>
      <c r="E243" s="310">
        <f>AVERAGE($C116:E116)</f>
        <v>962.33333333333337</v>
      </c>
      <c r="F243" s="310">
        <f>AVERAGE($C116:F116)</f>
        <v>963</v>
      </c>
      <c r="G243" s="310">
        <f>AVERAGE($C116:G116)</f>
        <v>964.8</v>
      </c>
      <c r="H243" s="310">
        <f>AVERAGE($C116:H116)</f>
        <v>965.83333333333337</v>
      </c>
      <c r="I243" s="310">
        <f>AVERAGE($C116:I116)</f>
        <v>966.28571428571433</v>
      </c>
      <c r="J243" s="310">
        <f>AVERAGE($C116:J116)</f>
        <v>967</v>
      </c>
      <c r="K243" s="310">
        <f>AVERAGE($C116:K116)</f>
        <v>967.77777777777783</v>
      </c>
      <c r="L243" s="310">
        <f>AVERAGE($C116:L116)</f>
        <v>969.4</v>
      </c>
      <c r="M243" s="310">
        <f>AVERAGE($C116:M116)</f>
        <v>970.72727272727275</v>
      </c>
      <c r="N243" s="310">
        <f>AVERAGE($C116:N116)</f>
        <v>971.75</v>
      </c>
      <c r="O243" s="310">
        <f t="shared" si="103"/>
        <v>965.6589526214525</v>
      </c>
    </row>
    <row r="244" spans="1:15">
      <c r="A244" s="121">
        <f t="shared" si="90"/>
        <v>244</v>
      </c>
      <c r="B244" s="357" t="s">
        <v>180</v>
      </c>
      <c r="C244" s="310">
        <f t="shared" si="102"/>
        <v>1192</v>
      </c>
      <c r="D244" s="310">
        <f>AVERAGE($C117:D117)</f>
        <v>1186</v>
      </c>
      <c r="E244" s="310">
        <f>AVERAGE($C117:E117)</f>
        <v>1185</v>
      </c>
      <c r="F244" s="310">
        <f>AVERAGE($C117:F117)</f>
        <v>1185.25</v>
      </c>
      <c r="G244" s="310">
        <f>AVERAGE($C117:G117)</f>
        <v>1189</v>
      </c>
      <c r="H244" s="310">
        <f>AVERAGE($C117:H117)</f>
        <v>1188.8333333333333</v>
      </c>
      <c r="I244" s="310">
        <f>AVERAGE($C117:I117)</f>
        <v>1188.5714285714287</v>
      </c>
      <c r="J244" s="310">
        <f>AVERAGE($C117:J117)</f>
        <v>1188</v>
      </c>
      <c r="K244" s="310">
        <f>AVERAGE($C117:K117)</f>
        <v>1187.5555555555557</v>
      </c>
      <c r="L244" s="310">
        <f>AVERAGE($C117:L117)</f>
        <v>1187.9000000000001</v>
      </c>
      <c r="M244" s="310">
        <f>AVERAGE($C117:M117)</f>
        <v>1187.4545454545455</v>
      </c>
      <c r="N244" s="310">
        <f>AVERAGE($C117:N117)</f>
        <v>1187</v>
      </c>
      <c r="O244" s="310">
        <f t="shared" si="103"/>
        <v>1187.7137385762387</v>
      </c>
    </row>
    <row r="245" spans="1:15">
      <c r="A245" s="121">
        <f t="shared" si="90"/>
        <v>245</v>
      </c>
      <c r="B245" s="357" t="s">
        <v>181</v>
      </c>
      <c r="C245" s="310">
        <f t="shared" si="102"/>
        <v>53</v>
      </c>
      <c r="D245" s="310">
        <f>AVERAGE($C118:D118)</f>
        <v>50.5</v>
      </c>
      <c r="E245" s="310">
        <f>AVERAGE($C118:E118)</f>
        <v>52.666666666666664</v>
      </c>
      <c r="F245" s="310">
        <f>AVERAGE($C118:F118)</f>
        <v>53</v>
      </c>
      <c r="G245" s="310">
        <f>AVERAGE($C118:G118)</f>
        <v>52.4</v>
      </c>
      <c r="H245" s="310">
        <f>AVERAGE($C118:H118)</f>
        <v>52</v>
      </c>
      <c r="I245" s="310">
        <f>AVERAGE($C118:I118)</f>
        <v>51</v>
      </c>
      <c r="J245" s="310">
        <f>AVERAGE($C118:J118)</f>
        <v>50</v>
      </c>
      <c r="K245" s="310">
        <f>AVERAGE($C118:K118)</f>
        <v>49.888888888888886</v>
      </c>
      <c r="L245" s="310">
        <f>AVERAGE($C118:L118)</f>
        <v>49.2</v>
      </c>
      <c r="M245" s="310">
        <f>AVERAGE($C118:M118)</f>
        <v>48.727272727272727</v>
      </c>
      <c r="N245" s="310">
        <f>AVERAGE($C118:N118)</f>
        <v>48.083333333333336</v>
      </c>
      <c r="O245" s="310">
        <f t="shared" si="103"/>
        <v>50.872180134680143</v>
      </c>
    </row>
    <row r="246" spans="1:15">
      <c r="A246" s="121">
        <f t="shared" si="90"/>
        <v>246</v>
      </c>
      <c r="B246" s="357" t="s">
        <v>184</v>
      </c>
      <c r="C246" s="310">
        <f t="shared" si="102"/>
        <v>20</v>
      </c>
      <c r="D246" s="310">
        <f>AVERAGE($C119:D119)</f>
        <v>19</v>
      </c>
      <c r="E246" s="310">
        <f>AVERAGE($C119:E119)</f>
        <v>18.666666666666668</v>
      </c>
      <c r="F246" s="310">
        <f>AVERAGE($C119:F119)</f>
        <v>18.5</v>
      </c>
      <c r="G246" s="310">
        <f>AVERAGE($C119:G119)</f>
        <v>18.399999999999999</v>
      </c>
      <c r="H246" s="310">
        <f>AVERAGE($C119:H119)</f>
        <v>18.333333333333332</v>
      </c>
      <c r="I246" s="310">
        <f>AVERAGE($C119:I119)</f>
        <v>18.285714285714285</v>
      </c>
      <c r="J246" s="310">
        <f>AVERAGE($C119:J119)</f>
        <v>18.25</v>
      </c>
      <c r="K246" s="310">
        <f>AVERAGE($C119:K119)</f>
        <v>18.222222222222221</v>
      </c>
      <c r="L246" s="310">
        <f>AVERAGE($C119:L119)</f>
        <v>18.2</v>
      </c>
      <c r="M246" s="310">
        <f>AVERAGE($C119:M119)</f>
        <v>18.181818181818183</v>
      </c>
      <c r="N246" s="310">
        <f>AVERAGE($C119:N119)</f>
        <v>18.166666666666668</v>
      </c>
      <c r="O246" s="310">
        <f t="shared" si="103"/>
        <v>18.517201779701779</v>
      </c>
    </row>
    <row r="247" spans="1:15">
      <c r="A247" s="121">
        <f t="shared" si="90"/>
        <v>247</v>
      </c>
      <c r="B247" s="357" t="s">
        <v>255</v>
      </c>
      <c r="C247" s="310">
        <f t="shared" si="102"/>
        <v>7</v>
      </c>
      <c r="D247" s="310">
        <f>AVERAGE($C120:D120)</f>
        <v>7</v>
      </c>
      <c r="E247" s="310">
        <f>AVERAGE($C120:E120)</f>
        <v>7</v>
      </c>
      <c r="F247" s="310">
        <f>AVERAGE($C120:F120)</f>
        <v>7</v>
      </c>
      <c r="G247" s="310">
        <f>AVERAGE($C120:G120)</f>
        <v>7</v>
      </c>
      <c r="H247" s="310">
        <f>AVERAGE($C120:H120)</f>
        <v>7</v>
      </c>
      <c r="I247" s="310">
        <f>AVERAGE($C120:I120)</f>
        <v>7</v>
      </c>
      <c r="J247" s="310">
        <f>AVERAGE($C120:J120)</f>
        <v>7</v>
      </c>
      <c r="K247" s="310">
        <f>AVERAGE($C120:K120)</f>
        <v>7</v>
      </c>
      <c r="L247" s="310">
        <f>AVERAGE($C120:L120)</f>
        <v>7</v>
      </c>
      <c r="M247" s="310">
        <f>AVERAGE($C120:M120)</f>
        <v>7</v>
      </c>
      <c r="N247" s="310">
        <f>AVERAGE($C120:N120)</f>
        <v>7.083333333333333</v>
      </c>
      <c r="O247" s="310">
        <f t="shared" si="103"/>
        <v>7.0069444444444438</v>
      </c>
    </row>
    <row r="248" spans="1:15">
      <c r="A248" s="121">
        <f t="shared" si="90"/>
        <v>248</v>
      </c>
      <c r="B248" s="358" t="s">
        <v>256</v>
      </c>
      <c r="C248" s="329">
        <f t="shared" ref="C248:O248" si="104">+SUM(C242:C247)</f>
        <v>2412</v>
      </c>
      <c r="D248" s="329">
        <f t="shared" si="104"/>
        <v>2406</v>
      </c>
      <c r="E248" s="329">
        <f t="shared" si="104"/>
        <v>2407.6666666666665</v>
      </c>
      <c r="F248" s="329">
        <f t="shared" si="104"/>
        <v>2408</v>
      </c>
      <c r="G248" s="329">
        <f t="shared" si="104"/>
        <v>2412.6000000000004</v>
      </c>
      <c r="H248" s="329">
        <f t="shared" si="104"/>
        <v>2413.0000000000005</v>
      </c>
      <c r="I248" s="329">
        <f t="shared" si="104"/>
        <v>2412.1428571428573</v>
      </c>
      <c r="J248" s="329">
        <f t="shared" si="104"/>
        <v>2411.5</v>
      </c>
      <c r="K248" s="329">
        <f t="shared" si="104"/>
        <v>2411.7777777777778</v>
      </c>
      <c r="L248" s="329">
        <f t="shared" si="104"/>
        <v>2413.0999999999995</v>
      </c>
      <c r="M248" s="329">
        <f t="shared" si="104"/>
        <v>2413.454545454545</v>
      </c>
      <c r="N248" s="329">
        <f t="shared" si="104"/>
        <v>2413.4166666666665</v>
      </c>
      <c r="O248" s="329">
        <f t="shared" si="104"/>
        <v>2411.2215428090426</v>
      </c>
    </row>
    <row r="249" spans="1:15">
      <c r="A249" s="121">
        <f t="shared" si="90"/>
        <v>249</v>
      </c>
      <c r="B249" s="358"/>
      <c r="C249" s="329"/>
      <c r="D249" s="329"/>
      <c r="E249" s="329"/>
      <c r="F249" s="329"/>
      <c r="G249" s="329"/>
      <c r="H249" s="329"/>
      <c r="I249" s="329"/>
      <c r="J249" s="329"/>
      <c r="K249" s="329"/>
      <c r="L249" s="329"/>
      <c r="M249" s="329"/>
      <c r="N249" s="329"/>
      <c r="O249" s="329"/>
    </row>
    <row r="250" spans="1:15">
      <c r="A250" s="121">
        <f t="shared" si="90"/>
        <v>250</v>
      </c>
      <c r="B250" s="356" t="s">
        <v>257</v>
      </c>
      <c r="C250" s="329"/>
      <c r="D250" s="329"/>
      <c r="E250" s="329"/>
      <c r="F250" s="329"/>
      <c r="G250" s="329"/>
      <c r="H250" s="329"/>
      <c r="I250" s="329"/>
      <c r="J250" s="329"/>
      <c r="K250" s="329"/>
      <c r="L250" s="329"/>
      <c r="M250" s="329"/>
      <c r="N250" s="329"/>
      <c r="O250" s="329"/>
    </row>
    <row r="251" spans="1:15">
      <c r="A251" s="121">
        <f t="shared" si="90"/>
        <v>251</v>
      </c>
      <c r="B251" s="357" t="s">
        <v>181</v>
      </c>
      <c r="C251" s="310">
        <f>+C124</f>
        <v>40</v>
      </c>
      <c r="D251" s="310">
        <f>AVERAGE($C124:D124)</f>
        <v>39.5</v>
      </c>
      <c r="E251" s="310">
        <f>AVERAGE($C124:E124)</f>
        <v>39.333333333333336</v>
      </c>
      <c r="F251" s="310">
        <f>AVERAGE($C124:F124)</f>
        <v>39.25</v>
      </c>
      <c r="G251" s="310">
        <f>AVERAGE($C124:G124)</f>
        <v>39.200000000000003</v>
      </c>
      <c r="H251" s="310">
        <f>AVERAGE($C124:H124)</f>
        <v>39.166666666666664</v>
      </c>
      <c r="I251" s="310">
        <f>AVERAGE($C124:I124)</f>
        <v>39.142857142857146</v>
      </c>
      <c r="J251" s="310">
        <f>AVERAGE($C124:J124)</f>
        <v>39.125</v>
      </c>
      <c r="K251" s="310">
        <f>AVERAGE($C124:K124)</f>
        <v>39.111111111111114</v>
      </c>
      <c r="L251" s="310">
        <f>AVERAGE($C124:L124)</f>
        <v>39.1</v>
      </c>
      <c r="M251" s="310">
        <f>AVERAGE($C124:M124)</f>
        <v>39.090909090909093</v>
      </c>
      <c r="N251" s="310">
        <f>AVERAGE($C124:N124)</f>
        <v>39.083333333333336</v>
      </c>
      <c r="O251" s="310">
        <f>AVERAGE(C251:N251)</f>
        <v>39.258600889850889</v>
      </c>
    </row>
    <row r="252" spans="1:15">
      <c r="A252" s="121">
        <f t="shared" si="90"/>
        <v>252</v>
      </c>
      <c r="B252" s="357" t="s">
        <v>184</v>
      </c>
      <c r="C252" s="310">
        <f>+C125</f>
        <v>19</v>
      </c>
      <c r="D252" s="310">
        <f>AVERAGE($C125:D125)</f>
        <v>18</v>
      </c>
      <c r="E252" s="310">
        <f>AVERAGE($C125:E125)</f>
        <v>17.666666666666668</v>
      </c>
      <c r="F252" s="310">
        <f>AVERAGE($C125:F125)</f>
        <v>17.5</v>
      </c>
      <c r="G252" s="310">
        <f>AVERAGE($C125:G125)</f>
        <v>17.399999999999999</v>
      </c>
      <c r="H252" s="310">
        <f>AVERAGE($C125:H125)</f>
        <v>17.333333333333332</v>
      </c>
      <c r="I252" s="310">
        <f>AVERAGE($C125:I125)</f>
        <v>17.285714285714285</v>
      </c>
      <c r="J252" s="310">
        <f>AVERAGE($C125:J125)</f>
        <v>17.25</v>
      </c>
      <c r="K252" s="310">
        <f>AVERAGE($C125:K125)</f>
        <v>17.222222222222221</v>
      </c>
      <c r="L252" s="310">
        <f>AVERAGE($C125:L125)</f>
        <v>17.2</v>
      </c>
      <c r="M252" s="310">
        <f>AVERAGE($C125:M125)</f>
        <v>17.181818181818183</v>
      </c>
      <c r="N252" s="310">
        <f>AVERAGE($C125:N125)</f>
        <v>17.166666666666668</v>
      </c>
      <c r="O252" s="310">
        <f>AVERAGE(C252:N252)</f>
        <v>17.517201779701779</v>
      </c>
    </row>
    <row r="253" spans="1:15">
      <c r="A253" s="121">
        <f t="shared" si="90"/>
        <v>253</v>
      </c>
      <c r="B253" s="358" t="s">
        <v>258</v>
      </c>
      <c r="C253" s="310">
        <f t="shared" ref="C253:O253" si="105">+SUM(C251:C252)</f>
        <v>59</v>
      </c>
      <c r="D253" s="310">
        <f t="shared" si="105"/>
        <v>57.5</v>
      </c>
      <c r="E253" s="310">
        <f t="shared" si="105"/>
        <v>57</v>
      </c>
      <c r="F253" s="310">
        <f t="shared" si="105"/>
        <v>56.75</v>
      </c>
      <c r="G253" s="310">
        <f t="shared" si="105"/>
        <v>56.6</v>
      </c>
      <c r="H253" s="310">
        <f t="shared" si="105"/>
        <v>56.5</v>
      </c>
      <c r="I253" s="310">
        <f t="shared" si="105"/>
        <v>56.428571428571431</v>
      </c>
      <c r="J253" s="310">
        <f t="shared" si="105"/>
        <v>56.375</v>
      </c>
      <c r="K253" s="310">
        <f t="shared" si="105"/>
        <v>56.333333333333336</v>
      </c>
      <c r="L253" s="310">
        <f t="shared" si="105"/>
        <v>56.3</v>
      </c>
      <c r="M253" s="310">
        <f t="shared" si="105"/>
        <v>56.27272727272728</v>
      </c>
      <c r="N253" s="310">
        <f t="shared" si="105"/>
        <v>56.25</v>
      </c>
      <c r="O253" s="310">
        <f t="shared" si="105"/>
        <v>56.775802669552668</v>
      </c>
    </row>
    <row r="254" spans="1:15">
      <c r="A254" s="121">
        <f t="shared" si="90"/>
        <v>254</v>
      </c>
      <c r="B254" s="358"/>
      <c r="C254" s="310"/>
      <c r="D254" s="310"/>
      <c r="E254" s="310"/>
      <c r="F254" s="310"/>
      <c r="G254" s="310"/>
      <c r="H254" s="310"/>
      <c r="I254" s="310"/>
      <c r="J254" s="310"/>
      <c r="K254" s="310"/>
      <c r="L254" s="310"/>
      <c r="M254" s="310"/>
      <c r="N254" s="310"/>
      <c r="O254" s="310"/>
    </row>
    <row r="257" spans="2:22"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333"/>
      <c r="S257" s="126"/>
    </row>
    <row r="258" spans="2:22"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333"/>
      <c r="S258" s="126"/>
    </row>
    <row r="259" spans="2:22">
      <c r="B259" s="126"/>
      <c r="C259" s="359"/>
      <c r="D259" s="359"/>
      <c r="E259" s="359"/>
      <c r="F259" s="359"/>
      <c r="G259" s="359"/>
      <c r="H259" s="359"/>
      <c r="I259" s="359"/>
      <c r="J259" s="359"/>
      <c r="K259" s="359"/>
      <c r="L259" s="359"/>
      <c r="M259" s="126"/>
      <c r="N259" s="126"/>
      <c r="O259" s="126"/>
      <c r="P259" s="126"/>
      <c r="Q259" s="126"/>
      <c r="R259" s="333"/>
      <c r="S259" s="126"/>
    </row>
    <row r="260" spans="2:22">
      <c r="B260" s="126"/>
      <c r="C260" s="333"/>
      <c r="D260" s="333"/>
      <c r="E260" s="333"/>
      <c r="F260" s="333"/>
      <c r="G260" s="333"/>
      <c r="H260" s="333"/>
      <c r="I260" s="333"/>
      <c r="J260" s="333"/>
      <c r="K260" s="333"/>
      <c r="L260" s="333"/>
      <c r="M260" s="333"/>
      <c r="N260" s="333"/>
      <c r="O260" s="126"/>
      <c r="P260" s="126"/>
      <c r="Q260" s="126"/>
      <c r="R260" s="333"/>
      <c r="S260" s="126"/>
    </row>
    <row r="261" spans="2:22">
      <c r="C261" s="257"/>
      <c r="D261" s="257"/>
      <c r="E261" s="257"/>
      <c r="F261" s="257"/>
      <c r="G261" s="257"/>
      <c r="H261" s="257"/>
      <c r="I261" s="257"/>
      <c r="J261" s="257"/>
      <c r="K261" s="257"/>
      <c r="L261" s="257"/>
      <c r="M261" s="257"/>
      <c r="N261" s="257"/>
    </row>
    <row r="263" spans="2:22">
      <c r="B263" s="298" t="s">
        <v>706</v>
      </c>
      <c r="C263" s="298">
        <v>17</v>
      </c>
      <c r="D263" s="298">
        <v>17</v>
      </c>
      <c r="E263" s="298">
        <v>17</v>
      </c>
      <c r="F263" s="298">
        <v>17</v>
      </c>
      <c r="G263" s="298">
        <v>17</v>
      </c>
      <c r="H263" s="298">
        <v>17</v>
      </c>
      <c r="I263" s="298">
        <v>17</v>
      </c>
      <c r="J263" s="298">
        <v>17</v>
      </c>
      <c r="K263" s="298">
        <v>17</v>
      </c>
      <c r="L263" s="298">
        <v>18</v>
      </c>
      <c r="M263" s="298">
        <v>18</v>
      </c>
      <c r="N263" s="298">
        <v>18</v>
      </c>
      <c r="O263" s="298">
        <f t="shared" ref="O263:O268" si="106">SUM(C263:N263)</f>
        <v>207</v>
      </c>
      <c r="P263" s="298"/>
      <c r="Q263" s="298" t="s">
        <v>14</v>
      </c>
      <c r="R263" s="334">
        <f t="shared" ref="R263:R268" si="107">O263</f>
        <v>207</v>
      </c>
      <c r="S263" s="298" t="s">
        <v>706</v>
      </c>
      <c r="T263" s="298"/>
      <c r="U263" s="298" t="s">
        <v>1419</v>
      </c>
      <c r="V263" s="298" t="s">
        <v>1245</v>
      </c>
    </row>
    <row r="264" spans="2:22">
      <c r="B264" s="298" t="s">
        <v>709</v>
      </c>
      <c r="C264" s="298">
        <v>4</v>
      </c>
      <c r="D264" s="298">
        <v>4</v>
      </c>
      <c r="E264" s="298">
        <v>4</v>
      </c>
      <c r="F264" s="298">
        <v>4</v>
      </c>
      <c r="G264" s="298">
        <v>4</v>
      </c>
      <c r="H264" s="298">
        <v>4</v>
      </c>
      <c r="I264" s="298">
        <v>4</v>
      </c>
      <c r="J264" s="298">
        <v>4</v>
      </c>
      <c r="K264" s="298">
        <v>4</v>
      </c>
      <c r="L264" s="298">
        <v>4</v>
      </c>
      <c r="M264" s="298">
        <v>4</v>
      </c>
      <c r="N264" s="298">
        <v>4</v>
      </c>
      <c r="O264" s="298">
        <f t="shared" si="106"/>
        <v>48</v>
      </c>
      <c r="P264" s="298"/>
      <c r="Q264" s="298" t="s">
        <v>14</v>
      </c>
      <c r="R264" s="334">
        <f t="shared" si="107"/>
        <v>48</v>
      </c>
      <c r="S264" s="298" t="s">
        <v>709</v>
      </c>
      <c r="T264" s="298"/>
      <c r="U264" s="298" t="s">
        <v>1419</v>
      </c>
      <c r="V264" s="298" t="s">
        <v>1245</v>
      </c>
    </row>
    <row r="265" spans="2:22">
      <c r="B265" s="298" t="s">
        <v>711</v>
      </c>
      <c r="C265" s="298">
        <v>2</v>
      </c>
      <c r="D265" s="298">
        <v>2</v>
      </c>
      <c r="E265" s="298">
        <v>2</v>
      </c>
      <c r="F265" s="298">
        <v>2</v>
      </c>
      <c r="G265" s="298">
        <v>2</v>
      </c>
      <c r="H265" s="298">
        <v>2</v>
      </c>
      <c r="I265" s="298">
        <v>2</v>
      </c>
      <c r="J265" s="298">
        <v>2</v>
      </c>
      <c r="K265" s="298">
        <v>2</v>
      </c>
      <c r="L265" s="298">
        <v>2</v>
      </c>
      <c r="M265" s="298">
        <v>2</v>
      </c>
      <c r="N265" s="298">
        <v>2</v>
      </c>
      <c r="O265" s="298">
        <f t="shared" si="106"/>
        <v>24</v>
      </c>
      <c r="P265" s="298"/>
      <c r="Q265" s="298" t="s">
        <v>14</v>
      </c>
      <c r="R265" s="334">
        <f t="shared" si="107"/>
        <v>24</v>
      </c>
      <c r="S265" s="298" t="s">
        <v>713</v>
      </c>
      <c r="T265" s="298"/>
      <c r="U265" s="298" t="s">
        <v>1419</v>
      </c>
      <c r="V265" s="298" t="s">
        <v>1245</v>
      </c>
    </row>
    <row r="266" spans="2:22">
      <c r="B266" s="298" t="s">
        <v>713</v>
      </c>
      <c r="C266" s="298">
        <v>2</v>
      </c>
      <c r="D266" s="298">
        <v>2</v>
      </c>
      <c r="E266" s="298">
        <v>2</v>
      </c>
      <c r="F266" s="298">
        <v>2</v>
      </c>
      <c r="G266" s="298">
        <v>2</v>
      </c>
      <c r="H266" s="298">
        <v>2</v>
      </c>
      <c r="I266" s="298">
        <v>2</v>
      </c>
      <c r="J266" s="298">
        <v>2</v>
      </c>
      <c r="K266" s="298">
        <v>2</v>
      </c>
      <c r="L266" s="298">
        <v>2</v>
      </c>
      <c r="M266" s="298">
        <v>2</v>
      </c>
      <c r="N266" s="298">
        <v>2</v>
      </c>
      <c r="O266" s="298">
        <f t="shared" si="106"/>
        <v>24</v>
      </c>
      <c r="P266" s="298"/>
      <c r="Q266" s="298" t="s">
        <v>14</v>
      </c>
      <c r="R266" s="334">
        <f t="shared" si="107"/>
        <v>24</v>
      </c>
      <c r="S266" s="298" t="s">
        <v>713</v>
      </c>
      <c r="T266" s="298"/>
      <c r="U266" s="298" t="s">
        <v>1419</v>
      </c>
      <c r="V266" s="298" t="s">
        <v>1245</v>
      </c>
    </row>
    <row r="267" spans="2:22">
      <c r="B267" s="298" t="s">
        <v>716</v>
      </c>
      <c r="C267" s="298">
        <v>4</v>
      </c>
      <c r="D267" s="298">
        <v>4</v>
      </c>
      <c r="E267" s="298">
        <v>4</v>
      </c>
      <c r="F267" s="298">
        <v>4</v>
      </c>
      <c r="G267" s="298">
        <v>4</v>
      </c>
      <c r="H267" s="298">
        <v>4</v>
      </c>
      <c r="I267" s="298">
        <v>4</v>
      </c>
      <c r="J267" s="298">
        <v>4</v>
      </c>
      <c r="K267" s="298">
        <v>4</v>
      </c>
      <c r="L267" s="298">
        <v>4</v>
      </c>
      <c r="M267" s="298">
        <v>4</v>
      </c>
      <c r="N267" s="298">
        <v>4</v>
      </c>
      <c r="O267" s="298">
        <f t="shared" si="106"/>
        <v>48</v>
      </c>
      <c r="P267" s="298"/>
      <c r="Q267" s="298" t="s">
        <v>14</v>
      </c>
      <c r="R267" s="334">
        <f t="shared" si="107"/>
        <v>48</v>
      </c>
      <c r="S267" s="298" t="s">
        <v>706</v>
      </c>
      <c r="T267" s="298"/>
      <c r="U267" s="298" t="s">
        <v>1419</v>
      </c>
      <c r="V267" s="298" t="s">
        <v>1245</v>
      </c>
    </row>
    <row r="268" spans="2:22">
      <c r="B268" s="298" t="s">
        <v>719</v>
      </c>
      <c r="C268" s="298">
        <v>4</v>
      </c>
      <c r="D268" s="298">
        <v>4</v>
      </c>
      <c r="E268" s="298">
        <v>4</v>
      </c>
      <c r="F268" s="298">
        <v>4</v>
      </c>
      <c r="G268" s="298">
        <v>4</v>
      </c>
      <c r="H268" s="298">
        <v>4</v>
      </c>
      <c r="I268" s="298">
        <v>4</v>
      </c>
      <c r="J268" s="298">
        <v>4</v>
      </c>
      <c r="K268" s="298">
        <v>4</v>
      </c>
      <c r="L268" s="298">
        <v>4</v>
      </c>
      <c r="M268" s="298">
        <v>4</v>
      </c>
      <c r="N268" s="298">
        <v>4</v>
      </c>
      <c r="O268" s="298">
        <f t="shared" si="106"/>
        <v>48</v>
      </c>
      <c r="P268" s="298"/>
      <c r="Q268" s="298" t="s">
        <v>14</v>
      </c>
      <c r="R268" s="334">
        <f t="shared" si="107"/>
        <v>48</v>
      </c>
      <c r="S268" s="298" t="s">
        <v>709</v>
      </c>
      <c r="T268" s="298"/>
      <c r="U268" s="298" t="s">
        <v>1419</v>
      </c>
      <c r="V268" s="298" t="s">
        <v>1245</v>
      </c>
    </row>
  </sheetData>
  <pageMargins left="0.75" right="0.5" top="0.75" bottom="0.75" header="1" footer="0"/>
  <pageSetup scale="53" fitToHeight="2" orientation="portrait" r:id="rId1"/>
  <headerFooter alignWithMargins="0"/>
  <rowBreaks count="1" manualBreakCount="1">
    <brk id="12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EDA88-965A-44E8-8C52-6DFCBD95370B}">
  <sheetPr codeName="Sheet4">
    <tabColor theme="0" tint="-0.34998626667073579"/>
  </sheetPr>
  <dimension ref="A1:V267"/>
  <sheetViews>
    <sheetView workbookViewId="0"/>
  </sheetViews>
  <sheetFormatPr defaultColWidth="9.140625" defaultRowHeight="12.75"/>
  <cols>
    <col min="1" max="1" width="3.5703125" style="121" customWidth="1"/>
    <col min="2" max="2" width="39" style="121" bestFit="1" customWidth="1"/>
    <col min="3" max="4" width="13" style="121" bestFit="1" customWidth="1"/>
    <col min="5" max="5" width="13.85546875" style="121" bestFit="1" customWidth="1"/>
    <col min="6" max="6" width="13.42578125" style="121" bestFit="1" customWidth="1"/>
    <col min="7" max="7" width="13.85546875" style="121" bestFit="1" customWidth="1"/>
    <col min="8" max="8" width="14.140625" style="121" bestFit="1" customWidth="1"/>
    <col min="9" max="9" width="13.85546875" style="121" bestFit="1" customWidth="1"/>
    <col min="10" max="10" width="14.140625" style="121" bestFit="1" customWidth="1"/>
    <col min="11" max="11" width="13.85546875" style="121" bestFit="1" customWidth="1"/>
    <col min="12" max="13" width="14.140625" style="121" bestFit="1" customWidth="1"/>
    <col min="14" max="14" width="13.85546875" style="121" bestFit="1" customWidth="1"/>
    <col min="15" max="15" width="15.5703125" style="121" bestFit="1" customWidth="1"/>
    <col min="16" max="16" width="16.42578125" style="121" customWidth="1"/>
    <col min="17" max="17" width="7.140625" style="121" customWidth="1"/>
    <col min="18" max="18" width="20.28515625" style="121" bestFit="1" customWidth="1"/>
    <col min="19" max="19" width="9.140625" style="121"/>
    <col min="20" max="20" width="27" style="121" bestFit="1" customWidth="1"/>
    <col min="21" max="21" width="11.42578125" style="121" bestFit="1" customWidth="1"/>
    <col min="22" max="22" width="9.140625" style="121" bestFit="1" customWidth="1"/>
    <col min="23" max="16384" width="9.140625" style="121"/>
  </cols>
  <sheetData>
    <row r="1" spans="1:22" ht="13.5" thickBot="1">
      <c r="B1" s="306" t="s">
        <v>155</v>
      </c>
      <c r="C1" s="260">
        <v>1</v>
      </c>
      <c r="D1" s="260">
        <v>2</v>
      </c>
      <c r="E1" s="260">
        <v>3</v>
      </c>
      <c r="F1" s="260">
        <v>4</v>
      </c>
      <c r="G1" s="260">
        <v>5</v>
      </c>
      <c r="H1" s="260">
        <v>6</v>
      </c>
      <c r="I1" s="260">
        <v>7</v>
      </c>
      <c r="J1" s="260">
        <v>8</v>
      </c>
      <c r="K1" s="260">
        <v>9</v>
      </c>
      <c r="L1" s="260">
        <v>10</v>
      </c>
      <c r="M1" s="260">
        <v>11</v>
      </c>
      <c r="N1" s="260">
        <v>12</v>
      </c>
      <c r="O1" s="260" t="s">
        <v>156</v>
      </c>
      <c r="U1" s="121" t="s">
        <v>1403</v>
      </c>
      <c r="V1" s="121" t="s">
        <v>1405</v>
      </c>
    </row>
    <row r="2" spans="1:22" ht="13.5" thickBot="1">
      <c r="A2" s="121">
        <v>2</v>
      </c>
      <c r="B2" s="308" t="s">
        <v>157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1"/>
    </row>
    <row r="3" spans="1:22">
      <c r="A3" s="121">
        <f t="shared" ref="A3:A66" si="0">+A2+1</f>
        <v>3</v>
      </c>
      <c r="B3" s="362" t="s">
        <v>158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R3" s="121" t="s">
        <v>19</v>
      </c>
      <c r="T3" s="121" t="s">
        <v>159</v>
      </c>
    </row>
    <row r="4" spans="1:22">
      <c r="A4" s="121">
        <f t="shared" si="0"/>
        <v>4</v>
      </c>
      <c r="B4" s="157" t="s">
        <v>114</v>
      </c>
      <c r="C4" s="363">
        <v>9304.3399999999492</v>
      </c>
      <c r="D4" s="363">
        <v>8690.9800000000196</v>
      </c>
      <c r="E4" s="363">
        <v>8168.41</v>
      </c>
      <c r="F4" s="363">
        <v>7560.1500000000296</v>
      </c>
      <c r="G4" s="363">
        <v>7083.8</v>
      </c>
      <c r="H4" s="363">
        <v>6038.5899999999301</v>
      </c>
      <c r="I4" s="363">
        <v>6297.5799999999799</v>
      </c>
      <c r="J4" s="363">
        <v>5751.4699999999702</v>
      </c>
      <c r="K4" s="363">
        <v>5897.2799999999797</v>
      </c>
      <c r="L4" s="363">
        <v>5915.1200000000299</v>
      </c>
      <c r="M4" s="363">
        <v>6863.1400000000403</v>
      </c>
      <c r="N4" s="363">
        <v>10214.6</v>
      </c>
      <c r="O4" s="361">
        <f t="shared" ref="O4:O15" si="1">SUM(C4:N4)</f>
        <v>87785.459999999934</v>
      </c>
      <c r="Q4" s="121" t="s">
        <v>17</v>
      </c>
      <c r="R4" s="121" t="str">
        <f>CONCATENATE(Q4," - ",B4, " R")</f>
        <v>CFG - FTS-A R</v>
      </c>
      <c r="T4" s="121" t="s">
        <v>160</v>
      </c>
      <c r="U4" s="257">
        <f>MAX(C4:N4)</f>
        <v>10214.6</v>
      </c>
      <c r="V4" s="257">
        <f>IFERROR(INDEX($C$1:$N$1,MATCH(U4,C4:N4,0)),0)</f>
        <v>12</v>
      </c>
    </row>
    <row r="5" spans="1:22">
      <c r="A5" s="121">
        <f t="shared" si="0"/>
        <v>5</v>
      </c>
      <c r="B5" s="157" t="s">
        <v>115</v>
      </c>
      <c r="C5" s="363">
        <v>30526.8100000001</v>
      </c>
      <c r="D5" s="363">
        <v>28752.9199999997</v>
      </c>
      <c r="E5" s="363">
        <v>26441.780000000101</v>
      </c>
      <c r="F5" s="363">
        <v>25540.749999999702</v>
      </c>
      <c r="G5" s="363">
        <v>22868.559999999899</v>
      </c>
      <c r="H5" s="363">
        <v>19729.030000000101</v>
      </c>
      <c r="I5" s="363">
        <v>21177.149999999801</v>
      </c>
      <c r="J5" s="363">
        <v>18547.690000000199</v>
      </c>
      <c r="K5" s="363">
        <v>19607.430000000099</v>
      </c>
      <c r="L5" s="363">
        <v>18460.66</v>
      </c>
      <c r="M5" s="363">
        <v>22127.529999999799</v>
      </c>
      <c r="N5" s="363">
        <v>34755.479999999799</v>
      </c>
      <c r="O5" s="361">
        <f t="shared" si="1"/>
        <v>288535.78999999934</v>
      </c>
      <c r="Q5" s="121" t="s">
        <v>17</v>
      </c>
      <c r="R5" s="121" t="str">
        <f>CONCATENATE(Q5," - ",B5, " R")</f>
        <v>CFG - FTS-B R</v>
      </c>
      <c r="T5" s="121" t="s">
        <v>160</v>
      </c>
      <c r="U5" s="257">
        <f t="shared" ref="U5:U68" si="2">MAX(C5:N5)</f>
        <v>34755.479999999799</v>
      </c>
      <c r="V5" s="257">
        <f t="shared" ref="V5:V68" si="3">IFERROR(INDEX($C$1:$N$1,MATCH(U5,C5:N5,0)),0)</f>
        <v>12</v>
      </c>
    </row>
    <row r="6" spans="1:22">
      <c r="A6" s="121">
        <f t="shared" si="0"/>
        <v>6</v>
      </c>
      <c r="B6" s="157" t="s">
        <v>116</v>
      </c>
      <c r="C6" s="363">
        <v>282158.34000000003</v>
      </c>
      <c r="D6" s="363">
        <v>257382.34000000701</v>
      </c>
      <c r="E6" s="363">
        <v>248581.78000000701</v>
      </c>
      <c r="F6" s="363">
        <v>192277.800000007</v>
      </c>
      <c r="G6" s="363">
        <v>172694.88000000399</v>
      </c>
      <c r="H6" s="363">
        <v>142423.02000000299</v>
      </c>
      <c r="I6" s="363">
        <v>145778.42000000499</v>
      </c>
      <c r="J6" s="363">
        <v>128228.06999999</v>
      </c>
      <c r="K6" s="363">
        <v>134306.989999994</v>
      </c>
      <c r="L6" s="363">
        <v>143261.790000004</v>
      </c>
      <c r="M6" s="363">
        <v>176786.36000001</v>
      </c>
      <c r="N6" s="363">
        <v>311585.450000012</v>
      </c>
      <c r="O6" s="361">
        <f t="shared" si="1"/>
        <v>2335465.2400000431</v>
      </c>
      <c r="Q6" s="121" t="s">
        <v>17</v>
      </c>
      <c r="R6" s="121" t="str">
        <f>CONCATENATE(Q6," - ",B6," R")</f>
        <v>CFG - FTS-1 R</v>
      </c>
      <c r="T6" s="121" t="s">
        <v>160</v>
      </c>
      <c r="U6" s="257">
        <f t="shared" si="2"/>
        <v>311585.450000012</v>
      </c>
      <c r="V6" s="257">
        <f t="shared" si="3"/>
        <v>12</v>
      </c>
    </row>
    <row r="7" spans="1:22">
      <c r="A7" s="121">
        <f t="shared" si="0"/>
        <v>7</v>
      </c>
      <c r="B7" s="157" t="s">
        <v>117</v>
      </c>
      <c r="C7" s="363">
        <v>77820.039999999994</v>
      </c>
      <c r="D7" s="363">
        <v>69158.13</v>
      </c>
      <c r="E7" s="363">
        <v>72673.949999999895</v>
      </c>
      <c r="F7" s="363">
        <v>31794.07</v>
      </c>
      <c r="G7" s="363">
        <v>23663.41</v>
      </c>
      <c r="H7" s="363">
        <v>15816.55</v>
      </c>
      <c r="I7" s="363">
        <v>15089.15</v>
      </c>
      <c r="J7" s="363">
        <v>12204.48</v>
      </c>
      <c r="K7" s="363">
        <v>12764.86</v>
      </c>
      <c r="L7" s="363">
        <v>16406.96</v>
      </c>
      <c r="M7" s="363">
        <v>24668.769999999899</v>
      </c>
      <c r="N7" s="363">
        <v>54357.43</v>
      </c>
      <c r="O7" s="361">
        <f t="shared" si="1"/>
        <v>426417.79999999976</v>
      </c>
      <c r="Q7" s="121" t="s">
        <v>17</v>
      </c>
      <c r="R7" s="121" t="str">
        <f>CONCATENATE(Q7," - ",B7," R")</f>
        <v>CFG - FTS-2 R</v>
      </c>
      <c r="T7" s="121" t="s">
        <v>160</v>
      </c>
      <c r="U7" s="257">
        <f t="shared" si="2"/>
        <v>77820.039999999994</v>
      </c>
      <c r="V7" s="257">
        <f t="shared" si="3"/>
        <v>1</v>
      </c>
    </row>
    <row r="8" spans="1:22">
      <c r="A8" s="121">
        <f t="shared" si="0"/>
        <v>8</v>
      </c>
      <c r="B8" s="157" t="s">
        <v>118</v>
      </c>
      <c r="C8" s="363">
        <v>83012.129999999903</v>
      </c>
      <c r="D8" s="363">
        <v>77089.73</v>
      </c>
      <c r="E8" s="363">
        <v>71926.5799999999</v>
      </c>
      <c r="F8" s="363">
        <v>23127.64</v>
      </c>
      <c r="G8" s="363">
        <v>15532.69</v>
      </c>
      <c r="H8" s="363">
        <v>11880.63</v>
      </c>
      <c r="I8" s="363">
        <v>12433.83</v>
      </c>
      <c r="J8" s="363">
        <v>9476.7800000000097</v>
      </c>
      <c r="K8" s="363">
        <v>8691.9</v>
      </c>
      <c r="L8" s="363">
        <v>13416.31</v>
      </c>
      <c r="M8" s="363">
        <v>23512.93</v>
      </c>
      <c r="N8" s="363">
        <v>59335.03</v>
      </c>
      <c r="O8" s="361">
        <f t="shared" si="1"/>
        <v>409436.17999999982</v>
      </c>
      <c r="Q8" s="121" t="s">
        <v>17</v>
      </c>
      <c r="R8" s="121" t="str">
        <f>CONCATENATE(Q8," - ",B8," R")</f>
        <v>CFG - FTS-2.1 R</v>
      </c>
      <c r="T8" s="121" t="s">
        <v>160</v>
      </c>
      <c r="U8" s="257">
        <f t="shared" si="2"/>
        <v>83012.129999999903</v>
      </c>
      <c r="V8" s="257">
        <f t="shared" si="3"/>
        <v>1</v>
      </c>
    </row>
    <row r="9" spans="1:22">
      <c r="A9" s="121">
        <f t="shared" si="0"/>
        <v>9</v>
      </c>
      <c r="B9" s="364" t="s">
        <v>119</v>
      </c>
      <c r="C9" s="363">
        <v>6290.37</v>
      </c>
      <c r="D9" s="363">
        <v>5042.5200000000004</v>
      </c>
      <c r="E9" s="363">
        <v>4505.2</v>
      </c>
      <c r="F9" s="363">
        <v>1465.73</v>
      </c>
      <c r="G9" s="363">
        <v>1415</v>
      </c>
      <c r="H9" s="363">
        <v>1065.32</v>
      </c>
      <c r="I9" s="363">
        <v>788.93</v>
      </c>
      <c r="J9" s="363">
        <v>394.32</v>
      </c>
      <c r="K9" s="363">
        <v>684.14</v>
      </c>
      <c r="L9" s="363">
        <v>1342.83</v>
      </c>
      <c r="M9" s="363">
        <v>2395.58</v>
      </c>
      <c r="N9" s="363">
        <v>7058.65</v>
      </c>
      <c r="O9" s="361">
        <f t="shared" si="1"/>
        <v>32448.590000000004</v>
      </c>
      <c r="Q9" s="121" t="s">
        <v>17</v>
      </c>
      <c r="R9" s="121" t="str">
        <f>CONCATENATE(Q9," - ",B9, " R")</f>
        <v>CFG - FTS-3 R</v>
      </c>
      <c r="T9" s="121" t="s">
        <v>160</v>
      </c>
      <c r="U9" s="257">
        <f t="shared" si="2"/>
        <v>7058.65</v>
      </c>
      <c r="V9" s="257">
        <f t="shared" si="3"/>
        <v>12</v>
      </c>
    </row>
    <row r="10" spans="1:22">
      <c r="A10" s="121">
        <f t="shared" si="0"/>
        <v>10</v>
      </c>
      <c r="B10" s="364" t="s">
        <v>120</v>
      </c>
      <c r="C10" s="363">
        <v>0</v>
      </c>
      <c r="D10" s="363">
        <v>0</v>
      </c>
      <c r="E10" s="363">
        <v>0</v>
      </c>
      <c r="F10" s="363">
        <v>0</v>
      </c>
      <c r="G10" s="363">
        <v>0</v>
      </c>
      <c r="H10" s="363">
        <v>0</v>
      </c>
      <c r="I10" s="363">
        <v>0</v>
      </c>
      <c r="J10" s="363">
        <v>0</v>
      </c>
      <c r="K10" s="363">
        <v>0</v>
      </c>
      <c r="L10" s="363">
        <v>0</v>
      </c>
      <c r="M10" s="363">
        <v>0</v>
      </c>
      <c r="N10" s="363">
        <v>0</v>
      </c>
      <c r="O10" s="361">
        <f t="shared" si="1"/>
        <v>0</v>
      </c>
      <c r="Q10" s="121" t="s">
        <v>17</v>
      </c>
      <c r="R10" s="121" t="str">
        <f>CONCATENATE(Q10," - ",B10, " R")</f>
        <v>CFG - FTS-3.1 R</v>
      </c>
      <c r="T10" s="121" t="s">
        <v>160</v>
      </c>
      <c r="U10" s="257">
        <f t="shared" si="2"/>
        <v>0</v>
      </c>
      <c r="V10" s="257">
        <f t="shared" si="3"/>
        <v>1</v>
      </c>
    </row>
    <row r="11" spans="1:22">
      <c r="A11" s="121">
        <f t="shared" si="0"/>
        <v>11</v>
      </c>
      <c r="B11" s="364" t="s">
        <v>161</v>
      </c>
      <c r="C11" s="363">
        <v>1891241.4500000305</v>
      </c>
      <c r="D11" s="363">
        <v>1677873.8000000319</v>
      </c>
      <c r="E11" s="363">
        <v>1521634.1000000073</v>
      </c>
      <c r="F11" s="363">
        <v>1400471.4900000286</v>
      </c>
      <c r="G11" s="363">
        <v>1306732.8000000303</v>
      </c>
      <c r="H11" s="363">
        <v>993212.99000004982</v>
      </c>
      <c r="I11" s="363">
        <v>853601.52000002691</v>
      </c>
      <c r="J11" s="363">
        <v>767283.78000003565</v>
      </c>
      <c r="K11" s="363">
        <v>763359.69000002486</v>
      </c>
      <c r="L11" s="363">
        <v>831943.12000005401</v>
      </c>
      <c r="M11" s="363">
        <v>1175988.1900000391</v>
      </c>
      <c r="N11" s="363">
        <v>1892109.2100000058</v>
      </c>
      <c r="O11" s="361">
        <f t="shared" si="1"/>
        <v>15075452.140000366</v>
      </c>
      <c r="P11" s="257"/>
      <c r="Q11" s="121" t="s">
        <v>16</v>
      </c>
      <c r="R11" s="121" t="str">
        <f t="shared" ref="R11:R61" si="4">CONCATENATE(Q11," - ",B11)</f>
        <v>FPU - FPU - RS</v>
      </c>
      <c r="T11" s="121" t="s">
        <v>162</v>
      </c>
      <c r="U11" s="257">
        <f t="shared" si="2"/>
        <v>1892109.2100000058</v>
      </c>
      <c r="V11" s="257">
        <f t="shared" si="3"/>
        <v>12</v>
      </c>
    </row>
    <row r="12" spans="1:22">
      <c r="A12" s="121">
        <f t="shared" si="0"/>
        <v>12</v>
      </c>
      <c r="B12" s="364" t="s">
        <v>163</v>
      </c>
      <c r="C12" s="363">
        <v>8879.6400000000049</v>
      </c>
      <c r="D12" s="363">
        <v>8188.7899999999972</v>
      </c>
      <c r="E12" s="363">
        <v>6928.2599999999984</v>
      </c>
      <c r="F12" s="363">
        <v>6827.1700000000037</v>
      </c>
      <c r="G12" s="363">
        <v>6243.0299999999943</v>
      </c>
      <c r="H12" s="363">
        <v>4099.4499999999953</v>
      </c>
      <c r="I12" s="363">
        <v>2621.2499999999973</v>
      </c>
      <c r="J12" s="363">
        <v>2436.509999999997</v>
      </c>
      <c r="K12" s="363">
        <v>2492.3499999999981</v>
      </c>
      <c r="L12" s="363">
        <v>3079.7499999999986</v>
      </c>
      <c r="M12" s="363">
        <v>7006</v>
      </c>
      <c r="N12" s="363">
        <v>8701.4700000000012</v>
      </c>
      <c r="O12" s="361">
        <f t="shared" si="1"/>
        <v>67503.669999999984</v>
      </c>
      <c r="Q12" s="121" t="s">
        <v>16</v>
      </c>
      <c r="R12" s="121" t="str">
        <f t="shared" si="4"/>
        <v>FPU - FPU - RS-GS</v>
      </c>
      <c r="T12" s="121" t="s">
        <v>162</v>
      </c>
      <c r="U12" s="257">
        <f t="shared" si="2"/>
        <v>8879.6400000000049</v>
      </c>
      <c r="V12" s="257">
        <f t="shared" si="3"/>
        <v>1</v>
      </c>
    </row>
    <row r="13" spans="1:22">
      <c r="A13" s="121">
        <f t="shared" si="0"/>
        <v>13</v>
      </c>
      <c r="B13" s="364" t="s">
        <v>111</v>
      </c>
      <c r="C13" s="363">
        <v>8151.8499999999776</v>
      </c>
      <c r="D13" s="363">
        <v>7549.4599999999673</v>
      </c>
      <c r="E13" s="363">
        <v>6797.8399999999692</v>
      </c>
      <c r="F13" s="363">
        <v>6009.1499999999733</v>
      </c>
      <c r="G13" s="363">
        <v>5323.240000000008</v>
      </c>
      <c r="H13" s="363">
        <v>4575.8299999999963</v>
      </c>
      <c r="I13" s="363">
        <v>4700.0099999999948</v>
      </c>
      <c r="J13" s="363">
        <v>4104.8500000000095</v>
      </c>
      <c r="K13" s="363">
        <v>4652.2699999999977</v>
      </c>
      <c r="L13" s="363">
        <v>4668.5899999999956</v>
      </c>
      <c r="M13" s="363">
        <v>5208.640000000024</v>
      </c>
      <c r="N13" s="363">
        <v>7924.1799999999757</v>
      </c>
      <c r="O13" s="361">
        <f t="shared" si="1"/>
        <v>69665.909999999887</v>
      </c>
      <c r="Q13" s="121" t="s">
        <v>14</v>
      </c>
      <c r="R13" s="121" t="str">
        <f t="shared" si="4"/>
        <v>FT - FT-RS</v>
      </c>
      <c r="T13" s="121" t="s">
        <v>164</v>
      </c>
      <c r="U13" s="257">
        <f t="shared" si="2"/>
        <v>8151.8499999999776</v>
      </c>
      <c r="V13" s="257">
        <f t="shared" si="3"/>
        <v>1</v>
      </c>
    </row>
    <row r="14" spans="1:22">
      <c r="A14" s="121">
        <f t="shared" si="0"/>
        <v>14</v>
      </c>
      <c r="B14" s="364" t="s">
        <v>105</v>
      </c>
      <c r="C14" s="365">
        <v>12095.140000000001</v>
      </c>
      <c r="D14" s="365">
        <v>9833.1400000000049</v>
      </c>
      <c r="E14" s="365">
        <v>10152.490000000002</v>
      </c>
      <c r="F14" s="365">
        <v>10868.439999999984</v>
      </c>
      <c r="G14" s="365">
        <v>10105.520000000002</v>
      </c>
      <c r="H14" s="365">
        <v>9038.2800000000061</v>
      </c>
      <c r="I14" s="365">
        <v>10027.969999999992</v>
      </c>
      <c r="J14" s="365">
        <v>8411.3600000000115</v>
      </c>
      <c r="K14" s="365">
        <v>8850.9299999999948</v>
      </c>
      <c r="L14" s="365">
        <v>8731.8499999999967</v>
      </c>
      <c r="M14" s="365">
        <v>10559.289999999992</v>
      </c>
      <c r="N14" s="365">
        <v>11851.660000000005</v>
      </c>
      <c r="O14" s="366">
        <f t="shared" si="1"/>
        <v>120526.06999999999</v>
      </c>
      <c r="Q14" s="121" t="s">
        <v>13</v>
      </c>
      <c r="R14" s="121" t="str">
        <f t="shared" si="4"/>
        <v>IGC - IGC - TS1</v>
      </c>
      <c r="T14" s="121" t="s">
        <v>165</v>
      </c>
      <c r="U14" s="257">
        <f t="shared" si="2"/>
        <v>12095.140000000001</v>
      </c>
      <c r="V14" s="257">
        <f t="shared" si="3"/>
        <v>1</v>
      </c>
    </row>
    <row r="15" spans="1:22">
      <c r="A15" s="121">
        <f t="shared" si="0"/>
        <v>15</v>
      </c>
      <c r="B15" s="367" t="s">
        <v>166</v>
      </c>
      <c r="C15" s="361">
        <f t="shared" ref="C15:N15" si="5">SUM(C4:C14)</f>
        <v>2409480.1100000306</v>
      </c>
      <c r="D15" s="361">
        <f t="shared" si="5"/>
        <v>2149561.8100000387</v>
      </c>
      <c r="E15" s="361">
        <f t="shared" si="5"/>
        <v>1977810.3900000143</v>
      </c>
      <c r="F15" s="361">
        <f t="shared" si="5"/>
        <v>1705942.3900000351</v>
      </c>
      <c r="G15" s="361">
        <f t="shared" si="5"/>
        <v>1571662.9300000342</v>
      </c>
      <c r="H15" s="361">
        <f t="shared" si="5"/>
        <v>1207879.6900000528</v>
      </c>
      <c r="I15" s="361">
        <f t="shared" si="5"/>
        <v>1072515.8100000317</v>
      </c>
      <c r="J15" s="361">
        <f t="shared" si="5"/>
        <v>956839.31000002578</v>
      </c>
      <c r="K15" s="361">
        <f t="shared" si="5"/>
        <v>961307.84000001894</v>
      </c>
      <c r="L15" s="361">
        <f t="shared" si="5"/>
        <v>1047226.980000058</v>
      </c>
      <c r="M15" s="361">
        <f t="shared" si="5"/>
        <v>1455116.4300000491</v>
      </c>
      <c r="N15" s="361">
        <f t="shared" si="5"/>
        <v>2397893.1600000178</v>
      </c>
      <c r="O15" s="361">
        <f t="shared" si="1"/>
        <v>18913236.850000408</v>
      </c>
      <c r="T15" s="257"/>
      <c r="U15" s="257"/>
      <c r="V15" s="257"/>
    </row>
    <row r="16" spans="1:22">
      <c r="A16" s="121">
        <f t="shared" si="0"/>
        <v>16</v>
      </c>
      <c r="B16" s="362" t="s">
        <v>167</v>
      </c>
      <c r="C16" s="361"/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T16" s="257"/>
      <c r="U16" s="257"/>
      <c r="V16" s="257"/>
    </row>
    <row r="17" spans="1:22">
      <c r="A17" s="121">
        <f t="shared" si="0"/>
        <v>17</v>
      </c>
      <c r="B17" s="157" t="s">
        <v>114</v>
      </c>
      <c r="C17" s="363">
        <v>399.16</v>
      </c>
      <c r="D17" s="363">
        <v>306.31</v>
      </c>
      <c r="E17" s="363">
        <v>1161.76</v>
      </c>
      <c r="F17" s="338">
        <v>-586.84</v>
      </c>
      <c r="G17" s="363">
        <v>286.5</v>
      </c>
      <c r="H17" s="363">
        <v>167.91</v>
      </c>
      <c r="I17" s="363">
        <v>163.94</v>
      </c>
      <c r="J17" s="363">
        <v>131.25</v>
      </c>
      <c r="K17" s="363">
        <v>136.77000000000001</v>
      </c>
      <c r="L17" s="363">
        <v>166.92</v>
      </c>
      <c r="M17" s="363">
        <v>262.89</v>
      </c>
      <c r="N17" s="363">
        <v>326.2</v>
      </c>
      <c r="O17" s="361">
        <f t="shared" ref="O17:O24" si="6">SUM(C17:N17)</f>
        <v>2922.77</v>
      </c>
      <c r="Q17" s="121" t="s">
        <v>17</v>
      </c>
      <c r="R17" s="121" t="str">
        <f>CONCATENATE(Q17," - ",B17," - ",S17)</f>
        <v>CFG - FTS-A - Fixed R</v>
      </c>
      <c r="S17" s="121" t="s">
        <v>168</v>
      </c>
      <c r="T17" s="121" t="s">
        <v>160</v>
      </c>
      <c r="U17" s="257">
        <f t="shared" si="2"/>
        <v>1161.76</v>
      </c>
      <c r="V17" s="257">
        <f t="shared" si="3"/>
        <v>3</v>
      </c>
    </row>
    <row r="18" spans="1:22">
      <c r="A18" s="121">
        <f t="shared" si="0"/>
        <v>18</v>
      </c>
      <c r="B18" s="157" t="s">
        <v>115</v>
      </c>
      <c r="C18" s="363">
        <v>928.23</v>
      </c>
      <c r="D18" s="363">
        <v>869.9</v>
      </c>
      <c r="E18" s="363">
        <v>721.32</v>
      </c>
      <c r="F18" s="338">
        <v>701.26</v>
      </c>
      <c r="G18" s="363">
        <v>641.38</v>
      </c>
      <c r="H18" s="363">
        <v>559.57000000000005</v>
      </c>
      <c r="I18" s="363">
        <v>584.25</v>
      </c>
      <c r="J18" s="363">
        <v>535.37</v>
      </c>
      <c r="K18" s="363">
        <v>547.42999999999995</v>
      </c>
      <c r="L18" s="363">
        <v>540.42999999999995</v>
      </c>
      <c r="M18" s="363">
        <v>617.96</v>
      </c>
      <c r="N18" s="363">
        <v>910.05</v>
      </c>
      <c r="O18" s="361">
        <f t="shared" si="6"/>
        <v>8157.1500000000005</v>
      </c>
      <c r="Q18" s="121" t="s">
        <v>17</v>
      </c>
      <c r="R18" s="121" t="str">
        <f t="shared" ref="R18:R23" si="7">CONCATENATE(Q18," - ",B18," - ",S18)</f>
        <v>CFG - FTS-B - Fixed R</v>
      </c>
      <c r="S18" s="121" t="s">
        <v>168</v>
      </c>
      <c r="T18" s="121" t="s">
        <v>160</v>
      </c>
      <c r="U18" s="257">
        <f t="shared" si="2"/>
        <v>928.23</v>
      </c>
      <c r="V18" s="257">
        <f t="shared" si="3"/>
        <v>1</v>
      </c>
    </row>
    <row r="19" spans="1:22">
      <c r="A19" s="121">
        <f t="shared" si="0"/>
        <v>19</v>
      </c>
      <c r="B19" s="157" t="s">
        <v>116</v>
      </c>
      <c r="C19" s="363">
        <v>3786.61</v>
      </c>
      <c r="D19" s="363">
        <v>3369.33</v>
      </c>
      <c r="E19" s="363">
        <v>2894.43</v>
      </c>
      <c r="F19" s="338">
        <v>2683.18</v>
      </c>
      <c r="G19" s="363">
        <v>2376.4699999999998</v>
      </c>
      <c r="H19" s="363">
        <v>2112.23</v>
      </c>
      <c r="I19" s="363">
        <v>2088.54</v>
      </c>
      <c r="J19" s="363">
        <v>1753.54</v>
      </c>
      <c r="K19" s="363">
        <v>1909.74</v>
      </c>
      <c r="L19" s="363">
        <v>1927.71</v>
      </c>
      <c r="M19" s="363">
        <v>2210.08</v>
      </c>
      <c r="N19" s="363">
        <v>4034.53</v>
      </c>
      <c r="O19" s="361">
        <f t="shared" si="6"/>
        <v>31146.39</v>
      </c>
      <c r="Q19" s="121" t="s">
        <v>17</v>
      </c>
      <c r="R19" s="121" t="str">
        <f t="shared" si="7"/>
        <v>CFG - FTS-1 - Fixed R</v>
      </c>
      <c r="S19" s="121" t="s">
        <v>168</v>
      </c>
      <c r="T19" s="121" t="s">
        <v>160</v>
      </c>
      <c r="U19" s="257">
        <f t="shared" si="2"/>
        <v>4034.53</v>
      </c>
      <c r="V19" s="257">
        <f t="shared" si="3"/>
        <v>12</v>
      </c>
    </row>
    <row r="20" spans="1:22">
      <c r="A20" s="121">
        <f t="shared" si="0"/>
        <v>20</v>
      </c>
      <c r="B20" s="157" t="s">
        <v>117</v>
      </c>
      <c r="C20" s="363">
        <v>1803.85</v>
      </c>
      <c r="D20" s="363">
        <v>1723.72</v>
      </c>
      <c r="E20" s="363">
        <v>1467.97</v>
      </c>
      <c r="F20" s="338">
        <v>768.6</v>
      </c>
      <c r="G20" s="363">
        <v>208.79</v>
      </c>
      <c r="H20" s="363">
        <v>348.54</v>
      </c>
      <c r="I20" s="363">
        <v>403.78</v>
      </c>
      <c r="J20" s="363">
        <v>355.24</v>
      </c>
      <c r="K20" s="363">
        <v>392.47</v>
      </c>
      <c r="L20" s="363">
        <v>567.27</v>
      </c>
      <c r="M20" s="363">
        <v>809.62</v>
      </c>
      <c r="N20" s="363">
        <v>1411.52</v>
      </c>
      <c r="O20" s="361">
        <f t="shared" si="6"/>
        <v>10261.370000000001</v>
      </c>
      <c r="Q20" s="121" t="s">
        <v>17</v>
      </c>
      <c r="R20" s="121" t="str">
        <f t="shared" si="7"/>
        <v>CFG - FTS-2 - Fixed R</v>
      </c>
      <c r="S20" s="121" t="s">
        <v>168</v>
      </c>
      <c r="T20" s="121" t="s">
        <v>160</v>
      </c>
      <c r="U20" s="257">
        <f t="shared" si="2"/>
        <v>1803.85</v>
      </c>
      <c r="V20" s="257">
        <f t="shared" si="3"/>
        <v>1</v>
      </c>
    </row>
    <row r="21" spans="1:22">
      <c r="A21" s="121">
        <f t="shared" si="0"/>
        <v>21</v>
      </c>
      <c r="B21" s="157" t="s">
        <v>118</v>
      </c>
      <c r="C21" s="363">
        <v>1705.72</v>
      </c>
      <c r="D21" s="363">
        <v>1764.35</v>
      </c>
      <c r="E21" s="363">
        <v>1451.82</v>
      </c>
      <c r="F21" s="338">
        <v>548.66</v>
      </c>
      <c r="G21" s="363">
        <v>371.44</v>
      </c>
      <c r="H21" s="363">
        <v>141.84</v>
      </c>
      <c r="I21" s="363">
        <v>164.1</v>
      </c>
      <c r="J21" s="363">
        <v>104.56</v>
      </c>
      <c r="K21" s="363">
        <v>148.08000000000001</v>
      </c>
      <c r="L21" s="363">
        <v>54.49</v>
      </c>
      <c r="M21" s="363">
        <v>345.47</v>
      </c>
      <c r="N21" s="363">
        <v>1096.78</v>
      </c>
      <c r="O21" s="361">
        <f t="shared" si="6"/>
        <v>7897.3099999999995</v>
      </c>
      <c r="Q21" s="121" t="s">
        <v>17</v>
      </c>
      <c r="R21" s="121" t="str">
        <f t="shared" si="7"/>
        <v>CFG - FTS-2.1 - Fixed R</v>
      </c>
      <c r="S21" s="121" t="s">
        <v>168</v>
      </c>
      <c r="T21" s="121" t="s">
        <v>160</v>
      </c>
      <c r="U21" s="257">
        <f t="shared" si="2"/>
        <v>1764.35</v>
      </c>
      <c r="V21" s="257">
        <f t="shared" si="3"/>
        <v>2</v>
      </c>
    </row>
    <row r="22" spans="1:22">
      <c r="A22" s="121">
        <f t="shared" si="0"/>
        <v>22</v>
      </c>
      <c r="B22" s="364" t="s">
        <v>119</v>
      </c>
      <c r="C22" s="363">
        <v>0</v>
      </c>
      <c r="D22" s="363">
        <v>0</v>
      </c>
      <c r="E22" s="363">
        <v>0</v>
      </c>
      <c r="F22" s="363">
        <v>0</v>
      </c>
      <c r="G22" s="363">
        <v>0</v>
      </c>
      <c r="H22" s="363">
        <v>0</v>
      </c>
      <c r="I22" s="363">
        <v>0</v>
      </c>
      <c r="J22" s="363">
        <v>0</v>
      </c>
      <c r="K22" s="363">
        <v>0</v>
      </c>
      <c r="L22" s="363">
        <v>0</v>
      </c>
      <c r="M22" s="363">
        <v>0</v>
      </c>
      <c r="N22" s="363">
        <v>0</v>
      </c>
      <c r="O22" s="361">
        <f t="shared" si="6"/>
        <v>0</v>
      </c>
      <c r="Q22" s="121" t="s">
        <v>17</v>
      </c>
      <c r="R22" s="121" t="str">
        <f t="shared" si="7"/>
        <v>CFG - FTS-3 - Fixed R</v>
      </c>
      <c r="S22" s="121" t="s">
        <v>168</v>
      </c>
      <c r="T22" s="121" t="s">
        <v>160</v>
      </c>
      <c r="U22" s="257">
        <f t="shared" si="2"/>
        <v>0</v>
      </c>
      <c r="V22" s="257">
        <f t="shared" si="3"/>
        <v>1</v>
      </c>
    </row>
    <row r="23" spans="1:22">
      <c r="A23" s="121">
        <f t="shared" si="0"/>
        <v>23</v>
      </c>
      <c r="B23" s="364" t="s">
        <v>120</v>
      </c>
      <c r="C23" s="365">
        <v>0</v>
      </c>
      <c r="D23" s="365">
        <v>0</v>
      </c>
      <c r="E23" s="365">
        <v>0</v>
      </c>
      <c r="F23" s="365">
        <v>0</v>
      </c>
      <c r="G23" s="365">
        <v>0</v>
      </c>
      <c r="H23" s="365">
        <v>0</v>
      </c>
      <c r="I23" s="365">
        <v>0</v>
      </c>
      <c r="J23" s="365">
        <v>0</v>
      </c>
      <c r="K23" s="365">
        <v>0</v>
      </c>
      <c r="L23" s="365">
        <v>0</v>
      </c>
      <c r="M23" s="365">
        <v>0</v>
      </c>
      <c r="N23" s="365">
        <v>0</v>
      </c>
      <c r="O23" s="366">
        <f t="shared" si="6"/>
        <v>0</v>
      </c>
      <c r="Q23" s="121" t="s">
        <v>17</v>
      </c>
      <c r="R23" s="121" t="str">
        <f t="shared" si="7"/>
        <v>CFG - FTS-3.1 - Fixed R</v>
      </c>
      <c r="S23" s="121" t="s">
        <v>168</v>
      </c>
      <c r="T23" s="121" t="s">
        <v>160</v>
      </c>
      <c r="U23" s="257">
        <f t="shared" si="2"/>
        <v>0</v>
      </c>
      <c r="V23" s="257">
        <f t="shared" si="3"/>
        <v>1</v>
      </c>
    </row>
    <row r="24" spans="1:22">
      <c r="A24" s="121">
        <f t="shared" si="0"/>
        <v>24</v>
      </c>
      <c r="B24" s="367" t="s">
        <v>169</v>
      </c>
      <c r="C24" s="361">
        <f t="shared" ref="C24:N24" si="8">SUM(C17:C23)</f>
        <v>8623.57</v>
      </c>
      <c r="D24" s="361">
        <f t="shared" si="8"/>
        <v>8033.6100000000006</v>
      </c>
      <c r="E24" s="361">
        <f t="shared" si="8"/>
        <v>7697.3</v>
      </c>
      <c r="F24" s="361">
        <f t="shared" si="8"/>
        <v>4114.8599999999997</v>
      </c>
      <c r="G24" s="361">
        <f t="shared" si="8"/>
        <v>3884.58</v>
      </c>
      <c r="H24" s="361">
        <f t="shared" si="8"/>
        <v>3330.09</v>
      </c>
      <c r="I24" s="361">
        <f t="shared" si="8"/>
        <v>3404.61</v>
      </c>
      <c r="J24" s="361">
        <f t="shared" si="8"/>
        <v>2879.9599999999996</v>
      </c>
      <c r="K24" s="361">
        <f t="shared" si="8"/>
        <v>3134.49</v>
      </c>
      <c r="L24" s="361">
        <f t="shared" si="8"/>
        <v>3256.8199999999997</v>
      </c>
      <c r="M24" s="361">
        <f t="shared" si="8"/>
        <v>4246.0199999999995</v>
      </c>
      <c r="N24" s="361">
        <f t="shared" si="8"/>
        <v>7779.0800000000008</v>
      </c>
      <c r="O24" s="361">
        <f t="shared" si="6"/>
        <v>60384.989999999991</v>
      </c>
      <c r="U24" s="257"/>
      <c r="V24" s="257"/>
    </row>
    <row r="25" spans="1:22">
      <c r="A25" s="121">
        <f t="shared" si="0"/>
        <v>25</v>
      </c>
      <c r="B25" s="320" t="s">
        <v>170</v>
      </c>
      <c r="C25" s="339"/>
      <c r="D25" s="339"/>
      <c r="E25" s="368"/>
      <c r="F25" s="368"/>
      <c r="G25" s="368"/>
      <c r="H25" s="368"/>
      <c r="I25" s="369"/>
      <c r="J25" s="369"/>
      <c r="K25" s="369"/>
      <c r="L25" s="368"/>
      <c r="M25" s="369"/>
      <c r="N25" s="369"/>
      <c r="O25" s="361"/>
      <c r="U25" s="257"/>
      <c r="V25" s="257"/>
    </row>
    <row r="26" spans="1:22">
      <c r="A26" s="121">
        <f t="shared" si="0"/>
        <v>26</v>
      </c>
      <c r="B26" s="157" t="s">
        <v>114</v>
      </c>
      <c r="C26" s="363">
        <v>33.29</v>
      </c>
      <c r="D26" s="363">
        <v>38.619999999999997</v>
      </c>
      <c r="E26" s="363">
        <v>34.380000000000003</v>
      </c>
      <c r="F26" s="363">
        <v>24.2</v>
      </c>
      <c r="G26" s="363">
        <v>20.94</v>
      </c>
      <c r="H26" s="363">
        <v>18.82</v>
      </c>
      <c r="I26" s="363">
        <v>23.18</v>
      </c>
      <c r="J26" s="363">
        <v>18.829999999999998</v>
      </c>
      <c r="K26" s="363">
        <v>21.96</v>
      </c>
      <c r="L26" s="363">
        <v>21.89</v>
      </c>
      <c r="M26" s="363">
        <v>21.08</v>
      </c>
      <c r="N26" s="363">
        <v>47</v>
      </c>
      <c r="O26" s="361">
        <f t="shared" ref="O26:O62" si="9">SUM(C26:N26)</f>
        <v>324.19</v>
      </c>
      <c r="Q26" s="121" t="s">
        <v>17</v>
      </c>
      <c r="R26" s="121" t="str">
        <f t="shared" ref="R26:R32" si="10">CONCATENATE(Q26," - ",B26," NR")</f>
        <v>CFG - FTS-A NR</v>
      </c>
      <c r="T26" s="121" t="s">
        <v>171</v>
      </c>
      <c r="U26" s="257">
        <f t="shared" si="2"/>
        <v>47</v>
      </c>
      <c r="V26" s="257">
        <f t="shared" si="3"/>
        <v>12</v>
      </c>
    </row>
    <row r="27" spans="1:22">
      <c r="A27" s="121">
        <f t="shared" si="0"/>
        <v>27</v>
      </c>
      <c r="B27" s="157" t="s">
        <v>115</v>
      </c>
      <c r="C27" s="363">
        <v>98.33</v>
      </c>
      <c r="D27" s="363">
        <v>76.53</v>
      </c>
      <c r="E27" s="363">
        <v>65.599999999999994</v>
      </c>
      <c r="F27" s="363">
        <v>61.66</v>
      </c>
      <c r="G27" s="363">
        <v>55.19</v>
      </c>
      <c r="H27" s="363">
        <v>53.03</v>
      </c>
      <c r="I27" s="363">
        <v>59.29</v>
      </c>
      <c r="J27" s="363">
        <v>53.19</v>
      </c>
      <c r="K27" s="363">
        <v>55.29</v>
      </c>
      <c r="L27" s="363">
        <v>59.45</v>
      </c>
      <c r="M27" s="363">
        <v>64.8</v>
      </c>
      <c r="N27" s="363">
        <v>130.69</v>
      </c>
      <c r="O27" s="361">
        <f t="shared" si="9"/>
        <v>833.05</v>
      </c>
      <c r="Q27" s="121" t="s">
        <v>17</v>
      </c>
      <c r="R27" s="121" t="str">
        <f t="shared" si="10"/>
        <v>CFG - FTS-B NR</v>
      </c>
      <c r="T27" s="121" t="s">
        <v>171</v>
      </c>
      <c r="U27" s="257">
        <f t="shared" si="2"/>
        <v>130.69</v>
      </c>
      <c r="V27" s="257">
        <f t="shared" si="3"/>
        <v>12</v>
      </c>
    </row>
    <row r="28" spans="1:22">
      <c r="A28" s="121">
        <f t="shared" si="0"/>
        <v>28</v>
      </c>
      <c r="B28" s="157" t="s">
        <v>116</v>
      </c>
      <c r="C28" s="363">
        <v>5955.12</v>
      </c>
      <c r="D28" s="363">
        <v>4611.13</v>
      </c>
      <c r="E28" s="363">
        <v>5624.82</v>
      </c>
      <c r="F28" s="363">
        <v>3262.5</v>
      </c>
      <c r="G28" s="363">
        <v>4720.46</v>
      </c>
      <c r="H28" s="363">
        <v>2813.71</v>
      </c>
      <c r="I28" s="363">
        <v>3777.09</v>
      </c>
      <c r="J28" s="363">
        <v>3014.1</v>
      </c>
      <c r="K28" s="363">
        <v>3023.23</v>
      </c>
      <c r="L28" s="363">
        <v>2970.45</v>
      </c>
      <c r="M28" s="363">
        <v>3365.09</v>
      </c>
      <c r="N28" s="363">
        <v>6565.8</v>
      </c>
      <c r="O28" s="361">
        <f t="shared" si="9"/>
        <v>49703.5</v>
      </c>
      <c r="Q28" s="121" t="s">
        <v>17</v>
      </c>
      <c r="R28" s="121" t="str">
        <f t="shared" si="10"/>
        <v>CFG - FTS-1 NR</v>
      </c>
      <c r="T28" s="121" t="s">
        <v>171</v>
      </c>
      <c r="U28" s="257">
        <f t="shared" si="2"/>
        <v>6565.8</v>
      </c>
      <c r="V28" s="257">
        <f t="shared" si="3"/>
        <v>12</v>
      </c>
    </row>
    <row r="29" spans="1:22">
      <c r="A29" s="121">
        <f t="shared" si="0"/>
        <v>29</v>
      </c>
      <c r="B29" s="157" t="s">
        <v>117</v>
      </c>
      <c r="C29" s="363">
        <v>7434.17</v>
      </c>
      <c r="D29" s="363">
        <v>7691.49</v>
      </c>
      <c r="E29" s="363">
        <v>6862.13</v>
      </c>
      <c r="F29" s="363">
        <v>4437.5600000000004</v>
      </c>
      <c r="G29" s="363">
        <v>4203.76</v>
      </c>
      <c r="H29" s="363">
        <v>4214.78</v>
      </c>
      <c r="I29" s="363">
        <v>4503.5200000000004</v>
      </c>
      <c r="J29" s="363">
        <v>4237.84</v>
      </c>
      <c r="K29" s="363">
        <v>4512.09</v>
      </c>
      <c r="L29" s="363">
        <v>4361.01</v>
      </c>
      <c r="M29" s="363">
        <v>4845.78</v>
      </c>
      <c r="N29" s="363">
        <v>6944.24</v>
      </c>
      <c r="O29" s="361">
        <f t="shared" si="9"/>
        <v>64248.369999999995</v>
      </c>
      <c r="Q29" s="121" t="s">
        <v>17</v>
      </c>
      <c r="R29" s="121" t="str">
        <f t="shared" si="10"/>
        <v>CFG - FTS-2 NR</v>
      </c>
      <c r="T29" s="121" t="s">
        <v>171</v>
      </c>
      <c r="U29" s="257">
        <f t="shared" si="2"/>
        <v>7691.49</v>
      </c>
      <c r="V29" s="257">
        <f t="shared" si="3"/>
        <v>2</v>
      </c>
    </row>
    <row r="30" spans="1:22">
      <c r="A30" s="121">
        <f t="shared" si="0"/>
        <v>30</v>
      </c>
      <c r="B30" s="157" t="s">
        <v>118</v>
      </c>
      <c r="C30" s="363">
        <v>36956.980000000003</v>
      </c>
      <c r="D30" s="363">
        <v>36464.339999999997</v>
      </c>
      <c r="E30" s="363">
        <v>32532.69</v>
      </c>
      <c r="F30" s="363">
        <v>25008.84</v>
      </c>
      <c r="G30" s="363">
        <v>27917.360000000001</v>
      </c>
      <c r="H30" s="363">
        <v>27467.05</v>
      </c>
      <c r="I30" s="363">
        <v>28227.9</v>
      </c>
      <c r="J30" s="363">
        <v>25631.05</v>
      </c>
      <c r="K30" s="363">
        <v>32964.129999999997</v>
      </c>
      <c r="L30" s="363">
        <v>32162.05</v>
      </c>
      <c r="M30" s="363">
        <v>30654.14</v>
      </c>
      <c r="N30" s="363">
        <v>39269.379999999997</v>
      </c>
      <c r="O30" s="361">
        <f t="shared" si="9"/>
        <v>375255.91</v>
      </c>
      <c r="Q30" s="121" t="s">
        <v>17</v>
      </c>
      <c r="R30" s="121" t="str">
        <f t="shared" si="10"/>
        <v>CFG - FTS-2.1 NR</v>
      </c>
      <c r="T30" s="121" t="s">
        <v>171</v>
      </c>
      <c r="U30" s="257">
        <f t="shared" si="2"/>
        <v>39269.379999999997</v>
      </c>
      <c r="V30" s="257">
        <f t="shared" si="3"/>
        <v>12</v>
      </c>
    </row>
    <row r="31" spans="1:22">
      <c r="A31" s="121">
        <f t="shared" si="0"/>
        <v>31</v>
      </c>
      <c r="B31" s="364" t="s">
        <v>119</v>
      </c>
      <c r="C31" s="363">
        <v>97935.47</v>
      </c>
      <c r="D31" s="363">
        <v>96505.71</v>
      </c>
      <c r="E31" s="363">
        <v>91085.510000000198</v>
      </c>
      <c r="F31" s="363">
        <v>69821.440000000002</v>
      </c>
      <c r="G31" s="363">
        <v>72826.179999999993</v>
      </c>
      <c r="H31" s="363">
        <v>71864.009999999995</v>
      </c>
      <c r="I31" s="363">
        <v>78960.38</v>
      </c>
      <c r="J31" s="363">
        <v>73982.350000000006</v>
      </c>
      <c r="K31" s="363">
        <v>78372.52</v>
      </c>
      <c r="L31" s="363">
        <v>79356</v>
      </c>
      <c r="M31" s="363">
        <v>87965.29</v>
      </c>
      <c r="N31" s="363">
        <v>95958.31</v>
      </c>
      <c r="O31" s="361">
        <f t="shared" si="9"/>
        <v>994633.17000000016</v>
      </c>
      <c r="Q31" s="121" t="s">
        <v>17</v>
      </c>
      <c r="R31" s="121" t="str">
        <f t="shared" si="10"/>
        <v>CFG - FTS-3 NR</v>
      </c>
      <c r="T31" s="121" t="s">
        <v>171</v>
      </c>
      <c r="U31" s="257">
        <f t="shared" si="2"/>
        <v>97935.47</v>
      </c>
      <c r="V31" s="257">
        <f t="shared" si="3"/>
        <v>1</v>
      </c>
    </row>
    <row r="32" spans="1:22">
      <c r="A32" s="121">
        <f t="shared" si="0"/>
        <v>32</v>
      </c>
      <c r="B32" s="364" t="s">
        <v>120</v>
      </c>
      <c r="C32" s="363">
        <v>251738.49</v>
      </c>
      <c r="D32" s="363">
        <v>198000.9</v>
      </c>
      <c r="E32" s="363">
        <v>201057.4</v>
      </c>
      <c r="F32" s="363">
        <v>142793.26999999999</v>
      </c>
      <c r="G32" s="363">
        <v>152203.15</v>
      </c>
      <c r="H32" s="363">
        <v>164263.1</v>
      </c>
      <c r="I32" s="363">
        <v>173342.65</v>
      </c>
      <c r="J32" s="363">
        <v>166956.10999999999</v>
      </c>
      <c r="K32" s="363">
        <v>167173.04</v>
      </c>
      <c r="L32" s="363">
        <v>169734.99</v>
      </c>
      <c r="M32" s="363">
        <v>186184.67</v>
      </c>
      <c r="N32" s="363">
        <v>214203.68</v>
      </c>
      <c r="O32" s="361">
        <f t="shared" si="9"/>
        <v>2187651.4499999997</v>
      </c>
      <c r="Q32" s="121" t="s">
        <v>17</v>
      </c>
      <c r="R32" s="121" t="str">
        <f t="shared" si="10"/>
        <v>CFG - FTS-3.1 NR</v>
      </c>
      <c r="T32" s="121" t="s">
        <v>171</v>
      </c>
      <c r="U32" s="257">
        <f t="shared" si="2"/>
        <v>251738.49</v>
      </c>
      <c r="V32" s="257">
        <f t="shared" si="3"/>
        <v>1</v>
      </c>
    </row>
    <row r="33" spans="1:22">
      <c r="A33" s="121">
        <f t="shared" si="0"/>
        <v>33</v>
      </c>
      <c r="B33" s="364" t="s">
        <v>121</v>
      </c>
      <c r="C33" s="363">
        <v>315029.52</v>
      </c>
      <c r="D33" s="363">
        <v>291896.26</v>
      </c>
      <c r="E33" s="363">
        <v>259484.25</v>
      </c>
      <c r="F33" s="363">
        <v>169294.02</v>
      </c>
      <c r="G33" s="363">
        <v>179796.55</v>
      </c>
      <c r="H33" s="363">
        <v>204112.94</v>
      </c>
      <c r="I33" s="363">
        <v>201064.48</v>
      </c>
      <c r="J33" s="363">
        <v>192507.27</v>
      </c>
      <c r="K33" s="363">
        <v>210640.82</v>
      </c>
      <c r="L33" s="363">
        <v>201618.71</v>
      </c>
      <c r="M33" s="363">
        <v>242001.14</v>
      </c>
      <c r="N33" s="363">
        <v>302201.37</v>
      </c>
      <c r="O33" s="361">
        <f t="shared" si="9"/>
        <v>2769647.3300000005</v>
      </c>
      <c r="Q33" s="121" t="s">
        <v>17</v>
      </c>
      <c r="R33" s="121" t="str">
        <f t="shared" si="4"/>
        <v>CFG - FTS-4</v>
      </c>
      <c r="T33" s="121" t="s">
        <v>171</v>
      </c>
      <c r="U33" s="257">
        <f t="shared" si="2"/>
        <v>315029.52</v>
      </c>
      <c r="V33" s="257">
        <f t="shared" si="3"/>
        <v>1</v>
      </c>
    </row>
    <row r="34" spans="1:22">
      <c r="A34" s="121">
        <f t="shared" si="0"/>
        <v>34</v>
      </c>
      <c r="B34" s="364" t="s">
        <v>142</v>
      </c>
      <c r="C34" s="363">
        <v>96443.98</v>
      </c>
      <c r="D34" s="363">
        <v>94903.99</v>
      </c>
      <c r="E34" s="363">
        <v>96641.11</v>
      </c>
      <c r="F34" s="363">
        <v>102407.06</v>
      </c>
      <c r="G34" s="363">
        <v>79561.509999999995</v>
      </c>
      <c r="H34" s="363">
        <v>71654.539999999994</v>
      </c>
      <c r="I34" s="363">
        <v>73766.02</v>
      </c>
      <c r="J34" s="363">
        <v>78402.23</v>
      </c>
      <c r="K34" s="363">
        <v>77419.789999999994</v>
      </c>
      <c r="L34" s="363">
        <v>75065.679999999993</v>
      </c>
      <c r="M34" s="363">
        <v>81864.36</v>
      </c>
      <c r="N34" s="363">
        <v>100755.6</v>
      </c>
      <c r="O34" s="361">
        <f t="shared" si="9"/>
        <v>1028885.8700000001</v>
      </c>
      <c r="Q34" s="121" t="s">
        <v>17</v>
      </c>
      <c r="R34" s="121" t="str">
        <f t="shared" si="4"/>
        <v>CFG - FTS-5</v>
      </c>
      <c r="T34" s="121" t="s">
        <v>171</v>
      </c>
      <c r="U34" s="257">
        <f t="shared" si="2"/>
        <v>102407.06</v>
      </c>
      <c r="V34" s="257">
        <f t="shared" si="3"/>
        <v>4</v>
      </c>
    </row>
    <row r="35" spans="1:22">
      <c r="A35" s="121">
        <f t="shared" si="0"/>
        <v>35</v>
      </c>
      <c r="B35" s="364" t="s">
        <v>143</v>
      </c>
      <c r="C35" s="363">
        <v>169998.7</v>
      </c>
      <c r="D35" s="363">
        <v>167495.51999999999</v>
      </c>
      <c r="E35" s="363">
        <v>142365.28</v>
      </c>
      <c r="F35" s="363">
        <v>128419.87</v>
      </c>
      <c r="G35" s="363">
        <v>140902.14000000001</v>
      </c>
      <c r="H35" s="363">
        <v>132430.56</v>
      </c>
      <c r="I35" s="363">
        <v>121325.89</v>
      </c>
      <c r="J35" s="363">
        <v>133049.67000000001</v>
      </c>
      <c r="K35" s="363">
        <v>165432.1</v>
      </c>
      <c r="L35" s="363">
        <v>185261.89</v>
      </c>
      <c r="M35" s="363">
        <v>153598.25</v>
      </c>
      <c r="N35" s="363">
        <v>192900.41</v>
      </c>
      <c r="O35" s="361">
        <f t="shared" si="9"/>
        <v>1833180.28</v>
      </c>
      <c r="Q35" s="121" t="s">
        <v>17</v>
      </c>
      <c r="R35" s="121" t="str">
        <f t="shared" si="4"/>
        <v>CFG - FTS-6</v>
      </c>
      <c r="T35" s="121" t="s">
        <v>171</v>
      </c>
      <c r="U35" s="257">
        <f t="shared" si="2"/>
        <v>192900.41</v>
      </c>
      <c r="V35" s="257">
        <f t="shared" si="3"/>
        <v>12</v>
      </c>
    </row>
    <row r="36" spans="1:22">
      <c r="A36" s="121">
        <f t="shared" si="0"/>
        <v>36</v>
      </c>
      <c r="B36" s="364" t="s">
        <v>144</v>
      </c>
      <c r="C36" s="363">
        <v>346062.07</v>
      </c>
      <c r="D36" s="363">
        <v>314780.88</v>
      </c>
      <c r="E36" s="363">
        <v>339262.41</v>
      </c>
      <c r="F36" s="363">
        <v>261539.26</v>
      </c>
      <c r="G36" s="363">
        <v>299213.09999999998</v>
      </c>
      <c r="H36" s="363">
        <v>309218.94</v>
      </c>
      <c r="I36" s="363">
        <v>285129.86</v>
      </c>
      <c r="J36" s="363">
        <v>285009.28000000003</v>
      </c>
      <c r="K36" s="363">
        <v>296773.46999999997</v>
      </c>
      <c r="L36" s="363">
        <v>314846.81</v>
      </c>
      <c r="M36" s="363">
        <v>328306.51</v>
      </c>
      <c r="N36" s="363">
        <v>371823.23</v>
      </c>
      <c r="O36" s="361">
        <f t="shared" si="9"/>
        <v>3751965.82</v>
      </c>
      <c r="Q36" s="121" t="s">
        <v>17</v>
      </c>
      <c r="R36" s="121" t="str">
        <f t="shared" si="4"/>
        <v>CFG - FTS-7</v>
      </c>
      <c r="T36" s="121" t="s">
        <v>171</v>
      </c>
      <c r="U36" s="257">
        <f t="shared" si="2"/>
        <v>371823.23</v>
      </c>
      <c r="V36" s="257">
        <f t="shared" si="3"/>
        <v>12</v>
      </c>
    </row>
    <row r="37" spans="1:22">
      <c r="A37" s="121">
        <f t="shared" si="0"/>
        <v>37</v>
      </c>
      <c r="B37" s="364" t="s">
        <v>145</v>
      </c>
      <c r="C37" s="363">
        <v>612891.48</v>
      </c>
      <c r="D37" s="363">
        <v>472862.38</v>
      </c>
      <c r="E37" s="363">
        <v>483373.07</v>
      </c>
      <c r="F37" s="363">
        <v>348753.45</v>
      </c>
      <c r="G37" s="363">
        <v>361464.85</v>
      </c>
      <c r="H37" s="363">
        <v>376002.94</v>
      </c>
      <c r="I37" s="363">
        <v>409085.97</v>
      </c>
      <c r="J37" s="363">
        <v>406233.59</v>
      </c>
      <c r="K37" s="363">
        <v>398849.58</v>
      </c>
      <c r="L37" s="363">
        <v>432092.67</v>
      </c>
      <c r="M37" s="363">
        <v>439627.42</v>
      </c>
      <c r="N37" s="363">
        <v>486999.92</v>
      </c>
      <c r="O37" s="361">
        <f t="shared" si="9"/>
        <v>5228237.3199999994</v>
      </c>
      <c r="Q37" s="121" t="s">
        <v>17</v>
      </c>
      <c r="R37" s="121" t="str">
        <f t="shared" si="4"/>
        <v>CFG - FTS-8</v>
      </c>
      <c r="T37" s="121" t="s">
        <v>171</v>
      </c>
      <c r="U37" s="257">
        <f t="shared" si="2"/>
        <v>612891.48</v>
      </c>
      <c r="V37" s="257">
        <f t="shared" si="3"/>
        <v>1</v>
      </c>
    </row>
    <row r="38" spans="1:22">
      <c r="A38" s="121">
        <f t="shared" si="0"/>
        <v>38</v>
      </c>
      <c r="B38" s="364" t="s">
        <v>146</v>
      </c>
      <c r="C38" s="363">
        <v>318555.51</v>
      </c>
      <c r="D38" s="363">
        <v>311481.09000000003</v>
      </c>
      <c r="E38" s="363">
        <v>311634.71000000002</v>
      </c>
      <c r="F38" s="363">
        <v>247234.77</v>
      </c>
      <c r="G38" s="363">
        <v>260757.21</v>
      </c>
      <c r="H38" s="363">
        <v>258734.74</v>
      </c>
      <c r="I38" s="363">
        <v>280970.06</v>
      </c>
      <c r="J38" s="363">
        <v>266952.08</v>
      </c>
      <c r="K38" s="363">
        <v>265032.03000000003</v>
      </c>
      <c r="L38" s="363">
        <v>269177.12</v>
      </c>
      <c r="M38" s="363">
        <v>274840.53999999998</v>
      </c>
      <c r="N38" s="363">
        <v>306399.55</v>
      </c>
      <c r="O38" s="361">
        <f t="shared" si="9"/>
        <v>3371769.41</v>
      </c>
      <c r="Q38" s="121" t="s">
        <v>17</v>
      </c>
      <c r="R38" s="121" t="str">
        <f t="shared" si="4"/>
        <v>CFG - FTS-9</v>
      </c>
      <c r="T38" s="121" t="s">
        <v>171</v>
      </c>
      <c r="U38" s="257">
        <f t="shared" si="2"/>
        <v>318555.51</v>
      </c>
      <c r="V38" s="257">
        <f t="shared" si="3"/>
        <v>1</v>
      </c>
    </row>
    <row r="39" spans="1:22">
      <c r="A39" s="121">
        <f t="shared" si="0"/>
        <v>39</v>
      </c>
      <c r="B39" s="364" t="s">
        <v>147</v>
      </c>
      <c r="C39" s="363">
        <v>221082.93</v>
      </c>
      <c r="D39" s="363">
        <v>210678.64</v>
      </c>
      <c r="E39" s="363">
        <v>238265.05</v>
      </c>
      <c r="F39" s="363">
        <v>226183.56</v>
      </c>
      <c r="G39" s="363">
        <v>210807.03</v>
      </c>
      <c r="H39" s="363">
        <v>230522.88</v>
      </c>
      <c r="I39" s="363">
        <v>231727.01</v>
      </c>
      <c r="J39" s="363">
        <v>250211.47</v>
      </c>
      <c r="K39" s="363">
        <v>225939.39</v>
      </c>
      <c r="L39" s="363">
        <v>240235.38</v>
      </c>
      <c r="M39" s="363">
        <v>257910.26</v>
      </c>
      <c r="N39" s="363">
        <v>245187.85</v>
      </c>
      <c r="O39" s="361">
        <f t="shared" si="9"/>
        <v>2788751.4499999997</v>
      </c>
      <c r="Q39" s="121" t="s">
        <v>17</v>
      </c>
      <c r="R39" s="121" t="str">
        <f t="shared" si="4"/>
        <v>CFG - FTS-10</v>
      </c>
      <c r="T39" s="121" t="s">
        <v>171</v>
      </c>
      <c r="U39" s="257">
        <f t="shared" si="2"/>
        <v>257910.26</v>
      </c>
      <c r="V39" s="257">
        <f t="shared" si="3"/>
        <v>11</v>
      </c>
    </row>
    <row r="40" spans="1:22">
      <c r="A40" s="121">
        <f t="shared" si="0"/>
        <v>40</v>
      </c>
      <c r="B40" s="364" t="s">
        <v>148</v>
      </c>
      <c r="C40" s="363">
        <v>238439.79</v>
      </c>
      <c r="D40" s="363">
        <v>219634.24</v>
      </c>
      <c r="E40" s="363">
        <v>219026.02</v>
      </c>
      <c r="F40" s="363">
        <v>203773.24</v>
      </c>
      <c r="G40" s="363">
        <v>205528.06</v>
      </c>
      <c r="H40" s="363">
        <v>168184.81</v>
      </c>
      <c r="I40" s="363">
        <v>161036.29999999999</v>
      </c>
      <c r="J40" s="363">
        <v>155018.89000000001</v>
      </c>
      <c r="K40" s="363">
        <v>152144.92000000001</v>
      </c>
      <c r="L40" s="363">
        <v>162663.1</v>
      </c>
      <c r="M40" s="363">
        <v>151757.25</v>
      </c>
      <c r="N40" s="363">
        <v>113252.75</v>
      </c>
      <c r="O40" s="361">
        <f t="shared" si="9"/>
        <v>2150459.37</v>
      </c>
      <c r="Q40" s="121" t="s">
        <v>17</v>
      </c>
      <c r="R40" s="121" t="str">
        <f t="shared" si="4"/>
        <v>CFG - FTS-11</v>
      </c>
      <c r="T40" s="121" t="s">
        <v>171</v>
      </c>
      <c r="U40" s="257">
        <f t="shared" si="2"/>
        <v>238439.79</v>
      </c>
      <c r="V40" s="257">
        <f t="shared" si="3"/>
        <v>1</v>
      </c>
    </row>
    <row r="41" spans="1:22">
      <c r="A41" s="121">
        <f t="shared" si="0"/>
        <v>41</v>
      </c>
      <c r="B41" s="364" t="s">
        <v>149</v>
      </c>
      <c r="C41" s="363">
        <v>1131632.79</v>
      </c>
      <c r="D41" s="363">
        <v>1342514.69</v>
      </c>
      <c r="E41" s="363">
        <v>1426039.8</v>
      </c>
      <c r="F41" s="363">
        <v>1263862.54</v>
      </c>
      <c r="G41" s="363">
        <v>1380812.42</v>
      </c>
      <c r="H41" s="363">
        <v>1177266</v>
      </c>
      <c r="I41" s="363">
        <v>1036496.39</v>
      </c>
      <c r="J41" s="363">
        <v>1490100.25</v>
      </c>
      <c r="K41" s="363">
        <v>1362603.7</v>
      </c>
      <c r="L41" s="363">
        <v>1508102.17</v>
      </c>
      <c r="M41" s="363">
        <v>1198377.82</v>
      </c>
      <c r="N41" s="363">
        <v>1582231.07</v>
      </c>
      <c r="O41" s="361">
        <f t="shared" si="9"/>
        <v>15900039.640000001</v>
      </c>
      <c r="Q41" s="121" t="s">
        <v>17</v>
      </c>
      <c r="R41" s="121" t="str">
        <f t="shared" si="4"/>
        <v>CFG - FTS-12</v>
      </c>
      <c r="T41" s="121" t="s">
        <v>171</v>
      </c>
      <c r="U41" s="257">
        <f t="shared" si="2"/>
        <v>1582231.07</v>
      </c>
      <c r="V41" s="257">
        <f t="shared" si="3"/>
        <v>12</v>
      </c>
    </row>
    <row r="42" spans="1:22" ht="12" customHeight="1">
      <c r="A42" s="121">
        <f t="shared" si="0"/>
        <v>42</v>
      </c>
      <c r="B42" s="364" t="s">
        <v>150</v>
      </c>
      <c r="C42" s="363">
        <v>153010.59</v>
      </c>
      <c r="D42" s="363">
        <v>156994.46</v>
      </c>
      <c r="E42" s="363">
        <v>174294.91</v>
      </c>
      <c r="F42" s="363">
        <v>160792.45000000001</v>
      </c>
      <c r="G42" s="363">
        <v>163273.72</v>
      </c>
      <c r="H42" s="363">
        <v>113851.97</v>
      </c>
      <c r="I42" s="363">
        <v>130017.39</v>
      </c>
      <c r="J42" s="363">
        <v>137359.85</v>
      </c>
      <c r="K42" s="363">
        <v>113729.2</v>
      </c>
      <c r="L42" s="363">
        <v>117563.31</v>
      </c>
      <c r="M42" s="363">
        <v>101686.91</v>
      </c>
      <c r="N42" s="363">
        <v>103266.51</v>
      </c>
      <c r="O42" s="361">
        <f t="shared" si="9"/>
        <v>1625841.2699999998</v>
      </c>
      <c r="Q42" s="121" t="s">
        <v>17</v>
      </c>
      <c r="R42" s="121" t="str">
        <f t="shared" si="4"/>
        <v>CFG - FTS-NGV</v>
      </c>
      <c r="T42" s="121" t="s">
        <v>171</v>
      </c>
      <c r="U42" s="257">
        <f t="shared" si="2"/>
        <v>174294.91</v>
      </c>
      <c r="V42" s="257">
        <f t="shared" si="3"/>
        <v>3</v>
      </c>
    </row>
    <row r="43" spans="1:22">
      <c r="A43" s="121">
        <f t="shared" si="0"/>
        <v>43</v>
      </c>
      <c r="B43" s="364" t="s">
        <v>113</v>
      </c>
      <c r="C43" s="363">
        <v>112594.67999999991</v>
      </c>
      <c r="D43" s="363">
        <v>105231.62000000011</v>
      </c>
      <c r="E43" s="363">
        <v>95836.109999999957</v>
      </c>
      <c r="F43" s="363">
        <v>55780.88</v>
      </c>
      <c r="G43" s="363">
        <v>54246.519999999982</v>
      </c>
      <c r="H43" s="363">
        <v>57077.84000000004</v>
      </c>
      <c r="I43" s="363">
        <v>54602.700000000033</v>
      </c>
      <c r="J43" s="363">
        <v>56697.169999999911</v>
      </c>
      <c r="K43" s="363">
        <v>56444.82999999998</v>
      </c>
      <c r="L43" s="363">
        <v>67324.350000000108</v>
      </c>
      <c r="M43" s="363">
        <v>77802.219999999958</v>
      </c>
      <c r="N43" s="363">
        <v>88079.530000000057</v>
      </c>
      <c r="O43" s="361">
        <f t="shared" si="9"/>
        <v>881718.45</v>
      </c>
      <c r="Q43" s="121" t="s">
        <v>16</v>
      </c>
      <c r="R43" s="121" t="str">
        <f t="shared" si="4"/>
        <v>FPU - FPU - GS - 1</v>
      </c>
      <c r="T43" s="121" t="s">
        <v>172</v>
      </c>
      <c r="U43" s="257">
        <f t="shared" si="2"/>
        <v>112594.67999999991</v>
      </c>
      <c r="V43" s="257">
        <f t="shared" si="3"/>
        <v>1</v>
      </c>
    </row>
    <row r="44" spans="1:22">
      <c r="A44" s="121">
        <f t="shared" si="0"/>
        <v>44</v>
      </c>
      <c r="B44" s="364" t="s">
        <v>173</v>
      </c>
      <c r="C44" s="363">
        <v>81342.739999999991</v>
      </c>
      <c r="D44" s="363">
        <v>74148.84</v>
      </c>
      <c r="E44" s="363">
        <v>68949.600000000049</v>
      </c>
      <c r="F44" s="363">
        <v>43852.700000000019</v>
      </c>
      <c r="G44" s="363">
        <v>37492.729999999996</v>
      </c>
      <c r="H44" s="363">
        <v>41663.570000000029</v>
      </c>
      <c r="I44" s="363">
        <v>42561.060000000027</v>
      </c>
      <c r="J44" s="363">
        <v>40150.650000000023</v>
      </c>
      <c r="K44" s="363">
        <v>41785.400000000016</v>
      </c>
      <c r="L44" s="363">
        <v>46696.43</v>
      </c>
      <c r="M44" s="363">
        <v>55369.41</v>
      </c>
      <c r="N44" s="363">
        <v>65370.720000000023</v>
      </c>
      <c r="O44" s="361">
        <f t="shared" si="9"/>
        <v>639383.85000000009</v>
      </c>
      <c r="Q44" s="121" t="s">
        <v>16</v>
      </c>
      <c r="R44" s="121" t="str">
        <f t="shared" si="4"/>
        <v>FPU - FPU - GSTS - 1</v>
      </c>
      <c r="T44" s="121" t="s">
        <v>174</v>
      </c>
      <c r="U44" s="257">
        <f t="shared" si="2"/>
        <v>81342.739999999991</v>
      </c>
      <c r="V44" s="257">
        <f t="shared" si="3"/>
        <v>1</v>
      </c>
    </row>
    <row r="45" spans="1:22">
      <c r="A45" s="121">
        <f t="shared" si="0"/>
        <v>45</v>
      </c>
      <c r="B45" s="364" t="s">
        <v>175</v>
      </c>
      <c r="C45" s="363">
        <v>753628.78000000084</v>
      </c>
      <c r="D45" s="363">
        <v>711406.97000000137</v>
      </c>
      <c r="E45" s="363">
        <v>634567.1599999984</v>
      </c>
      <c r="F45" s="363">
        <v>415225.57000000012</v>
      </c>
      <c r="G45" s="363">
        <v>367517.95000000036</v>
      </c>
      <c r="H45" s="363">
        <v>372169.02000000008</v>
      </c>
      <c r="I45" s="363">
        <v>401731.58999999962</v>
      </c>
      <c r="J45" s="363">
        <v>383709.75000000023</v>
      </c>
      <c r="K45" s="363">
        <v>387533.17999999848</v>
      </c>
      <c r="L45" s="363">
        <v>416251.21999999986</v>
      </c>
      <c r="M45" s="363">
        <v>491136.83999999985</v>
      </c>
      <c r="N45" s="363">
        <v>625746.28999999969</v>
      </c>
      <c r="O45" s="361">
        <f t="shared" si="9"/>
        <v>5960624.3199999994</v>
      </c>
      <c r="Q45" s="121" t="s">
        <v>16</v>
      </c>
      <c r="R45" s="121" t="str">
        <f t="shared" si="4"/>
        <v>FPU - FPU - GS - 2</v>
      </c>
      <c r="T45" s="121" t="s">
        <v>172</v>
      </c>
      <c r="U45" s="257">
        <f t="shared" si="2"/>
        <v>753628.78000000084</v>
      </c>
      <c r="V45" s="257">
        <f t="shared" si="3"/>
        <v>1</v>
      </c>
    </row>
    <row r="46" spans="1:22">
      <c r="A46" s="121">
        <f t="shared" si="0"/>
        <v>46</v>
      </c>
      <c r="B46" s="364" t="s">
        <v>176</v>
      </c>
      <c r="C46" s="363">
        <v>559631.99999999965</v>
      </c>
      <c r="D46" s="363">
        <v>532495.30999999947</v>
      </c>
      <c r="E46" s="363">
        <v>489516.7399999997</v>
      </c>
      <c r="F46" s="363">
        <v>337336.429999999</v>
      </c>
      <c r="G46" s="363">
        <v>319692.14000000019</v>
      </c>
      <c r="H46" s="363">
        <v>336741.00999999972</v>
      </c>
      <c r="I46" s="363">
        <v>377574.19999999995</v>
      </c>
      <c r="J46" s="363">
        <v>355402.2999999997</v>
      </c>
      <c r="K46" s="363">
        <v>364700.26999999973</v>
      </c>
      <c r="L46" s="363">
        <v>380351.39000000013</v>
      </c>
      <c r="M46" s="363">
        <v>435766.74000000011</v>
      </c>
      <c r="N46" s="363">
        <v>507232.96000000037</v>
      </c>
      <c r="O46" s="361">
        <f t="shared" si="9"/>
        <v>4996441.4899999974</v>
      </c>
      <c r="Q46" s="121" t="s">
        <v>16</v>
      </c>
      <c r="R46" s="121" t="str">
        <f t="shared" si="4"/>
        <v>FPU - FPU - GSTS - 2</v>
      </c>
      <c r="T46" s="121" t="s">
        <v>174</v>
      </c>
      <c r="U46" s="257">
        <f t="shared" si="2"/>
        <v>559631.99999999965</v>
      </c>
      <c r="V46" s="257">
        <f t="shared" si="3"/>
        <v>1</v>
      </c>
    </row>
    <row r="47" spans="1:22">
      <c r="A47" s="121">
        <f t="shared" si="0"/>
        <v>47</v>
      </c>
      <c r="B47" s="364" t="s">
        <v>177</v>
      </c>
      <c r="C47" s="363">
        <v>9579.64</v>
      </c>
      <c r="D47" s="363">
        <v>8305.06</v>
      </c>
      <c r="E47" s="363">
        <v>7562.9399999999987</v>
      </c>
      <c r="F47" s="363">
        <v>5300.3200000000006</v>
      </c>
      <c r="G47" s="363">
        <v>4957.1900000000005</v>
      </c>
      <c r="H47" s="363">
        <v>3495.6699999999992</v>
      </c>
      <c r="I47" s="363">
        <v>3305.3699999999994</v>
      </c>
      <c r="J47" s="363">
        <v>2572.5899999999979</v>
      </c>
      <c r="K47" s="363">
        <v>2326.8800000000015</v>
      </c>
      <c r="L47" s="363">
        <v>2270.12</v>
      </c>
      <c r="M47" s="363">
        <v>3878.74</v>
      </c>
      <c r="N47" s="363">
        <v>6665.7699999999968</v>
      </c>
      <c r="O47" s="361">
        <f t="shared" si="9"/>
        <v>60220.289999999994</v>
      </c>
      <c r="Q47" s="121" t="s">
        <v>16</v>
      </c>
      <c r="R47" s="121" t="str">
        <f t="shared" si="4"/>
        <v>FPU - FPU - CS - GS</v>
      </c>
      <c r="T47" s="121" t="s">
        <v>172</v>
      </c>
      <c r="U47" s="257">
        <f t="shared" si="2"/>
        <v>9579.64</v>
      </c>
      <c r="V47" s="257">
        <f t="shared" si="3"/>
        <v>1</v>
      </c>
    </row>
    <row r="48" spans="1:22">
      <c r="A48" s="121">
        <f t="shared" si="0"/>
        <v>48</v>
      </c>
      <c r="B48" s="364" t="s">
        <v>178</v>
      </c>
      <c r="C48" s="363">
        <v>974676.7999999997</v>
      </c>
      <c r="D48" s="363">
        <v>890403.72999999952</v>
      </c>
      <c r="E48" s="363">
        <v>768485.90000000037</v>
      </c>
      <c r="F48" s="363">
        <v>520549.05999999988</v>
      </c>
      <c r="G48" s="363">
        <v>532530.59999999928</v>
      </c>
      <c r="H48" s="363">
        <v>504845.4800000001</v>
      </c>
      <c r="I48" s="363">
        <v>555153.19999999972</v>
      </c>
      <c r="J48" s="363">
        <v>552266.67000000062</v>
      </c>
      <c r="K48" s="363">
        <v>499601.75999999989</v>
      </c>
      <c r="L48" s="363">
        <v>536777.77999999968</v>
      </c>
      <c r="M48" s="363">
        <v>633818.38999999966</v>
      </c>
      <c r="N48" s="363">
        <v>735277.42999999912</v>
      </c>
      <c r="O48" s="361">
        <f t="shared" si="9"/>
        <v>7704386.799999997</v>
      </c>
      <c r="Q48" s="121" t="s">
        <v>16</v>
      </c>
      <c r="R48" s="121" t="str">
        <f t="shared" si="4"/>
        <v>FPU - FPU - LVS</v>
      </c>
      <c r="T48" s="121" t="s">
        <v>179</v>
      </c>
      <c r="U48" s="257">
        <f t="shared" si="2"/>
        <v>974676.7999999997</v>
      </c>
      <c r="V48" s="257">
        <f t="shared" si="3"/>
        <v>1</v>
      </c>
    </row>
    <row r="49" spans="1:22">
      <c r="A49" s="121">
        <f t="shared" si="0"/>
        <v>49</v>
      </c>
      <c r="B49" s="364" t="s">
        <v>180</v>
      </c>
      <c r="C49" s="363">
        <v>0</v>
      </c>
      <c r="D49" s="363">
        <v>0</v>
      </c>
      <c r="E49" s="363">
        <v>0</v>
      </c>
      <c r="F49" s="363">
        <v>0</v>
      </c>
      <c r="G49" s="363">
        <v>0</v>
      </c>
      <c r="H49" s="363">
        <v>0</v>
      </c>
      <c r="I49" s="363">
        <v>0</v>
      </c>
      <c r="J49" s="363">
        <v>0</v>
      </c>
      <c r="K49" s="363">
        <v>0</v>
      </c>
      <c r="L49" s="363">
        <v>0</v>
      </c>
      <c r="M49" s="363">
        <v>0</v>
      </c>
      <c r="N49" s="363">
        <v>0</v>
      </c>
      <c r="O49" s="361">
        <f t="shared" si="9"/>
        <v>0</v>
      </c>
      <c r="Q49" s="121" t="s">
        <v>16</v>
      </c>
      <c r="R49" s="121" t="str">
        <f t="shared" si="4"/>
        <v>FPU - FPU - LVTS &lt;50k</v>
      </c>
      <c r="U49" s="257">
        <f t="shared" si="2"/>
        <v>0</v>
      </c>
      <c r="V49" s="257">
        <f t="shared" si="3"/>
        <v>1</v>
      </c>
    </row>
    <row r="50" spans="1:22">
      <c r="A50" s="121">
        <f t="shared" si="0"/>
        <v>50</v>
      </c>
      <c r="B50" s="364" t="s">
        <v>181</v>
      </c>
      <c r="C50" s="363">
        <v>3227691.1699999995</v>
      </c>
      <c r="D50" s="363">
        <v>3004281.2699999963</v>
      </c>
      <c r="E50" s="363">
        <v>2834520.8200000031</v>
      </c>
      <c r="F50" s="363">
        <v>2186329.3499999982</v>
      </c>
      <c r="G50" s="363">
        <v>2061075.5500000007</v>
      </c>
      <c r="H50" s="363">
        <v>2197247.7000000025</v>
      </c>
      <c r="I50" s="363">
        <v>2335218.3700000006</v>
      </c>
      <c r="J50" s="363">
        <v>2243943.689999999</v>
      </c>
      <c r="K50" s="363">
        <v>2290174.8200000012</v>
      </c>
      <c r="L50" s="363">
        <v>2320817.4899999993</v>
      </c>
      <c r="M50" s="363">
        <v>2467079.5799999991</v>
      </c>
      <c r="N50" s="363">
        <v>2742142.8999999994</v>
      </c>
      <c r="O50" s="361">
        <f t="shared" si="9"/>
        <v>29910522.709999993</v>
      </c>
      <c r="Q50" s="121" t="s">
        <v>16</v>
      </c>
      <c r="R50" s="121" t="str">
        <f t="shared" si="4"/>
        <v>FPU - FPU - LVTS &gt;50k</v>
      </c>
      <c r="T50" s="121" t="s">
        <v>182</v>
      </c>
      <c r="U50" s="257">
        <f t="shared" si="2"/>
        <v>3227691.1699999995</v>
      </c>
      <c r="V50" s="257">
        <f t="shared" si="3"/>
        <v>1</v>
      </c>
    </row>
    <row r="51" spans="1:22">
      <c r="A51" s="121">
        <f t="shared" si="0"/>
        <v>51</v>
      </c>
      <c r="B51" s="364" t="s">
        <v>183</v>
      </c>
      <c r="C51" s="363">
        <v>0</v>
      </c>
      <c r="D51" s="363">
        <v>0</v>
      </c>
      <c r="E51" s="363">
        <v>0</v>
      </c>
      <c r="F51" s="363">
        <v>0</v>
      </c>
      <c r="G51" s="363">
        <v>0</v>
      </c>
      <c r="H51" s="363">
        <v>0</v>
      </c>
      <c r="I51" s="363">
        <v>0</v>
      </c>
      <c r="J51" s="363">
        <v>0</v>
      </c>
      <c r="K51" s="363">
        <v>0</v>
      </c>
      <c r="L51" s="363">
        <v>0</v>
      </c>
      <c r="M51" s="363">
        <v>0</v>
      </c>
      <c r="N51" s="363">
        <v>0</v>
      </c>
      <c r="O51" s="361">
        <f t="shared" si="9"/>
        <v>0</v>
      </c>
      <c r="Q51" s="121" t="s">
        <v>16</v>
      </c>
      <c r="R51" s="121" t="str">
        <f t="shared" si="4"/>
        <v>FPU - FPU - IS</v>
      </c>
      <c r="U51" s="257">
        <f t="shared" si="2"/>
        <v>0</v>
      </c>
      <c r="V51" s="257">
        <f t="shared" si="3"/>
        <v>1</v>
      </c>
    </row>
    <row r="52" spans="1:22">
      <c r="A52" s="121">
        <f t="shared" si="0"/>
        <v>52</v>
      </c>
      <c r="B52" s="364" t="s">
        <v>184</v>
      </c>
      <c r="C52" s="363">
        <v>851790.52000000014</v>
      </c>
      <c r="D52" s="363">
        <v>787098.26</v>
      </c>
      <c r="E52" s="363">
        <v>908778.47999999986</v>
      </c>
      <c r="F52" s="363">
        <v>792996.58000000007</v>
      </c>
      <c r="G52" s="363">
        <v>859956.37</v>
      </c>
      <c r="H52" s="363">
        <v>776215</v>
      </c>
      <c r="I52" s="363">
        <v>829501.29</v>
      </c>
      <c r="J52" s="363">
        <v>830301.94000000018</v>
      </c>
      <c r="K52" s="363">
        <v>796929.13</v>
      </c>
      <c r="L52" s="363">
        <v>852212.8899999999</v>
      </c>
      <c r="M52" s="363">
        <v>859689.58000000007</v>
      </c>
      <c r="N52" s="363">
        <v>901924.75</v>
      </c>
      <c r="O52" s="361">
        <f t="shared" si="9"/>
        <v>10047394.789999999</v>
      </c>
      <c r="Q52" s="121" t="s">
        <v>16</v>
      </c>
      <c r="R52" s="121" t="str">
        <f t="shared" si="4"/>
        <v>FPU - FPU - ITS</v>
      </c>
      <c r="T52" s="121" t="s">
        <v>185</v>
      </c>
      <c r="U52" s="257">
        <f t="shared" si="2"/>
        <v>908778.47999999986</v>
      </c>
      <c r="V52" s="257">
        <f t="shared" si="3"/>
        <v>3</v>
      </c>
    </row>
    <row r="53" spans="1:22">
      <c r="A53" s="121">
        <f t="shared" si="0"/>
        <v>53</v>
      </c>
      <c r="B53" s="364" t="s">
        <v>186</v>
      </c>
      <c r="C53" s="363">
        <v>8386.2199999999993</v>
      </c>
      <c r="D53" s="363">
        <v>9802.2199999999993</v>
      </c>
      <c r="E53" s="363">
        <v>9094.2199999999993</v>
      </c>
      <c r="F53" s="363">
        <v>9094.2199999999993</v>
      </c>
      <c r="G53" s="363">
        <v>9094.2199999999993</v>
      </c>
      <c r="H53" s="363">
        <v>9094.2199999999993</v>
      </c>
      <c r="I53" s="363">
        <v>9094.2199999999993</v>
      </c>
      <c r="J53" s="363">
        <v>9094.2199999999993</v>
      </c>
      <c r="K53" s="363">
        <v>9094.2199999999993</v>
      </c>
      <c r="L53" s="363">
        <v>9094.2199999999993</v>
      </c>
      <c r="M53" s="363">
        <v>9094.2199999999993</v>
      </c>
      <c r="N53" s="363">
        <v>9094.2199999999993</v>
      </c>
      <c r="O53" s="361">
        <f t="shared" si="9"/>
        <v>109130.64</v>
      </c>
      <c r="Q53" s="121" t="s">
        <v>16</v>
      </c>
      <c r="R53" s="121" t="str">
        <f t="shared" si="4"/>
        <v>FPU - FPU - GLS</v>
      </c>
      <c r="T53" s="121" t="s">
        <v>187</v>
      </c>
      <c r="U53" s="257">
        <f t="shared" si="2"/>
        <v>9802.2199999999993</v>
      </c>
      <c r="V53" s="257">
        <f t="shared" si="3"/>
        <v>2</v>
      </c>
    </row>
    <row r="54" spans="1:22">
      <c r="A54" s="121">
        <f t="shared" si="0"/>
        <v>54</v>
      </c>
      <c r="B54" s="364" t="s">
        <v>188</v>
      </c>
      <c r="C54" s="363">
        <v>0</v>
      </c>
      <c r="D54" s="363">
        <v>0</v>
      </c>
      <c r="E54" s="363">
        <v>0</v>
      </c>
      <c r="F54" s="363">
        <v>0</v>
      </c>
      <c r="G54" s="363">
        <v>0</v>
      </c>
      <c r="H54" s="363">
        <v>0</v>
      </c>
      <c r="I54" s="363">
        <v>0</v>
      </c>
      <c r="J54" s="363">
        <v>0</v>
      </c>
      <c r="K54" s="363">
        <v>0</v>
      </c>
      <c r="L54" s="363">
        <v>0</v>
      </c>
      <c r="M54" s="363">
        <v>0</v>
      </c>
      <c r="N54" s="363">
        <v>0</v>
      </c>
      <c r="O54" s="361">
        <f t="shared" si="9"/>
        <v>0</v>
      </c>
      <c r="Q54" s="121" t="s">
        <v>16</v>
      </c>
      <c r="R54" s="121" t="str">
        <f t="shared" si="4"/>
        <v>FPU - FPU-NGVS</v>
      </c>
      <c r="U54" s="257">
        <f t="shared" si="2"/>
        <v>0</v>
      </c>
      <c r="V54" s="257">
        <f t="shared" si="3"/>
        <v>1</v>
      </c>
    </row>
    <row r="55" spans="1:22">
      <c r="A55" s="121">
        <f t="shared" si="0"/>
        <v>55</v>
      </c>
      <c r="B55" s="364" t="s">
        <v>189</v>
      </c>
      <c r="C55" s="363">
        <v>72940.95</v>
      </c>
      <c r="D55" s="363">
        <v>65897.960000000006</v>
      </c>
      <c r="E55" s="363">
        <v>74564.42</v>
      </c>
      <c r="F55" s="363">
        <v>78931.460000000006</v>
      </c>
      <c r="G55" s="363">
        <v>76319.290000000008</v>
      </c>
      <c r="H55" s="363">
        <v>80862.350000000006</v>
      </c>
      <c r="I55" s="363">
        <v>86853.45</v>
      </c>
      <c r="J55" s="363">
        <v>82327.23</v>
      </c>
      <c r="K55" s="363">
        <v>83346.28</v>
      </c>
      <c r="L55" s="363">
        <v>83457.350000000006</v>
      </c>
      <c r="M55" s="363">
        <v>78034.28</v>
      </c>
      <c r="N55" s="363">
        <v>79617.850000000006</v>
      </c>
      <c r="O55" s="361">
        <f t="shared" si="9"/>
        <v>943152.87</v>
      </c>
      <c r="Q55" s="121" t="s">
        <v>16</v>
      </c>
      <c r="R55" s="121" t="str">
        <f t="shared" si="4"/>
        <v>FPU - FPU- NGVTS</v>
      </c>
      <c r="T55" s="121" t="s">
        <v>174</v>
      </c>
      <c r="U55" s="257">
        <f t="shared" si="2"/>
        <v>86853.45</v>
      </c>
      <c r="V55" s="257">
        <f t="shared" si="3"/>
        <v>7</v>
      </c>
    </row>
    <row r="56" spans="1:22">
      <c r="A56" s="121">
        <f t="shared" si="0"/>
        <v>56</v>
      </c>
      <c r="B56" s="364" t="s">
        <v>190</v>
      </c>
      <c r="C56" s="363">
        <v>45.27</v>
      </c>
      <c r="D56" s="363">
        <v>65.489999999999995</v>
      </c>
      <c r="E56" s="363">
        <v>42.220000000000006</v>
      </c>
      <c r="F56" s="363">
        <v>5.2</v>
      </c>
      <c r="G56" s="363">
        <v>6</v>
      </c>
      <c r="H56" s="363">
        <v>22.88</v>
      </c>
      <c r="I56" s="363">
        <v>7.28</v>
      </c>
      <c r="J56" s="363">
        <v>0</v>
      </c>
      <c r="K56" s="363">
        <v>13.52</v>
      </c>
      <c r="L56" s="363">
        <v>21.849999999999998</v>
      </c>
      <c r="M56" s="363">
        <v>8.4</v>
      </c>
      <c r="N56" s="363">
        <v>41.07</v>
      </c>
      <c r="O56" s="361">
        <f t="shared" si="9"/>
        <v>279.18</v>
      </c>
      <c r="Q56" s="121" t="s">
        <v>14</v>
      </c>
      <c r="R56" s="121" t="str">
        <f t="shared" si="4"/>
        <v>FT - FT-Comm PA</v>
      </c>
      <c r="S56" s="121" t="s">
        <v>100</v>
      </c>
      <c r="T56" s="121" t="s">
        <v>191</v>
      </c>
      <c r="U56" s="257">
        <f t="shared" si="2"/>
        <v>65.489999999999995</v>
      </c>
      <c r="V56" s="257">
        <f t="shared" si="3"/>
        <v>2</v>
      </c>
    </row>
    <row r="57" spans="1:22">
      <c r="A57" s="121">
        <f t="shared" si="0"/>
        <v>57</v>
      </c>
      <c r="B57" s="364" t="s">
        <v>192</v>
      </c>
      <c r="C57" s="363">
        <v>23251.81</v>
      </c>
      <c r="D57" s="363">
        <v>26261.599999999999</v>
      </c>
      <c r="E57" s="363">
        <v>23615.64</v>
      </c>
      <c r="F57" s="363">
        <v>15649</v>
      </c>
      <c r="G57" s="363">
        <v>6008</v>
      </c>
      <c r="H57" s="363">
        <v>6947.33</v>
      </c>
      <c r="I57" s="363">
        <v>7986.83</v>
      </c>
      <c r="J57" s="363">
        <v>5908.23</v>
      </c>
      <c r="K57" s="363">
        <v>6998.9699999999993</v>
      </c>
      <c r="L57" s="363">
        <v>10863.320000000002</v>
      </c>
      <c r="M57" s="363">
        <v>15168.46</v>
      </c>
      <c r="N57" s="363">
        <v>24367.879999999997</v>
      </c>
      <c r="O57" s="361">
        <f t="shared" si="9"/>
        <v>173027.07</v>
      </c>
      <c r="Q57" s="121" t="s">
        <v>14</v>
      </c>
      <c r="R57" s="121" t="str">
        <f t="shared" si="4"/>
        <v>FT - FT-Comm Small</v>
      </c>
      <c r="S57" s="121" t="s">
        <v>193</v>
      </c>
      <c r="T57" s="121" t="s">
        <v>191</v>
      </c>
      <c r="U57" s="257">
        <f t="shared" si="2"/>
        <v>26261.599999999999</v>
      </c>
      <c r="V57" s="257">
        <f t="shared" si="3"/>
        <v>2</v>
      </c>
    </row>
    <row r="58" spans="1:22">
      <c r="A58" s="121">
        <f t="shared" si="0"/>
        <v>58</v>
      </c>
      <c r="B58" s="364" t="s">
        <v>194</v>
      </c>
      <c r="C58" s="363">
        <v>2296.37</v>
      </c>
      <c r="D58" s="363">
        <v>2247.7600000000002</v>
      </c>
      <c r="E58" s="363">
        <v>2181.04</v>
      </c>
      <c r="F58" s="363">
        <v>1667</v>
      </c>
      <c r="G58" s="363">
        <v>1349</v>
      </c>
      <c r="H58" s="363">
        <v>1423.44</v>
      </c>
      <c r="I58" s="363">
        <v>1536.51</v>
      </c>
      <c r="J58" s="363">
        <v>1368.5700000000002</v>
      </c>
      <c r="K58" s="363">
        <v>1864.38</v>
      </c>
      <c r="L58" s="363">
        <v>1894.73</v>
      </c>
      <c r="M58" s="363">
        <v>2098.0499999999997</v>
      </c>
      <c r="N58" s="363">
        <v>2431.4</v>
      </c>
      <c r="O58" s="361">
        <f t="shared" si="9"/>
        <v>22358.25</v>
      </c>
      <c r="Q58" s="121" t="s">
        <v>14</v>
      </c>
      <c r="R58" s="121" t="str">
        <f t="shared" si="4"/>
        <v>FT - FT-Transportation</v>
      </c>
      <c r="S58" s="121" t="s">
        <v>193</v>
      </c>
      <c r="T58" s="121" t="s">
        <v>195</v>
      </c>
      <c r="U58" s="257">
        <f t="shared" si="2"/>
        <v>2431.4</v>
      </c>
      <c r="V58" s="257">
        <f t="shared" si="3"/>
        <v>12</v>
      </c>
    </row>
    <row r="59" spans="1:22">
      <c r="A59" s="121">
        <f t="shared" si="0"/>
        <v>59</v>
      </c>
      <c r="B59" s="157" t="s">
        <v>107</v>
      </c>
      <c r="C59" s="363">
        <v>7392.8199999999988</v>
      </c>
      <c r="D59" s="363">
        <v>7396.12</v>
      </c>
      <c r="E59" s="363">
        <v>7179.5</v>
      </c>
      <c r="F59" s="363">
        <v>6443.3700000000017</v>
      </c>
      <c r="G59" s="363">
        <v>6559.7</v>
      </c>
      <c r="H59" s="363">
        <v>6108.75</v>
      </c>
      <c r="I59" s="363">
        <v>6833.6</v>
      </c>
      <c r="J59" s="363">
        <v>5995.8999999999987</v>
      </c>
      <c r="K59" s="363">
        <v>6874.9099999999989</v>
      </c>
      <c r="L59" s="363">
        <v>5936.35</v>
      </c>
      <c r="M59" s="363">
        <v>7011.8499999999995</v>
      </c>
      <c r="N59" s="363">
        <v>6728.0899999999992</v>
      </c>
      <c r="O59" s="361">
        <f t="shared" si="9"/>
        <v>80460.960000000006</v>
      </c>
      <c r="Q59" s="121" t="s">
        <v>13</v>
      </c>
      <c r="R59" s="121" t="str">
        <f t="shared" si="4"/>
        <v>IGC - IGC - TS2</v>
      </c>
      <c r="T59" s="121" t="s">
        <v>196</v>
      </c>
      <c r="U59" s="257">
        <f t="shared" si="2"/>
        <v>7396.12</v>
      </c>
      <c r="V59" s="257">
        <f t="shared" si="3"/>
        <v>2</v>
      </c>
    </row>
    <row r="60" spans="1:22">
      <c r="A60" s="121">
        <f t="shared" si="0"/>
        <v>60</v>
      </c>
      <c r="B60" s="157" t="s">
        <v>108</v>
      </c>
      <c r="C60" s="363">
        <v>325.58999999999997</v>
      </c>
      <c r="D60" s="363">
        <v>296.39999999999998</v>
      </c>
      <c r="E60" s="363">
        <v>392.9</v>
      </c>
      <c r="F60" s="363">
        <v>348.94</v>
      </c>
      <c r="G60" s="363">
        <v>499.33</v>
      </c>
      <c r="H60" s="363">
        <v>354.32</v>
      </c>
      <c r="I60" s="363">
        <v>445.32</v>
      </c>
      <c r="J60" s="363">
        <v>406.96</v>
      </c>
      <c r="K60" s="363">
        <v>342.1</v>
      </c>
      <c r="L60" s="363">
        <v>262.31</v>
      </c>
      <c r="M60" s="363">
        <v>421.06</v>
      </c>
      <c r="N60" s="363">
        <v>571.37</v>
      </c>
      <c r="O60" s="361">
        <f t="shared" si="9"/>
        <v>4666.6000000000004</v>
      </c>
      <c r="Q60" s="121" t="s">
        <v>13</v>
      </c>
      <c r="R60" s="121" t="str">
        <f t="shared" si="4"/>
        <v>IGC - IGC - TS3</v>
      </c>
      <c r="T60" s="121" t="s">
        <v>197</v>
      </c>
      <c r="U60" s="257">
        <f t="shared" si="2"/>
        <v>571.37</v>
      </c>
      <c r="V60" s="257">
        <f t="shared" si="3"/>
        <v>12</v>
      </c>
    </row>
    <row r="61" spans="1:22">
      <c r="A61" s="121">
        <f t="shared" si="0"/>
        <v>61</v>
      </c>
      <c r="B61" s="370" t="s">
        <v>109</v>
      </c>
      <c r="C61" s="365">
        <v>0</v>
      </c>
      <c r="D61" s="365">
        <v>0</v>
      </c>
      <c r="E61" s="365">
        <v>0</v>
      </c>
      <c r="F61" s="365">
        <v>0</v>
      </c>
      <c r="G61" s="365">
        <v>0</v>
      </c>
      <c r="H61" s="365">
        <v>0</v>
      </c>
      <c r="I61" s="365">
        <v>0</v>
      </c>
      <c r="J61" s="365">
        <v>0</v>
      </c>
      <c r="K61" s="365">
        <v>0</v>
      </c>
      <c r="L61" s="365">
        <v>0</v>
      </c>
      <c r="M61" s="365">
        <v>0</v>
      </c>
      <c r="N61" s="365">
        <v>0</v>
      </c>
      <c r="O61" s="366">
        <f t="shared" si="9"/>
        <v>0</v>
      </c>
      <c r="Q61" s="121" t="s">
        <v>13</v>
      </c>
      <c r="R61" s="121" t="str">
        <f t="shared" si="4"/>
        <v>IGC - IGC - TS4</v>
      </c>
      <c r="T61" s="121" t="s">
        <v>198</v>
      </c>
      <c r="U61" s="257">
        <f t="shared" si="2"/>
        <v>0</v>
      </c>
      <c r="V61" s="257">
        <f t="shared" si="3"/>
        <v>1</v>
      </c>
    </row>
    <row r="62" spans="1:22">
      <c r="A62" s="121">
        <f t="shared" si="0"/>
        <v>62</v>
      </c>
      <c r="B62" s="371" t="s">
        <v>199</v>
      </c>
      <c r="C62" s="361">
        <f>SUM(C26:C61)</f>
        <v>10688874.569999998</v>
      </c>
      <c r="D62" s="361">
        <f t="shared" ref="D62:N62" si="11">SUM(D26:D61)</f>
        <v>10151969.479999997</v>
      </c>
      <c r="E62" s="361">
        <f t="shared" si="11"/>
        <v>9952936.8300000038</v>
      </c>
      <c r="F62" s="361">
        <f>SUM(F26:F61)</f>
        <v>7827179.7699999986</v>
      </c>
      <c r="G62" s="361">
        <f t="shared" si="11"/>
        <v>7881368.2200000016</v>
      </c>
      <c r="H62" s="361">
        <f t="shared" si="11"/>
        <v>7706943.4000000032</v>
      </c>
      <c r="I62" s="361">
        <f t="shared" si="11"/>
        <v>7931918.370000001</v>
      </c>
      <c r="J62" s="361">
        <f t="shared" si="11"/>
        <v>8238883.9200000009</v>
      </c>
      <c r="K62" s="361">
        <f t="shared" si="11"/>
        <v>8102717.9099999974</v>
      </c>
      <c r="L62" s="361">
        <f t="shared" si="11"/>
        <v>8529524.4800000004</v>
      </c>
      <c r="M62" s="361">
        <f t="shared" si="11"/>
        <v>8679449.1300000008</v>
      </c>
      <c r="N62" s="361">
        <f t="shared" si="11"/>
        <v>9963429.589999998</v>
      </c>
      <c r="O62" s="361">
        <f t="shared" si="9"/>
        <v>105655195.67</v>
      </c>
      <c r="U62" s="257"/>
      <c r="V62" s="257"/>
    </row>
    <row r="63" spans="1:22">
      <c r="A63" s="121">
        <f t="shared" si="0"/>
        <v>63</v>
      </c>
      <c r="B63" s="320" t="s">
        <v>200</v>
      </c>
      <c r="C63" s="361"/>
      <c r="D63" s="361"/>
      <c r="E63" s="361"/>
      <c r="F63" s="361"/>
      <c r="G63" s="361"/>
      <c r="H63" s="361"/>
      <c r="I63" s="361"/>
      <c r="J63" s="361"/>
      <c r="K63" s="361"/>
      <c r="L63" s="361"/>
      <c r="M63" s="361"/>
      <c r="N63" s="361"/>
      <c r="O63" s="361"/>
      <c r="U63" s="257"/>
      <c r="V63" s="257"/>
    </row>
    <row r="64" spans="1:22">
      <c r="A64" s="121">
        <f t="shared" si="0"/>
        <v>64</v>
      </c>
      <c r="B64" s="157" t="s">
        <v>114</v>
      </c>
      <c r="C64" s="372">
        <v>0</v>
      </c>
      <c r="D64" s="372">
        <v>0</v>
      </c>
      <c r="E64" s="372">
        <v>0</v>
      </c>
      <c r="F64" s="372">
        <v>0</v>
      </c>
      <c r="G64" s="372">
        <v>0</v>
      </c>
      <c r="H64" s="372">
        <v>0</v>
      </c>
      <c r="I64" s="372">
        <v>0</v>
      </c>
      <c r="J64" s="372">
        <v>0</v>
      </c>
      <c r="K64" s="372">
        <v>0</v>
      </c>
      <c r="L64" s="372">
        <v>0</v>
      </c>
      <c r="M64" s="372">
        <v>0</v>
      </c>
      <c r="N64" s="372">
        <v>0</v>
      </c>
      <c r="O64" s="361">
        <f t="shared" ref="O64:O71" si="12">SUM(C64:N64)</f>
        <v>0</v>
      </c>
      <c r="Q64" s="121" t="s">
        <v>17</v>
      </c>
      <c r="R64" s="121" t="str">
        <f>CONCATENATE(Q64," - ",B64," - ",S64)</f>
        <v>CFG - FTS-A - Fixed NR</v>
      </c>
      <c r="S64" s="121" t="s">
        <v>201</v>
      </c>
      <c r="T64" s="121" t="s">
        <v>171</v>
      </c>
      <c r="U64" s="257">
        <f t="shared" si="2"/>
        <v>0</v>
      </c>
      <c r="V64" s="257">
        <f t="shared" si="3"/>
        <v>1</v>
      </c>
    </row>
    <row r="65" spans="1:22">
      <c r="A65" s="121">
        <f t="shared" si="0"/>
        <v>65</v>
      </c>
      <c r="B65" s="157" t="s">
        <v>115</v>
      </c>
      <c r="C65" s="372">
        <v>1.03</v>
      </c>
      <c r="D65" s="372">
        <v>1.03</v>
      </c>
      <c r="E65" s="372">
        <v>2.08</v>
      </c>
      <c r="F65" s="372">
        <v>2.08</v>
      </c>
      <c r="G65" s="372">
        <v>1.03</v>
      </c>
      <c r="H65" s="372">
        <v>1.03</v>
      </c>
      <c r="I65" s="372">
        <v>3.11</v>
      </c>
      <c r="J65" s="372">
        <v>2.08</v>
      </c>
      <c r="K65" s="372">
        <v>1.03</v>
      </c>
      <c r="L65" s="372">
        <v>2.08</v>
      </c>
      <c r="M65" s="372">
        <v>2.08</v>
      </c>
      <c r="N65" s="372">
        <v>2.08</v>
      </c>
      <c r="O65" s="361">
        <f t="shared" si="12"/>
        <v>20.739999999999995</v>
      </c>
      <c r="Q65" s="121" t="s">
        <v>17</v>
      </c>
      <c r="R65" s="121" t="str">
        <f t="shared" ref="R65:R70" si="13">CONCATENATE(Q65," - ",B65," - ",S65)</f>
        <v>CFG - FTS-B - Fixed NR</v>
      </c>
      <c r="S65" s="121" t="s">
        <v>201</v>
      </c>
      <c r="T65" s="121" t="s">
        <v>171</v>
      </c>
      <c r="U65" s="257">
        <f t="shared" si="2"/>
        <v>3.11</v>
      </c>
      <c r="V65" s="257">
        <f t="shared" si="3"/>
        <v>7</v>
      </c>
    </row>
    <row r="66" spans="1:22">
      <c r="A66" s="121">
        <f t="shared" si="0"/>
        <v>66</v>
      </c>
      <c r="B66" s="157" t="s">
        <v>116</v>
      </c>
      <c r="C66" s="372">
        <v>543.84</v>
      </c>
      <c r="D66" s="372">
        <v>493.86</v>
      </c>
      <c r="E66" s="372">
        <v>461.81</v>
      </c>
      <c r="F66" s="372">
        <v>322.88</v>
      </c>
      <c r="G66" s="372">
        <v>322.10000000000002</v>
      </c>
      <c r="H66" s="372">
        <v>512.94000000000005</v>
      </c>
      <c r="I66" s="372">
        <v>542.54</v>
      </c>
      <c r="J66" s="372">
        <v>624.33000000000004</v>
      </c>
      <c r="K66" s="372">
        <v>574.72</v>
      </c>
      <c r="L66" s="372">
        <v>485.46</v>
      </c>
      <c r="M66" s="372">
        <v>559.62</v>
      </c>
      <c r="N66" s="372">
        <v>739.48</v>
      </c>
      <c r="O66" s="361">
        <f t="shared" si="12"/>
        <v>6183.58</v>
      </c>
      <c r="Q66" s="121" t="s">
        <v>17</v>
      </c>
      <c r="R66" s="121" t="str">
        <f t="shared" si="13"/>
        <v>CFG - FTS-1 - Fixed NR</v>
      </c>
      <c r="S66" s="121" t="s">
        <v>201</v>
      </c>
      <c r="T66" s="121" t="s">
        <v>171</v>
      </c>
      <c r="U66" s="257">
        <f t="shared" si="2"/>
        <v>739.48</v>
      </c>
      <c r="V66" s="257">
        <f t="shared" si="3"/>
        <v>12</v>
      </c>
    </row>
    <row r="67" spans="1:22">
      <c r="A67" s="121">
        <f t="shared" ref="A67:A130" si="14">+A66+1</f>
        <v>67</v>
      </c>
      <c r="B67" s="364" t="s">
        <v>117</v>
      </c>
      <c r="C67" s="372">
        <v>237.97</v>
      </c>
      <c r="D67" s="372">
        <v>218.61</v>
      </c>
      <c r="E67" s="372">
        <v>187.94</v>
      </c>
      <c r="F67" s="372">
        <v>472.1</v>
      </c>
      <c r="G67" s="372">
        <v>137.96</v>
      </c>
      <c r="H67" s="372">
        <v>-112.03</v>
      </c>
      <c r="I67" s="372">
        <v>276.92</v>
      </c>
      <c r="J67" s="372">
        <v>204.54</v>
      </c>
      <c r="K67" s="372">
        <v>177.56</v>
      </c>
      <c r="L67" s="372">
        <v>176.09</v>
      </c>
      <c r="M67" s="372">
        <v>201.93</v>
      </c>
      <c r="N67" s="372">
        <v>210.25</v>
      </c>
      <c r="O67" s="361">
        <f t="shared" si="12"/>
        <v>2389.8399999999997</v>
      </c>
      <c r="Q67" s="121" t="s">
        <v>17</v>
      </c>
      <c r="R67" s="121" t="str">
        <f t="shared" si="13"/>
        <v>CFG - FTS-2 - Fixed NR</v>
      </c>
      <c r="S67" s="121" t="s">
        <v>201</v>
      </c>
      <c r="T67" s="121" t="s">
        <v>171</v>
      </c>
      <c r="U67" s="257">
        <f t="shared" si="2"/>
        <v>472.1</v>
      </c>
      <c r="V67" s="257">
        <f t="shared" si="3"/>
        <v>4</v>
      </c>
    </row>
    <row r="68" spans="1:22">
      <c r="A68" s="121">
        <f t="shared" si="14"/>
        <v>68</v>
      </c>
      <c r="B68" s="364" t="s">
        <v>118</v>
      </c>
      <c r="C68" s="372">
        <v>1454.24</v>
      </c>
      <c r="D68" s="372">
        <v>1468.02</v>
      </c>
      <c r="E68" s="372">
        <v>1416.31</v>
      </c>
      <c r="F68" s="372">
        <v>868.39</v>
      </c>
      <c r="G68" s="372">
        <v>867.23</v>
      </c>
      <c r="H68" s="372">
        <v>1167.31</v>
      </c>
      <c r="I68" s="372">
        <v>1167.04</v>
      </c>
      <c r="J68" s="372">
        <v>1160.98</v>
      </c>
      <c r="K68" s="372">
        <v>999.97</v>
      </c>
      <c r="L68" s="372">
        <v>915.86</v>
      </c>
      <c r="M68" s="372">
        <v>1109.25</v>
      </c>
      <c r="N68" s="372">
        <v>1251.6500000000001</v>
      </c>
      <c r="O68" s="361">
        <f t="shared" si="12"/>
        <v>13846.25</v>
      </c>
      <c r="Q68" s="121" t="s">
        <v>17</v>
      </c>
      <c r="R68" s="121" t="str">
        <f t="shared" si="13"/>
        <v>CFG - FTS-2.1 - Fixed NR</v>
      </c>
      <c r="S68" s="121" t="s">
        <v>201</v>
      </c>
      <c r="T68" s="121" t="s">
        <v>171</v>
      </c>
      <c r="U68" s="257">
        <f t="shared" si="2"/>
        <v>1468.02</v>
      </c>
      <c r="V68" s="257">
        <f t="shared" si="3"/>
        <v>2</v>
      </c>
    </row>
    <row r="69" spans="1:22">
      <c r="A69" s="121">
        <f t="shared" si="14"/>
        <v>69</v>
      </c>
      <c r="B69" s="364" t="s">
        <v>119</v>
      </c>
      <c r="C69" s="372">
        <v>5663.76</v>
      </c>
      <c r="D69" s="372">
        <v>5166.3599999999997</v>
      </c>
      <c r="E69" s="372">
        <v>4824.9399999999996</v>
      </c>
      <c r="F69" s="372">
        <v>3423.22</v>
      </c>
      <c r="G69" s="372">
        <v>4076.46</v>
      </c>
      <c r="H69" s="372">
        <v>4550.55</v>
      </c>
      <c r="I69" s="372">
        <v>4833.03</v>
      </c>
      <c r="J69" s="372">
        <v>4642.59</v>
      </c>
      <c r="K69" s="372">
        <v>4571.9399999999996</v>
      </c>
      <c r="L69" s="372">
        <v>4510.8</v>
      </c>
      <c r="M69" s="372">
        <v>5018.07</v>
      </c>
      <c r="N69" s="372">
        <v>5091.1000000000004</v>
      </c>
      <c r="O69" s="361">
        <f t="shared" si="12"/>
        <v>56372.82</v>
      </c>
      <c r="Q69" s="121" t="s">
        <v>17</v>
      </c>
      <c r="R69" s="121" t="str">
        <f t="shared" si="13"/>
        <v>CFG - FTS-3 - Fixed NR</v>
      </c>
      <c r="S69" s="121" t="s">
        <v>201</v>
      </c>
      <c r="T69" s="121" t="s">
        <v>171</v>
      </c>
      <c r="U69" s="257">
        <f>MAX(C69:N69)</f>
        <v>5663.76</v>
      </c>
      <c r="V69" s="257">
        <f>IFERROR(INDEX($C$1:$N$1,MATCH(U69,C69:N69,0)),0)</f>
        <v>1</v>
      </c>
    </row>
    <row r="70" spans="1:22">
      <c r="A70" s="121">
        <f t="shared" si="14"/>
        <v>70</v>
      </c>
      <c r="B70" s="370" t="s">
        <v>120</v>
      </c>
      <c r="C70" s="373">
        <v>3969.03</v>
      </c>
      <c r="D70" s="373">
        <v>3923.83</v>
      </c>
      <c r="E70" s="373">
        <v>3620.65</v>
      </c>
      <c r="F70" s="373">
        <v>1578.54</v>
      </c>
      <c r="G70" s="373">
        <v>3003.8</v>
      </c>
      <c r="H70" s="373">
        <v>3316.85</v>
      </c>
      <c r="I70" s="373">
        <v>3651.62</v>
      </c>
      <c r="J70" s="373">
        <v>2964.77</v>
      </c>
      <c r="K70" s="373">
        <v>3362.97</v>
      </c>
      <c r="L70" s="373">
        <v>3649.05</v>
      </c>
      <c r="M70" s="373">
        <v>3791.27</v>
      </c>
      <c r="N70" s="373">
        <v>3453.44</v>
      </c>
      <c r="O70" s="366">
        <f t="shared" si="12"/>
        <v>40285.82</v>
      </c>
      <c r="Q70" s="121" t="s">
        <v>17</v>
      </c>
      <c r="R70" s="121" t="str">
        <f t="shared" si="13"/>
        <v>CFG - FTS-3.1 - Fixed NR</v>
      </c>
      <c r="S70" s="121" t="s">
        <v>201</v>
      </c>
      <c r="T70" s="121" t="s">
        <v>171</v>
      </c>
      <c r="U70" s="257">
        <f>MAX(C70:N70)</f>
        <v>3969.03</v>
      </c>
      <c r="V70" s="257">
        <f>IFERROR(INDEX($C$1:$N$1,MATCH(U70,C70:N70,0)),0)</f>
        <v>1</v>
      </c>
    </row>
    <row r="71" spans="1:22">
      <c r="A71" s="121">
        <f t="shared" si="14"/>
        <v>71</v>
      </c>
      <c r="B71" s="371" t="s">
        <v>202</v>
      </c>
      <c r="C71" s="361">
        <f>SUM(C64:C70)</f>
        <v>11869.87</v>
      </c>
      <c r="D71" s="361">
        <f t="shared" ref="D71:N71" si="15">SUM(D64:D70)</f>
        <v>11271.71</v>
      </c>
      <c r="E71" s="361">
        <f t="shared" si="15"/>
        <v>10513.73</v>
      </c>
      <c r="F71" s="361">
        <f t="shared" si="15"/>
        <v>6667.21</v>
      </c>
      <c r="G71" s="361">
        <f t="shared" si="15"/>
        <v>8408.5800000000017</v>
      </c>
      <c r="H71" s="361">
        <f t="shared" si="15"/>
        <v>9436.65</v>
      </c>
      <c r="I71" s="361">
        <f t="shared" si="15"/>
        <v>10474.259999999998</v>
      </c>
      <c r="J71" s="361">
        <f t="shared" si="15"/>
        <v>9599.2900000000009</v>
      </c>
      <c r="K71" s="361">
        <f t="shared" si="15"/>
        <v>9688.1899999999987</v>
      </c>
      <c r="L71" s="361">
        <f t="shared" si="15"/>
        <v>9739.34</v>
      </c>
      <c r="M71" s="361">
        <f t="shared" si="15"/>
        <v>10682.22</v>
      </c>
      <c r="N71" s="361">
        <f t="shared" si="15"/>
        <v>10748</v>
      </c>
      <c r="O71" s="361">
        <f t="shared" si="12"/>
        <v>119099.04999999999</v>
      </c>
      <c r="U71" s="257"/>
      <c r="V71" s="257"/>
    </row>
    <row r="72" spans="1:22">
      <c r="A72" s="121">
        <f t="shared" si="14"/>
        <v>72</v>
      </c>
      <c r="B72" s="320" t="s">
        <v>203</v>
      </c>
      <c r="C72" s="361"/>
      <c r="D72" s="361"/>
      <c r="E72" s="361"/>
      <c r="F72" s="361"/>
      <c r="G72" s="361"/>
      <c r="H72" s="361"/>
      <c r="I72" s="361"/>
      <c r="J72" s="361"/>
      <c r="K72" s="361"/>
      <c r="L72" s="361"/>
      <c r="M72" s="361"/>
      <c r="N72" s="361"/>
      <c r="O72" s="361"/>
      <c r="U72" s="257"/>
      <c r="V72" s="257"/>
    </row>
    <row r="73" spans="1:22">
      <c r="A73" s="121">
        <f t="shared" si="14"/>
        <v>73</v>
      </c>
      <c r="B73" s="118" t="s">
        <v>204</v>
      </c>
      <c r="C73" s="372">
        <f>64333+5006</f>
        <v>69339</v>
      </c>
      <c r="D73" s="372">
        <f>112860+2710</f>
        <v>115570</v>
      </c>
      <c r="E73" s="372">
        <f>86003.92+2070</f>
        <v>88073.919999999998</v>
      </c>
      <c r="F73" s="372">
        <f>79036.61+2591</f>
        <v>81627.61</v>
      </c>
      <c r="G73" s="372">
        <f>94217.24+2356</f>
        <v>96573.24</v>
      </c>
      <c r="H73" s="372">
        <v>42580</v>
      </c>
      <c r="I73" s="372">
        <v>29161.71</v>
      </c>
      <c r="J73" s="372">
        <v>58885.34</v>
      </c>
      <c r="K73" s="372">
        <v>69575.98</v>
      </c>
      <c r="L73" s="372">
        <v>53480.91</v>
      </c>
      <c r="M73" s="372">
        <v>23645.599999999999</v>
      </c>
      <c r="N73" s="372">
        <v>34762.840000000004</v>
      </c>
      <c r="O73" s="361">
        <f t="shared" ref="O73:O87" si="16">SUM(C73:N73)</f>
        <v>763276.14999999991</v>
      </c>
      <c r="Q73" s="121" t="s">
        <v>17</v>
      </c>
      <c r="T73" s="121" t="s">
        <v>205</v>
      </c>
      <c r="U73" s="257">
        <f t="shared" ref="U73:U97" si="17">MAX(C73:N73)</f>
        <v>115570</v>
      </c>
      <c r="V73" s="257">
        <f t="shared" ref="V73:V97" si="18">IFERROR(INDEX($C$1:$N$1,MATCH(U73,C73:N73,0)),0)</f>
        <v>2</v>
      </c>
    </row>
    <row r="74" spans="1:22">
      <c r="A74" s="121">
        <f t="shared" si="14"/>
        <v>74</v>
      </c>
      <c r="B74" s="118" t="s">
        <v>206</v>
      </c>
      <c r="C74" s="372">
        <v>22238.77</v>
      </c>
      <c r="D74" s="372">
        <v>21418.6</v>
      </c>
      <c r="E74" s="372">
        <v>15606.4</v>
      </c>
      <c r="F74" s="372">
        <v>12509.31</v>
      </c>
      <c r="G74" s="372">
        <v>12259.81</v>
      </c>
      <c r="H74" s="372">
        <v>10707.44</v>
      </c>
      <c r="I74" s="372">
        <v>9610.1200000000008</v>
      </c>
      <c r="J74" s="372">
        <v>9033.5</v>
      </c>
      <c r="K74" s="372">
        <v>9329.31</v>
      </c>
      <c r="L74" s="372">
        <v>10663.24</v>
      </c>
      <c r="M74" s="372">
        <v>13462.02</v>
      </c>
      <c r="N74" s="372">
        <v>20206.68</v>
      </c>
      <c r="O74" s="361">
        <f t="shared" si="16"/>
        <v>167045.19999999998</v>
      </c>
      <c r="Q74" s="121" t="s">
        <v>17</v>
      </c>
      <c r="T74" s="121" t="s">
        <v>205</v>
      </c>
      <c r="U74" s="257">
        <f t="shared" si="17"/>
        <v>22238.77</v>
      </c>
      <c r="V74" s="257">
        <f t="shared" si="18"/>
        <v>1</v>
      </c>
    </row>
    <row r="75" spans="1:22">
      <c r="A75" s="121">
        <f t="shared" si="14"/>
        <v>75</v>
      </c>
      <c r="B75" s="118" t="s">
        <v>207</v>
      </c>
      <c r="C75" s="372">
        <v>1793074.31</v>
      </c>
      <c r="D75" s="372">
        <v>1681229.36</v>
      </c>
      <c r="E75" s="372">
        <v>1794009.2</v>
      </c>
      <c r="F75" s="372">
        <v>1692851.67</v>
      </c>
      <c r="G75" s="372">
        <v>1743335.06</v>
      </c>
      <c r="H75" s="372">
        <v>1733604.69</v>
      </c>
      <c r="I75" s="372">
        <v>404046.55</v>
      </c>
      <c r="J75" s="372">
        <v>1547143.66</v>
      </c>
      <c r="K75" s="372">
        <v>1736513.65</v>
      </c>
      <c r="L75" s="372">
        <v>1800894.13</v>
      </c>
      <c r="M75" s="372">
        <v>1739593.68</v>
      </c>
      <c r="N75" s="372">
        <v>1797113.04</v>
      </c>
      <c r="O75" s="361">
        <f t="shared" si="16"/>
        <v>19463409</v>
      </c>
      <c r="Q75" s="121" t="s">
        <v>17</v>
      </c>
      <c r="T75" s="121" t="s">
        <v>205</v>
      </c>
      <c r="U75" s="257">
        <f t="shared" si="17"/>
        <v>1800894.13</v>
      </c>
      <c r="V75" s="257">
        <f t="shared" si="18"/>
        <v>10</v>
      </c>
    </row>
    <row r="76" spans="1:22">
      <c r="A76" s="121">
        <f t="shared" si="14"/>
        <v>76</v>
      </c>
      <c r="B76" s="118" t="s">
        <v>208</v>
      </c>
      <c r="C76" s="372">
        <v>1015710.42</v>
      </c>
      <c r="D76" s="372">
        <v>2053599.61</v>
      </c>
      <c r="E76" s="372">
        <v>1887779.92</v>
      </c>
      <c r="F76" s="372">
        <v>1747450.08</v>
      </c>
      <c r="G76" s="372">
        <v>1960940.34</v>
      </c>
      <c r="H76" s="372">
        <v>2099969.9</v>
      </c>
      <c r="I76" s="372">
        <v>2136360.11</v>
      </c>
      <c r="J76" s="372">
        <v>774489.73</v>
      </c>
      <c r="K76" s="372">
        <v>1703329.77</v>
      </c>
      <c r="L76" s="372">
        <v>1067900.3400000001</v>
      </c>
      <c r="M76" s="372">
        <v>1649679.74</v>
      </c>
      <c r="N76" s="372">
        <v>2060279.63</v>
      </c>
      <c r="O76" s="361">
        <f t="shared" si="16"/>
        <v>20157489.59</v>
      </c>
      <c r="Q76" s="121" t="s">
        <v>17</v>
      </c>
      <c r="T76" s="121" t="s">
        <v>205</v>
      </c>
      <c r="U76" s="257">
        <f t="shared" si="17"/>
        <v>2136360.11</v>
      </c>
      <c r="V76" s="257">
        <f t="shared" si="18"/>
        <v>7</v>
      </c>
    </row>
    <row r="77" spans="1:22" ht="11.1" customHeight="1">
      <c r="A77" s="121">
        <f t="shared" si="14"/>
        <v>77</v>
      </c>
      <c r="B77" s="118" t="s">
        <v>209</v>
      </c>
      <c r="C77" s="372">
        <v>0</v>
      </c>
      <c r="D77" s="372">
        <v>0</v>
      </c>
      <c r="E77" s="372">
        <v>0</v>
      </c>
      <c r="F77" s="372">
        <v>0</v>
      </c>
      <c r="G77" s="372">
        <v>0</v>
      </c>
      <c r="H77" s="372">
        <v>0</v>
      </c>
      <c r="I77" s="372">
        <v>0</v>
      </c>
      <c r="J77" s="372">
        <v>0</v>
      </c>
      <c r="K77" s="372">
        <v>0</v>
      </c>
      <c r="L77" s="372">
        <v>0</v>
      </c>
      <c r="M77" s="372">
        <v>0</v>
      </c>
      <c r="N77" s="372">
        <v>0</v>
      </c>
      <c r="O77" s="361">
        <f t="shared" si="16"/>
        <v>0</v>
      </c>
      <c r="Q77" s="121" t="s">
        <v>17</v>
      </c>
      <c r="T77" s="121" t="s">
        <v>205</v>
      </c>
      <c r="U77" s="257">
        <f t="shared" si="17"/>
        <v>0</v>
      </c>
      <c r="V77" s="257">
        <f t="shared" si="18"/>
        <v>1</v>
      </c>
    </row>
    <row r="78" spans="1:22">
      <c r="A78" s="121">
        <f t="shared" si="14"/>
        <v>78</v>
      </c>
      <c r="B78" s="118" t="s">
        <v>210</v>
      </c>
      <c r="C78" s="372">
        <v>1022359.4</v>
      </c>
      <c r="D78" s="372">
        <v>833393.29</v>
      </c>
      <c r="E78" s="372">
        <v>889424.46</v>
      </c>
      <c r="F78" s="372">
        <v>625488.11</v>
      </c>
      <c r="G78" s="372">
        <v>912994.52</v>
      </c>
      <c r="H78" s="372">
        <v>860969.92</v>
      </c>
      <c r="I78" s="372">
        <v>832103.58</v>
      </c>
      <c r="J78" s="372">
        <v>622725.27</v>
      </c>
      <c r="K78" s="372">
        <v>425730.9</v>
      </c>
      <c r="L78" s="372">
        <v>832285.79</v>
      </c>
      <c r="M78" s="372">
        <v>961110.09</v>
      </c>
      <c r="N78" s="372">
        <v>964176.88</v>
      </c>
      <c r="O78" s="361">
        <f t="shared" si="16"/>
        <v>9782762.2100000009</v>
      </c>
      <c r="Q78" s="121" t="s">
        <v>17</v>
      </c>
      <c r="T78" s="121" t="s">
        <v>205</v>
      </c>
      <c r="U78" s="257">
        <f t="shared" si="17"/>
        <v>1022359.4</v>
      </c>
      <c r="V78" s="257">
        <f t="shared" si="18"/>
        <v>1</v>
      </c>
    </row>
    <row r="79" spans="1:22">
      <c r="A79" s="121">
        <f t="shared" si="14"/>
        <v>79</v>
      </c>
      <c r="B79" s="118" t="s">
        <v>211</v>
      </c>
      <c r="C79" s="372">
        <v>558176.11</v>
      </c>
      <c r="D79" s="372">
        <v>480640.67</v>
      </c>
      <c r="E79" s="372">
        <v>705041.84</v>
      </c>
      <c r="F79" s="372">
        <v>655878.43000000005</v>
      </c>
      <c r="G79" s="372">
        <v>378807.83</v>
      </c>
      <c r="H79" s="372">
        <v>58014.95</v>
      </c>
      <c r="I79" s="372">
        <v>86654.74</v>
      </c>
      <c r="J79" s="372">
        <v>61230.59</v>
      </c>
      <c r="K79" s="372">
        <v>70626.25</v>
      </c>
      <c r="L79" s="372">
        <v>42833.11</v>
      </c>
      <c r="M79" s="372">
        <v>18643.2</v>
      </c>
      <c r="N79" s="372">
        <v>396014.86</v>
      </c>
      <c r="O79" s="361">
        <f t="shared" si="16"/>
        <v>3512562.5800000005</v>
      </c>
      <c r="Q79" s="121" t="s">
        <v>17</v>
      </c>
      <c r="T79" s="121" t="s">
        <v>205</v>
      </c>
      <c r="U79" s="257">
        <f t="shared" si="17"/>
        <v>705041.84</v>
      </c>
      <c r="V79" s="257">
        <f t="shared" si="18"/>
        <v>3</v>
      </c>
    </row>
    <row r="80" spans="1:22">
      <c r="A80" s="121">
        <f t="shared" si="14"/>
        <v>80</v>
      </c>
      <c r="B80" s="118" t="s">
        <v>212</v>
      </c>
      <c r="C80" s="372">
        <v>0</v>
      </c>
      <c r="D80" s="372">
        <v>0</v>
      </c>
      <c r="E80" s="372">
        <v>0</v>
      </c>
      <c r="F80" s="372">
        <v>0</v>
      </c>
      <c r="G80" s="372">
        <v>0</v>
      </c>
      <c r="H80" s="372">
        <v>0</v>
      </c>
      <c r="I80" s="372">
        <v>0</v>
      </c>
      <c r="J80" s="372">
        <v>0</v>
      </c>
      <c r="K80" s="372">
        <v>0</v>
      </c>
      <c r="L80" s="372">
        <v>0</v>
      </c>
      <c r="M80" s="372">
        <v>0</v>
      </c>
      <c r="N80" s="372">
        <v>0</v>
      </c>
      <c r="O80" s="361">
        <f t="shared" si="16"/>
        <v>0</v>
      </c>
      <c r="Q80" s="121" t="s">
        <v>16</v>
      </c>
      <c r="T80" s="121" t="s">
        <v>213</v>
      </c>
      <c r="U80" s="257">
        <f t="shared" si="17"/>
        <v>0</v>
      </c>
      <c r="V80" s="257">
        <f t="shared" si="18"/>
        <v>1</v>
      </c>
    </row>
    <row r="81" spans="1:22">
      <c r="A81" s="121">
        <f t="shared" si="14"/>
        <v>81</v>
      </c>
      <c r="B81" s="323" t="s">
        <v>214</v>
      </c>
      <c r="C81" s="372">
        <v>3289093.88</v>
      </c>
      <c r="D81" s="372">
        <v>3031676.4</v>
      </c>
      <c r="E81" s="372">
        <v>3086594.12</v>
      </c>
      <c r="F81" s="372">
        <v>3151207.96</v>
      </c>
      <c r="G81" s="372">
        <v>3156080.87</v>
      </c>
      <c r="H81" s="372">
        <v>3294972.8</v>
      </c>
      <c r="I81" s="372">
        <v>3241607.2</v>
      </c>
      <c r="J81" s="372">
        <v>3290924.08</v>
      </c>
      <c r="K81" s="372">
        <v>1677029.03</v>
      </c>
      <c r="L81" s="372">
        <v>3300145.8</v>
      </c>
      <c r="M81" s="372">
        <v>2936989.33</v>
      </c>
      <c r="N81" s="372">
        <v>2992974.48</v>
      </c>
      <c r="O81" s="361">
        <f t="shared" si="16"/>
        <v>36449295.950000003</v>
      </c>
      <c r="Q81" s="121" t="s">
        <v>17</v>
      </c>
      <c r="T81" s="121" t="s">
        <v>205</v>
      </c>
      <c r="U81" s="257">
        <f t="shared" si="17"/>
        <v>3300145.8</v>
      </c>
      <c r="V81" s="257">
        <f t="shared" si="18"/>
        <v>10</v>
      </c>
    </row>
    <row r="82" spans="1:22">
      <c r="A82" s="121">
        <f t="shared" si="14"/>
        <v>82</v>
      </c>
      <c r="B82" s="323" t="s">
        <v>215</v>
      </c>
      <c r="C82" s="372">
        <v>2483575.4700000002</v>
      </c>
      <c r="D82" s="372">
        <v>291407.42</v>
      </c>
      <c r="E82" s="372">
        <v>309289.62</v>
      </c>
      <c r="F82" s="372">
        <v>300615.59999999998</v>
      </c>
      <c r="G82" s="374">
        <v>309235.03999999998</v>
      </c>
      <c r="H82" s="372">
        <v>899995.04</v>
      </c>
      <c r="I82" s="372">
        <v>928564.03</v>
      </c>
      <c r="J82" s="372">
        <v>932292.72</v>
      </c>
      <c r="K82" s="372">
        <v>899989.94</v>
      </c>
      <c r="L82" s="372">
        <v>929969.25</v>
      </c>
      <c r="M82" s="372">
        <v>1048291.07</v>
      </c>
      <c r="N82" s="372">
        <v>1239773.1000000001</v>
      </c>
      <c r="O82" s="361">
        <f t="shared" si="16"/>
        <v>10572998.300000001</v>
      </c>
      <c r="Q82" s="121" t="s">
        <v>17</v>
      </c>
      <c r="T82" s="121" t="s">
        <v>205</v>
      </c>
      <c r="U82" s="257">
        <f t="shared" si="17"/>
        <v>2483575.4700000002</v>
      </c>
      <c r="V82" s="257">
        <f t="shared" si="18"/>
        <v>1</v>
      </c>
    </row>
    <row r="83" spans="1:22">
      <c r="A83" s="121">
        <f t="shared" si="14"/>
        <v>83</v>
      </c>
      <c r="B83" s="323" t="s">
        <v>216</v>
      </c>
      <c r="C83" s="372">
        <v>12600442.220000001</v>
      </c>
      <c r="D83" s="372">
        <v>11075286.310000001</v>
      </c>
      <c r="E83" s="372">
        <v>13287580.76</v>
      </c>
      <c r="F83" s="372">
        <v>12823076.85</v>
      </c>
      <c r="G83" s="372">
        <v>11933083.9</v>
      </c>
      <c r="H83" s="372">
        <v>10907630.369999999</v>
      </c>
      <c r="I83" s="372">
        <v>11280687.359999999</v>
      </c>
      <c r="J83" s="372">
        <v>11118786.74</v>
      </c>
      <c r="K83" s="372">
        <v>8874582.8699999992</v>
      </c>
      <c r="L83" s="372">
        <v>11702906.99</v>
      </c>
      <c r="M83" s="372">
        <v>9478272.8499999996</v>
      </c>
      <c r="N83" s="372">
        <v>8061550.7199999997</v>
      </c>
      <c r="O83" s="361">
        <f t="shared" si="16"/>
        <v>133143887.93999998</v>
      </c>
      <c r="Q83" s="121" t="s">
        <v>17</v>
      </c>
      <c r="T83" s="121" t="s">
        <v>205</v>
      </c>
      <c r="U83" s="257">
        <f t="shared" si="17"/>
        <v>13287580.76</v>
      </c>
      <c r="V83" s="257">
        <f t="shared" si="18"/>
        <v>3</v>
      </c>
    </row>
    <row r="84" spans="1:22">
      <c r="A84" s="121">
        <f t="shared" si="14"/>
        <v>84</v>
      </c>
      <c r="B84" s="323" t="s">
        <v>217</v>
      </c>
      <c r="C84" s="372"/>
      <c r="D84" s="372"/>
      <c r="E84" s="372"/>
      <c r="F84" s="372"/>
      <c r="G84" s="372"/>
      <c r="H84" s="372"/>
      <c r="I84" s="372"/>
      <c r="J84" s="372"/>
      <c r="K84" s="372"/>
      <c r="L84" s="372"/>
      <c r="M84" s="372"/>
      <c r="N84" s="372"/>
      <c r="O84" s="361">
        <f t="shared" si="16"/>
        <v>0</v>
      </c>
      <c r="Q84" s="121" t="s">
        <v>17</v>
      </c>
      <c r="T84" s="121" t="s">
        <v>205</v>
      </c>
      <c r="U84" s="257">
        <f t="shared" si="17"/>
        <v>0</v>
      </c>
      <c r="V84" s="257">
        <f t="shared" si="18"/>
        <v>0</v>
      </c>
    </row>
    <row r="85" spans="1:22">
      <c r="A85" s="121">
        <f t="shared" si="14"/>
        <v>85</v>
      </c>
      <c r="B85" s="323" t="s">
        <v>218</v>
      </c>
      <c r="C85" s="372">
        <v>70732.429999999993</v>
      </c>
      <c r="D85" s="372">
        <v>79179.039999999994</v>
      </c>
      <c r="E85" s="372">
        <v>73941</v>
      </c>
      <c r="F85" s="372">
        <v>125076</v>
      </c>
      <c r="G85" s="372">
        <v>129451.91</v>
      </c>
      <c r="H85" s="372">
        <v>117469.21</v>
      </c>
      <c r="I85" s="372">
        <v>115028.65</v>
      </c>
      <c r="J85" s="372">
        <v>57934.41</v>
      </c>
      <c r="K85" s="372">
        <v>115914.53</v>
      </c>
      <c r="L85" s="375">
        <v>-47644.05</v>
      </c>
      <c r="M85" s="372">
        <v>237559.58</v>
      </c>
      <c r="N85" s="372">
        <v>146631.15</v>
      </c>
      <c r="O85" s="361">
        <f>SUM(C85:N85)</f>
        <v>1221273.8599999999</v>
      </c>
      <c r="Q85" s="121" t="s">
        <v>16</v>
      </c>
      <c r="T85" s="121" t="s">
        <v>213</v>
      </c>
      <c r="U85" s="257">
        <f t="shared" si="17"/>
        <v>237559.58</v>
      </c>
      <c r="V85" s="257">
        <f t="shared" si="18"/>
        <v>11</v>
      </c>
    </row>
    <row r="86" spans="1:22">
      <c r="A86" s="121">
        <f t="shared" si="14"/>
        <v>86</v>
      </c>
      <c r="B86" s="323" t="s">
        <v>219</v>
      </c>
      <c r="C86" s="372">
        <v>501759.44</v>
      </c>
      <c r="D86" s="372">
        <v>171741.15</v>
      </c>
      <c r="E86" s="372">
        <v>419526</v>
      </c>
      <c r="F86" s="372">
        <v>435865</v>
      </c>
      <c r="G86" s="372">
        <v>1065099.93</v>
      </c>
      <c r="H86" s="372">
        <v>1065144.51</v>
      </c>
      <c r="I86" s="372">
        <v>1053809.7</v>
      </c>
      <c r="J86" s="372">
        <v>477326.97</v>
      </c>
      <c r="K86" s="372">
        <v>985677.21</v>
      </c>
      <c r="L86" s="372">
        <v>1277348.51</v>
      </c>
      <c r="M86" s="372">
        <v>829271.9</v>
      </c>
      <c r="N86" s="372">
        <v>1392269.08</v>
      </c>
      <c r="O86" s="361">
        <f t="shared" si="16"/>
        <v>9674839.3999999985</v>
      </c>
      <c r="Q86" s="121" t="s">
        <v>16</v>
      </c>
      <c r="T86" s="121" t="s">
        <v>213</v>
      </c>
      <c r="U86" s="257">
        <f t="shared" si="17"/>
        <v>1392269.08</v>
      </c>
      <c r="V86" s="257">
        <f t="shared" si="18"/>
        <v>12</v>
      </c>
    </row>
    <row r="87" spans="1:22">
      <c r="A87" s="121">
        <f t="shared" si="14"/>
        <v>87</v>
      </c>
      <c r="B87" s="323" t="s">
        <v>220</v>
      </c>
      <c r="C87" s="372">
        <v>0</v>
      </c>
      <c r="D87" s="372">
        <v>0</v>
      </c>
      <c r="E87" s="372">
        <v>0</v>
      </c>
      <c r="F87" s="372">
        <v>0</v>
      </c>
      <c r="G87" s="372">
        <v>0</v>
      </c>
      <c r="H87" s="372">
        <v>0</v>
      </c>
      <c r="I87" s="372">
        <v>0</v>
      </c>
      <c r="J87" s="372">
        <v>0</v>
      </c>
      <c r="K87" s="372">
        <v>0</v>
      </c>
      <c r="L87" s="372">
        <v>0</v>
      </c>
      <c r="M87" s="372">
        <v>0</v>
      </c>
      <c r="N87" s="372">
        <v>0</v>
      </c>
      <c r="O87" s="361">
        <f t="shared" si="16"/>
        <v>0</v>
      </c>
      <c r="Q87" s="121" t="s">
        <v>17</v>
      </c>
      <c r="T87" s="121" t="s">
        <v>205</v>
      </c>
      <c r="U87" s="257">
        <f t="shared" si="17"/>
        <v>0</v>
      </c>
      <c r="V87" s="257">
        <f t="shared" si="18"/>
        <v>1</v>
      </c>
    </row>
    <row r="88" spans="1:22">
      <c r="A88" s="121">
        <f t="shared" si="14"/>
        <v>88</v>
      </c>
      <c r="B88" s="371" t="s">
        <v>221</v>
      </c>
      <c r="C88" s="376">
        <f t="shared" ref="C88:N88" si="19">SUM(C73:C87)</f>
        <v>23426501.449999999</v>
      </c>
      <c r="D88" s="376">
        <f t="shared" si="19"/>
        <v>19835141.849999998</v>
      </c>
      <c r="E88" s="376">
        <f t="shared" si="19"/>
        <v>22556867.239999998</v>
      </c>
      <c r="F88" s="376">
        <f t="shared" si="19"/>
        <v>21651646.619999997</v>
      </c>
      <c r="G88" s="376">
        <f t="shared" si="19"/>
        <v>21697862.449999999</v>
      </c>
      <c r="H88" s="376">
        <f t="shared" si="19"/>
        <v>21091058.830000002</v>
      </c>
      <c r="I88" s="376">
        <f t="shared" si="19"/>
        <v>20117633.749999996</v>
      </c>
      <c r="J88" s="376">
        <f t="shared" si="19"/>
        <v>18950773.009999998</v>
      </c>
      <c r="K88" s="376">
        <f t="shared" si="19"/>
        <v>16568299.439999998</v>
      </c>
      <c r="L88" s="376">
        <f t="shared" si="19"/>
        <v>20970784.020000003</v>
      </c>
      <c r="M88" s="376">
        <f t="shared" si="19"/>
        <v>18936519.059999995</v>
      </c>
      <c r="N88" s="376">
        <f t="shared" si="19"/>
        <v>19105752.460000001</v>
      </c>
      <c r="O88" s="376">
        <f>SUM(C88:N88)</f>
        <v>244908840.18000001</v>
      </c>
      <c r="U88" s="257"/>
      <c r="V88" s="257"/>
    </row>
    <row r="89" spans="1:22">
      <c r="A89" s="121">
        <f t="shared" si="14"/>
        <v>89</v>
      </c>
      <c r="B89" s="320" t="s">
        <v>222</v>
      </c>
      <c r="U89" s="257"/>
      <c r="V89" s="257"/>
    </row>
    <row r="90" spans="1:22">
      <c r="A90" s="121">
        <f t="shared" si="14"/>
        <v>90</v>
      </c>
      <c r="B90" s="323"/>
      <c r="C90" s="372"/>
      <c r="D90" s="372"/>
      <c r="E90" s="372"/>
      <c r="F90" s="372"/>
      <c r="G90" s="372"/>
      <c r="H90" s="372"/>
      <c r="I90" s="372"/>
      <c r="J90" s="372"/>
      <c r="K90" s="372"/>
      <c r="L90" s="372"/>
      <c r="M90" s="372"/>
      <c r="N90" s="372"/>
      <c r="O90" s="361">
        <f>SUM(C90:N90)</f>
        <v>0</v>
      </c>
      <c r="Q90" s="121" t="s">
        <v>17</v>
      </c>
      <c r="U90" s="257"/>
      <c r="V90" s="257"/>
    </row>
    <row r="91" spans="1:22">
      <c r="A91" s="121">
        <f t="shared" si="14"/>
        <v>91</v>
      </c>
      <c r="B91" s="118" t="s">
        <v>223</v>
      </c>
      <c r="C91" s="372">
        <v>299810.89</v>
      </c>
      <c r="D91" s="372">
        <v>262489.95</v>
      </c>
      <c r="E91" s="372">
        <v>325956.09000000003</v>
      </c>
      <c r="F91" s="372">
        <v>250913.52</v>
      </c>
      <c r="G91" s="372">
        <v>289063.24</v>
      </c>
      <c r="H91" s="372">
        <v>286757.19</v>
      </c>
      <c r="I91" s="372">
        <v>312383.74</v>
      </c>
      <c r="J91" s="372">
        <v>309080.43</v>
      </c>
      <c r="K91" s="372">
        <v>288642.52</v>
      </c>
      <c r="L91" s="372">
        <v>271642.5</v>
      </c>
      <c r="M91" s="372">
        <v>263641.11</v>
      </c>
      <c r="N91" s="372">
        <v>319141.74</v>
      </c>
      <c r="O91" s="361">
        <f>SUM(C91:N91)</f>
        <v>3479522.92</v>
      </c>
      <c r="Q91" s="121" t="s">
        <v>17</v>
      </c>
      <c r="T91" s="121" t="s">
        <v>205</v>
      </c>
      <c r="U91" s="257">
        <f t="shared" si="17"/>
        <v>325956.09000000003</v>
      </c>
      <c r="V91" s="257">
        <f t="shared" si="18"/>
        <v>3</v>
      </c>
    </row>
    <row r="92" spans="1:22" ht="11.1" customHeight="1">
      <c r="A92" s="121">
        <f t="shared" si="14"/>
        <v>92</v>
      </c>
      <c r="B92" s="118" t="s">
        <v>224</v>
      </c>
      <c r="C92" s="372">
        <v>1600565.89</v>
      </c>
      <c r="D92" s="372">
        <v>1434988.44</v>
      </c>
      <c r="E92" s="372">
        <v>1622849</v>
      </c>
      <c r="F92" s="372">
        <v>1572646</v>
      </c>
      <c r="G92" s="372">
        <v>1571812.69</v>
      </c>
      <c r="H92" s="372">
        <v>1402440.79</v>
      </c>
      <c r="I92" s="372">
        <v>1564755.11</v>
      </c>
      <c r="J92" s="372">
        <v>1408341.33</v>
      </c>
      <c r="K92" s="372">
        <v>1526064.7</v>
      </c>
      <c r="L92" s="372">
        <v>1578499.69</v>
      </c>
      <c r="M92" s="372">
        <v>1522804.78</v>
      </c>
      <c r="N92" s="372">
        <v>1584157.42</v>
      </c>
      <c r="O92" s="361">
        <f>SUM(C92:N92)</f>
        <v>18389925.839999996</v>
      </c>
      <c r="Q92" s="121" t="s">
        <v>16</v>
      </c>
      <c r="T92" s="121" t="s">
        <v>213</v>
      </c>
      <c r="U92" s="257">
        <f t="shared" si="17"/>
        <v>1622849</v>
      </c>
      <c r="V92" s="257">
        <f t="shared" si="18"/>
        <v>3</v>
      </c>
    </row>
    <row r="93" spans="1:22">
      <c r="A93" s="121">
        <f t="shared" si="14"/>
        <v>93</v>
      </c>
      <c r="B93" s="118" t="s">
        <v>225</v>
      </c>
      <c r="C93" s="372">
        <v>142236.1</v>
      </c>
      <c r="D93" s="372">
        <v>0</v>
      </c>
      <c r="E93" s="372">
        <v>110</v>
      </c>
      <c r="F93" s="372">
        <v>0</v>
      </c>
      <c r="G93" s="372">
        <v>11386.75</v>
      </c>
      <c r="H93" s="372">
        <v>0</v>
      </c>
      <c r="I93" s="372">
        <v>89623.2</v>
      </c>
      <c r="J93" s="372">
        <v>41325.51</v>
      </c>
      <c r="K93" s="372">
        <v>3606.29</v>
      </c>
      <c r="L93" s="372">
        <v>4342.91</v>
      </c>
      <c r="M93" s="372">
        <v>140186.76</v>
      </c>
      <c r="N93" s="372">
        <v>52210.44</v>
      </c>
      <c r="O93" s="361">
        <f>SUM(C93:N93)</f>
        <v>485027.95999999996</v>
      </c>
      <c r="Q93" s="121" t="s">
        <v>16</v>
      </c>
      <c r="T93" s="121" t="s">
        <v>213</v>
      </c>
      <c r="U93" s="257">
        <f t="shared" si="17"/>
        <v>142236.1</v>
      </c>
      <c r="V93" s="257">
        <f t="shared" si="18"/>
        <v>1</v>
      </c>
    </row>
    <row r="94" spans="1:22">
      <c r="A94" s="121">
        <f t="shared" si="14"/>
        <v>94</v>
      </c>
      <c r="B94" s="371" t="s">
        <v>226</v>
      </c>
      <c r="C94" s="376">
        <f t="shared" ref="C94:K94" si="20">SUM(C90:C93)</f>
        <v>2042612.88</v>
      </c>
      <c r="D94" s="376">
        <f t="shared" si="20"/>
        <v>1697478.39</v>
      </c>
      <c r="E94" s="376">
        <f t="shared" si="20"/>
        <v>1948915.09</v>
      </c>
      <c r="F94" s="376">
        <f t="shared" si="20"/>
        <v>1823559.52</v>
      </c>
      <c r="G94" s="376">
        <f t="shared" si="20"/>
        <v>1872262.68</v>
      </c>
      <c r="H94" s="376">
        <f t="shared" si="20"/>
        <v>1689197.98</v>
      </c>
      <c r="I94" s="376">
        <f t="shared" si="20"/>
        <v>1966762.05</v>
      </c>
      <c r="J94" s="376">
        <f t="shared" si="20"/>
        <v>1758747.27</v>
      </c>
      <c r="K94" s="376">
        <f t="shared" si="20"/>
        <v>1818313.51</v>
      </c>
      <c r="L94" s="376">
        <f>SUM(L90:L93)</f>
        <v>1854485.0999999999</v>
      </c>
      <c r="M94" s="376">
        <f>SUM(M90:M93)</f>
        <v>1926632.6500000001</v>
      </c>
      <c r="N94" s="376">
        <f>SUM(N90:N93)</f>
        <v>1955509.5999999999</v>
      </c>
      <c r="O94" s="376">
        <f>SUM(O90:O93)</f>
        <v>22354476.719999999</v>
      </c>
      <c r="U94" s="257"/>
      <c r="V94" s="257"/>
    </row>
    <row r="95" spans="1:22">
      <c r="A95" s="121">
        <f t="shared" si="14"/>
        <v>95</v>
      </c>
      <c r="B95" s="320" t="s">
        <v>227</v>
      </c>
      <c r="C95" s="361"/>
      <c r="D95" s="361"/>
      <c r="E95" s="361"/>
      <c r="F95" s="361"/>
      <c r="G95" s="361"/>
      <c r="H95" s="361"/>
      <c r="I95" s="361"/>
      <c r="J95" s="361"/>
      <c r="K95" s="361"/>
      <c r="L95" s="361"/>
      <c r="M95" s="361"/>
      <c r="N95" s="361"/>
      <c r="O95" s="361"/>
      <c r="U95" s="257"/>
      <c r="V95" s="257"/>
    </row>
    <row r="96" spans="1:22">
      <c r="A96" s="121">
        <f t="shared" si="14"/>
        <v>96</v>
      </c>
      <c r="B96" s="118"/>
      <c r="C96" s="377"/>
      <c r="D96" s="339"/>
      <c r="E96" s="378"/>
      <c r="F96" s="379"/>
      <c r="G96" s="378"/>
      <c r="H96" s="378"/>
      <c r="I96" s="369"/>
      <c r="J96" s="369" t="s">
        <v>31</v>
      </c>
      <c r="K96" s="369"/>
      <c r="L96" s="378"/>
      <c r="M96" s="369"/>
      <c r="N96" s="369"/>
      <c r="O96" s="380">
        <f>SUM(C96:N96)</f>
        <v>0</v>
      </c>
      <c r="Q96" s="121" t="s">
        <v>17</v>
      </c>
      <c r="T96" s="121" t="s">
        <v>205</v>
      </c>
      <c r="U96" s="257">
        <f t="shared" si="17"/>
        <v>0</v>
      </c>
      <c r="V96" s="257">
        <f t="shared" si="18"/>
        <v>0</v>
      </c>
    </row>
    <row r="97" spans="1:22">
      <c r="A97" s="121">
        <f t="shared" si="14"/>
        <v>97</v>
      </c>
      <c r="B97" s="119" t="s">
        <v>207</v>
      </c>
      <c r="C97" s="365">
        <v>0</v>
      </c>
      <c r="D97" s="365">
        <v>0</v>
      </c>
      <c r="E97" s="373">
        <v>0</v>
      </c>
      <c r="F97" s="381">
        <v>0</v>
      </c>
      <c r="G97" s="381">
        <v>0</v>
      </c>
      <c r="H97" s="381">
        <v>0</v>
      </c>
      <c r="I97" s="382">
        <v>0</v>
      </c>
      <c r="J97" s="382">
        <v>0</v>
      </c>
      <c r="K97" s="382">
        <v>0</v>
      </c>
      <c r="L97" s="382">
        <v>0</v>
      </c>
      <c r="M97" s="382">
        <v>0</v>
      </c>
      <c r="N97" s="382">
        <v>0</v>
      </c>
      <c r="O97" s="366">
        <f>SUM(C97:N97)</f>
        <v>0</v>
      </c>
      <c r="Q97" s="121" t="s">
        <v>17</v>
      </c>
      <c r="T97" s="121" t="s">
        <v>205</v>
      </c>
      <c r="U97" s="257">
        <f t="shared" si="17"/>
        <v>0</v>
      </c>
      <c r="V97" s="257">
        <f t="shared" si="18"/>
        <v>1</v>
      </c>
    </row>
    <row r="98" spans="1:22">
      <c r="A98" s="121">
        <f t="shared" si="14"/>
        <v>98</v>
      </c>
      <c r="B98" s="371" t="s">
        <v>228</v>
      </c>
      <c r="C98" s="361">
        <f t="shared" ref="C98:N98" si="21">SUM(C97)</f>
        <v>0</v>
      </c>
      <c r="D98" s="361">
        <f t="shared" si="21"/>
        <v>0</v>
      </c>
      <c r="E98" s="361">
        <f t="shared" si="21"/>
        <v>0</v>
      </c>
      <c r="F98" s="361">
        <f t="shared" si="21"/>
        <v>0</v>
      </c>
      <c r="G98" s="361">
        <f t="shared" si="21"/>
        <v>0</v>
      </c>
      <c r="H98" s="361">
        <f t="shared" si="21"/>
        <v>0</v>
      </c>
      <c r="I98" s="361">
        <f t="shared" si="21"/>
        <v>0</v>
      </c>
      <c r="J98" s="361">
        <f t="shared" si="21"/>
        <v>0</v>
      </c>
      <c r="K98" s="361">
        <f t="shared" si="21"/>
        <v>0</v>
      </c>
      <c r="L98" s="361">
        <f t="shared" si="21"/>
        <v>0</v>
      </c>
      <c r="M98" s="361">
        <f t="shared" si="21"/>
        <v>0</v>
      </c>
      <c r="N98" s="361">
        <f t="shared" si="21"/>
        <v>0</v>
      </c>
      <c r="O98" s="361">
        <f>SUM(C98:N98)</f>
        <v>0</v>
      </c>
      <c r="U98" s="257"/>
      <c r="V98" s="257"/>
    </row>
    <row r="99" spans="1:22">
      <c r="A99" s="121">
        <f t="shared" si="14"/>
        <v>99</v>
      </c>
      <c r="B99" s="371"/>
      <c r="U99" s="257"/>
      <c r="V99" s="257"/>
    </row>
    <row r="100" spans="1:22">
      <c r="A100" s="121">
        <f t="shared" si="14"/>
        <v>100</v>
      </c>
      <c r="B100" s="324" t="s">
        <v>229</v>
      </c>
      <c r="C100" s="383">
        <f t="shared" ref="C100:O100" si="22">+C15+C24+C62+C71+C88+C94+C98</f>
        <v>38587962.450000033</v>
      </c>
      <c r="D100" s="383">
        <f t="shared" si="22"/>
        <v>33853456.850000031</v>
      </c>
      <c r="E100" s="383">
        <f t="shared" si="22"/>
        <v>36454740.580000021</v>
      </c>
      <c r="F100" s="383">
        <f t="shared" si="22"/>
        <v>33019110.370000031</v>
      </c>
      <c r="G100" s="383">
        <f t="shared" si="22"/>
        <v>33035449.440000035</v>
      </c>
      <c r="H100" s="383">
        <f t="shared" si="22"/>
        <v>31707846.640000056</v>
      </c>
      <c r="I100" s="383">
        <f t="shared" si="22"/>
        <v>31102708.850000028</v>
      </c>
      <c r="J100" s="383">
        <f t="shared" si="22"/>
        <v>29917722.760000024</v>
      </c>
      <c r="K100" s="383">
        <f t="shared" si="22"/>
        <v>27463461.380000014</v>
      </c>
      <c r="L100" s="383">
        <f t="shared" si="22"/>
        <v>32415016.740000062</v>
      </c>
      <c r="M100" s="383">
        <f t="shared" si="22"/>
        <v>31012645.510000043</v>
      </c>
      <c r="N100" s="383">
        <f t="shared" si="22"/>
        <v>33441111.890000019</v>
      </c>
      <c r="O100" s="384">
        <f t="shared" si="22"/>
        <v>392011233.4600004</v>
      </c>
      <c r="U100" s="257"/>
      <c r="V100" s="257"/>
    </row>
    <row r="101" spans="1:22">
      <c r="A101" s="121">
        <f t="shared" si="14"/>
        <v>101</v>
      </c>
      <c r="B101" s="385" t="s">
        <v>230</v>
      </c>
      <c r="N101" s="257">
        <f>N100-N94-N88</f>
        <v>12379849.830000017</v>
      </c>
      <c r="O101" s="257">
        <f>O100-O94-O88</f>
        <v>124747916.56000036</v>
      </c>
      <c r="U101" s="257"/>
      <c r="V101" s="257"/>
    </row>
    <row r="102" spans="1:22">
      <c r="A102" s="121">
        <f t="shared" si="14"/>
        <v>102</v>
      </c>
      <c r="B102" s="118" t="s">
        <v>231</v>
      </c>
      <c r="C102" s="363"/>
      <c r="D102" s="363"/>
      <c r="E102" s="363"/>
      <c r="F102" s="363"/>
      <c r="G102" s="363"/>
      <c r="H102" s="363"/>
      <c r="I102" s="363"/>
      <c r="J102" s="363"/>
      <c r="K102" s="363"/>
      <c r="L102" s="363"/>
      <c r="M102" s="363"/>
      <c r="N102" s="363"/>
      <c r="O102" s="361">
        <f>SUM(C102:N102)</f>
        <v>0</v>
      </c>
      <c r="Q102" s="121" t="s">
        <v>16</v>
      </c>
      <c r="T102" s="121" t="s">
        <v>213</v>
      </c>
      <c r="U102" s="257">
        <f t="shared" ref="U102:U109" si="23">MAX(C102:N102)</f>
        <v>0</v>
      </c>
      <c r="V102" s="257">
        <f t="shared" ref="V102:V109" si="24">IFERROR(INDEX($C$1:$N$1,MATCH(U102,C102:N102,0)),0)</f>
        <v>0</v>
      </c>
    </row>
    <row r="103" spans="1:22">
      <c r="A103" s="121">
        <f t="shared" si="14"/>
        <v>103</v>
      </c>
      <c r="B103" s="118" t="s">
        <v>232</v>
      </c>
      <c r="C103" s="363">
        <v>582311.07999999996</v>
      </c>
      <c r="D103" s="363">
        <v>591241.16</v>
      </c>
      <c r="E103" s="363">
        <v>669554.38</v>
      </c>
      <c r="F103" s="363">
        <v>516560.44</v>
      </c>
      <c r="G103" s="363">
        <v>689183.93</v>
      </c>
      <c r="H103" s="363">
        <v>664312.13</v>
      </c>
      <c r="I103" s="363">
        <v>679531.99</v>
      </c>
      <c r="J103" s="363">
        <v>681014.06</v>
      </c>
      <c r="K103" s="363">
        <v>648706.18000000005</v>
      </c>
      <c r="L103" s="363">
        <v>681872.18</v>
      </c>
      <c r="M103" s="363">
        <v>666186.69999999995</v>
      </c>
      <c r="N103" s="363">
        <v>683740.31</v>
      </c>
      <c r="O103" s="361">
        <f>SUM(C103:N103)</f>
        <v>7754214.5399999991</v>
      </c>
      <c r="Q103" s="121" t="s">
        <v>17</v>
      </c>
      <c r="T103" s="121" t="s">
        <v>205</v>
      </c>
      <c r="U103" s="257">
        <f t="shared" si="23"/>
        <v>689183.93</v>
      </c>
      <c r="V103" s="257">
        <f t="shared" si="24"/>
        <v>5</v>
      </c>
    </row>
    <row r="104" spans="1:22">
      <c r="A104" s="121">
        <f t="shared" si="14"/>
        <v>104</v>
      </c>
      <c r="B104" s="119" t="s">
        <v>233</v>
      </c>
      <c r="C104" s="363">
        <v>134189.07</v>
      </c>
      <c r="D104" s="363">
        <v>129538</v>
      </c>
      <c r="E104" s="363">
        <v>48541.17</v>
      </c>
      <c r="F104" s="363">
        <v>5818.57</v>
      </c>
      <c r="G104" s="363">
        <v>2450.73</v>
      </c>
      <c r="H104" s="363">
        <v>2380.6799999999998</v>
      </c>
      <c r="I104" s="363">
        <v>13909.47</v>
      </c>
      <c r="J104" s="363">
        <v>11720.07</v>
      </c>
      <c r="K104" s="363">
        <v>9742.64</v>
      </c>
      <c r="L104" s="363">
        <v>19123.63</v>
      </c>
      <c r="M104" s="363">
        <v>51308.35</v>
      </c>
      <c r="N104" s="363">
        <v>137414.07999999999</v>
      </c>
      <c r="O104" s="366">
        <f>SUM(C104:N104)</f>
        <v>566136.46</v>
      </c>
      <c r="Q104" s="121" t="s">
        <v>17</v>
      </c>
      <c r="T104" s="121" t="s">
        <v>205</v>
      </c>
      <c r="U104" s="257">
        <f t="shared" si="23"/>
        <v>137414.07999999999</v>
      </c>
      <c r="V104" s="257">
        <f t="shared" si="24"/>
        <v>12</v>
      </c>
    </row>
    <row r="105" spans="1:22">
      <c r="A105" s="121">
        <f t="shared" si="14"/>
        <v>105</v>
      </c>
      <c r="B105" s="371" t="s">
        <v>234</v>
      </c>
      <c r="C105" s="376">
        <f>SUM(C102:C104)</f>
        <v>716500.14999999991</v>
      </c>
      <c r="D105" s="376">
        <f t="shared" ref="D105:O105" si="25">SUM(D102:D104)</f>
        <v>720779.16</v>
      </c>
      <c r="E105" s="376">
        <f t="shared" si="25"/>
        <v>718095.55</v>
      </c>
      <c r="F105" s="376">
        <f t="shared" si="25"/>
        <v>522379.01</v>
      </c>
      <c r="G105" s="376">
        <f t="shared" si="25"/>
        <v>691634.66</v>
      </c>
      <c r="H105" s="376">
        <f t="shared" si="25"/>
        <v>666692.81000000006</v>
      </c>
      <c r="I105" s="376">
        <f t="shared" si="25"/>
        <v>693441.46</v>
      </c>
      <c r="J105" s="376">
        <f t="shared" si="25"/>
        <v>692734.13</v>
      </c>
      <c r="K105" s="376">
        <f t="shared" si="25"/>
        <v>658448.82000000007</v>
      </c>
      <c r="L105" s="376">
        <f t="shared" si="25"/>
        <v>700995.81</v>
      </c>
      <c r="M105" s="376">
        <f t="shared" si="25"/>
        <v>717495.04999999993</v>
      </c>
      <c r="N105" s="376">
        <f t="shared" si="25"/>
        <v>821154.39</v>
      </c>
      <c r="O105" s="376">
        <f t="shared" si="25"/>
        <v>8320350.9999999991</v>
      </c>
      <c r="U105" s="257"/>
      <c r="V105" s="257"/>
    </row>
    <row r="106" spans="1:22">
      <c r="A106" s="121">
        <f t="shared" si="14"/>
        <v>106</v>
      </c>
      <c r="B106" s="320" t="s">
        <v>235</v>
      </c>
      <c r="U106" s="257"/>
      <c r="V106" s="257"/>
    </row>
    <row r="107" spans="1:22">
      <c r="A107" s="121">
        <f t="shared" si="14"/>
        <v>107</v>
      </c>
      <c r="B107" s="118" t="s">
        <v>236</v>
      </c>
      <c r="C107" s="363"/>
      <c r="D107" s="363"/>
      <c r="E107" s="363"/>
      <c r="F107" s="363"/>
      <c r="G107" s="372"/>
      <c r="H107" s="363"/>
      <c r="I107" s="363"/>
      <c r="J107" s="363"/>
      <c r="K107" s="363"/>
      <c r="L107" s="363"/>
      <c r="M107" s="363"/>
      <c r="N107" s="372"/>
      <c r="O107" s="361"/>
      <c r="U107" s="257"/>
      <c r="V107" s="257"/>
    </row>
    <row r="108" spans="1:22">
      <c r="A108" s="121">
        <f t="shared" si="14"/>
        <v>108</v>
      </c>
      <c r="B108" s="118" t="s">
        <v>237</v>
      </c>
      <c r="C108" s="363">
        <v>1287659.56</v>
      </c>
      <c r="D108" s="363">
        <v>1208969.97</v>
      </c>
      <c r="E108" s="363">
        <v>1272049.53</v>
      </c>
      <c r="F108" s="363">
        <v>1487460.44</v>
      </c>
      <c r="G108" s="372">
        <v>1497920.28</v>
      </c>
      <c r="H108" s="363">
        <v>1535460.12</v>
      </c>
      <c r="I108" s="363">
        <v>376999.73</v>
      </c>
      <c r="J108" s="363">
        <v>1322769.8500000001</v>
      </c>
      <c r="K108" s="363">
        <v>1533370.33</v>
      </c>
      <c r="L108" s="363">
        <v>1622820.33</v>
      </c>
      <c r="M108" s="363">
        <v>1401679.76</v>
      </c>
      <c r="N108" s="372">
        <v>1359089.59</v>
      </c>
      <c r="O108" s="361">
        <f>SUM(C108:N108)</f>
        <v>15906249.49</v>
      </c>
      <c r="Q108" s="121" t="s">
        <v>17</v>
      </c>
      <c r="T108" s="121" t="s">
        <v>205</v>
      </c>
      <c r="U108" s="257">
        <f t="shared" si="23"/>
        <v>1622820.33</v>
      </c>
      <c r="V108" s="257">
        <f t="shared" si="24"/>
        <v>10</v>
      </c>
    </row>
    <row r="109" spans="1:22">
      <c r="A109" s="121">
        <f t="shared" si="14"/>
        <v>109</v>
      </c>
      <c r="B109" s="119" t="s">
        <v>238</v>
      </c>
      <c r="C109" s="365">
        <v>2410520.34</v>
      </c>
      <c r="D109" s="365">
        <v>1002579.56</v>
      </c>
      <c r="E109" s="365">
        <v>2416890.0099999998</v>
      </c>
      <c r="F109" s="365">
        <v>2392330.35</v>
      </c>
      <c r="G109" s="365">
        <v>1572720.43</v>
      </c>
      <c r="H109" s="365">
        <v>325760.46999999997</v>
      </c>
      <c r="I109" s="365">
        <v>344650.31</v>
      </c>
      <c r="J109" s="365">
        <v>321949.55</v>
      </c>
      <c r="K109" s="365">
        <v>308369.87</v>
      </c>
      <c r="L109" s="365">
        <v>406019.55</v>
      </c>
      <c r="M109" s="365">
        <v>341640.29</v>
      </c>
      <c r="N109" s="365">
        <v>2058830.28</v>
      </c>
      <c r="O109" s="366">
        <f>SUM(C109:N109)</f>
        <v>13902261.01</v>
      </c>
      <c r="Q109" s="121" t="s">
        <v>17</v>
      </c>
      <c r="T109" s="121" t="s">
        <v>205</v>
      </c>
      <c r="U109" s="257">
        <f t="shared" si="23"/>
        <v>2416890.0099999998</v>
      </c>
      <c r="V109" s="257">
        <f t="shared" si="24"/>
        <v>3</v>
      </c>
    </row>
    <row r="110" spans="1:22">
      <c r="A110" s="121">
        <f t="shared" si="14"/>
        <v>110</v>
      </c>
      <c r="B110" s="371" t="s">
        <v>239</v>
      </c>
      <c r="C110" s="361">
        <f t="shared" ref="C110:N110" si="26">SUM(C108:C109)</f>
        <v>3698179.9</v>
      </c>
      <c r="D110" s="361">
        <f t="shared" si="26"/>
        <v>2211549.5300000003</v>
      </c>
      <c r="E110" s="361">
        <f t="shared" si="26"/>
        <v>3688939.54</v>
      </c>
      <c r="F110" s="361">
        <f t="shared" si="26"/>
        <v>3879790.79</v>
      </c>
      <c r="G110" s="361">
        <f t="shared" si="26"/>
        <v>3070640.71</v>
      </c>
      <c r="H110" s="361">
        <f t="shared" si="26"/>
        <v>1861220.59</v>
      </c>
      <c r="I110" s="361">
        <f t="shared" si="26"/>
        <v>721650.04</v>
      </c>
      <c r="J110" s="361">
        <f t="shared" si="26"/>
        <v>1644719.4000000001</v>
      </c>
      <c r="K110" s="361">
        <f t="shared" si="26"/>
        <v>1841740.2000000002</v>
      </c>
      <c r="L110" s="361">
        <f t="shared" si="26"/>
        <v>2028839.8800000001</v>
      </c>
      <c r="M110" s="361">
        <f t="shared" si="26"/>
        <v>1743320.05</v>
      </c>
      <c r="N110" s="361">
        <f t="shared" si="26"/>
        <v>3417919.87</v>
      </c>
      <c r="O110" s="361">
        <f>SUM(C110:N110)</f>
        <v>29808510.499999996</v>
      </c>
      <c r="T110" s="257"/>
      <c r="U110" s="257"/>
      <c r="V110" s="257"/>
    </row>
    <row r="111" spans="1:22">
      <c r="A111" s="121">
        <f t="shared" si="14"/>
        <v>111</v>
      </c>
      <c r="B111" s="371"/>
      <c r="C111" s="257"/>
      <c r="D111" s="257"/>
      <c r="T111" s="257"/>
      <c r="U111" s="257"/>
      <c r="V111" s="257"/>
    </row>
    <row r="112" spans="1:22">
      <c r="A112" s="121">
        <f t="shared" si="14"/>
        <v>112</v>
      </c>
      <c r="B112" s="324" t="s">
        <v>240</v>
      </c>
      <c r="C112" s="383">
        <f t="shared" ref="C112:O112" si="27">+C105+C110</f>
        <v>4414680.05</v>
      </c>
      <c r="D112" s="383">
        <f t="shared" si="27"/>
        <v>2932328.6900000004</v>
      </c>
      <c r="E112" s="383">
        <f t="shared" si="27"/>
        <v>4407035.09</v>
      </c>
      <c r="F112" s="383">
        <f t="shared" si="27"/>
        <v>4402169.8</v>
      </c>
      <c r="G112" s="383">
        <f t="shared" si="27"/>
        <v>3762275.37</v>
      </c>
      <c r="H112" s="383">
        <f t="shared" si="27"/>
        <v>2527913.4000000004</v>
      </c>
      <c r="I112" s="383">
        <f t="shared" si="27"/>
        <v>1415091.5</v>
      </c>
      <c r="J112" s="383">
        <f t="shared" si="27"/>
        <v>2337453.5300000003</v>
      </c>
      <c r="K112" s="383">
        <f t="shared" si="27"/>
        <v>2500189.0200000005</v>
      </c>
      <c r="L112" s="383">
        <f t="shared" si="27"/>
        <v>2729835.6900000004</v>
      </c>
      <c r="M112" s="383">
        <f t="shared" si="27"/>
        <v>2460815.1</v>
      </c>
      <c r="N112" s="383">
        <f t="shared" si="27"/>
        <v>4239074.26</v>
      </c>
      <c r="O112" s="384">
        <f t="shared" si="27"/>
        <v>38128861.499999993</v>
      </c>
      <c r="T112" s="257"/>
      <c r="U112" s="257"/>
      <c r="V112" s="257"/>
    </row>
    <row r="113" spans="1:22">
      <c r="A113" s="121">
        <f t="shared" si="14"/>
        <v>113</v>
      </c>
      <c r="B113" s="371"/>
      <c r="C113" s="257">
        <f>+C110+C105+C94+C88</f>
        <v>29883794.379999999</v>
      </c>
      <c r="D113" s="257">
        <f>+D110+D105+D94+D88</f>
        <v>24464948.93</v>
      </c>
      <c r="E113" s="257">
        <f>+E110+E105+E94+E88</f>
        <v>28912817.419999998</v>
      </c>
      <c r="F113" s="257">
        <f t="shared" ref="F113:N113" si="28">+F110+F105+F94+F88</f>
        <v>27877375.939999998</v>
      </c>
      <c r="G113" s="257">
        <f t="shared" si="28"/>
        <v>27332400.5</v>
      </c>
      <c r="H113" s="257">
        <f>+H110+H105+H94+H88</f>
        <v>25308170.210000001</v>
      </c>
      <c r="I113" s="257">
        <f>+I110+I105+I94+I88</f>
        <v>23499487.299999997</v>
      </c>
      <c r="J113" s="257">
        <f>+J110+J105+J94+J88</f>
        <v>23046973.809999999</v>
      </c>
      <c r="K113" s="257">
        <f t="shared" si="28"/>
        <v>20886801.969999999</v>
      </c>
      <c r="L113" s="257">
        <f t="shared" si="28"/>
        <v>25555104.810000002</v>
      </c>
      <c r="M113" s="257">
        <f t="shared" si="28"/>
        <v>23323966.809999995</v>
      </c>
      <c r="N113" s="257">
        <f t="shared" si="28"/>
        <v>25300336.32</v>
      </c>
      <c r="T113" s="257"/>
      <c r="U113" s="257"/>
      <c r="V113" s="257"/>
    </row>
    <row r="114" spans="1:22">
      <c r="A114" s="121">
        <f t="shared" si="14"/>
        <v>114</v>
      </c>
      <c r="B114" s="324" t="s">
        <v>241</v>
      </c>
      <c r="C114" s="383">
        <f>+C100+C112</f>
        <v>43002642.50000003</v>
      </c>
      <c r="D114" s="383">
        <f t="shared" ref="D114:O114" si="29">+D100+D112</f>
        <v>36785785.540000029</v>
      </c>
      <c r="E114" s="383">
        <f t="shared" si="29"/>
        <v>40861775.670000017</v>
      </c>
      <c r="F114" s="383">
        <f t="shared" si="29"/>
        <v>37421280.170000032</v>
      </c>
      <c r="G114" s="383">
        <f t="shared" si="29"/>
        <v>36797724.810000032</v>
      </c>
      <c r="H114" s="383">
        <f t="shared" si="29"/>
        <v>34235760.040000059</v>
      </c>
      <c r="I114" s="383">
        <f t="shared" si="29"/>
        <v>32517800.350000028</v>
      </c>
      <c r="J114" s="383">
        <f t="shared" si="29"/>
        <v>32255176.290000025</v>
      </c>
      <c r="K114" s="383">
        <f t="shared" si="29"/>
        <v>29963650.400000013</v>
      </c>
      <c r="L114" s="383">
        <f t="shared" si="29"/>
        <v>35144852.430000059</v>
      </c>
      <c r="M114" s="383">
        <f t="shared" si="29"/>
        <v>33473460.610000044</v>
      </c>
      <c r="N114" s="383">
        <f t="shared" si="29"/>
        <v>37680186.150000021</v>
      </c>
      <c r="O114" s="384">
        <f t="shared" si="29"/>
        <v>430140094.9600004</v>
      </c>
      <c r="T114" s="257"/>
      <c r="U114" s="257"/>
      <c r="V114" s="257"/>
    </row>
    <row r="115" spans="1:22">
      <c r="A115" s="121">
        <f t="shared" si="14"/>
        <v>115</v>
      </c>
      <c r="B115" s="362" t="s">
        <v>158</v>
      </c>
      <c r="C115" s="257">
        <f>+C114-C110-C105-C94-C88</f>
        <v>13118848.120000031</v>
      </c>
    </row>
    <row r="116" spans="1:22">
      <c r="A116" s="121">
        <f t="shared" si="14"/>
        <v>116</v>
      </c>
      <c r="B116" s="157" t="s">
        <v>114</v>
      </c>
      <c r="C116" s="361">
        <f t="shared" ref="C116:C126" si="30">+C4</f>
        <v>9304.3399999999492</v>
      </c>
      <c r="D116" s="361">
        <f t="shared" ref="D116:D126" si="31">SUM(C4:D4)</f>
        <v>17995.319999999971</v>
      </c>
      <c r="E116" s="361">
        <f t="shared" ref="E116:E126" si="32">SUM(C4:E4)</f>
        <v>26163.72999999997</v>
      </c>
      <c r="F116" s="361">
        <f t="shared" ref="F116:F126" si="33">SUM(C4:F4)</f>
        <v>33723.879999999997</v>
      </c>
      <c r="G116" s="361">
        <f t="shared" ref="G116:G126" si="34">SUM(C4:G4)</f>
        <v>40807.68</v>
      </c>
      <c r="H116" s="361">
        <f t="shared" ref="H116:H126" si="35">SUM(C4:H4)</f>
        <v>46846.269999999931</v>
      </c>
      <c r="I116" s="361">
        <f t="shared" ref="I116:I126" si="36">SUM(C4:I4)</f>
        <v>53143.849999999911</v>
      </c>
      <c r="J116" s="361">
        <f t="shared" ref="J116:J126" si="37">SUM(C4:J4)</f>
        <v>58895.319999999883</v>
      </c>
      <c r="K116" s="361">
        <f t="shared" ref="K116:K126" si="38">SUM(C4:K4)</f>
        <v>64792.59999999986</v>
      </c>
      <c r="L116" s="361">
        <f t="shared" ref="L116:L126" si="39">SUM(C4:L4)</f>
        <v>70707.719999999885</v>
      </c>
      <c r="M116" s="361">
        <f t="shared" ref="M116:M126" si="40">SUM(C4:M4)</f>
        <v>77570.859999999928</v>
      </c>
      <c r="N116" s="361">
        <f t="shared" ref="N116:N126" si="41">SUM(C4:N4)</f>
        <v>87785.459999999934</v>
      </c>
      <c r="O116" s="361">
        <f t="shared" ref="O116:O127" si="42">SUM(C116:N116)</f>
        <v>587737.02999999921</v>
      </c>
      <c r="T116" s="257"/>
    </row>
    <row r="117" spans="1:22">
      <c r="A117" s="121">
        <f t="shared" si="14"/>
        <v>117</v>
      </c>
      <c r="B117" s="157" t="s">
        <v>115</v>
      </c>
      <c r="C117" s="361">
        <f t="shared" si="30"/>
        <v>30526.8100000001</v>
      </c>
      <c r="D117" s="361">
        <f t="shared" si="31"/>
        <v>59279.729999999799</v>
      </c>
      <c r="E117" s="361">
        <f t="shared" si="32"/>
        <v>85721.509999999893</v>
      </c>
      <c r="F117" s="361">
        <f t="shared" si="33"/>
        <v>111262.2599999996</v>
      </c>
      <c r="G117" s="361">
        <f t="shared" si="34"/>
        <v>134130.81999999951</v>
      </c>
      <c r="H117" s="361">
        <f t="shared" si="35"/>
        <v>153859.84999999963</v>
      </c>
      <c r="I117" s="361">
        <f t="shared" si="36"/>
        <v>175036.99999999942</v>
      </c>
      <c r="J117" s="361">
        <f t="shared" si="37"/>
        <v>193584.68999999962</v>
      </c>
      <c r="K117" s="361">
        <f t="shared" si="38"/>
        <v>213192.11999999973</v>
      </c>
      <c r="L117" s="361">
        <f t="shared" si="39"/>
        <v>231652.77999999974</v>
      </c>
      <c r="M117" s="361">
        <f t="shared" si="40"/>
        <v>253780.30999999953</v>
      </c>
      <c r="N117" s="361">
        <f t="shared" si="41"/>
        <v>288535.78999999934</v>
      </c>
      <c r="O117" s="361">
        <f t="shared" si="42"/>
        <v>1930563.669999996</v>
      </c>
      <c r="T117" s="257"/>
    </row>
    <row r="118" spans="1:22">
      <c r="A118" s="121">
        <f t="shared" si="14"/>
        <v>118</v>
      </c>
      <c r="B118" s="157" t="s">
        <v>116</v>
      </c>
      <c r="C118" s="361">
        <f t="shared" si="30"/>
        <v>282158.34000000003</v>
      </c>
      <c r="D118" s="361">
        <f t="shared" si="31"/>
        <v>539540.68000000704</v>
      </c>
      <c r="E118" s="361">
        <f t="shared" si="32"/>
        <v>788122.46000001405</v>
      </c>
      <c r="F118" s="361">
        <f t="shared" si="33"/>
        <v>980400.26000002108</v>
      </c>
      <c r="G118" s="361">
        <f t="shared" si="34"/>
        <v>1153095.140000025</v>
      </c>
      <c r="H118" s="361">
        <f t="shared" si="35"/>
        <v>1295518.1600000281</v>
      </c>
      <c r="I118" s="361">
        <f t="shared" si="36"/>
        <v>1441296.5800000331</v>
      </c>
      <c r="J118" s="361">
        <f t="shared" si="37"/>
        <v>1569524.6500000232</v>
      </c>
      <c r="K118" s="361">
        <f t="shared" si="38"/>
        <v>1703831.6400000171</v>
      </c>
      <c r="L118" s="361">
        <f t="shared" si="39"/>
        <v>1847093.4300000211</v>
      </c>
      <c r="M118" s="361">
        <f t="shared" si="40"/>
        <v>2023879.7900000312</v>
      </c>
      <c r="N118" s="361">
        <f t="shared" si="41"/>
        <v>2335465.2400000431</v>
      </c>
      <c r="O118" s="361">
        <f t="shared" si="42"/>
        <v>15959926.370000264</v>
      </c>
      <c r="T118" s="257"/>
    </row>
    <row r="119" spans="1:22">
      <c r="A119" s="121">
        <f t="shared" si="14"/>
        <v>119</v>
      </c>
      <c r="B119" s="157" t="s">
        <v>117</v>
      </c>
      <c r="C119" s="361">
        <f t="shared" si="30"/>
        <v>77820.039999999994</v>
      </c>
      <c r="D119" s="361">
        <f t="shared" si="31"/>
        <v>146978.16999999998</v>
      </c>
      <c r="E119" s="361">
        <f t="shared" si="32"/>
        <v>219652.11999999988</v>
      </c>
      <c r="F119" s="361">
        <f t="shared" si="33"/>
        <v>251446.18999999989</v>
      </c>
      <c r="G119" s="361">
        <f t="shared" si="34"/>
        <v>275109.59999999986</v>
      </c>
      <c r="H119" s="361">
        <f t="shared" si="35"/>
        <v>290926.14999999985</v>
      </c>
      <c r="I119" s="361">
        <f t="shared" si="36"/>
        <v>306015.29999999987</v>
      </c>
      <c r="J119" s="361">
        <f t="shared" si="37"/>
        <v>318219.77999999985</v>
      </c>
      <c r="K119" s="361">
        <f t="shared" si="38"/>
        <v>330984.63999999984</v>
      </c>
      <c r="L119" s="361">
        <f t="shared" si="39"/>
        <v>347391.59999999986</v>
      </c>
      <c r="M119" s="361">
        <f t="shared" si="40"/>
        <v>372060.36999999976</v>
      </c>
      <c r="N119" s="361">
        <f t="shared" si="41"/>
        <v>426417.79999999976</v>
      </c>
      <c r="O119" s="361">
        <f t="shared" si="42"/>
        <v>3363021.7599999984</v>
      </c>
      <c r="T119" s="257"/>
    </row>
    <row r="120" spans="1:22">
      <c r="A120" s="121">
        <f t="shared" si="14"/>
        <v>120</v>
      </c>
      <c r="B120" s="157" t="s">
        <v>118</v>
      </c>
      <c r="C120" s="361">
        <f t="shared" si="30"/>
        <v>83012.129999999903</v>
      </c>
      <c r="D120" s="361">
        <f t="shared" si="31"/>
        <v>160101.8599999999</v>
      </c>
      <c r="E120" s="361">
        <f t="shared" si="32"/>
        <v>232028.4399999998</v>
      </c>
      <c r="F120" s="361">
        <f t="shared" si="33"/>
        <v>255156.07999999978</v>
      </c>
      <c r="G120" s="361">
        <f t="shared" si="34"/>
        <v>270688.76999999979</v>
      </c>
      <c r="H120" s="361">
        <f t="shared" si="35"/>
        <v>282569.39999999979</v>
      </c>
      <c r="I120" s="361">
        <f t="shared" si="36"/>
        <v>295003.22999999981</v>
      </c>
      <c r="J120" s="361">
        <f t="shared" si="37"/>
        <v>304480.00999999983</v>
      </c>
      <c r="K120" s="361">
        <f t="shared" si="38"/>
        <v>313171.90999999986</v>
      </c>
      <c r="L120" s="361">
        <f t="shared" si="39"/>
        <v>326588.21999999986</v>
      </c>
      <c r="M120" s="361">
        <f t="shared" si="40"/>
        <v>350101.14999999985</v>
      </c>
      <c r="N120" s="361">
        <f t="shared" si="41"/>
        <v>409436.17999999982</v>
      </c>
      <c r="O120" s="361">
        <f t="shared" si="42"/>
        <v>3282337.3799999976</v>
      </c>
      <c r="T120" s="257"/>
    </row>
    <row r="121" spans="1:22">
      <c r="A121" s="121">
        <f t="shared" si="14"/>
        <v>121</v>
      </c>
      <c r="B121" s="364" t="s">
        <v>119</v>
      </c>
      <c r="C121" s="361">
        <f t="shared" si="30"/>
        <v>6290.37</v>
      </c>
      <c r="D121" s="361">
        <f t="shared" si="31"/>
        <v>11332.89</v>
      </c>
      <c r="E121" s="361">
        <f t="shared" si="32"/>
        <v>15838.09</v>
      </c>
      <c r="F121" s="361">
        <f t="shared" si="33"/>
        <v>17303.82</v>
      </c>
      <c r="G121" s="361">
        <f t="shared" si="34"/>
        <v>18718.82</v>
      </c>
      <c r="H121" s="361">
        <f t="shared" si="35"/>
        <v>19784.14</v>
      </c>
      <c r="I121" s="361">
        <f t="shared" si="36"/>
        <v>20573.07</v>
      </c>
      <c r="J121" s="361">
        <f t="shared" si="37"/>
        <v>20967.39</v>
      </c>
      <c r="K121" s="361">
        <f t="shared" si="38"/>
        <v>21651.53</v>
      </c>
      <c r="L121" s="361">
        <f t="shared" si="39"/>
        <v>22994.36</v>
      </c>
      <c r="M121" s="361">
        <f t="shared" si="40"/>
        <v>25389.940000000002</v>
      </c>
      <c r="N121" s="361">
        <f t="shared" si="41"/>
        <v>32448.590000000004</v>
      </c>
      <c r="O121" s="361">
        <f t="shared" si="42"/>
        <v>233293.00999999998</v>
      </c>
      <c r="T121" s="257"/>
    </row>
    <row r="122" spans="1:22">
      <c r="A122" s="121">
        <f t="shared" si="14"/>
        <v>122</v>
      </c>
      <c r="B122" s="364" t="s">
        <v>120</v>
      </c>
      <c r="C122" s="361">
        <f t="shared" si="30"/>
        <v>0</v>
      </c>
      <c r="D122" s="361">
        <f t="shared" si="31"/>
        <v>0</v>
      </c>
      <c r="E122" s="361">
        <f t="shared" si="32"/>
        <v>0</v>
      </c>
      <c r="F122" s="361">
        <f t="shared" si="33"/>
        <v>0</v>
      </c>
      <c r="G122" s="361">
        <f t="shared" si="34"/>
        <v>0</v>
      </c>
      <c r="H122" s="361">
        <f t="shared" si="35"/>
        <v>0</v>
      </c>
      <c r="I122" s="361">
        <f t="shared" si="36"/>
        <v>0</v>
      </c>
      <c r="J122" s="361">
        <f t="shared" si="37"/>
        <v>0</v>
      </c>
      <c r="K122" s="361">
        <f t="shared" si="38"/>
        <v>0</v>
      </c>
      <c r="L122" s="361">
        <f t="shared" si="39"/>
        <v>0</v>
      </c>
      <c r="M122" s="361">
        <f t="shared" si="40"/>
        <v>0</v>
      </c>
      <c r="N122" s="361">
        <f t="shared" si="41"/>
        <v>0</v>
      </c>
      <c r="O122" s="361">
        <f t="shared" si="42"/>
        <v>0</v>
      </c>
      <c r="T122" s="257"/>
    </row>
    <row r="123" spans="1:22">
      <c r="A123" s="121">
        <f t="shared" si="14"/>
        <v>123</v>
      </c>
      <c r="B123" s="364" t="s">
        <v>161</v>
      </c>
      <c r="C123" s="361">
        <f t="shared" si="30"/>
        <v>1891241.4500000305</v>
      </c>
      <c r="D123" s="361">
        <f t="shared" si="31"/>
        <v>3569115.2500000624</v>
      </c>
      <c r="E123" s="361">
        <f t="shared" si="32"/>
        <v>5090749.3500000695</v>
      </c>
      <c r="F123" s="361">
        <f t="shared" si="33"/>
        <v>6491220.8400000986</v>
      </c>
      <c r="G123" s="361">
        <f t="shared" si="34"/>
        <v>7797953.6400001291</v>
      </c>
      <c r="H123" s="361">
        <f t="shared" si="35"/>
        <v>8791166.6300001796</v>
      </c>
      <c r="I123" s="361">
        <f t="shared" si="36"/>
        <v>9644768.1500002071</v>
      </c>
      <c r="J123" s="361">
        <f t="shared" si="37"/>
        <v>10412051.930000242</v>
      </c>
      <c r="K123" s="361">
        <f t="shared" si="38"/>
        <v>11175411.620000267</v>
      </c>
      <c r="L123" s="361">
        <f t="shared" si="39"/>
        <v>12007354.740000321</v>
      </c>
      <c r="M123" s="361">
        <f t="shared" si="40"/>
        <v>13183342.930000359</v>
      </c>
      <c r="N123" s="361">
        <f t="shared" si="41"/>
        <v>15075452.140000366</v>
      </c>
      <c r="O123" s="361">
        <f t="shared" si="42"/>
        <v>105129828.67000234</v>
      </c>
      <c r="T123" s="257"/>
    </row>
    <row r="124" spans="1:22">
      <c r="A124" s="121">
        <f t="shared" si="14"/>
        <v>124</v>
      </c>
      <c r="B124" s="364" t="s">
        <v>163</v>
      </c>
      <c r="C124" s="361">
        <f t="shared" si="30"/>
        <v>8879.6400000000049</v>
      </c>
      <c r="D124" s="361">
        <f t="shared" si="31"/>
        <v>17068.43</v>
      </c>
      <c r="E124" s="361">
        <f t="shared" si="32"/>
        <v>23996.69</v>
      </c>
      <c r="F124" s="361">
        <f t="shared" si="33"/>
        <v>30823.86</v>
      </c>
      <c r="G124" s="361">
        <f t="shared" si="34"/>
        <v>37066.889999999992</v>
      </c>
      <c r="H124" s="361">
        <f t="shared" si="35"/>
        <v>41166.339999999989</v>
      </c>
      <c r="I124" s="361">
        <f t="shared" si="36"/>
        <v>43787.589999999989</v>
      </c>
      <c r="J124" s="361">
        <f t="shared" si="37"/>
        <v>46224.099999999984</v>
      </c>
      <c r="K124" s="361">
        <f t="shared" si="38"/>
        <v>48716.449999999983</v>
      </c>
      <c r="L124" s="361">
        <f t="shared" si="39"/>
        <v>51796.199999999983</v>
      </c>
      <c r="M124" s="361">
        <f t="shared" si="40"/>
        <v>58802.199999999983</v>
      </c>
      <c r="N124" s="361">
        <f t="shared" si="41"/>
        <v>67503.669999999984</v>
      </c>
      <c r="O124" s="361">
        <f t="shared" si="42"/>
        <v>475832.05999999988</v>
      </c>
      <c r="T124" s="257"/>
    </row>
    <row r="125" spans="1:22">
      <c r="A125" s="121">
        <f t="shared" si="14"/>
        <v>125</v>
      </c>
      <c r="B125" s="364" t="s">
        <v>111</v>
      </c>
      <c r="C125" s="361">
        <f t="shared" si="30"/>
        <v>8151.8499999999776</v>
      </c>
      <c r="D125" s="361">
        <f t="shared" si="31"/>
        <v>15701.309999999945</v>
      </c>
      <c r="E125" s="361">
        <f t="shared" si="32"/>
        <v>22499.149999999914</v>
      </c>
      <c r="F125" s="361">
        <f t="shared" si="33"/>
        <v>28508.299999999886</v>
      </c>
      <c r="G125" s="361">
        <f t="shared" si="34"/>
        <v>33831.539999999892</v>
      </c>
      <c r="H125" s="361">
        <f t="shared" si="35"/>
        <v>38407.369999999886</v>
      </c>
      <c r="I125" s="361">
        <f t="shared" si="36"/>
        <v>43107.379999999881</v>
      </c>
      <c r="J125" s="361">
        <f t="shared" si="37"/>
        <v>47212.229999999894</v>
      </c>
      <c r="K125" s="361">
        <f t="shared" si="38"/>
        <v>51864.499999999891</v>
      </c>
      <c r="L125" s="361">
        <f t="shared" si="39"/>
        <v>56533.089999999887</v>
      </c>
      <c r="M125" s="361">
        <f t="shared" si="40"/>
        <v>61741.729999999909</v>
      </c>
      <c r="N125" s="361">
        <f t="shared" si="41"/>
        <v>69665.909999999887</v>
      </c>
      <c r="O125" s="361">
        <f t="shared" si="42"/>
        <v>477224.35999999894</v>
      </c>
      <c r="T125" s="257"/>
    </row>
    <row r="126" spans="1:22">
      <c r="A126" s="121">
        <f t="shared" si="14"/>
        <v>126</v>
      </c>
      <c r="B126" s="364" t="s">
        <v>105</v>
      </c>
      <c r="C126" s="366">
        <f t="shared" si="30"/>
        <v>12095.140000000001</v>
      </c>
      <c r="D126" s="366">
        <f t="shared" si="31"/>
        <v>21928.280000000006</v>
      </c>
      <c r="E126" s="366">
        <f t="shared" si="32"/>
        <v>32080.770000000008</v>
      </c>
      <c r="F126" s="366">
        <f t="shared" si="33"/>
        <v>42949.209999999992</v>
      </c>
      <c r="G126" s="366">
        <f t="shared" si="34"/>
        <v>53054.729999999996</v>
      </c>
      <c r="H126" s="366">
        <f t="shared" si="35"/>
        <v>62093.01</v>
      </c>
      <c r="I126" s="366">
        <f t="shared" si="36"/>
        <v>72120.98</v>
      </c>
      <c r="J126" s="366">
        <f t="shared" si="37"/>
        <v>80532.340000000011</v>
      </c>
      <c r="K126" s="366">
        <f t="shared" si="38"/>
        <v>89383.27</v>
      </c>
      <c r="L126" s="366">
        <f t="shared" si="39"/>
        <v>98115.12</v>
      </c>
      <c r="M126" s="366">
        <f t="shared" si="40"/>
        <v>108674.40999999999</v>
      </c>
      <c r="N126" s="366">
        <f t="shared" si="41"/>
        <v>120526.06999999999</v>
      </c>
      <c r="O126" s="366">
        <f t="shared" si="42"/>
        <v>793553.33000000007</v>
      </c>
      <c r="T126" s="257"/>
    </row>
    <row r="127" spans="1:22">
      <c r="A127" s="121">
        <f t="shared" si="14"/>
        <v>127</v>
      </c>
      <c r="B127" s="367" t="s">
        <v>166</v>
      </c>
      <c r="C127" s="361">
        <f>SUM(C116:C126)</f>
        <v>2409480.1100000306</v>
      </c>
      <c r="D127" s="361">
        <f t="shared" ref="D127:N127" si="43">SUM(D116:D126)</f>
        <v>4559041.9200000688</v>
      </c>
      <c r="E127" s="361">
        <f t="shared" si="43"/>
        <v>6536852.3100000834</v>
      </c>
      <c r="F127" s="361">
        <f t="shared" si="43"/>
        <v>8242794.7000001194</v>
      </c>
      <c r="G127" s="361">
        <f t="shared" si="43"/>
        <v>9814457.6300001536</v>
      </c>
      <c r="H127" s="361">
        <f t="shared" si="43"/>
        <v>11022337.320000205</v>
      </c>
      <c r="I127" s="361">
        <f t="shared" si="43"/>
        <v>12094853.130000237</v>
      </c>
      <c r="J127" s="361">
        <f t="shared" si="43"/>
        <v>13051692.440000264</v>
      </c>
      <c r="K127" s="361">
        <f t="shared" si="43"/>
        <v>14013000.280000282</v>
      </c>
      <c r="L127" s="361">
        <f t="shared" si="43"/>
        <v>15060227.260000339</v>
      </c>
      <c r="M127" s="361">
        <f t="shared" si="43"/>
        <v>16515343.690000389</v>
      </c>
      <c r="N127" s="361">
        <f t="shared" si="43"/>
        <v>18913236.850000408</v>
      </c>
      <c r="O127" s="361">
        <f t="shared" si="42"/>
        <v>132233317.64000258</v>
      </c>
      <c r="T127" s="257"/>
    </row>
    <row r="128" spans="1:22">
      <c r="A128" s="121">
        <f t="shared" si="14"/>
        <v>128</v>
      </c>
      <c r="B128" s="362" t="s">
        <v>167</v>
      </c>
      <c r="C128" s="361"/>
      <c r="D128" s="361"/>
      <c r="E128" s="361"/>
      <c r="F128" s="361"/>
      <c r="G128" s="361"/>
      <c r="H128" s="361"/>
      <c r="I128" s="361"/>
      <c r="J128" s="361"/>
      <c r="K128" s="361"/>
      <c r="L128" s="361"/>
      <c r="M128" s="361"/>
      <c r="N128" s="361"/>
      <c r="O128" s="361"/>
      <c r="T128" s="257"/>
    </row>
    <row r="129" spans="1:20">
      <c r="A129" s="121">
        <f t="shared" si="14"/>
        <v>129</v>
      </c>
      <c r="B129" s="157" t="s">
        <v>114</v>
      </c>
      <c r="C129" s="361">
        <f t="shared" ref="C129:C135" si="44">+C17</f>
        <v>399.16</v>
      </c>
      <c r="D129" s="361">
        <f t="shared" ref="D129:D135" si="45">SUM(C17:D17)</f>
        <v>705.47</v>
      </c>
      <c r="E129" s="361">
        <f t="shared" ref="E129:E135" si="46">SUM(C17:E17)</f>
        <v>1867.23</v>
      </c>
      <c r="F129" s="361">
        <f t="shared" ref="F129:F135" si="47">SUM(C17:F17)</f>
        <v>1280.3899999999999</v>
      </c>
      <c r="G129" s="361">
        <f t="shared" ref="G129:G135" si="48">SUM(C17:G17)</f>
        <v>1566.8899999999999</v>
      </c>
      <c r="H129" s="361">
        <f t="shared" ref="H129:H135" si="49">SUM(C17:H17)</f>
        <v>1734.8</v>
      </c>
      <c r="I129" s="361">
        <f t="shared" ref="I129:I135" si="50">SUM(C17:I17)</f>
        <v>1898.74</v>
      </c>
      <c r="J129" s="361">
        <f t="shared" ref="J129:J135" si="51">SUM(C17:J17)</f>
        <v>2029.99</v>
      </c>
      <c r="K129" s="361">
        <f t="shared" ref="K129:K135" si="52">SUM(C17:K17)</f>
        <v>2166.7600000000002</v>
      </c>
      <c r="L129" s="361">
        <f t="shared" ref="L129:L135" si="53">SUM(C17:L17)</f>
        <v>2333.6800000000003</v>
      </c>
      <c r="M129" s="361">
        <f t="shared" ref="M129:M135" si="54">SUM(C17:M17)</f>
        <v>2596.5700000000002</v>
      </c>
      <c r="N129" s="361">
        <f t="shared" ref="N129:N135" si="55">SUM(C17:N17)</f>
        <v>2922.77</v>
      </c>
      <c r="O129" s="361">
        <f t="shared" ref="O129:O136" si="56">SUM(C129:N129)</f>
        <v>21502.45</v>
      </c>
      <c r="T129" s="257"/>
    </row>
    <row r="130" spans="1:20">
      <c r="A130" s="121">
        <f t="shared" si="14"/>
        <v>130</v>
      </c>
      <c r="B130" s="157" t="s">
        <v>115</v>
      </c>
      <c r="C130" s="361">
        <f t="shared" si="44"/>
        <v>928.23</v>
      </c>
      <c r="D130" s="361">
        <f t="shared" si="45"/>
        <v>1798.13</v>
      </c>
      <c r="E130" s="361">
        <f t="shared" si="46"/>
        <v>2519.4500000000003</v>
      </c>
      <c r="F130" s="361">
        <f t="shared" si="47"/>
        <v>3220.71</v>
      </c>
      <c r="G130" s="361">
        <f t="shared" si="48"/>
        <v>3862.09</v>
      </c>
      <c r="H130" s="361">
        <f t="shared" si="49"/>
        <v>4421.66</v>
      </c>
      <c r="I130" s="361">
        <f t="shared" si="50"/>
        <v>5005.91</v>
      </c>
      <c r="J130" s="361">
        <f t="shared" si="51"/>
        <v>5541.28</v>
      </c>
      <c r="K130" s="361">
        <f t="shared" si="52"/>
        <v>6088.71</v>
      </c>
      <c r="L130" s="361">
        <f t="shared" si="53"/>
        <v>6629.14</v>
      </c>
      <c r="M130" s="361">
        <f t="shared" si="54"/>
        <v>7247.1</v>
      </c>
      <c r="N130" s="361">
        <f t="shared" si="55"/>
        <v>8157.1500000000005</v>
      </c>
      <c r="O130" s="361">
        <f t="shared" si="56"/>
        <v>55419.56</v>
      </c>
      <c r="T130" s="257"/>
    </row>
    <row r="131" spans="1:20">
      <c r="A131" s="121">
        <f t="shared" ref="A131:A194" si="57">+A130+1</f>
        <v>131</v>
      </c>
      <c r="B131" s="157" t="s">
        <v>116</v>
      </c>
      <c r="C131" s="361">
        <f t="shared" si="44"/>
        <v>3786.61</v>
      </c>
      <c r="D131" s="361">
        <f t="shared" si="45"/>
        <v>7155.9400000000005</v>
      </c>
      <c r="E131" s="361">
        <f t="shared" si="46"/>
        <v>10050.370000000001</v>
      </c>
      <c r="F131" s="361">
        <f t="shared" si="47"/>
        <v>12733.550000000001</v>
      </c>
      <c r="G131" s="361">
        <f t="shared" si="48"/>
        <v>15110.02</v>
      </c>
      <c r="H131" s="361">
        <f t="shared" si="49"/>
        <v>17222.25</v>
      </c>
      <c r="I131" s="361">
        <f t="shared" si="50"/>
        <v>19310.79</v>
      </c>
      <c r="J131" s="361">
        <f t="shared" si="51"/>
        <v>21064.33</v>
      </c>
      <c r="K131" s="361">
        <f t="shared" si="52"/>
        <v>22974.070000000003</v>
      </c>
      <c r="L131" s="361">
        <f t="shared" si="53"/>
        <v>24901.780000000002</v>
      </c>
      <c r="M131" s="361">
        <f t="shared" si="54"/>
        <v>27111.86</v>
      </c>
      <c r="N131" s="361">
        <f t="shared" si="55"/>
        <v>31146.39</v>
      </c>
      <c r="O131" s="361">
        <f t="shared" si="56"/>
        <v>212567.96000000002</v>
      </c>
      <c r="T131" s="257"/>
    </row>
    <row r="132" spans="1:20">
      <c r="A132" s="121">
        <f t="shared" si="57"/>
        <v>132</v>
      </c>
      <c r="B132" s="157" t="s">
        <v>117</v>
      </c>
      <c r="C132" s="361">
        <f t="shared" si="44"/>
        <v>1803.85</v>
      </c>
      <c r="D132" s="361">
        <f t="shared" si="45"/>
        <v>3527.5699999999997</v>
      </c>
      <c r="E132" s="361">
        <f t="shared" si="46"/>
        <v>4995.54</v>
      </c>
      <c r="F132" s="361">
        <f t="shared" si="47"/>
        <v>5764.14</v>
      </c>
      <c r="G132" s="361">
        <f t="shared" si="48"/>
        <v>5972.93</v>
      </c>
      <c r="H132" s="361">
        <f t="shared" si="49"/>
        <v>6321.47</v>
      </c>
      <c r="I132" s="361">
        <f t="shared" si="50"/>
        <v>6725.25</v>
      </c>
      <c r="J132" s="361">
        <f t="shared" si="51"/>
        <v>7080.49</v>
      </c>
      <c r="K132" s="361">
        <f t="shared" si="52"/>
        <v>7472.96</v>
      </c>
      <c r="L132" s="361">
        <f t="shared" si="53"/>
        <v>8040.23</v>
      </c>
      <c r="M132" s="361">
        <f t="shared" si="54"/>
        <v>8849.85</v>
      </c>
      <c r="N132" s="361">
        <f t="shared" si="55"/>
        <v>10261.370000000001</v>
      </c>
      <c r="O132" s="361">
        <f t="shared" si="56"/>
        <v>76815.649999999994</v>
      </c>
      <c r="T132" s="257"/>
    </row>
    <row r="133" spans="1:20">
      <c r="A133" s="121">
        <f t="shared" si="57"/>
        <v>133</v>
      </c>
      <c r="B133" s="157" t="s">
        <v>118</v>
      </c>
      <c r="C133" s="361">
        <f t="shared" si="44"/>
        <v>1705.72</v>
      </c>
      <c r="D133" s="361">
        <f t="shared" si="45"/>
        <v>3470.0699999999997</v>
      </c>
      <c r="E133" s="361">
        <f t="shared" si="46"/>
        <v>4921.8899999999994</v>
      </c>
      <c r="F133" s="361">
        <f t="shared" si="47"/>
        <v>5470.5499999999993</v>
      </c>
      <c r="G133" s="361">
        <f t="shared" si="48"/>
        <v>5841.9899999999989</v>
      </c>
      <c r="H133" s="361">
        <f t="shared" si="49"/>
        <v>5983.829999999999</v>
      </c>
      <c r="I133" s="361">
        <f t="shared" si="50"/>
        <v>6147.9299999999994</v>
      </c>
      <c r="J133" s="361">
        <f t="shared" si="51"/>
        <v>6252.49</v>
      </c>
      <c r="K133" s="361">
        <f t="shared" si="52"/>
        <v>6400.57</v>
      </c>
      <c r="L133" s="361">
        <f t="shared" si="53"/>
        <v>6455.0599999999995</v>
      </c>
      <c r="M133" s="361">
        <f t="shared" si="54"/>
        <v>6800.53</v>
      </c>
      <c r="N133" s="361">
        <f t="shared" si="55"/>
        <v>7897.3099999999995</v>
      </c>
      <c r="O133" s="361">
        <f t="shared" si="56"/>
        <v>67347.939999999988</v>
      </c>
      <c r="T133" s="257"/>
    </row>
    <row r="134" spans="1:20">
      <c r="A134" s="121">
        <f t="shared" si="57"/>
        <v>134</v>
      </c>
      <c r="B134" s="364" t="s">
        <v>119</v>
      </c>
      <c r="C134" s="361">
        <f t="shared" si="44"/>
        <v>0</v>
      </c>
      <c r="D134" s="361">
        <f t="shared" si="45"/>
        <v>0</v>
      </c>
      <c r="E134" s="361">
        <f t="shared" si="46"/>
        <v>0</v>
      </c>
      <c r="F134" s="361">
        <f t="shared" si="47"/>
        <v>0</v>
      </c>
      <c r="G134" s="361">
        <f t="shared" si="48"/>
        <v>0</v>
      </c>
      <c r="H134" s="361">
        <f t="shared" si="49"/>
        <v>0</v>
      </c>
      <c r="I134" s="361">
        <f t="shared" si="50"/>
        <v>0</v>
      </c>
      <c r="J134" s="361">
        <f t="shared" si="51"/>
        <v>0</v>
      </c>
      <c r="K134" s="361">
        <f t="shared" si="52"/>
        <v>0</v>
      </c>
      <c r="L134" s="361">
        <f t="shared" si="53"/>
        <v>0</v>
      </c>
      <c r="M134" s="361">
        <f t="shared" si="54"/>
        <v>0</v>
      </c>
      <c r="N134" s="361">
        <f t="shared" si="55"/>
        <v>0</v>
      </c>
      <c r="O134" s="361">
        <f t="shared" si="56"/>
        <v>0</v>
      </c>
      <c r="T134" s="257"/>
    </row>
    <row r="135" spans="1:20">
      <c r="A135" s="121">
        <f t="shared" si="57"/>
        <v>135</v>
      </c>
      <c r="B135" s="364" t="s">
        <v>120</v>
      </c>
      <c r="C135" s="366">
        <f t="shared" si="44"/>
        <v>0</v>
      </c>
      <c r="D135" s="366">
        <f t="shared" si="45"/>
        <v>0</v>
      </c>
      <c r="E135" s="366">
        <f t="shared" si="46"/>
        <v>0</v>
      </c>
      <c r="F135" s="366">
        <f t="shared" si="47"/>
        <v>0</v>
      </c>
      <c r="G135" s="366">
        <f t="shared" si="48"/>
        <v>0</v>
      </c>
      <c r="H135" s="366">
        <f t="shared" si="49"/>
        <v>0</v>
      </c>
      <c r="I135" s="366">
        <f t="shared" si="50"/>
        <v>0</v>
      </c>
      <c r="J135" s="366">
        <f t="shared" si="51"/>
        <v>0</v>
      </c>
      <c r="K135" s="366">
        <f t="shared" si="52"/>
        <v>0</v>
      </c>
      <c r="L135" s="366">
        <f t="shared" si="53"/>
        <v>0</v>
      </c>
      <c r="M135" s="366">
        <f t="shared" si="54"/>
        <v>0</v>
      </c>
      <c r="N135" s="366">
        <f t="shared" si="55"/>
        <v>0</v>
      </c>
      <c r="O135" s="366">
        <f t="shared" si="56"/>
        <v>0</v>
      </c>
      <c r="T135" s="257"/>
    </row>
    <row r="136" spans="1:20">
      <c r="A136" s="121">
        <f t="shared" si="57"/>
        <v>136</v>
      </c>
      <c r="B136" s="367" t="s">
        <v>169</v>
      </c>
      <c r="C136" s="361">
        <f t="shared" ref="C136:N136" si="58">SUM(C129:C135)</f>
        <v>8623.57</v>
      </c>
      <c r="D136" s="361">
        <f t="shared" si="58"/>
        <v>16657.18</v>
      </c>
      <c r="E136" s="361">
        <f t="shared" si="58"/>
        <v>24354.48</v>
      </c>
      <c r="F136" s="361">
        <f t="shared" si="58"/>
        <v>28469.34</v>
      </c>
      <c r="G136" s="361">
        <f t="shared" si="58"/>
        <v>32353.919999999998</v>
      </c>
      <c r="H136" s="361">
        <f t="shared" si="58"/>
        <v>35684.01</v>
      </c>
      <c r="I136" s="361">
        <f t="shared" si="58"/>
        <v>39088.620000000003</v>
      </c>
      <c r="J136" s="361">
        <f t="shared" si="58"/>
        <v>41968.58</v>
      </c>
      <c r="K136" s="361">
        <f t="shared" si="58"/>
        <v>45103.070000000007</v>
      </c>
      <c r="L136" s="361">
        <f t="shared" si="58"/>
        <v>48359.89</v>
      </c>
      <c r="M136" s="361">
        <f t="shared" si="58"/>
        <v>52605.909999999996</v>
      </c>
      <c r="N136" s="361">
        <f t="shared" si="58"/>
        <v>60384.99</v>
      </c>
      <c r="O136" s="361">
        <f t="shared" si="56"/>
        <v>433653.56</v>
      </c>
      <c r="T136" s="257"/>
    </row>
    <row r="137" spans="1:20">
      <c r="A137" s="121">
        <f t="shared" si="57"/>
        <v>137</v>
      </c>
      <c r="B137" s="320" t="s">
        <v>170</v>
      </c>
      <c r="C137" s="361"/>
      <c r="D137" s="361"/>
      <c r="E137" s="361"/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T137" s="257"/>
    </row>
    <row r="138" spans="1:20">
      <c r="A138" s="121">
        <f t="shared" si="57"/>
        <v>138</v>
      </c>
      <c r="B138" s="157" t="s">
        <v>114</v>
      </c>
      <c r="C138" s="361">
        <f t="shared" ref="C138:C173" si="59">+C26</f>
        <v>33.29</v>
      </c>
      <c r="D138" s="361">
        <f t="shared" ref="D138:D173" si="60">SUM(C26:D26)</f>
        <v>71.91</v>
      </c>
      <c r="E138" s="361">
        <f t="shared" ref="E138:E173" si="61">SUM(C26:E26)</f>
        <v>106.28999999999999</v>
      </c>
      <c r="F138" s="361">
        <f t="shared" ref="F138:F173" si="62">SUM(C26:F26)</f>
        <v>130.48999999999998</v>
      </c>
      <c r="G138" s="361">
        <f t="shared" ref="G138:G173" si="63">SUM(C26:G26)</f>
        <v>151.42999999999998</v>
      </c>
      <c r="H138" s="361">
        <f t="shared" ref="H138:H173" si="64">SUM(C26:H26)</f>
        <v>170.24999999999997</v>
      </c>
      <c r="I138" s="361">
        <f t="shared" ref="I138:I173" si="65">SUM(C26:I26)</f>
        <v>193.42999999999998</v>
      </c>
      <c r="J138" s="361">
        <f t="shared" ref="J138:J173" si="66">SUM(C26:J26)</f>
        <v>212.26</v>
      </c>
      <c r="K138" s="361">
        <f t="shared" ref="K138:K173" si="67">SUM(C26:K26)</f>
        <v>234.22</v>
      </c>
      <c r="L138" s="361">
        <f t="shared" ref="L138:L173" si="68">SUM(C26:L26)</f>
        <v>256.11</v>
      </c>
      <c r="M138" s="361">
        <f t="shared" ref="M138:M173" si="69">SUM(C26:M26)</f>
        <v>277.19</v>
      </c>
      <c r="N138" s="361">
        <f t="shared" ref="N138:N173" si="70">SUM(C26:N26)</f>
        <v>324.19</v>
      </c>
      <c r="O138" s="361">
        <f t="shared" ref="O138:O173" si="71">SUM(C138:N138)</f>
        <v>2161.06</v>
      </c>
      <c r="T138" s="257"/>
    </row>
    <row r="139" spans="1:20">
      <c r="A139" s="121">
        <f t="shared" si="57"/>
        <v>139</v>
      </c>
      <c r="B139" s="157" t="s">
        <v>115</v>
      </c>
      <c r="C139" s="361">
        <f t="shared" si="59"/>
        <v>98.33</v>
      </c>
      <c r="D139" s="361">
        <f t="shared" si="60"/>
        <v>174.86</v>
      </c>
      <c r="E139" s="361">
        <f t="shared" si="61"/>
        <v>240.46</v>
      </c>
      <c r="F139" s="361">
        <f t="shared" si="62"/>
        <v>302.12</v>
      </c>
      <c r="G139" s="361">
        <f t="shared" si="63"/>
        <v>357.31</v>
      </c>
      <c r="H139" s="361">
        <f t="shared" si="64"/>
        <v>410.34000000000003</v>
      </c>
      <c r="I139" s="361">
        <f t="shared" si="65"/>
        <v>469.63000000000005</v>
      </c>
      <c r="J139" s="361">
        <f t="shared" si="66"/>
        <v>522.82000000000005</v>
      </c>
      <c r="K139" s="361">
        <f t="shared" si="67"/>
        <v>578.11</v>
      </c>
      <c r="L139" s="361">
        <f t="shared" si="68"/>
        <v>637.56000000000006</v>
      </c>
      <c r="M139" s="361">
        <f t="shared" si="69"/>
        <v>702.36</v>
      </c>
      <c r="N139" s="361">
        <f t="shared" si="70"/>
        <v>833.05</v>
      </c>
      <c r="O139" s="361">
        <f t="shared" si="71"/>
        <v>5326.9500000000007</v>
      </c>
      <c r="T139" s="257"/>
    </row>
    <row r="140" spans="1:20">
      <c r="A140" s="121">
        <f t="shared" si="57"/>
        <v>140</v>
      </c>
      <c r="B140" s="157" t="s">
        <v>116</v>
      </c>
      <c r="C140" s="361">
        <f t="shared" si="59"/>
        <v>5955.12</v>
      </c>
      <c r="D140" s="361">
        <f t="shared" si="60"/>
        <v>10566.25</v>
      </c>
      <c r="E140" s="361">
        <f t="shared" si="61"/>
        <v>16191.07</v>
      </c>
      <c r="F140" s="361">
        <f t="shared" si="62"/>
        <v>19453.57</v>
      </c>
      <c r="G140" s="361">
        <f t="shared" si="63"/>
        <v>24174.03</v>
      </c>
      <c r="H140" s="361">
        <f t="shared" si="64"/>
        <v>26987.739999999998</v>
      </c>
      <c r="I140" s="361">
        <f t="shared" si="65"/>
        <v>30764.829999999998</v>
      </c>
      <c r="J140" s="361">
        <f t="shared" si="66"/>
        <v>33778.93</v>
      </c>
      <c r="K140" s="361">
        <f t="shared" si="67"/>
        <v>36802.160000000003</v>
      </c>
      <c r="L140" s="361">
        <f t="shared" si="68"/>
        <v>39772.61</v>
      </c>
      <c r="M140" s="361">
        <f t="shared" si="69"/>
        <v>43137.7</v>
      </c>
      <c r="N140" s="361">
        <f t="shared" si="70"/>
        <v>49703.5</v>
      </c>
      <c r="O140" s="361">
        <f t="shared" si="71"/>
        <v>337287.51</v>
      </c>
      <c r="T140" s="257"/>
    </row>
    <row r="141" spans="1:20">
      <c r="A141" s="121">
        <f t="shared" si="57"/>
        <v>141</v>
      </c>
      <c r="B141" s="157" t="s">
        <v>117</v>
      </c>
      <c r="C141" s="361">
        <f t="shared" si="59"/>
        <v>7434.17</v>
      </c>
      <c r="D141" s="361">
        <f t="shared" si="60"/>
        <v>15125.66</v>
      </c>
      <c r="E141" s="361">
        <f t="shared" si="61"/>
        <v>21987.79</v>
      </c>
      <c r="F141" s="361">
        <f t="shared" si="62"/>
        <v>26425.350000000002</v>
      </c>
      <c r="G141" s="361">
        <f t="shared" si="63"/>
        <v>30629.11</v>
      </c>
      <c r="H141" s="361">
        <f t="shared" si="64"/>
        <v>34843.89</v>
      </c>
      <c r="I141" s="361">
        <f t="shared" si="65"/>
        <v>39347.410000000003</v>
      </c>
      <c r="J141" s="361">
        <f t="shared" si="66"/>
        <v>43585.25</v>
      </c>
      <c r="K141" s="361">
        <f t="shared" si="67"/>
        <v>48097.34</v>
      </c>
      <c r="L141" s="361">
        <f t="shared" si="68"/>
        <v>52458.35</v>
      </c>
      <c r="M141" s="361">
        <f t="shared" si="69"/>
        <v>57304.13</v>
      </c>
      <c r="N141" s="361">
        <f t="shared" si="70"/>
        <v>64248.369999999995</v>
      </c>
      <c r="O141" s="361">
        <f t="shared" si="71"/>
        <v>441486.81999999995</v>
      </c>
      <c r="T141" s="257"/>
    </row>
    <row r="142" spans="1:20">
      <c r="A142" s="121">
        <f t="shared" si="57"/>
        <v>142</v>
      </c>
      <c r="B142" s="157" t="s">
        <v>118</v>
      </c>
      <c r="C142" s="361">
        <f t="shared" si="59"/>
        <v>36956.980000000003</v>
      </c>
      <c r="D142" s="361">
        <f t="shared" si="60"/>
        <v>73421.320000000007</v>
      </c>
      <c r="E142" s="361">
        <f t="shared" si="61"/>
        <v>105954.01000000001</v>
      </c>
      <c r="F142" s="361">
        <f t="shared" si="62"/>
        <v>130962.85</v>
      </c>
      <c r="G142" s="361">
        <f t="shared" si="63"/>
        <v>158880.21000000002</v>
      </c>
      <c r="H142" s="361">
        <f t="shared" si="64"/>
        <v>186347.26</v>
      </c>
      <c r="I142" s="361">
        <f t="shared" si="65"/>
        <v>214575.16</v>
      </c>
      <c r="J142" s="361">
        <f t="shared" si="66"/>
        <v>240206.21</v>
      </c>
      <c r="K142" s="361">
        <f t="shared" si="67"/>
        <v>273170.33999999997</v>
      </c>
      <c r="L142" s="361">
        <f t="shared" si="68"/>
        <v>305332.38999999996</v>
      </c>
      <c r="M142" s="361">
        <f t="shared" si="69"/>
        <v>335986.52999999997</v>
      </c>
      <c r="N142" s="361">
        <f t="shared" si="70"/>
        <v>375255.91</v>
      </c>
      <c r="O142" s="361">
        <f t="shared" si="71"/>
        <v>2437049.1700000004</v>
      </c>
      <c r="T142" s="257"/>
    </row>
    <row r="143" spans="1:20">
      <c r="A143" s="121">
        <f t="shared" si="57"/>
        <v>143</v>
      </c>
      <c r="B143" s="364" t="s">
        <v>119</v>
      </c>
      <c r="C143" s="361">
        <f t="shared" si="59"/>
        <v>97935.47</v>
      </c>
      <c r="D143" s="361">
        <f t="shared" si="60"/>
        <v>194441.18</v>
      </c>
      <c r="E143" s="361">
        <f t="shared" si="61"/>
        <v>285526.69000000018</v>
      </c>
      <c r="F143" s="361">
        <f t="shared" si="62"/>
        <v>355348.13000000018</v>
      </c>
      <c r="G143" s="361">
        <f t="shared" si="63"/>
        <v>428174.31000000017</v>
      </c>
      <c r="H143" s="361">
        <f t="shared" si="64"/>
        <v>500038.32000000018</v>
      </c>
      <c r="I143" s="361">
        <f t="shared" si="65"/>
        <v>578998.70000000019</v>
      </c>
      <c r="J143" s="361">
        <f t="shared" si="66"/>
        <v>652981.05000000016</v>
      </c>
      <c r="K143" s="361">
        <f t="shared" si="67"/>
        <v>731353.57000000018</v>
      </c>
      <c r="L143" s="361">
        <f t="shared" si="68"/>
        <v>810709.57000000018</v>
      </c>
      <c r="M143" s="361">
        <f t="shared" si="69"/>
        <v>898674.86000000022</v>
      </c>
      <c r="N143" s="361">
        <f t="shared" si="70"/>
        <v>994633.17000000016</v>
      </c>
      <c r="O143" s="361">
        <f t="shared" si="71"/>
        <v>6528815.0200000023</v>
      </c>
      <c r="T143" s="257"/>
    </row>
    <row r="144" spans="1:20">
      <c r="A144" s="121">
        <f t="shared" si="57"/>
        <v>144</v>
      </c>
      <c r="B144" s="364" t="s">
        <v>120</v>
      </c>
      <c r="C144" s="361">
        <f t="shared" si="59"/>
        <v>251738.49</v>
      </c>
      <c r="D144" s="361">
        <f t="shared" si="60"/>
        <v>449739.39</v>
      </c>
      <c r="E144" s="361">
        <f t="shared" si="61"/>
        <v>650796.79</v>
      </c>
      <c r="F144" s="361">
        <f t="shared" si="62"/>
        <v>793590.06</v>
      </c>
      <c r="G144" s="361">
        <f t="shared" si="63"/>
        <v>945793.21000000008</v>
      </c>
      <c r="H144" s="361">
        <f t="shared" si="64"/>
        <v>1110056.31</v>
      </c>
      <c r="I144" s="361">
        <f t="shared" si="65"/>
        <v>1283398.96</v>
      </c>
      <c r="J144" s="361">
        <f t="shared" si="66"/>
        <v>1450355.0699999998</v>
      </c>
      <c r="K144" s="361">
        <f t="shared" si="67"/>
        <v>1617528.1099999999</v>
      </c>
      <c r="L144" s="361">
        <f t="shared" si="68"/>
        <v>1787263.0999999999</v>
      </c>
      <c r="M144" s="361">
        <f t="shared" si="69"/>
        <v>1973447.7699999998</v>
      </c>
      <c r="N144" s="361">
        <f t="shared" si="70"/>
        <v>2187651.4499999997</v>
      </c>
      <c r="O144" s="361">
        <f t="shared" si="71"/>
        <v>14501358.709999997</v>
      </c>
      <c r="T144" s="257"/>
    </row>
    <row r="145" spans="1:20">
      <c r="A145" s="121">
        <f t="shared" si="57"/>
        <v>145</v>
      </c>
      <c r="B145" s="364" t="s">
        <v>121</v>
      </c>
      <c r="C145" s="361">
        <f t="shared" si="59"/>
        <v>315029.52</v>
      </c>
      <c r="D145" s="361">
        <f t="shared" si="60"/>
        <v>606925.78</v>
      </c>
      <c r="E145" s="361">
        <f t="shared" si="61"/>
        <v>866410.03</v>
      </c>
      <c r="F145" s="361">
        <f t="shared" si="62"/>
        <v>1035704.05</v>
      </c>
      <c r="G145" s="361">
        <f t="shared" si="63"/>
        <v>1215500.6000000001</v>
      </c>
      <c r="H145" s="361">
        <f t="shared" si="64"/>
        <v>1419613.54</v>
      </c>
      <c r="I145" s="361">
        <f t="shared" si="65"/>
        <v>1620678.02</v>
      </c>
      <c r="J145" s="361">
        <f t="shared" si="66"/>
        <v>1813185.29</v>
      </c>
      <c r="K145" s="361">
        <f t="shared" si="67"/>
        <v>2023826.11</v>
      </c>
      <c r="L145" s="361">
        <f t="shared" si="68"/>
        <v>2225444.8200000003</v>
      </c>
      <c r="M145" s="361">
        <f t="shared" si="69"/>
        <v>2467445.9600000004</v>
      </c>
      <c r="N145" s="361">
        <f t="shared" si="70"/>
        <v>2769647.3300000005</v>
      </c>
      <c r="O145" s="361">
        <f t="shared" si="71"/>
        <v>18379411.050000001</v>
      </c>
      <c r="T145" s="257"/>
    </row>
    <row r="146" spans="1:20">
      <c r="A146" s="121">
        <f t="shared" si="57"/>
        <v>146</v>
      </c>
      <c r="B146" s="364" t="s">
        <v>142</v>
      </c>
      <c r="C146" s="361">
        <f t="shared" si="59"/>
        <v>96443.98</v>
      </c>
      <c r="D146" s="361">
        <f t="shared" si="60"/>
        <v>191347.97</v>
      </c>
      <c r="E146" s="361">
        <f t="shared" si="61"/>
        <v>287989.08</v>
      </c>
      <c r="F146" s="361">
        <f t="shared" si="62"/>
        <v>390396.14</v>
      </c>
      <c r="G146" s="361">
        <f t="shared" si="63"/>
        <v>469957.65</v>
      </c>
      <c r="H146" s="361">
        <f t="shared" si="64"/>
        <v>541612.19000000006</v>
      </c>
      <c r="I146" s="361">
        <f t="shared" si="65"/>
        <v>615378.21000000008</v>
      </c>
      <c r="J146" s="361">
        <f t="shared" si="66"/>
        <v>693780.44000000006</v>
      </c>
      <c r="K146" s="361">
        <f t="shared" si="67"/>
        <v>771200.2300000001</v>
      </c>
      <c r="L146" s="361">
        <f t="shared" si="68"/>
        <v>846265.91000000015</v>
      </c>
      <c r="M146" s="361">
        <f t="shared" si="69"/>
        <v>928130.27000000014</v>
      </c>
      <c r="N146" s="361">
        <f t="shared" si="70"/>
        <v>1028885.8700000001</v>
      </c>
      <c r="O146" s="361">
        <f t="shared" si="71"/>
        <v>6861387.9400000013</v>
      </c>
      <c r="T146" s="257"/>
    </row>
    <row r="147" spans="1:20">
      <c r="A147" s="121">
        <f t="shared" si="57"/>
        <v>147</v>
      </c>
      <c r="B147" s="364" t="s">
        <v>143</v>
      </c>
      <c r="C147" s="361">
        <f t="shared" si="59"/>
        <v>169998.7</v>
      </c>
      <c r="D147" s="361">
        <f t="shared" si="60"/>
        <v>337494.22</v>
      </c>
      <c r="E147" s="361">
        <f t="shared" si="61"/>
        <v>479859.5</v>
      </c>
      <c r="F147" s="361">
        <f t="shared" si="62"/>
        <v>608279.37</v>
      </c>
      <c r="G147" s="361">
        <f t="shared" si="63"/>
        <v>749181.51</v>
      </c>
      <c r="H147" s="361">
        <f t="shared" si="64"/>
        <v>881612.07000000007</v>
      </c>
      <c r="I147" s="361">
        <f t="shared" si="65"/>
        <v>1002937.9600000001</v>
      </c>
      <c r="J147" s="361">
        <f t="shared" si="66"/>
        <v>1135987.6300000001</v>
      </c>
      <c r="K147" s="361">
        <f t="shared" si="67"/>
        <v>1301419.7300000002</v>
      </c>
      <c r="L147" s="361">
        <f t="shared" si="68"/>
        <v>1486681.62</v>
      </c>
      <c r="M147" s="361">
        <f t="shared" si="69"/>
        <v>1640279.87</v>
      </c>
      <c r="N147" s="361">
        <f t="shared" si="70"/>
        <v>1833180.28</v>
      </c>
      <c r="O147" s="361">
        <f t="shared" si="71"/>
        <v>11626912.459999999</v>
      </c>
      <c r="T147" s="257"/>
    </row>
    <row r="148" spans="1:20">
      <c r="A148" s="121">
        <f t="shared" si="57"/>
        <v>148</v>
      </c>
      <c r="B148" s="364" t="s">
        <v>144</v>
      </c>
      <c r="C148" s="361">
        <f t="shared" si="59"/>
        <v>346062.07</v>
      </c>
      <c r="D148" s="361">
        <f t="shared" si="60"/>
        <v>660842.94999999995</v>
      </c>
      <c r="E148" s="361">
        <f t="shared" si="61"/>
        <v>1000105.3599999999</v>
      </c>
      <c r="F148" s="361">
        <f t="shared" si="62"/>
        <v>1261644.6199999999</v>
      </c>
      <c r="G148" s="361">
        <f t="shared" si="63"/>
        <v>1560857.7199999997</v>
      </c>
      <c r="H148" s="361">
        <f t="shared" si="64"/>
        <v>1870076.6599999997</v>
      </c>
      <c r="I148" s="361">
        <f t="shared" si="65"/>
        <v>2155206.5199999996</v>
      </c>
      <c r="J148" s="361">
        <f t="shared" si="66"/>
        <v>2440215.7999999998</v>
      </c>
      <c r="K148" s="361">
        <f t="shared" si="67"/>
        <v>2736989.2699999996</v>
      </c>
      <c r="L148" s="361">
        <f t="shared" si="68"/>
        <v>3051836.0799999996</v>
      </c>
      <c r="M148" s="361">
        <f t="shared" si="69"/>
        <v>3380142.59</v>
      </c>
      <c r="N148" s="361">
        <f t="shared" si="70"/>
        <v>3751965.82</v>
      </c>
      <c r="O148" s="361">
        <f t="shared" si="71"/>
        <v>24215945.459999997</v>
      </c>
      <c r="T148" s="257"/>
    </row>
    <row r="149" spans="1:20">
      <c r="A149" s="121">
        <f t="shared" si="57"/>
        <v>149</v>
      </c>
      <c r="B149" s="364" t="s">
        <v>145</v>
      </c>
      <c r="C149" s="361">
        <f t="shared" si="59"/>
        <v>612891.48</v>
      </c>
      <c r="D149" s="361">
        <f t="shared" si="60"/>
        <v>1085753.8599999999</v>
      </c>
      <c r="E149" s="361">
        <f t="shared" si="61"/>
        <v>1569126.93</v>
      </c>
      <c r="F149" s="361">
        <f t="shared" si="62"/>
        <v>1917880.38</v>
      </c>
      <c r="G149" s="361">
        <f t="shared" si="63"/>
        <v>2279345.23</v>
      </c>
      <c r="H149" s="361">
        <f t="shared" si="64"/>
        <v>2655348.17</v>
      </c>
      <c r="I149" s="361">
        <f t="shared" si="65"/>
        <v>3064434.1399999997</v>
      </c>
      <c r="J149" s="361">
        <f t="shared" si="66"/>
        <v>3470667.7299999995</v>
      </c>
      <c r="K149" s="361">
        <f t="shared" si="67"/>
        <v>3869517.3099999996</v>
      </c>
      <c r="L149" s="361">
        <f t="shared" si="68"/>
        <v>4301609.9799999995</v>
      </c>
      <c r="M149" s="361">
        <f t="shared" si="69"/>
        <v>4741237.3999999994</v>
      </c>
      <c r="N149" s="361">
        <f t="shared" si="70"/>
        <v>5228237.3199999994</v>
      </c>
      <c r="O149" s="361">
        <f t="shared" si="71"/>
        <v>34796049.929999992</v>
      </c>
      <c r="T149" s="257"/>
    </row>
    <row r="150" spans="1:20">
      <c r="A150" s="121">
        <f t="shared" si="57"/>
        <v>150</v>
      </c>
      <c r="B150" s="364" t="s">
        <v>146</v>
      </c>
      <c r="C150" s="361">
        <f t="shared" si="59"/>
        <v>318555.51</v>
      </c>
      <c r="D150" s="361">
        <f t="shared" si="60"/>
        <v>630036.60000000009</v>
      </c>
      <c r="E150" s="361">
        <f t="shared" si="61"/>
        <v>941671.31</v>
      </c>
      <c r="F150" s="361">
        <f t="shared" si="62"/>
        <v>1188906.08</v>
      </c>
      <c r="G150" s="361">
        <f t="shared" si="63"/>
        <v>1449663.29</v>
      </c>
      <c r="H150" s="361">
        <f t="shared" si="64"/>
        <v>1708398.03</v>
      </c>
      <c r="I150" s="361">
        <f t="shared" si="65"/>
        <v>1989368.09</v>
      </c>
      <c r="J150" s="361">
        <f t="shared" si="66"/>
        <v>2256320.17</v>
      </c>
      <c r="K150" s="361">
        <f t="shared" si="67"/>
        <v>2521352.2000000002</v>
      </c>
      <c r="L150" s="361">
        <f t="shared" si="68"/>
        <v>2790529.3200000003</v>
      </c>
      <c r="M150" s="361">
        <f t="shared" si="69"/>
        <v>3065369.8600000003</v>
      </c>
      <c r="N150" s="361">
        <f t="shared" si="70"/>
        <v>3371769.41</v>
      </c>
      <c r="O150" s="361">
        <f t="shared" si="71"/>
        <v>22231939.870000001</v>
      </c>
      <c r="T150" s="257"/>
    </row>
    <row r="151" spans="1:20">
      <c r="A151" s="121">
        <f t="shared" si="57"/>
        <v>151</v>
      </c>
      <c r="B151" s="364" t="s">
        <v>147</v>
      </c>
      <c r="C151" s="361">
        <f t="shared" si="59"/>
        <v>221082.93</v>
      </c>
      <c r="D151" s="361">
        <f t="shared" si="60"/>
        <v>431761.57</v>
      </c>
      <c r="E151" s="361">
        <f t="shared" si="61"/>
        <v>670026.62</v>
      </c>
      <c r="F151" s="361">
        <f t="shared" si="62"/>
        <v>896210.17999999993</v>
      </c>
      <c r="G151" s="361">
        <f t="shared" si="63"/>
        <v>1107017.21</v>
      </c>
      <c r="H151" s="361">
        <f t="shared" si="64"/>
        <v>1337540.0899999999</v>
      </c>
      <c r="I151" s="361">
        <f t="shared" si="65"/>
        <v>1569267.0999999999</v>
      </c>
      <c r="J151" s="361">
        <f t="shared" si="66"/>
        <v>1819478.5699999998</v>
      </c>
      <c r="K151" s="361">
        <f t="shared" si="67"/>
        <v>2045417.96</v>
      </c>
      <c r="L151" s="361">
        <f t="shared" si="68"/>
        <v>2285653.34</v>
      </c>
      <c r="M151" s="361">
        <f t="shared" si="69"/>
        <v>2543563.5999999996</v>
      </c>
      <c r="N151" s="361">
        <f t="shared" si="70"/>
        <v>2788751.4499999997</v>
      </c>
      <c r="O151" s="361">
        <f t="shared" si="71"/>
        <v>17715770.620000001</v>
      </c>
      <c r="T151" s="257"/>
    </row>
    <row r="152" spans="1:20">
      <c r="A152" s="121">
        <f t="shared" si="57"/>
        <v>152</v>
      </c>
      <c r="B152" s="364" t="s">
        <v>148</v>
      </c>
      <c r="C152" s="361">
        <f t="shared" si="59"/>
        <v>238439.79</v>
      </c>
      <c r="D152" s="361">
        <f t="shared" si="60"/>
        <v>458074.03</v>
      </c>
      <c r="E152" s="361">
        <f t="shared" si="61"/>
        <v>677100.05</v>
      </c>
      <c r="F152" s="361">
        <f t="shared" si="62"/>
        <v>880873.29</v>
      </c>
      <c r="G152" s="361">
        <f t="shared" si="63"/>
        <v>1086401.3500000001</v>
      </c>
      <c r="H152" s="361">
        <f t="shared" si="64"/>
        <v>1254586.1600000001</v>
      </c>
      <c r="I152" s="361">
        <f t="shared" si="65"/>
        <v>1415622.4600000002</v>
      </c>
      <c r="J152" s="361">
        <f t="shared" si="66"/>
        <v>1570641.35</v>
      </c>
      <c r="K152" s="361">
        <f t="shared" si="67"/>
        <v>1722786.27</v>
      </c>
      <c r="L152" s="361">
        <f t="shared" si="68"/>
        <v>1885449.37</v>
      </c>
      <c r="M152" s="361">
        <f t="shared" si="69"/>
        <v>2037206.62</v>
      </c>
      <c r="N152" s="361">
        <f t="shared" si="70"/>
        <v>2150459.37</v>
      </c>
      <c r="O152" s="361">
        <f t="shared" si="71"/>
        <v>15377640.110000003</v>
      </c>
      <c r="T152" s="257"/>
    </row>
    <row r="153" spans="1:20">
      <c r="A153" s="121">
        <f t="shared" si="57"/>
        <v>153</v>
      </c>
      <c r="B153" s="364" t="s">
        <v>149</v>
      </c>
      <c r="C153" s="361">
        <f t="shared" si="59"/>
        <v>1131632.79</v>
      </c>
      <c r="D153" s="361">
        <f t="shared" si="60"/>
        <v>2474147.48</v>
      </c>
      <c r="E153" s="361">
        <f t="shared" si="61"/>
        <v>3900187.2800000003</v>
      </c>
      <c r="F153" s="361">
        <f t="shared" si="62"/>
        <v>5164049.82</v>
      </c>
      <c r="G153" s="361">
        <f t="shared" si="63"/>
        <v>6544862.2400000002</v>
      </c>
      <c r="H153" s="361">
        <f t="shared" si="64"/>
        <v>7722128.2400000002</v>
      </c>
      <c r="I153" s="361">
        <f t="shared" si="65"/>
        <v>8758624.6300000008</v>
      </c>
      <c r="J153" s="361">
        <f t="shared" si="66"/>
        <v>10248724.880000001</v>
      </c>
      <c r="K153" s="361">
        <f t="shared" si="67"/>
        <v>11611328.58</v>
      </c>
      <c r="L153" s="361">
        <f t="shared" si="68"/>
        <v>13119430.75</v>
      </c>
      <c r="M153" s="361">
        <f t="shared" si="69"/>
        <v>14317808.57</v>
      </c>
      <c r="N153" s="361">
        <f t="shared" si="70"/>
        <v>15900039.640000001</v>
      </c>
      <c r="O153" s="361">
        <f t="shared" si="71"/>
        <v>100892964.89999999</v>
      </c>
      <c r="T153" s="257"/>
    </row>
    <row r="154" spans="1:20">
      <c r="A154" s="121">
        <f t="shared" si="57"/>
        <v>154</v>
      </c>
      <c r="B154" s="364" t="s">
        <v>150</v>
      </c>
      <c r="C154" s="361">
        <f t="shared" si="59"/>
        <v>153010.59</v>
      </c>
      <c r="D154" s="361">
        <f t="shared" si="60"/>
        <v>310005.05</v>
      </c>
      <c r="E154" s="361">
        <f t="shared" si="61"/>
        <v>484299.95999999996</v>
      </c>
      <c r="F154" s="361">
        <f t="shared" si="62"/>
        <v>645092.40999999992</v>
      </c>
      <c r="G154" s="361">
        <f t="shared" si="63"/>
        <v>808366.12999999989</v>
      </c>
      <c r="H154" s="361">
        <f t="shared" si="64"/>
        <v>922218.09999999986</v>
      </c>
      <c r="I154" s="361">
        <f t="shared" si="65"/>
        <v>1052235.4899999998</v>
      </c>
      <c r="J154" s="361">
        <f t="shared" si="66"/>
        <v>1189595.3399999999</v>
      </c>
      <c r="K154" s="361">
        <f t="shared" si="67"/>
        <v>1303324.5399999998</v>
      </c>
      <c r="L154" s="361">
        <f t="shared" si="68"/>
        <v>1420887.8499999999</v>
      </c>
      <c r="M154" s="361">
        <f t="shared" si="69"/>
        <v>1522574.7599999998</v>
      </c>
      <c r="N154" s="361">
        <f t="shared" si="70"/>
        <v>1625841.2699999998</v>
      </c>
      <c r="O154" s="361">
        <f t="shared" si="71"/>
        <v>11437451.489999998</v>
      </c>
      <c r="T154" s="257"/>
    </row>
    <row r="155" spans="1:20">
      <c r="A155" s="121">
        <f t="shared" si="57"/>
        <v>155</v>
      </c>
      <c r="B155" s="364" t="s">
        <v>113</v>
      </c>
      <c r="C155" s="361">
        <f t="shared" si="59"/>
        <v>112594.67999999991</v>
      </c>
      <c r="D155" s="361">
        <f t="shared" si="60"/>
        <v>217826.30000000002</v>
      </c>
      <c r="E155" s="361">
        <f t="shared" si="61"/>
        <v>313662.40999999997</v>
      </c>
      <c r="F155" s="361">
        <f t="shared" si="62"/>
        <v>369443.29</v>
      </c>
      <c r="G155" s="361">
        <f t="shared" si="63"/>
        <v>423689.80999999994</v>
      </c>
      <c r="H155" s="361">
        <f t="shared" si="64"/>
        <v>480767.64999999997</v>
      </c>
      <c r="I155" s="361">
        <f t="shared" si="65"/>
        <v>535370.35</v>
      </c>
      <c r="J155" s="361">
        <f t="shared" si="66"/>
        <v>592067.5199999999</v>
      </c>
      <c r="K155" s="361">
        <f t="shared" si="67"/>
        <v>648512.34999999986</v>
      </c>
      <c r="L155" s="361">
        <f t="shared" si="68"/>
        <v>715836.7</v>
      </c>
      <c r="M155" s="361">
        <f t="shared" si="69"/>
        <v>793638.91999999993</v>
      </c>
      <c r="N155" s="361">
        <f t="shared" si="70"/>
        <v>881718.45</v>
      </c>
      <c r="O155" s="361">
        <f t="shared" si="71"/>
        <v>6085128.4299999997</v>
      </c>
      <c r="T155" s="257"/>
    </row>
    <row r="156" spans="1:20">
      <c r="A156" s="121">
        <f t="shared" si="57"/>
        <v>156</v>
      </c>
      <c r="B156" s="364" t="s">
        <v>173</v>
      </c>
      <c r="C156" s="361">
        <f t="shared" si="59"/>
        <v>81342.739999999991</v>
      </c>
      <c r="D156" s="361">
        <f t="shared" si="60"/>
        <v>155491.57999999999</v>
      </c>
      <c r="E156" s="361">
        <f t="shared" si="61"/>
        <v>224441.18000000005</v>
      </c>
      <c r="F156" s="361">
        <f t="shared" si="62"/>
        <v>268293.88000000006</v>
      </c>
      <c r="G156" s="361">
        <f t="shared" si="63"/>
        <v>305786.61000000004</v>
      </c>
      <c r="H156" s="361">
        <f t="shared" si="64"/>
        <v>347450.18000000005</v>
      </c>
      <c r="I156" s="361">
        <f t="shared" si="65"/>
        <v>390011.24000000011</v>
      </c>
      <c r="J156" s="361">
        <f t="shared" si="66"/>
        <v>430161.89000000013</v>
      </c>
      <c r="K156" s="361">
        <f t="shared" si="67"/>
        <v>471947.29000000015</v>
      </c>
      <c r="L156" s="361">
        <f t="shared" si="68"/>
        <v>518643.72000000015</v>
      </c>
      <c r="M156" s="361">
        <f t="shared" si="69"/>
        <v>574013.13000000012</v>
      </c>
      <c r="N156" s="361">
        <f t="shared" si="70"/>
        <v>639383.85000000009</v>
      </c>
      <c r="O156" s="361">
        <f t="shared" si="71"/>
        <v>4406967.290000001</v>
      </c>
      <c r="T156" s="257"/>
    </row>
    <row r="157" spans="1:20">
      <c r="A157" s="121">
        <f t="shared" si="57"/>
        <v>157</v>
      </c>
      <c r="B157" s="364" t="s">
        <v>175</v>
      </c>
      <c r="C157" s="361">
        <f t="shared" si="59"/>
        <v>753628.78000000084</v>
      </c>
      <c r="D157" s="361">
        <f t="shared" si="60"/>
        <v>1465035.7500000023</v>
      </c>
      <c r="E157" s="361">
        <f t="shared" si="61"/>
        <v>2099602.9100000006</v>
      </c>
      <c r="F157" s="361">
        <f t="shared" si="62"/>
        <v>2514828.4800000009</v>
      </c>
      <c r="G157" s="361">
        <f t="shared" si="63"/>
        <v>2882346.4300000011</v>
      </c>
      <c r="H157" s="361">
        <f t="shared" si="64"/>
        <v>3254515.4500000011</v>
      </c>
      <c r="I157" s="361">
        <f t="shared" si="65"/>
        <v>3656247.040000001</v>
      </c>
      <c r="J157" s="361">
        <f t="shared" si="66"/>
        <v>4039956.790000001</v>
      </c>
      <c r="K157" s="361">
        <f t="shared" si="67"/>
        <v>4427489.97</v>
      </c>
      <c r="L157" s="361">
        <f t="shared" si="68"/>
        <v>4843741.1899999995</v>
      </c>
      <c r="M157" s="361">
        <f t="shared" si="69"/>
        <v>5334878.0299999993</v>
      </c>
      <c r="N157" s="361">
        <f t="shared" si="70"/>
        <v>5960624.3199999994</v>
      </c>
      <c r="O157" s="361">
        <f t="shared" si="71"/>
        <v>41232895.140000008</v>
      </c>
      <c r="T157" s="257"/>
    </row>
    <row r="158" spans="1:20">
      <c r="A158" s="121">
        <f t="shared" si="57"/>
        <v>158</v>
      </c>
      <c r="B158" s="364" t="s">
        <v>176</v>
      </c>
      <c r="C158" s="361">
        <f t="shared" si="59"/>
        <v>559631.99999999965</v>
      </c>
      <c r="D158" s="361">
        <f t="shared" si="60"/>
        <v>1092127.3099999991</v>
      </c>
      <c r="E158" s="361">
        <f t="shared" si="61"/>
        <v>1581644.0499999989</v>
      </c>
      <c r="F158" s="361">
        <f t="shared" si="62"/>
        <v>1918980.4799999979</v>
      </c>
      <c r="G158" s="361">
        <f t="shared" si="63"/>
        <v>2238672.6199999982</v>
      </c>
      <c r="H158" s="361">
        <f t="shared" si="64"/>
        <v>2575413.629999998</v>
      </c>
      <c r="I158" s="361">
        <f t="shared" si="65"/>
        <v>2952987.8299999982</v>
      </c>
      <c r="J158" s="361">
        <f t="shared" si="66"/>
        <v>3308390.129999998</v>
      </c>
      <c r="K158" s="361">
        <f t="shared" si="67"/>
        <v>3673090.3999999976</v>
      </c>
      <c r="L158" s="361">
        <f t="shared" si="68"/>
        <v>4053441.7899999977</v>
      </c>
      <c r="M158" s="361">
        <f t="shared" si="69"/>
        <v>4489208.5299999975</v>
      </c>
      <c r="N158" s="361">
        <f t="shared" si="70"/>
        <v>4996441.4899999974</v>
      </c>
      <c r="O158" s="361">
        <f t="shared" si="71"/>
        <v>33440030.259999983</v>
      </c>
      <c r="T158" s="257"/>
    </row>
    <row r="159" spans="1:20">
      <c r="A159" s="121">
        <f t="shared" si="57"/>
        <v>159</v>
      </c>
      <c r="B159" s="364" t="s">
        <v>177</v>
      </c>
      <c r="C159" s="361">
        <f t="shared" si="59"/>
        <v>9579.64</v>
      </c>
      <c r="D159" s="361">
        <f t="shared" si="60"/>
        <v>17884.699999999997</v>
      </c>
      <c r="E159" s="361">
        <f t="shared" si="61"/>
        <v>25447.639999999996</v>
      </c>
      <c r="F159" s="361">
        <f t="shared" si="62"/>
        <v>30747.959999999995</v>
      </c>
      <c r="G159" s="361">
        <f t="shared" si="63"/>
        <v>35705.149999999994</v>
      </c>
      <c r="H159" s="361">
        <f t="shared" si="64"/>
        <v>39200.819999999992</v>
      </c>
      <c r="I159" s="361">
        <f t="shared" si="65"/>
        <v>42506.189999999995</v>
      </c>
      <c r="J159" s="361">
        <f t="shared" si="66"/>
        <v>45078.779999999992</v>
      </c>
      <c r="K159" s="361">
        <f t="shared" si="67"/>
        <v>47405.659999999996</v>
      </c>
      <c r="L159" s="361">
        <f t="shared" si="68"/>
        <v>49675.78</v>
      </c>
      <c r="M159" s="361">
        <f t="shared" si="69"/>
        <v>53554.52</v>
      </c>
      <c r="N159" s="361">
        <f t="shared" si="70"/>
        <v>60220.289999999994</v>
      </c>
      <c r="O159" s="361">
        <f t="shared" si="71"/>
        <v>457007.12999999995</v>
      </c>
      <c r="T159" s="257"/>
    </row>
    <row r="160" spans="1:20">
      <c r="A160" s="121">
        <f t="shared" si="57"/>
        <v>160</v>
      </c>
      <c r="B160" s="364" t="s">
        <v>178</v>
      </c>
      <c r="C160" s="361">
        <f t="shared" si="59"/>
        <v>974676.7999999997</v>
      </c>
      <c r="D160" s="361">
        <f t="shared" si="60"/>
        <v>1865080.5299999993</v>
      </c>
      <c r="E160" s="361">
        <f t="shared" si="61"/>
        <v>2633566.4299999997</v>
      </c>
      <c r="F160" s="361">
        <f t="shared" si="62"/>
        <v>3154115.4899999998</v>
      </c>
      <c r="G160" s="361">
        <f t="shared" si="63"/>
        <v>3686646.0899999989</v>
      </c>
      <c r="H160" s="361">
        <f t="shared" si="64"/>
        <v>4191491.5699999989</v>
      </c>
      <c r="I160" s="361">
        <f t="shared" si="65"/>
        <v>4746644.7699999986</v>
      </c>
      <c r="J160" s="361">
        <f t="shared" si="66"/>
        <v>5298911.4399999995</v>
      </c>
      <c r="K160" s="361">
        <f t="shared" si="67"/>
        <v>5798513.1999999993</v>
      </c>
      <c r="L160" s="361">
        <f t="shared" si="68"/>
        <v>6335290.9799999986</v>
      </c>
      <c r="M160" s="361">
        <f t="shared" si="69"/>
        <v>6969109.3699999982</v>
      </c>
      <c r="N160" s="361">
        <f t="shared" si="70"/>
        <v>7704386.799999997</v>
      </c>
      <c r="O160" s="361">
        <f t="shared" si="71"/>
        <v>53358433.469999984</v>
      </c>
      <c r="T160" s="257"/>
    </row>
    <row r="161" spans="1:20">
      <c r="A161" s="121">
        <f t="shared" si="57"/>
        <v>161</v>
      </c>
      <c r="B161" s="364" t="s">
        <v>180</v>
      </c>
      <c r="C161" s="361">
        <f t="shared" si="59"/>
        <v>0</v>
      </c>
      <c r="D161" s="361">
        <f t="shared" si="60"/>
        <v>0</v>
      </c>
      <c r="E161" s="361">
        <f t="shared" si="61"/>
        <v>0</v>
      </c>
      <c r="F161" s="361">
        <f t="shared" si="62"/>
        <v>0</v>
      </c>
      <c r="G161" s="361">
        <f t="shared" si="63"/>
        <v>0</v>
      </c>
      <c r="H161" s="361">
        <f t="shared" si="64"/>
        <v>0</v>
      </c>
      <c r="I161" s="361">
        <f t="shared" si="65"/>
        <v>0</v>
      </c>
      <c r="J161" s="361">
        <f t="shared" si="66"/>
        <v>0</v>
      </c>
      <c r="K161" s="361">
        <f t="shared" si="67"/>
        <v>0</v>
      </c>
      <c r="L161" s="361">
        <f t="shared" si="68"/>
        <v>0</v>
      </c>
      <c r="M161" s="361">
        <f t="shared" si="69"/>
        <v>0</v>
      </c>
      <c r="N161" s="361">
        <f t="shared" si="70"/>
        <v>0</v>
      </c>
      <c r="O161" s="361">
        <f t="shared" si="71"/>
        <v>0</v>
      </c>
      <c r="T161" s="257"/>
    </row>
    <row r="162" spans="1:20">
      <c r="A162" s="121">
        <f t="shared" si="57"/>
        <v>162</v>
      </c>
      <c r="B162" s="364" t="s">
        <v>181</v>
      </c>
      <c r="C162" s="361">
        <f t="shared" si="59"/>
        <v>3227691.1699999995</v>
      </c>
      <c r="D162" s="361">
        <f t="shared" si="60"/>
        <v>6231972.4399999958</v>
      </c>
      <c r="E162" s="361">
        <f t="shared" si="61"/>
        <v>9066493.2599999979</v>
      </c>
      <c r="F162" s="361">
        <f t="shared" si="62"/>
        <v>11252822.609999996</v>
      </c>
      <c r="G162" s="361">
        <f t="shared" si="63"/>
        <v>13313898.159999996</v>
      </c>
      <c r="H162" s="361">
        <f t="shared" si="64"/>
        <v>15511145.859999999</v>
      </c>
      <c r="I162" s="361">
        <f t="shared" si="65"/>
        <v>17846364.23</v>
      </c>
      <c r="J162" s="361">
        <f t="shared" si="66"/>
        <v>20090307.919999998</v>
      </c>
      <c r="K162" s="361">
        <f t="shared" si="67"/>
        <v>22380482.739999998</v>
      </c>
      <c r="L162" s="361">
        <f t="shared" si="68"/>
        <v>24701300.229999997</v>
      </c>
      <c r="M162" s="361">
        <f t="shared" si="69"/>
        <v>27168379.809999995</v>
      </c>
      <c r="N162" s="361">
        <f t="shared" si="70"/>
        <v>29910522.709999993</v>
      </c>
      <c r="O162" s="361">
        <f t="shared" si="71"/>
        <v>200701381.13999999</v>
      </c>
      <c r="T162" s="257"/>
    </row>
    <row r="163" spans="1:20">
      <c r="A163" s="121">
        <f t="shared" si="57"/>
        <v>163</v>
      </c>
      <c r="B163" s="364" t="s">
        <v>183</v>
      </c>
      <c r="C163" s="361">
        <f t="shared" si="59"/>
        <v>0</v>
      </c>
      <c r="D163" s="361">
        <f t="shared" si="60"/>
        <v>0</v>
      </c>
      <c r="E163" s="361">
        <f t="shared" si="61"/>
        <v>0</v>
      </c>
      <c r="F163" s="361">
        <f t="shared" si="62"/>
        <v>0</v>
      </c>
      <c r="G163" s="361">
        <f t="shared" si="63"/>
        <v>0</v>
      </c>
      <c r="H163" s="361">
        <f t="shared" si="64"/>
        <v>0</v>
      </c>
      <c r="I163" s="361">
        <f t="shared" si="65"/>
        <v>0</v>
      </c>
      <c r="J163" s="361">
        <f t="shared" si="66"/>
        <v>0</v>
      </c>
      <c r="K163" s="361">
        <f t="shared" si="67"/>
        <v>0</v>
      </c>
      <c r="L163" s="361">
        <f t="shared" si="68"/>
        <v>0</v>
      </c>
      <c r="M163" s="361">
        <f t="shared" si="69"/>
        <v>0</v>
      </c>
      <c r="N163" s="361">
        <f t="shared" si="70"/>
        <v>0</v>
      </c>
      <c r="O163" s="361">
        <f t="shared" si="71"/>
        <v>0</v>
      </c>
      <c r="T163" s="257"/>
    </row>
    <row r="164" spans="1:20">
      <c r="A164" s="121">
        <f t="shared" si="57"/>
        <v>164</v>
      </c>
      <c r="B164" s="364" t="s">
        <v>184</v>
      </c>
      <c r="C164" s="361">
        <f t="shared" si="59"/>
        <v>851790.52000000014</v>
      </c>
      <c r="D164" s="361">
        <f t="shared" si="60"/>
        <v>1638888.7800000003</v>
      </c>
      <c r="E164" s="361">
        <f t="shared" si="61"/>
        <v>2547667.2600000002</v>
      </c>
      <c r="F164" s="361">
        <f t="shared" si="62"/>
        <v>3340663.8400000003</v>
      </c>
      <c r="G164" s="361">
        <f t="shared" si="63"/>
        <v>4200620.21</v>
      </c>
      <c r="H164" s="361">
        <f t="shared" si="64"/>
        <v>4976835.21</v>
      </c>
      <c r="I164" s="361">
        <f t="shared" si="65"/>
        <v>5806336.5</v>
      </c>
      <c r="J164" s="361">
        <f t="shared" si="66"/>
        <v>6636638.4400000004</v>
      </c>
      <c r="K164" s="361">
        <f t="shared" si="67"/>
        <v>7433567.5700000003</v>
      </c>
      <c r="L164" s="361">
        <f t="shared" si="68"/>
        <v>8285780.46</v>
      </c>
      <c r="M164" s="361">
        <f t="shared" si="69"/>
        <v>9145470.0399999991</v>
      </c>
      <c r="N164" s="361">
        <f t="shared" si="70"/>
        <v>10047394.789999999</v>
      </c>
      <c r="O164" s="361">
        <f t="shared" si="71"/>
        <v>64911653.619999997</v>
      </c>
      <c r="T164" s="257"/>
    </row>
    <row r="165" spans="1:20">
      <c r="A165" s="121">
        <f t="shared" si="57"/>
        <v>165</v>
      </c>
      <c r="B165" s="364" t="s">
        <v>186</v>
      </c>
      <c r="C165" s="361">
        <f t="shared" si="59"/>
        <v>8386.2199999999993</v>
      </c>
      <c r="D165" s="361">
        <f t="shared" si="60"/>
        <v>18188.439999999999</v>
      </c>
      <c r="E165" s="361">
        <f t="shared" si="61"/>
        <v>27282.659999999996</v>
      </c>
      <c r="F165" s="361">
        <f t="shared" si="62"/>
        <v>36376.879999999997</v>
      </c>
      <c r="G165" s="361">
        <f t="shared" si="63"/>
        <v>45471.1</v>
      </c>
      <c r="H165" s="361">
        <f t="shared" si="64"/>
        <v>54565.32</v>
      </c>
      <c r="I165" s="361">
        <f t="shared" si="65"/>
        <v>63659.54</v>
      </c>
      <c r="J165" s="361">
        <f t="shared" si="66"/>
        <v>72753.759999999995</v>
      </c>
      <c r="K165" s="361">
        <f t="shared" si="67"/>
        <v>81847.98</v>
      </c>
      <c r="L165" s="361">
        <f t="shared" si="68"/>
        <v>90942.2</v>
      </c>
      <c r="M165" s="361">
        <f t="shared" si="69"/>
        <v>100036.42</v>
      </c>
      <c r="N165" s="361">
        <f t="shared" si="70"/>
        <v>109130.64</v>
      </c>
      <c r="O165" s="361">
        <f t="shared" si="71"/>
        <v>708641.16</v>
      </c>
      <c r="T165" s="257"/>
    </row>
    <row r="166" spans="1:20">
      <c r="A166" s="121">
        <f t="shared" si="57"/>
        <v>166</v>
      </c>
      <c r="B166" s="364" t="s">
        <v>188</v>
      </c>
      <c r="C166" s="361">
        <f t="shared" si="59"/>
        <v>0</v>
      </c>
      <c r="D166" s="361">
        <f t="shared" si="60"/>
        <v>0</v>
      </c>
      <c r="E166" s="361">
        <f t="shared" si="61"/>
        <v>0</v>
      </c>
      <c r="F166" s="361">
        <f t="shared" si="62"/>
        <v>0</v>
      </c>
      <c r="G166" s="361">
        <f t="shared" si="63"/>
        <v>0</v>
      </c>
      <c r="H166" s="361">
        <f t="shared" si="64"/>
        <v>0</v>
      </c>
      <c r="I166" s="361">
        <f t="shared" si="65"/>
        <v>0</v>
      </c>
      <c r="J166" s="361">
        <f t="shared" si="66"/>
        <v>0</v>
      </c>
      <c r="K166" s="361">
        <f t="shared" si="67"/>
        <v>0</v>
      </c>
      <c r="L166" s="361">
        <f t="shared" si="68"/>
        <v>0</v>
      </c>
      <c r="M166" s="361">
        <f t="shared" si="69"/>
        <v>0</v>
      </c>
      <c r="N166" s="361">
        <f t="shared" si="70"/>
        <v>0</v>
      </c>
      <c r="O166" s="361">
        <f>SUM(C166:N166)</f>
        <v>0</v>
      </c>
      <c r="T166" s="257"/>
    </row>
    <row r="167" spans="1:20">
      <c r="A167" s="121">
        <f t="shared" si="57"/>
        <v>167</v>
      </c>
      <c r="B167" s="364" t="s">
        <v>242</v>
      </c>
      <c r="C167" s="361">
        <f t="shared" si="59"/>
        <v>72940.95</v>
      </c>
      <c r="D167" s="361">
        <f t="shared" si="60"/>
        <v>138838.91</v>
      </c>
      <c r="E167" s="361">
        <f t="shared" si="61"/>
        <v>213403.33000000002</v>
      </c>
      <c r="F167" s="361">
        <f t="shared" si="62"/>
        <v>292334.79000000004</v>
      </c>
      <c r="G167" s="361">
        <f t="shared" si="63"/>
        <v>368654.08000000007</v>
      </c>
      <c r="H167" s="361">
        <f t="shared" si="64"/>
        <v>449516.43000000005</v>
      </c>
      <c r="I167" s="361">
        <f t="shared" si="65"/>
        <v>536369.88</v>
      </c>
      <c r="J167" s="361">
        <f t="shared" si="66"/>
        <v>618697.11</v>
      </c>
      <c r="K167" s="361">
        <f t="shared" si="67"/>
        <v>702043.39</v>
      </c>
      <c r="L167" s="361">
        <f t="shared" si="68"/>
        <v>785500.74</v>
      </c>
      <c r="M167" s="361">
        <f t="shared" si="69"/>
        <v>863535.02</v>
      </c>
      <c r="N167" s="361">
        <f t="shared" si="70"/>
        <v>943152.87</v>
      </c>
      <c r="O167" s="361">
        <f>SUM(C167:N167)</f>
        <v>5984987.5000000009</v>
      </c>
      <c r="T167" s="257"/>
    </row>
    <row r="168" spans="1:20">
      <c r="A168" s="121">
        <f t="shared" si="57"/>
        <v>168</v>
      </c>
      <c r="B168" s="364" t="s">
        <v>190</v>
      </c>
      <c r="C168" s="361">
        <f t="shared" si="59"/>
        <v>45.27</v>
      </c>
      <c r="D168" s="361">
        <f t="shared" si="60"/>
        <v>110.75999999999999</v>
      </c>
      <c r="E168" s="361">
        <f t="shared" si="61"/>
        <v>152.97999999999999</v>
      </c>
      <c r="F168" s="361">
        <f t="shared" si="62"/>
        <v>158.17999999999998</v>
      </c>
      <c r="G168" s="361">
        <f t="shared" si="63"/>
        <v>164.17999999999998</v>
      </c>
      <c r="H168" s="361">
        <f t="shared" si="64"/>
        <v>187.05999999999997</v>
      </c>
      <c r="I168" s="361">
        <f t="shared" si="65"/>
        <v>194.33999999999997</v>
      </c>
      <c r="J168" s="361">
        <f t="shared" si="66"/>
        <v>194.33999999999997</v>
      </c>
      <c r="K168" s="361">
        <f t="shared" si="67"/>
        <v>207.85999999999999</v>
      </c>
      <c r="L168" s="361">
        <f t="shared" si="68"/>
        <v>229.70999999999998</v>
      </c>
      <c r="M168" s="361">
        <f t="shared" si="69"/>
        <v>238.10999999999999</v>
      </c>
      <c r="N168" s="361">
        <f t="shared" si="70"/>
        <v>279.18</v>
      </c>
      <c r="O168" s="361">
        <f t="shared" si="71"/>
        <v>2161.9699999999993</v>
      </c>
      <c r="T168" s="257"/>
    </row>
    <row r="169" spans="1:20">
      <c r="A169" s="121">
        <f t="shared" si="57"/>
        <v>169</v>
      </c>
      <c r="B169" s="364" t="s">
        <v>192</v>
      </c>
      <c r="C169" s="361">
        <f t="shared" si="59"/>
        <v>23251.81</v>
      </c>
      <c r="D169" s="361">
        <f t="shared" si="60"/>
        <v>49513.41</v>
      </c>
      <c r="E169" s="361">
        <f t="shared" si="61"/>
        <v>73129.05</v>
      </c>
      <c r="F169" s="361">
        <f t="shared" si="62"/>
        <v>88778.05</v>
      </c>
      <c r="G169" s="361">
        <f t="shared" si="63"/>
        <v>94786.05</v>
      </c>
      <c r="H169" s="361">
        <f t="shared" si="64"/>
        <v>101733.38</v>
      </c>
      <c r="I169" s="361">
        <f t="shared" si="65"/>
        <v>109720.21</v>
      </c>
      <c r="J169" s="361">
        <f t="shared" si="66"/>
        <v>115628.44</v>
      </c>
      <c r="K169" s="361">
        <f t="shared" si="67"/>
        <v>122627.41</v>
      </c>
      <c r="L169" s="361">
        <f t="shared" si="68"/>
        <v>133490.73000000001</v>
      </c>
      <c r="M169" s="361">
        <f t="shared" si="69"/>
        <v>148659.19</v>
      </c>
      <c r="N169" s="361">
        <f t="shared" si="70"/>
        <v>173027.07</v>
      </c>
      <c r="O169" s="361">
        <f t="shared" si="71"/>
        <v>1234344.8</v>
      </c>
      <c r="T169" s="257"/>
    </row>
    <row r="170" spans="1:20">
      <c r="A170" s="121">
        <f t="shared" si="57"/>
        <v>170</v>
      </c>
      <c r="B170" s="364" t="s">
        <v>194</v>
      </c>
      <c r="C170" s="361">
        <f t="shared" si="59"/>
        <v>2296.37</v>
      </c>
      <c r="D170" s="361">
        <f t="shared" si="60"/>
        <v>4544.13</v>
      </c>
      <c r="E170" s="361">
        <f t="shared" si="61"/>
        <v>6725.17</v>
      </c>
      <c r="F170" s="361">
        <f t="shared" si="62"/>
        <v>8392.17</v>
      </c>
      <c r="G170" s="361">
        <f t="shared" si="63"/>
        <v>9741.17</v>
      </c>
      <c r="H170" s="361">
        <f t="shared" si="64"/>
        <v>11164.61</v>
      </c>
      <c r="I170" s="361">
        <f t="shared" si="65"/>
        <v>12701.12</v>
      </c>
      <c r="J170" s="361">
        <f t="shared" si="66"/>
        <v>14069.69</v>
      </c>
      <c r="K170" s="361">
        <f t="shared" si="67"/>
        <v>15934.07</v>
      </c>
      <c r="L170" s="361">
        <f t="shared" si="68"/>
        <v>17828.8</v>
      </c>
      <c r="M170" s="361">
        <f t="shared" si="69"/>
        <v>19926.849999999999</v>
      </c>
      <c r="N170" s="361">
        <f t="shared" si="70"/>
        <v>22358.25</v>
      </c>
      <c r="O170" s="361">
        <f t="shared" si="71"/>
        <v>145682.4</v>
      </c>
      <c r="T170" s="257"/>
    </row>
    <row r="171" spans="1:20">
      <c r="A171" s="121">
        <f t="shared" si="57"/>
        <v>171</v>
      </c>
      <c r="B171" s="157" t="s">
        <v>107</v>
      </c>
      <c r="C171" s="361">
        <f t="shared" si="59"/>
        <v>7392.8199999999988</v>
      </c>
      <c r="D171" s="361">
        <f t="shared" si="60"/>
        <v>14788.939999999999</v>
      </c>
      <c r="E171" s="361">
        <f t="shared" si="61"/>
        <v>21968.44</v>
      </c>
      <c r="F171" s="361">
        <f t="shared" si="62"/>
        <v>28411.81</v>
      </c>
      <c r="G171" s="361">
        <f t="shared" si="63"/>
        <v>34971.51</v>
      </c>
      <c r="H171" s="361">
        <f t="shared" si="64"/>
        <v>41080.26</v>
      </c>
      <c r="I171" s="361">
        <f t="shared" si="65"/>
        <v>47913.86</v>
      </c>
      <c r="J171" s="361">
        <f t="shared" si="66"/>
        <v>53909.760000000002</v>
      </c>
      <c r="K171" s="361">
        <f t="shared" si="67"/>
        <v>60784.67</v>
      </c>
      <c r="L171" s="361">
        <f t="shared" si="68"/>
        <v>66721.02</v>
      </c>
      <c r="M171" s="361">
        <f t="shared" si="69"/>
        <v>73732.87000000001</v>
      </c>
      <c r="N171" s="361">
        <f t="shared" si="70"/>
        <v>80460.960000000006</v>
      </c>
      <c r="O171" s="361">
        <f t="shared" si="71"/>
        <v>532136.92000000004</v>
      </c>
      <c r="T171" s="257"/>
    </row>
    <row r="172" spans="1:20">
      <c r="A172" s="121">
        <f t="shared" si="57"/>
        <v>172</v>
      </c>
      <c r="B172" s="157" t="s">
        <v>108</v>
      </c>
      <c r="C172" s="361">
        <f t="shared" si="59"/>
        <v>325.58999999999997</v>
      </c>
      <c r="D172" s="361">
        <f t="shared" si="60"/>
        <v>621.99</v>
      </c>
      <c r="E172" s="361">
        <f t="shared" si="61"/>
        <v>1014.89</v>
      </c>
      <c r="F172" s="361">
        <f t="shared" si="62"/>
        <v>1363.83</v>
      </c>
      <c r="G172" s="361">
        <f t="shared" si="63"/>
        <v>1863.1599999999999</v>
      </c>
      <c r="H172" s="361">
        <f t="shared" si="64"/>
        <v>2217.48</v>
      </c>
      <c r="I172" s="361">
        <f t="shared" si="65"/>
        <v>2662.8</v>
      </c>
      <c r="J172" s="361">
        <f t="shared" si="66"/>
        <v>3069.76</v>
      </c>
      <c r="K172" s="361">
        <f t="shared" si="67"/>
        <v>3411.86</v>
      </c>
      <c r="L172" s="361">
        <f t="shared" si="68"/>
        <v>3674.17</v>
      </c>
      <c r="M172" s="361">
        <f t="shared" si="69"/>
        <v>4095.23</v>
      </c>
      <c r="N172" s="361">
        <f t="shared" si="70"/>
        <v>4666.6000000000004</v>
      </c>
      <c r="O172" s="361">
        <f t="shared" si="71"/>
        <v>28987.360000000001</v>
      </c>
      <c r="T172" s="257"/>
    </row>
    <row r="173" spans="1:20">
      <c r="A173" s="121">
        <f t="shared" si="57"/>
        <v>173</v>
      </c>
      <c r="B173" s="370" t="s">
        <v>109</v>
      </c>
      <c r="C173" s="366">
        <f t="shared" si="59"/>
        <v>0</v>
      </c>
      <c r="D173" s="366">
        <f t="shared" si="60"/>
        <v>0</v>
      </c>
      <c r="E173" s="366">
        <f t="shared" si="61"/>
        <v>0</v>
      </c>
      <c r="F173" s="366">
        <f t="shared" si="62"/>
        <v>0</v>
      </c>
      <c r="G173" s="366">
        <f t="shared" si="63"/>
        <v>0</v>
      </c>
      <c r="H173" s="366">
        <f t="shared" si="64"/>
        <v>0</v>
      </c>
      <c r="I173" s="366">
        <f t="shared" si="65"/>
        <v>0</v>
      </c>
      <c r="J173" s="366">
        <f t="shared" si="66"/>
        <v>0</v>
      </c>
      <c r="K173" s="366">
        <f t="shared" si="67"/>
        <v>0</v>
      </c>
      <c r="L173" s="366">
        <f t="shared" si="68"/>
        <v>0</v>
      </c>
      <c r="M173" s="366">
        <f t="shared" si="69"/>
        <v>0</v>
      </c>
      <c r="N173" s="366">
        <f t="shared" si="70"/>
        <v>0</v>
      </c>
      <c r="O173" s="366">
        <f t="shared" si="71"/>
        <v>0</v>
      </c>
      <c r="T173" s="257"/>
    </row>
    <row r="174" spans="1:20">
      <c r="A174" s="121">
        <f t="shared" si="57"/>
        <v>174</v>
      </c>
      <c r="B174" s="371" t="s">
        <v>199</v>
      </c>
      <c r="C174" s="361">
        <f>SUM(C137:C173)</f>
        <v>10688874.569999998</v>
      </c>
      <c r="D174" s="361">
        <f t="shared" ref="D174:O174" si="72">SUM(D137:D173)</f>
        <v>20840844.050000001</v>
      </c>
      <c r="E174" s="361">
        <f t="shared" si="72"/>
        <v>30793780.880000006</v>
      </c>
      <c r="F174" s="361">
        <f t="shared" si="72"/>
        <v>38620960.649999999</v>
      </c>
      <c r="G174" s="361">
        <f t="shared" si="72"/>
        <v>46502328.869999982</v>
      </c>
      <c r="H174" s="361">
        <f t="shared" si="72"/>
        <v>54209272.269999996</v>
      </c>
      <c r="I174" s="361">
        <f t="shared" si="72"/>
        <v>62141190.640000001</v>
      </c>
      <c r="J174" s="361">
        <f t="shared" si="72"/>
        <v>70380074.560000002</v>
      </c>
      <c r="K174" s="361">
        <f t="shared" si="72"/>
        <v>78482792.469999984</v>
      </c>
      <c r="L174" s="361">
        <f t="shared" si="72"/>
        <v>87012316.949999973</v>
      </c>
      <c r="M174" s="361">
        <f t="shared" si="72"/>
        <v>95691766.079999983</v>
      </c>
      <c r="N174" s="361">
        <f t="shared" si="72"/>
        <v>105655195.66999999</v>
      </c>
      <c r="O174" s="361">
        <f t="shared" si="72"/>
        <v>701019397.65999985</v>
      </c>
      <c r="T174" s="257"/>
    </row>
    <row r="175" spans="1:20">
      <c r="A175" s="121">
        <f t="shared" si="57"/>
        <v>175</v>
      </c>
      <c r="B175" s="320" t="s">
        <v>200</v>
      </c>
      <c r="T175" s="257"/>
    </row>
    <row r="176" spans="1:20">
      <c r="A176" s="121">
        <f t="shared" si="57"/>
        <v>176</v>
      </c>
      <c r="B176" s="157" t="s">
        <v>114</v>
      </c>
      <c r="C176" s="361">
        <f t="shared" ref="C176:C182" si="73">+C64</f>
        <v>0</v>
      </c>
      <c r="D176" s="361">
        <f t="shared" ref="D176:D182" si="74">SUM(C64:D64)</f>
        <v>0</v>
      </c>
      <c r="E176" s="361">
        <f t="shared" ref="E176:E182" si="75">SUM(C64:E64)</f>
        <v>0</v>
      </c>
      <c r="F176" s="361">
        <f t="shared" ref="F176:F182" si="76">SUM(C64:F64)</f>
        <v>0</v>
      </c>
      <c r="G176" s="361">
        <f t="shared" ref="G176:G182" si="77">SUM(C64:G64)</f>
        <v>0</v>
      </c>
      <c r="H176" s="361">
        <f t="shared" ref="H176:H182" si="78">SUM(C64:H64)</f>
        <v>0</v>
      </c>
      <c r="I176" s="361">
        <f t="shared" ref="I176:I182" si="79">SUM(C64:I64)</f>
        <v>0</v>
      </c>
      <c r="J176" s="361">
        <f t="shared" ref="J176:J182" si="80">SUM(C64:J64)</f>
        <v>0</v>
      </c>
      <c r="K176" s="361">
        <f t="shared" ref="K176:K182" si="81">SUM(C64:K64)</f>
        <v>0</v>
      </c>
      <c r="L176" s="361">
        <f t="shared" ref="L176:L182" si="82">SUM(C64:L64)</f>
        <v>0</v>
      </c>
      <c r="M176" s="361">
        <f t="shared" ref="M176:M182" si="83">SUM(C64:M64)</f>
        <v>0</v>
      </c>
      <c r="N176" s="361">
        <f t="shared" ref="N176:N182" si="84">SUM(C64:N64)</f>
        <v>0</v>
      </c>
      <c r="O176" s="361">
        <f t="shared" ref="O176:O183" si="85">SUM(C176:N176)</f>
        <v>0</v>
      </c>
      <c r="T176" s="257"/>
    </row>
    <row r="177" spans="1:20">
      <c r="A177" s="121">
        <f t="shared" si="57"/>
        <v>177</v>
      </c>
      <c r="B177" s="157" t="s">
        <v>115</v>
      </c>
      <c r="C177" s="361">
        <f t="shared" si="73"/>
        <v>1.03</v>
      </c>
      <c r="D177" s="361">
        <f t="shared" si="74"/>
        <v>2.06</v>
      </c>
      <c r="E177" s="361">
        <f t="shared" si="75"/>
        <v>4.1400000000000006</v>
      </c>
      <c r="F177" s="361">
        <f t="shared" si="76"/>
        <v>6.2200000000000006</v>
      </c>
      <c r="G177" s="361">
        <f t="shared" si="77"/>
        <v>7.2500000000000009</v>
      </c>
      <c r="H177" s="361">
        <f t="shared" si="78"/>
        <v>8.2800000000000011</v>
      </c>
      <c r="I177" s="361">
        <f t="shared" si="79"/>
        <v>11.39</v>
      </c>
      <c r="J177" s="361">
        <f t="shared" si="80"/>
        <v>13.47</v>
      </c>
      <c r="K177" s="361">
        <f t="shared" si="81"/>
        <v>14.5</v>
      </c>
      <c r="L177" s="361">
        <f t="shared" si="82"/>
        <v>16.579999999999998</v>
      </c>
      <c r="M177" s="361">
        <f t="shared" si="83"/>
        <v>18.659999999999997</v>
      </c>
      <c r="N177" s="361">
        <f t="shared" si="84"/>
        <v>20.739999999999995</v>
      </c>
      <c r="O177" s="361">
        <f t="shared" si="85"/>
        <v>124.32</v>
      </c>
      <c r="T177" s="257"/>
    </row>
    <row r="178" spans="1:20">
      <c r="A178" s="121">
        <f t="shared" si="57"/>
        <v>178</v>
      </c>
      <c r="B178" s="157" t="s">
        <v>116</v>
      </c>
      <c r="C178" s="361">
        <f t="shared" si="73"/>
        <v>543.84</v>
      </c>
      <c r="D178" s="361">
        <f t="shared" si="74"/>
        <v>1037.7</v>
      </c>
      <c r="E178" s="361">
        <f t="shared" si="75"/>
        <v>1499.51</v>
      </c>
      <c r="F178" s="361">
        <f t="shared" si="76"/>
        <v>1822.3899999999999</v>
      </c>
      <c r="G178" s="361">
        <f t="shared" si="77"/>
        <v>2144.4899999999998</v>
      </c>
      <c r="H178" s="361">
        <f t="shared" si="78"/>
        <v>2657.43</v>
      </c>
      <c r="I178" s="361">
        <f t="shared" si="79"/>
        <v>3199.97</v>
      </c>
      <c r="J178" s="361">
        <f t="shared" si="80"/>
        <v>3824.2999999999997</v>
      </c>
      <c r="K178" s="361">
        <f t="shared" si="81"/>
        <v>4399.0199999999995</v>
      </c>
      <c r="L178" s="361">
        <f t="shared" si="82"/>
        <v>4884.4799999999996</v>
      </c>
      <c r="M178" s="361">
        <f t="shared" si="83"/>
        <v>5444.0999999999995</v>
      </c>
      <c r="N178" s="361">
        <f t="shared" si="84"/>
        <v>6183.58</v>
      </c>
      <c r="O178" s="361">
        <f t="shared" si="85"/>
        <v>37640.81</v>
      </c>
      <c r="T178" s="257"/>
    </row>
    <row r="179" spans="1:20">
      <c r="A179" s="121">
        <f t="shared" si="57"/>
        <v>179</v>
      </c>
      <c r="B179" s="157" t="s">
        <v>117</v>
      </c>
      <c r="C179" s="361">
        <f t="shared" si="73"/>
        <v>237.97</v>
      </c>
      <c r="D179" s="361">
        <f t="shared" si="74"/>
        <v>456.58000000000004</v>
      </c>
      <c r="E179" s="361">
        <f t="shared" si="75"/>
        <v>644.52</v>
      </c>
      <c r="F179" s="361">
        <f t="shared" si="76"/>
        <v>1116.6199999999999</v>
      </c>
      <c r="G179" s="361">
        <f t="shared" si="77"/>
        <v>1254.58</v>
      </c>
      <c r="H179" s="361">
        <f t="shared" si="78"/>
        <v>1142.55</v>
      </c>
      <c r="I179" s="361">
        <f t="shared" si="79"/>
        <v>1419.47</v>
      </c>
      <c r="J179" s="361">
        <f t="shared" si="80"/>
        <v>1624.01</v>
      </c>
      <c r="K179" s="361">
        <f t="shared" si="81"/>
        <v>1801.57</v>
      </c>
      <c r="L179" s="361">
        <f t="shared" si="82"/>
        <v>1977.6599999999999</v>
      </c>
      <c r="M179" s="361">
        <f t="shared" si="83"/>
        <v>2179.5899999999997</v>
      </c>
      <c r="N179" s="361">
        <f t="shared" si="84"/>
        <v>2389.8399999999997</v>
      </c>
      <c r="O179" s="361">
        <f t="shared" si="85"/>
        <v>16244.960000000001</v>
      </c>
      <c r="T179" s="257"/>
    </row>
    <row r="180" spans="1:20">
      <c r="A180" s="121">
        <f t="shared" si="57"/>
        <v>180</v>
      </c>
      <c r="B180" s="157" t="s">
        <v>118</v>
      </c>
      <c r="C180" s="361">
        <f t="shared" si="73"/>
        <v>1454.24</v>
      </c>
      <c r="D180" s="361">
        <f t="shared" si="74"/>
        <v>2922.26</v>
      </c>
      <c r="E180" s="361">
        <f t="shared" si="75"/>
        <v>4338.57</v>
      </c>
      <c r="F180" s="361">
        <f t="shared" si="76"/>
        <v>5206.96</v>
      </c>
      <c r="G180" s="361">
        <f t="shared" si="77"/>
        <v>6074.1900000000005</v>
      </c>
      <c r="H180" s="361">
        <f t="shared" si="78"/>
        <v>7241.5</v>
      </c>
      <c r="I180" s="361">
        <f t="shared" si="79"/>
        <v>8408.5400000000009</v>
      </c>
      <c r="J180" s="361">
        <f t="shared" si="80"/>
        <v>9569.52</v>
      </c>
      <c r="K180" s="361">
        <f t="shared" si="81"/>
        <v>10569.49</v>
      </c>
      <c r="L180" s="361">
        <f t="shared" si="82"/>
        <v>11485.35</v>
      </c>
      <c r="M180" s="361">
        <f t="shared" si="83"/>
        <v>12594.6</v>
      </c>
      <c r="N180" s="361">
        <f t="shared" si="84"/>
        <v>13846.25</v>
      </c>
      <c r="O180" s="361">
        <f t="shared" si="85"/>
        <v>93711.47</v>
      </c>
      <c r="T180" s="257"/>
    </row>
    <row r="181" spans="1:20">
      <c r="A181" s="121">
        <f t="shared" si="57"/>
        <v>181</v>
      </c>
      <c r="B181" s="364" t="s">
        <v>119</v>
      </c>
      <c r="C181" s="361">
        <f t="shared" si="73"/>
        <v>5663.76</v>
      </c>
      <c r="D181" s="361">
        <f t="shared" si="74"/>
        <v>10830.119999999999</v>
      </c>
      <c r="E181" s="361">
        <f t="shared" si="75"/>
        <v>15655.059999999998</v>
      </c>
      <c r="F181" s="361">
        <f t="shared" si="76"/>
        <v>19078.28</v>
      </c>
      <c r="G181" s="361">
        <f t="shared" si="77"/>
        <v>23154.739999999998</v>
      </c>
      <c r="H181" s="361">
        <f t="shared" si="78"/>
        <v>27705.289999999997</v>
      </c>
      <c r="I181" s="361">
        <f t="shared" si="79"/>
        <v>32538.319999999996</v>
      </c>
      <c r="J181" s="361">
        <f t="shared" si="80"/>
        <v>37180.909999999996</v>
      </c>
      <c r="K181" s="361">
        <f t="shared" si="81"/>
        <v>41752.85</v>
      </c>
      <c r="L181" s="361">
        <f t="shared" si="82"/>
        <v>46263.65</v>
      </c>
      <c r="M181" s="361">
        <f t="shared" si="83"/>
        <v>51281.72</v>
      </c>
      <c r="N181" s="361">
        <f t="shared" si="84"/>
        <v>56372.82</v>
      </c>
      <c r="O181" s="361">
        <f t="shared" si="85"/>
        <v>367477.51999999996</v>
      </c>
      <c r="T181" s="257"/>
    </row>
    <row r="182" spans="1:20">
      <c r="A182" s="121">
        <f t="shared" si="57"/>
        <v>182</v>
      </c>
      <c r="B182" s="370" t="s">
        <v>120</v>
      </c>
      <c r="C182" s="366">
        <f t="shared" si="73"/>
        <v>3969.03</v>
      </c>
      <c r="D182" s="366">
        <f t="shared" si="74"/>
        <v>7892.8600000000006</v>
      </c>
      <c r="E182" s="366">
        <f t="shared" si="75"/>
        <v>11513.51</v>
      </c>
      <c r="F182" s="366">
        <f t="shared" si="76"/>
        <v>13092.05</v>
      </c>
      <c r="G182" s="366">
        <f t="shared" si="77"/>
        <v>16095.849999999999</v>
      </c>
      <c r="H182" s="366">
        <f t="shared" si="78"/>
        <v>19412.699999999997</v>
      </c>
      <c r="I182" s="366">
        <f t="shared" si="79"/>
        <v>23064.319999999996</v>
      </c>
      <c r="J182" s="366">
        <f t="shared" si="80"/>
        <v>26029.089999999997</v>
      </c>
      <c r="K182" s="366">
        <f t="shared" si="81"/>
        <v>29392.059999999998</v>
      </c>
      <c r="L182" s="366">
        <f t="shared" si="82"/>
        <v>33041.11</v>
      </c>
      <c r="M182" s="366">
        <f t="shared" si="83"/>
        <v>36832.379999999997</v>
      </c>
      <c r="N182" s="366">
        <f t="shared" si="84"/>
        <v>40285.82</v>
      </c>
      <c r="O182" s="366">
        <f t="shared" si="85"/>
        <v>260620.77999999997</v>
      </c>
      <c r="T182" s="257"/>
    </row>
    <row r="183" spans="1:20">
      <c r="A183" s="121">
        <f t="shared" si="57"/>
        <v>183</v>
      </c>
      <c r="B183" s="371" t="s">
        <v>202</v>
      </c>
      <c r="C183" s="361">
        <f t="shared" ref="C183:N183" si="86">SUM(C176:C182)</f>
        <v>11869.87</v>
      </c>
      <c r="D183" s="361">
        <f t="shared" si="86"/>
        <v>23141.58</v>
      </c>
      <c r="E183" s="361">
        <f t="shared" si="86"/>
        <v>33655.31</v>
      </c>
      <c r="F183" s="361">
        <f t="shared" si="86"/>
        <v>40322.519999999997</v>
      </c>
      <c r="G183" s="361">
        <f t="shared" si="86"/>
        <v>48731.1</v>
      </c>
      <c r="H183" s="361">
        <f t="shared" si="86"/>
        <v>58167.749999999993</v>
      </c>
      <c r="I183" s="361">
        <f t="shared" si="86"/>
        <v>68642.009999999995</v>
      </c>
      <c r="J183" s="361">
        <f t="shared" si="86"/>
        <v>78241.299999999988</v>
      </c>
      <c r="K183" s="361">
        <f t="shared" si="86"/>
        <v>87929.489999999991</v>
      </c>
      <c r="L183" s="361">
        <f t="shared" si="86"/>
        <v>97668.83</v>
      </c>
      <c r="M183" s="361">
        <f t="shared" si="86"/>
        <v>108351.04999999999</v>
      </c>
      <c r="N183" s="361">
        <f t="shared" si="86"/>
        <v>119099.04999999999</v>
      </c>
      <c r="O183" s="361">
        <f t="shared" si="85"/>
        <v>775819.8600000001</v>
      </c>
      <c r="T183" s="257"/>
    </row>
    <row r="184" spans="1:20">
      <c r="A184" s="121">
        <f t="shared" si="57"/>
        <v>184</v>
      </c>
      <c r="B184" s="320" t="s">
        <v>203</v>
      </c>
      <c r="T184" s="257"/>
    </row>
    <row r="185" spans="1:20">
      <c r="A185" s="121">
        <f t="shared" si="57"/>
        <v>185</v>
      </c>
      <c r="B185" s="118" t="s">
        <v>204</v>
      </c>
      <c r="C185" s="361">
        <f t="shared" ref="C185:C199" si="87">+C73</f>
        <v>69339</v>
      </c>
      <c r="D185" s="361">
        <f t="shared" ref="D185:D198" si="88">SUM(C73:D73)</f>
        <v>184909</v>
      </c>
      <c r="E185" s="361">
        <f t="shared" ref="E185:E198" si="89">SUM(C73:E73)</f>
        <v>272982.92</v>
      </c>
      <c r="F185" s="361">
        <f t="shared" ref="F185:F198" si="90">SUM(C73:F73)</f>
        <v>354610.52999999997</v>
      </c>
      <c r="G185" s="361">
        <f t="shared" ref="G185:G198" si="91">SUM(C73:G73)</f>
        <v>451183.76999999996</v>
      </c>
      <c r="H185" s="361">
        <f t="shared" ref="H185:H198" si="92">SUM(C73:H73)</f>
        <v>493763.76999999996</v>
      </c>
      <c r="I185" s="361">
        <f t="shared" ref="I185:I198" si="93">SUM(C73:I73)</f>
        <v>522925.48</v>
      </c>
      <c r="J185" s="361">
        <f t="shared" ref="J185:J198" si="94">SUM(C73:J73)</f>
        <v>581810.81999999995</v>
      </c>
      <c r="K185" s="361">
        <f t="shared" ref="K185:K198" si="95">SUM(C73:K73)</f>
        <v>651386.79999999993</v>
      </c>
      <c r="L185" s="361">
        <f t="shared" ref="L185:L198" si="96">SUM(C73:L73)</f>
        <v>704867.71</v>
      </c>
      <c r="M185" s="361">
        <f t="shared" ref="M185:M198" si="97">SUM(C73:M73)</f>
        <v>728513.30999999994</v>
      </c>
      <c r="N185" s="361">
        <f t="shared" ref="N185:N198" si="98">SUM(C73:N73)</f>
        <v>763276.14999999991</v>
      </c>
      <c r="O185" s="361">
        <f t="shared" ref="O185:O198" si="99">SUM(C185:N185)</f>
        <v>5779569.2599999979</v>
      </c>
      <c r="T185" s="257"/>
    </row>
    <row r="186" spans="1:20">
      <c r="A186" s="121">
        <f t="shared" si="57"/>
        <v>186</v>
      </c>
      <c r="B186" s="118" t="s">
        <v>206</v>
      </c>
      <c r="C186" s="361">
        <f t="shared" si="87"/>
        <v>22238.77</v>
      </c>
      <c r="D186" s="361">
        <f t="shared" si="88"/>
        <v>43657.369999999995</v>
      </c>
      <c r="E186" s="361">
        <f t="shared" si="89"/>
        <v>59263.77</v>
      </c>
      <c r="F186" s="361">
        <f t="shared" si="90"/>
        <v>71773.08</v>
      </c>
      <c r="G186" s="361">
        <f t="shared" si="91"/>
        <v>84032.89</v>
      </c>
      <c r="H186" s="361">
        <f t="shared" si="92"/>
        <v>94740.33</v>
      </c>
      <c r="I186" s="361">
        <f t="shared" si="93"/>
        <v>104350.45</v>
      </c>
      <c r="J186" s="361">
        <f t="shared" si="94"/>
        <v>113383.95</v>
      </c>
      <c r="K186" s="361">
        <f t="shared" si="95"/>
        <v>122713.26</v>
      </c>
      <c r="L186" s="361">
        <f t="shared" si="96"/>
        <v>133376.5</v>
      </c>
      <c r="M186" s="361">
        <f t="shared" si="97"/>
        <v>146838.51999999999</v>
      </c>
      <c r="N186" s="361">
        <f t="shared" si="98"/>
        <v>167045.19999999998</v>
      </c>
      <c r="O186" s="361">
        <f t="shared" si="99"/>
        <v>1163414.0900000001</v>
      </c>
      <c r="T186" s="257"/>
    </row>
    <row r="187" spans="1:20">
      <c r="A187" s="121">
        <f t="shared" si="57"/>
        <v>187</v>
      </c>
      <c r="B187" s="118" t="s">
        <v>207</v>
      </c>
      <c r="C187" s="361">
        <f t="shared" si="87"/>
        <v>1793074.31</v>
      </c>
      <c r="D187" s="361">
        <f t="shared" si="88"/>
        <v>3474303.67</v>
      </c>
      <c r="E187" s="361">
        <f t="shared" si="89"/>
        <v>5268312.87</v>
      </c>
      <c r="F187" s="361">
        <f t="shared" si="90"/>
        <v>6961164.54</v>
      </c>
      <c r="G187" s="361">
        <f t="shared" si="91"/>
        <v>8704499.5999999996</v>
      </c>
      <c r="H187" s="361">
        <f t="shared" si="92"/>
        <v>10438104.289999999</v>
      </c>
      <c r="I187" s="361">
        <f t="shared" si="93"/>
        <v>10842150.84</v>
      </c>
      <c r="J187" s="361">
        <f t="shared" si="94"/>
        <v>12389294.5</v>
      </c>
      <c r="K187" s="361">
        <f t="shared" si="95"/>
        <v>14125808.15</v>
      </c>
      <c r="L187" s="361">
        <f t="shared" si="96"/>
        <v>15926702.280000001</v>
      </c>
      <c r="M187" s="361">
        <f t="shared" si="97"/>
        <v>17666295.960000001</v>
      </c>
      <c r="N187" s="361">
        <f t="shared" si="98"/>
        <v>19463409</v>
      </c>
      <c r="O187" s="361">
        <f t="shared" si="99"/>
        <v>127053120.01000002</v>
      </c>
      <c r="T187" s="257"/>
    </row>
    <row r="188" spans="1:20">
      <c r="A188" s="121">
        <f t="shared" si="57"/>
        <v>188</v>
      </c>
      <c r="B188" s="118" t="s">
        <v>208</v>
      </c>
      <c r="C188" s="361">
        <f t="shared" si="87"/>
        <v>1015710.42</v>
      </c>
      <c r="D188" s="361">
        <f t="shared" si="88"/>
        <v>3069310.0300000003</v>
      </c>
      <c r="E188" s="361">
        <f t="shared" si="89"/>
        <v>4957089.95</v>
      </c>
      <c r="F188" s="361">
        <f t="shared" si="90"/>
        <v>6704540.0300000003</v>
      </c>
      <c r="G188" s="361">
        <f t="shared" si="91"/>
        <v>8665480.370000001</v>
      </c>
      <c r="H188" s="361">
        <f t="shared" si="92"/>
        <v>10765450.270000001</v>
      </c>
      <c r="I188" s="361">
        <f t="shared" si="93"/>
        <v>12901810.380000001</v>
      </c>
      <c r="J188" s="361">
        <f t="shared" si="94"/>
        <v>13676300.110000001</v>
      </c>
      <c r="K188" s="361">
        <f t="shared" si="95"/>
        <v>15379629.880000001</v>
      </c>
      <c r="L188" s="361">
        <f t="shared" si="96"/>
        <v>16447530.220000001</v>
      </c>
      <c r="M188" s="361">
        <f t="shared" si="97"/>
        <v>18097209.960000001</v>
      </c>
      <c r="N188" s="361">
        <f t="shared" si="98"/>
        <v>20157489.59</v>
      </c>
      <c r="O188" s="361">
        <f t="shared" si="99"/>
        <v>131837551.21000001</v>
      </c>
      <c r="T188" s="257"/>
    </row>
    <row r="189" spans="1:20">
      <c r="A189" s="121">
        <f t="shared" si="57"/>
        <v>189</v>
      </c>
      <c r="B189" s="118" t="s">
        <v>209</v>
      </c>
      <c r="C189" s="361">
        <f t="shared" si="87"/>
        <v>0</v>
      </c>
      <c r="D189" s="361">
        <f t="shared" si="88"/>
        <v>0</v>
      </c>
      <c r="E189" s="361">
        <f t="shared" si="89"/>
        <v>0</v>
      </c>
      <c r="F189" s="361">
        <f t="shared" si="90"/>
        <v>0</v>
      </c>
      <c r="G189" s="361">
        <f t="shared" si="91"/>
        <v>0</v>
      </c>
      <c r="H189" s="361">
        <f t="shared" si="92"/>
        <v>0</v>
      </c>
      <c r="I189" s="361">
        <f t="shared" si="93"/>
        <v>0</v>
      </c>
      <c r="J189" s="361">
        <f t="shared" si="94"/>
        <v>0</v>
      </c>
      <c r="K189" s="361">
        <f t="shared" si="95"/>
        <v>0</v>
      </c>
      <c r="L189" s="361">
        <f t="shared" si="96"/>
        <v>0</v>
      </c>
      <c r="M189" s="361">
        <f t="shared" si="97"/>
        <v>0</v>
      </c>
      <c r="N189" s="361">
        <f t="shared" si="98"/>
        <v>0</v>
      </c>
      <c r="O189" s="361">
        <f t="shared" si="99"/>
        <v>0</v>
      </c>
      <c r="T189" s="257"/>
    </row>
    <row r="190" spans="1:20">
      <c r="A190" s="121">
        <f t="shared" si="57"/>
        <v>190</v>
      </c>
      <c r="B190" s="118" t="s">
        <v>210</v>
      </c>
      <c r="C190" s="361">
        <f t="shared" si="87"/>
        <v>1022359.4</v>
      </c>
      <c r="D190" s="361">
        <f t="shared" si="88"/>
        <v>1855752.69</v>
      </c>
      <c r="E190" s="361">
        <f t="shared" si="89"/>
        <v>2745177.15</v>
      </c>
      <c r="F190" s="361">
        <f t="shared" si="90"/>
        <v>3370665.26</v>
      </c>
      <c r="G190" s="361">
        <f t="shared" si="91"/>
        <v>4283659.7799999993</v>
      </c>
      <c r="H190" s="361">
        <f t="shared" si="92"/>
        <v>5144629.6999999993</v>
      </c>
      <c r="I190" s="361">
        <f t="shared" si="93"/>
        <v>5976733.2799999993</v>
      </c>
      <c r="J190" s="361">
        <f t="shared" si="94"/>
        <v>6599458.5499999989</v>
      </c>
      <c r="K190" s="361">
        <f t="shared" si="95"/>
        <v>7025189.4499999993</v>
      </c>
      <c r="L190" s="361">
        <f t="shared" si="96"/>
        <v>7857475.2399999993</v>
      </c>
      <c r="M190" s="361">
        <f t="shared" si="97"/>
        <v>8818585.3300000001</v>
      </c>
      <c r="N190" s="361">
        <f t="shared" si="98"/>
        <v>9782762.2100000009</v>
      </c>
      <c r="O190" s="361">
        <f>SUM(C190:N190)</f>
        <v>64482448.039999992</v>
      </c>
      <c r="T190" s="257"/>
    </row>
    <row r="191" spans="1:20">
      <c r="A191" s="121">
        <f t="shared" si="57"/>
        <v>191</v>
      </c>
      <c r="B191" s="118" t="s">
        <v>211</v>
      </c>
      <c r="C191" s="361">
        <f t="shared" si="87"/>
        <v>558176.11</v>
      </c>
      <c r="D191" s="361">
        <f t="shared" si="88"/>
        <v>1038816.78</v>
      </c>
      <c r="E191" s="361">
        <f t="shared" si="89"/>
        <v>1743858.62</v>
      </c>
      <c r="F191" s="361">
        <f t="shared" si="90"/>
        <v>2399737.0500000003</v>
      </c>
      <c r="G191" s="361">
        <f t="shared" si="91"/>
        <v>2778544.8800000004</v>
      </c>
      <c r="H191" s="361">
        <f t="shared" si="92"/>
        <v>2836559.8300000005</v>
      </c>
      <c r="I191" s="361">
        <f t="shared" si="93"/>
        <v>2923214.5700000008</v>
      </c>
      <c r="J191" s="361">
        <f t="shared" si="94"/>
        <v>2984445.1600000006</v>
      </c>
      <c r="K191" s="361">
        <f t="shared" si="95"/>
        <v>3055071.4100000006</v>
      </c>
      <c r="L191" s="361">
        <f t="shared" si="96"/>
        <v>3097904.5200000005</v>
      </c>
      <c r="M191" s="361">
        <f t="shared" si="97"/>
        <v>3116547.7200000007</v>
      </c>
      <c r="N191" s="361">
        <f t="shared" si="98"/>
        <v>3512562.5800000005</v>
      </c>
      <c r="O191" s="361">
        <f t="shared" si="99"/>
        <v>30045439.230000008</v>
      </c>
      <c r="T191" s="257"/>
    </row>
    <row r="192" spans="1:20">
      <c r="A192" s="121">
        <f t="shared" si="57"/>
        <v>192</v>
      </c>
      <c r="B192" s="118" t="s">
        <v>212</v>
      </c>
      <c r="C192" s="361">
        <f t="shared" si="87"/>
        <v>0</v>
      </c>
      <c r="D192" s="361">
        <f t="shared" si="88"/>
        <v>0</v>
      </c>
      <c r="E192" s="361">
        <f t="shared" si="89"/>
        <v>0</v>
      </c>
      <c r="F192" s="361">
        <f t="shared" si="90"/>
        <v>0</v>
      </c>
      <c r="G192" s="361">
        <f t="shared" si="91"/>
        <v>0</v>
      </c>
      <c r="H192" s="361">
        <f t="shared" si="92"/>
        <v>0</v>
      </c>
      <c r="I192" s="361">
        <f t="shared" si="93"/>
        <v>0</v>
      </c>
      <c r="J192" s="361">
        <f t="shared" si="94"/>
        <v>0</v>
      </c>
      <c r="K192" s="361">
        <f t="shared" si="95"/>
        <v>0</v>
      </c>
      <c r="L192" s="361">
        <f t="shared" si="96"/>
        <v>0</v>
      </c>
      <c r="M192" s="361">
        <f t="shared" si="97"/>
        <v>0</v>
      </c>
      <c r="N192" s="361">
        <f t="shared" si="98"/>
        <v>0</v>
      </c>
      <c r="O192" s="361">
        <f t="shared" si="99"/>
        <v>0</v>
      </c>
      <c r="T192" s="257"/>
    </row>
    <row r="193" spans="1:20">
      <c r="A193" s="121">
        <f t="shared" si="57"/>
        <v>193</v>
      </c>
      <c r="B193" s="323" t="s">
        <v>214</v>
      </c>
      <c r="C193" s="361">
        <f t="shared" si="87"/>
        <v>3289093.88</v>
      </c>
      <c r="D193" s="361">
        <f t="shared" si="88"/>
        <v>6320770.2799999993</v>
      </c>
      <c r="E193" s="361">
        <f t="shared" si="89"/>
        <v>9407364.3999999985</v>
      </c>
      <c r="F193" s="361">
        <f t="shared" si="90"/>
        <v>12558572.359999999</v>
      </c>
      <c r="G193" s="361">
        <f t="shared" si="91"/>
        <v>15714653.23</v>
      </c>
      <c r="H193" s="361">
        <f t="shared" si="92"/>
        <v>19009626.030000001</v>
      </c>
      <c r="I193" s="361">
        <f t="shared" si="93"/>
        <v>22251233.23</v>
      </c>
      <c r="J193" s="361">
        <f t="shared" si="94"/>
        <v>25542157.310000002</v>
      </c>
      <c r="K193" s="361">
        <f t="shared" si="95"/>
        <v>27219186.340000004</v>
      </c>
      <c r="L193" s="361">
        <f t="shared" si="96"/>
        <v>30519332.140000004</v>
      </c>
      <c r="M193" s="361">
        <f t="shared" si="97"/>
        <v>33456321.470000006</v>
      </c>
      <c r="N193" s="361">
        <f t="shared" si="98"/>
        <v>36449295.950000003</v>
      </c>
      <c r="O193" s="361">
        <f t="shared" si="99"/>
        <v>241737606.62</v>
      </c>
      <c r="T193" s="257"/>
    </row>
    <row r="194" spans="1:20">
      <c r="A194" s="121">
        <f t="shared" si="57"/>
        <v>194</v>
      </c>
      <c r="B194" s="323" t="s">
        <v>215</v>
      </c>
      <c r="C194" s="361">
        <f t="shared" si="87"/>
        <v>2483575.4700000002</v>
      </c>
      <c r="D194" s="361">
        <f t="shared" si="88"/>
        <v>2774982.89</v>
      </c>
      <c r="E194" s="361">
        <f t="shared" si="89"/>
        <v>3084272.5100000002</v>
      </c>
      <c r="F194" s="361">
        <f t="shared" si="90"/>
        <v>3384888.1100000003</v>
      </c>
      <c r="G194" s="361">
        <f t="shared" si="91"/>
        <v>3694123.1500000004</v>
      </c>
      <c r="H194" s="361">
        <f t="shared" si="92"/>
        <v>4594118.1900000004</v>
      </c>
      <c r="I194" s="361">
        <f t="shared" si="93"/>
        <v>5522682.2200000007</v>
      </c>
      <c r="J194" s="361">
        <f t="shared" si="94"/>
        <v>6454974.9400000004</v>
      </c>
      <c r="K194" s="361">
        <f t="shared" si="95"/>
        <v>7354964.8800000008</v>
      </c>
      <c r="L194" s="361">
        <f t="shared" si="96"/>
        <v>8284934.1300000008</v>
      </c>
      <c r="M194" s="361">
        <f t="shared" si="97"/>
        <v>9333225.2000000011</v>
      </c>
      <c r="N194" s="361">
        <f t="shared" si="98"/>
        <v>10572998.300000001</v>
      </c>
      <c r="O194" s="361">
        <f t="shared" si="99"/>
        <v>67539739.99000001</v>
      </c>
      <c r="T194" s="257"/>
    </row>
    <row r="195" spans="1:20">
      <c r="A195" s="121">
        <f t="shared" ref="A195:A225" si="100">+A194+1</f>
        <v>195</v>
      </c>
      <c r="B195" s="323" t="s">
        <v>216</v>
      </c>
      <c r="C195" s="361">
        <f t="shared" si="87"/>
        <v>12600442.220000001</v>
      </c>
      <c r="D195" s="361">
        <f t="shared" si="88"/>
        <v>23675728.530000001</v>
      </c>
      <c r="E195" s="361">
        <f t="shared" si="89"/>
        <v>36963309.289999999</v>
      </c>
      <c r="F195" s="361">
        <f t="shared" si="90"/>
        <v>49786386.140000001</v>
      </c>
      <c r="G195" s="361">
        <f t="shared" si="91"/>
        <v>61719470.039999999</v>
      </c>
      <c r="H195" s="361">
        <f t="shared" si="92"/>
        <v>72627100.409999996</v>
      </c>
      <c r="I195" s="361">
        <f t="shared" si="93"/>
        <v>83907787.769999996</v>
      </c>
      <c r="J195" s="361">
        <f t="shared" si="94"/>
        <v>95026574.50999999</v>
      </c>
      <c r="K195" s="361">
        <f t="shared" si="95"/>
        <v>103901157.38</v>
      </c>
      <c r="L195" s="361">
        <f t="shared" si="96"/>
        <v>115604064.36999999</v>
      </c>
      <c r="M195" s="361">
        <f t="shared" si="97"/>
        <v>125082337.21999998</v>
      </c>
      <c r="N195" s="361">
        <f t="shared" si="98"/>
        <v>133143887.93999998</v>
      </c>
      <c r="O195" s="361">
        <f t="shared" si="99"/>
        <v>914038245.81999993</v>
      </c>
      <c r="T195" s="257"/>
    </row>
    <row r="196" spans="1:20">
      <c r="A196" s="121">
        <f t="shared" si="100"/>
        <v>196</v>
      </c>
      <c r="B196" s="323" t="s">
        <v>217</v>
      </c>
      <c r="C196" s="361">
        <f t="shared" si="87"/>
        <v>0</v>
      </c>
      <c r="D196" s="361">
        <f t="shared" si="88"/>
        <v>0</v>
      </c>
      <c r="E196" s="361">
        <f t="shared" si="89"/>
        <v>0</v>
      </c>
      <c r="F196" s="361">
        <f t="shared" si="90"/>
        <v>0</v>
      </c>
      <c r="G196" s="361">
        <f t="shared" si="91"/>
        <v>0</v>
      </c>
      <c r="H196" s="361">
        <f t="shared" si="92"/>
        <v>0</v>
      </c>
      <c r="I196" s="361">
        <f t="shared" si="93"/>
        <v>0</v>
      </c>
      <c r="J196" s="361">
        <f t="shared" si="94"/>
        <v>0</v>
      </c>
      <c r="K196" s="361">
        <f t="shared" si="95"/>
        <v>0</v>
      </c>
      <c r="L196" s="361">
        <f t="shared" si="96"/>
        <v>0</v>
      </c>
      <c r="M196" s="361">
        <f t="shared" si="97"/>
        <v>0</v>
      </c>
      <c r="N196" s="361">
        <f t="shared" si="98"/>
        <v>0</v>
      </c>
      <c r="O196" s="361">
        <f t="shared" si="99"/>
        <v>0</v>
      </c>
      <c r="T196" s="257"/>
    </row>
    <row r="197" spans="1:20">
      <c r="A197" s="121">
        <f t="shared" si="100"/>
        <v>197</v>
      </c>
      <c r="B197" s="323" t="s">
        <v>218</v>
      </c>
      <c r="C197" s="361">
        <f t="shared" si="87"/>
        <v>70732.429999999993</v>
      </c>
      <c r="D197" s="361">
        <f t="shared" si="88"/>
        <v>149911.46999999997</v>
      </c>
      <c r="E197" s="361">
        <f t="shared" si="89"/>
        <v>223852.46999999997</v>
      </c>
      <c r="F197" s="361">
        <f t="shared" si="90"/>
        <v>348928.47</v>
      </c>
      <c r="G197" s="361">
        <f t="shared" si="91"/>
        <v>478380.38</v>
      </c>
      <c r="H197" s="361">
        <f t="shared" si="92"/>
        <v>595849.59</v>
      </c>
      <c r="I197" s="361">
        <f t="shared" si="93"/>
        <v>710878.24</v>
      </c>
      <c r="J197" s="361">
        <f t="shared" si="94"/>
        <v>768812.65</v>
      </c>
      <c r="K197" s="361">
        <f t="shared" si="95"/>
        <v>884727.18</v>
      </c>
      <c r="L197" s="361">
        <f t="shared" si="96"/>
        <v>837083.13</v>
      </c>
      <c r="M197" s="361">
        <f t="shared" si="97"/>
        <v>1074642.71</v>
      </c>
      <c r="N197" s="361">
        <f t="shared" si="98"/>
        <v>1221273.8599999999</v>
      </c>
      <c r="O197" s="361">
        <f t="shared" si="99"/>
        <v>7365072.5800000001</v>
      </c>
      <c r="T197" s="257"/>
    </row>
    <row r="198" spans="1:20">
      <c r="A198" s="121">
        <f t="shared" si="100"/>
        <v>198</v>
      </c>
      <c r="B198" s="323" t="s">
        <v>219</v>
      </c>
      <c r="C198" s="361">
        <f t="shared" si="87"/>
        <v>501759.44</v>
      </c>
      <c r="D198" s="361">
        <f t="shared" si="88"/>
        <v>673500.59</v>
      </c>
      <c r="E198" s="361">
        <f t="shared" si="89"/>
        <v>1093026.5899999999</v>
      </c>
      <c r="F198" s="361">
        <f t="shared" si="90"/>
        <v>1528891.5899999999</v>
      </c>
      <c r="G198" s="361">
        <f t="shared" si="91"/>
        <v>2593991.5199999996</v>
      </c>
      <c r="H198" s="361">
        <f t="shared" si="92"/>
        <v>3659136.0299999993</v>
      </c>
      <c r="I198" s="361">
        <f t="shared" si="93"/>
        <v>4712945.7299999995</v>
      </c>
      <c r="J198" s="361">
        <f t="shared" si="94"/>
        <v>5190272.6999999993</v>
      </c>
      <c r="K198" s="361">
        <f t="shared" si="95"/>
        <v>6175949.9099999992</v>
      </c>
      <c r="L198" s="361">
        <f t="shared" si="96"/>
        <v>7453298.419999999</v>
      </c>
      <c r="M198" s="361">
        <f t="shared" si="97"/>
        <v>8282570.3199999994</v>
      </c>
      <c r="N198" s="361">
        <f t="shared" si="98"/>
        <v>9674839.3999999985</v>
      </c>
      <c r="O198" s="361">
        <f t="shared" si="99"/>
        <v>51540182.239999995</v>
      </c>
      <c r="T198" s="257"/>
    </row>
    <row r="199" spans="1:20">
      <c r="A199" s="121">
        <f t="shared" si="100"/>
        <v>199</v>
      </c>
      <c r="B199" s="323" t="s">
        <v>220</v>
      </c>
      <c r="C199" s="366">
        <f t="shared" si="87"/>
        <v>0</v>
      </c>
      <c r="D199" s="366">
        <f t="shared" ref="D199:O199" si="101">+D87</f>
        <v>0</v>
      </c>
      <c r="E199" s="366">
        <f t="shared" si="101"/>
        <v>0</v>
      </c>
      <c r="F199" s="366">
        <f t="shared" si="101"/>
        <v>0</v>
      </c>
      <c r="G199" s="366">
        <f t="shared" si="101"/>
        <v>0</v>
      </c>
      <c r="H199" s="366">
        <f t="shared" si="101"/>
        <v>0</v>
      </c>
      <c r="I199" s="366">
        <f t="shared" si="101"/>
        <v>0</v>
      </c>
      <c r="J199" s="366">
        <f t="shared" si="101"/>
        <v>0</v>
      </c>
      <c r="K199" s="366">
        <f t="shared" si="101"/>
        <v>0</v>
      </c>
      <c r="L199" s="366">
        <f t="shared" si="101"/>
        <v>0</v>
      </c>
      <c r="M199" s="366">
        <f t="shared" si="101"/>
        <v>0</v>
      </c>
      <c r="N199" s="366">
        <f t="shared" si="101"/>
        <v>0</v>
      </c>
      <c r="O199" s="366">
        <f t="shared" si="101"/>
        <v>0</v>
      </c>
      <c r="T199" s="257"/>
    </row>
    <row r="200" spans="1:20">
      <c r="A200" s="121">
        <f t="shared" si="100"/>
        <v>200</v>
      </c>
      <c r="B200" s="371" t="s">
        <v>221</v>
      </c>
      <c r="C200" s="361">
        <f>SUM(C185:C199)</f>
        <v>23426501.449999999</v>
      </c>
      <c r="D200" s="361">
        <f t="shared" ref="D200:O200" si="102">SUM(D185:D199)</f>
        <v>43261643.299999997</v>
      </c>
      <c r="E200" s="361">
        <f t="shared" si="102"/>
        <v>65818510.540000007</v>
      </c>
      <c r="F200" s="361">
        <f>SUM(F185:F199)</f>
        <v>87470157.159999996</v>
      </c>
      <c r="G200" s="361">
        <f t="shared" si="102"/>
        <v>109168019.61</v>
      </c>
      <c r="H200" s="361">
        <f t="shared" si="102"/>
        <v>130259078.44</v>
      </c>
      <c r="I200" s="361">
        <f t="shared" si="102"/>
        <v>150376712.19</v>
      </c>
      <c r="J200" s="361">
        <f t="shared" si="102"/>
        <v>169327485.19999999</v>
      </c>
      <c r="K200" s="361">
        <f t="shared" si="102"/>
        <v>185895784.64000002</v>
      </c>
      <c r="L200" s="361">
        <f t="shared" si="102"/>
        <v>206866568.66</v>
      </c>
      <c r="M200" s="361">
        <f t="shared" si="102"/>
        <v>225803087.72</v>
      </c>
      <c r="N200" s="361">
        <f t="shared" si="102"/>
        <v>244908840.18000001</v>
      </c>
      <c r="O200" s="361">
        <f t="shared" si="102"/>
        <v>1642582389.0899999</v>
      </c>
      <c r="T200" s="257"/>
    </row>
    <row r="201" spans="1:20">
      <c r="A201" s="121">
        <f t="shared" si="100"/>
        <v>201</v>
      </c>
      <c r="B201" s="320" t="s">
        <v>222</v>
      </c>
      <c r="T201" s="257"/>
    </row>
    <row r="202" spans="1:20">
      <c r="A202" s="121">
        <f t="shared" si="100"/>
        <v>202</v>
      </c>
      <c r="B202" s="323" t="s">
        <v>214</v>
      </c>
      <c r="C202" s="361">
        <f>+C90</f>
        <v>0</v>
      </c>
      <c r="D202" s="361">
        <f>SUM(C90:D90)</f>
        <v>0</v>
      </c>
      <c r="E202" s="361">
        <f>SUM(C90:E90)</f>
        <v>0</v>
      </c>
      <c r="F202" s="361">
        <f>SUM(C90:F90)</f>
        <v>0</v>
      </c>
      <c r="G202" s="361">
        <f>SUM(C90:G90)</f>
        <v>0</v>
      </c>
      <c r="H202" s="361">
        <f>SUM(C90:H90)</f>
        <v>0</v>
      </c>
      <c r="I202" s="361">
        <f>SUM(C90:I90)</f>
        <v>0</v>
      </c>
      <c r="J202" s="361">
        <f>SUM(C90:J90)</f>
        <v>0</v>
      </c>
      <c r="K202" s="361">
        <f>SUM(C90:K90)</f>
        <v>0</v>
      </c>
      <c r="L202" s="361">
        <f>SUM(C90:L90)</f>
        <v>0</v>
      </c>
      <c r="M202" s="361">
        <f>SUM(C90:M90)</f>
        <v>0</v>
      </c>
      <c r="N202" s="361">
        <f>SUM(C90:N90)</f>
        <v>0</v>
      </c>
      <c r="O202" s="361">
        <f>SUM(C202:N202)</f>
        <v>0</v>
      </c>
      <c r="T202" s="257"/>
    </row>
    <row r="203" spans="1:20">
      <c r="A203" s="121">
        <f t="shared" si="100"/>
        <v>203</v>
      </c>
      <c r="B203" s="118" t="s">
        <v>223</v>
      </c>
      <c r="C203" s="361">
        <f>+C91</f>
        <v>299810.89</v>
      </c>
      <c r="D203" s="361">
        <f>SUM(C91:D91)</f>
        <v>562300.84000000008</v>
      </c>
      <c r="E203" s="361">
        <f>SUM(C91:E91)</f>
        <v>888256.93000000017</v>
      </c>
      <c r="F203" s="361">
        <f>SUM(C91:F91)</f>
        <v>1139170.4500000002</v>
      </c>
      <c r="G203" s="361">
        <f>SUM(C91:G91)</f>
        <v>1428233.6900000002</v>
      </c>
      <c r="H203" s="361">
        <f>SUM(C91:H91)</f>
        <v>1714990.8800000001</v>
      </c>
      <c r="I203" s="361">
        <f>SUM(C91:I91)</f>
        <v>2027374.62</v>
      </c>
      <c r="J203" s="361">
        <f>SUM(C91:J91)</f>
        <v>2336455.0500000003</v>
      </c>
      <c r="K203" s="361">
        <f>SUM(C91:K91)</f>
        <v>2625097.5700000003</v>
      </c>
      <c r="L203" s="361">
        <f>SUM(C91:L91)</f>
        <v>2896740.0700000003</v>
      </c>
      <c r="M203" s="361">
        <f>SUM(C91:M91)</f>
        <v>3160381.18</v>
      </c>
      <c r="N203" s="361">
        <f>SUM(C91:N91)</f>
        <v>3479522.92</v>
      </c>
      <c r="O203" s="361">
        <f>SUM(C203:N203)</f>
        <v>22558335.090000004</v>
      </c>
      <c r="T203" s="257"/>
    </row>
    <row r="204" spans="1:20">
      <c r="A204" s="121">
        <f t="shared" si="100"/>
        <v>204</v>
      </c>
      <c r="B204" s="118" t="s">
        <v>224</v>
      </c>
      <c r="C204" s="361">
        <f>+C92</f>
        <v>1600565.89</v>
      </c>
      <c r="D204" s="361">
        <f>SUM(C92:D92)</f>
        <v>3035554.33</v>
      </c>
      <c r="E204" s="361">
        <f>SUM(C92:E92)</f>
        <v>4658403.33</v>
      </c>
      <c r="F204" s="361">
        <f>SUM(C92:F92)</f>
        <v>6231049.3300000001</v>
      </c>
      <c r="G204" s="361">
        <f>SUM(C92:G92)</f>
        <v>7802862.0199999996</v>
      </c>
      <c r="H204" s="361">
        <f>SUM(C92:H92)</f>
        <v>9205302.8099999987</v>
      </c>
      <c r="I204" s="361">
        <f>SUM(C92:I92)</f>
        <v>10770057.919999998</v>
      </c>
      <c r="J204" s="361">
        <f>SUM(C92:J92)</f>
        <v>12178399.249999998</v>
      </c>
      <c r="K204" s="361">
        <f>SUM(C92:K92)</f>
        <v>13704463.949999997</v>
      </c>
      <c r="L204" s="361">
        <f>SUM(C92:L92)</f>
        <v>15282963.639999997</v>
      </c>
      <c r="M204" s="361">
        <f>SUM(C92:M92)</f>
        <v>16805768.419999998</v>
      </c>
      <c r="N204" s="361">
        <f>SUM(C92:N92)</f>
        <v>18389925.839999996</v>
      </c>
      <c r="O204" s="361">
        <f>SUM(C204:N204)</f>
        <v>119665316.72999999</v>
      </c>
      <c r="T204" s="257"/>
    </row>
    <row r="205" spans="1:20">
      <c r="A205" s="121">
        <f t="shared" si="100"/>
        <v>205</v>
      </c>
      <c r="B205" s="118" t="s">
        <v>225</v>
      </c>
      <c r="C205" s="361">
        <f>+C93</f>
        <v>142236.1</v>
      </c>
      <c r="D205" s="361">
        <f>SUM(C93:D93)</f>
        <v>142236.1</v>
      </c>
      <c r="E205" s="361">
        <f>SUM(C93:E93)</f>
        <v>142346.1</v>
      </c>
      <c r="F205" s="361">
        <f>SUM(C93:F93)</f>
        <v>142346.1</v>
      </c>
      <c r="G205" s="361">
        <f>SUM(C93:G93)</f>
        <v>153732.85</v>
      </c>
      <c r="H205" s="361">
        <f>SUM(C93:H93)</f>
        <v>153732.85</v>
      </c>
      <c r="I205" s="361">
        <f>SUM(C93:I93)</f>
        <v>243356.05</v>
      </c>
      <c r="J205" s="361">
        <f>SUM(C93:J93)</f>
        <v>284681.56</v>
      </c>
      <c r="K205" s="361">
        <f>SUM(C93:K93)</f>
        <v>288287.84999999998</v>
      </c>
      <c r="L205" s="361">
        <f>SUM(C93:L93)</f>
        <v>292630.75999999995</v>
      </c>
      <c r="M205" s="361">
        <f>SUM(C93:M93)</f>
        <v>432817.51999999996</v>
      </c>
      <c r="N205" s="361">
        <f>SUM(C93:N93)</f>
        <v>485027.95999999996</v>
      </c>
      <c r="O205" s="361">
        <f>SUM(C205:N205)</f>
        <v>2903431.8</v>
      </c>
      <c r="T205" s="257"/>
    </row>
    <row r="206" spans="1:20">
      <c r="A206" s="121">
        <f t="shared" si="100"/>
        <v>206</v>
      </c>
      <c r="B206" s="371" t="s">
        <v>226</v>
      </c>
      <c r="C206" s="376">
        <f>SUM(C202:C205)</f>
        <v>2042612.88</v>
      </c>
      <c r="D206" s="376">
        <f t="shared" ref="D206:O206" si="103">SUM(D202:D205)</f>
        <v>3740091.27</v>
      </c>
      <c r="E206" s="376">
        <f t="shared" si="103"/>
        <v>5689006.3599999994</v>
      </c>
      <c r="F206" s="376">
        <f t="shared" si="103"/>
        <v>7512565.8799999999</v>
      </c>
      <c r="G206" s="376">
        <f t="shared" si="103"/>
        <v>9384828.5599999987</v>
      </c>
      <c r="H206" s="376">
        <f t="shared" si="103"/>
        <v>11074026.539999999</v>
      </c>
      <c r="I206" s="376">
        <f t="shared" si="103"/>
        <v>13040788.59</v>
      </c>
      <c r="J206" s="376">
        <f t="shared" si="103"/>
        <v>14799535.859999999</v>
      </c>
      <c r="K206" s="376">
        <f t="shared" si="103"/>
        <v>16617849.369999997</v>
      </c>
      <c r="L206" s="376">
        <f t="shared" si="103"/>
        <v>18472334.469999999</v>
      </c>
      <c r="M206" s="376">
        <f t="shared" si="103"/>
        <v>20398967.119999997</v>
      </c>
      <c r="N206" s="376">
        <f t="shared" si="103"/>
        <v>22354476.719999999</v>
      </c>
      <c r="O206" s="376">
        <f t="shared" si="103"/>
        <v>145127083.62</v>
      </c>
      <c r="T206" s="257"/>
    </row>
    <row r="207" spans="1:20">
      <c r="A207" s="121">
        <f t="shared" si="100"/>
        <v>207</v>
      </c>
      <c r="B207" s="320"/>
      <c r="T207" s="257"/>
    </row>
    <row r="208" spans="1:20">
      <c r="A208" s="121">
        <f t="shared" si="100"/>
        <v>208</v>
      </c>
      <c r="B208" s="118"/>
      <c r="C208" s="361">
        <f>+C96</f>
        <v>0</v>
      </c>
      <c r="D208" s="361">
        <f>SUM(C96:D96)</f>
        <v>0</v>
      </c>
      <c r="E208" s="361">
        <f>SUM(C96:E96)</f>
        <v>0</v>
      </c>
      <c r="F208" s="361">
        <f>SUM(C96:F96)</f>
        <v>0</v>
      </c>
      <c r="G208" s="361">
        <f>SUM(C96:G96)</f>
        <v>0</v>
      </c>
      <c r="H208" s="361">
        <f>SUM(C96:H96)</f>
        <v>0</v>
      </c>
      <c r="I208" s="361">
        <f>SUM(C96:I96)</f>
        <v>0</v>
      </c>
      <c r="J208" s="361">
        <f>SUM(C96:J96)</f>
        <v>0</v>
      </c>
      <c r="K208" s="361">
        <f>SUM(C96:K96)</f>
        <v>0</v>
      </c>
      <c r="L208" s="361">
        <f>SUM(C96:L96)</f>
        <v>0</v>
      </c>
      <c r="M208" s="361">
        <f>SUM(C96:M96)</f>
        <v>0</v>
      </c>
      <c r="N208" s="361">
        <f>SUM(C96:N96)</f>
        <v>0</v>
      </c>
      <c r="O208" s="361">
        <f>SUM(C208:N208)</f>
        <v>0</v>
      </c>
      <c r="T208" s="257"/>
    </row>
    <row r="209" spans="1:20">
      <c r="A209" s="121">
        <f t="shared" si="100"/>
        <v>209</v>
      </c>
      <c r="B209" s="118" t="s">
        <v>207</v>
      </c>
      <c r="C209" s="366">
        <f>+C97</f>
        <v>0</v>
      </c>
      <c r="D209" s="366">
        <f>SUM(C97:D97)</f>
        <v>0</v>
      </c>
      <c r="E209" s="366">
        <f>SUM(C97:E97)</f>
        <v>0</v>
      </c>
      <c r="F209" s="366">
        <f>SUM(C97:F97)</f>
        <v>0</v>
      </c>
      <c r="G209" s="366">
        <f>SUM(C97:G97)</f>
        <v>0</v>
      </c>
      <c r="H209" s="366">
        <f>SUM(C97:H97)</f>
        <v>0</v>
      </c>
      <c r="I209" s="366">
        <f>SUM(C97:I97)</f>
        <v>0</v>
      </c>
      <c r="J209" s="366">
        <f>SUM(C97:J97)</f>
        <v>0</v>
      </c>
      <c r="K209" s="366">
        <f>SUM(C97:K97)</f>
        <v>0</v>
      </c>
      <c r="L209" s="366">
        <f>SUM(C97:L97)</f>
        <v>0</v>
      </c>
      <c r="M209" s="366">
        <f>SUM(C97:M97)</f>
        <v>0</v>
      </c>
      <c r="N209" s="366">
        <f>SUM(C97:N97)</f>
        <v>0</v>
      </c>
      <c r="O209" s="366">
        <f>SUM(C209:N209)</f>
        <v>0</v>
      </c>
      <c r="T209" s="257"/>
    </row>
    <row r="210" spans="1:20">
      <c r="A210" s="121">
        <f t="shared" si="100"/>
        <v>210</v>
      </c>
      <c r="B210" s="371" t="s">
        <v>228</v>
      </c>
      <c r="C210" s="361">
        <f t="shared" ref="C210:O210" si="104">SUM(C208:C209)</f>
        <v>0</v>
      </c>
      <c r="D210" s="361">
        <f t="shared" si="104"/>
        <v>0</v>
      </c>
      <c r="E210" s="361">
        <f t="shared" si="104"/>
        <v>0</v>
      </c>
      <c r="F210" s="361">
        <f t="shared" si="104"/>
        <v>0</v>
      </c>
      <c r="G210" s="361">
        <f t="shared" si="104"/>
        <v>0</v>
      </c>
      <c r="H210" s="361">
        <f t="shared" si="104"/>
        <v>0</v>
      </c>
      <c r="I210" s="361">
        <f t="shared" si="104"/>
        <v>0</v>
      </c>
      <c r="J210" s="361">
        <f t="shared" si="104"/>
        <v>0</v>
      </c>
      <c r="K210" s="361">
        <f t="shared" si="104"/>
        <v>0</v>
      </c>
      <c r="L210" s="361">
        <f t="shared" si="104"/>
        <v>0</v>
      </c>
      <c r="M210" s="361">
        <f t="shared" si="104"/>
        <v>0</v>
      </c>
      <c r="N210" s="361">
        <f t="shared" si="104"/>
        <v>0</v>
      </c>
      <c r="O210" s="361">
        <f t="shared" si="104"/>
        <v>0</v>
      </c>
      <c r="T210" s="257"/>
    </row>
    <row r="211" spans="1:20">
      <c r="A211" s="121">
        <f t="shared" si="100"/>
        <v>211</v>
      </c>
      <c r="B211" s="371"/>
      <c r="T211" s="257"/>
    </row>
    <row r="212" spans="1:20">
      <c r="A212" s="121">
        <f t="shared" si="100"/>
        <v>212</v>
      </c>
      <c r="B212" s="324" t="s">
        <v>229</v>
      </c>
      <c r="C212" s="383">
        <f t="shared" ref="C212:O212" si="105">+C127+C136+C174+C183+C200+C206+C210</f>
        <v>38587962.450000033</v>
      </c>
      <c r="D212" s="383">
        <f t="shared" si="105"/>
        <v>72441419.300000057</v>
      </c>
      <c r="E212" s="383">
        <f t="shared" si="105"/>
        <v>108896159.8800001</v>
      </c>
      <c r="F212" s="383">
        <f t="shared" si="105"/>
        <v>141915270.25000012</v>
      </c>
      <c r="G212" s="383">
        <f t="shared" si="105"/>
        <v>174950719.69000015</v>
      </c>
      <c r="H212" s="383">
        <f t="shared" si="105"/>
        <v>206658566.33000019</v>
      </c>
      <c r="I212" s="383">
        <f t="shared" si="105"/>
        <v>237761275.18000025</v>
      </c>
      <c r="J212" s="383">
        <f t="shared" si="105"/>
        <v>267678997.94000024</v>
      </c>
      <c r="K212" s="383">
        <f t="shared" si="105"/>
        <v>295142459.32000029</v>
      </c>
      <c r="L212" s="383">
        <f t="shared" si="105"/>
        <v>327557476.0600003</v>
      </c>
      <c r="M212" s="383">
        <f t="shared" si="105"/>
        <v>358570121.57000035</v>
      </c>
      <c r="N212" s="383">
        <f t="shared" si="105"/>
        <v>392011233.4600004</v>
      </c>
      <c r="O212" s="384">
        <f t="shared" si="105"/>
        <v>2622171661.4300022</v>
      </c>
      <c r="T212" s="257"/>
    </row>
    <row r="213" spans="1:20">
      <c r="A213" s="121">
        <f t="shared" si="100"/>
        <v>213</v>
      </c>
      <c r="B213" s="385" t="s">
        <v>230</v>
      </c>
      <c r="T213" s="257"/>
    </row>
    <row r="214" spans="1:20">
      <c r="A214" s="121">
        <f t="shared" si="100"/>
        <v>214</v>
      </c>
      <c r="B214" s="118" t="s">
        <v>231</v>
      </c>
      <c r="C214" s="361">
        <f>+C102</f>
        <v>0</v>
      </c>
      <c r="D214" s="361">
        <f>SUM(C102:D102)</f>
        <v>0</v>
      </c>
      <c r="E214" s="361">
        <f>SUM(C102:E102)</f>
        <v>0</v>
      </c>
      <c r="F214" s="361">
        <f>SUM(C102:F102)</f>
        <v>0</v>
      </c>
      <c r="G214" s="361">
        <f>SUM(C102:G102)</f>
        <v>0</v>
      </c>
      <c r="H214" s="361">
        <f>SUM(C102:H102)</f>
        <v>0</v>
      </c>
      <c r="I214" s="361">
        <f>SUM(C102:I102)</f>
        <v>0</v>
      </c>
      <c r="J214" s="361">
        <f>SUM(C102:J102)</f>
        <v>0</v>
      </c>
      <c r="K214" s="361">
        <f>SUM(C102:K102)</f>
        <v>0</v>
      </c>
      <c r="L214" s="361">
        <f>SUM(C102:L102)</f>
        <v>0</v>
      </c>
      <c r="M214" s="361">
        <f>SUM(C102:M102)</f>
        <v>0</v>
      </c>
      <c r="N214" s="361">
        <f>SUM(C102:N102)</f>
        <v>0</v>
      </c>
      <c r="O214" s="361">
        <f>SUM(C214:N214)</f>
        <v>0</v>
      </c>
      <c r="T214" s="257"/>
    </row>
    <row r="215" spans="1:20">
      <c r="A215" s="121">
        <f t="shared" si="100"/>
        <v>215</v>
      </c>
      <c r="B215" s="118" t="s">
        <v>232</v>
      </c>
      <c r="C215" s="361">
        <f>+C103</f>
        <v>582311.07999999996</v>
      </c>
      <c r="D215" s="361">
        <f>SUM(C103:D103)</f>
        <v>1173552.24</v>
      </c>
      <c r="E215" s="361">
        <f>SUM(C103:E103)</f>
        <v>1843106.62</v>
      </c>
      <c r="F215" s="361">
        <f>SUM(C103:F103)</f>
        <v>2359667.06</v>
      </c>
      <c r="G215" s="361">
        <f>SUM(C103:G103)</f>
        <v>3048850.99</v>
      </c>
      <c r="H215" s="361">
        <f>SUM(C103:H103)</f>
        <v>3713163.12</v>
      </c>
      <c r="I215" s="361">
        <f>SUM(C103:I103)</f>
        <v>4392695.1100000003</v>
      </c>
      <c r="J215" s="361">
        <f>SUM(C103:J103)</f>
        <v>5073709.17</v>
      </c>
      <c r="K215" s="361">
        <f>SUM(C103:K103)</f>
        <v>5722415.3499999996</v>
      </c>
      <c r="L215" s="361">
        <f>SUM(C103:L103)</f>
        <v>6404287.5299999993</v>
      </c>
      <c r="M215" s="361">
        <f>SUM(C103:M103)</f>
        <v>7070474.2299999995</v>
      </c>
      <c r="N215" s="361">
        <f>SUM(C103:N103)</f>
        <v>7754214.5399999991</v>
      </c>
      <c r="O215" s="361">
        <f>SUM(C215:N215)</f>
        <v>49138447.039999999</v>
      </c>
      <c r="T215" s="257"/>
    </row>
    <row r="216" spans="1:20">
      <c r="A216" s="121">
        <f t="shared" si="100"/>
        <v>216</v>
      </c>
      <c r="B216" s="119" t="s">
        <v>233</v>
      </c>
      <c r="C216" s="366">
        <f>+C104</f>
        <v>134189.07</v>
      </c>
      <c r="D216" s="366">
        <f>SUM(C104:D104)</f>
        <v>263727.07</v>
      </c>
      <c r="E216" s="366">
        <f>SUM(C104:E104)</f>
        <v>312268.24</v>
      </c>
      <c r="F216" s="366">
        <f>SUM(C104:F104)</f>
        <v>318086.81</v>
      </c>
      <c r="G216" s="366">
        <f>SUM(C104:G104)</f>
        <v>320537.53999999998</v>
      </c>
      <c r="H216" s="366">
        <f>SUM(C104:H104)</f>
        <v>322918.21999999997</v>
      </c>
      <c r="I216" s="366">
        <f>SUM(C104:I104)</f>
        <v>336827.68999999994</v>
      </c>
      <c r="J216" s="366">
        <f>SUM(C104:J104)</f>
        <v>348547.75999999995</v>
      </c>
      <c r="K216" s="366">
        <f>SUM(C104:K104)</f>
        <v>358290.39999999997</v>
      </c>
      <c r="L216" s="366">
        <f>SUM(C104:L104)</f>
        <v>377414.02999999997</v>
      </c>
      <c r="M216" s="366">
        <f>SUM(C104:M104)</f>
        <v>428722.37999999995</v>
      </c>
      <c r="N216" s="366">
        <f>SUM(C104:N104)</f>
        <v>566136.46</v>
      </c>
      <c r="O216" s="366">
        <f>SUM(C216:N216)</f>
        <v>4087665.6699999995</v>
      </c>
      <c r="T216" s="257"/>
    </row>
    <row r="217" spans="1:20">
      <c r="A217" s="121">
        <f t="shared" si="100"/>
        <v>217</v>
      </c>
      <c r="B217" s="371" t="s">
        <v>234</v>
      </c>
      <c r="C217" s="361">
        <f>SUM(C214:C216)</f>
        <v>716500.14999999991</v>
      </c>
      <c r="D217" s="361">
        <f t="shared" ref="D217:O217" si="106">SUM(D214:D216)</f>
        <v>1437279.31</v>
      </c>
      <c r="E217" s="361">
        <f t="shared" si="106"/>
        <v>2155374.8600000003</v>
      </c>
      <c r="F217" s="361">
        <f t="shared" si="106"/>
        <v>2677753.87</v>
      </c>
      <c r="G217" s="361">
        <f t="shared" si="106"/>
        <v>3369388.5300000003</v>
      </c>
      <c r="H217" s="361">
        <f t="shared" si="106"/>
        <v>4036081.34</v>
      </c>
      <c r="I217" s="361">
        <f t="shared" si="106"/>
        <v>4729522.8000000007</v>
      </c>
      <c r="J217" s="361">
        <f t="shared" si="106"/>
        <v>5422256.9299999997</v>
      </c>
      <c r="K217" s="361">
        <f t="shared" si="106"/>
        <v>6080705.75</v>
      </c>
      <c r="L217" s="361">
        <f t="shared" si="106"/>
        <v>6781701.5599999996</v>
      </c>
      <c r="M217" s="361">
        <f t="shared" si="106"/>
        <v>7499196.6099999994</v>
      </c>
      <c r="N217" s="361">
        <f t="shared" si="106"/>
        <v>8320350.9999999991</v>
      </c>
      <c r="O217" s="361">
        <f t="shared" si="106"/>
        <v>53226112.710000001</v>
      </c>
      <c r="T217" s="257"/>
    </row>
    <row r="218" spans="1:20">
      <c r="A218" s="121">
        <f t="shared" si="100"/>
        <v>218</v>
      </c>
      <c r="B218" s="320" t="s">
        <v>235</v>
      </c>
      <c r="T218" s="257"/>
    </row>
    <row r="219" spans="1:20">
      <c r="A219" s="121">
        <f t="shared" si="100"/>
        <v>219</v>
      </c>
      <c r="B219" s="118" t="s">
        <v>237</v>
      </c>
      <c r="C219" s="361">
        <f>+C108</f>
        <v>1287659.56</v>
      </c>
      <c r="D219" s="361">
        <f>SUM(C108:D108)</f>
        <v>2496629.5300000003</v>
      </c>
      <c r="E219" s="361">
        <f>SUM(C108:E108)</f>
        <v>3768679.0600000005</v>
      </c>
      <c r="F219" s="361">
        <f>SUM(C108:F108)</f>
        <v>5256139.5</v>
      </c>
      <c r="G219" s="361">
        <f>SUM(C108:G108)</f>
        <v>6754059.7800000003</v>
      </c>
      <c r="H219" s="361">
        <f>SUM(C108:H108)</f>
        <v>8289519.9000000004</v>
      </c>
      <c r="I219" s="361">
        <f>SUM(C108:I108)</f>
        <v>8666519.6300000008</v>
      </c>
      <c r="J219" s="361">
        <f>SUM(C108:J108)</f>
        <v>9989289.4800000004</v>
      </c>
      <c r="K219" s="361">
        <f>SUM(C108:K108)</f>
        <v>11522659.810000001</v>
      </c>
      <c r="L219" s="361">
        <f>SUM(C108:L108)</f>
        <v>13145480.140000001</v>
      </c>
      <c r="M219" s="361">
        <f>SUM(C108:M108)</f>
        <v>14547159.9</v>
      </c>
      <c r="N219" s="361">
        <f>SUM(C108:N108)</f>
        <v>15906249.49</v>
      </c>
      <c r="O219" s="361">
        <f>SUM(C219:N219)</f>
        <v>101630045.78</v>
      </c>
      <c r="T219" s="257"/>
    </row>
    <row r="220" spans="1:20">
      <c r="A220" s="121">
        <f t="shared" si="100"/>
        <v>220</v>
      </c>
      <c r="B220" s="119" t="s">
        <v>238</v>
      </c>
      <c r="C220" s="366">
        <f>+C109</f>
        <v>2410520.34</v>
      </c>
      <c r="D220" s="366">
        <f>SUM(C109:D109)</f>
        <v>3413099.9</v>
      </c>
      <c r="E220" s="366">
        <f>SUM(C109:E109)</f>
        <v>5829989.9100000001</v>
      </c>
      <c r="F220" s="366">
        <f>SUM(C109:F109)</f>
        <v>8222320.2599999998</v>
      </c>
      <c r="G220" s="366">
        <f>SUM(C109:G109)</f>
        <v>9795040.6899999995</v>
      </c>
      <c r="H220" s="366">
        <f>SUM(C109:H109)</f>
        <v>10120801.16</v>
      </c>
      <c r="I220" s="366">
        <f>SUM(C109:I109)</f>
        <v>10465451.470000001</v>
      </c>
      <c r="J220" s="366">
        <f>SUM(C109:J109)</f>
        <v>10787401.020000001</v>
      </c>
      <c r="K220" s="366">
        <f>SUM(C109:K109)</f>
        <v>11095770.890000001</v>
      </c>
      <c r="L220" s="366">
        <f>SUM(C109:L109)</f>
        <v>11501790.440000001</v>
      </c>
      <c r="M220" s="366">
        <f>SUM(C109:M109)</f>
        <v>11843430.73</v>
      </c>
      <c r="N220" s="366">
        <f>SUM(C109:N109)</f>
        <v>13902261.01</v>
      </c>
      <c r="O220" s="366">
        <f>SUM(C220:N220)</f>
        <v>109387877.82000002</v>
      </c>
      <c r="T220" s="257"/>
    </row>
    <row r="221" spans="1:20">
      <c r="A221" s="121">
        <f t="shared" si="100"/>
        <v>221</v>
      </c>
      <c r="B221" s="371" t="s">
        <v>239</v>
      </c>
      <c r="C221" s="361">
        <f t="shared" ref="C221:N221" si="107">SUM(C219:C220)</f>
        <v>3698179.9</v>
      </c>
      <c r="D221" s="361">
        <f t="shared" si="107"/>
        <v>5909729.4299999997</v>
      </c>
      <c r="E221" s="361">
        <f t="shared" si="107"/>
        <v>9598668.9700000007</v>
      </c>
      <c r="F221" s="361">
        <f t="shared" si="107"/>
        <v>13478459.76</v>
      </c>
      <c r="G221" s="361">
        <f t="shared" si="107"/>
        <v>16549100.469999999</v>
      </c>
      <c r="H221" s="361">
        <f t="shared" si="107"/>
        <v>18410321.060000002</v>
      </c>
      <c r="I221" s="361">
        <f t="shared" si="107"/>
        <v>19131971.100000001</v>
      </c>
      <c r="J221" s="361">
        <f t="shared" si="107"/>
        <v>20776690.5</v>
      </c>
      <c r="K221" s="361">
        <f t="shared" si="107"/>
        <v>22618430.700000003</v>
      </c>
      <c r="L221" s="361">
        <f t="shared" si="107"/>
        <v>24647270.580000002</v>
      </c>
      <c r="M221" s="361">
        <f t="shared" si="107"/>
        <v>26390590.630000003</v>
      </c>
      <c r="N221" s="361">
        <f t="shared" si="107"/>
        <v>29808510.5</v>
      </c>
      <c r="O221" s="361">
        <f>SUM(C221:N221)</f>
        <v>211017923.59999999</v>
      </c>
      <c r="T221" s="257"/>
    </row>
    <row r="222" spans="1:20">
      <c r="A222" s="121">
        <f t="shared" si="100"/>
        <v>222</v>
      </c>
      <c r="B222" s="371"/>
      <c r="T222" s="257"/>
    </row>
    <row r="223" spans="1:20">
      <c r="A223" s="121">
        <f t="shared" si="100"/>
        <v>223</v>
      </c>
      <c r="B223" s="324" t="s">
        <v>240</v>
      </c>
      <c r="C223" s="383">
        <f t="shared" ref="C223:O223" si="108">+C217+C221</f>
        <v>4414680.05</v>
      </c>
      <c r="D223" s="383">
        <f t="shared" si="108"/>
        <v>7347008.7400000002</v>
      </c>
      <c r="E223" s="383">
        <f t="shared" si="108"/>
        <v>11754043.830000002</v>
      </c>
      <c r="F223" s="383">
        <f t="shared" si="108"/>
        <v>16156213.629999999</v>
      </c>
      <c r="G223" s="383">
        <f t="shared" si="108"/>
        <v>19918489</v>
      </c>
      <c r="H223" s="383">
        <f t="shared" si="108"/>
        <v>22446402.400000002</v>
      </c>
      <c r="I223" s="383">
        <f t="shared" si="108"/>
        <v>23861493.900000002</v>
      </c>
      <c r="J223" s="383">
        <f t="shared" si="108"/>
        <v>26198947.43</v>
      </c>
      <c r="K223" s="383">
        <f t="shared" si="108"/>
        <v>28699136.450000003</v>
      </c>
      <c r="L223" s="383">
        <f t="shared" si="108"/>
        <v>31428972.140000001</v>
      </c>
      <c r="M223" s="383">
        <f t="shared" si="108"/>
        <v>33889787.240000002</v>
      </c>
      <c r="N223" s="383">
        <f t="shared" si="108"/>
        <v>38128861.5</v>
      </c>
      <c r="O223" s="384">
        <f t="shared" si="108"/>
        <v>264244036.31</v>
      </c>
      <c r="T223" s="257"/>
    </row>
    <row r="224" spans="1:20">
      <c r="A224" s="121">
        <f t="shared" si="100"/>
        <v>224</v>
      </c>
      <c r="B224" s="371"/>
      <c r="T224" s="257"/>
    </row>
    <row r="225" spans="1:22">
      <c r="A225" s="121">
        <f t="shared" si="100"/>
        <v>225</v>
      </c>
      <c r="B225" s="324" t="s">
        <v>241</v>
      </c>
      <c r="C225" s="383">
        <f t="shared" ref="C225:O225" si="109">+C212+C223</f>
        <v>43002642.50000003</v>
      </c>
      <c r="D225" s="383">
        <f t="shared" si="109"/>
        <v>79788428.040000051</v>
      </c>
      <c r="E225" s="383">
        <f t="shared" si="109"/>
        <v>120650203.7100001</v>
      </c>
      <c r="F225" s="383">
        <f t="shared" si="109"/>
        <v>158071483.88000011</v>
      </c>
      <c r="G225" s="383">
        <f t="shared" si="109"/>
        <v>194869208.69000015</v>
      </c>
      <c r="H225" s="383">
        <f t="shared" si="109"/>
        <v>229104968.7300002</v>
      </c>
      <c r="I225" s="383">
        <f t="shared" si="109"/>
        <v>261622769.08000025</v>
      </c>
      <c r="J225" s="383">
        <f t="shared" si="109"/>
        <v>293877945.37000024</v>
      </c>
      <c r="K225" s="383">
        <f t="shared" si="109"/>
        <v>323841595.77000028</v>
      </c>
      <c r="L225" s="383">
        <f t="shared" si="109"/>
        <v>358986448.20000029</v>
      </c>
      <c r="M225" s="383">
        <f t="shared" si="109"/>
        <v>392459908.81000036</v>
      </c>
      <c r="N225" s="383">
        <f t="shared" si="109"/>
        <v>430140094.9600004</v>
      </c>
      <c r="O225" s="384">
        <f t="shared" si="109"/>
        <v>2886415697.7400022</v>
      </c>
    </row>
    <row r="226" spans="1:22">
      <c r="C226" s="257">
        <f>+C225-C114</f>
        <v>0</v>
      </c>
      <c r="D226" s="257"/>
      <c r="E226" s="257"/>
      <c r="F226" s="257"/>
      <c r="G226" s="257"/>
      <c r="H226" s="257"/>
      <c r="I226" s="257"/>
      <c r="J226" s="257"/>
      <c r="K226" s="257"/>
      <c r="L226" s="257"/>
      <c r="M226" s="257"/>
      <c r="N226" s="257"/>
      <c r="O226" s="257"/>
    </row>
    <row r="228" spans="1:22">
      <c r="B228" s="121" t="s">
        <v>243</v>
      </c>
      <c r="O228" s="361">
        <f>+SUM(C228:N228)</f>
        <v>0</v>
      </c>
    </row>
    <row r="229" spans="1:22">
      <c r="B229" s="121" t="s">
        <v>244</v>
      </c>
      <c r="C229" s="361"/>
      <c r="D229" s="361"/>
      <c r="E229" s="361"/>
      <c r="F229" s="361"/>
      <c r="G229" s="361"/>
      <c r="H229" s="361"/>
      <c r="I229" s="361"/>
      <c r="J229" s="361"/>
      <c r="K229" s="361"/>
      <c r="L229" s="361"/>
      <c r="M229" s="361"/>
      <c r="N229" s="361"/>
      <c r="O229" s="361">
        <f>+SUM(C229:N229)</f>
        <v>0</v>
      </c>
    </row>
    <row r="230" spans="1:22">
      <c r="B230" s="121" t="s">
        <v>245</v>
      </c>
      <c r="C230" s="257">
        <f t="shared" ref="C230:O230" si="110">C114-C229+C228</f>
        <v>43002642.50000003</v>
      </c>
      <c r="D230" s="257">
        <f t="shared" si="110"/>
        <v>36785785.540000029</v>
      </c>
      <c r="E230" s="257">
        <f t="shared" si="110"/>
        <v>40861775.670000017</v>
      </c>
      <c r="F230" s="257">
        <f t="shared" si="110"/>
        <v>37421280.170000032</v>
      </c>
      <c r="G230" s="257">
        <f t="shared" si="110"/>
        <v>36797724.810000032</v>
      </c>
      <c r="H230" s="257">
        <f t="shared" si="110"/>
        <v>34235760.040000059</v>
      </c>
      <c r="I230" s="257">
        <f t="shared" si="110"/>
        <v>32517800.350000028</v>
      </c>
      <c r="J230" s="257">
        <f t="shared" si="110"/>
        <v>32255176.290000025</v>
      </c>
      <c r="K230" s="257">
        <f t="shared" si="110"/>
        <v>29963650.400000013</v>
      </c>
      <c r="L230" s="257">
        <f t="shared" si="110"/>
        <v>35144852.430000059</v>
      </c>
      <c r="M230" s="257">
        <f t="shared" si="110"/>
        <v>33473460.610000044</v>
      </c>
      <c r="N230" s="257">
        <f t="shared" si="110"/>
        <v>37680186.150000021</v>
      </c>
      <c r="O230" s="257">
        <f t="shared" si="110"/>
        <v>430140094.9600004</v>
      </c>
    </row>
    <row r="233" spans="1:22">
      <c r="A233" s="121" t="s">
        <v>243</v>
      </c>
      <c r="C233" s="363">
        <v>0</v>
      </c>
      <c r="D233" s="386">
        <v>0</v>
      </c>
      <c r="E233" s="386">
        <v>0</v>
      </c>
      <c r="F233" s="386">
        <v>0</v>
      </c>
      <c r="G233" s="386">
        <v>0</v>
      </c>
      <c r="H233" s="386">
        <v>0</v>
      </c>
      <c r="I233" s="386">
        <v>0</v>
      </c>
      <c r="J233" s="386">
        <v>0</v>
      </c>
      <c r="K233" s="386">
        <v>0</v>
      </c>
      <c r="L233" s="386">
        <v>0</v>
      </c>
      <c r="M233" s="386">
        <v>0</v>
      </c>
      <c r="N233" s="386">
        <v>0</v>
      </c>
      <c r="O233" s="386"/>
    </row>
    <row r="234" spans="1:22">
      <c r="A234" s="121" t="s">
        <v>246</v>
      </c>
      <c r="N234" s="257"/>
    </row>
    <row r="235" spans="1:22">
      <c r="A235" s="121" t="s">
        <v>247</v>
      </c>
    </row>
    <row r="238" spans="1:22" s="126" customFormat="1">
      <c r="O238" s="387"/>
      <c r="U238" s="121"/>
      <c r="V238" s="121"/>
    </row>
    <row r="239" spans="1:22" s="126" customFormat="1">
      <c r="O239" s="387"/>
      <c r="U239" s="121"/>
      <c r="V239" s="121"/>
    </row>
    <row r="240" spans="1:22" s="126" customFormat="1">
      <c r="O240" s="387"/>
      <c r="U240" s="121"/>
      <c r="V240" s="121"/>
    </row>
    <row r="241" spans="2:22" s="126" customFormat="1">
      <c r="O241" s="387"/>
      <c r="U241" s="121"/>
      <c r="V241" s="121"/>
    </row>
    <row r="242" spans="2:22">
      <c r="O242" s="353"/>
    </row>
    <row r="244" spans="2:22">
      <c r="B244" s="296" t="s">
        <v>706</v>
      </c>
      <c r="C244" s="297">
        <v>5762.1900000000005</v>
      </c>
      <c r="D244" s="297">
        <v>5250.8600000000006</v>
      </c>
      <c r="E244" s="297">
        <v>5315.57</v>
      </c>
      <c r="F244" s="297">
        <v>3984.02</v>
      </c>
      <c r="G244" s="297">
        <v>3126.71</v>
      </c>
      <c r="H244" s="297">
        <v>1637.17</v>
      </c>
      <c r="I244" s="297">
        <v>1191.78</v>
      </c>
      <c r="J244" s="297">
        <v>1215.24</v>
      </c>
      <c r="K244" s="297">
        <v>1305.8600000000001</v>
      </c>
      <c r="L244" s="297">
        <v>1604.56</v>
      </c>
      <c r="M244" s="297">
        <v>3431.2299999999996</v>
      </c>
      <c r="N244" s="297">
        <v>6236.42</v>
      </c>
      <c r="O244" s="297">
        <v>40061.61</v>
      </c>
      <c r="P244" s="298"/>
      <c r="Q244" s="298" t="s">
        <v>14</v>
      </c>
      <c r="R244" s="298" t="s">
        <v>706</v>
      </c>
      <c r="S244" s="298"/>
      <c r="T244" s="298" t="s">
        <v>1417</v>
      </c>
      <c r="U244" s="299">
        <f t="shared" ref="U244:U249" si="111">MAX(C244:N244)</f>
        <v>6236.42</v>
      </c>
      <c r="V244" s="299">
        <f t="shared" ref="V244:V249" si="112">IFERROR(INDEX($C$1:$N$1,MATCH(U244,C244:N244,0)),0)</f>
        <v>12</v>
      </c>
    </row>
    <row r="245" spans="2:22">
      <c r="B245" s="296" t="s">
        <v>709</v>
      </c>
      <c r="C245" s="297">
        <v>2477.2700000000004</v>
      </c>
      <c r="D245" s="297">
        <v>2267.9899999999998</v>
      </c>
      <c r="E245" s="297">
        <v>2204.16</v>
      </c>
      <c r="F245" s="297">
        <v>1854.3200000000002</v>
      </c>
      <c r="G245" s="297">
        <v>1898.4</v>
      </c>
      <c r="H245" s="297">
        <v>1931.38</v>
      </c>
      <c r="I245" s="297">
        <v>2110.88</v>
      </c>
      <c r="J245" s="297">
        <v>1855.51</v>
      </c>
      <c r="K245" s="297">
        <v>1974.5</v>
      </c>
      <c r="L245" s="297">
        <v>1729.8600000000001</v>
      </c>
      <c r="M245" s="297">
        <v>2250.2999999999997</v>
      </c>
      <c r="N245" s="297">
        <v>2293.63</v>
      </c>
      <c r="O245" s="297">
        <v>24848.2</v>
      </c>
      <c r="P245" s="298"/>
      <c r="Q245" s="298" t="s">
        <v>14</v>
      </c>
      <c r="R245" s="298" t="s">
        <v>709</v>
      </c>
      <c r="S245" s="298"/>
      <c r="T245" s="298" t="s">
        <v>1417</v>
      </c>
      <c r="U245" s="299">
        <f t="shared" si="111"/>
        <v>2477.2700000000004</v>
      </c>
      <c r="V245" s="299">
        <f t="shared" si="112"/>
        <v>1</v>
      </c>
    </row>
    <row r="246" spans="2:22">
      <c r="B246" s="296" t="s">
        <v>711</v>
      </c>
      <c r="C246" s="297">
        <v>15273.04</v>
      </c>
      <c r="D246" s="297">
        <v>18202.55</v>
      </c>
      <c r="E246" s="297">
        <v>15913.83</v>
      </c>
      <c r="F246" s="297">
        <v>9508.73</v>
      </c>
      <c r="G246" s="297">
        <v>293.94</v>
      </c>
      <c r="H246" s="297">
        <v>2818.31</v>
      </c>
      <c r="I246" s="297">
        <v>3832.4700000000003</v>
      </c>
      <c r="J246" s="297">
        <v>2625.83</v>
      </c>
      <c r="K246" s="297">
        <v>3031.2</v>
      </c>
      <c r="L246" s="297">
        <v>6413.2300000000005</v>
      </c>
      <c r="M246" s="297">
        <v>10356.81</v>
      </c>
      <c r="N246" s="297">
        <v>14090.150000000001</v>
      </c>
      <c r="O246" s="297">
        <v>102360.09000000001</v>
      </c>
      <c r="P246" s="298"/>
      <c r="Q246" s="298" t="s">
        <v>14</v>
      </c>
      <c r="R246" s="298" t="s">
        <v>713</v>
      </c>
      <c r="S246" s="298"/>
      <c r="T246" s="298" t="s">
        <v>1417</v>
      </c>
      <c r="U246" s="299">
        <f t="shared" si="111"/>
        <v>18202.55</v>
      </c>
      <c r="V246" s="299">
        <f t="shared" si="112"/>
        <v>2</v>
      </c>
    </row>
    <row r="247" spans="2:22">
      <c r="B247" s="296" t="s">
        <v>713</v>
      </c>
      <c r="C247" s="297">
        <v>1480.32</v>
      </c>
      <c r="D247" s="297">
        <v>2163.96</v>
      </c>
      <c r="E247" s="297">
        <v>1755.76</v>
      </c>
      <c r="F247" s="297">
        <v>1511.99</v>
      </c>
      <c r="G247" s="297">
        <v>1943.57</v>
      </c>
      <c r="H247" s="297">
        <v>1912.15</v>
      </c>
      <c r="I247" s="297">
        <v>2328.9300000000003</v>
      </c>
      <c r="J247" s="297">
        <v>1499.1000000000001</v>
      </c>
      <c r="K247" s="297">
        <v>2052.59</v>
      </c>
      <c r="L247" s="297">
        <v>2508.08</v>
      </c>
      <c r="M247" s="297">
        <v>661.17000000000007</v>
      </c>
      <c r="N247" s="297">
        <v>3655.96</v>
      </c>
      <c r="O247" s="297">
        <v>23473.58</v>
      </c>
      <c r="P247" s="298"/>
      <c r="Q247" s="298" t="s">
        <v>14</v>
      </c>
      <c r="R247" s="298" t="s">
        <v>713</v>
      </c>
      <c r="S247" s="298"/>
      <c r="T247" s="298" t="s">
        <v>1417</v>
      </c>
      <c r="U247" s="299">
        <f t="shared" si="111"/>
        <v>3655.96</v>
      </c>
      <c r="V247" s="299">
        <f t="shared" si="112"/>
        <v>12</v>
      </c>
    </row>
    <row r="248" spans="2:22">
      <c r="B248" s="296" t="s">
        <v>716</v>
      </c>
      <c r="C248" s="297">
        <v>45.269999999999996</v>
      </c>
      <c r="D248" s="297">
        <v>65.489999999999995</v>
      </c>
      <c r="E248" s="297">
        <v>42.220000000000006</v>
      </c>
      <c r="F248" s="297">
        <v>5.2</v>
      </c>
      <c r="G248" s="297">
        <v>6.3</v>
      </c>
      <c r="H248" s="297">
        <v>22.88</v>
      </c>
      <c r="I248" s="297">
        <v>7.28</v>
      </c>
      <c r="J248" s="297">
        <v>0</v>
      </c>
      <c r="K248" s="297">
        <v>13.52</v>
      </c>
      <c r="L248" s="297">
        <v>21.85</v>
      </c>
      <c r="M248" s="297">
        <v>8.4</v>
      </c>
      <c r="N248" s="297">
        <v>41.07</v>
      </c>
      <c r="O248" s="297">
        <v>279.48</v>
      </c>
      <c r="P248" s="298"/>
      <c r="Q248" s="298" t="s">
        <v>14</v>
      </c>
      <c r="R248" s="298" t="s">
        <v>706</v>
      </c>
      <c r="S248" s="298"/>
      <c r="T248" s="298" t="s">
        <v>1417</v>
      </c>
      <c r="U248" s="299">
        <f t="shared" si="111"/>
        <v>65.489999999999995</v>
      </c>
      <c r="V248" s="299">
        <f t="shared" si="112"/>
        <v>2</v>
      </c>
    </row>
    <row r="249" spans="2:22">
      <c r="B249" s="296" t="s">
        <v>719</v>
      </c>
      <c r="C249" s="297">
        <v>555.36</v>
      </c>
      <c r="D249" s="297">
        <v>624</v>
      </c>
      <c r="E249" s="297">
        <v>607.36</v>
      </c>
      <c r="F249" s="297">
        <v>456.56</v>
      </c>
      <c r="G249" s="297">
        <v>94.499999999999986</v>
      </c>
      <c r="H249" s="297">
        <v>71.760000000000005</v>
      </c>
      <c r="I249" s="297">
        <v>59.28</v>
      </c>
      <c r="J249" s="297">
        <v>81.12</v>
      </c>
      <c r="K249" s="297">
        <v>499.20000000000005</v>
      </c>
      <c r="L249" s="297">
        <v>502.31999999999994</v>
      </c>
      <c r="M249" s="297">
        <v>567</v>
      </c>
      <c r="N249" s="297">
        <v>523.12</v>
      </c>
      <c r="O249" s="297">
        <v>4641.58</v>
      </c>
      <c r="P249" s="298"/>
      <c r="Q249" s="298" t="s">
        <v>14</v>
      </c>
      <c r="R249" s="298" t="s">
        <v>709</v>
      </c>
      <c r="S249" s="298"/>
      <c r="T249" s="298" t="s">
        <v>1417</v>
      </c>
      <c r="U249" s="299">
        <f t="shared" si="111"/>
        <v>624</v>
      </c>
      <c r="V249" s="299">
        <f t="shared" si="112"/>
        <v>2</v>
      </c>
    </row>
    <row r="256" spans="2:22">
      <c r="U256" s="448">
        <v>1</v>
      </c>
      <c r="V256" s="120">
        <f>COUNTIF($V$2:$V$114,U256)</f>
        <v>38</v>
      </c>
    </row>
    <row r="257" spans="21:22">
      <c r="U257" s="448">
        <v>2</v>
      </c>
      <c r="V257" s="120">
        <f t="shared" ref="V257:V267" si="113">COUNTIF($V$2:$V$101,U257)</f>
        <v>8</v>
      </c>
    </row>
    <row r="258" spans="21:22">
      <c r="U258" s="448">
        <v>3</v>
      </c>
      <c r="V258" s="120">
        <f t="shared" si="113"/>
        <v>7</v>
      </c>
    </row>
    <row r="259" spans="21:22">
      <c r="U259" s="448">
        <v>4</v>
      </c>
      <c r="V259" s="120">
        <f t="shared" si="113"/>
        <v>2</v>
      </c>
    </row>
    <row r="260" spans="21:22">
      <c r="U260" s="448">
        <v>5</v>
      </c>
      <c r="V260" s="120">
        <f t="shared" si="113"/>
        <v>0</v>
      </c>
    </row>
    <row r="261" spans="21:22">
      <c r="U261" s="448">
        <v>6</v>
      </c>
      <c r="V261" s="120">
        <f t="shared" si="113"/>
        <v>0</v>
      </c>
    </row>
    <row r="262" spans="21:22">
      <c r="U262" s="448">
        <v>7</v>
      </c>
      <c r="V262" s="120">
        <f t="shared" si="113"/>
        <v>3</v>
      </c>
    </row>
    <row r="263" spans="21:22">
      <c r="U263" s="448">
        <v>8</v>
      </c>
      <c r="V263" s="120">
        <f t="shared" si="113"/>
        <v>0</v>
      </c>
    </row>
    <row r="264" spans="21:22">
      <c r="U264" s="448">
        <v>9</v>
      </c>
      <c r="V264" s="120">
        <f t="shared" si="113"/>
        <v>0</v>
      </c>
    </row>
    <row r="265" spans="21:22">
      <c r="U265" s="448">
        <v>10</v>
      </c>
      <c r="V265" s="120">
        <f t="shared" si="113"/>
        <v>2</v>
      </c>
    </row>
    <row r="266" spans="21:22">
      <c r="U266" s="448">
        <v>11</v>
      </c>
      <c r="V266" s="120">
        <f t="shared" si="113"/>
        <v>2</v>
      </c>
    </row>
    <row r="267" spans="21:22">
      <c r="U267" s="448">
        <v>12</v>
      </c>
      <c r="V267" s="120">
        <f t="shared" si="113"/>
        <v>17</v>
      </c>
    </row>
  </sheetData>
  <autoFilter ref="A1:T226" xr:uid="{7B4EDA88-965A-44E8-8C52-6DFCBD95370B}"/>
  <pageMargins left="0.5" right="0.5" top="0.5" bottom="0.5" header="1" footer="0"/>
  <pageSetup scale="55" fitToHeight="2" orientation="landscape" r:id="rId1"/>
  <headerFooter alignWithMargins="0"/>
  <rowBreaks count="2" manualBreakCount="2">
    <brk id="100" max="16" man="1"/>
    <brk id="18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99B06-96F4-4B89-B714-208D848E6210}">
  <sheetPr codeName="Sheet44">
    <tabColor theme="0" tint="-0.34998626667073579"/>
  </sheetPr>
  <dimension ref="B1:V148"/>
  <sheetViews>
    <sheetView workbookViewId="0"/>
  </sheetViews>
  <sheetFormatPr defaultColWidth="9.140625" defaultRowHeight="12.75"/>
  <cols>
    <col min="1" max="1" width="9.140625" style="613"/>
    <col min="2" max="2" width="45.42578125" style="613" bestFit="1" customWidth="1"/>
    <col min="3" max="14" width="9.140625" style="613" bestFit="1" customWidth="1"/>
    <col min="15" max="15" width="10.42578125" style="613" bestFit="1" customWidth="1"/>
    <col min="16" max="17" width="9.140625" style="613"/>
    <col min="18" max="18" width="10.42578125" style="613" bestFit="1" customWidth="1"/>
    <col min="19" max="19" width="21.42578125" style="613" bestFit="1" customWidth="1"/>
    <col min="20" max="20" width="13.140625" style="613" bestFit="1" customWidth="1"/>
    <col min="21" max="21" width="9.140625" style="613" bestFit="1" customWidth="1"/>
    <col min="22" max="22" width="10.42578125" style="613" bestFit="1" customWidth="1"/>
    <col min="23" max="16384" width="9.140625" style="613"/>
  </cols>
  <sheetData>
    <row r="1" spans="2:20">
      <c r="B1" s="613" t="s">
        <v>984</v>
      </c>
      <c r="C1" s="614">
        <v>1</v>
      </c>
      <c r="D1" s="614">
        <v>2</v>
      </c>
      <c r="E1" s="614">
        <v>3</v>
      </c>
      <c r="F1" s="614">
        <v>4</v>
      </c>
      <c r="G1" s="614">
        <v>5</v>
      </c>
      <c r="H1" s="614">
        <v>6</v>
      </c>
      <c r="I1" s="614">
        <v>7</v>
      </c>
      <c r="J1" s="614">
        <v>8</v>
      </c>
      <c r="K1" s="614">
        <v>9</v>
      </c>
      <c r="L1" s="614">
        <v>10</v>
      </c>
      <c r="M1" s="614">
        <v>11</v>
      </c>
      <c r="N1" s="614">
        <v>12</v>
      </c>
    </row>
    <row r="2" spans="2:20">
      <c r="B2" s="615" t="s">
        <v>158</v>
      </c>
      <c r="C2" s="616">
        <v>44197</v>
      </c>
      <c r="D2" s="616">
        <v>44228</v>
      </c>
      <c r="E2" s="616">
        <v>44256</v>
      </c>
      <c r="F2" s="616">
        <v>44287</v>
      </c>
      <c r="G2" s="616">
        <v>44317</v>
      </c>
      <c r="H2" s="616">
        <v>44348</v>
      </c>
      <c r="I2" s="616">
        <v>44378</v>
      </c>
      <c r="J2" s="616">
        <v>44409</v>
      </c>
      <c r="K2" s="616">
        <v>44440</v>
      </c>
      <c r="L2" s="616">
        <v>44470</v>
      </c>
      <c r="M2" s="616">
        <v>44501</v>
      </c>
      <c r="N2" s="616">
        <v>44531</v>
      </c>
      <c r="O2" s="259" t="s">
        <v>978</v>
      </c>
    </row>
    <row r="3" spans="2:20">
      <c r="B3" s="617" t="s">
        <v>114</v>
      </c>
      <c r="C3" s="618">
        <v>1131</v>
      </c>
      <c r="D3" s="618">
        <v>1126</v>
      </c>
      <c r="E3" s="618">
        <v>1130</v>
      </c>
      <c r="F3" s="618">
        <v>1130</v>
      </c>
      <c r="G3" s="618">
        <v>1123</v>
      </c>
      <c r="H3" s="618">
        <v>1119</v>
      </c>
      <c r="I3" s="618">
        <v>1117</v>
      </c>
      <c r="J3" s="618">
        <v>1111</v>
      </c>
      <c r="K3" s="618">
        <v>1114</v>
      </c>
      <c r="L3" s="618">
        <v>1107</v>
      </c>
      <c r="M3" s="618">
        <v>1104</v>
      </c>
      <c r="N3" s="386">
        <v>1121</v>
      </c>
      <c r="O3" s="619">
        <f>SUM(C3:N3)</f>
        <v>13433</v>
      </c>
      <c r="Q3" s="121" t="s">
        <v>17</v>
      </c>
      <c r="R3" s="310">
        <f>+SUM(C3:N3)</f>
        <v>13433</v>
      </c>
      <c r="S3" s="257" t="str">
        <f t="shared" ref="S3:S9" si="0">CONCATENATE(Q3," - ",B3," R")</f>
        <v>CFG - FTS-A R</v>
      </c>
    </row>
    <row r="4" spans="2:20">
      <c r="B4" s="617" t="s">
        <v>115</v>
      </c>
      <c r="C4" s="618">
        <v>2247</v>
      </c>
      <c r="D4" s="618">
        <v>2253</v>
      </c>
      <c r="E4" s="618">
        <v>2254</v>
      </c>
      <c r="F4" s="618">
        <v>2256</v>
      </c>
      <c r="G4" s="618">
        <v>2251</v>
      </c>
      <c r="H4" s="618">
        <v>2238</v>
      </c>
      <c r="I4" s="618">
        <v>2235</v>
      </c>
      <c r="J4" s="618">
        <v>2226</v>
      </c>
      <c r="K4" s="618">
        <v>2215</v>
      </c>
      <c r="L4" s="618">
        <v>2211</v>
      </c>
      <c r="M4" s="618">
        <v>2220</v>
      </c>
      <c r="N4" s="386">
        <v>2226</v>
      </c>
      <c r="O4" s="619">
        <f t="shared" ref="O4:O67" si="1">SUM(C4:N4)</f>
        <v>26832</v>
      </c>
      <c r="Q4" s="121" t="s">
        <v>17</v>
      </c>
      <c r="R4" s="310">
        <f t="shared" ref="R4:R13" si="2">+SUM(C4:N4)</f>
        <v>26832</v>
      </c>
      <c r="S4" s="257" t="str">
        <f t="shared" si="0"/>
        <v>CFG - FTS-B R</v>
      </c>
    </row>
    <row r="5" spans="2:20">
      <c r="B5" s="617" t="s">
        <v>116</v>
      </c>
      <c r="C5" s="618">
        <v>13630</v>
      </c>
      <c r="D5" s="618">
        <v>13637</v>
      </c>
      <c r="E5" s="618">
        <v>13703</v>
      </c>
      <c r="F5" s="618">
        <v>13779</v>
      </c>
      <c r="G5" s="618">
        <v>13833</v>
      </c>
      <c r="H5" s="618">
        <v>13772</v>
      </c>
      <c r="I5" s="618">
        <v>13775</v>
      </c>
      <c r="J5" s="618">
        <v>13765</v>
      </c>
      <c r="K5" s="618">
        <v>13790</v>
      </c>
      <c r="L5" s="618">
        <v>13753</v>
      </c>
      <c r="M5" s="618">
        <v>13801</v>
      </c>
      <c r="N5" s="386">
        <v>13876</v>
      </c>
      <c r="O5" s="619">
        <f t="shared" si="1"/>
        <v>165114</v>
      </c>
      <c r="Q5" s="121" t="s">
        <v>17</v>
      </c>
      <c r="R5" s="310">
        <f t="shared" si="2"/>
        <v>165114</v>
      </c>
      <c r="S5" s="257" t="str">
        <f t="shared" si="0"/>
        <v>CFG - FTS-1 R</v>
      </c>
    </row>
    <row r="6" spans="2:20">
      <c r="B6" s="617" t="s">
        <v>117</v>
      </c>
      <c r="C6" s="618">
        <v>739</v>
      </c>
      <c r="D6" s="618">
        <v>736</v>
      </c>
      <c r="E6" s="618">
        <v>734</v>
      </c>
      <c r="F6" s="618">
        <v>733</v>
      </c>
      <c r="G6" s="618">
        <v>737</v>
      </c>
      <c r="H6" s="618">
        <v>737</v>
      </c>
      <c r="I6" s="618">
        <v>737</v>
      </c>
      <c r="J6" s="618">
        <v>733</v>
      </c>
      <c r="K6" s="618">
        <v>734</v>
      </c>
      <c r="L6" s="618">
        <v>726</v>
      </c>
      <c r="M6" s="618">
        <v>726</v>
      </c>
      <c r="N6" s="386">
        <v>730</v>
      </c>
      <c r="O6" s="619">
        <f t="shared" si="1"/>
        <v>8802</v>
      </c>
      <c r="Q6" s="121" t="s">
        <v>17</v>
      </c>
      <c r="R6" s="310">
        <f t="shared" si="2"/>
        <v>8802</v>
      </c>
      <c r="S6" s="257" t="str">
        <f t="shared" si="0"/>
        <v>CFG - FTS-2 R</v>
      </c>
    </row>
    <row r="7" spans="2:20">
      <c r="B7" s="617" t="s">
        <v>118</v>
      </c>
      <c r="C7" s="618">
        <v>482</v>
      </c>
      <c r="D7" s="618">
        <v>486</v>
      </c>
      <c r="E7" s="618">
        <v>483</v>
      </c>
      <c r="F7" s="618">
        <v>481</v>
      </c>
      <c r="G7" s="618">
        <v>483</v>
      </c>
      <c r="H7" s="618">
        <v>479</v>
      </c>
      <c r="I7" s="618">
        <v>478</v>
      </c>
      <c r="J7" s="618">
        <v>476</v>
      </c>
      <c r="K7" s="618">
        <v>480</v>
      </c>
      <c r="L7" s="618">
        <v>481</v>
      </c>
      <c r="M7" s="618">
        <v>482</v>
      </c>
      <c r="N7" s="386">
        <v>481</v>
      </c>
      <c r="O7" s="619">
        <f t="shared" si="1"/>
        <v>5772</v>
      </c>
      <c r="Q7" s="121" t="s">
        <v>17</v>
      </c>
      <c r="R7" s="310">
        <f t="shared" si="2"/>
        <v>5772</v>
      </c>
      <c r="S7" s="257" t="str">
        <f t="shared" si="0"/>
        <v>CFG - FTS-2.1 R</v>
      </c>
    </row>
    <row r="8" spans="2:20">
      <c r="B8" s="620" t="s">
        <v>119</v>
      </c>
      <c r="C8" s="618">
        <v>16</v>
      </c>
      <c r="D8" s="618">
        <v>16</v>
      </c>
      <c r="E8" s="618">
        <v>16</v>
      </c>
      <c r="F8" s="618">
        <v>16</v>
      </c>
      <c r="G8" s="618">
        <v>17</v>
      </c>
      <c r="H8" s="618">
        <v>16</v>
      </c>
      <c r="I8" s="618">
        <v>16</v>
      </c>
      <c r="J8" s="618">
        <v>16</v>
      </c>
      <c r="K8" s="618">
        <v>16</v>
      </c>
      <c r="L8" s="618">
        <v>16</v>
      </c>
      <c r="M8" s="618">
        <v>15</v>
      </c>
      <c r="N8" s="386">
        <v>15</v>
      </c>
      <c r="O8" s="619">
        <f t="shared" si="1"/>
        <v>191</v>
      </c>
      <c r="Q8" s="121" t="s">
        <v>17</v>
      </c>
      <c r="R8" s="310">
        <f t="shared" si="2"/>
        <v>191</v>
      </c>
      <c r="S8" s="257" t="str">
        <f t="shared" si="0"/>
        <v>CFG - FTS-3 R</v>
      </c>
    </row>
    <row r="9" spans="2:20">
      <c r="B9" s="620" t="s">
        <v>120</v>
      </c>
      <c r="C9" s="618">
        <v>0</v>
      </c>
      <c r="D9" s="618">
        <v>0</v>
      </c>
      <c r="E9" s="618">
        <v>0</v>
      </c>
      <c r="F9" s="618">
        <v>0</v>
      </c>
      <c r="G9" s="618">
        <v>0</v>
      </c>
      <c r="H9" s="618">
        <v>0</v>
      </c>
      <c r="I9" s="618">
        <v>0</v>
      </c>
      <c r="J9" s="618">
        <v>0</v>
      </c>
      <c r="K9" s="618">
        <v>0</v>
      </c>
      <c r="L9" s="618">
        <v>0</v>
      </c>
      <c r="M9" s="618">
        <v>0</v>
      </c>
      <c r="N9" s="386">
        <v>0</v>
      </c>
      <c r="O9" s="619">
        <f t="shared" si="1"/>
        <v>0</v>
      </c>
      <c r="Q9" s="121" t="s">
        <v>17</v>
      </c>
      <c r="R9" s="310">
        <f t="shared" si="2"/>
        <v>0</v>
      </c>
      <c r="S9" s="257" t="str">
        <f t="shared" si="0"/>
        <v>CFG - FTS-3.1 R</v>
      </c>
    </row>
    <row r="10" spans="2:20">
      <c r="B10" s="620" t="s">
        <v>161</v>
      </c>
      <c r="C10" s="618">
        <v>59736</v>
      </c>
      <c r="D10" s="618">
        <v>59944</v>
      </c>
      <c r="E10" s="618">
        <v>60223</v>
      </c>
      <c r="F10" s="618">
        <v>60629</v>
      </c>
      <c r="G10" s="618">
        <v>60701</v>
      </c>
      <c r="H10" s="618">
        <v>61056</v>
      </c>
      <c r="I10" s="618">
        <v>61234</v>
      </c>
      <c r="J10" s="618">
        <v>61329</v>
      </c>
      <c r="K10" s="618">
        <v>61505</v>
      </c>
      <c r="L10" s="618">
        <v>61813</v>
      </c>
      <c r="M10" s="618">
        <v>62167</v>
      </c>
      <c r="N10" s="386">
        <v>62405</v>
      </c>
      <c r="O10" s="619">
        <f t="shared" si="1"/>
        <v>732742</v>
      </c>
      <c r="Q10" s="121" t="s">
        <v>16</v>
      </c>
      <c r="R10" s="310">
        <f>+SUM(C10:N10)</f>
        <v>732742</v>
      </c>
      <c r="S10" s="257" t="str">
        <f>CONCATENATE(Q10," - ",B10)</f>
        <v>FPU - FPU - RS</v>
      </c>
    </row>
    <row r="11" spans="2:20">
      <c r="B11" s="620" t="s">
        <v>163</v>
      </c>
      <c r="C11" s="618">
        <v>660</v>
      </c>
      <c r="D11" s="618">
        <v>667</v>
      </c>
      <c r="E11" s="618">
        <v>672</v>
      </c>
      <c r="F11" s="618">
        <v>686</v>
      </c>
      <c r="G11" s="618">
        <v>699</v>
      </c>
      <c r="H11" s="618">
        <v>716</v>
      </c>
      <c r="I11" s="618">
        <v>728</v>
      </c>
      <c r="J11" s="618">
        <v>753</v>
      </c>
      <c r="K11" s="618">
        <v>747</v>
      </c>
      <c r="L11" s="618">
        <v>757</v>
      </c>
      <c r="M11" s="618">
        <v>769</v>
      </c>
      <c r="N11" s="386">
        <v>774</v>
      </c>
      <c r="O11" s="619">
        <f t="shared" si="1"/>
        <v>8628</v>
      </c>
      <c r="Q11" s="121" t="s">
        <v>16</v>
      </c>
      <c r="R11" s="310">
        <f>+SUM(C11:N11)</f>
        <v>8628</v>
      </c>
      <c r="S11" s="257" t="str">
        <f>CONCATENATE(Q11," - ",B11)</f>
        <v>FPU - FPU - RS-GS</v>
      </c>
    </row>
    <row r="12" spans="2:20">
      <c r="B12" s="620" t="s">
        <v>111</v>
      </c>
      <c r="C12" s="618">
        <v>560</v>
      </c>
      <c r="D12" s="618">
        <v>565</v>
      </c>
      <c r="E12" s="618">
        <v>563</v>
      </c>
      <c r="F12" s="618">
        <v>563</v>
      </c>
      <c r="G12" s="618">
        <v>550</v>
      </c>
      <c r="H12" s="618">
        <v>548</v>
      </c>
      <c r="I12" s="618">
        <v>552</v>
      </c>
      <c r="J12" s="618">
        <v>547</v>
      </c>
      <c r="K12" s="618">
        <v>548</v>
      </c>
      <c r="L12" s="618">
        <v>545</v>
      </c>
      <c r="M12" s="618">
        <v>544</v>
      </c>
      <c r="N12" s="386">
        <v>546</v>
      </c>
      <c r="O12" s="619">
        <f t="shared" si="1"/>
        <v>6631</v>
      </c>
      <c r="Q12" s="121" t="s">
        <v>14</v>
      </c>
      <c r="R12" s="310">
        <f t="shared" si="2"/>
        <v>6631</v>
      </c>
      <c r="S12" s="257" t="str">
        <f>CONCATENATE(Q12," - ",B12)</f>
        <v>FT - FT-RS</v>
      </c>
    </row>
    <row r="13" spans="2:20">
      <c r="B13" s="620" t="s">
        <v>105</v>
      </c>
      <c r="C13" s="621">
        <v>675</v>
      </c>
      <c r="D13" s="621">
        <v>678</v>
      </c>
      <c r="E13" s="621">
        <v>674</v>
      </c>
      <c r="F13" s="621">
        <v>678</v>
      </c>
      <c r="G13" s="621">
        <v>674</v>
      </c>
      <c r="H13" s="621">
        <v>674</v>
      </c>
      <c r="I13" s="621">
        <v>676</v>
      </c>
      <c r="J13" s="621">
        <v>675</v>
      </c>
      <c r="K13" s="621">
        <v>677</v>
      </c>
      <c r="L13" s="621">
        <v>680</v>
      </c>
      <c r="M13" s="621">
        <v>668</v>
      </c>
      <c r="N13" s="373">
        <v>669</v>
      </c>
      <c r="O13" s="619">
        <f t="shared" si="1"/>
        <v>8098</v>
      </c>
      <c r="Q13" s="121" t="s">
        <v>13</v>
      </c>
      <c r="R13" s="310">
        <f t="shared" si="2"/>
        <v>8098</v>
      </c>
      <c r="S13" s="257" t="str">
        <f>CONCATENATE(Q13," - ",B13)</f>
        <v>IGC - IGC - TS1</v>
      </c>
    </row>
    <row r="14" spans="2:20">
      <c r="B14" s="622" t="s">
        <v>166</v>
      </c>
      <c r="C14" s="619">
        <v>79876</v>
      </c>
      <c r="D14" s="619">
        <v>80108</v>
      </c>
      <c r="E14" s="619">
        <v>80452</v>
      </c>
      <c r="F14" s="619">
        <v>80951</v>
      </c>
      <c r="G14" s="619">
        <v>81068</v>
      </c>
      <c r="H14" s="619">
        <v>81355</v>
      </c>
      <c r="I14" s="619">
        <v>81548</v>
      </c>
      <c r="J14" s="619">
        <v>81631</v>
      </c>
      <c r="K14" s="619">
        <v>81826</v>
      </c>
      <c r="L14" s="619">
        <v>82089</v>
      </c>
      <c r="M14" s="619">
        <v>82496</v>
      </c>
      <c r="N14" s="623">
        <f>SUM(N3:N13)</f>
        <v>82843</v>
      </c>
      <c r="O14" s="619">
        <f t="shared" si="1"/>
        <v>976243</v>
      </c>
    </row>
    <row r="15" spans="2:20">
      <c r="B15" s="615" t="s">
        <v>167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624"/>
      <c r="O15" s="619">
        <f t="shared" si="1"/>
        <v>0</v>
      </c>
    </row>
    <row r="16" spans="2:20">
      <c r="B16" s="617" t="s">
        <v>114</v>
      </c>
      <c r="C16" s="618">
        <v>31</v>
      </c>
      <c r="D16" s="618">
        <v>31</v>
      </c>
      <c r="E16" s="618">
        <v>31</v>
      </c>
      <c r="F16" s="618">
        <v>32</v>
      </c>
      <c r="G16" s="618">
        <v>32</v>
      </c>
      <c r="H16" s="618">
        <v>31</v>
      </c>
      <c r="I16" s="618">
        <v>31</v>
      </c>
      <c r="J16" s="618">
        <v>29</v>
      </c>
      <c r="K16" s="618">
        <v>28</v>
      </c>
      <c r="L16" s="618">
        <v>28</v>
      </c>
      <c r="M16" s="618">
        <v>30</v>
      </c>
      <c r="N16" s="386">
        <v>32</v>
      </c>
      <c r="O16" s="619">
        <f t="shared" si="1"/>
        <v>366</v>
      </c>
      <c r="Q16" s="121" t="s">
        <v>17</v>
      </c>
      <c r="R16" s="310">
        <f t="shared" ref="R16:R22" si="3">+SUM(C16:N16)</f>
        <v>366</v>
      </c>
      <c r="S16" s="257" t="str">
        <f>CONCATENATE(Q16," - ",B16," - ",T16)</f>
        <v>CFG - FTS-A - Fixed R</v>
      </c>
      <c r="T16" s="121" t="s">
        <v>168</v>
      </c>
    </row>
    <row r="17" spans="2:20">
      <c r="B17" s="617" t="s">
        <v>115</v>
      </c>
      <c r="C17" s="618">
        <v>62</v>
      </c>
      <c r="D17" s="618">
        <v>62</v>
      </c>
      <c r="E17" s="618">
        <v>62</v>
      </c>
      <c r="F17" s="618">
        <v>62</v>
      </c>
      <c r="G17" s="618">
        <v>62</v>
      </c>
      <c r="H17" s="618">
        <v>61</v>
      </c>
      <c r="I17" s="618">
        <v>61</v>
      </c>
      <c r="J17" s="618">
        <v>62</v>
      </c>
      <c r="K17" s="618">
        <v>62</v>
      </c>
      <c r="L17" s="618">
        <v>61</v>
      </c>
      <c r="M17" s="618">
        <v>61</v>
      </c>
      <c r="N17" s="386">
        <v>62</v>
      </c>
      <c r="O17" s="619">
        <f t="shared" si="1"/>
        <v>740</v>
      </c>
      <c r="Q17" s="121" t="s">
        <v>17</v>
      </c>
      <c r="R17" s="310">
        <f t="shared" si="3"/>
        <v>740</v>
      </c>
      <c r="S17" s="257" t="str">
        <f t="shared" ref="S17:S22" si="4">CONCATENATE(Q17," - ",B17," - ",T17)</f>
        <v>CFG - FTS-B - Fixed R</v>
      </c>
      <c r="T17" s="121" t="s">
        <v>168</v>
      </c>
    </row>
    <row r="18" spans="2:20">
      <c r="B18" s="617" t="s">
        <v>116</v>
      </c>
      <c r="C18" s="618">
        <v>166</v>
      </c>
      <c r="D18" s="618">
        <v>165</v>
      </c>
      <c r="E18" s="618">
        <v>164</v>
      </c>
      <c r="F18" s="618">
        <v>165</v>
      </c>
      <c r="G18" s="618">
        <v>164</v>
      </c>
      <c r="H18" s="618">
        <v>164</v>
      </c>
      <c r="I18" s="618">
        <v>163</v>
      </c>
      <c r="J18" s="618">
        <v>164</v>
      </c>
      <c r="K18" s="618">
        <v>162</v>
      </c>
      <c r="L18" s="618">
        <v>163</v>
      </c>
      <c r="M18" s="618">
        <v>159</v>
      </c>
      <c r="N18" s="386">
        <v>160</v>
      </c>
      <c r="O18" s="619">
        <f t="shared" si="1"/>
        <v>1959</v>
      </c>
      <c r="Q18" s="121" t="s">
        <v>17</v>
      </c>
      <c r="R18" s="310">
        <f t="shared" si="3"/>
        <v>1959</v>
      </c>
      <c r="S18" s="257" t="str">
        <f t="shared" si="4"/>
        <v>CFG - FTS-1 - Fixed R</v>
      </c>
      <c r="T18" s="121" t="s">
        <v>168</v>
      </c>
    </row>
    <row r="19" spans="2:20">
      <c r="B19" s="617" t="s">
        <v>117</v>
      </c>
      <c r="C19" s="618">
        <v>20</v>
      </c>
      <c r="D19" s="618">
        <v>20</v>
      </c>
      <c r="E19" s="618">
        <v>20</v>
      </c>
      <c r="F19" s="618">
        <v>20</v>
      </c>
      <c r="G19" s="618">
        <v>20</v>
      </c>
      <c r="H19" s="618">
        <v>19</v>
      </c>
      <c r="I19" s="618">
        <v>20</v>
      </c>
      <c r="J19" s="618">
        <v>19</v>
      </c>
      <c r="K19" s="618">
        <v>19</v>
      </c>
      <c r="L19" s="618">
        <v>19</v>
      </c>
      <c r="M19" s="618">
        <v>20</v>
      </c>
      <c r="N19" s="386">
        <v>20</v>
      </c>
      <c r="O19" s="619">
        <f t="shared" si="1"/>
        <v>236</v>
      </c>
      <c r="Q19" s="121" t="s">
        <v>17</v>
      </c>
      <c r="R19" s="310">
        <f t="shared" si="3"/>
        <v>236</v>
      </c>
      <c r="S19" s="257" t="str">
        <f t="shared" si="4"/>
        <v>CFG - FTS-2 - Fixed R</v>
      </c>
      <c r="T19" s="121" t="s">
        <v>168</v>
      </c>
    </row>
    <row r="20" spans="2:20">
      <c r="B20" s="617" t="s">
        <v>118</v>
      </c>
      <c r="C20" s="618">
        <v>7</v>
      </c>
      <c r="D20" s="618">
        <v>8</v>
      </c>
      <c r="E20" s="618">
        <v>7</v>
      </c>
      <c r="F20" s="618">
        <v>7</v>
      </c>
      <c r="G20" s="618">
        <v>7</v>
      </c>
      <c r="H20" s="618">
        <v>7</v>
      </c>
      <c r="I20" s="618">
        <v>7</v>
      </c>
      <c r="J20" s="618">
        <v>7</v>
      </c>
      <c r="K20" s="618">
        <v>7</v>
      </c>
      <c r="L20" s="618">
        <v>7</v>
      </c>
      <c r="M20" s="618">
        <v>7</v>
      </c>
      <c r="N20" s="386">
        <v>7</v>
      </c>
      <c r="O20" s="619">
        <f t="shared" si="1"/>
        <v>85</v>
      </c>
      <c r="Q20" s="121" t="s">
        <v>17</v>
      </c>
      <c r="R20" s="310">
        <f t="shared" si="3"/>
        <v>85</v>
      </c>
      <c r="S20" s="257" t="str">
        <f t="shared" si="4"/>
        <v>CFG - FTS-2.1 - Fixed R</v>
      </c>
      <c r="T20" s="121" t="s">
        <v>168</v>
      </c>
    </row>
    <row r="21" spans="2:20" ht="15" customHeight="1">
      <c r="B21" s="620" t="s">
        <v>119</v>
      </c>
      <c r="C21" s="618">
        <v>0</v>
      </c>
      <c r="D21" s="618">
        <v>0</v>
      </c>
      <c r="E21" s="618">
        <v>0</v>
      </c>
      <c r="F21" s="618">
        <v>0</v>
      </c>
      <c r="G21" s="618">
        <v>0</v>
      </c>
      <c r="H21" s="618">
        <v>0</v>
      </c>
      <c r="I21" s="618">
        <v>0</v>
      </c>
      <c r="J21" s="618">
        <v>0</v>
      </c>
      <c r="K21" s="618">
        <v>0</v>
      </c>
      <c r="L21" s="618">
        <v>0</v>
      </c>
      <c r="M21" s="618">
        <v>0</v>
      </c>
      <c r="N21" s="386">
        <v>0</v>
      </c>
      <c r="O21" s="619">
        <f t="shared" si="1"/>
        <v>0</v>
      </c>
      <c r="Q21" s="121" t="s">
        <v>17</v>
      </c>
      <c r="R21" s="310">
        <f t="shared" si="3"/>
        <v>0</v>
      </c>
      <c r="S21" s="257" t="str">
        <f t="shared" si="4"/>
        <v>CFG - FTS-3 - Fixed R</v>
      </c>
      <c r="T21" s="121" t="s">
        <v>168</v>
      </c>
    </row>
    <row r="22" spans="2:20">
      <c r="B22" s="620" t="s">
        <v>120</v>
      </c>
      <c r="C22" s="621">
        <v>0</v>
      </c>
      <c r="D22" s="621">
        <v>0</v>
      </c>
      <c r="E22" s="621">
        <v>0</v>
      </c>
      <c r="F22" s="621">
        <v>0</v>
      </c>
      <c r="G22" s="621">
        <v>0</v>
      </c>
      <c r="H22" s="621">
        <v>0</v>
      </c>
      <c r="I22" s="621">
        <v>0</v>
      </c>
      <c r="J22" s="621">
        <v>0</v>
      </c>
      <c r="K22" s="621">
        <v>0</v>
      </c>
      <c r="L22" s="621">
        <v>0</v>
      </c>
      <c r="M22" s="621">
        <v>0</v>
      </c>
      <c r="N22" s="373">
        <v>0</v>
      </c>
      <c r="O22" s="619">
        <f t="shared" si="1"/>
        <v>0</v>
      </c>
      <c r="Q22" s="121" t="s">
        <v>17</v>
      </c>
      <c r="R22" s="310">
        <f t="shared" si="3"/>
        <v>0</v>
      </c>
      <c r="S22" s="257" t="str">
        <f t="shared" si="4"/>
        <v>CFG - FTS-3.1 - Fixed R</v>
      </c>
      <c r="T22" s="121" t="s">
        <v>168</v>
      </c>
    </row>
    <row r="23" spans="2:20">
      <c r="B23" s="622" t="s">
        <v>169</v>
      </c>
      <c r="C23" s="619">
        <v>286</v>
      </c>
      <c r="D23" s="619">
        <v>286</v>
      </c>
      <c r="E23" s="619">
        <v>284</v>
      </c>
      <c r="F23" s="619">
        <v>286</v>
      </c>
      <c r="G23" s="619">
        <v>285</v>
      </c>
      <c r="H23" s="619">
        <v>282</v>
      </c>
      <c r="I23" s="619">
        <v>282</v>
      </c>
      <c r="J23" s="619">
        <v>281</v>
      </c>
      <c r="K23" s="619">
        <v>278</v>
      </c>
      <c r="L23" s="619">
        <v>278</v>
      </c>
      <c r="M23" s="619">
        <v>277</v>
      </c>
      <c r="N23" s="623">
        <f>SUM(N16:N22)</f>
        <v>281</v>
      </c>
      <c r="O23" s="619">
        <f t="shared" si="1"/>
        <v>3386</v>
      </c>
    </row>
    <row r="24" spans="2:20">
      <c r="B24" s="320" t="s">
        <v>170</v>
      </c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6"/>
      <c r="O24" s="619">
        <f t="shared" si="1"/>
        <v>0</v>
      </c>
    </row>
    <row r="25" spans="2:20">
      <c r="B25" s="617" t="s">
        <v>114</v>
      </c>
      <c r="C25" s="618">
        <v>11</v>
      </c>
      <c r="D25" s="618">
        <v>11</v>
      </c>
      <c r="E25" s="618">
        <v>11</v>
      </c>
      <c r="F25" s="618">
        <v>11</v>
      </c>
      <c r="G25" s="618">
        <v>11</v>
      </c>
      <c r="H25" s="618">
        <v>11</v>
      </c>
      <c r="I25" s="618">
        <v>11</v>
      </c>
      <c r="J25" s="618">
        <v>11</v>
      </c>
      <c r="K25" s="618">
        <v>11</v>
      </c>
      <c r="L25" s="618">
        <v>11</v>
      </c>
      <c r="M25" s="618">
        <v>11</v>
      </c>
      <c r="N25" s="386">
        <v>11</v>
      </c>
      <c r="O25" s="619">
        <f t="shared" si="1"/>
        <v>132</v>
      </c>
      <c r="Q25" s="121" t="s">
        <v>17</v>
      </c>
      <c r="R25" s="310">
        <f t="shared" ref="R25:R47" si="5">+SUM(C25:N25)</f>
        <v>132</v>
      </c>
      <c r="S25" s="257" t="str">
        <f t="shared" ref="S25:S31" si="6">CONCATENATE(Q25," - ",B25," NR")</f>
        <v>CFG - FTS-A NR</v>
      </c>
    </row>
    <row r="26" spans="2:20">
      <c r="B26" s="617" t="s">
        <v>115</v>
      </c>
      <c r="C26" s="618">
        <v>7</v>
      </c>
      <c r="D26" s="618">
        <v>7</v>
      </c>
      <c r="E26" s="618">
        <v>7</v>
      </c>
      <c r="F26" s="618">
        <v>7</v>
      </c>
      <c r="G26" s="618">
        <v>7</v>
      </c>
      <c r="H26" s="618">
        <v>6</v>
      </c>
      <c r="I26" s="618">
        <v>6</v>
      </c>
      <c r="J26" s="618">
        <v>6</v>
      </c>
      <c r="K26" s="618">
        <v>6</v>
      </c>
      <c r="L26" s="618">
        <v>6</v>
      </c>
      <c r="M26" s="618">
        <v>6</v>
      </c>
      <c r="N26" s="386">
        <v>6</v>
      </c>
      <c r="O26" s="619">
        <f t="shared" si="1"/>
        <v>77</v>
      </c>
      <c r="Q26" s="121" t="s">
        <v>17</v>
      </c>
      <c r="R26" s="310">
        <f t="shared" si="5"/>
        <v>77</v>
      </c>
      <c r="S26" s="257" t="str">
        <f t="shared" si="6"/>
        <v>CFG - FTS-B NR</v>
      </c>
    </row>
    <row r="27" spans="2:20">
      <c r="B27" s="617" t="s">
        <v>116</v>
      </c>
      <c r="C27" s="618">
        <v>230</v>
      </c>
      <c r="D27" s="618">
        <v>228</v>
      </c>
      <c r="E27" s="618">
        <v>228</v>
      </c>
      <c r="F27" s="618">
        <v>227</v>
      </c>
      <c r="G27" s="618">
        <v>227</v>
      </c>
      <c r="H27" s="618">
        <v>227</v>
      </c>
      <c r="I27" s="618">
        <v>225</v>
      </c>
      <c r="J27" s="618">
        <v>226</v>
      </c>
      <c r="K27" s="618">
        <v>223</v>
      </c>
      <c r="L27" s="618">
        <v>222</v>
      </c>
      <c r="M27" s="618">
        <v>226</v>
      </c>
      <c r="N27" s="386">
        <v>223</v>
      </c>
      <c r="O27" s="619">
        <f t="shared" si="1"/>
        <v>2712</v>
      </c>
      <c r="Q27" s="121" t="s">
        <v>17</v>
      </c>
      <c r="R27" s="310">
        <f t="shared" si="5"/>
        <v>2712</v>
      </c>
      <c r="S27" s="257" t="str">
        <f t="shared" si="6"/>
        <v>CFG - FTS-1 NR</v>
      </c>
    </row>
    <row r="28" spans="2:20">
      <c r="B28" s="617" t="s">
        <v>117</v>
      </c>
      <c r="C28" s="618">
        <v>102</v>
      </c>
      <c r="D28" s="618">
        <v>99</v>
      </c>
      <c r="E28" s="618">
        <v>99</v>
      </c>
      <c r="F28" s="618">
        <v>99</v>
      </c>
      <c r="G28" s="618">
        <v>98</v>
      </c>
      <c r="H28" s="618">
        <v>98</v>
      </c>
      <c r="I28" s="618">
        <v>97</v>
      </c>
      <c r="J28" s="618">
        <v>96</v>
      </c>
      <c r="K28" s="618">
        <v>97</v>
      </c>
      <c r="L28" s="618">
        <v>98</v>
      </c>
      <c r="M28" s="618">
        <v>96</v>
      </c>
      <c r="N28" s="386">
        <v>96</v>
      </c>
      <c r="O28" s="619">
        <f t="shared" si="1"/>
        <v>1175</v>
      </c>
      <c r="Q28" s="121" t="s">
        <v>17</v>
      </c>
      <c r="R28" s="310">
        <f t="shared" si="5"/>
        <v>1175</v>
      </c>
      <c r="S28" s="257" t="str">
        <f t="shared" si="6"/>
        <v>CFG - FTS-2 NR</v>
      </c>
    </row>
    <row r="29" spans="2:20">
      <c r="B29" s="617" t="s">
        <v>118</v>
      </c>
      <c r="C29" s="618">
        <v>215</v>
      </c>
      <c r="D29" s="618">
        <v>214</v>
      </c>
      <c r="E29" s="618">
        <v>215</v>
      </c>
      <c r="F29" s="618">
        <v>217</v>
      </c>
      <c r="G29" s="618">
        <v>219</v>
      </c>
      <c r="H29" s="618">
        <v>220</v>
      </c>
      <c r="I29" s="618">
        <v>220</v>
      </c>
      <c r="J29" s="618">
        <v>221</v>
      </c>
      <c r="K29" s="618">
        <v>221</v>
      </c>
      <c r="L29" s="618">
        <v>223</v>
      </c>
      <c r="M29" s="618">
        <v>224</v>
      </c>
      <c r="N29" s="386">
        <v>223</v>
      </c>
      <c r="O29" s="619">
        <f t="shared" si="1"/>
        <v>2632</v>
      </c>
      <c r="Q29" s="121" t="s">
        <v>17</v>
      </c>
      <c r="R29" s="310">
        <f t="shared" si="5"/>
        <v>2632</v>
      </c>
      <c r="S29" s="257" t="str">
        <f t="shared" si="6"/>
        <v>CFG - FTS-2.1 NR</v>
      </c>
    </row>
    <row r="30" spans="2:20">
      <c r="B30" s="620" t="s">
        <v>119</v>
      </c>
      <c r="C30" s="618">
        <v>282</v>
      </c>
      <c r="D30" s="618">
        <v>286</v>
      </c>
      <c r="E30" s="618">
        <v>285</v>
      </c>
      <c r="F30" s="618">
        <v>287</v>
      </c>
      <c r="G30" s="618">
        <v>288</v>
      </c>
      <c r="H30" s="618">
        <v>287</v>
      </c>
      <c r="I30" s="618">
        <v>287</v>
      </c>
      <c r="J30" s="618">
        <v>291</v>
      </c>
      <c r="K30" s="618">
        <v>290</v>
      </c>
      <c r="L30" s="618">
        <v>293</v>
      </c>
      <c r="M30" s="618">
        <v>294</v>
      </c>
      <c r="N30" s="386">
        <v>297</v>
      </c>
      <c r="O30" s="619">
        <f t="shared" si="1"/>
        <v>3467</v>
      </c>
      <c r="Q30" s="121" t="s">
        <v>17</v>
      </c>
      <c r="R30" s="310">
        <f t="shared" si="5"/>
        <v>3467</v>
      </c>
      <c r="S30" s="257" t="str">
        <f t="shared" si="6"/>
        <v>CFG - FTS-3 NR</v>
      </c>
    </row>
    <row r="31" spans="2:20">
      <c r="B31" s="620" t="s">
        <v>120</v>
      </c>
      <c r="C31" s="618">
        <v>335</v>
      </c>
      <c r="D31" s="618">
        <v>336</v>
      </c>
      <c r="E31" s="618">
        <v>337</v>
      </c>
      <c r="F31" s="618">
        <v>334</v>
      </c>
      <c r="G31" s="618">
        <v>333</v>
      </c>
      <c r="H31" s="618">
        <v>335</v>
      </c>
      <c r="I31" s="618">
        <v>328</v>
      </c>
      <c r="J31" s="618">
        <v>330</v>
      </c>
      <c r="K31" s="618">
        <v>333</v>
      </c>
      <c r="L31" s="618">
        <v>331</v>
      </c>
      <c r="M31" s="618">
        <v>331</v>
      </c>
      <c r="N31" s="386">
        <v>337</v>
      </c>
      <c r="O31" s="619">
        <f t="shared" si="1"/>
        <v>4000</v>
      </c>
      <c r="Q31" s="121" t="s">
        <v>17</v>
      </c>
      <c r="R31" s="310">
        <f t="shared" si="5"/>
        <v>4000</v>
      </c>
      <c r="S31" s="257" t="str">
        <f t="shared" si="6"/>
        <v>CFG - FTS-3.1 NR</v>
      </c>
    </row>
    <row r="32" spans="2:20">
      <c r="B32" s="620" t="s">
        <v>121</v>
      </c>
      <c r="C32" s="618">
        <v>211</v>
      </c>
      <c r="D32" s="618">
        <v>210</v>
      </c>
      <c r="E32" s="618">
        <v>211</v>
      </c>
      <c r="F32" s="618">
        <v>213</v>
      </c>
      <c r="G32" s="618">
        <v>213</v>
      </c>
      <c r="H32" s="618">
        <v>213</v>
      </c>
      <c r="I32" s="618">
        <v>214</v>
      </c>
      <c r="J32" s="618">
        <v>214</v>
      </c>
      <c r="K32" s="618">
        <v>215</v>
      </c>
      <c r="L32" s="618">
        <v>216</v>
      </c>
      <c r="M32" s="618">
        <v>214</v>
      </c>
      <c r="N32" s="386">
        <v>212</v>
      </c>
      <c r="O32" s="619">
        <f t="shared" si="1"/>
        <v>2556</v>
      </c>
      <c r="Q32" s="121" t="s">
        <v>17</v>
      </c>
      <c r="R32" s="310">
        <f t="shared" si="5"/>
        <v>2556</v>
      </c>
      <c r="S32" s="257" t="str">
        <f t="shared" ref="S32:S47" si="7">CONCATENATE(Q32," - ",B32)</f>
        <v>CFG - FTS-4</v>
      </c>
    </row>
    <row r="33" spans="2:19">
      <c r="B33" s="620" t="s">
        <v>142</v>
      </c>
      <c r="C33" s="618">
        <v>36</v>
      </c>
      <c r="D33" s="618">
        <v>36</v>
      </c>
      <c r="E33" s="618">
        <v>36</v>
      </c>
      <c r="F33" s="618">
        <v>36</v>
      </c>
      <c r="G33" s="618">
        <v>36</v>
      </c>
      <c r="H33" s="618">
        <v>36</v>
      </c>
      <c r="I33" s="618">
        <v>35</v>
      </c>
      <c r="J33" s="618">
        <v>36</v>
      </c>
      <c r="K33" s="618">
        <v>36</v>
      </c>
      <c r="L33" s="618">
        <v>36</v>
      </c>
      <c r="M33" s="618">
        <v>36</v>
      </c>
      <c r="N33" s="386">
        <v>37</v>
      </c>
      <c r="O33" s="619">
        <f t="shared" si="1"/>
        <v>432</v>
      </c>
      <c r="Q33" s="121" t="s">
        <v>17</v>
      </c>
      <c r="R33" s="310">
        <f t="shared" si="5"/>
        <v>432</v>
      </c>
      <c r="S33" s="257" t="str">
        <f t="shared" si="7"/>
        <v>CFG - FTS-5</v>
      </c>
    </row>
    <row r="34" spans="2:19">
      <c r="B34" s="620" t="s">
        <v>143</v>
      </c>
      <c r="C34" s="618">
        <v>28</v>
      </c>
      <c r="D34" s="618">
        <v>29</v>
      </c>
      <c r="E34" s="618">
        <v>28</v>
      </c>
      <c r="F34" s="618">
        <v>30</v>
      </c>
      <c r="G34" s="618">
        <v>30</v>
      </c>
      <c r="H34" s="618">
        <v>30</v>
      </c>
      <c r="I34" s="618">
        <v>30</v>
      </c>
      <c r="J34" s="618">
        <v>31</v>
      </c>
      <c r="K34" s="618">
        <v>30</v>
      </c>
      <c r="L34" s="618">
        <v>31</v>
      </c>
      <c r="M34" s="618">
        <v>32</v>
      </c>
      <c r="N34" s="386">
        <v>31</v>
      </c>
      <c r="O34" s="619">
        <f t="shared" si="1"/>
        <v>360</v>
      </c>
      <c r="Q34" s="121" t="s">
        <v>17</v>
      </c>
      <c r="R34" s="310">
        <f t="shared" si="5"/>
        <v>360</v>
      </c>
      <c r="S34" s="257" t="str">
        <f t="shared" si="7"/>
        <v>CFG - FTS-6</v>
      </c>
    </row>
    <row r="35" spans="2:19">
      <c r="B35" s="620" t="s">
        <v>144</v>
      </c>
      <c r="C35" s="618">
        <v>26</v>
      </c>
      <c r="D35" s="618">
        <v>26</v>
      </c>
      <c r="E35" s="618">
        <v>26</v>
      </c>
      <c r="F35" s="618">
        <v>26</v>
      </c>
      <c r="G35" s="618">
        <v>26</v>
      </c>
      <c r="H35" s="618">
        <v>26</v>
      </c>
      <c r="I35" s="618">
        <v>26</v>
      </c>
      <c r="J35" s="618">
        <v>26</v>
      </c>
      <c r="K35" s="618">
        <v>26</v>
      </c>
      <c r="L35" s="618">
        <v>26</v>
      </c>
      <c r="M35" s="618">
        <v>26</v>
      </c>
      <c r="N35" s="386">
        <v>26</v>
      </c>
      <c r="O35" s="619">
        <f t="shared" si="1"/>
        <v>312</v>
      </c>
      <c r="Q35" s="121" t="s">
        <v>17</v>
      </c>
      <c r="R35" s="310">
        <f t="shared" si="5"/>
        <v>312</v>
      </c>
      <c r="S35" s="257" t="str">
        <f t="shared" si="7"/>
        <v>CFG - FTS-7</v>
      </c>
    </row>
    <row r="36" spans="2:19">
      <c r="B36" s="620" t="s">
        <v>145</v>
      </c>
      <c r="C36" s="618">
        <v>17</v>
      </c>
      <c r="D36" s="618">
        <v>17</v>
      </c>
      <c r="E36" s="618">
        <v>17</v>
      </c>
      <c r="F36" s="618">
        <v>17</v>
      </c>
      <c r="G36" s="618">
        <v>17</v>
      </c>
      <c r="H36" s="618">
        <v>17</v>
      </c>
      <c r="I36" s="618">
        <v>17</v>
      </c>
      <c r="J36" s="618">
        <v>17</v>
      </c>
      <c r="K36" s="618">
        <v>17</v>
      </c>
      <c r="L36" s="618">
        <v>17</v>
      </c>
      <c r="M36" s="618">
        <v>17</v>
      </c>
      <c r="N36" s="386">
        <v>17</v>
      </c>
      <c r="O36" s="619">
        <f t="shared" si="1"/>
        <v>204</v>
      </c>
      <c r="Q36" s="121" t="s">
        <v>17</v>
      </c>
      <c r="R36" s="310">
        <f t="shared" si="5"/>
        <v>204</v>
      </c>
      <c r="S36" s="257" t="str">
        <f t="shared" si="7"/>
        <v>CFG - FTS-8</v>
      </c>
    </row>
    <row r="37" spans="2:19">
      <c r="B37" s="620" t="s">
        <v>146</v>
      </c>
      <c r="C37" s="618">
        <v>6</v>
      </c>
      <c r="D37" s="618">
        <v>6</v>
      </c>
      <c r="E37" s="618">
        <v>6</v>
      </c>
      <c r="F37" s="618">
        <v>6</v>
      </c>
      <c r="G37" s="618">
        <v>6</v>
      </c>
      <c r="H37" s="618">
        <v>7</v>
      </c>
      <c r="I37" s="618">
        <v>8</v>
      </c>
      <c r="J37" s="618">
        <v>8</v>
      </c>
      <c r="K37" s="618">
        <v>8</v>
      </c>
      <c r="L37" s="618">
        <v>8</v>
      </c>
      <c r="M37" s="618">
        <v>8</v>
      </c>
      <c r="N37" s="386">
        <v>8</v>
      </c>
      <c r="O37" s="619">
        <f t="shared" si="1"/>
        <v>85</v>
      </c>
      <c r="Q37" s="121" t="s">
        <v>17</v>
      </c>
      <c r="R37" s="310">
        <f t="shared" si="5"/>
        <v>85</v>
      </c>
      <c r="S37" s="257" t="str">
        <f t="shared" si="7"/>
        <v>CFG - FTS-9</v>
      </c>
    </row>
    <row r="38" spans="2:19">
      <c r="B38" s="620" t="s">
        <v>147</v>
      </c>
      <c r="C38" s="618">
        <v>3</v>
      </c>
      <c r="D38" s="618">
        <v>3</v>
      </c>
      <c r="E38" s="618">
        <v>3</v>
      </c>
      <c r="F38" s="618">
        <v>3</v>
      </c>
      <c r="G38" s="618">
        <v>3</v>
      </c>
      <c r="H38" s="618">
        <v>3</v>
      </c>
      <c r="I38" s="618">
        <v>3</v>
      </c>
      <c r="J38" s="618">
        <v>3</v>
      </c>
      <c r="K38" s="618">
        <v>3</v>
      </c>
      <c r="L38" s="618">
        <v>3</v>
      </c>
      <c r="M38" s="618">
        <v>3</v>
      </c>
      <c r="N38" s="386">
        <v>3</v>
      </c>
      <c r="O38" s="619">
        <f t="shared" si="1"/>
        <v>36</v>
      </c>
      <c r="Q38" s="121" t="s">
        <v>17</v>
      </c>
      <c r="R38" s="310">
        <f t="shared" si="5"/>
        <v>36</v>
      </c>
      <c r="S38" s="257" t="str">
        <f t="shared" si="7"/>
        <v>CFG - FTS-10</v>
      </c>
    </row>
    <row r="39" spans="2:19">
      <c r="B39" s="620" t="s">
        <v>148</v>
      </c>
      <c r="C39" s="618">
        <v>1</v>
      </c>
      <c r="D39" s="618">
        <v>1</v>
      </c>
      <c r="E39" s="618">
        <v>1</v>
      </c>
      <c r="F39" s="618">
        <v>1</v>
      </c>
      <c r="G39" s="618">
        <v>1</v>
      </c>
      <c r="H39" s="618">
        <v>1</v>
      </c>
      <c r="I39" s="618">
        <v>1</v>
      </c>
      <c r="J39" s="618">
        <v>1</v>
      </c>
      <c r="K39" s="618">
        <v>1</v>
      </c>
      <c r="L39" s="618">
        <v>1</v>
      </c>
      <c r="M39" s="618">
        <v>1</v>
      </c>
      <c r="N39" s="386">
        <v>1</v>
      </c>
      <c r="O39" s="619">
        <f t="shared" si="1"/>
        <v>12</v>
      </c>
      <c r="Q39" s="121" t="s">
        <v>17</v>
      </c>
      <c r="R39" s="310">
        <f t="shared" si="5"/>
        <v>12</v>
      </c>
      <c r="S39" s="257" t="str">
        <f t="shared" si="7"/>
        <v>CFG - FTS-11</v>
      </c>
    </row>
    <row r="40" spans="2:19">
      <c r="B40" s="620" t="s">
        <v>149</v>
      </c>
      <c r="C40" s="618">
        <v>5</v>
      </c>
      <c r="D40" s="618">
        <v>5</v>
      </c>
      <c r="E40" s="618">
        <v>5</v>
      </c>
      <c r="F40" s="618">
        <v>5</v>
      </c>
      <c r="G40" s="618">
        <v>5</v>
      </c>
      <c r="H40" s="618">
        <v>5</v>
      </c>
      <c r="I40" s="618">
        <v>5</v>
      </c>
      <c r="J40" s="618">
        <v>5</v>
      </c>
      <c r="K40" s="618">
        <v>5</v>
      </c>
      <c r="L40" s="618">
        <v>5</v>
      </c>
      <c r="M40" s="618">
        <v>5</v>
      </c>
      <c r="N40" s="386">
        <v>5</v>
      </c>
      <c r="O40" s="619">
        <f t="shared" si="1"/>
        <v>60</v>
      </c>
      <c r="Q40" s="121" t="s">
        <v>17</v>
      </c>
      <c r="R40" s="310">
        <f t="shared" si="5"/>
        <v>60</v>
      </c>
      <c r="S40" s="257" t="str">
        <f t="shared" si="7"/>
        <v>CFG - FTS-12</v>
      </c>
    </row>
    <row r="41" spans="2:19">
      <c r="B41" s="620" t="s">
        <v>150</v>
      </c>
      <c r="C41" s="618">
        <v>1</v>
      </c>
      <c r="D41" s="618">
        <v>1</v>
      </c>
      <c r="E41" s="618">
        <v>1</v>
      </c>
      <c r="F41" s="618">
        <v>1</v>
      </c>
      <c r="G41" s="618">
        <v>1</v>
      </c>
      <c r="H41" s="618">
        <v>1</v>
      </c>
      <c r="I41" s="618">
        <v>1</v>
      </c>
      <c r="J41" s="618">
        <v>1</v>
      </c>
      <c r="K41" s="618">
        <v>1</v>
      </c>
      <c r="L41" s="618">
        <v>1</v>
      </c>
      <c r="M41" s="618">
        <v>1</v>
      </c>
      <c r="N41" s="386">
        <v>1</v>
      </c>
      <c r="O41" s="619">
        <f t="shared" si="1"/>
        <v>12</v>
      </c>
      <c r="Q41" s="121" t="s">
        <v>17</v>
      </c>
      <c r="R41" s="310">
        <f t="shared" si="5"/>
        <v>12</v>
      </c>
      <c r="S41" s="257" t="str">
        <f t="shared" si="7"/>
        <v>CFG - FTS-NGV</v>
      </c>
    </row>
    <row r="42" spans="2:19">
      <c r="B42" s="620" t="s">
        <v>113</v>
      </c>
      <c r="C42" s="618">
        <v>889</v>
      </c>
      <c r="D42" s="618">
        <v>886</v>
      </c>
      <c r="E42" s="618">
        <v>890</v>
      </c>
      <c r="F42" s="618">
        <v>884</v>
      </c>
      <c r="G42" s="618">
        <v>879</v>
      </c>
      <c r="H42" s="618">
        <v>876</v>
      </c>
      <c r="I42" s="618">
        <v>883</v>
      </c>
      <c r="J42" s="618">
        <v>891</v>
      </c>
      <c r="K42" s="618">
        <v>883</v>
      </c>
      <c r="L42" s="618">
        <v>866</v>
      </c>
      <c r="M42" s="618">
        <v>853</v>
      </c>
      <c r="N42" s="386">
        <v>862</v>
      </c>
      <c r="O42" s="619">
        <f t="shared" si="1"/>
        <v>10542</v>
      </c>
      <c r="Q42" s="121" t="s">
        <v>16</v>
      </c>
      <c r="R42" s="310">
        <f t="shared" si="5"/>
        <v>10542</v>
      </c>
      <c r="S42" s="257" t="str">
        <f t="shared" si="7"/>
        <v>FPU - FPU - GS - 1</v>
      </c>
    </row>
    <row r="43" spans="2:19">
      <c r="B43" s="620" t="s">
        <v>173</v>
      </c>
      <c r="C43" s="618">
        <v>365</v>
      </c>
      <c r="D43" s="618">
        <v>370</v>
      </c>
      <c r="E43" s="618">
        <v>382</v>
      </c>
      <c r="F43" s="618">
        <v>380</v>
      </c>
      <c r="G43" s="618">
        <v>372</v>
      </c>
      <c r="H43" s="618">
        <v>368</v>
      </c>
      <c r="I43" s="618">
        <v>368</v>
      </c>
      <c r="J43" s="618">
        <v>372</v>
      </c>
      <c r="K43" s="618">
        <v>378</v>
      </c>
      <c r="L43" s="618">
        <v>407</v>
      </c>
      <c r="M43" s="618">
        <v>400</v>
      </c>
      <c r="N43" s="386">
        <v>399</v>
      </c>
      <c r="O43" s="619">
        <f t="shared" si="1"/>
        <v>4561</v>
      </c>
      <c r="Q43" s="121" t="s">
        <v>16</v>
      </c>
      <c r="R43" s="310">
        <f>+SUM(C43:N43)</f>
        <v>4561</v>
      </c>
      <c r="S43" s="257" t="str">
        <f t="shared" si="7"/>
        <v>FPU - FPU - GSTS - 1</v>
      </c>
    </row>
    <row r="44" spans="2:19">
      <c r="B44" s="620" t="s">
        <v>175</v>
      </c>
      <c r="C44" s="618">
        <v>2198</v>
      </c>
      <c r="D44" s="618">
        <v>2195</v>
      </c>
      <c r="E44" s="618">
        <v>2193</v>
      </c>
      <c r="F44" s="618">
        <v>2197</v>
      </c>
      <c r="G44" s="618">
        <v>2197</v>
      </c>
      <c r="H44" s="618">
        <v>2214</v>
      </c>
      <c r="I44" s="618">
        <v>2199</v>
      </c>
      <c r="J44" s="618">
        <v>2181</v>
      </c>
      <c r="K44" s="618">
        <v>2145</v>
      </c>
      <c r="L44" s="618">
        <v>2162</v>
      </c>
      <c r="M44" s="618">
        <v>2166</v>
      </c>
      <c r="N44" s="386">
        <v>2168</v>
      </c>
      <c r="O44" s="619">
        <f t="shared" si="1"/>
        <v>26215</v>
      </c>
      <c r="Q44" s="121" t="s">
        <v>16</v>
      </c>
      <c r="R44" s="310">
        <f t="shared" si="5"/>
        <v>26215</v>
      </c>
      <c r="S44" s="257" t="str">
        <f t="shared" si="7"/>
        <v>FPU - FPU - GS - 2</v>
      </c>
    </row>
    <row r="45" spans="2:19">
      <c r="B45" s="620" t="s">
        <v>176</v>
      </c>
      <c r="C45" s="618">
        <v>828</v>
      </c>
      <c r="D45" s="618">
        <v>825</v>
      </c>
      <c r="E45" s="618">
        <v>816</v>
      </c>
      <c r="F45" s="618">
        <v>825</v>
      </c>
      <c r="G45" s="618">
        <v>836</v>
      </c>
      <c r="H45" s="618">
        <v>835</v>
      </c>
      <c r="I45" s="618">
        <v>844</v>
      </c>
      <c r="J45" s="618">
        <v>848</v>
      </c>
      <c r="K45" s="618">
        <v>855</v>
      </c>
      <c r="L45" s="618">
        <v>848</v>
      </c>
      <c r="M45" s="618">
        <v>859</v>
      </c>
      <c r="N45" s="386">
        <v>865</v>
      </c>
      <c r="O45" s="619">
        <f t="shared" si="1"/>
        <v>10084</v>
      </c>
      <c r="Q45" s="121" t="s">
        <v>16</v>
      </c>
      <c r="R45" s="310">
        <f t="shared" si="5"/>
        <v>10084</v>
      </c>
      <c r="S45" s="257" t="str">
        <f t="shared" si="7"/>
        <v>FPU - FPU - GSTS - 2</v>
      </c>
    </row>
    <row r="46" spans="2:19">
      <c r="B46" s="620" t="s">
        <v>177</v>
      </c>
      <c r="C46" s="618">
        <v>265</v>
      </c>
      <c r="D46" s="618">
        <v>264</v>
      </c>
      <c r="E46" s="618">
        <v>264</v>
      </c>
      <c r="F46" s="618">
        <v>264</v>
      </c>
      <c r="G46" s="618">
        <v>265</v>
      </c>
      <c r="H46" s="618">
        <v>268</v>
      </c>
      <c r="I46" s="618">
        <v>267</v>
      </c>
      <c r="J46" s="618">
        <v>267</v>
      </c>
      <c r="K46" s="618">
        <v>285</v>
      </c>
      <c r="L46" s="618">
        <v>269</v>
      </c>
      <c r="M46" s="618">
        <v>277</v>
      </c>
      <c r="N46" s="386">
        <v>281</v>
      </c>
      <c r="O46" s="619">
        <f t="shared" si="1"/>
        <v>3236</v>
      </c>
      <c r="Q46" s="121" t="s">
        <v>16</v>
      </c>
      <c r="R46" s="310">
        <f t="shared" si="5"/>
        <v>3236</v>
      </c>
      <c r="S46" s="257" t="str">
        <f t="shared" si="7"/>
        <v>FPU - FPU - CS - GS</v>
      </c>
    </row>
    <row r="47" spans="2:19">
      <c r="B47" s="620" t="s">
        <v>178</v>
      </c>
      <c r="C47" s="618">
        <v>670</v>
      </c>
      <c r="D47" s="618">
        <v>673</v>
      </c>
      <c r="E47" s="618">
        <v>670</v>
      </c>
      <c r="F47" s="618">
        <v>665</v>
      </c>
      <c r="G47" s="618">
        <v>649</v>
      </c>
      <c r="H47" s="618">
        <v>655</v>
      </c>
      <c r="I47" s="618">
        <v>654</v>
      </c>
      <c r="J47" s="618">
        <v>650</v>
      </c>
      <c r="K47" s="618">
        <v>647</v>
      </c>
      <c r="L47" s="618">
        <v>649</v>
      </c>
      <c r="M47" s="618">
        <v>656</v>
      </c>
      <c r="N47" s="386">
        <v>663</v>
      </c>
      <c r="O47" s="619">
        <f t="shared" si="1"/>
        <v>7901</v>
      </c>
      <c r="Q47" s="121" t="s">
        <v>16</v>
      </c>
      <c r="R47" s="310">
        <f t="shared" si="5"/>
        <v>7901</v>
      </c>
      <c r="S47" s="257" t="str">
        <f t="shared" si="7"/>
        <v>FPU - FPU - LVS</v>
      </c>
    </row>
    <row r="48" spans="2:19">
      <c r="B48" s="627" t="s">
        <v>979</v>
      </c>
      <c r="C48" s="618"/>
      <c r="D48" s="618"/>
      <c r="E48" s="618"/>
      <c r="F48" s="618"/>
      <c r="G48" s="618"/>
      <c r="H48" s="618"/>
      <c r="I48" s="618"/>
      <c r="J48" s="618"/>
      <c r="K48" s="618"/>
      <c r="L48" s="618"/>
      <c r="M48" s="618"/>
      <c r="N48" s="386"/>
      <c r="O48" s="619">
        <f t="shared" si="1"/>
        <v>0</v>
      </c>
      <c r="Q48" s="121"/>
      <c r="R48" s="310"/>
      <c r="S48" s="257"/>
    </row>
    <row r="49" spans="2:19">
      <c r="B49" s="620" t="s">
        <v>180</v>
      </c>
      <c r="C49" s="618">
        <v>0</v>
      </c>
      <c r="D49" s="618">
        <v>0</v>
      </c>
      <c r="E49" s="618">
        <v>0</v>
      </c>
      <c r="F49" s="618">
        <v>0</v>
      </c>
      <c r="G49" s="618">
        <v>0</v>
      </c>
      <c r="H49" s="618">
        <v>0</v>
      </c>
      <c r="I49" s="618">
        <v>0</v>
      </c>
      <c r="J49" s="618">
        <v>0</v>
      </c>
      <c r="K49" s="618">
        <v>0</v>
      </c>
      <c r="L49" s="618">
        <v>0</v>
      </c>
      <c r="M49" s="618">
        <v>0</v>
      </c>
      <c r="N49" s="386">
        <v>0</v>
      </c>
      <c r="O49" s="619">
        <f t="shared" si="1"/>
        <v>0</v>
      </c>
      <c r="Q49" s="121" t="s">
        <v>16</v>
      </c>
      <c r="R49" s="310">
        <f>+SUM(C49:N49)</f>
        <v>0</v>
      </c>
      <c r="S49" s="257" t="str">
        <f>CONCATENATE(Q49," - ",B49)</f>
        <v>FPU - FPU - LVTS &lt;50k</v>
      </c>
    </row>
    <row r="50" spans="2:19">
      <c r="B50" s="620" t="s">
        <v>181</v>
      </c>
      <c r="C50" s="618">
        <v>1259</v>
      </c>
      <c r="D50" s="618">
        <v>1254</v>
      </c>
      <c r="E50" s="618">
        <v>1263</v>
      </c>
      <c r="F50" s="618">
        <v>1269</v>
      </c>
      <c r="G50" s="618">
        <v>1273</v>
      </c>
      <c r="H50" s="618">
        <v>1267</v>
      </c>
      <c r="I50" s="618">
        <v>1275</v>
      </c>
      <c r="J50" s="618">
        <v>1277</v>
      </c>
      <c r="K50" s="618">
        <v>1282</v>
      </c>
      <c r="L50" s="618">
        <v>1284</v>
      </c>
      <c r="M50" s="618">
        <v>1284</v>
      </c>
      <c r="N50" s="386">
        <v>1282</v>
      </c>
      <c r="O50" s="619">
        <f t="shared" si="1"/>
        <v>15269</v>
      </c>
      <c r="Q50" s="121" t="s">
        <v>16</v>
      </c>
      <c r="R50" s="310">
        <f>+SUM(C50:N50)</f>
        <v>15269</v>
      </c>
      <c r="S50" s="257" t="str">
        <f>CONCATENATE(Q50," - ",B50)</f>
        <v>FPU - FPU - LVTS &gt;50k</v>
      </c>
    </row>
    <row r="51" spans="2:19">
      <c r="B51" s="627" t="s">
        <v>980</v>
      </c>
      <c r="C51" s="618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386"/>
      <c r="O51" s="619">
        <f t="shared" si="1"/>
        <v>0</v>
      </c>
      <c r="Q51" s="121"/>
      <c r="R51" s="310"/>
      <c r="S51" s="257"/>
    </row>
    <row r="52" spans="2:19">
      <c r="B52" s="620" t="s">
        <v>183</v>
      </c>
      <c r="C52" s="618">
        <v>0</v>
      </c>
      <c r="D52" s="618">
        <v>0</v>
      </c>
      <c r="E52" s="618">
        <v>0</v>
      </c>
      <c r="F52" s="618">
        <v>0</v>
      </c>
      <c r="G52" s="618">
        <v>0</v>
      </c>
      <c r="H52" s="618">
        <v>0</v>
      </c>
      <c r="I52" s="618">
        <v>0</v>
      </c>
      <c r="J52" s="618">
        <v>0</v>
      </c>
      <c r="K52" s="618">
        <v>0</v>
      </c>
      <c r="L52" s="618">
        <v>0</v>
      </c>
      <c r="M52" s="618">
        <v>0</v>
      </c>
      <c r="N52" s="386">
        <v>0</v>
      </c>
      <c r="O52" s="619">
        <f t="shared" si="1"/>
        <v>0</v>
      </c>
      <c r="Q52" s="121" t="s">
        <v>16</v>
      </c>
      <c r="R52" s="310">
        <f>+SUM(C52:N52)</f>
        <v>0</v>
      </c>
      <c r="S52" s="257" t="str">
        <f>CONCATENATE(Q52," - ",B52)</f>
        <v>FPU - FPU - IS</v>
      </c>
    </row>
    <row r="53" spans="2:19">
      <c r="B53" s="620" t="s">
        <v>184</v>
      </c>
      <c r="C53" s="618">
        <v>18</v>
      </c>
      <c r="D53" s="618">
        <v>18</v>
      </c>
      <c r="E53" s="618">
        <v>19</v>
      </c>
      <c r="F53" s="618">
        <v>17</v>
      </c>
      <c r="G53" s="618">
        <v>18</v>
      </c>
      <c r="H53" s="618">
        <v>18</v>
      </c>
      <c r="I53" s="618">
        <v>18</v>
      </c>
      <c r="J53" s="618">
        <v>18</v>
      </c>
      <c r="K53" s="618">
        <v>18</v>
      </c>
      <c r="L53" s="618">
        <v>18</v>
      </c>
      <c r="M53" s="618">
        <v>18</v>
      </c>
      <c r="N53" s="386">
        <v>18</v>
      </c>
      <c r="O53" s="619">
        <f t="shared" si="1"/>
        <v>216</v>
      </c>
      <c r="Q53" s="121" t="s">
        <v>16</v>
      </c>
      <c r="R53" s="310">
        <f>+SUM(C53:N53)</f>
        <v>216</v>
      </c>
      <c r="S53" s="257" t="str">
        <f>CONCATENATE(Q53," - ",B53)</f>
        <v>FPU - FPU - ITS</v>
      </c>
    </row>
    <row r="54" spans="2:19">
      <c r="B54" s="627" t="s">
        <v>981</v>
      </c>
      <c r="C54" s="618"/>
      <c r="D54" s="618"/>
      <c r="E54" s="618"/>
      <c r="F54" s="618"/>
      <c r="G54" s="618"/>
      <c r="H54" s="618"/>
      <c r="I54" s="618"/>
      <c r="J54" s="618"/>
      <c r="K54" s="618"/>
      <c r="L54" s="618"/>
      <c r="M54" s="618"/>
      <c r="N54" s="386"/>
      <c r="O54" s="619">
        <f t="shared" si="1"/>
        <v>0</v>
      </c>
      <c r="Q54" s="121"/>
      <c r="R54" s="310"/>
      <c r="S54" s="257"/>
    </row>
    <row r="55" spans="2:19">
      <c r="B55" s="620" t="s">
        <v>186</v>
      </c>
      <c r="C55" s="618">
        <v>31</v>
      </c>
      <c r="D55" s="618">
        <v>31</v>
      </c>
      <c r="E55" s="618">
        <v>31</v>
      </c>
      <c r="F55" s="618">
        <v>31</v>
      </c>
      <c r="G55" s="618">
        <v>29</v>
      </c>
      <c r="H55" s="618">
        <v>29</v>
      </c>
      <c r="I55" s="618">
        <v>29</v>
      </c>
      <c r="J55" s="618">
        <v>27</v>
      </c>
      <c r="K55" s="618">
        <v>27</v>
      </c>
      <c r="L55" s="618">
        <v>27</v>
      </c>
      <c r="M55" s="618">
        <v>29</v>
      </c>
      <c r="N55" s="386">
        <v>25</v>
      </c>
      <c r="O55" s="619">
        <f t="shared" si="1"/>
        <v>346</v>
      </c>
      <c r="Q55" s="121" t="s">
        <v>16</v>
      </c>
      <c r="R55" s="310">
        <f t="shared" ref="R55:R63" si="8">+SUM(C55:N55)</f>
        <v>346</v>
      </c>
      <c r="S55" s="257" t="str">
        <f t="shared" ref="S55:S63" si="9">CONCATENATE(Q55," - ",B55)</f>
        <v>FPU - FPU - GLS</v>
      </c>
    </row>
    <row r="56" spans="2:19">
      <c r="B56" s="620" t="s">
        <v>188</v>
      </c>
      <c r="C56" s="618">
        <v>0</v>
      </c>
      <c r="D56" s="618">
        <v>0</v>
      </c>
      <c r="E56" s="618">
        <v>0</v>
      </c>
      <c r="F56" s="618">
        <v>0</v>
      </c>
      <c r="G56" s="618">
        <v>0</v>
      </c>
      <c r="H56" s="618">
        <v>0</v>
      </c>
      <c r="I56" s="618">
        <v>0</v>
      </c>
      <c r="J56" s="618">
        <v>0</v>
      </c>
      <c r="K56" s="618">
        <v>0</v>
      </c>
      <c r="L56" s="618">
        <v>0</v>
      </c>
      <c r="M56" s="618">
        <v>0</v>
      </c>
      <c r="N56" s="386">
        <v>0</v>
      </c>
      <c r="O56" s="619">
        <f t="shared" si="1"/>
        <v>0</v>
      </c>
      <c r="Q56" s="121" t="s">
        <v>16</v>
      </c>
      <c r="R56" s="310">
        <f t="shared" si="8"/>
        <v>0</v>
      </c>
      <c r="S56" s="257" t="str">
        <f t="shared" si="9"/>
        <v>FPU - FPU-NGVS</v>
      </c>
    </row>
    <row r="57" spans="2:19">
      <c r="B57" s="620" t="s">
        <v>189</v>
      </c>
      <c r="C57" s="618">
        <v>2</v>
      </c>
      <c r="D57" s="618">
        <v>2</v>
      </c>
      <c r="E57" s="618">
        <v>2</v>
      </c>
      <c r="F57" s="618">
        <v>2</v>
      </c>
      <c r="G57" s="618">
        <v>2</v>
      </c>
      <c r="H57" s="618">
        <v>2</v>
      </c>
      <c r="I57" s="618">
        <v>2</v>
      </c>
      <c r="J57" s="618">
        <v>2</v>
      </c>
      <c r="K57" s="618">
        <v>2</v>
      </c>
      <c r="L57" s="618">
        <v>2</v>
      </c>
      <c r="M57" s="618">
        <v>2</v>
      </c>
      <c r="N57" s="386">
        <v>2</v>
      </c>
      <c r="O57" s="619">
        <f t="shared" si="1"/>
        <v>24</v>
      </c>
      <c r="Q57" s="121" t="s">
        <v>16</v>
      </c>
      <c r="R57" s="310">
        <f t="shared" si="8"/>
        <v>24</v>
      </c>
      <c r="S57" s="257" t="str">
        <f t="shared" si="9"/>
        <v>FPU - FPU- NGVTS</v>
      </c>
    </row>
    <row r="58" spans="2:19">
      <c r="B58" s="620" t="s">
        <v>190</v>
      </c>
      <c r="C58" s="618">
        <v>4</v>
      </c>
      <c r="D58" s="618">
        <v>4</v>
      </c>
      <c r="E58" s="618">
        <v>4</v>
      </c>
      <c r="F58" s="618">
        <v>4</v>
      </c>
      <c r="G58" s="618">
        <v>4</v>
      </c>
      <c r="H58" s="618">
        <v>4</v>
      </c>
      <c r="I58" s="618">
        <v>4</v>
      </c>
      <c r="J58" s="618">
        <v>4</v>
      </c>
      <c r="K58" s="618">
        <v>4</v>
      </c>
      <c r="L58" s="618">
        <v>4</v>
      </c>
      <c r="M58" s="618">
        <v>4</v>
      </c>
      <c r="N58" s="386">
        <v>4</v>
      </c>
      <c r="O58" s="619">
        <f t="shared" si="1"/>
        <v>48</v>
      </c>
      <c r="Q58" s="121" t="s">
        <v>14</v>
      </c>
      <c r="R58" s="310">
        <f t="shared" si="8"/>
        <v>48</v>
      </c>
      <c r="S58" s="257" t="str">
        <f t="shared" si="9"/>
        <v>FT - FT-Comm PA</v>
      </c>
    </row>
    <row r="59" spans="2:19">
      <c r="B59" s="620" t="s">
        <v>192</v>
      </c>
      <c r="C59" s="618">
        <v>30</v>
      </c>
      <c r="D59" s="618">
        <v>30</v>
      </c>
      <c r="E59" s="618">
        <v>30</v>
      </c>
      <c r="F59" s="618">
        <v>30</v>
      </c>
      <c r="G59" s="618">
        <v>31</v>
      </c>
      <c r="H59" s="618">
        <v>31</v>
      </c>
      <c r="I59" s="618">
        <v>32</v>
      </c>
      <c r="J59" s="618">
        <v>30</v>
      </c>
      <c r="K59" s="618">
        <v>31</v>
      </c>
      <c r="L59" s="618">
        <v>30</v>
      </c>
      <c r="M59" s="618">
        <v>27</v>
      </c>
      <c r="N59" s="386">
        <v>29</v>
      </c>
      <c r="O59" s="619">
        <f t="shared" si="1"/>
        <v>361</v>
      </c>
      <c r="Q59" s="121" t="s">
        <v>14</v>
      </c>
      <c r="R59" s="310">
        <f t="shared" si="8"/>
        <v>361</v>
      </c>
      <c r="S59" s="257" t="str">
        <f t="shared" si="9"/>
        <v>FT - FT-Comm Small</v>
      </c>
    </row>
    <row r="60" spans="2:19">
      <c r="B60" s="620" t="s">
        <v>194</v>
      </c>
      <c r="C60" s="618">
        <v>10</v>
      </c>
      <c r="D60" s="618">
        <v>10</v>
      </c>
      <c r="E60" s="618">
        <v>10</v>
      </c>
      <c r="F60" s="618">
        <v>10</v>
      </c>
      <c r="G60" s="618">
        <v>10</v>
      </c>
      <c r="H60" s="618">
        <v>10</v>
      </c>
      <c r="I60" s="618">
        <v>11</v>
      </c>
      <c r="J60" s="618">
        <v>11</v>
      </c>
      <c r="K60" s="618">
        <v>11</v>
      </c>
      <c r="L60" s="618">
        <v>11</v>
      </c>
      <c r="M60" s="618">
        <v>11</v>
      </c>
      <c r="N60" s="386">
        <v>11</v>
      </c>
      <c r="O60" s="619">
        <f t="shared" si="1"/>
        <v>126</v>
      </c>
      <c r="Q60" s="121" t="s">
        <v>14</v>
      </c>
      <c r="R60" s="310">
        <f t="shared" si="8"/>
        <v>126</v>
      </c>
      <c r="S60" s="257" t="str">
        <f t="shared" si="9"/>
        <v>FT - FT-Transportation</v>
      </c>
    </row>
    <row r="61" spans="2:19">
      <c r="B61" s="617" t="s">
        <v>107</v>
      </c>
      <c r="C61" s="618">
        <v>21</v>
      </c>
      <c r="D61" s="618">
        <v>21</v>
      </c>
      <c r="E61" s="618">
        <v>21</v>
      </c>
      <c r="F61" s="618">
        <v>22</v>
      </c>
      <c r="G61" s="618">
        <v>22</v>
      </c>
      <c r="H61" s="618">
        <v>22</v>
      </c>
      <c r="I61" s="618">
        <v>22</v>
      </c>
      <c r="J61" s="618">
        <v>22</v>
      </c>
      <c r="K61" s="618">
        <v>22</v>
      </c>
      <c r="L61" s="618">
        <v>22</v>
      </c>
      <c r="M61" s="618">
        <v>22</v>
      </c>
      <c r="N61" s="386">
        <v>22</v>
      </c>
      <c r="O61" s="619">
        <f t="shared" si="1"/>
        <v>261</v>
      </c>
      <c r="Q61" s="121" t="s">
        <v>13</v>
      </c>
      <c r="R61" s="310">
        <f t="shared" si="8"/>
        <v>261</v>
      </c>
      <c r="S61" s="257" t="str">
        <f t="shared" si="9"/>
        <v>IGC - IGC - TS2</v>
      </c>
    </row>
    <row r="62" spans="2:19">
      <c r="B62" s="617" t="s">
        <v>108</v>
      </c>
      <c r="C62" s="618">
        <v>1</v>
      </c>
      <c r="D62" s="618">
        <v>1</v>
      </c>
      <c r="E62" s="618">
        <v>1</v>
      </c>
      <c r="F62" s="618">
        <v>1</v>
      </c>
      <c r="G62" s="618">
        <v>1</v>
      </c>
      <c r="H62" s="618">
        <v>1</v>
      </c>
      <c r="I62" s="618">
        <v>1</v>
      </c>
      <c r="J62" s="618">
        <v>1</v>
      </c>
      <c r="K62" s="618">
        <v>1</v>
      </c>
      <c r="L62" s="618">
        <v>1</v>
      </c>
      <c r="M62" s="618">
        <v>1</v>
      </c>
      <c r="N62" s="386">
        <v>1</v>
      </c>
      <c r="O62" s="619">
        <f t="shared" si="1"/>
        <v>12</v>
      </c>
      <c r="Q62" s="121" t="s">
        <v>13</v>
      </c>
      <c r="R62" s="310">
        <f t="shared" si="8"/>
        <v>12</v>
      </c>
      <c r="S62" s="257" t="str">
        <f t="shared" si="9"/>
        <v>IGC - IGC - TS3</v>
      </c>
    </row>
    <row r="63" spans="2:19">
      <c r="B63" s="628" t="s">
        <v>109</v>
      </c>
      <c r="C63" s="621">
        <v>2</v>
      </c>
      <c r="D63" s="621">
        <v>0</v>
      </c>
      <c r="E63" s="621">
        <v>0</v>
      </c>
      <c r="F63" s="621">
        <v>0</v>
      </c>
      <c r="G63" s="621">
        <v>0</v>
      </c>
      <c r="H63" s="621">
        <v>0</v>
      </c>
      <c r="I63" s="621">
        <v>0</v>
      </c>
      <c r="J63" s="621">
        <v>0</v>
      </c>
      <c r="K63" s="621">
        <v>0</v>
      </c>
      <c r="L63" s="621">
        <v>0</v>
      </c>
      <c r="M63" s="621">
        <v>0</v>
      </c>
      <c r="N63" s="373">
        <v>0</v>
      </c>
      <c r="O63" s="619">
        <f t="shared" si="1"/>
        <v>2</v>
      </c>
      <c r="Q63" s="121" t="s">
        <v>13</v>
      </c>
      <c r="R63" s="310">
        <f t="shared" si="8"/>
        <v>2</v>
      </c>
      <c r="S63" s="257" t="str">
        <f t="shared" si="9"/>
        <v>IGC - IGC - TS4</v>
      </c>
    </row>
    <row r="64" spans="2:19">
      <c r="B64" s="622" t="s">
        <v>199</v>
      </c>
      <c r="C64" s="619">
        <v>8109</v>
      </c>
      <c r="D64" s="619">
        <v>8099</v>
      </c>
      <c r="E64" s="619">
        <v>8112</v>
      </c>
      <c r="F64" s="619">
        <v>8121</v>
      </c>
      <c r="G64" s="619">
        <v>8109</v>
      </c>
      <c r="H64" s="619">
        <v>8123</v>
      </c>
      <c r="I64" s="619">
        <v>8123</v>
      </c>
      <c r="J64" s="619">
        <v>8124</v>
      </c>
      <c r="K64" s="619">
        <v>8114</v>
      </c>
      <c r="L64" s="619">
        <v>8128</v>
      </c>
      <c r="M64" s="619">
        <v>8140</v>
      </c>
      <c r="N64" s="623">
        <f>SUM(N25:N63)</f>
        <v>8166</v>
      </c>
      <c r="O64" s="619">
        <f t="shared" si="1"/>
        <v>97468</v>
      </c>
    </row>
    <row r="65" spans="2:22">
      <c r="B65" s="320" t="s">
        <v>200</v>
      </c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6"/>
      <c r="O65" s="619">
        <f t="shared" si="1"/>
        <v>0</v>
      </c>
    </row>
    <row r="66" spans="2:22">
      <c r="B66" s="617" t="s">
        <v>114</v>
      </c>
      <c r="C66" s="618">
        <v>0</v>
      </c>
      <c r="D66" s="618">
        <v>0</v>
      </c>
      <c r="E66" s="618">
        <v>0</v>
      </c>
      <c r="F66" s="618">
        <v>0</v>
      </c>
      <c r="G66" s="618">
        <v>0</v>
      </c>
      <c r="H66" s="618">
        <v>0</v>
      </c>
      <c r="I66" s="618">
        <v>0</v>
      </c>
      <c r="J66" s="618">
        <v>0</v>
      </c>
      <c r="K66" s="618">
        <v>0</v>
      </c>
      <c r="L66" s="618">
        <v>0</v>
      </c>
      <c r="M66" s="618">
        <v>0</v>
      </c>
      <c r="N66" s="386">
        <v>0</v>
      </c>
      <c r="O66" s="619">
        <f t="shared" si="1"/>
        <v>0</v>
      </c>
      <c r="Q66" s="121" t="s">
        <v>17</v>
      </c>
      <c r="R66" s="310">
        <f t="shared" ref="R66:R72" si="10">+SUM(C66:N66)</f>
        <v>0</v>
      </c>
      <c r="S66" s="257" t="str">
        <f>CONCATENATE(Q66," - ",B66," - ",T66)</f>
        <v>CFG - FTS-A - Fixed NR</v>
      </c>
      <c r="T66" s="121" t="s">
        <v>201</v>
      </c>
    </row>
    <row r="67" spans="2:22">
      <c r="B67" s="617" t="s">
        <v>115</v>
      </c>
      <c r="C67" s="618">
        <v>1</v>
      </c>
      <c r="D67" s="618">
        <v>1</v>
      </c>
      <c r="E67" s="618">
        <v>1</v>
      </c>
      <c r="F67" s="618">
        <v>1</v>
      </c>
      <c r="G67" s="618">
        <v>1</v>
      </c>
      <c r="H67" s="618">
        <v>1</v>
      </c>
      <c r="I67" s="618">
        <v>1</v>
      </c>
      <c r="J67" s="618">
        <v>1</v>
      </c>
      <c r="K67" s="618">
        <v>1</v>
      </c>
      <c r="L67" s="618">
        <v>1</v>
      </c>
      <c r="M67" s="618">
        <v>1</v>
      </c>
      <c r="N67" s="386">
        <v>1</v>
      </c>
      <c r="O67" s="619">
        <f t="shared" si="1"/>
        <v>12</v>
      </c>
      <c r="Q67" s="121" t="s">
        <v>17</v>
      </c>
      <c r="R67" s="310">
        <f t="shared" si="10"/>
        <v>12</v>
      </c>
      <c r="S67" s="257" t="str">
        <f t="shared" ref="S67:S72" si="11">CONCATENATE(Q67," - ",B67," - ",T67)</f>
        <v>CFG - FTS-B - Fixed NR</v>
      </c>
      <c r="T67" s="121" t="s">
        <v>201</v>
      </c>
    </row>
    <row r="68" spans="2:22">
      <c r="B68" s="617" t="s">
        <v>116</v>
      </c>
      <c r="C68" s="618">
        <v>43</v>
      </c>
      <c r="D68" s="618">
        <v>43</v>
      </c>
      <c r="E68" s="618">
        <v>44</v>
      </c>
      <c r="F68" s="618">
        <v>45</v>
      </c>
      <c r="G68" s="618">
        <v>45</v>
      </c>
      <c r="H68" s="618">
        <v>45</v>
      </c>
      <c r="I68" s="618">
        <v>46</v>
      </c>
      <c r="J68" s="618">
        <v>46</v>
      </c>
      <c r="K68" s="618">
        <v>45</v>
      </c>
      <c r="L68" s="618">
        <v>45</v>
      </c>
      <c r="M68" s="618">
        <v>46</v>
      </c>
      <c r="N68" s="386">
        <v>47</v>
      </c>
      <c r="O68" s="619">
        <f t="shared" ref="O68:O127" si="12">SUM(C68:N68)</f>
        <v>540</v>
      </c>
      <c r="Q68" s="121" t="s">
        <v>17</v>
      </c>
      <c r="R68" s="310">
        <f t="shared" si="10"/>
        <v>540</v>
      </c>
      <c r="S68" s="257" t="str">
        <f t="shared" si="11"/>
        <v>CFG - FTS-1 - Fixed NR</v>
      </c>
      <c r="T68" s="121" t="s">
        <v>201</v>
      </c>
    </row>
    <row r="69" spans="2:22">
      <c r="B69" s="620" t="s">
        <v>117</v>
      </c>
      <c r="C69" s="618">
        <v>6</v>
      </c>
      <c r="D69" s="618">
        <v>6</v>
      </c>
      <c r="E69" s="618">
        <v>6</v>
      </c>
      <c r="F69" s="618">
        <v>6</v>
      </c>
      <c r="G69" s="618">
        <v>6</v>
      </c>
      <c r="H69" s="618">
        <v>6</v>
      </c>
      <c r="I69" s="618">
        <v>6</v>
      </c>
      <c r="J69" s="618">
        <v>5</v>
      </c>
      <c r="K69" s="618">
        <v>5</v>
      </c>
      <c r="L69" s="618">
        <v>5</v>
      </c>
      <c r="M69" s="618">
        <v>5</v>
      </c>
      <c r="N69" s="386">
        <v>5</v>
      </c>
      <c r="O69" s="619">
        <f t="shared" si="12"/>
        <v>67</v>
      </c>
      <c r="Q69" s="121" t="s">
        <v>17</v>
      </c>
      <c r="R69" s="310">
        <f t="shared" si="10"/>
        <v>67</v>
      </c>
      <c r="S69" s="257" t="str">
        <f t="shared" si="11"/>
        <v>CFG - FTS-2 - Fixed NR</v>
      </c>
      <c r="T69" s="121" t="s">
        <v>201</v>
      </c>
    </row>
    <row r="70" spans="2:22">
      <c r="B70" s="620" t="s">
        <v>118</v>
      </c>
      <c r="C70" s="618">
        <v>10</v>
      </c>
      <c r="D70" s="618">
        <v>10</v>
      </c>
      <c r="E70" s="618">
        <v>11</v>
      </c>
      <c r="F70" s="618">
        <v>10</v>
      </c>
      <c r="G70" s="618">
        <v>10</v>
      </c>
      <c r="H70" s="618">
        <v>10</v>
      </c>
      <c r="I70" s="618">
        <v>10</v>
      </c>
      <c r="J70" s="618">
        <v>11</v>
      </c>
      <c r="K70" s="618">
        <v>10</v>
      </c>
      <c r="L70" s="618">
        <v>10</v>
      </c>
      <c r="M70" s="618">
        <v>10</v>
      </c>
      <c r="N70" s="386">
        <v>10</v>
      </c>
      <c r="O70" s="619">
        <f t="shared" si="12"/>
        <v>122</v>
      </c>
      <c r="Q70" s="121" t="s">
        <v>17</v>
      </c>
      <c r="R70" s="310">
        <f t="shared" si="10"/>
        <v>122</v>
      </c>
      <c r="S70" s="257" t="str">
        <f t="shared" si="11"/>
        <v>CFG - FTS-2.1 - Fixed NR</v>
      </c>
      <c r="T70" s="121" t="s">
        <v>201</v>
      </c>
    </row>
    <row r="71" spans="2:22">
      <c r="B71" s="620" t="s">
        <v>119</v>
      </c>
      <c r="C71" s="618">
        <v>17</v>
      </c>
      <c r="D71" s="618">
        <v>17</v>
      </c>
      <c r="E71" s="618">
        <v>17</v>
      </c>
      <c r="F71" s="618">
        <v>17</v>
      </c>
      <c r="G71" s="618">
        <v>17</v>
      </c>
      <c r="H71" s="618">
        <v>17</v>
      </c>
      <c r="I71" s="618">
        <v>17</v>
      </c>
      <c r="J71" s="618">
        <v>17</v>
      </c>
      <c r="K71" s="618">
        <v>17</v>
      </c>
      <c r="L71" s="618">
        <v>17</v>
      </c>
      <c r="M71" s="618">
        <v>17</v>
      </c>
      <c r="N71" s="386">
        <v>16</v>
      </c>
      <c r="O71" s="619">
        <f t="shared" si="12"/>
        <v>203</v>
      </c>
      <c r="Q71" s="121" t="s">
        <v>17</v>
      </c>
      <c r="R71" s="310">
        <f t="shared" si="10"/>
        <v>203</v>
      </c>
      <c r="S71" s="257" t="str">
        <f t="shared" si="11"/>
        <v>CFG - FTS-3 - Fixed NR</v>
      </c>
      <c r="T71" s="121" t="s">
        <v>201</v>
      </c>
    </row>
    <row r="72" spans="2:22">
      <c r="B72" s="628" t="s">
        <v>120</v>
      </c>
      <c r="C72" s="621">
        <v>7</v>
      </c>
      <c r="D72" s="621">
        <v>7</v>
      </c>
      <c r="E72" s="621">
        <v>7</v>
      </c>
      <c r="F72" s="621">
        <v>7</v>
      </c>
      <c r="G72" s="621">
        <v>7</v>
      </c>
      <c r="H72" s="621">
        <v>7</v>
      </c>
      <c r="I72" s="621">
        <v>7</v>
      </c>
      <c r="J72" s="621">
        <v>7</v>
      </c>
      <c r="K72" s="621">
        <v>7</v>
      </c>
      <c r="L72" s="621">
        <v>6</v>
      </c>
      <c r="M72" s="621">
        <v>6</v>
      </c>
      <c r="N72" s="373">
        <v>6</v>
      </c>
      <c r="O72" s="619">
        <f t="shared" si="12"/>
        <v>81</v>
      </c>
      <c r="Q72" s="121" t="s">
        <v>17</v>
      </c>
      <c r="R72" s="310">
        <f t="shared" si="10"/>
        <v>81</v>
      </c>
      <c r="S72" s="257" t="str">
        <f t="shared" si="11"/>
        <v>CFG - FTS-3.1 - Fixed NR</v>
      </c>
      <c r="T72" s="121" t="s">
        <v>201</v>
      </c>
    </row>
    <row r="73" spans="2:22">
      <c r="B73" s="622" t="s">
        <v>202</v>
      </c>
      <c r="C73" s="619">
        <v>84</v>
      </c>
      <c r="D73" s="619">
        <v>84</v>
      </c>
      <c r="E73" s="619">
        <v>86</v>
      </c>
      <c r="F73" s="619">
        <v>86</v>
      </c>
      <c r="G73" s="619">
        <v>86</v>
      </c>
      <c r="H73" s="619">
        <v>86</v>
      </c>
      <c r="I73" s="619">
        <v>87</v>
      </c>
      <c r="J73" s="619">
        <v>87</v>
      </c>
      <c r="K73" s="619">
        <v>85</v>
      </c>
      <c r="L73" s="619">
        <v>84</v>
      </c>
      <c r="M73" s="619">
        <v>85</v>
      </c>
      <c r="N73" s="623">
        <f>SUM(N66:N72)</f>
        <v>85</v>
      </c>
      <c r="O73" s="619">
        <f t="shared" si="12"/>
        <v>1025</v>
      </c>
      <c r="S73" s="629">
        <f>O73+O64+O23+O14</f>
        <v>1078122</v>
      </c>
      <c r="T73" s="629">
        <f>SUM(R58:R60)</f>
        <v>535</v>
      </c>
      <c r="V73" s="629"/>
    </row>
    <row r="74" spans="2:22">
      <c r="B74" s="320" t="s">
        <v>203</v>
      </c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624"/>
      <c r="O74" s="619">
        <f t="shared" si="12"/>
        <v>0</v>
      </c>
    </row>
    <row r="75" spans="2:22">
      <c r="B75" s="124" t="s">
        <v>204</v>
      </c>
      <c r="C75" s="618">
        <v>2</v>
      </c>
      <c r="D75" s="618">
        <v>2</v>
      </c>
      <c r="E75" s="618">
        <v>2</v>
      </c>
      <c r="F75" s="618">
        <v>2</v>
      </c>
      <c r="G75" s="618">
        <v>2</v>
      </c>
      <c r="H75" s="618">
        <v>2</v>
      </c>
      <c r="I75" s="618">
        <v>2</v>
      </c>
      <c r="J75" s="618">
        <v>2</v>
      </c>
      <c r="K75" s="618">
        <v>2</v>
      </c>
      <c r="L75" s="618">
        <v>2</v>
      </c>
      <c r="M75" s="618">
        <v>2</v>
      </c>
      <c r="N75" s="386">
        <v>2</v>
      </c>
      <c r="O75" s="619">
        <f t="shared" si="12"/>
        <v>24</v>
      </c>
      <c r="Q75" s="121" t="s">
        <v>17</v>
      </c>
      <c r="R75" s="310">
        <f t="shared" ref="R75:R89" si="13">+SUM(C75:N75)</f>
        <v>24</v>
      </c>
    </row>
    <row r="76" spans="2:22">
      <c r="B76" s="124" t="s">
        <v>206</v>
      </c>
      <c r="C76" s="618">
        <v>1</v>
      </c>
      <c r="D76" s="618">
        <v>1</v>
      </c>
      <c r="E76" s="618">
        <v>1</v>
      </c>
      <c r="F76" s="618">
        <v>1</v>
      </c>
      <c r="G76" s="618">
        <v>1</v>
      </c>
      <c r="H76" s="618">
        <v>1</v>
      </c>
      <c r="I76" s="618">
        <v>1</v>
      </c>
      <c r="J76" s="618">
        <v>1</v>
      </c>
      <c r="K76" s="618">
        <v>1</v>
      </c>
      <c r="L76" s="618">
        <v>1</v>
      </c>
      <c r="M76" s="618">
        <v>1</v>
      </c>
      <c r="N76" s="386">
        <v>1</v>
      </c>
      <c r="O76" s="619">
        <f t="shared" si="12"/>
        <v>12</v>
      </c>
      <c r="Q76" s="121" t="s">
        <v>17</v>
      </c>
      <c r="R76" s="310">
        <f t="shared" si="13"/>
        <v>12</v>
      </c>
    </row>
    <row r="77" spans="2:22">
      <c r="B77" s="124" t="s">
        <v>207</v>
      </c>
      <c r="C77" s="618">
        <v>1</v>
      </c>
      <c r="D77" s="618">
        <v>1</v>
      </c>
      <c r="E77" s="618">
        <v>1</v>
      </c>
      <c r="F77" s="618">
        <v>1</v>
      </c>
      <c r="G77" s="618">
        <v>1</v>
      </c>
      <c r="H77" s="618">
        <v>1</v>
      </c>
      <c r="I77" s="618">
        <v>1</v>
      </c>
      <c r="J77" s="618">
        <v>1</v>
      </c>
      <c r="K77" s="618">
        <v>1</v>
      </c>
      <c r="L77" s="618">
        <v>1</v>
      </c>
      <c r="M77" s="618">
        <v>1</v>
      </c>
      <c r="N77" s="386">
        <v>1</v>
      </c>
      <c r="O77" s="619">
        <f t="shared" si="12"/>
        <v>12</v>
      </c>
      <c r="Q77" s="121" t="s">
        <v>17</v>
      </c>
      <c r="R77" s="310">
        <f t="shared" si="13"/>
        <v>12</v>
      </c>
    </row>
    <row r="78" spans="2:22">
      <c r="B78" s="124" t="s">
        <v>208</v>
      </c>
      <c r="C78" s="618">
        <v>1</v>
      </c>
      <c r="D78" s="618">
        <v>1</v>
      </c>
      <c r="E78" s="618">
        <v>1</v>
      </c>
      <c r="F78" s="618">
        <v>1</v>
      </c>
      <c r="G78" s="618">
        <v>1</v>
      </c>
      <c r="H78" s="618">
        <v>1</v>
      </c>
      <c r="I78" s="618">
        <v>1</v>
      </c>
      <c r="J78" s="618">
        <v>1</v>
      </c>
      <c r="K78" s="618">
        <v>1</v>
      </c>
      <c r="L78" s="618">
        <v>1</v>
      </c>
      <c r="M78" s="618">
        <v>1</v>
      </c>
      <c r="N78" s="386">
        <v>1</v>
      </c>
      <c r="O78" s="619">
        <f t="shared" si="12"/>
        <v>12</v>
      </c>
      <c r="Q78" s="121" t="s">
        <v>17</v>
      </c>
      <c r="R78" s="310">
        <f t="shared" si="13"/>
        <v>12</v>
      </c>
    </row>
    <row r="79" spans="2:22">
      <c r="B79" s="124" t="s">
        <v>209</v>
      </c>
      <c r="C79" s="618">
        <v>0</v>
      </c>
      <c r="D79" s="618">
        <v>0</v>
      </c>
      <c r="E79" s="618">
        <v>0</v>
      </c>
      <c r="F79" s="618">
        <v>0</v>
      </c>
      <c r="G79" s="618">
        <v>0</v>
      </c>
      <c r="H79" s="618">
        <v>0</v>
      </c>
      <c r="I79" s="618">
        <v>0</v>
      </c>
      <c r="J79" s="618">
        <v>0</v>
      </c>
      <c r="K79" s="618">
        <v>0</v>
      </c>
      <c r="L79" s="618">
        <v>0</v>
      </c>
      <c r="M79" s="618">
        <v>0</v>
      </c>
      <c r="N79" s="386">
        <v>0</v>
      </c>
      <c r="O79" s="619">
        <f t="shared" si="12"/>
        <v>0</v>
      </c>
      <c r="Q79" s="121" t="s">
        <v>17</v>
      </c>
      <c r="R79" s="310">
        <f t="shared" si="13"/>
        <v>0</v>
      </c>
    </row>
    <row r="80" spans="2:22">
      <c r="B80" s="124" t="s">
        <v>210</v>
      </c>
      <c r="C80" s="618">
        <v>1</v>
      </c>
      <c r="D80" s="618">
        <v>1</v>
      </c>
      <c r="E80" s="618">
        <v>1</v>
      </c>
      <c r="F80" s="618">
        <v>1</v>
      </c>
      <c r="G80" s="618">
        <v>1</v>
      </c>
      <c r="H80" s="618">
        <v>1</v>
      </c>
      <c r="I80" s="618">
        <v>1</v>
      </c>
      <c r="J80" s="618">
        <v>1</v>
      </c>
      <c r="K80" s="618">
        <v>1</v>
      </c>
      <c r="L80" s="618">
        <v>1</v>
      </c>
      <c r="M80" s="618">
        <v>1</v>
      </c>
      <c r="N80" s="386">
        <v>1</v>
      </c>
      <c r="O80" s="619">
        <f t="shared" si="12"/>
        <v>12</v>
      </c>
      <c r="Q80" s="121" t="s">
        <v>17</v>
      </c>
      <c r="R80" s="310">
        <f t="shared" si="13"/>
        <v>12</v>
      </c>
    </row>
    <row r="81" spans="2:18">
      <c r="B81" s="124" t="s">
        <v>211</v>
      </c>
      <c r="C81" s="618">
        <v>1</v>
      </c>
      <c r="D81" s="618">
        <v>1</v>
      </c>
      <c r="E81" s="618">
        <v>1</v>
      </c>
      <c r="F81" s="618">
        <v>1</v>
      </c>
      <c r="G81" s="618">
        <v>1</v>
      </c>
      <c r="H81" s="618">
        <v>1</v>
      </c>
      <c r="I81" s="618">
        <v>1</v>
      </c>
      <c r="J81" s="618">
        <v>1</v>
      </c>
      <c r="K81" s="618">
        <v>1</v>
      </c>
      <c r="L81" s="618">
        <v>1</v>
      </c>
      <c r="M81" s="618">
        <v>1</v>
      </c>
      <c r="N81" s="386">
        <v>1</v>
      </c>
      <c r="O81" s="619">
        <f t="shared" si="12"/>
        <v>12</v>
      </c>
      <c r="Q81" s="121" t="s">
        <v>17</v>
      </c>
      <c r="R81" s="310">
        <f t="shared" si="13"/>
        <v>12</v>
      </c>
    </row>
    <row r="82" spans="2:18">
      <c r="B82" s="124" t="s">
        <v>212</v>
      </c>
      <c r="C82" s="618">
        <v>1</v>
      </c>
      <c r="D82" s="618">
        <v>1</v>
      </c>
      <c r="E82" s="618">
        <v>1</v>
      </c>
      <c r="F82" s="618">
        <v>1</v>
      </c>
      <c r="G82" s="618">
        <v>1</v>
      </c>
      <c r="H82" s="618">
        <v>1</v>
      </c>
      <c r="I82" s="618">
        <v>1</v>
      </c>
      <c r="J82" s="618">
        <v>1</v>
      </c>
      <c r="K82" s="618">
        <v>1</v>
      </c>
      <c r="L82" s="618">
        <v>1</v>
      </c>
      <c r="M82" s="618">
        <v>1</v>
      </c>
      <c r="N82" s="386">
        <v>1</v>
      </c>
      <c r="O82" s="619">
        <f t="shared" si="12"/>
        <v>12</v>
      </c>
      <c r="Q82" s="121" t="s">
        <v>16</v>
      </c>
      <c r="R82" s="310">
        <f t="shared" si="13"/>
        <v>12</v>
      </c>
    </row>
    <row r="83" spans="2:18">
      <c r="B83" s="323" t="s">
        <v>214</v>
      </c>
      <c r="C83" s="618">
        <v>1</v>
      </c>
      <c r="D83" s="618">
        <v>1</v>
      </c>
      <c r="E83" s="618">
        <v>1</v>
      </c>
      <c r="F83" s="618">
        <v>1</v>
      </c>
      <c r="G83" s="618">
        <v>1</v>
      </c>
      <c r="H83" s="618">
        <v>1</v>
      </c>
      <c r="I83" s="618">
        <v>1</v>
      </c>
      <c r="J83" s="618">
        <v>1</v>
      </c>
      <c r="K83" s="618">
        <v>1</v>
      </c>
      <c r="L83" s="618">
        <v>1</v>
      </c>
      <c r="M83" s="618">
        <v>1</v>
      </c>
      <c r="N83" s="386">
        <v>1</v>
      </c>
      <c r="O83" s="619">
        <f t="shared" si="12"/>
        <v>12</v>
      </c>
      <c r="Q83" s="121" t="s">
        <v>17</v>
      </c>
      <c r="R83" s="310">
        <f t="shared" si="13"/>
        <v>12</v>
      </c>
    </row>
    <row r="84" spans="2:18">
      <c r="B84" s="323" t="s">
        <v>215</v>
      </c>
      <c r="C84" s="618">
        <v>1</v>
      </c>
      <c r="D84" s="618">
        <v>1</v>
      </c>
      <c r="E84" s="618">
        <v>1</v>
      </c>
      <c r="F84" s="618">
        <v>1</v>
      </c>
      <c r="G84" s="618">
        <v>1</v>
      </c>
      <c r="H84" s="618">
        <v>1</v>
      </c>
      <c r="I84" s="618">
        <v>1</v>
      </c>
      <c r="J84" s="618">
        <v>1</v>
      </c>
      <c r="K84" s="618">
        <v>1</v>
      </c>
      <c r="L84" s="618">
        <v>1</v>
      </c>
      <c r="M84" s="618">
        <v>1</v>
      </c>
      <c r="N84" s="386">
        <v>1</v>
      </c>
      <c r="O84" s="619">
        <f t="shared" si="12"/>
        <v>12</v>
      </c>
      <c r="Q84" s="121" t="s">
        <v>17</v>
      </c>
      <c r="R84" s="310">
        <f t="shared" si="13"/>
        <v>12</v>
      </c>
    </row>
    <row r="85" spans="2:18">
      <c r="B85" s="323" t="s">
        <v>216</v>
      </c>
      <c r="C85" s="618">
        <v>1</v>
      </c>
      <c r="D85" s="618">
        <v>1</v>
      </c>
      <c r="E85" s="618">
        <v>1</v>
      </c>
      <c r="F85" s="618">
        <v>1</v>
      </c>
      <c r="G85" s="618">
        <v>1</v>
      </c>
      <c r="H85" s="618">
        <v>1</v>
      </c>
      <c r="I85" s="618">
        <v>1</v>
      </c>
      <c r="J85" s="618">
        <v>1</v>
      </c>
      <c r="K85" s="618">
        <v>1</v>
      </c>
      <c r="L85" s="618">
        <v>1</v>
      </c>
      <c r="M85" s="618">
        <v>1</v>
      </c>
      <c r="N85" s="386">
        <v>1</v>
      </c>
      <c r="O85" s="619">
        <f t="shared" si="12"/>
        <v>12</v>
      </c>
      <c r="Q85" s="121" t="s">
        <v>17</v>
      </c>
      <c r="R85" s="310">
        <f t="shared" si="13"/>
        <v>12</v>
      </c>
    </row>
    <row r="86" spans="2:18">
      <c r="B86" s="323" t="s">
        <v>217</v>
      </c>
      <c r="C86" s="618">
        <v>0</v>
      </c>
      <c r="D86" s="618">
        <v>0</v>
      </c>
      <c r="E86" s="618">
        <v>0</v>
      </c>
      <c r="F86" s="618">
        <v>0</v>
      </c>
      <c r="G86" s="618">
        <v>0</v>
      </c>
      <c r="H86" s="618">
        <v>0</v>
      </c>
      <c r="I86" s="618">
        <v>0</v>
      </c>
      <c r="J86" s="618">
        <v>0</v>
      </c>
      <c r="K86" s="618">
        <v>0</v>
      </c>
      <c r="L86" s="618">
        <v>0</v>
      </c>
      <c r="M86" s="618">
        <v>0</v>
      </c>
      <c r="N86" s="386">
        <v>0</v>
      </c>
      <c r="O86" s="619">
        <f t="shared" si="12"/>
        <v>0</v>
      </c>
      <c r="Q86" s="121" t="s">
        <v>17</v>
      </c>
      <c r="R86" s="310">
        <f t="shared" si="13"/>
        <v>0</v>
      </c>
    </row>
    <row r="87" spans="2:18">
      <c r="B87" s="323" t="s">
        <v>218</v>
      </c>
      <c r="C87" s="618">
        <v>1</v>
      </c>
      <c r="D87" s="618">
        <v>1</v>
      </c>
      <c r="E87" s="618">
        <v>1</v>
      </c>
      <c r="F87" s="618">
        <v>1</v>
      </c>
      <c r="G87" s="618">
        <v>1</v>
      </c>
      <c r="H87" s="618">
        <v>1</v>
      </c>
      <c r="I87" s="618">
        <v>1</v>
      </c>
      <c r="J87" s="618">
        <v>1</v>
      </c>
      <c r="K87" s="618">
        <v>1</v>
      </c>
      <c r="L87" s="618">
        <v>1</v>
      </c>
      <c r="M87" s="618">
        <v>1</v>
      </c>
      <c r="N87" s="386">
        <v>1</v>
      </c>
      <c r="O87" s="619">
        <f t="shared" si="12"/>
        <v>12</v>
      </c>
      <c r="Q87" s="121" t="s">
        <v>16</v>
      </c>
      <c r="R87" s="310">
        <f t="shared" si="13"/>
        <v>12</v>
      </c>
    </row>
    <row r="88" spans="2:18">
      <c r="B88" s="323" t="s">
        <v>219</v>
      </c>
      <c r="C88" s="618">
        <v>1</v>
      </c>
      <c r="D88" s="618">
        <v>1</v>
      </c>
      <c r="E88" s="618">
        <v>1</v>
      </c>
      <c r="F88" s="618">
        <v>1</v>
      </c>
      <c r="G88" s="618">
        <v>1</v>
      </c>
      <c r="H88" s="618">
        <v>1</v>
      </c>
      <c r="I88" s="618">
        <v>1</v>
      </c>
      <c r="J88" s="618">
        <v>1</v>
      </c>
      <c r="K88" s="618">
        <v>1</v>
      </c>
      <c r="L88" s="618">
        <v>1</v>
      </c>
      <c r="M88" s="618">
        <v>1</v>
      </c>
      <c r="N88" s="386">
        <v>1</v>
      </c>
      <c r="O88" s="619">
        <f t="shared" si="12"/>
        <v>12</v>
      </c>
      <c r="Q88" s="121" t="s">
        <v>16</v>
      </c>
      <c r="R88" s="310">
        <f t="shared" si="13"/>
        <v>12</v>
      </c>
    </row>
    <row r="89" spans="2:18">
      <c r="B89" s="418" t="s">
        <v>220</v>
      </c>
      <c r="C89" s="618">
        <v>1</v>
      </c>
      <c r="D89" s="618">
        <v>1</v>
      </c>
      <c r="E89" s="618">
        <v>1</v>
      </c>
      <c r="F89" s="618">
        <v>1</v>
      </c>
      <c r="G89" s="618">
        <v>1</v>
      </c>
      <c r="H89" s="618">
        <v>1</v>
      </c>
      <c r="I89" s="618">
        <v>1</v>
      </c>
      <c r="J89" s="618">
        <v>1</v>
      </c>
      <c r="K89" s="618">
        <v>1</v>
      </c>
      <c r="L89" s="618">
        <v>1</v>
      </c>
      <c r="M89" s="618">
        <v>1</v>
      </c>
      <c r="N89" s="386">
        <v>1</v>
      </c>
      <c r="O89" s="619">
        <f t="shared" si="12"/>
        <v>12</v>
      </c>
      <c r="Q89" s="121" t="s">
        <v>17</v>
      </c>
      <c r="R89" s="310">
        <f t="shared" si="13"/>
        <v>12</v>
      </c>
    </row>
    <row r="90" spans="2:18">
      <c r="B90" s="622" t="s">
        <v>221</v>
      </c>
      <c r="C90" s="630">
        <v>14</v>
      </c>
      <c r="D90" s="630">
        <v>14</v>
      </c>
      <c r="E90" s="630">
        <v>14</v>
      </c>
      <c r="F90" s="630">
        <v>14</v>
      </c>
      <c r="G90" s="630">
        <v>14</v>
      </c>
      <c r="H90" s="630">
        <v>14</v>
      </c>
      <c r="I90" s="630">
        <v>14</v>
      </c>
      <c r="J90" s="630">
        <v>14</v>
      </c>
      <c r="K90" s="630">
        <v>14</v>
      </c>
      <c r="L90" s="630">
        <v>14</v>
      </c>
      <c r="M90" s="630">
        <v>14</v>
      </c>
      <c r="N90" s="631">
        <f>SUM(N75:N89)</f>
        <v>14</v>
      </c>
      <c r="O90" s="619">
        <f t="shared" si="12"/>
        <v>168</v>
      </c>
    </row>
    <row r="91" spans="2:18">
      <c r="B91" s="320" t="s">
        <v>222</v>
      </c>
      <c r="C91" s="123"/>
      <c r="D91" s="123"/>
      <c r="E91" s="123"/>
      <c r="F91" s="123"/>
      <c r="G91" s="123"/>
      <c r="H91" s="123"/>
      <c r="I91" s="123"/>
      <c r="J91" s="632"/>
      <c r="K91" s="632"/>
      <c r="L91" s="632"/>
      <c r="M91" s="632"/>
      <c r="N91" s="624"/>
      <c r="O91" s="619">
        <f t="shared" si="12"/>
        <v>0</v>
      </c>
    </row>
    <row r="92" spans="2:18">
      <c r="B92" s="323"/>
      <c r="C92" s="618"/>
      <c r="D92" s="618"/>
      <c r="E92" s="618"/>
      <c r="F92" s="618"/>
      <c r="G92" s="618"/>
      <c r="H92" s="618"/>
      <c r="I92" s="618"/>
      <c r="J92" s="618"/>
      <c r="K92" s="618"/>
      <c r="L92" s="618"/>
      <c r="M92" s="618"/>
      <c r="N92" s="386"/>
      <c r="O92" s="619">
        <f t="shared" si="12"/>
        <v>0</v>
      </c>
    </row>
    <row r="93" spans="2:18">
      <c r="B93" s="124" t="s">
        <v>223</v>
      </c>
      <c r="C93" s="618">
        <v>1</v>
      </c>
      <c r="D93" s="618">
        <v>1</v>
      </c>
      <c r="E93" s="618">
        <v>1</v>
      </c>
      <c r="F93" s="618">
        <v>1</v>
      </c>
      <c r="G93" s="618">
        <v>1</v>
      </c>
      <c r="H93" s="618">
        <v>1</v>
      </c>
      <c r="I93" s="618">
        <v>1</v>
      </c>
      <c r="J93" s="618">
        <v>1</v>
      </c>
      <c r="K93" s="618">
        <v>1</v>
      </c>
      <c r="L93" s="618">
        <v>1</v>
      </c>
      <c r="M93" s="618">
        <v>1</v>
      </c>
      <c r="N93" s="386">
        <v>1</v>
      </c>
      <c r="O93" s="619">
        <f t="shared" si="12"/>
        <v>12</v>
      </c>
      <c r="Q93" s="121" t="s">
        <v>17</v>
      </c>
      <c r="R93" s="310">
        <f>+SUM(C93:N93)</f>
        <v>12</v>
      </c>
    </row>
    <row r="94" spans="2:18">
      <c r="B94" s="124" t="s">
        <v>224</v>
      </c>
      <c r="C94" s="618">
        <v>1</v>
      </c>
      <c r="D94" s="618">
        <v>1</v>
      </c>
      <c r="E94" s="618">
        <v>1</v>
      </c>
      <c r="F94" s="618">
        <v>1</v>
      </c>
      <c r="G94" s="618">
        <v>1</v>
      </c>
      <c r="H94" s="618">
        <v>1</v>
      </c>
      <c r="I94" s="618">
        <v>1</v>
      </c>
      <c r="J94" s="618">
        <v>1</v>
      </c>
      <c r="K94" s="618">
        <v>1</v>
      </c>
      <c r="L94" s="618">
        <v>1</v>
      </c>
      <c r="M94" s="618">
        <v>1</v>
      </c>
      <c r="N94" s="386">
        <v>1</v>
      </c>
      <c r="O94" s="619">
        <f t="shared" si="12"/>
        <v>12</v>
      </c>
      <c r="Q94" s="121" t="s">
        <v>17</v>
      </c>
      <c r="R94" s="310">
        <f>+SUM(C94:N94)</f>
        <v>12</v>
      </c>
    </row>
    <row r="95" spans="2:18">
      <c r="B95" s="125" t="s">
        <v>260</v>
      </c>
      <c r="C95" s="618">
        <v>1</v>
      </c>
      <c r="D95" s="618">
        <v>1</v>
      </c>
      <c r="E95" s="618">
        <v>1</v>
      </c>
      <c r="F95" s="618">
        <v>1</v>
      </c>
      <c r="G95" s="618">
        <v>1</v>
      </c>
      <c r="H95" s="618">
        <v>1</v>
      </c>
      <c r="I95" s="618">
        <v>1</v>
      </c>
      <c r="J95" s="618">
        <v>1</v>
      </c>
      <c r="K95" s="618">
        <v>1</v>
      </c>
      <c r="L95" s="618">
        <v>1</v>
      </c>
      <c r="M95" s="618">
        <v>1</v>
      </c>
      <c r="N95" s="386">
        <v>1</v>
      </c>
      <c r="O95" s="619">
        <f t="shared" si="12"/>
        <v>12</v>
      </c>
      <c r="Q95" s="121" t="s">
        <v>16</v>
      </c>
      <c r="R95" s="310">
        <f>+SUM(C95:N95)</f>
        <v>12</v>
      </c>
    </row>
    <row r="96" spans="2:18">
      <c r="B96" s="622" t="s">
        <v>226</v>
      </c>
      <c r="C96" s="630">
        <v>3</v>
      </c>
      <c r="D96" s="630">
        <v>3</v>
      </c>
      <c r="E96" s="630">
        <v>3</v>
      </c>
      <c r="F96" s="630">
        <v>3</v>
      </c>
      <c r="G96" s="630">
        <v>3</v>
      </c>
      <c r="H96" s="630">
        <v>3</v>
      </c>
      <c r="I96" s="630">
        <v>3</v>
      </c>
      <c r="J96" s="630">
        <v>3</v>
      </c>
      <c r="K96" s="630">
        <v>3</v>
      </c>
      <c r="L96" s="630">
        <v>3</v>
      </c>
      <c r="M96" s="630">
        <v>3</v>
      </c>
      <c r="N96" s="631">
        <f>SUM(N92:N95)</f>
        <v>3</v>
      </c>
      <c r="O96" s="619">
        <f t="shared" si="12"/>
        <v>36</v>
      </c>
      <c r="Q96" s="121" t="s">
        <v>16</v>
      </c>
      <c r="R96" s="310">
        <f>+SUM(C96:N96)</f>
        <v>36</v>
      </c>
    </row>
    <row r="97" spans="2:18">
      <c r="B97" s="320" t="s">
        <v>227</v>
      </c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624"/>
      <c r="O97" s="619">
        <f t="shared" si="12"/>
        <v>0</v>
      </c>
    </row>
    <row r="98" spans="2:18">
      <c r="B98" s="124" t="s">
        <v>207</v>
      </c>
      <c r="C98" s="618"/>
      <c r="D98" s="618"/>
      <c r="E98" s="618"/>
      <c r="F98" s="618"/>
      <c r="G98" s="618"/>
      <c r="H98" s="618"/>
      <c r="I98" s="618"/>
      <c r="J98" s="618"/>
      <c r="K98" s="618"/>
      <c r="L98" s="618"/>
      <c r="M98" s="618"/>
      <c r="N98" s="386"/>
      <c r="O98" s="619">
        <f t="shared" si="12"/>
        <v>0</v>
      </c>
      <c r="Q98" s="121" t="s">
        <v>17</v>
      </c>
      <c r="R98" s="310"/>
    </row>
    <row r="99" spans="2:18">
      <c r="B99" s="125"/>
      <c r="C99" s="621"/>
      <c r="D99" s="621"/>
      <c r="E99" s="621"/>
      <c r="F99" s="621"/>
      <c r="G99" s="621"/>
      <c r="H99" s="621"/>
      <c r="I99" s="621"/>
      <c r="J99" s="621"/>
      <c r="K99" s="621"/>
      <c r="L99" s="621"/>
      <c r="M99" s="621"/>
      <c r="N99" s="373"/>
      <c r="O99" s="619">
        <f t="shared" si="12"/>
        <v>0</v>
      </c>
      <c r="Q99" s="121" t="s">
        <v>17</v>
      </c>
      <c r="R99" s="310">
        <f>+SUM(C99:N99)</f>
        <v>0</v>
      </c>
    </row>
    <row r="100" spans="2:18">
      <c r="B100" s="622" t="s">
        <v>228</v>
      </c>
      <c r="C100" s="619">
        <v>0</v>
      </c>
      <c r="D100" s="619">
        <v>0</v>
      </c>
      <c r="E100" s="619">
        <v>0</v>
      </c>
      <c r="F100" s="619">
        <v>0</v>
      </c>
      <c r="G100" s="619">
        <v>0</v>
      </c>
      <c r="H100" s="619">
        <v>0</v>
      </c>
      <c r="I100" s="619">
        <v>0</v>
      </c>
      <c r="J100" s="619">
        <v>0</v>
      </c>
      <c r="K100" s="619">
        <v>0</v>
      </c>
      <c r="L100" s="619">
        <v>0</v>
      </c>
      <c r="M100" s="619">
        <v>0</v>
      </c>
      <c r="N100" s="623">
        <f>+N98+N99</f>
        <v>0</v>
      </c>
      <c r="O100" s="619">
        <f t="shared" si="12"/>
        <v>0</v>
      </c>
    </row>
    <row r="101" spans="2:18">
      <c r="B101" s="324" t="s">
        <v>229</v>
      </c>
      <c r="C101" s="633">
        <v>88372</v>
      </c>
      <c r="D101" s="633">
        <v>88594</v>
      </c>
      <c r="E101" s="633">
        <v>88951</v>
      </c>
      <c r="F101" s="633">
        <v>89461</v>
      </c>
      <c r="G101" s="633">
        <v>89565</v>
      </c>
      <c r="H101" s="633">
        <v>89863</v>
      </c>
      <c r="I101" s="633">
        <v>90057</v>
      </c>
      <c r="J101" s="633">
        <v>90140</v>
      </c>
      <c r="K101" s="633">
        <v>90320</v>
      </c>
      <c r="L101" s="633">
        <v>90596</v>
      </c>
      <c r="M101" s="633">
        <v>91015</v>
      </c>
      <c r="N101" s="383">
        <f>+N14+N23+N64+N73+N90+N96+N100</f>
        <v>91392</v>
      </c>
      <c r="O101" s="619">
        <f t="shared" si="12"/>
        <v>1078326</v>
      </c>
    </row>
    <row r="102" spans="2:18">
      <c r="B102" s="634" t="s">
        <v>230</v>
      </c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624"/>
      <c r="O102" s="619">
        <f t="shared" si="12"/>
        <v>0</v>
      </c>
    </row>
    <row r="103" spans="2:18">
      <c r="B103" s="124" t="s">
        <v>231</v>
      </c>
      <c r="C103" s="618">
        <v>1</v>
      </c>
      <c r="D103" s="618">
        <v>1</v>
      </c>
      <c r="E103" s="618">
        <v>1</v>
      </c>
      <c r="F103" s="618">
        <v>1</v>
      </c>
      <c r="G103" s="618">
        <v>1</v>
      </c>
      <c r="H103" s="618">
        <v>1</v>
      </c>
      <c r="I103" s="618">
        <v>1</v>
      </c>
      <c r="J103" s="618">
        <v>1</v>
      </c>
      <c r="K103" s="618">
        <v>1</v>
      </c>
      <c r="L103" s="618">
        <v>1</v>
      </c>
      <c r="M103" s="618">
        <v>1</v>
      </c>
      <c r="N103" s="386">
        <v>1</v>
      </c>
      <c r="O103" s="619">
        <f t="shared" si="12"/>
        <v>12</v>
      </c>
      <c r="Q103" s="121" t="s">
        <v>16</v>
      </c>
      <c r="R103" s="310">
        <f>+SUM(C103:N103)</f>
        <v>12</v>
      </c>
    </row>
    <row r="104" spans="2:18">
      <c r="B104" s="124" t="s">
        <v>232</v>
      </c>
      <c r="C104" s="618">
        <v>1</v>
      </c>
      <c r="D104" s="618">
        <v>1</v>
      </c>
      <c r="E104" s="618">
        <v>1</v>
      </c>
      <c r="F104" s="618">
        <v>1</v>
      </c>
      <c r="G104" s="618">
        <v>1</v>
      </c>
      <c r="H104" s="618">
        <v>1</v>
      </c>
      <c r="I104" s="618">
        <v>1</v>
      </c>
      <c r="J104" s="618">
        <v>1</v>
      </c>
      <c r="K104" s="618">
        <v>1</v>
      </c>
      <c r="L104" s="618">
        <v>1</v>
      </c>
      <c r="M104" s="618">
        <v>1</v>
      </c>
      <c r="N104" s="386">
        <v>1</v>
      </c>
      <c r="O104" s="619">
        <f t="shared" si="12"/>
        <v>12</v>
      </c>
      <c r="Q104" s="121" t="s">
        <v>17</v>
      </c>
      <c r="R104" s="310">
        <f>+SUM(C104:N104)</f>
        <v>12</v>
      </c>
    </row>
    <row r="105" spans="2:18">
      <c r="B105" s="125" t="s">
        <v>233</v>
      </c>
      <c r="C105" s="621">
        <v>1</v>
      </c>
      <c r="D105" s="618">
        <v>1</v>
      </c>
      <c r="E105" s="618">
        <v>1</v>
      </c>
      <c r="F105" s="618">
        <v>1</v>
      </c>
      <c r="G105" s="618">
        <v>1</v>
      </c>
      <c r="H105" s="621">
        <v>1</v>
      </c>
      <c r="I105" s="621">
        <v>1</v>
      </c>
      <c r="J105" s="621">
        <v>1</v>
      </c>
      <c r="K105" s="621">
        <v>1</v>
      </c>
      <c r="L105" s="621">
        <v>1</v>
      </c>
      <c r="M105" s="621">
        <v>1</v>
      </c>
      <c r="N105" s="373">
        <v>1</v>
      </c>
      <c r="O105" s="619">
        <f t="shared" si="12"/>
        <v>12</v>
      </c>
      <c r="Q105" s="121" t="s">
        <v>17</v>
      </c>
      <c r="R105" s="310">
        <f>+SUM(C105:N105)</f>
        <v>12</v>
      </c>
    </row>
    <row r="106" spans="2:18">
      <c r="B106" s="635" t="s">
        <v>234</v>
      </c>
      <c r="C106" s="636">
        <v>3</v>
      </c>
      <c r="D106" s="636">
        <v>3</v>
      </c>
      <c r="E106" s="636">
        <v>3</v>
      </c>
      <c r="F106" s="636">
        <v>3</v>
      </c>
      <c r="G106" s="636">
        <v>3</v>
      </c>
      <c r="H106" s="636">
        <v>3</v>
      </c>
      <c r="I106" s="636">
        <v>3</v>
      </c>
      <c r="J106" s="636">
        <v>3</v>
      </c>
      <c r="K106" s="636">
        <v>3</v>
      </c>
      <c r="L106" s="636">
        <v>3</v>
      </c>
      <c r="M106" s="636">
        <v>3</v>
      </c>
      <c r="N106" s="637">
        <f>SUM(N103:N105)</f>
        <v>3</v>
      </c>
      <c r="O106" s="619">
        <f t="shared" si="12"/>
        <v>36</v>
      </c>
    </row>
    <row r="107" spans="2:18">
      <c r="B107" s="320" t="s">
        <v>235</v>
      </c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624"/>
      <c r="O107" s="619">
        <f t="shared" si="12"/>
        <v>0</v>
      </c>
    </row>
    <row r="108" spans="2:18">
      <c r="B108" s="124" t="s">
        <v>236</v>
      </c>
      <c r="C108" s="638">
        <v>0</v>
      </c>
      <c r="D108" s="638">
        <v>0</v>
      </c>
      <c r="E108" s="638">
        <v>0</v>
      </c>
      <c r="F108" s="638">
        <v>0</v>
      </c>
      <c r="G108" s="638">
        <v>0</v>
      </c>
      <c r="H108" s="618">
        <v>0</v>
      </c>
      <c r="I108" s="618">
        <v>0</v>
      </c>
      <c r="J108" s="618">
        <v>0</v>
      </c>
      <c r="K108" s="618">
        <v>0</v>
      </c>
      <c r="L108" s="618">
        <v>0</v>
      </c>
      <c r="M108" s="618">
        <v>0</v>
      </c>
      <c r="N108" s="386">
        <v>0</v>
      </c>
      <c r="O108" s="619">
        <f t="shared" si="12"/>
        <v>0</v>
      </c>
      <c r="Q108" s="121" t="s">
        <v>253</v>
      </c>
      <c r="R108" s="310">
        <f>+SUM(C108:N108)</f>
        <v>0</v>
      </c>
    </row>
    <row r="109" spans="2:18">
      <c r="B109" s="124" t="s">
        <v>237</v>
      </c>
      <c r="C109" s="638">
        <v>1</v>
      </c>
      <c r="D109" s="638">
        <v>1</v>
      </c>
      <c r="E109" s="638">
        <v>1</v>
      </c>
      <c r="F109" s="638">
        <v>1</v>
      </c>
      <c r="G109" s="638">
        <v>1</v>
      </c>
      <c r="H109" s="638">
        <v>1</v>
      </c>
      <c r="I109" s="638">
        <v>1</v>
      </c>
      <c r="J109" s="638">
        <v>1</v>
      </c>
      <c r="K109" s="638">
        <v>1</v>
      </c>
      <c r="L109" s="638">
        <v>1</v>
      </c>
      <c r="M109" s="638">
        <v>1</v>
      </c>
      <c r="N109" s="639">
        <v>1</v>
      </c>
      <c r="O109" s="619">
        <f t="shared" si="12"/>
        <v>12</v>
      </c>
      <c r="Q109" s="121" t="s">
        <v>17</v>
      </c>
      <c r="R109" s="310">
        <f>+SUM(C109:N109)</f>
        <v>12</v>
      </c>
    </row>
    <row r="110" spans="2:18">
      <c r="B110" s="125" t="s">
        <v>238</v>
      </c>
      <c r="C110" s="638">
        <v>1</v>
      </c>
      <c r="D110" s="638">
        <v>1</v>
      </c>
      <c r="E110" s="638">
        <v>1</v>
      </c>
      <c r="F110" s="638">
        <v>1</v>
      </c>
      <c r="G110" s="638">
        <v>1</v>
      </c>
      <c r="H110" s="638">
        <v>1</v>
      </c>
      <c r="I110" s="638">
        <v>1</v>
      </c>
      <c r="J110" s="638">
        <v>1</v>
      </c>
      <c r="K110" s="638">
        <v>1</v>
      </c>
      <c r="L110" s="638">
        <v>1</v>
      </c>
      <c r="M110" s="638">
        <v>1</v>
      </c>
      <c r="N110" s="639">
        <v>1</v>
      </c>
      <c r="O110" s="619">
        <f t="shared" si="12"/>
        <v>12</v>
      </c>
      <c r="Q110" s="121" t="s">
        <v>17</v>
      </c>
      <c r="R110" s="310">
        <f>+SUM(C110:N110)</f>
        <v>12</v>
      </c>
    </row>
    <row r="111" spans="2:18">
      <c r="B111" s="622" t="s">
        <v>239</v>
      </c>
      <c r="C111" s="636">
        <v>2</v>
      </c>
      <c r="D111" s="636">
        <v>2</v>
      </c>
      <c r="E111" s="636">
        <v>2</v>
      </c>
      <c r="F111" s="636">
        <v>2</v>
      </c>
      <c r="G111" s="636">
        <v>2</v>
      </c>
      <c r="H111" s="636">
        <v>2</v>
      </c>
      <c r="I111" s="636">
        <v>2</v>
      </c>
      <c r="J111" s="636">
        <v>2</v>
      </c>
      <c r="K111" s="636">
        <v>2</v>
      </c>
      <c r="L111" s="636">
        <v>2</v>
      </c>
      <c r="M111" s="636">
        <v>2</v>
      </c>
      <c r="N111" s="637">
        <f>SUM(N108:N110)</f>
        <v>2</v>
      </c>
      <c r="O111" s="619">
        <f t="shared" si="12"/>
        <v>24</v>
      </c>
      <c r="R111" s="310">
        <f t="shared" ref="R111:R127" si="14">+SUM(C111:N111)</f>
        <v>24</v>
      </c>
    </row>
    <row r="112" spans="2:18">
      <c r="B112" s="324" t="s">
        <v>240</v>
      </c>
      <c r="C112" s="633">
        <v>5</v>
      </c>
      <c r="D112" s="633">
        <v>5</v>
      </c>
      <c r="E112" s="633">
        <v>5</v>
      </c>
      <c r="F112" s="633">
        <v>5</v>
      </c>
      <c r="G112" s="633">
        <v>5</v>
      </c>
      <c r="H112" s="633">
        <v>5</v>
      </c>
      <c r="I112" s="633">
        <v>5</v>
      </c>
      <c r="J112" s="633">
        <v>5</v>
      </c>
      <c r="K112" s="633">
        <v>5</v>
      </c>
      <c r="L112" s="633">
        <v>5</v>
      </c>
      <c r="M112" s="633">
        <v>5</v>
      </c>
      <c r="N112" s="383">
        <f>+N106+N111</f>
        <v>5</v>
      </c>
      <c r="O112" s="619">
        <f t="shared" si="12"/>
        <v>60</v>
      </c>
      <c r="R112" s="310">
        <f t="shared" si="14"/>
        <v>60</v>
      </c>
    </row>
    <row r="113" spans="2:18">
      <c r="B113" s="640"/>
      <c r="C113" s="641"/>
      <c r="D113" s="641"/>
      <c r="E113" s="641"/>
      <c r="F113" s="641"/>
      <c r="G113" s="641"/>
      <c r="H113" s="641"/>
      <c r="I113" s="641"/>
      <c r="J113" s="641"/>
      <c r="K113" s="641"/>
      <c r="L113" s="641"/>
      <c r="M113" s="641"/>
      <c r="N113" s="423"/>
      <c r="O113" s="619">
        <f t="shared" si="12"/>
        <v>0</v>
      </c>
      <c r="R113" s="310">
        <f t="shared" si="14"/>
        <v>0</v>
      </c>
    </row>
    <row r="114" spans="2:18">
      <c r="B114" s="642" t="s">
        <v>254</v>
      </c>
      <c r="C114" s="641"/>
      <c r="D114" s="641"/>
      <c r="E114" s="641"/>
      <c r="F114" s="641"/>
      <c r="G114" s="641"/>
      <c r="H114" s="641"/>
      <c r="I114" s="641"/>
      <c r="J114" s="641"/>
      <c r="K114" s="641"/>
      <c r="L114" s="641"/>
      <c r="M114" s="641"/>
      <c r="N114" s="423"/>
      <c r="O114" s="619">
        <f t="shared" si="12"/>
        <v>0</v>
      </c>
      <c r="R114" s="310">
        <f t="shared" si="14"/>
        <v>0</v>
      </c>
    </row>
    <row r="115" spans="2:18">
      <c r="B115" s="643" t="s">
        <v>985</v>
      </c>
      <c r="C115" s="644">
        <v>179</v>
      </c>
      <c r="D115" s="644">
        <v>181</v>
      </c>
      <c r="E115" s="644">
        <v>184</v>
      </c>
      <c r="F115" s="644">
        <v>186</v>
      </c>
      <c r="G115" s="644">
        <v>181</v>
      </c>
      <c r="H115" s="644">
        <v>179</v>
      </c>
      <c r="I115" s="644">
        <v>178</v>
      </c>
      <c r="J115" s="644">
        <v>182</v>
      </c>
      <c r="K115" s="644">
        <v>186</v>
      </c>
      <c r="L115" s="644">
        <v>196</v>
      </c>
      <c r="M115" s="644">
        <v>196</v>
      </c>
      <c r="N115" s="429">
        <v>194</v>
      </c>
      <c r="O115" s="619">
        <f t="shared" si="12"/>
        <v>2222</v>
      </c>
      <c r="R115" s="310">
        <f t="shared" si="14"/>
        <v>2222</v>
      </c>
    </row>
    <row r="116" spans="2:18">
      <c r="B116" s="643" t="s">
        <v>986</v>
      </c>
      <c r="C116" s="644">
        <v>977</v>
      </c>
      <c r="D116" s="644">
        <v>979</v>
      </c>
      <c r="E116" s="644">
        <v>979</v>
      </c>
      <c r="F116" s="644">
        <v>988</v>
      </c>
      <c r="G116" s="644">
        <v>990</v>
      </c>
      <c r="H116" s="644">
        <v>989</v>
      </c>
      <c r="I116" s="644">
        <v>999</v>
      </c>
      <c r="J116" s="644">
        <v>1002</v>
      </c>
      <c r="K116" s="644">
        <v>1010</v>
      </c>
      <c r="L116" s="644">
        <v>1027</v>
      </c>
      <c r="M116" s="644">
        <v>1028</v>
      </c>
      <c r="N116" s="429">
        <v>1029</v>
      </c>
      <c r="O116" s="619">
        <f t="shared" si="12"/>
        <v>11997</v>
      </c>
      <c r="R116" s="310">
        <f t="shared" si="14"/>
        <v>11997</v>
      </c>
    </row>
    <row r="117" spans="2:18">
      <c r="B117" s="643" t="s">
        <v>987</v>
      </c>
      <c r="C117" s="644">
        <v>1173</v>
      </c>
      <c r="D117" s="644">
        <v>1171</v>
      </c>
      <c r="E117" s="644">
        <v>1178</v>
      </c>
      <c r="F117" s="644">
        <v>1198</v>
      </c>
      <c r="G117" s="644">
        <v>1194</v>
      </c>
      <c r="H117" s="644">
        <v>1188</v>
      </c>
      <c r="I117" s="644">
        <v>1194</v>
      </c>
      <c r="J117" s="644">
        <v>1196</v>
      </c>
      <c r="K117" s="644">
        <v>1200</v>
      </c>
      <c r="L117" s="644">
        <v>1199</v>
      </c>
      <c r="M117" s="644">
        <v>1202</v>
      </c>
      <c r="N117" s="429">
        <v>1196</v>
      </c>
      <c r="O117" s="619">
        <f t="shared" si="12"/>
        <v>14289</v>
      </c>
      <c r="R117" s="310">
        <f t="shared" si="14"/>
        <v>14289</v>
      </c>
    </row>
    <row r="118" spans="2:18">
      <c r="B118" s="643" t="s">
        <v>988</v>
      </c>
      <c r="C118" s="644">
        <v>43</v>
      </c>
      <c r="D118" s="644">
        <v>49</v>
      </c>
      <c r="E118" s="644">
        <v>45</v>
      </c>
      <c r="F118" s="644">
        <v>54</v>
      </c>
      <c r="G118" s="644">
        <v>41</v>
      </c>
      <c r="H118" s="644">
        <v>51</v>
      </c>
      <c r="I118" s="644">
        <v>52</v>
      </c>
      <c r="J118" s="644">
        <v>50</v>
      </c>
      <c r="K118" s="644">
        <v>51</v>
      </c>
      <c r="L118" s="644">
        <v>48</v>
      </c>
      <c r="M118" s="644">
        <v>52</v>
      </c>
      <c r="N118" s="429">
        <v>51</v>
      </c>
      <c r="O118" s="619">
        <f t="shared" si="12"/>
        <v>587</v>
      </c>
      <c r="R118" s="310">
        <f t="shared" si="14"/>
        <v>587</v>
      </c>
    </row>
    <row r="119" spans="2:18">
      <c r="B119" s="643" t="s">
        <v>989</v>
      </c>
      <c r="C119" s="644">
        <v>18</v>
      </c>
      <c r="D119" s="644">
        <v>18</v>
      </c>
      <c r="E119" s="644">
        <v>17</v>
      </c>
      <c r="F119" s="644">
        <v>17</v>
      </c>
      <c r="G119" s="644">
        <v>18</v>
      </c>
      <c r="H119" s="644">
        <v>18</v>
      </c>
      <c r="I119" s="644">
        <v>18</v>
      </c>
      <c r="J119" s="644">
        <v>18</v>
      </c>
      <c r="K119" s="644">
        <v>18</v>
      </c>
      <c r="L119" s="644">
        <v>18</v>
      </c>
      <c r="M119" s="644">
        <v>18</v>
      </c>
      <c r="N119" s="429">
        <v>18</v>
      </c>
      <c r="O119" s="619">
        <f t="shared" si="12"/>
        <v>214</v>
      </c>
      <c r="R119" s="310">
        <f t="shared" si="14"/>
        <v>214</v>
      </c>
    </row>
    <row r="120" spans="2:18">
      <c r="B120" s="643" t="s">
        <v>990</v>
      </c>
      <c r="C120" s="644">
        <v>8</v>
      </c>
      <c r="D120" s="644">
        <v>8</v>
      </c>
      <c r="E120" s="644">
        <v>8</v>
      </c>
      <c r="F120" s="644">
        <v>8</v>
      </c>
      <c r="G120" s="644">
        <v>8</v>
      </c>
      <c r="H120" s="644">
        <v>8</v>
      </c>
      <c r="I120" s="644">
        <v>9</v>
      </c>
      <c r="J120" s="644">
        <v>10</v>
      </c>
      <c r="K120" s="644">
        <v>9</v>
      </c>
      <c r="L120" s="644">
        <v>9</v>
      </c>
      <c r="M120" s="644">
        <v>9</v>
      </c>
      <c r="N120" s="429">
        <v>9</v>
      </c>
      <c r="O120" s="619">
        <f t="shared" si="12"/>
        <v>103</v>
      </c>
      <c r="R120" s="310">
        <f t="shared" si="14"/>
        <v>103</v>
      </c>
    </row>
    <row r="121" spans="2:18">
      <c r="B121" s="645" t="s">
        <v>256</v>
      </c>
      <c r="C121" s="646">
        <v>2398</v>
      </c>
      <c r="D121" s="646">
        <v>2406</v>
      </c>
      <c r="E121" s="646">
        <v>2411</v>
      </c>
      <c r="F121" s="646">
        <v>2451</v>
      </c>
      <c r="G121" s="646">
        <v>2432</v>
      </c>
      <c r="H121" s="646">
        <v>2433</v>
      </c>
      <c r="I121" s="646">
        <v>2450</v>
      </c>
      <c r="J121" s="646">
        <v>2458</v>
      </c>
      <c r="K121" s="646">
        <v>2474</v>
      </c>
      <c r="L121" s="646">
        <v>2497</v>
      </c>
      <c r="M121" s="646">
        <v>2505</v>
      </c>
      <c r="N121" s="426">
        <f>SUM(N115:N120)</f>
        <v>2497</v>
      </c>
      <c r="O121" s="619">
        <f t="shared" si="12"/>
        <v>29412</v>
      </c>
      <c r="R121" s="310">
        <f t="shared" si="14"/>
        <v>29412</v>
      </c>
    </row>
    <row r="122" spans="2:18">
      <c r="B122" s="645"/>
      <c r="C122" s="641"/>
      <c r="D122" s="641"/>
      <c r="E122" s="641"/>
      <c r="F122" s="641"/>
      <c r="G122" s="641"/>
      <c r="H122" s="641"/>
      <c r="I122" s="641"/>
      <c r="J122" s="641"/>
      <c r="K122" s="641"/>
      <c r="L122" s="641"/>
      <c r="M122" s="641"/>
      <c r="N122" s="423"/>
      <c r="O122" s="619">
        <f t="shared" si="12"/>
        <v>0</v>
      </c>
      <c r="R122" s="310">
        <f t="shared" si="14"/>
        <v>0</v>
      </c>
    </row>
    <row r="123" spans="2:18">
      <c r="B123" s="642" t="s">
        <v>257</v>
      </c>
      <c r="C123" s="641"/>
      <c r="D123" s="641"/>
      <c r="E123" s="641"/>
      <c r="F123" s="641"/>
      <c r="G123" s="641"/>
      <c r="H123" s="641"/>
      <c r="I123" s="641"/>
      <c r="J123" s="641"/>
      <c r="K123" s="641"/>
      <c r="L123" s="641"/>
      <c r="M123" s="641"/>
      <c r="N123" s="423"/>
      <c r="O123" s="619">
        <f t="shared" si="12"/>
        <v>0</v>
      </c>
      <c r="R123" s="310">
        <f t="shared" si="14"/>
        <v>0</v>
      </c>
    </row>
    <row r="124" spans="2:18">
      <c r="B124" s="643" t="s">
        <v>181</v>
      </c>
      <c r="C124" s="644">
        <v>38</v>
      </c>
      <c r="D124" s="644">
        <v>38</v>
      </c>
      <c r="E124" s="644">
        <v>40</v>
      </c>
      <c r="F124" s="644">
        <v>40</v>
      </c>
      <c r="G124" s="644">
        <v>40</v>
      </c>
      <c r="H124" s="644">
        <v>40</v>
      </c>
      <c r="I124" s="644">
        <v>40</v>
      </c>
      <c r="J124" s="644">
        <v>39</v>
      </c>
      <c r="K124" s="644">
        <v>39</v>
      </c>
      <c r="L124" s="644">
        <v>39</v>
      </c>
      <c r="M124" s="644">
        <v>39</v>
      </c>
      <c r="N124" s="429">
        <v>39</v>
      </c>
      <c r="O124" s="619">
        <f t="shared" si="12"/>
        <v>471</v>
      </c>
      <c r="R124" s="310">
        <f t="shared" si="14"/>
        <v>471</v>
      </c>
    </row>
    <row r="125" spans="2:18">
      <c r="B125" s="643" t="s">
        <v>184</v>
      </c>
      <c r="C125" s="644">
        <v>17</v>
      </c>
      <c r="D125" s="644">
        <v>17</v>
      </c>
      <c r="E125" s="644">
        <v>16</v>
      </c>
      <c r="F125" s="644">
        <v>16</v>
      </c>
      <c r="G125" s="644">
        <v>16</v>
      </c>
      <c r="H125" s="644">
        <v>16</v>
      </c>
      <c r="I125" s="644">
        <v>16</v>
      </c>
      <c r="J125" s="644">
        <v>16</v>
      </c>
      <c r="K125" s="644">
        <v>16</v>
      </c>
      <c r="L125" s="644">
        <v>16</v>
      </c>
      <c r="M125" s="644">
        <v>16</v>
      </c>
      <c r="N125" s="429">
        <v>16</v>
      </c>
      <c r="O125" s="619">
        <f t="shared" si="12"/>
        <v>194</v>
      </c>
      <c r="R125" s="310">
        <f t="shared" si="14"/>
        <v>194</v>
      </c>
    </row>
    <row r="126" spans="2:18">
      <c r="B126" s="645" t="s">
        <v>258</v>
      </c>
      <c r="C126" s="646">
        <v>55</v>
      </c>
      <c r="D126" s="646">
        <v>55</v>
      </c>
      <c r="E126" s="646">
        <v>56</v>
      </c>
      <c r="F126" s="646">
        <v>56</v>
      </c>
      <c r="G126" s="646">
        <v>56</v>
      </c>
      <c r="H126" s="646">
        <v>56</v>
      </c>
      <c r="I126" s="646">
        <v>56</v>
      </c>
      <c r="J126" s="646">
        <v>55</v>
      </c>
      <c r="K126" s="646">
        <v>55</v>
      </c>
      <c r="L126" s="646">
        <v>55</v>
      </c>
      <c r="M126" s="646">
        <v>55</v>
      </c>
      <c r="N126" s="426">
        <f>SUM(N124:N125)</f>
        <v>55</v>
      </c>
      <c r="O126" s="619">
        <f t="shared" si="12"/>
        <v>665</v>
      </c>
      <c r="R126" s="310">
        <f t="shared" si="14"/>
        <v>665</v>
      </c>
    </row>
    <row r="127" spans="2:18">
      <c r="B127" s="633">
        <f>SUM(B14,B23,B64,B73,B90,B96,B100,B106,B111)</f>
        <v>0</v>
      </c>
      <c r="C127" s="633">
        <v>88377</v>
      </c>
      <c r="D127" s="633">
        <v>88599</v>
      </c>
      <c r="E127" s="633">
        <v>88956</v>
      </c>
      <c r="F127" s="633">
        <v>89466</v>
      </c>
      <c r="G127" s="633">
        <v>89570</v>
      </c>
      <c r="H127" s="633">
        <v>89868</v>
      </c>
      <c r="I127" s="633">
        <v>90062</v>
      </c>
      <c r="J127" s="633">
        <v>90145</v>
      </c>
      <c r="K127" s="633">
        <v>90325</v>
      </c>
      <c r="L127" s="633">
        <v>90601</v>
      </c>
      <c r="M127" s="633">
        <v>91020</v>
      </c>
      <c r="N127" s="383">
        <f>SUM(N14,N23,N64,N73,N90,N96,N100,N106,N111)</f>
        <v>91397</v>
      </c>
      <c r="O127" s="619">
        <f t="shared" si="12"/>
        <v>1078386</v>
      </c>
      <c r="R127" s="310">
        <f t="shared" si="14"/>
        <v>1078386</v>
      </c>
    </row>
    <row r="129" spans="2:22">
      <c r="B129" s="647"/>
      <c r="C129" s="647"/>
      <c r="D129" s="647"/>
      <c r="R129" s="647"/>
      <c r="S129" s="647"/>
    </row>
    <row r="130" spans="2:22">
      <c r="B130" s="647"/>
      <c r="C130" s="647"/>
      <c r="D130" s="647"/>
      <c r="R130" s="647"/>
      <c r="S130" s="647"/>
    </row>
    <row r="131" spans="2:22">
      <c r="B131" s="647"/>
      <c r="C131" s="647"/>
      <c r="D131" s="647"/>
      <c r="R131" s="647"/>
      <c r="S131" s="647"/>
    </row>
    <row r="132" spans="2:22">
      <c r="B132" s="647"/>
      <c r="C132" s="647"/>
      <c r="D132" s="647"/>
      <c r="R132" s="647"/>
      <c r="S132" s="647"/>
    </row>
    <row r="133" spans="2:22">
      <c r="S133" s="647"/>
    </row>
    <row r="134" spans="2:22">
      <c r="S134" s="647"/>
    </row>
    <row r="135" spans="2:22" s="122" customFormat="1">
      <c r="B135" s="648" t="s">
        <v>1416</v>
      </c>
      <c r="U135" s="121"/>
      <c r="V135" s="121"/>
    </row>
    <row r="136" spans="2:22" s="122" customFormat="1">
      <c r="B136" s="289" t="s">
        <v>706</v>
      </c>
      <c r="C136" s="264">
        <v>19</v>
      </c>
      <c r="D136" s="264">
        <v>19</v>
      </c>
      <c r="E136" s="264">
        <v>19</v>
      </c>
      <c r="F136" s="264">
        <v>19</v>
      </c>
      <c r="G136" s="264">
        <v>19</v>
      </c>
      <c r="H136" s="264">
        <v>19</v>
      </c>
      <c r="I136" s="264">
        <v>19</v>
      </c>
      <c r="J136" s="264">
        <v>19</v>
      </c>
      <c r="K136" s="264">
        <v>19</v>
      </c>
      <c r="L136" s="264">
        <v>19</v>
      </c>
      <c r="M136" s="264">
        <v>19</v>
      </c>
      <c r="N136" s="264">
        <v>19</v>
      </c>
      <c r="O136" s="619">
        <f t="shared" ref="O136:O141" si="15">SUM(C136:N136)</f>
        <v>228</v>
      </c>
      <c r="Q136" s="121" t="s">
        <v>14</v>
      </c>
      <c r="R136" s="649">
        <f t="shared" ref="R136:R141" si="16">O136</f>
        <v>228</v>
      </c>
      <c r="S136" s="121" t="s">
        <v>706</v>
      </c>
      <c r="T136" s="121" t="s">
        <v>1417</v>
      </c>
      <c r="U136" s="257"/>
      <c r="V136" s="257"/>
    </row>
    <row r="137" spans="2:22" s="122" customFormat="1">
      <c r="B137" s="289" t="s">
        <v>709</v>
      </c>
      <c r="C137" s="264">
        <v>5</v>
      </c>
      <c r="D137" s="264">
        <v>5</v>
      </c>
      <c r="E137" s="264">
        <v>5</v>
      </c>
      <c r="F137" s="264">
        <v>5</v>
      </c>
      <c r="G137" s="264">
        <v>5</v>
      </c>
      <c r="H137" s="264">
        <v>5</v>
      </c>
      <c r="I137" s="264">
        <v>5</v>
      </c>
      <c r="J137" s="264">
        <v>5</v>
      </c>
      <c r="K137" s="264">
        <v>5</v>
      </c>
      <c r="L137" s="264">
        <v>5</v>
      </c>
      <c r="M137" s="264">
        <v>5</v>
      </c>
      <c r="N137" s="264">
        <v>5</v>
      </c>
      <c r="O137" s="619">
        <f t="shared" si="15"/>
        <v>60</v>
      </c>
      <c r="Q137" s="121" t="s">
        <v>14</v>
      </c>
      <c r="R137" s="649">
        <f t="shared" si="16"/>
        <v>60</v>
      </c>
      <c r="S137" s="121" t="s">
        <v>709</v>
      </c>
      <c r="T137" s="121" t="s">
        <v>1417</v>
      </c>
      <c r="U137" s="257"/>
      <c r="V137" s="257"/>
    </row>
    <row r="138" spans="2:22" s="122" customFormat="1">
      <c r="B138" s="289" t="s">
        <v>711</v>
      </c>
      <c r="C138" s="264">
        <v>2</v>
      </c>
      <c r="D138" s="264">
        <v>2</v>
      </c>
      <c r="E138" s="264">
        <v>2</v>
      </c>
      <c r="F138" s="264">
        <v>2</v>
      </c>
      <c r="G138" s="264">
        <v>2</v>
      </c>
      <c r="H138" s="264">
        <v>2</v>
      </c>
      <c r="I138" s="264">
        <v>2</v>
      </c>
      <c r="J138" s="264">
        <v>2</v>
      </c>
      <c r="K138" s="264">
        <v>2</v>
      </c>
      <c r="L138" s="264">
        <v>2</v>
      </c>
      <c r="M138" s="264">
        <v>2</v>
      </c>
      <c r="N138" s="264">
        <v>2</v>
      </c>
      <c r="O138" s="619">
        <f t="shared" si="15"/>
        <v>24</v>
      </c>
      <c r="Q138" s="121" t="s">
        <v>14</v>
      </c>
      <c r="R138" s="649">
        <f t="shared" si="16"/>
        <v>24</v>
      </c>
      <c r="S138" s="121" t="s">
        <v>711</v>
      </c>
      <c r="T138" s="121" t="s">
        <v>1417</v>
      </c>
      <c r="U138" s="257"/>
      <c r="V138" s="257"/>
    </row>
    <row r="139" spans="2:22" s="122" customFormat="1">
      <c r="B139" s="289" t="s">
        <v>713</v>
      </c>
      <c r="C139" s="264">
        <v>2</v>
      </c>
      <c r="D139" s="264">
        <v>2</v>
      </c>
      <c r="E139" s="264">
        <v>2</v>
      </c>
      <c r="F139" s="264">
        <v>2</v>
      </c>
      <c r="G139" s="264">
        <v>2</v>
      </c>
      <c r="H139" s="264">
        <v>2</v>
      </c>
      <c r="I139" s="264">
        <v>2</v>
      </c>
      <c r="J139" s="264">
        <v>2</v>
      </c>
      <c r="K139" s="264">
        <v>2</v>
      </c>
      <c r="L139" s="264">
        <v>2</v>
      </c>
      <c r="M139" s="264">
        <v>2</v>
      </c>
      <c r="N139" s="264">
        <v>2</v>
      </c>
      <c r="O139" s="619">
        <f t="shared" si="15"/>
        <v>24</v>
      </c>
      <c r="Q139" s="121" t="s">
        <v>14</v>
      </c>
      <c r="R139" s="649">
        <f t="shared" si="16"/>
        <v>24</v>
      </c>
      <c r="S139" s="121" t="s">
        <v>713</v>
      </c>
      <c r="T139" s="121" t="s">
        <v>1417</v>
      </c>
      <c r="U139" s="257"/>
      <c r="V139" s="257"/>
    </row>
    <row r="140" spans="2:22" s="122" customFormat="1">
      <c r="B140" s="289" t="s">
        <v>716</v>
      </c>
      <c r="C140" s="264">
        <v>4</v>
      </c>
      <c r="D140" s="264">
        <v>4</v>
      </c>
      <c r="E140" s="264">
        <v>4</v>
      </c>
      <c r="F140" s="264">
        <v>4</v>
      </c>
      <c r="G140" s="264">
        <v>4</v>
      </c>
      <c r="H140" s="264">
        <v>4</v>
      </c>
      <c r="I140" s="264">
        <v>4</v>
      </c>
      <c r="J140" s="264">
        <v>4</v>
      </c>
      <c r="K140" s="264">
        <v>4</v>
      </c>
      <c r="L140" s="264">
        <v>4</v>
      </c>
      <c r="M140" s="264">
        <v>4</v>
      </c>
      <c r="N140" s="264">
        <v>4</v>
      </c>
      <c r="O140" s="619">
        <f t="shared" si="15"/>
        <v>48</v>
      </c>
      <c r="Q140" s="121" t="s">
        <v>14</v>
      </c>
      <c r="R140" s="649">
        <f t="shared" si="16"/>
        <v>48</v>
      </c>
      <c r="S140" s="121" t="s">
        <v>706</v>
      </c>
      <c r="T140" s="121" t="s">
        <v>1417</v>
      </c>
      <c r="U140" s="257"/>
      <c r="V140" s="257"/>
    </row>
    <row r="141" spans="2:22" s="122" customFormat="1">
      <c r="B141" s="289" t="s">
        <v>719</v>
      </c>
      <c r="C141" s="264">
        <v>4</v>
      </c>
      <c r="D141" s="264">
        <v>4</v>
      </c>
      <c r="E141" s="264">
        <v>4</v>
      </c>
      <c r="F141" s="264">
        <v>4</v>
      </c>
      <c r="G141" s="264">
        <v>4</v>
      </c>
      <c r="H141" s="264">
        <v>4</v>
      </c>
      <c r="I141" s="264">
        <v>4</v>
      </c>
      <c r="J141" s="264">
        <v>4</v>
      </c>
      <c r="K141" s="264">
        <v>4</v>
      </c>
      <c r="L141" s="264">
        <v>4</v>
      </c>
      <c r="M141" s="264">
        <v>4</v>
      </c>
      <c r="N141" s="264">
        <v>4</v>
      </c>
      <c r="O141" s="619">
        <f t="shared" si="15"/>
        <v>48</v>
      </c>
      <c r="Q141" s="121" t="s">
        <v>14</v>
      </c>
      <c r="R141" s="649">
        <f t="shared" si="16"/>
        <v>48</v>
      </c>
      <c r="S141" s="121" t="s">
        <v>709</v>
      </c>
      <c r="T141" s="121" t="s">
        <v>1417</v>
      </c>
      <c r="U141" s="257"/>
      <c r="V141" s="257"/>
    </row>
    <row r="143" spans="2:22">
      <c r="C143" s="629"/>
      <c r="D143" s="650"/>
      <c r="E143" s="650"/>
      <c r="F143" s="650"/>
      <c r="G143" s="650"/>
      <c r="H143" s="650"/>
      <c r="I143" s="650"/>
      <c r="J143" s="650"/>
      <c r="K143" s="650"/>
      <c r="L143" s="650"/>
      <c r="M143" s="650"/>
      <c r="N143" s="650"/>
      <c r="O143" s="629"/>
    </row>
    <row r="144" spans="2:22">
      <c r="C144" s="650"/>
      <c r="D144" s="650"/>
      <c r="E144" s="650"/>
      <c r="F144" s="650"/>
      <c r="G144" s="650"/>
      <c r="H144" s="650"/>
      <c r="I144" s="650"/>
      <c r="J144" s="650"/>
      <c r="K144" s="650"/>
      <c r="L144" s="650"/>
      <c r="M144" s="650"/>
      <c r="N144" s="650"/>
      <c r="O144" s="650"/>
    </row>
    <row r="145" spans="3:15">
      <c r="C145" s="650"/>
      <c r="D145" s="650"/>
      <c r="E145" s="650"/>
      <c r="F145" s="650"/>
      <c r="G145" s="650"/>
      <c r="H145" s="650"/>
      <c r="I145" s="650"/>
      <c r="J145" s="650"/>
      <c r="K145" s="650"/>
      <c r="L145" s="650"/>
      <c r="M145" s="650"/>
      <c r="N145" s="650"/>
      <c r="O145" s="650"/>
    </row>
    <row r="146" spans="3:15">
      <c r="C146" s="650"/>
      <c r="D146" s="650"/>
      <c r="E146" s="650"/>
      <c r="F146" s="650"/>
      <c r="G146" s="650"/>
      <c r="H146" s="650"/>
      <c r="I146" s="650"/>
      <c r="J146" s="650"/>
      <c r="K146" s="650"/>
      <c r="L146" s="650"/>
      <c r="M146" s="650"/>
      <c r="N146" s="650"/>
      <c r="O146" s="650"/>
    </row>
    <row r="147" spans="3:15">
      <c r="C147" s="650"/>
      <c r="D147" s="650"/>
      <c r="E147" s="650"/>
      <c r="F147" s="650"/>
      <c r="G147" s="650"/>
      <c r="H147" s="650"/>
      <c r="I147" s="650"/>
      <c r="J147" s="650"/>
      <c r="K147" s="650"/>
      <c r="L147" s="650"/>
      <c r="M147" s="650"/>
      <c r="N147" s="650"/>
      <c r="O147" s="650"/>
    </row>
    <row r="148" spans="3:15">
      <c r="C148" s="650"/>
      <c r="D148" s="650"/>
      <c r="E148" s="650"/>
      <c r="F148" s="650"/>
      <c r="G148" s="650"/>
      <c r="H148" s="650"/>
      <c r="I148" s="650"/>
      <c r="J148" s="650"/>
      <c r="K148" s="650"/>
      <c r="L148" s="650"/>
      <c r="M148" s="650"/>
      <c r="N148" s="650"/>
      <c r="O148" s="650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A924A-56AC-4215-8E37-B5C50BC04FCD}">
  <sheetPr codeName="Sheet43">
    <tabColor theme="0" tint="-0.34998626667073579"/>
  </sheetPr>
  <dimension ref="B1:W157"/>
  <sheetViews>
    <sheetView workbookViewId="0"/>
  </sheetViews>
  <sheetFormatPr defaultColWidth="9.140625" defaultRowHeight="12.75"/>
  <cols>
    <col min="1" max="1" width="3.85546875" style="651" customWidth="1"/>
    <col min="2" max="2" width="27.28515625" style="651" customWidth="1"/>
    <col min="3" max="14" width="11.42578125" style="651" bestFit="1" customWidth="1"/>
    <col min="15" max="15" width="12.42578125" style="651" bestFit="1" customWidth="1"/>
    <col min="16" max="16" width="9.7109375" style="651" bestFit="1" customWidth="1"/>
    <col min="17" max="17" width="9.140625" style="651"/>
    <col min="18" max="18" width="37.140625" style="651" bestFit="1" customWidth="1"/>
    <col min="19" max="19" width="9.140625" style="651"/>
    <col min="20" max="20" width="27" style="651" bestFit="1" customWidth="1"/>
    <col min="21" max="21" width="11.42578125" style="121" bestFit="1" customWidth="1"/>
    <col min="22" max="22" width="9.140625" style="121" bestFit="1" customWidth="1"/>
    <col min="23" max="16384" width="9.140625" style="651"/>
  </cols>
  <sheetData>
    <row r="1" spans="2:22">
      <c r="B1" s="651" t="s">
        <v>977</v>
      </c>
      <c r="C1" s="652">
        <v>1</v>
      </c>
      <c r="D1" s="652">
        <v>2</v>
      </c>
      <c r="E1" s="652">
        <v>3</v>
      </c>
      <c r="F1" s="652">
        <v>4</v>
      </c>
      <c r="G1" s="652">
        <v>5</v>
      </c>
      <c r="H1" s="652">
        <v>6</v>
      </c>
      <c r="I1" s="652">
        <v>7</v>
      </c>
      <c r="J1" s="652">
        <v>8</v>
      </c>
      <c r="K1" s="652">
        <v>9</v>
      </c>
      <c r="L1" s="652">
        <v>10</v>
      </c>
      <c r="M1" s="652">
        <v>11</v>
      </c>
      <c r="N1" s="652">
        <v>12</v>
      </c>
      <c r="U1" s="121" t="s">
        <v>1403</v>
      </c>
      <c r="V1" s="121" t="s">
        <v>1405</v>
      </c>
    </row>
    <row r="2" spans="2:22">
      <c r="B2" s="615" t="s">
        <v>158</v>
      </c>
      <c r="C2" s="653">
        <v>44197</v>
      </c>
      <c r="D2" s="653">
        <v>44228</v>
      </c>
      <c r="E2" s="653">
        <v>44256</v>
      </c>
      <c r="F2" s="653">
        <v>44287</v>
      </c>
      <c r="G2" s="653">
        <v>44317</v>
      </c>
      <c r="H2" s="653">
        <v>44348</v>
      </c>
      <c r="I2" s="653">
        <v>44378</v>
      </c>
      <c r="J2" s="653">
        <v>44409</v>
      </c>
      <c r="K2" s="653">
        <v>44440</v>
      </c>
      <c r="L2" s="653">
        <v>44470</v>
      </c>
      <c r="M2" s="653">
        <v>44501</v>
      </c>
      <c r="N2" s="653">
        <v>44531</v>
      </c>
      <c r="O2" s="259" t="s">
        <v>978</v>
      </c>
      <c r="Q2" s="121"/>
      <c r="R2" s="121" t="s">
        <v>19</v>
      </c>
      <c r="S2" s="121"/>
      <c r="T2" s="121" t="s">
        <v>159</v>
      </c>
      <c r="U2" s="257"/>
      <c r="V2" s="257"/>
    </row>
    <row r="3" spans="2:22">
      <c r="B3" s="617" t="s">
        <v>114</v>
      </c>
      <c r="C3" s="654">
        <v>11351.75</v>
      </c>
      <c r="D3" s="654">
        <v>8786.0800000000309</v>
      </c>
      <c r="E3" s="654">
        <v>8373.1400000000303</v>
      </c>
      <c r="F3" s="654">
        <v>8728.6900000000096</v>
      </c>
      <c r="G3" s="654">
        <v>6463.0099999999502</v>
      </c>
      <c r="H3" s="654">
        <v>6052.9499999999798</v>
      </c>
      <c r="I3" s="654">
        <v>6178.0500000000102</v>
      </c>
      <c r="J3" s="654">
        <v>5713.9500000000298</v>
      </c>
      <c r="K3" s="654">
        <v>6405.2799999999797</v>
      </c>
      <c r="L3" s="654">
        <v>6239.9499999999898</v>
      </c>
      <c r="M3" s="654">
        <v>7330.73</v>
      </c>
      <c r="N3" s="654">
        <v>9796.3799999999501</v>
      </c>
      <c r="O3" s="619">
        <f>SUM(C3:N3)</f>
        <v>91419.959999999948</v>
      </c>
      <c r="P3" s="655"/>
      <c r="Q3" s="121" t="s">
        <v>17</v>
      </c>
      <c r="R3" s="121" t="str">
        <f>CONCATENATE(Q3," - ",B3, " R")</f>
        <v>CFG - FTS-A R</v>
      </c>
      <c r="S3" s="121"/>
      <c r="T3" s="121" t="s">
        <v>160</v>
      </c>
      <c r="U3" s="257">
        <f>MAX(C3:N3)</f>
        <v>11351.75</v>
      </c>
      <c r="V3" s="257">
        <f>IFERROR(INDEX($C$1:$N$1,MATCH(U3,C3:N3,0)),0)</f>
        <v>1</v>
      </c>
    </row>
    <row r="4" spans="2:22">
      <c r="B4" s="617" t="s">
        <v>115</v>
      </c>
      <c r="C4" s="654">
        <v>36943.209999999897</v>
      </c>
      <c r="D4" s="654">
        <v>28284.829999999602</v>
      </c>
      <c r="E4" s="654">
        <v>24660.0700000004</v>
      </c>
      <c r="F4" s="654">
        <v>26575.5099999999</v>
      </c>
      <c r="G4" s="654">
        <v>20283.099999999798</v>
      </c>
      <c r="H4" s="654">
        <v>19602.550000000199</v>
      </c>
      <c r="I4" s="654">
        <v>20004.279999999901</v>
      </c>
      <c r="J4" s="654">
        <v>18649.919999999802</v>
      </c>
      <c r="K4" s="654">
        <v>20356.680000000099</v>
      </c>
      <c r="L4" s="654">
        <v>19536.389999999901</v>
      </c>
      <c r="M4" s="654">
        <v>21566.309999999899</v>
      </c>
      <c r="N4" s="654">
        <v>30811.46</v>
      </c>
      <c r="O4" s="619">
        <f t="shared" ref="O4:O67" si="0">SUM(C4:N4)</f>
        <v>287274.30999999942</v>
      </c>
      <c r="Q4" s="121" t="s">
        <v>17</v>
      </c>
      <c r="R4" s="121" t="str">
        <f>CONCATENATE(Q4," - ",B4, " R")</f>
        <v>CFG - FTS-B R</v>
      </c>
      <c r="S4" s="121"/>
      <c r="T4" s="121" t="s">
        <v>160</v>
      </c>
      <c r="U4" s="257">
        <f t="shared" ref="U4:U67" si="1">MAX(C4:N4)</f>
        <v>36943.209999999897</v>
      </c>
      <c r="V4" s="257">
        <f t="shared" ref="V4:V67" si="2">IFERROR(INDEX($C$1:$N$1,MATCH(U4,C4:N4,0)),0)</f>
        <v>1</v>
      </c>
    </row>
    <row r="5" spans="2:22">
      <c r="B5" s="617" t="s">
        <v>116</v>
      </c>
      <c r="C5" s="654">
        <v>368937.42</v>
      </c>
      <c r="D5" s="654">
        <v>264626.39000000898</v>
      </c>
      <c r="E5" s="654">
        <v>239012.90999999101</v>
      </c>
      <c r="F5" s="654">
        <v>257787.70000000499</v>
      </c>
      <c r="G5" s="654">
        <v>177782.920000015</v>
      </c>
      <c r="H5" s="654">
        <v>165720.29999999801</v>
      </c>
      <c r="I5" s="654">
        <v>160050.92999999801</v>
      </c>
      <c r="J5" s="654">
        <v>140242.14000000901</v>
      </c>
      <c r="K5" s="654">
        <v>148310.96999999401</v>
      </c>
      <c r="L5" s="654">
        <v>153985.19</v>
      </c>
      <c r="M5" s="654">
        <v>190140.60999999099</v>
      </c>
      <c r="N5" s="654">
        <v>297532.95999999798</v>
      </c>
      <c r="O5" s="619">
        <f t="shared" si="0"/>
        <v>2564130.4400000079</v>
      </c>
      <c r="Q5" s="121" t="s">
        <v>17</v>
      </c>
      <c r="R5" s="121" t="str">
        <f>CONCATENATE(Q5," - ",B5," R")</f>
        <v>CFG - FTS-1 R</v>
      </c>
      <c r="S5" s="121"/>
      <c r="T5" s="121" t="s">
        <v>160</v>
      </c>
      <c r="U5" s="257">
        <f t="shared" si="1"/>
        <v>368937.42</v>
      </c>
      <c r="V5" s="257">
        <f t="shared" si="2"/>
        <v>1</v>
      </c>
    </row>
    <row r="6" spans="2:22">
      <c r="B6" s="617" t="s">
        <v>117</v>
      </c>
      <c r="C6" s="654">
        <v>69236.750000000102</v>
      </c>
      <c r="D6" s="654">
        <v>50096.36</v>
      </c>
      <c r="E6" s="654">
        <v>53394.99</v>
      </c>
      <c r="F6" s="654">
        <v>54751.520000000099</v>
      </c>
      <c r="G6" s="654">
        <v>27922.199999999899</v>
      </c>
      <c r="H6" s="654">
        <v>22236.34</v>
      </c>
      <c r="I6" s="654">
        <v>21402.58</v>
      </c>
      <c r="J6" s="654">
        <v>15262.82</v>
      </c>
      <c r="K6" s="654">
        <v>14455.59</v>
      </c>
      <c r="L6" s="654">
        <v>20638.91</v>
      </c>
      <c r="M6" s="654">
        <v>36193.699999999903</v>
      </c>
      <c r="N6" s="654">
        <v>67215.02</v>
      </c>
      <c r="O6" s="619">
        <f t="shared" si="0"/>
        <v>452806.78</v>
      </c>
      <c r="Q6" s="121" t="s">
        <v>17</v>
      </c>
      <c r="R6" s="121" t="str">
        <f>CONCATENATE(Q6," - ",B6," R")</f>
        <v>CFG - FTS-2 R</v>
      </c>
      <c r="S6" s="121"/>
      <c r="T6" s="121" t="s">
        <v>160</v>
      </c>
      <c r="U6" s="257">
        <f t="shared" si="1"/>
        <v>69236.750000000102</v>
      </c>
      <c r="V6" s="257">
        <f t="shared" si="2"/>
        <v>1</v>
      </c>
    </row>
    <row r="7" spans="2:22">
      <c r="B7" s="617" t="s">
        <v>118</v>
      </c>
      <c r="C7" s="654">
        <v>76185.350000000006</v>
      </c>
      <c r="D7" s="654">
        <v>56214.03</v>
      </c>
      <c r="E7" s="654">
        <v>60855.35</v>
      </c>
      <c r="F7" s="654">
        <v>58452.99</v>
      </c>
      <c r="G7" s="654">
        <v>25803.34</v>
      </c>
      <c r="H7" s="654">
        <v>21460.03</v>
      </c>
      <c r="I7" s="654">
        <v>20096.099999999999</v>
      </c>
      <c r="J7" s="654">
        <v>16457.759999999998</v>
      </c>
      <c r="K7" s="654">
        <v>11747.21</v>
      </c>
      <c r="L7" s="654">
        <v>19821.29</v>
      </c>
      <c r="M7" s="654">
        <v>37219.26</v>
      </c>
      <c r="N7" s="654">
        <v>73275.679999999993</v>
      </c>
      <c r="O7" s="619">
        <f t="shared" si="0"/>
        <v>477588.38999999996</v>
      </c>
      <c r="Q7" s="121" t="s">
        <v>17</v>
      </c>
      <c r="R7" s="121" t="str">
        <f>CONCATENATE(Q7," - ",B7," R")</f>
        <v>CFG - FTS-2.1 R</v>
      </c>
      <c r="S7" s="121"/>
      <c r="T7" s="121" t="s">
        <v>160</v>
      </c>
      <c r="U7" s="257">
        <f t="shared" si="1"/>
        <v>76185.350000000006</v>
      </c>
      <c r="V7" s="257">
        <f t="shared" si="2"/>
        <v>1</v>
      </c>
    </row>
    <row r="8" spans="2:22">
      <c r="B8" s="620" t="s">
        <v>119</v>
      </c>
      <c r="C8" s="654">
        <v>7784.91</v>
      </c>
      <c r="D8" s="654">
        <v>5350.02</v>
      </c>
      <c r="E8" s="654">
        <v>4190.9799999999996</v>
      </c>
      <c r="F8" s="654">
        <v>3568.34</v>
      </c>
      <c r="G8" s="654">
        <v>1416.87</v>
      </c>
      <c r="H8" s="654">
        <v>1175.3800000000001</v>
      </c>
      <c r="I8" s="654">
        <v>1014.55</v>
      </c>
      <c r="J8" s="654">
        <v>655.84</v>
      </c>
      <c r="K8" s="654">
        <v>566.65</v>
      </c>
      <c r="L8" s="654">
        <v>1249.69</v>
      </c>
      <c r="M8" s="654">
        <v>2970.2</v>
      </c>
      <c r="N8" s="654">
        <v>4357.7299999999996</v>
      </c>
      <c r="O8" s="619">
        <f t="shared" si="0"/>
        <v>34301.160000000003</v>
      </c>
      <c r="Q8" s="121" t="s">
        <v>17</v>
      </c>
      <c r="R8" s="121" t="str">
        <f>CONCATENATE(Q8," - ",B8, " R")</f>
        <v>CFG - FTS-3 R</v>
      </c>
      <c r="S8" s="121"/>
      <c r="T8" s="121" t="s">
        <v>160</v>
      </c>
      <c r="U8" s="257">
        <f t="shared" si="1"/>
        <v>7784.91</v>
      </c>
      <c r="V8" s="257">
        <f t="shared" si="2"/>
        <v>1</v>
      </c>
    </row>
    <row r="9" spans="2:22">
      <c r="B9" s="620" t="s">
        <v>120</v>
      </c>
      <c r="C9" s="654">
        <v>0</v>
      </c>
      <c r="D9" s="654">
        <v>0</v>
      </c>
      <c r="E9" s="654">
        <v>0</v>
      </c>
      <c r="F9" s="654">
        <v>0</v>
      </c>
      <c r="G9" s="654">
        <v>0</v>
      </c>
      <c r="H9" s="654">
        <v>0</v>
      </c>
      <c r="I9" s="654">
        <v>0</v>
      </c>
      <c r="J9" s="654">
        <v>0</v>
      </c>
      <c r="K9" s="654">
        <v>0</v>
      </c>
      <c r="L9" s="654">
        <v>0</v>
      </c>
      <c r="M9" s="654">
        <v>0</v>
      </c>
      <c r="N9" s="654">
        <v>0</v>
      </c>
      <c r="O9" s="619">
        <f t="shared" si="0"/>
        <v>0</v>
      </c>
      <c r="Q9" s="121" t="s">
        <v>17</v>
      </c>
      <c r="R9" s="121" t="str">
        <f>CONCATENATE(Q9," - ",B9, " R")</f>
        <v>CFG - FTS-3.1 R</v>
      </c>
      <c r="S9" s="121"/>
      <c r="T9" s="121" t="s">
        <v>160</v>
      </c>
      <c r="U9" s="257">
        <f t="shared" si="1"/>
        <v>0</v>
      </c>
      <c r="V9" s="257">
        <f t="shared" si="2"/>
        <v>1</v>
      </c>
    </row>
    <row r="10" spans="2:22">
      <c r="B10" s="620" t="s">
        <v>161</v>
      </c>
      <c r="C10" s="654">
        <v>2495707.2300000116</v>
      </c>
      <c r="D10" s="654">
        <v>1920413.5599999847</v>
      </c>
      <c r="E10" s="654">
        <v>1647912.3800000115</v>
      </c>
      <c r="F10" s="654">
        <v>1574063.5399999898</v>
      </c>
      <c r="G10" s="654">
        <v>1193832.76000001</v>
      </c>
      <c r="H10" s="654">
        <v>951162.19000002928</v>
      </c>
      <c r="I10" s="654">
        <v>875809.12000003376</v>
      </c>
      <c r="J10" s="654">
        <v>752302.45000003267</v>
      </c>
      <c r="K10" s="654">
        <v>822860.08000003546</v>
      </c>
      <c r="L10" s="654">
        <v>857441.39000002749</v>
      </c>
      <c r="M10" s="654">
        <v>1211758.1300000167</v>
      </c>
      <c r="N10" s="654">
        <v>1706736.6299999915</v>
      </c>
      <c r="O10" s="619">
        <f t="shared" si="0"/>
        <v>16009999.460000172</v>
      </c>
      <c r="Q10" s="121" t="s">
        <v>16</v>
      </c>
      <c r="R10" s="121" t="str">
        <f>CONCATENATE(Q10," - ",B10)</f>
        <v>FPU - FPU - RS</v>
      </c>
      <c r="S10" s="121"/>
      <c r="T10" s="121" t="s">
        <v>162</v>
      </c>
      <c r="U10" s="257">
        <f t="shared" si="1"/>
        <v>2495707.2300000116</v>
      </c>
      <c r="V10" s="257">
        <f t="shared" si="2"/>
        <v>1</v>
      </c>
    </row>
    <row r="11" spans="2:22">
      <c r="B11" s="620" t="s">
        <v>163</v>
      </c>
      <c r="C11" s="654">
        <v>10055.480000000003</v>
      </c>
      <c r="D11" s="654">
        <v>11931.940000000008</v>
      </c>
      <c r="E11" s="654">
        <v>8824.5799999999981</v>
      </c>
      <c r="F11" s="654">
        <v>7471.24</v>
      </c>
      <c r="G11" s="654">
        <v>6092.949999999998</v>
      </c>
      <c r="H11" s="654">
        <v>2965.4599999999982</v>
      </c>
      <c r="I11" s="654">
        <v>3081.4699999999984</v>
      </c>
      <c r="J11" s="654">
        <v>2419.5799999999986</v>
      </c>
      <c r="K11" s="654">
        <v>3065.3999999999983</v>
      </c>
      <c r="L11" s="654">
        <v>4330.3699999999944</v>
      </c>
      <c r="M11" s="654">
        <v>7412.1600000000044</v>
      </c>
      <c r="N11" s="654">
        <v>9289.529999999997</v>
      </c>
      <c r="O11" s="619">
        <f t="shared" si="0"/>
        <v>76940.160000000018</v>
      </c>
      <c r="Q11" s="121" t="s">
        <v>16</v>
      </c>
      <c r="R11" s="121" t="str">
        <f>CONCATENATE(Q11," - ",B11)</f>
        <v>FPU - FPU - RS-GS</v>
      </c>
      <c r="S11" s="121"/>
      <c r="T11" s="121" t="s">
        <v>162</v>
      </c>
      <c r="U11" s="257">
        <f t="shared" si="1"/>
        <v>11931.940000000008</v>
      </c>
      <c r="V11" s="257">
        <f t="shared" si="2"/>
        <v>2</v>
      </c>
    </row>
    <row r="12" spans="2:22">
      <c r="B12" s="620" t="s">
        <v>111</v>
      </c>
      <c r="C12" s="654">
        <v>9745.2299999999905</v>
      </c>
      <c r="D12" s="654">
        <v>7917.4600000000237</v>
      </c>
      <c r="E12" s="654">
        <v>6080.2400000000089</v>
      </c>
      <c r="F12" s="654">
        <v>6465.3900000000067</v>
      </c>
      <c r="G12" s="654">
        <v>4844.2799999999907</v>
      </c>
      <c r="H12" s="654">
        <v>4263.9199999999992</v>
      </c>
      <c r="I12" s="654">
        <v>4465.2299999999977</v>
      </c>
      <c r="J12" s="654">
        <v>3661.4500000000039</v>
      </c>
      <c r="K12" s="654">
        <v>4400.9100000000089</v>
      </c>
      <c r="L12" s="654">
        <v>3995.6400000000099</v>
      </c>
      <c r="M12" s="654">
        <v>4766.7599999999939</v>
      </c>
      <c r="N12" s="654">
        <v>6815.1999999999643</v>
      </c>
      <c r="O12" s="619">
        <f t="shared" si="0"/>
        <v>67421.709999999992</v>
      </c>
      <c r="Q12" s="121" t="s">
        <v>14</v>
      </c>
      <c r="R12" s="121" t="str">
        <f>CONCATENATE(Q12," - ",B12)</f>
        <v>FT - FT-RS</v>
      </c>
      <c r="S12" s="121"/>
      <c r="T12" s="121" t="s">
        <v>164</v>
      </c>
      <c r="U12" s="257">
        <f t="shared" si="1"/>
        <v>9745.2299999999905</v>
      </c>
      <c r="V12" s="257">
        <f t="shared" si="2"/>
        <v>1</v>
      </c>
    </row>
    <row r="13" spans="2:22">
      <c r="B13" s="620" t="s">
        <v>105</v>
      </c>
      <c r="C13" s="656">
        <v>11824.13999999999</v>
      </c>
      <c r="D13" s="656">
        <v>10132.179999999978</v>
      </c>
      <c r="E13" s="656">
        <v>10598.280000000004</v>
      </c>
      <c r="F13" s="656">
        <v>9859.7199999999884</v>
      </c>
      <c r="G13" s="656">
        <v>8941.309999999994</v>
      </c>
      <c r="H13" s="656">
        <v>9310.2099999999828</v>
      </c>
      <c r="I13" s="656">
        <v>9022.7600000000039</v>
      </c>
      <c r="J13" s="656">
        <v>8030.0000000000073</v>
      </c>
      <c r="K13" s="656">
        <v>9185.0499999999975</v>
      </c>
      <c r="L13" s="656">
        <v>8354.6400000000012</v>
      </c>
      <c r="M13" s="656">
        <v>7953.5899999999947</v>
      </c>
      <c r="N13" s="656">
        <v>12685.599999999993</v>
      </c>
      <c r="O13" s="619">
        <f t="shared" si="0"/>
        <v>115897.47999999994</v>
      </c>
      <c r="Q13" s="121" t="s">
        <v>13</v>
      </c>
      <c r="R13" s="121" t="str">
        <f>CONCATENATE(Q13," - ",B13)</f>
        <v>IGC - IGC - TS1</v>
      </c>
      <c r="S13" s="121"/>
      <c r="T13" s="121" t="s">
        <v>165</v>
      </c>
      <c r="U13" s="257">
        <f t="shared" si="1"/>
        <v>12685.599999999993</v>
      </c>
      <c r="V13" s="257">
        <f t="shared" si="2"/>
        <v>12</v>
      </c>
    </row>
    <row r="14" spans="2:22">
      <c r="B14" s="622" t="s">
        <v>166</v>
      </c>
      <c r="C14" s="619">
        <f t="shared" ref="C14:M14" si="3">SUM(C3:C13)</f>
        <v>3097771.4700000118</v>
      </c>
      <c r="D14" s="619">
        <f t="shared" si="3"/>
        <v>2363752.8499999931</v>
      </c>
      <c r="E14" s="619">
        <f t="shared" si="3"/>
        <v>2063902.920000003</v>
      </c>
      <c r="F14" s="619">
        <f t="shared" si="3"/>
        <v>2007724.6399999948</v>
      </c>
      <c r="G14" s="619">
        <f t="shared" si="3"/>
        <v>1473382.7400000247</v>
      </c>
      <c r="H14" s="619">
        <f t="shared" si="3"/>
        <v>1203949.3300000273</v>
      </c>
      <c r="I14" s="619">
        <f t="shared" si="3"/>
        <v>1121125.0700000317</v>
      </c>
      <c r="J14" s="619">
        <f t="shared" si="3"/>
        <v>963395.91000004148</v>
      </c>
      <c r="K14" s="619">
        <f t="shared" si="3"/>
        <v>1041353.8200000296</v>
      </c>
      <c r="L14" s="619">
        <f t="shared" si="3"/>
        <v>1095593.460000027</v>
      </c>
      <c r="M14" s="619">
        <f t="shared" si="3"/>
        <v>1527311.4500000074</v>
      </c>
      <c r="N14" s="619">
        <f>SUM(N3:N13)</f>
        <v>2218516.1899999897</v>
      </c>
      <c r="O14" s="619">
        <f t="shared" si="0"/>
        <v>20177779.850000184</v>
      </c>
      <c r="U14" s="257"/>
      <c r="V14" s="257"/>
    </row>
    <row r="15" spans="2:22">
      <c r="B15" s="615" t="s">
        <v>167</v>
      </c>
      <c r="C15" s="657"/>
      <c r="D15" s="657"/>
      <c r="E15" s="657"/>
      <c r="F15" s="657"/>
      <c r="G15" s="657"/>
      <c r="H15" s="657"/>
      <c r="I15" s="657"/>
      <c r="J15" s="657"/>
      <c r="K15" s="657"/>
      <c r="L15" s="657"/>
      <c r="M15" s="657"/>
      <c r="N15" s="657"/>
      <c r="O15" s="619">
        <f t="shared" si="0"/>
        <v>0</v>
      </c>
      <c r="U15" s="257"/>
      <c r="V15" s="257"/>
    </row>
    <row r="16" spans="2:22">
      <c r="B16" s="617" t="s">
        <v>114</v>
      </c>
      <c r="C16" s="654">
        <v>401</v>
      </c>
      <c r="D16" s="654">
        <v>296.44</v>
      </c>
      <c r="E16" s="654">
        <v>278.26</v>
      </c>
      <c r="F16" s="654">
        <v>268.83999999999997</v>
      </c>
      <c r="G16" s="654">
        <v>164.38</v>
      </c>
      <c r="H16" s="654">
        <v>149.66999999999999</v>
      </c>
      <c r="I16" s="654">
        <v>136.75</v>
      </c>
      <c r="J16" s="654">
        <v>129.43</v>
      </c>
      <c r="K16" s="654">
        <v>138.16</v>
      </c>
      <c r="L16" s="654">
        <v>143.85</v>
      </c>
      <c r="M16" s="654">
        <v>197.62</v>
      </c>
      <c r="N16" s="654">
        <v>303.16000000000003</v>
      </c>
      <c r="O16" s="619">
        <f t="shared" si="0"/>
        <v>2607.56</v>
      </c>
      <c r="Q16" s="121" t="s">
        <v>17</v>
      </c>
      <c r="R16" s="121" t="str">
        <f>CONCATENATE(Q16," - ",B16," - ",S16)</f>
        <v>CFG - FTS-A - Fixed R</v>
      </c>
      <c r="S16" s="121" t="s">
        <v>168</v>
      </c>
      <c r="T16" s="121" t="s">
        <v>160</v>
      </c>
      <c r="U16" s="257">
        <f t="shared" si="1"/>
        <v>401</v>
      </c>
      <c r="V16" s="257">
        <f t="shared" si="2"/>
        <v>1</v>
      </c>
    </row>
    <row r="17" spans="2:22">
      <c r="B17" s="617" t="s">
        <v>115</v>
      </c>
      <c r="C17" s="654">
        <v>984.45</v>
      </c>
      <c r="D17" s="654">
        <v>752.48</v>
      </c>
      <c r="E17" s="654">
        <v>661.76</v>
      </c>
      <c r="F17" s="654">
        <v>694.98</v>
      </c>
      <c r="G17" s="654">
        <v>514.55999999999995</v>
      </c>
      <c r="H17" s="654">
        <v>529.73</v>
      </c>
      <c r="I17" s="654">
        <v>710.28</v>
      </c>
      <c r="J17" s="654">
        <v>566</v>
      </c>
      <c r="K17" s="654">
        <v>621.95000000000005</v>
      </c>
      <c r="L17" s="654">
        <v>583.82000000000005</v>
      </c>
      <c r="M17" s="654">
        <v>641.25</v>
      </c>
      <c r="N17" s="654">
        <v>871.34</v>
      </c>
      <c r="O17" s="619">
        <f t="shared" si="0"/>
        <v>8132.5999999999995</v>
      </c>
      <c r="Q17" s="121" t="s">
        <v>17</v>
      </c>
      <c r="R17" s="121" t="str">
        <f t="shared" ref="R17:R22" si="4">CONCATENATE(Q17," - ",B17," - ",S17)</f>
        <v>CFG - FTS-B - Fixed R</v>
      </c>
      <c r="S17" s="121" t="s">
        <v>168</v>
      </c>
      <c r="T17" s="121" t="s">
        <v>160</v>
      </c>
      <c r="U17" s="257">
        <f t="shared" si="1"/>
        <v>984.45</v>
      </c>
      <c r="V17" s="257">
        <f t="shared" si="2"/>
        <v>1</v>
      </c>
    </row>
    <row r="18" spans="2:22">
      <c r="B18" s="617" t="s">
        <v>116</v>
      </c>
      <c r="C18" s="654">
        <v>4956.21</v>
      </c>
      <c r="D18" s="654">
        <v>3436.87</v>
      </c>
      <c r="E18" s="654">
        <v>2914.21</v>
      </c>
      <c r="F18" s="654">
        <v>3660.63</v>
      </c>
      <c r="G18" s="654">
        <v>2175.98</v>
      </c>
      <c r="H18" s="654">
        <v>2044.95</v>
      </c>
      <c r="I18" s="654">
        <v>2047.63</v>
      </c>
      <c r="J18" s="654">
        <v>2015.84</v>
      </c>
      <c r="K18" s="654">
        <v>1811.26</v>
      </c>
      <c r="L18" s="654">
        <v>1859.14</v>
      </c>
      <c r="M18" s="654">
        <v>2864.22</v>
      </c>
      <c r="N18" s="654">
        <v>4027.78</v>
      </c>
      <c r="O18" s="619">
        <f t="shared" si="0"/>
        <v>33814.720000000001</v>
      </c>
      <c r="Q18" s="121" t="s">
        <v>17</v>
      </c>
      <c r="R18" s="121" t="str">
        <f t="shared" si="4"/>
        <v>CFG - FTS-1 - Fixed R</v>
      </c>
      <c r="S18" s="121" t="s">
        <v>168</v>
      </c>
      <c r="T18" s="121" t="s">
        <v>160</v>
      </c>
      <c r="U18" s="257">
        <f t="shared" si="1"/>
        <v>4956.21</v>
      </c>
      <c r="V18" s="257">
        <f t="shared" si="2"/>
        <v>1</v>
      </c>
    </row>
    <row r="19" spans="2:22">
      <c r="B19" s="617" t="s">
        <v>117</v>
      </c>
      <c r="C19" s="654">
        <v>1371.88</v>
      </c>
      <c r="D19" s="654">
        <v>1049.9000000000001</v>
      </c>
      <c r="E19" s="654">
        <v>1404.02</v>
      </c>
      <c r="F19" s="654">
        <v>1511.92</v>
      </c>
      <c r="G19" s="654">
        <v>797.82</v>
      </c>
      <c r="H19" s="654">
        <v>587.61</v>
      </c>
      <c r="I19" s="654">
        <v>465.33</v>
      </c>
      <c r="J19" s="654">
        <v>424.34</v>
      </c>
      <c r="K19" s="654">
        <v>403.11</v>
      </c>
      <c r="L19" s="654">
        <v>607.04</v>
      </c>
      <c r="M19" s="654">
        <v>993.6</v>
      </c>
      <c r="N19" s="654">
        <v>1398.99</v>
      </c>
      <c r="O19" s="619">
        <f t="shared" si="0"/>
        <v>11015.56</v>
      </c>
      <c r="Q19" s="121" t="s">
        <v>17</v>
      </c>
      <c r="R19" s="121" t="str">
        <f t="shared" si="4"/>
        <v>CFG - FTS-2 - Fixed R</v>
      </c>
      <c r="S19" s="121" t="s">
        <v>168</v>
      </c>
      <c r="T19" s="121" t="s">
        <v>160</v>
      </c>
      <c r="U19" s="257">
        <f t="shared" si="1"/>
        <v>1511.92</v>
      </c>
      <c r="V19" s="257">
        <f t="shared" si="2"/>
        <v>4</v>
      </c>
    </row>
    <row r="20" spans="2:22">
      <c r="B20" s="617" t="s">
        <v>118</v>
      </c>
      <c r="C20" s="654">
        <v>1532.26</v>
      </c>
      <c r="D20" s="654">
        <v>1124.7</v>
      </c>
      <c r="E20" s="654">
        <v>1507</v>
      </c>
      <c r="F20" s="654">
        <v>1136.25</v>
      </c>
      <c r="G20" s="654">
        <v>513.04</v>
      </c>
      <c r="H20" s="654">
        <v>361.08</v>
      </c>
      <c r="I20" s="654">
        <v>312.56</v>
      </c>
      <c r="J20" s="654">
        <v>176.72</v>
      </c>
      <c r="K20" s="654">
        <v>248.83</v>
      </c>
      <c r="L20" s="654">
        <v>286.51</v>
      </c>
      <c r="M20" s="654">
        <v>747.12</v>
      </c>
      <c r="N20" s="654">
        <v>1558.09</v>
      </c>
      <c r="O20" s="619">
        <f t="shared" si="0"/>
        <v>9504.16</v>
      </c>
      <c r="Q20" s="121" t="s">
        <v>17</v>
      </c>
      <c r="R20" s="121" t="str">
        <f t="shared" si="4"/>
        <v>CFG - FTS-2.1 - Fixed R</v>
      </c>
      <c r="S20" s="121" t="s">
        <v>168</v>
      </c>
      <c r="T20" s="121" t="s">
        <v>160</v>
      </c>
      <c r="U20" s="257">
        <f t="shared" si="1"/>
        <v>1558.09</v>
      </c>
      <c r="V20" s="257">
        <f t="shared" si="2"/>
        <v>12</v>
      </c>
    </row>
    <row r="21" spans="2:22">
      <c r="B21" s="620" t="s">
        <v>119</v>
      </c>
      <c r="C21" s="654">
        <v>0</v>
      </c>
      <c r="D21" s="654">
        <v>0</v>
      </c>
      <c r="E21" s="654">
        <v>0</v>
      </c>
      <c r="F21" s="654">
        <v>0</v>
      </c>
      <c r="G21" s="654">
        <v>0</v>
      </c>
      <c r="H21" s="654">
        <v>0</v>
      </c>
      <c r="I21" s="654">
        <v>0</v>
      </c>
      <c r="J21" s="654">
        <v>0</v>
      </c>
      <c r="K21" s="654">
        <v>0</v>
      </c>
      <c r="L21" s="654">
        <v>0</v>
      </c>
      <c r="M21" s="654">
        <v>0</v>
      </c>
      <c r="N21" s="654">
        <v>0</v>
      </c>
      <c r="O21" s="619">
        <f t="shared" si="0"/>
        <v>0</v>
      </c>
      <c r="Q21" s="121" t="s">
        <v>17</v>
      </c>
      <c r="R21" s="121" t="str">
        <f t="shared" si="4"/>
        <v>CFG - FTS-3 - Fixed R</v>
      </c>
      <c r="S21" s="121" t="s">
        <v>168</v>
      </c>
      <c r="T21" s="121" t="s">
        <v>160</v>
      </c>
      <c r="U21" s="257">
        <f t="shared" si="1"/>
        <v>0</v>
      </c>
      <c r="V21" s="257">
        <f t="shared" si="2"/>
        <v>1</v>
      </c>
    </row>
    <row r="22" spans="2:22">
      <c r="B22" s="620" t="s">
        <v>120</v>
      </c>
      <c r="C22" s="656">
        <v>0</v>
      </c>
      <c r="D22" s="656">
        <v>0</v>
      </c>
      <c r="E22" s="656">
        <v>0</v>
      </c>
      <c r="F22" s="656">
        <v>0</v>
      </c>
      <c r="G22" s="656">
        <v>0</v>
      </c>
      <c r="H22" s="656">
        <v>0</v>
      </c>
      <c r="I22" s="656">
        <v>0</v>
      </c>
      <c r="J22" s="656">
        <v>0</v>
      </c>
      <c r="K22" s="656">
        <v>0</v>
      </c>
      <c r="L22" s="656">
        <v>0</v>
      </c>
      <c r="M22" s="656">
        <v>0</v>
      </c>
      <c r="N22" s="656">
        <v>0</v>
      </c>
      <c r="O22" s="619">
        <f t="shared" si="0"/>
        <v>0</v>
      </c>
      <c r="Q22" s="121" t="s">
        <v>17</v>
      </c>
      <c r="R22" s="121" t="str">
        <f t="shared" si="4"/>
        <v>CFG - FTS-3.1 - Fixed R</v>
      </c>
      <c r="S22" s="121" t="s">
        <v>168</v>
      </c>
      <c r="T22" s="121" t="s">
        <v>160</v>
      </c>
      <c r="U22" s="257">
        <f t="shared" si="1"/>
        <v>0</v>
      </c>
      <c r="V22" s="257">
        <f t="shared" si="2"/>
        <v>1</v>
      </c>
    </row>
    <row r="23" spans="2:22">
      <c r="B23" s="622" t="s">
        <v>169</v>
      </c>
      <c r="C23" s="619">
        <v>9245.7999999999993</v>
      </c>
      <c r="D23" s="619">
        <v>6660.39</v>
      </c>
      <c r="E23" s="619">
        <v>6765.25</v>
      </c>
      <c r="F23" s="619">
        <v>7272.62</v>
      </c>
      <c r="G23" s="619">
        <v>4165.7800000000007</v>
      </c>
      <c r="H23" s="619">
        <v>3673.04</v>
      </c>
      <c r="I23" s="619">
        <v>3672.5499999999997</v>
      </c>
      <c r="J23" s="619">
        <v>3312.33</v>
      </c>
      <c r="K23" s="619">
        <v>3223.31</v>
      </c>
      <c r="L23" s="619">
        <v>3480.3600000000006</v>
      </c>
      <c r="M23" s="619">
        <v>5443.8099999999995</v>
      </c>
      <c r="N23" s="619">
        <f>SUM(N16:N22)</f>
        <v>8159.3600000000006</v>
      </c>
      <c r="O23" s="619">
        <f t="shared" si="0"/>
        <v>65074.6</v>
      </c>
      <c r="U23" s="257"/>
      <c r="V23" s="257"/>
    </row>
    <row r="24" spans="2:22">
      <c r="B24" s="320" t="s">
        <v>170</v>
      </c>
      <c r="C24" s="654"/>
      <c r="D24" s="654"/>
      <c r="E24" s="654"/>
      <c r="F24" s="654"/>
      <c r="G24" s="654"/>
      <c r="H24" s="654"/>
      <c r="I24" s="654"/>
      <c r="J24" s="654"/>
      <c r="K24" s="654"/>
      <c r="L24" s="654"/>
      <c r="M24" s="654"/>
      <c r="N24" s="654"/>
      <c r="O24" s="619">
        <f t="shared" si="0"/>
        <v>0</v>
      </c>
      <c r="U24" s="257"/>
      <c r="V24" s="257"/>
    </row>
    <row r="25" spans="2:22">
      <c r="B25" s="617" t="s">
        <v>114</v>
      </c>
      <c r="C25" s="654">
        <v>116.21</v>
      </c>
      <c r="D25" s="654">
        <v>49.35</v>
      </c>
      <c r="E25" s="654">
        <v>24.24</v>
      </c>
      <c r="F25" s="654">
        <v>28.21</v>
      </c>
      <c r="G25" s="654">
        <v>22.03</v>
      </c>
      <c r="H25" s="654">
        <v>20.93</v>
      </c>
      <c r="I25" s="654">
        <v>22.89</v>
      </c>
      <c r="J25" s="654">
        <v>19.79</v>
      </c>
      <c r="K25" s="654">
        <v>27.17</v>
      </c>
      <c r="L25" s="654">
        <v>19.78</v>
      </c>
      <c r="M25" s="654">
        <v>24.98</v>
      </c>
      <c r="N25" s="654">
        <v>32.340000000000003</v>
      </c>
      <c r="O25" s="619">
        <f t="shared" si="0"/>
        <v>407.92000000000007</v>
      </c>
      <c r="Q25" s="121" t="s">
        <v>17</v>
      </c>
      <c r="R25" s="121" t="str">
        <f t="shared" ref="R25:R31" si="5">CONCATENATE(Q25," - ",B25," NR")</f>
        <v>CFG - FTS-A NR</v>
      </c>
      <c r="S25" s="121"/>
      <c r="T25" s="121" t="s">
        <v>171</v>
      </c>
      <c r="U25" s="257">
        <f t="shared" si="1"/>
        <v>116.21</v>
      </c>
      <c r="V25" s="257">
        <f t="shared" si="2"/>
        <v>1</v>
      </c>
    </row>
    <row r="26" spans="2:22">
      <c r="B26" s="617" t="s">
        <v>115</v>
      </c>
      <c r="C26" s="654">
        <v>124.43</v>
      </c>
      <c r="D26" s="654">
        <v>103.33</v>
      </c>
      <c r="E26" s="654">
        <v>55.2</v>
      </c>
      <c r="F26" s="654">
        <v>61.68</v>
      </c>
      <c r="G26" s="654">
        <v>52.97</v>
      </c>
      <c r="H26" s="654">
        <v>45.89</v>
      </c>
      <c r="I26" s="654">
        <v>48.95</v>
      </c>
      <c r="J26" s="654">
        <v>48.17</v>
      </c>
      <c r="K26" s="654">
        <v>52.04</v>
      </c>
      <c r="L26" s="654">
        <v>46.85</v>
      </c>
      <c r="M26" s="654">
        <v>47.77</v>
      </c>
      <c r="N26" s="654">
        <v>58.68</v>
      </c>
      <c r="O26" s="619">
        <f t="shared" si="0"/>
        <v>745.95999999999992</v>
      </c>
      <c r="Q26" s="121" t="s">
        <v>17</v>
      </c>
      <c r="R26" s="121" t="str">
        <f t="shared" si="5"/>
        <v>CFG - FTS-B NR</v>
      </c>
      <c r="S26" s="121"/>
      <c r="T26" s="121" t="s">
        <v>171</v>
      </c>
      <c r="U26" s="257">
        <f t="shared" si="1"/>
        <v>124.43</v>
      </c>
      <c r="V26" s="257">
        <f t="shared" si="2"/>
        <v>1</v>
      </c>
    </row>
    <row r="27" spans="2:22">
      <c r="B27" s="617" t="s">
        <v>116</v>
      </c>
      <c r="C27" s="654">
        <v>7310.68</v>
      </c>
      <c r="D27" s="654">
        <v>6553.14</v>
      </c>
      <c r="E27" s="654">
        <v>5400.07</v>
      </c>
      <c r="F27" s="654">
        <v>5427.59</v>
      </c>
      <c r="G27" s="654">
        <v>3922.59</v>
      </c>
      <c r="H27" s="654">
        <v>3827.91</v>
      </c>
      <c r="I27" s="654">
        <v>3814.38</v>
      </c>
      <c r="J27" s="654">
        <v>3609.46</v>
      </c>
      <c r="K27" s="654">
        <v>3569.24</v>
      </c>
      <c r="L27" s="654">
        <v>4805.8999999999996</v>
      </c>
      <c r="M27" s="654">
        <v>4092.17</v>
      </c>
      <c r="N27" s="654">
        <v>6315.02</v>
      </c>
      <c r="O27" s="619">
        <f t="shared" si="0"/>
        <v>58648.149999999994</v>
      </c>
      <c r="Q27" s="121" t="s">
        <v>17</v>
      </c>
      <c r="R27" s="121" t="str">
        <f t="shared" si="5"/>
        <v>CFG - FTS-1 NR</v>
      </c>
      <c r="S27" s="121"/>
      <c r="T27" s="121" t="s">
        <v>171</v>
      </c>
      <c r="U27" s="257">
        <f t="shared" si="1"/>
        <v>7310.68</v>
      </c>
      <c r="V27" s="257">
        <f t="shared" si="2"/>
        <v>1</v>
      </c>
    </row>
    <row r="28" spans="2:22">
      <c r="B28" s="617" t="s">
        <v>117</v>
      </c>
      <c r="C28" s="654">
        <v>8509.61</v>
      </c>
      <c r="D28" s="654">
        <v>7235</v>
      </c>
      <c r="E28" s="654">
        <v>7136.74</v>
      </c>
      <c r="F28" s="654">
        <v>5995.85</v>
      </c>
      <c r="G28" s="654">
        <v>4873.74</v>
      </c>
      <c r="H28" s="654">
        <v>5216.45</v>
      </c>
      <c r="I28" s="654">
        <v>3263.31</v>
      </c>
      <c r="J28" s="654">
        <v>6413.31</v>
      </c>
      <c r="K28" s="654">
        <v>4966.5</v>
      </c>
      <c r="L28" s="654">
        <v>5089.32</v>
      </c>
      <c r="M28" s="654">
        <v>3278.88</v>
      </c>
      <c r="N28" s="654">
        <v>6042.89</v>
      </c>
      <c r="O28" s="619">
        <f t="shared" si="0"/>
        <v>68021.599999999991</v>
      </c>
      <c r="Q28" s="121" t="s">
        <v>17</v>
      </c>
      <c r="R28" s="121" t="str">
        <f t="shared" si="5"/>
        <v>CFG - FTS-2 NR</v>
      </c>
      <c r="S28" s="121"/>
      <c r="T28" s="121" t="s">
        <v>171</v>
      </c>
      <c r="U28" s="257">
        <f t="shared" si="1"/>
        <v>8509.61</v>
      </c>
      <c r="V28" s="257">
        <f t="shared" si="2"/>
        <v>1</v>
      </c>
    </row>
    <row r="29" spans="2:22">
      <c r="B29" s="617" t="s">
        <v>118</v>
      </c>
      <c r="C29" s="654">
        <v>41904.959999999999</v>
      </c>
      <c r="D29" s="654">
        <v>36380.699999999997</v>
      </c>
      <c r="E29" s="654">
        <v>34376.660000000003</v>
      </c>
      <c r="F29" s="654">
        <v>38181.82</v>
      </c>
      <c r="G29" s="654">
        <v>30331.119999999999</v>
      </c>
      <c r="H29" s="654">
        <v>28602.59</v>
      </c>
      <c r="I29" s="654">
        <v>28899.439999999999</v>
      </c>
      <c r="J29" s="654">
        <v>29251.77</v>
      </c>
      <c r="K29" s="654">
        <v>30368.86</v>
      </c>
      <c r="L29" s="654">
        <v>29735.84</v>
      </c>
      <c r="M29" s="654">
        <v>29613.919999999998</v>
      </c>
      <c r="N29" s="654">
        <v>40241.300000000003</v>
      </c>
      <c r="O29" s="619">
        <f t="shared" si="0"/>
        <v>397888.98</v>
      </c>
      <c r="Q29" s="121" t="s">
        <v>17</v>
      </c>
      <c r="R29" s="121" t="str">
        <f t="shared" si="5"/>
        <v>CFG - FTS-2.1 NR</v>
      </c>
      <c r="S29" s="121"/>
      <c r="T29" s="121" t="s">
        <v>171</v>
      </c>
      <c r="U29" s="257">
        <f t="shared" si="1"/>
        <v>41904.959999999999</v>
      </c>
      <c r="V29" s="257">
        <f t="shared" si="2"/>
        <v>1</v>
      </c>
    </row>
    <row r="30" spans="2:22">
      <c r="B30" s="620" t="s">
        <v>119</v>
      </c>
      <c r="C30" s="654">
        <v>101068.8</v>
      </c>
      <c r="D30" s="654">
        <v>89227.900000000096</v>
      </c>
      <c r="E30" s="654">
        <v>90797.34</v>
      </c>
      <c r="F30" s="654">
        <v>103066.6</v>
      </c>
      <c r="G30" s="654">
        <v>86936.66</v>
      </c>
      <c r="H30" s="654">
        <v>84413.639999999898</v>
      </c>
      <c r="I30" s="654">
        <v>83854.950000000099</v>
      </c>
      <c r="J30" s="654">
        <v>81179.37</v>
      </c>
      <c r="K30" s="654">
        <v>90870.52</v>
      </c>
      <c r="L30" s="654">
        <v>87446.32</v>
      </c>
      <c r="M30" s="654">
        <v>85454.140000000101</v>
      </c>
      <c r="N30" s="654">
        <v>112614.11</v>
      </c>
      <c r="O30" s="619">
        <f t="shared" si="0"/>
        <v>1096930.3500000003</v>
      </c>
      <c r="Q30" s="121" t="s">
        <v>17</v>
      </c>
      <c r="R30" s="121" t="str">
        <f t="shared" si="5"/>
        <v>CFG - FTS-3 NR</v>
      </c>
      <c r="S30" s="121"/>
      <c r="T30" s="121" t="s">
        <v>171</v>
      </c>
      <c r="U30" s="257">
        <f t="shared" si="1"/>
        <v>112614.11</v>
      </c>
      <c r="V30" s="257">
        <f t="shared" si="2"/>
        <v>12</v>
      </c>
    </row>
    <row r="31" spans="2:22">
      <c r="B31" s="620" t="s">
        <v>120</v>
      </c>
      <c r="C31" s="654">
        <v>231811.37</v>
      </c>
      <c r="D31" s="654">
        <v>190115.54</v>
      </c>
      <c r="E31" s="654">
        <v>204582.11</v>
      </c>
      <c r="F31" s="654">
        <v>223623.13</v>
      </c>
      <c r="G31" s="654">
        <v>184765.31</v>
      </c>
      <c r="H31" s="654">
        <v>183645.42</v>
      </c>
      <c r="I31" s="654">
        <v>186072.98</v>
      </c>
      <c r="J31" s="654">
        <v>178127.14</v>
      </c>
      <c r="K31" s="654">
        <v>186192.79</v>
      </c>
      <c r="L31" s="654">
        <v>180550.99</v>
      </c>
      <c r="M31" s="654">
        <v>182744.78</v>
      </c>
      <c r="N31" s="654">
        <v>244617.2</v>
      </c>
      <c r="O31" s="619">
        <f t="shared" si="0"/>
        <v>2376848.7600000002</v>
      </c>
      <c r="Q31" s="121" t="s">
        <v>17</v>
      </c>
      <c r="R31" s="121" t="str">
        <f t="shared" si="5"/>
        <v>CFG - FTS-3.1 NR</v>
      </c>
      <c r="S31" s="121"/>
      <c r="T31" s="121" t="s">
        <v>171</v>
      </c>
      <c r="U31" s="257">
        <f t="shared" si="1"/>
        <v>244617.2</v>
      </c>
      <c r="V31" s="257">
        <f t="shared" si="2"/>
        <v>12</v>
      </c>
    </row>
    <row r="32" spans="2:22">
      <c r="B32" s="620" t="s">
        <v>121</v>
      </c>
      <c r="C32" s="654">
        <v>318251.03999999998</v>
      </c>
      <c r="D32" s="654">
        <v>268820.59000000003</v>
      </c>
      <c r="E32" s="654">
        <v>263850.89</v>
      </c>
      <c r="F32" s="654">
        <v>287397.21999999997</v>
      </c>
      <c r="G32" s="654">
        <v>223564.5</v>
      </c>
      <c r="H32" s="654">
        <v>226336.97</v>
      </c>
      <c r="I32" s="654">
        <v>220113.16</v>
      </c>
      <c r="J32" s="654">
        <v>202718.62</v>
      </c>
      <c r="K32" s="654">
        <v>223089.07</v>
      </c>
      <c r="L32" s="654">
        <v>223693.82</v>
      </c>
      <c r="M32" s="654">
        <v>253823.55</v>
      </c>
      <c r="N32" s="654">
        <v>322666.07</v>
      </c>
      <c r="O32" s="619">
        <f t="shared" si="0"/>
        <v>3034325.4999999991</v>
      </c>
      <c r="Q32" s="121" t="s">
        <v>17</v>
      </c>
      <c r="R32" s="121" t="str">
        <f t="shared" ref="R32:R48" si="6">CONCATENATE(Q32," - ",B32)</f>
        <v>CFG - FTS-4</v>
      </c>
      <c r="S32" s="121"/>
      <c r="T32" s="121" t="s">
        <v>171</v>
      </c>
      <c r="U32" s="257">
        <f t="shared" si="1"/>
        <v>322666.07</v>
      </c>
      <c r="V32" s="257">
        <f t="shared" si="2"/>
        <v>12</v>
      </c>
    </row>
    <row r="33" spans="2:22">
      <c r="B33" s="620" t="s">
        <v>142</v>
      </c>
      <c r="C33" s="654">
        <v>105761.76</v>
      </c>
      <c r="D33" s="654">
        <v>98958.61</v>
      </c>
      <c r="E33" s="654">
        <v>124526.79</v>
      </c>
      <c r="F33" s="654">
        <v>91812.54</v>
      </c>
      <c r="G33" s="654">
        <v>72381.36</v>
      </c>
      <c r="H33" s="654">
        <v>67255.009999999995</v>
      </c>
      <c r="I33" s="654">
        <v>69810.84</v>
      </c>
      <c r="J33" s="654">
        <v>65389.68</v>
      </c>
      <c r="K33" s="654">
        <v>75563.990000000005</v>
      </c>
      <c r="L33" s="654">
        <v>93131.82</v>
      </c>
      <c r="M33" s="654">
        <v>80265.070000000007</v>
      </c>
      <c r="N33" s="654">
        <v>101756.27</v>
      </c>
      <c r="O33" s="619">
        <f t="shared" si="0"/>
        <v>1046613.74</v>
      </c>
      <c r="Q33" s="121" t="s">
        <v>17</v>
      </c>
      <c r="R33" s="121" t="str">
        <f t="shared" si="6"/>
        <v>CFG - FTS-5</v>
      </c>
      <c r="S33" s="121"/>
      <c r="T33" s="121" t="s">
        <v>171</v>
      </c>
      <c r="U33" s="257">
        <f t="shared" si="1"/>
        <v>124526.79</v>
      </c>
      <c r="V33" s="257">
        <f t="shared" si="2"/>
        <v>3</v>
      </c>
    </row>
    <row r="34" spans="2:22">
      <c r="B34" s="620" t="s">
        <v>143</v>
      </c>
      <c r="C34" s="654">
        <v>210173.47</v>
      </c>
      <c r="D34" s="654">
        <v>201092.36</v>
      </c>
      <c r="E34" s="654">
        <v>191170.04</v>
      </c>
      <c r="F34" s="654">
        <v>200210.96</v>
      </c>
      <c r="G34" s="654">
        <v>150693.59</v>
      </c>
      <c r="H34" s="654">
        <v>167472.9</v>
      </c>
      <c r="I34" s="654">
        <v>178014.05</v>
      </c>
      <c r="J34" s="654">
        <v>204622.57</v>
      </c>
      <c r="K34" s="654">
        <v>240762.19</v>
      </c>
      <c r="L34" s="654">
        <v>278279.64</v>
      </c>
      <c r="M34" s="654">
        <v>231896.75</v>
      </c>
      <c r="N34" s="654">
        <v>227274.67</v>
      </c>
      <c r="O34" s="619">
        <f t="shared" si="0"/>
        <v>2481663.19</v>
      </c>
      <c r="Q34" s="121" t="s">
        <v>17</v>
      </c>
      <c r="R34" s="121" t="str">
        <f t="shared" si="6"/>
        <v>CFG - FTS-6</v>
      </c>
      <c r="S34" s="121"/>
      <c r="T34" s="121" t="s">
        <v>171</v>
      </c>
      <c r="U34" s="257">
        <f t="shared" si="1"/>
        <v>278279.64</v>
      </c>
      <c r="V34" s="257">
        <f t="shared" si="2"/>
        <v>10</v>
      </c>
    </row>
    <row r="35" spans="2:22">
      <c r="B35" s="620" t="s">
        <v>144</v>
      </c>
      <c r="C35" s="654">
        <v>388866.42</v>
      </c>
      <c r="D35" s="654">
        <v>357754.44</v>
      </c>
      <c r="E35" s="654">
        <v>379808.64</v>
      </c>
      <c r="F35" s="654">
        <v>341812.76</v>
      </c>
      <c r="G35" s="654">
        <v>320712.17</v>
      </c>
      <c r="H35" s="654">
        <v>339060.62</v>
      </c>
      <c r="I35" s="654">
        <v>333494.34000000003</v>
      </c>
      <c r="J35" s="654">
        <v>358903.78</v>
      </c>
      <c r="K35" s="654">
        <v>343747.56</v>
      </c>
      <c r="L35" s="654">
        <v>344073.63</v>
      </c>
      <c r="M35" s="654">
        <v>410780.92</v>
      </c>
      <c r="N35" s="654">
        <v>375423.89</v>
      </c>
      <c r="O35" s="619">
        <f t="shared" si="0"/>
        <v>4294439.17</v>
      </c>
      <c r="Q35" s="121" t="s">
        <v>17</v>
      </c>
      <c r="R35" s="121" t="str">
        <f t="shared" si="6"/>
        <v>CFG - FTS-7</v>
      </c>
      <c r="S35" s="121"/>
      <c r="T35" s="121" t="s">
        <v>171</v>
      </c>
      <c r="U35" s="257">
        <f t="shared" si="1"/>
        <v>410780.92</v>
      </c>
      <c r="V35" s="257">
        <f t="shared" si="2"/>
        <v>11</v>
      </c>
    </row>
    <row r="36" spans="2:22">
      <c r="B36" s="620" t="s">
        <v>145</v>
      </c>
      <c r="C36" s="654">
        <v>484477.76</v>
      </c>
      <c r="D36" s="654">
        <v>449021.25</v>
      </c>
      <c r="E36" s="654">
        <v>473416.92</v>
      </c>
      <c r="F36" s="654">
        <v>425943.66</v>
      </c>
      <c r="G36" s="654">
        <v>423729.45</v>
      </c>
      <c r="H36" s="654">
        <v>388311.1</v>
      </c>
      <c r="I36" s="654">
        <v>350968.21</v>
      </c>
      <c r="J36" s="654">
        <v>331493.65999999997</v>
      </c>
      <c r="K36" s="654">
        <v>319166.61</v>
      </c>
      <c r="L36" s="654">
        <v>413388.43</v>
      </c>
      <c r="M36" s="654">
        <v>498121.48</v>
      </c>
      <c r="N36" s="654">
        <v>423951.85</v>
      </c>
      <c r="O36" s="619">
        <f t="shared" si="0"/>
        <v>4981990.38</v>
      </c>
      <c r="Q36" s="121" t="s">
        <v>17</v>
      </c>
      <c r="R36" s="121" t="str">
        <f t="shared" si="6"/>
        <v>CFG - FTS-8</v>
      </c>
      <c r="S36" s="121"/>
      <c r="T36" s="121" t="s">
        <v>171</v>
      </c>
      <c r="U36" s="257">
        <f t="shared" si="1"/>
        <v>498121.48</v>
      </c>
      <c r="V36" s="257">
        <f t="shared" si="2"/>
        <v>11</v>
      </c>
    </row>
    <row r="37" spans="2:22">
      <c r="B37" s="620" t="s">
        <v>146</v>
      </c>
      <c r="C37" s="654">
        <v>310859.05</v>
      </c>
      <c r="D37" s="654">
        <v>288025.32</v>
      </c>
      <c r="E37" s="654">
        <v>322166.32</v>
      </c>
      <c r="F37" s="654">
        <v>296216.33</v>
      </c>
      <c r="G37" s="654">
        <v>295400.67</v>
      </c>
      <c r="H37" s="654">
        <v>334113.38</v>
      </c>
      <c r="I37" s="654">
        <v>312991.55</v>
      </c>
      <c r="J37" s="654">
        <v>304913.03999999998</v>
      </c>
      <c r="K37" s="654">
        <v>273426.5</v>
      </c>
      <c r="L37" s="654">
        <v>304002.87</v>
      </c>
      <c r="M37" s="654">
        <v>327415.33</v>
      </c>
      <c r="N37" s="654">
        <v>333792.40999999997</v>
      </c>
      <c r="O37" s="619">
        <f t="shared" si="0"/>
        <v>3703322.77</v>
      </c>
      <c r="Q37" s="121" t="s">
        <v>17</v>
      </c>
      <c r="R37" s="121" t="str">
        <f t="shared" si="6"/>
        <v>CFG - FTS-9</v>
      </c>
      <c r="S37" s="121"/>
      <c r="T37" s="121" t="s">
        <v>171</v>
      </c>
      <c r="U37" s="257">
        <f t="shared" si="1"/>
        <v>334113.38</v>
      </c>
      <c r="V37" s="257">
        <f t="shared" si="2"/>
        <v>6</v>
      </c>
    </row>
    <row r="38" spans="2:22">
      <c r="B38" s="620" t="s">
        <v>147</v>
      </c>
      <c r="C38" s="654">
        <v>373297.56</v>
      </c>
      <c r="D38" s="654">
        <v>285709.46999999997</v>
      </c>
      <c r="E38" s="654">
        <v>299857.58</v>
      </c>
      <c r="F38" s="654">
        <v>311305.71000000002</v>
      </c>
      <c r="G38" s="654">
        <v>296646.62</v>
      </c>
      <c r="H38" s="654">
        <v>290986.84999999998</v>
      </c>
      <c r="I38" s="654">
        <v>286758.34999999998</v>
      </c>
      <c r="J38" s="654">
        <v>265043.92</v>
      </c>
      <c r="K38" s="654">
        <v>298780.12</v>
      </c>
      <c r="L38" s="654">
        <v>326581.90999999997</v>
      </c>
      <c r="M38" s="654">
        <v>295483.68</v>
      </c>
      <c r="N38" s="654">
        <v>300437.23</v>
      </c>
      <c r="O38" s="619">
        <f t="shared" si="0"/>
        <v>3630889.0000000005</v>
      </c>
      <c r="Q38" s="121" t="s">
        <v>17</v>
      </c>
      <c r="R38" s="121" t="str">
        <f t="shared" si="6"/>
        <v>CFG - FTS-10</v>
      </c>
      <c r="S38" s="121"/>
      <c r="T38" s="121" t="s">
        <v>171</v>
      </c>
      <c r="U38" s="257">
        <f t="shared" si="1"/>
        <v>373297.56</v>
      </c>
      <c r="V38" s="257">
        <f t="shared" si="2"/>
        <v>1</v>
      </c>
    </row>
    <row r="39" spans="2:22">
      <c r="B39" s="620" t="s">
        <v>148</v>
      </c>
      <c r="C39" s="654">
        <v>146807.04999999999</v>
      </c>
      <c r="D39" s="654">
        <v>148429.10999999999</v>
      </c>
      <c r="E39" s="654">
        <v>167804.58</v>
      </c>
      <c r="F39" s="654">
        <v>169495.38</v>
      </c>
      <c r="G39" s="654">
        <v>56433</v>
      </c>
      <c r="H39" s="654">
        <v>0</v>
      </c>
      <c r="I39" s="654">
        <v>120864.2</v>
      </c>
      <c r="J39" s="654">
        <v>121782.78</v>
      </c>
      <c r="K39" s="654">
        <v>23780.17</v>
      </c>
      <c r="L39" s="654">
        <v>70132.570000000007</v>
      </c>
      <c r="M39" s="654">
        <v>82525.06</v>
      </c>
      <c r="N39" s="654">
        <v>119194.72</v>
      </c>
      <c r="O39" s="619">
        <f t="shared" si="0"/>
        <v>1227248.6200000001</v>
      </c>
      <c r="Q39" s="121" t="s">
        <v>17</v>
      </c>
      <c r="R39" s="121" t="str">
        <f t="shared" si="6"/>
        <v>CFG - FTS-11</v>
      </c>
      <c r="S39" s="121"/>
      <c r="T39" s="121" t="s">
        <v>171</v>
      </c>
      <c r="U39" s="257">
        <f t="shared" si="1"/>
        <v>169495.38</v>
      </c>
      <c r="V39" s="257">
        <f t="shared" si="2"/>
        <v>4</v>
      </c>
    </row>
    <row r="40" spans="2:22">
      <c r="B40" s="620" t="s">
        <v>149</v>
      </c>
      <c r="C40" s="654">
        <v>1503482.54</v>
      </c>
      <c r="D40" s="654">
        <v>1416438</v>
      </c>
      <c r="E40" s="654">
        <v>1676213.44</v>
      </c>
      <c r="F40" s="654">
        <v>1463291.46</v>
      </c>
      <c r="G40" s="654">
        <v>1518088.44</v>
      </c>
      <c r="H40" s="654">
        <v>1037428.35</v>
      </c>
      <c r="I40" s="654">
        <v>1336474.8600000001</v>
      </c>
      <c r="J40" s="654">
        <v>1485718.46</v>
      </c>
      <c r="K40" s="654">
        <v>1224903.8899999999</v>
      </c>
      <c r="L40" s="654">
        <v>1439669.03</v>
      </c>
      <c r="M40" s="654">
        <v>1435815.81</v>
      </c>
      <c r="N40" s="654">
        <v>1489509.28</v>
      </c>
      <c r="O40" s="619">
        <f t="shared" si="0"/>
        <v>17027033.560000002</v>
      </c>
      <c r="Q40" s="121" t="s">
        <v>17</v>
      </c>
      <c r="R40" s="121" t="str">
        <f t="shared" si="6"/>
        <v>CFG - FTS-12</v>
      </c>
      <c r="S40" s="121"/>
      <c r="T40" s="121" t="s">
        <v>171</v>
      </c>
      <c r="U40" s="257">
        <f t="shared" si="1"/>
        <v>1676213.44</v>
      </c>
      <c r="V40" s="257">
        <f t="shared" si="2"/>
        <v>3</v>
      </c>
    </row>
    <row r="41" spans="2:22">
      <c r="B41" s="620" t="s">
        <v>150</v>
      </c>
      <c r="C41" s="654">
        <v>109372.81</v>
      </c>
      <c r="D41" s="654">
        <v>86166.25</v>
      </c>
      <c r="E41" s="654">
        <v>107271.21</v>
      </c>
      <c r="F41" s="654">
        <v>106948.86</v>
      </c>
      <c r="G41" s="654">
        <v>112719.72</v>
      </c>
      <c r="H41" s="654">
        <v>107101.34</v>
      </c>
      <c r="I41" s="654">
        <v>99590.88</v>
      </c>
      <c r="J41" s="654">
        <v>91881.31</v>
      </c>
      <c r="K41" s="654">
        <v>11157.62</v>
      </c>
      <c r="L41" s="654">
        <v>15188.44</v>
      </c>
      <c r="M41" s="654">
        <v>17541.689999999999</v>
      </c>
      <c r="N41" s="654">
        <v>22866.55</v>
      </c>
      <c r="O41" s="619">
        <f t="shared" si="0"/>
        <v>887806.67999999982</v>
      </c>
      <c r="Q41" s="121" t="s">
        <v>17</v>
      </c>
      <c r="R41" s="121" t="str">
        <f t="shared" si="6"/>
        <v>CFG - FTS-NGV</v>
      </c>
      <c r="S41" s="121"/>
      <c r="T41" s="121" t="s">
        <v>171</v>
      </c>
      <c r="U41" s="257">
        <f t="shared" si="1"/>
        <v>112719.72</v>
      </c>
      <c r="V41" s="257">
        <f t="shared" si="2"/>
        <v>5</v>
      </c>
    </row>
    <row r="42" spans="2:22">
      <c r="B42" s="620" t="s">
        <v>113</v>
      </c>
      <c r="C42" s="654">
        <v>119056.1899999999</v>
      </c>
      <c r="D42" s="654">
        <v>89073.610000000073</v>
      </c>
      <c r="E42" s="654">
        <v>102030.51999999993</v>
      </c>
      <c r="F42" s="654">
        <v>87524.490000000034</v>
      </c>
      <c r="G42" s="654">
        <v>75893.589999999938</v>
      </c>
      <c r="H42" s="654">
        <v>66428.049999999959</v>
      </c>
      <c r="I42" s="654">
        <v>68251.92999999992</v>
      </c>
      <c r="J42" s="654">
        <v>60996.560000000012</v>
      </c>
      <c r="K42" s="654">
        <v>68994.330000000045</v>
      </c>
      <c r="L42" s="654">
        <v>68018.949999999968</v>
      </c>
      <c r="M42" s="654">
        <v>80815.790000000037</v>
      </c>
      <c r="N42" s="654">
        <v>97083.329999999929</v>
      </c>
      <c r="O42" s="619">
        <f t="shared" si="0"/>
        <v>984167.33999999985</v>
      </c>
      <c r="Q42" s="121" t="s">
        <v>16</v>
      </c>
      <c r="R42" s="121" t="str">
        <f t="shared" si="6"/>
        <v>FPU - FPU - GS - 1</v>
      </c>
      <c r="S42" s="121"/>
      <c r="T42" s="121" t="s">
        <v>172</v>
      </c>
      <c r="U42" s="257">
        <f t="shared" si="1"/>
        <v>119056.1899999999</v>
      </c>
      <c r="V42" s="257">
        <f t="shared" si="2"/>
        <v>1</v>
      </c>
    </row>
    <row r="43" spans="2:22">
      <c r="B43" s="620" t="s">
        <v>173</v>
      </c>
      <c r="C43" s="654">
        <v>78433.98000000004</v>
      </c>
      <c r="D43" s="654">
        <v>74909.63</v>
      </c>
      <c r="E43" s="654">
        <v>59000.959999999992</v>
      </c>
      <c r="F43" s="654">
        <v>64063.559999999976</v>
      </c>
      <c r="G43" s="654">
        <v>55634.16</v>
      </c>
      <c r="H43" s="654">
        <v>60378.219999999958</v>
      </c>
      <c r="I43" s="654">
        <v>30608.889999999996</v>
      </c>
      <c r="J43" s="654">
        <v>39219.49000000002</v>
      </c>
      <c r="K43" s="654">
        <v>46782.630000000019</v>
      </c>
      <c r="L43" s="654">
        <v>51691.54</v>
      </c>
      <c r="M43" s="654">
        <v>65175.800000000025</v>
      </c>
      <c r="N43" s="654">
        <v>79435.259999999966</v>
      </c>
      <c r="O43" s="619">
        <f t="shared" si="0"/>
        <v>705334.12000000011</v>
      </c>
      <c r="Q43" s="121" t="s">
        <v>16</v>
      </c>
      <c r="R43" s="121" t="str">
        <f t="shared" si="6"/>
        <v>FPU - FPU - GSTS - 1</v>
      </c>
      <c r="S43" s="121"/>
      <c r="T43" s="121" t="s">
        <v>174</v>
      </c>
      <c r="U43" s="257">
        <f t="shared" si="1"/>
        <v>79435.259999999966</v>
      </c>
      <c r="V43" s="257">
        <f t="shared" si="2"/>
        <v>12</v>
      </c>
    </row>
    <row r="44" spans="2:22">
      <c r="B44" s="620" t="s">
        <v>175</v>
      </c>
      <c r="C44" s="654">
        <v>758971.39999999932</v>
      </c>
      <c r="D44" s="654">
        <v>650183.18999999948</v>
      </c>
      <c r="E44" s="654">
        <v>602055.70000000007</v>
      </c>
      <c r="F44" s="654">
        <v>600694.48999999929</v>
      </c>
      <c r="G44" s="654">
        <v>531493.04</v>
      </c>
      <c r="H44" s="654">
        <v>468576.66000000067</v>
      </c>
      <c r="I44" s="654">
        <v>479108.78999999957</v>
      </c>
      <c r="J44" s="654">
        <v>431389.07999999879</v>
      </c>
      <c r="K44" s="654">
        <v>454082.74999999907</v>
      </c>
      <c r="L44" s="654">
        <v>464716.35999999946</v>
      </c>
      <c r="M44" s="654">
        <v>528910.84999999881</v>
      </c>
      <c r="N44" s="654">
        <v>645109.55999999843</v>
      </c>
      <c r="O44" s="619">
        <f t="shared" si="0"/>
        <v>6615291.8699999936</v>
      </c>
      <c r="Q44" s="121" t="s">
        <v>16</v>
      </c>
      <c r="R44" s="121" t="str">
        <f t="shared" si="6"/>
        <v>FPU - FPU - GS - 2</v>
      </c>
      <c r="S44" s="121"/>
      <c r="T44" s="121" t="s">
        <v>172</v>
      </c>
      <c r="U44" s="257">
        <f t="shared" si="1"/>
        <v>758971.39999999932</v>
      </c>
      <c r="V44" s="257">
        <f t="shared" si="2"/>
        <v>1</v>
      </c>
    </row>
    <row r="45" spans="2:22">
      <c r="B45" s="620" t="s">
        <v>176</v>
      </c>
      <c r="C45" s="654">
        <v>577720.72000000114</v>
      </c>
      <c r="D45" s="654">
        <v>506641.32000000123</v>
      </c>
      <c r="E45" s="654">
        <v>477615.20000000019</v>
      </c>
      <c r="F45" s="654">
        <v>521247.72000000026</v>
      </c>
      <c r="G45" s="654">
        <v>475839.89999999956</v>
      </c>
      <c r="H45" s="654">
        <v>415405.71999999956</v>
      </c>
      <c r="I45" s="654">
        <v>438498.45000000036</v>
      </c>
      <c r="J45" s="654">
        <v>406018.52000000048</v>
      </c>
      <c r="K45" s="654">
        <v>433477.68999999989</v>
      </c>
      <c r="L45" s="654">
        <v>425118.72000000038</v>
      </c>
      <c r="M45" s="654">
        <v>469238.1799999997</v>
      </c>
      <c r="N45" s="654">
        <v>557138.63000000024</v>
      </c>
      <c r="O45" s="619">
        <f t="shared" si="0"/>
        <v>5703960.7700000023</v>
      </c>
      <c r="Q45" s="121" t="s">
        <v>16</v>
      </c>
      <c r="R45" s="121" t="str">
        <f t="shared" si="6"/>
        <v>FPU - FPU - GSTS - 2</v>
      </c>
      <c r="S45" s="121"/>
      <c r="T45" s="121" t="s">
        <v>174</v>
      </c>
      <c r="U45" s="257">
        <f t="shared" si="1"/>
        <v>577720.72000000114</v>
      </c>
      <c r="V45" s="257">
        <f t="shared" si="2"/>
        <v>1</v>
      </c>
    </row>
    <row r="46" spans="2:22">
      <c r="B46" s="620" t="s">
        <v>177</v>
      </c>
      <c r="C46" s="654">
        <v>5907.2100000000019</v>
      </c>
      <c r="D46" s="654">
        <v>3544.5399999999995</v>
      </c>
      <c r="E46" s="654">
        <v>3750.3900000000008</v>
      </c>
      <c r="F46" s="654">
        <v>3382.17</v>
      </c>
      <c r="G46" s="654">
        <v>10076.309999999996</v>
      </c>
      <c r="H46" s="654">
        <v>4942.0800000000017</v>
      </c>
      <c r="I46" s="654">
        <v>3058.7200000000007</v>
      </c>
      <c r="J46" s="654">
        <v>2651.36</v>
      </c>
      <c r="K46" s="654">
        <v>2505.1299999999992</v>
      </c>
      <c r="L46" s="654">
        <v>2721.3000000000015</v>
      </c>
      <c r="M46" s="654">
        <v>3725.7800000000007</v>
      </c>
      <c r="N46" s="654">
        <v>3811.0999999999972</v>
      </c>
      <c r="O46" s="619">
        <f t="shared" si="0"/>
        <v>50076.090000000004</v>
      </c>
      <c r="Q46" s="121" t="s">
        <v>16</v>
      </c>
      <c r="R46" s="121" t="str">
        <f t="shared" si="6"/>
        <v>FPU - FPU - CS - GS</v>
      </c>
      <c r="S46" s="121"/>
      <c r="T46" s="121" t="s">
        <v>172</v>
      </c>
      <c r="U46" s="257">
        <f t="shared" si="1"/>
        <v>10076.309999999996</v>
      </c>
      <c r="V46" s="257">
        <f t="shared" si="2"/>
        <v>5</v>
      </c>
    </row>
    <row r="47" spans="2:22">
      <c r="B47" s="620" t="s">
        <v>178</v>
      </c>
      <c r="C47" s="654">
        <v>907393.70999999961</v>
      </c>
      <c r="D47" s="654">
        <v>846397.30999999982</v>
      </c>
      <c r="E47" s="654">
        <v>735880.81000000017</v>
      </c>
      <c r="F47" s="654">
        <v>865461.68999999913</v>
      </c>
      <c r="G47" s="654">
        <v>676204.02999999921</v>
      </c>
      <c r="H47" s="654">
        <v>598290.16999999969</v>
      </c>
      <c r="I47" s="654">
        <v>630215.38999999955</v>
      </c>
      <c r="J47" s="654">
        <v>526934.46000000043</v>
      </c>
      <c r="K47" s="654">
        <v>533690.23</v>
      </c>
      <c r="L47" s="654">
        <v>560291.70999999973</v>
      </c>
      <c r="M47" s="654">
        <v>613351.68999999948</v>
      </c>
      <c r="N47" s="654">
        <v>708706.98000000068</v>
      </c>
      <c r="O47" s="619">
        <f t="shared" si="0"/>
        <v>8202818.1799999988</v>
      </c>
      <c r="Q47" s="121" t="s">
        <v>16</v>
      </c>
      <c r="R47" s="121" t="str">
        <f t="shared" si="6"/>
        <v>FPU - FPU - LVS</v>
      </c>
      <c r="S47" s="121"/>
      <c r="T47" s="121" t="s">
        <v>179</v>
      </c>
      <c r="U47" s="257">
        <f t="shared" si="1"/>
        <v>907393.70999999961</v>
      </c>
      <c r="V47" s="257">
        <f t="shared" si="2"/>
        <v>1</v>
      </c>
    </row>
    <row r="48" spans="2:22">
      <c r="B48" s="620" t="s">
        <v>979</v>
      </c>
      <c r="C48" s="654"/>
      <c r="D48" s="654"/>
      <c r="E48" s="654"/>
      <c r="F48" s="654"/>
      <c r="G48" s="654"/>
      <c r="H48" s="654"/>
      <c r="I48" s="654"/>
      <c r="J48" s="654"/>
      <c r="K48" s="654"/>
      <c r="L48" s="654"/>
      <c r="M48" s="654"/>
      <c r="N48" s="654">
        <v>0</v>
      </c>
      <c r="O48" s="619">
        <f t="shared" si="0"/>
        <v>0</v>
      </c>
      <c r="Q48" s="121" t="s">
        <v>16</v>
      </c>
      <c r="R48" s="121" t="str">
        <f t="shared" si="6"/>
        <v>FPU - FPU - LVS Large Customers Non-Residential</v>
      </c>
      <c r="S48" s="121"/>
      <c r="T48" s="121"/>
      <c r="U48" s="257">
        <f t="shared" si="1"/>
        <v>0</v>
      </c>
      <c r="V48" s="257">
        <f t="shared" si="2"/>
        <v>12</v>
      </c>
    </row>
    <row r="49" spans="2:22">
      <c r="B49" s="620" t="s">
        <v>180</v>
      </c>
      <c r="C49" s="654">
        <v>0</v>
      </c>
      <c r="D49" s="654">
        <v>0</v>
      </c>
      <c r="E49" s="654">
        <v>0</v>
      </c>
      <c r="F49" s="654">
        <v>0</v>
      </c>
      <c r="G49" s="654">
        <v>0</v>
      </c>
      <c r="H49" s="654">
        <v>0</v>
      </c>
      <c r="I49" s="654">
        <v>0</v>
      </c>
      <c r="J49" s="654">
        <v>0</v>
      </c>
      <c r="K49" s="654">
        <v>0</v>
      </c>
      <c r="L49" s="654">
        <v>0</v>
      </c>
      <c r="M49" s="654">
        <v>0</v>
      </c>
      <c r="N49" s="654">
        <v>0</v>
      </c>
      <c r="O49" s="619">
        <f t="shared" si="0"/>
        <v>0</v>
      </c>
      <c r="Q49" s="121" t="s">
        <v>16</v>
      </c>
      <c r="R49" s="121" t="str">
        <f t="shared" ref="R49:R54" si="7">CONCATENATE(Q49," - ",B49)</f>
        <v>FPU - FPU - LVTS &lt;50k</v>
      </c>
      <c r="S49" s="121"/>
      <c r="T49" s="121"/>
      <c r="U49" s="257">
        <f t="shared" si="1"/>
        <v>0</v>
      </c>
      <c r="V49" s="257">
        <f t="shared" si="2"/>
        <v>1</v>
      </c>
    </row>
    <row r="50" spans="2:22">
      <c r="B50" s="620" t="s">
        <v>181</v>
      </c>
      <c r="C50" s="654">
        <v>2933518.34</v>
      </c>
      <c r="D50" s="654">
        <v>2701680.1000000024</v>
      </c>
      <c r="E50" s="654">
        <v>2859006.8800000008</v>
      </c>
      <c r="F50" s="654">
        <v>2796620.5100000002</v>
      </c>
      <c r="G50" s="654">
        <v>2691521.36</v>
      </c>
      <c r="H50" s="654">
        <v>2485060.4400000018</v>
      </c>
      <c r="I50" s="654">
        <v>2644571.7300000028</v>
      </c>
      <c r="J50" s="654">
        <v>2453181.5100000002</v>
      </c>
      <c r="K50" s="654">
        <v>2642126.1299999971</v>
      </c>
      <c r="L50" s="654">
        <v>2638686.3299999982</v>
      </c>
      <c r="M50" s="654">
        <v>2782456.46</v>
      </c>
      <c r="N50" s="654">
        <v>2914335.2300000004</v>
      </c>
      <c r="O50" s="619">
        <f t="shared" si="0"/>
        <v>32542765.020000007</v>
      </c>
      <c r="Q50" s="121" t="s">
        <v>16</v>
      </c>
      <c r="R50" s="121" t="str">
        <f t="shared" si="7"/>
        <v>FPU - FPU - LVTS &gt;50k</v>
      </c>
      <c r="S50" s="121"/>
      <c r="T50" s="121" t="s">
        <v>182</v>
      </c>
      <c r="U50" s="257">
        <f t="shared" si="1"/>
        <v>2933518.34</v>
      </c>
      <c r="V50" s="257">
        <f t="shared" si="2"/>
        <v>1</v>
      </c>
    </row>
    <row r="51" spans="2:22">
      <c r="B51" s="620" t="s">
        <v>980</v>
      </c>
      <c r="C51" s="654"/>
      <c r="D51" s="654"/>
      <c r="E51" s="654"/>
      <c r="F51" s="654"/>
      <c r="G51" s="654"/>
      <c r="H51" s="654"/>
      <c r="I51" s="654"/>
      <c r="J51" s="654"/>
      <c r="K51" s="654"/>
      <c r="L51" s="654"/>
      <c r="M51" s="654"/>
      <c r="N51" s="654">
        <v>0</v>
      </c>
      <c r="O51" s="619">
        <f t="shared" si="0"/>
        <v>0</v>
      </c>
      <c r="Q51" s="121" t="s">
        <v>16</v>
      </c>
      <c r="R51" s="121" t="str">
        <f t="shared" si="7"/>
        <v>FPU - FPU - LVTS &gt;50k Large Customers Non-Residential</v>
      </c>
      <c r="S51" s="121"/>
      <c r="T51" s="121"/>
      <c r="U51" s="257">
        <f t="shared" si="1"/>
        <v>0</v>
      </c>
      <c r="V51" s="257">
        <f t="shared" si="2"/>
        <v>12</v>
      </c>
    </row>
    <row r="52" spans="2:22">
      <c r="B52" s="620" t="s">
        <v>183</v>
      </c>
      <c r="C52" s="654">
        <v>0</v>
      </c>
      <c r="D52" s="654">
        <v>0</v>
      </c>
      <c r="E52" s="654">
        <v>0</v>
      </c>
      <c r="F52" s="654">
        <v>0</v>
      </c>
      <c r="G52" s="654">
        <v>0</v>
      </c>
      <c r="H52" s="654">
        <v>0</v>
      </c>
      <c r="I52" s="654">
        <v>0</v>
      </c>
      <c r="J52" s="654">
        <v>0</v>
      </c>
      <c r="K52" s="654">
        <v>0</v>
      </c>
      <c r="L52" s="654">
        <v>0</v>
      </c>
      <c r="M52" s="654">
        <v>0</v>
      </c>
      <c r="N52" s="654">
        <v>0</v>
      </c>
      <c r="O52" s="619">
        <f t="shared" si="0"/>
        <v>0</v>
      </c>
      <c r="Q52" s="121" t="s">
        <v>16</v>
      </c>
      <c r="R52" s="121" t="str">
        <f t="shared" si="7"/>
        <v>FPU - FPU - IS</v>
      </c>
      <c r="S52" s="121"/>
      <c r="T52" s="121"/>
      <c r="U52" s="257">
        <f t="shared" si="1"/>
        <v>0</v>
      </c>
      <c r="V52" s="257">
        <f t="shared" si="2"/>
        <v>1</v>
      </c>
    </row>
    <row r="53" spans="2:22">
      <c r="B53" s="620" t="s">
        <v>184</v>
      </c>
      <c r="C53" s="654">
        <v>935143.99</v>
      </c>
      <c r="D53" s="654">
        <v>756804.09</v>
      </c>
      <c r="E53" s="654">
        <v>825791.8</v>
      </c>
      <c r="F53" s="654">
        <v>729349.22000000009</v>
      </c>
      <c r="G53" s="654">
        <v>783338.03999999992</v>
      </c>
      <c r="H53" s="654">
        <v>685241.05999999994</v>
      </c>
      <c r="I53" s="654">
        <v>739759.74</v>
      </c>
      <c r="J53" s="654">
        <v>786872.29</v>
      </c>
      <c r="K53" s="654">
        <v>739175.55999999994</v>
      </c>
      <c r="L53" s="654">
        <v>871061.63</v>
      </c>
      <c r="M53" s="654">
        <v>847194.51000000013</v>
      </c>
      <c r="N53" s="654">
        <v>845988.45</v>
      </c>
      <c r="O53" s="619">
        <f t="shared" si="0"/>
        <v>9545720.379999999</v>
      </c>
      <c r="Q53" s="121" t="s">
        <v>16</v>
      </c>
      <c r="R53" s="121" t="str">
        <f t="shared" si="7"/>
        <v>FPU - FPU - ITS</v>
      </c>
      <c r="S53" s="121"/>
      <c r="T53" s="121" t="s">
        <v>185</v>
      </c>
      <c r="U53" s="257">
        <f t="shared" si="1"/>
        <v>935143.99</v>
      </c>
      <c r="V53" s="257">
        <f t="shared" si="2"/>
        <v>1</v>
      </c>
    </row>
    <row r="54" spans="2:22">
      <c r="B54" s="620" t="s">
        <v>981</v>
      </c>
      <c r="C54" s="654"/>
      <c r="D54" s="654"/>
      <c r="E54" s="654"/>
      <c r="F54" s="654"/>
      <c r="G54" s="654"/>
      <c r="H54" s="654"/>
      <c r="I54" s="654"/>
      <c r="J54" s="654"/>
      <c r="K54" s="654"/>
      <c r="L54" s="654"/>
      <c r="M54" s="654"/>
      <c r="N54" s="654">
        <v>0</v>
      </c>
      <c r="O54" s="619">
        <f t="shared" si="0"/>
        <v>0</v>
      </c>
      <c r="Q54" s="121" t="s">
        <v>16</v>
      </c>
      <c r="R54" s="121" t="str">
        <f t="shared" si="7"/>
        <v>FPU - FPU - ITS Large Customers Non-Residential</v>
      </c>
      <c r="S54" s="121"/>
      <c r="T54" s="121"/>
      <c r="U54" s="257">
        <f t="shared" si="1"/>
        <v>0</v>
      </c>
      <c r="V54" s="257">
        <f t="shared" si="2"/>
        <v>12</v>
      </c>
    </row>
    <row r="55" spans="2:22">
      <c r="B55" s="620" t="s">
        <v>186</v>
      </c>
      <c r="C55" s="654">
        <v>9094.2199999999993</v>
      </c>
      <c r="D55" s="654">
        <v>8686.2199999999993</v>
      </c>
      <c r="E55" s="654">
        <v>8686.2199999999993</v>
      </c>
      <c r="F55" s="654">
        <v>8686.2199999999993</v>
      </c>
      <c r="G55" s="654">
        <v>8626.2199999999993</v>
      </c>
      <c r="H55" s="654">
        <v>8626.2199999999993</v>
      </c>
      <c r="I55" s="654">
        <v>8626.2199999999993</v>
      </c>
      <c r="J55" s="654">
        <v>7882.2199999999993</v>
      </c>
      <c r="K55" s="654">
        <v>7882.2199999999993</v>
      </c>
      <c r="L55" s="654">
        <v>7882.2199999999993</v>
      </c>
      <c r="M55" s="654">
        <v>7462.22</v>
      </c>
      <c r="N55" s="654">
        <v>7582.2199999999993</v>
      </c>
      <c r="O55" s="619">
        <f t="shared" si="0"/>
        <v>99722.64</v>
      </c>
      <c r="Q55" s="121" t="s">
        <v>16</v>
      </c>
      <c r="R55" s="121" t="str">
        <f t="shared" ref="R55:R63" si="8">CONCATENATE(Q55," - ",B55)</f>
        <v>FPU - FPU - GLS</v>
      </c>
      <c r="S55" s="121"/>
      <c r="T55" s="121" t="s">
        <v>187</v>
      </c>
      <c r="U55" s="257">
        <f t="shared" si="1"/>
        <v>9094.2199999999993</v>
      </c>
      <c r="V55" s="257">
        <f t="shared" si="2"/>
        <v>1</v>
      </c>
    </row>
    <row r="56" spans="2:22">
      <c r="B56" s="620" t="s">
        <v>188</v>
      </c>
      <c r="C56" s="654">
        <v>0</v>
      </c>
      <c r="D56" s="654">
        <v>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4">
        <v>0</v>
      </c>
      <c r="N56" s="654">
        <v>0</v>
      </c>
      <c r="O56" s="619">
        <f t="shared" si="0"/>
        <v>0</v>
      </c>
      <c r="Q56" s="121" t="s">
        <v>16</v>
      </c>
      <c r="R56" s="121" t="str">
        <f t="shared" si="8"/>
        <v>FPU - FPU-NGVS</v>
      </c>
      <c r="S56" s="121"/>
      <c r="T56" s="121"/>
      <c r="U56" s="257">
        <f t="shared" si="1"/>
        <v>0</v>
      </c>
      <c r="V56" s="257">
        <f t="shared" si="2"/>
        <v>1</v>
      </c>
    </row>
    <row r="57" spans="2:22">
      <c r="B57" s="620" t="s">
        <v>189</v>
      </c>
      <c r="C57" s="654">
        <v>80802.31</v>
      </c>
      <c r="D57" s="654">
        <v>80458.649999999994</v>
      </c>
      <c r="E57" s="654">
        <v>94078.790000000008</v>
      </c>
      <c r="F57" s="654">
        <v>92490.89</v>
      </c>
      <c r="G57" s="654">
        <v>90043.489999999991</v>
      </c>
      <c r="H57" s="654">
        <v>92000.39</v>
      </c>
      <c r="I57" s="654">
        <v>93260.34</v>
      </c>
      <c r="J57" s="654">
        <v>96076.29</v>
      </c>
      <c r="K57" s="654">
        <v>94948.829999999987</v>
      </c>
      <c r="L57" s="654">
        <v>89940.06</v>
      </c>
      <c r="M57" s="654">
        <v>89949.5</v>
      </c>
      <c r="N57" s="654">
        <v>97264.39</v>
      </c>
      <c r="O57" s="619">
        <f t="shared" si="0"/>
        <v>1091313.93</v>
      </c>
      <c r="Q57" s="121" t="s">
        <v>16</v>
      </c>
      <c r="R57" s="121" t="str">
        <f t="shared" si="8"/>
        <v>FPU - FPU- NGVTS</v>
      </c>
      <c r="S57" s="121"/>
      <c r="T57" s="121" t="s">
        <v>174</v>
      </c>
      <c r="U57" s="257">
        <f t="shared" si="1"/>
        <v>97264.39</v>
      </c>
      <c r="V57" s="257">
        <f t="shared" si="2"/>
        <v>12</v>
      </c>
    </row>
    <row r="58" spans="2:22">
      <c r="B58" s="620" t="s">
        <v>190</v>
      </c>
      <c r="C58" s="654">
        <v>11.64</v>
      </c>
      <c r="D58" s="654">
        <v>7.38</v>
      </c>
      <c r="E58" s="654">
        <v>6.3100000000000005</v>
      </c>
      <c r="F58" s="654">
        <v>17.939999999999998</v>
      </c>
      <c r="G58" s="654">
        <v>10.4</v>
      </c>
      <c r="H58" s="654">
        <v>5.2</v>
      </c>
      <c r="I58" s="654">
        <v>9.36</v>
      </c>
      <c r="J58" s="654">
        <v>23.92</v>
      </c>
      <c r="K58" s="654">
        <v>7.35</v>
      </c>
      <c r="L58" s="654">
        <v>8.32</v>
      </c>
      <c r="M58" s="654">
        <v>5.2</v>
      </c>
      <c r="N58" s="654">
        <v>4.17</v>
      </c>
      <c r="O58" s="619">
        <f t="shared" si="0"/>
        <v>117.19</v>
      </c>
      <c r="Q58" s="121" t="s">
        <v>14</v>
      </c>
      <c r="R58" s="121" t="str">
        <f t="shared" si="8"/>
        <v>FT - FT-Comm PA</v>
      </c>
      <c r="S58" s="121" t="s">
        <v>100</v>
      </c>
      <c r="T58" s="121" t="s">
        <v>191</v>
      </c>
      <c r="U58" s="257">
        <f t="shared" si="1"/>
        <v>23.92</v>
      </c>
      <c r="V58" s="257">
        <f t="shared" si="2"/>
        <v>8</v>
      </c>
    </row>
    <row r="59" spans="2:22">
      <c r="B59" s="620" t="s">
        <v>192</v>
      </c>
      <c r="C59" s="654">
        <v>25085.620000000003</v>
      </c>
      <c r="D59" s="654">
        <v>23824.819999999996</v>
      </c>
      <c r="E59" s="654">
        <v>18810.989999999998</v>
      </c>
      <c r="F59" s="654">
        <v>19971.71</v>
      </c>
      <c r="G59" s="654">
        <v>17786.289999999997</v>
      </c>
      <c r="H59" s="654">
        <v>15439.52</v>
      </c>
      <c r="I59" s="654">
        <v>6448.53</v>
      </c>
      <c r="J59" s="654">
        <v>16812.969999999998</v>
      </c>
      <c r="K59" s="654">
        <v>11285.42</v>
      </c>
      <c r="L59" s="654">
        <v>14697.52</v>
      </c>
      <c r="M59" s="654">
        <v>19565.43</v>
      </c>
      <c r="N59" s="654">
        <v>24569.95</v>
      </c>
      <c r="O59" s="619">
        <f t="shared" si="0"/>
        <v>214298.77</v>
      </c>
      <c r="Q59" s="121" t="s">
        <v>14</v>
      </c>
      <c r="R59" s="121" t="str">
        <f t="shared" si="8"/>
        <v>FT - FT-Comm Small</v>
      </c>
      <c r="S59" s="121" t="s">
        <v>193</v>
      </c>
      <c r="T59" s="121" t="s">
        <v>191</v>
      </c>
      <c r="U59" s="257">
        <f t="shared" si="1"/>
        <v>25085.620000000003</v>
      </c>
      <c r="V59" s="257">
        <f t="shared" si="2"/>
        <v>1</v>
      </c>
    </row>
    <row r="60" spans="2:22">
      <c r="B60" s="620" t="s">
        <v>194</v>
      </c>
      <c r="C60" s="654">
        <v>2637.9399999999996</v>
      </c>
      <c r="D60" s="654">
        <v>2797.8500000000004</v>
      </c>
      <c r="E60" s="654">
        <v>2716.6</v>
      </c>
      <c r="F60" s="654">
        <v>2944.5</v>
      </c>
      <c r="G60" s="654">
        <v>2812.53</v>
      </c>
      <c r="H60" s="654">
        <v>2490.88</v>
      </c>
      <c r="I60" s="654">
        <v>2365.71</v>
      </c>
      <c r="J60" s="654">
        <v>2314.86</v>
      </c>
      <c r="K60" s="654">
        <v>3322.42</v>
      </c>
      <c r="L60" s="654">
        <v>3000.5200000000004</v>
      </c>
      <c r="M60" s="654">
        <v>2999.68</v>
      </c>
      <c r="N60" s="654">
        <v>3374.8</v>
      </c>
      <c r="O60" s="619">
        <f t="shared" si="0"/>
        <v>33778.29</v>
      </c>
      <c r="Q60" s="121" t="s">
        <v>14</v>
      </c>
      <c r="R60" s="121" t="str">
        <f t="shared" si="8"/>
        <v>FT - FT-Transportation</v>
      </c>
      <c r="S60" s="121" t="s">
        <v>193</v>
      </c>
      <c r="T60" s="121" t="s">
        <v>195</v>
      </c>
      <c r="U60" s="257">
        <f t="shared" si="1"/>
        <v>3374.8</v>
      </c>
      <c r="V60" s="257">
        <f t="shared" si="2"/>
        <v>12</v>
      </c>
    </row>
    <row r="61" spans="2:22">
      <c r="B61" s="617" t="s">
        <v>107</v>
      </c>
      <c r="C61" s="654">
        <v>6665.2400000000007</v>
      </c>
      <c r="D61" s="654">
        <v>6371.8</v>
      </c>
      <c r="E61" s="654">
        <v>7049.2799999999988</v>
      </c>
      <c r="F61" s="654">
        <v>7238.2999999999993</v>
      </c>
      <c r="G61" s="654">
        <v>6676.26</v>
      </c>
      <c r="H61" s="654">
        <v>6988.9099999999989</v>
      </c>
      <c r="I61" s="654">
        <v>6613.47</v>
      </c>
      <c r="J61" s="654">
        <v>6333.8199999999988</v>
      </c>
      <c r="K61" s="654">
        <v>7330.6399999999985</v>
      </c>
      <c r="L61" s="654">
        <v>5625.0700000000006</v>
      </c>
      <c r="M61" s="654">
        <v>7308.43</v>
      </c>
      <c r="N61" s="654">
        <v>6755.73</v>
      </c>
      <c r="O61" s="619">
        <f t="shared" si="0"/>
        <v>80956.95</v>
      </c>
      <c r="Q61" s="121" t="s">
        <v>13</v>
      </c>
      <c r="R61" s="121" t="str">
        <f t="shared" si="8"/>
        <v>IGC - IGC - TS2</v>
      </c>
      <c r="S61" s="121"/>
      <c r="T61" s="121" t="s">
        <v>196</v>
      </c>
      <c r="U61" s="257">
        <f t="shared" si="1"/>
        <v>7330.6399999999985</v>
      </c>
      <c r="V61" s="257">
        <f t="shared" si="2"/>
        <v>9</v>
      </c>
    </row>
    <row r="62" spans="2:22">
      <c r="B62" s="617" t="s">
        <v>108</v>
      </c>
      <c r="C62" s="654">
        <v>944.37</v>
      </c>
      <c r="D62" s="654">
        <v>755.21</v>
      </c>
      <c r="E62" s="654">
        <v>662.62</v>
      </c>
      <c r="F62" s="654">
        <v>839.3</v>
      </c>
      <c r="G62" s="654">
        <v>494.3</v>
      </c>
      <c r="H62" s="654">
        <v>884.63</v>
      </c>
      <c r="I62" s="654">
        <v>480.33</v>
      </c>
      <c r="J62" s="654">
        <v>481.03</v>
      </c>
      <c r="K62" s="654">
        <v>663.99</v>
      </c>
      <c r="L62" s="654">
        <v>557.28</v>
      </c>
      <c r="M62" s="654">
        <v>694.3</v>
      </c>
      <c r="N62" s="654">
        <v>528.55999999999995</v>
      </c>
      <c r="O62" s="619">
        <f t="shared" si="0"/>
        <v>7985.92</v>
      </c>
      <c r="Q62" s="121" t="s">
        <v>13</v>
      </c>
      <c r="R62" s="121" t="str">
        <f t="shared" si="8"/>
        <v>IGC - IGC - TS3</v>
      </c>
      <c r="S62" s="121"/>
      <c r="T62" s="121" t="s">
        <v>197</v>
      </c>
      <c r="U62" s="257">
        <f t="shared" si="1"/>
        <v>944.37</v>
      </c>
      <c r="V62" s="257">
        <f t="shared" si="2"/>
        <v>1</v>
      </c>
    </row>
    <row r="63" spans="2:22">
      <c r="B63" s="628" t="s">
        <v>109</v>
      </c>
      <c r="C63" s="656">
        <v>0</v>
      </c>
      <c r="D63" s="656">
        <v>0</v>
      </c>
      <c r="E63" s="656">
        <v>0</v>
      </c>
      <c r="F63" s="656">
        <v>0</v>
      </c>
      <c r="G63" s="656">
        <v>0</v>
      </c>
      <c r="H63" s="656">
        <v>0</v>
      </c>
      <c r="I63" s="656">
        <v>0</v>
      </c>
      <c r="J63" s="656">
        <v>0</v>
      </c>
      <c r="K63" s="656">
        <v>0</v>
      </c>
      <c r="L63" s="656">
        <v>0</v>
      </c>
      <c r="M63" s="656">
        <v>0</v>
      </c>
      <c r="N63" s="654">
        <v>0</v>
      </c>
      <c r="O63" s="619">
        <f t="shared" si="0"/>
        <v>0</v>
      </c>
      <c r="Q63" s="121" t="s">
        <v>13</v>
      </c>
      <c r="R63" s="121" t="str">
        <f t="shared" si="8"/>
        <v>IGC - IGC - TS4</v>
      </c>
      <c r="S63" s="121"/>
      <c r="T63" s="121" t="s">
        <v>198</v>
      </c>
      <c r="U63" s="257">
        <f t="shared" si="1"/>
        <v>0</v>
      </c>
      <c r="V63" s="257">
        <f t="shared" si="2"/>
        <v>1</v>
      </c>
    </row>
    <row r="64" spans="2:22">
      <c r="B64" s="622" t="s">
        <v>199</v>
      </c>
      <c r="C64" s="619">
        <v>10783582.4</v>
      </c>
      <c r="D64" s="619">
        <v>9682216.0800000057</v>
      </c>
      <c r="E64" s="619">
        <v>10145601.84</v>
      </c>
      <c r="F64" s="619">
        <v>9871352.4700000025</v>
      </c>
      <c r="G64" s="619">
        <v>9207723.8599999975</v>
      </c>
      <c r="H64" s="619">
        <v>8174597.5</v>
      </c>
      <c r="I64" s="619">
        <v>8766934.9400000032</v>
      </c>
      <c r="J64" s="619">
        <v>8568305.2100000009</v>
      </c>
      <c r="K64" s="619">
        <v>8396700.1599999946</v>
      </c>
      <c r="L64" s="619">
        <v>9019854.6899999995</v>
      </c>
      <c r="M64" s="619">
        <v>9457779.799999997</v>
      </c>
      <c r="N64" s="619">
        <f>SUM(N25:N63)</f>
        <v>10118482.840000002</v>
      </c>
      <c r="O64" s="619">
        <f t="shared" si="0"/>
        <v>112193131.79000001</v>
      </c>
      <c r="U64" s="257"/>
      <c r="V64" s="257"/>
    </row>
    <row r="65" spans="2:22">
      <c r="B65" s="320" t="s">
        <v>200</v>
      </c>
      <c r="C65" s="654"/>
      <c r="D65" s="654"/>
      <c r="E65" s="654"/>
      <c r="F65" s="654"/>
      <c r="G65" s="654"/>
      <c r="H65" s="654"/>
      <c r="I65" s="654"/>
      <c r="J65" s="654"/>
      <c r="K65" s="654"/>
      <c r="L65" s="654"/>
      <c r="M65" s="654"/>
      <c r="N65" s="654"/>
      <c r="O65" s="619">
        <f t="shared" si="0"/>
        <v>0</v>
      </c>
      <c r="U65" s="257"/>
      <c r="V65" s="257"/>
    </row>
    <row r="66" spans="2:22">
      <c r="B66" s="617" t="s">
        <v>114</v>
      </c>
      <c r="C66" s="654">
        <v>0</v>
      </c>
      <c r="D66" s="654">
        <v>0</v>
      </c>
      <c r="E66" s="654">
        <v>0</v>
      </c>
      <c r="F66" s="654">
        <v>0</v>
      </c>
      <c r="G66" s="654">
        <v>0</v>
      </c>
      <c r="H66" s="654">
        <v>0</v>
      </c>
      <c r="I66" s="654">
        <v>0</v>
      </c>
      <c r="J66" s="654">
        <v>0</v>
      </c>
      <c r="K66" s="654">
        <v>0</v>
      </c>
      <c r="L66" s="654">
        <v>0</v>
      </c>
      <c r="M66" s="654">
        <v>0</v>
      </c>
      <c r="N66" s="654">
        <v>0</v>
      </c>
      <c r="O66" s="619">
        <f t="shared" si="0"/>
        <v>0</v>
      </c>
      <c r="Q66" s="121" t="s">
        <v>17</v>
      </c>
      <c r="R66" s="121" t="str">
        <f>CONCATENATE(Q66," - ",B66," - ",S66)</f>
        <v>CFG - FTS-A - Fixed NR</v>
      </c>
      <c r="S66" s="121" t="s">
        <v>201</v>
      </c>
      <c r="T66" s="121" t="s">
        <v>171</v>
      </c>
      <c r="U66" s="257">
        <f t="shared" si="1"/>
        <v>0</v>
      </c>
      <c r="V66" s="257">
        <f t="shared" si="2"/>
        <v>1</v>
      </c>
    </row>
    <row r="67" spans="2:22">
      <c r="B67" s="617" t="s">
        <v>115</v>
      </c>
      <c r="C67" s="654">
        <v>2.08</v>
      </c>
      <c r="D67" s="654">
        <v>1.03</v>
      </c>
      <c r="E67" s="654">
        <v>2.08</v>
      </c>
      <c r="F67" s="654">
        <v>2.08</v>
      </c>
      <c r="G67" s="654">
        <v>1.03</v>
      </c>
      <c r="H67" s="654">
        <v>1.03</v>
      </c>
      <c r="I67" s="654">
        <v>2.08</v>
      </c>
      <c r="J67" s="654">
        <v>2.08</v>
      </c>
      <c r="K67" s="654">
        <v>2.08</v>
      </c>
      <c r="L67" s="654">
        <v>2.08</v>
      </c>
      <c r="M67" s="654">
        <v>2.08</v>
      </c>
      <c r="N67" s="654">
        <v>2.0699999999999998</v>
      </c>
      <c r="O67" s="619">
        <f t="shared" si="0"/>
        <v>21.799999999999997</v>
      </c>
      <c r="Q67" s="121" t="s">
        <v>17</v>
      </c>
      <c r="R67" s="121" t="str">
        <f t="shared" ref="R67:R72" si="9">CONCATENATE(Q67," - ",B67," - ",S67)</f>
        <v>CFG - FTS-B - Fixed NR</v>
      </c>
      <c r="S67" s="121" t="s">
        <v>201</v>
      </c>
      <c r="T67" s="121" t="s">
        <v>171</v>
      </c>
      <c r="U67" s="257">
        <f t="shared" si="1"/>
        <v>2.08</v>
      </c>
      <c r="V67" s="257">
        <f t="shared" si="2"/>
        <v>1</v>
      </c>
    </row>
    <row r="68" spans="2:22">
      <c r="B68" s="617" t="s">
        <v>116</v>
      </c>
      <c r="C68" s="654">
        <v>672.54</v>
      </c>
      <c r="D68" s="654">
        <v>585.37</v>
      </c>
      <c r="E68" s="654">
        <v>543.95000000000005</v>
      </c>
      <c r="F68" s="654">
        <v>660.44</v>
      </c>
      <c r="G68" s="654">
        <v>497.09</v>
      </c>
      <c r="H68" s="654">
        <v>538.77</v>
      </c>
      <c r="I68" s="654">
        <v>560.59</v>
      </c>
      <c r="J68" s="654">
        <v>592.87</v>
      </c>
      <c r="K68" s="654">
        <v>605.74</v>
      </c>
      <c r="L68" s="654">
        <v>533.71</v>
      </c>
      <c r="M68" s="654">
        <v>563.61</v>
      </c>
      <c r="N68" s="654">
        <v>824.48</v>
      </c>
      <c r="O68" s="619">
        <f t="shared" ref="O68:O100" si="10">SUM(C68:N68)</f>
        <v>7179.16</v>
      </c>
      <c r="Q68" s="121" t="s">
        <v>17</v>
      </c>
      <c r="R68" s="121" t="str">
        <f t="shared" si="9"/>
        <v>CFG - FTS-1 - Fixed NR</v>
      </c>
      <c r="S68" s="121" t="s">
        <v>201</v>
      </c>
      <c r="T68" s="121" t="s">
        <v>171</v>
      </c>
      <c r="U68" s="257">
        <f t="shared" ref="U68:U127" si="11">MAX(C68:N68)</f>
        <v>824.48</v>
      </c>
      <c r="V68" s="257">
        <f t="shared" ref="V68:V127" si="12">IFERROR(INDEX($C$1:$N$1,MATCH(U68,C68:N68,0)),0)</f>
        <v>12</v>
      </c>
    </row>
    <row r="69" spans="2:22">
      <c r="B69" s="620" t="s">
        <v>117</v>
      </c>
      <c r="C69" s="654">
        <v>226.34</v>
      </c>
      <c r="D69" s="654">
        <v>188.16</v>
      </c>
      <c r="E69" s="654">
        <v>198.76</v>
      </c>
      <c r="F69" s="654">
        <v>252.76</v>
      </c>
      <c r="G69" s="654">
        <v>210.07</v>
      </c>
      <c r="H69" s="654">
        <v>233.59</v>
      </c>
      <c r="I69" s="654">
        <v>965.55</v>
      </c>
      <c r="J69" s="654">
        <v>191.37</v>
      </c>
      <c r="K69" s="654">
        <v>185.76</v>
      </c>
      <c r="L69" s="654">
        <v>194.25</v>
      </c>
      <c r="M69" s="654">
        <v>186.94</v>
      </c>
      <c r="N69" s="654">
        <v>247.95</v>
      </c>
      <c r="O69" s="619">
        <f t="shared" si="10"/>
        <v>3281.4999999999995</v>
      </c>
      <c r="Q69" s="121" t="s">
        <v>17</v>
      </c>
      <c r="R69" s="121" t="str">
        <f t="shared" si="9"/>
        <v>CFG - FTS-2 - Fixed NR</v>
      </c>
      <c r="S69" s="121" t="s">
        <v>201</v>
      </c>
      <c r="T69" s="121" t="s">
        <v>171</v>
      </c>
      <c r="U69" s="257">
        <f t="shared" si="11"/>
        <v>965.55</v>
      </c>
      <c r="V69" s="257">
        <f t="shared" si="12"/>
        <v>7</v>
      </c>
    </row>
    <row r="70" spans="2:22">
      <c r="B70" s="620" t="s">
        <v>118</v>
      </c>
      <c r="C70" s="654">
        <v>1724.12</v>
      </c>
      <c r="D70" s="654">
        <v>1600.9</v>
      </c>
      <c r="E70" s="654">
        <v>1595.07</v>
      </c>
      <c r="F70" s="654">
        <v>2059.5100000000002</v>
      </c>
      <c r="G70" s="654">
        <v>1726.39</v>
      </c>
      <c r="H70" s="654">
        <v>1535.63</v>
      </c>
      <c r="I70" s="654">
        <v>1424.14</v>
      </c>
      <c r="J70" s="654">
        <v>1430.3</v>
      </c>
      <c r="K70" s="654">
        <v>1335.95</v>
      </c>
      <c r="L70" s="654">
        <v>1166.99</v>
      </c>
      <c r="M70" s="654">
        <v>1040.3</v>
      </c>
      <c r="N70" s="654">
        <v>1314.67</v>
      </c>
      <c r="O70" s="619">
        <f t="shared" si="10"/>
        <v>17953.97</v>
      </c>
      <c r="Q70" s="121" t="s">
        <v>17</v>
      </c>
      <c r="R70" s="121" t="str">
        <f t="shared" si="9"/>
        <v>CFG - FTS-2.1 - Fixed NR</v>
      </c>
      <c r="S70" s="121" t="s">
        <v>201</v>
      </c>
      <c r="T70" s="121" t="s">
        <v>171</v>
      </c>
      <c r="U70" s="257">
        <f t="shared" si="11"/>
        <v>2059.5100000000002</v>
      </c>
      <c r="V70" s="257">
        <f t="shared" si="12"/>
        <v>4</v>
      </c>
    </row>
    <row r="71" spans="2:22">
      <c r="B71" s="620" t="s">
        <v>119</v>
      </c>
      <c r="C71" s="654">
        <v>5107.8999999999996</v>
      </c>
      <c r="D71" s="654">
        <v>4444.54</v>
      </c>
      <c r="E71" s="654">
        <v>4630.54</v>
      </c>
      <c r="F71" s="654">
        <v>5541.51</v>
      </c>
      <c r="G71" s="654">
        <v>4779.2</v>
      </c>
      <c r="H71" s="654">
        <v>4867.28</v>
      </c>
      <c r="I71" s="654">
        <v>4919.43</v>
      </c>
      <c r="J71" s="654">
        <v>4812.09</v>
      </c>
      <c r="K71" s="654">
        <v>4864.22</v>
      </c>
      <c r="L71" s="654">
        <v>4949.08</v>
      </c>
      <c r="M71" s="654">
        <v>4663.97</v>
      </c>
      <c r="N71" s="654">
        <v>5933.09</v>
      </c>
      <c r="O71" s="619">
        <f t="shared" si="10"/>
        <v>59512.849999999991</v>
      </c>
      <c r="Q71" s="121" t="s">
        <v>17</v>
      </c>
      <c r="R71" s="121" t="str">
        <f t="shared" si="9"/>
        <v>CFG - FTS-3 - Fixed NR</v>
      </c>
      <c r="S71" s="121" t="s">
        <v>201</v>
      </c>
      <c r="T71" s="121" t="s">
        <v>171</v>
      </c>
      <c r="U71" s="257">
        <f t="shared" si="11"/>
        <v>5933.09</v>
      </c>
      <c r="V71" s="257">
        <f t="shared" si="12"/>
        <v>12</v>
      </c>
    </row>
    <row r="72" spans="2:22">
      <c r="B72" s="628" t="s">
        <v>120</v>
      </c>
      <c r="C72" s="656">
        <v>4863.43</v>
      </c>
      <c r="D72" s="656">
        <v>3675.86</v>
      </c>
      <c r="E72" s="656">
        <v>4042.47</v>
      </c>
      <c r="F72" s="656">
        <v>3821.95</v>
      </c>
      <c r="G72" s="656">
        <v>3467.36</v>
      </c>
      <c r="H72" s="656">
        <v>3616.92</v>
      </c>
      <c r="I72" s="656">
        <v>3704.97</v>
      </c>
      <c r="J72" s="656">
        <v>3014.32</v>
      </c>
      <c r="K72" s="656">
        <v>6564.54</v>
      </c>
      <c r="L72" s="656">
        <v>3445.84</v>
      </c>
      <c r="M72" s="656">
        <v>2797.31</v>
      </c>
      <c r="N72" s="656">
        <v>4527.55</v>
      </c>
      <c r="O72" s="619">
        <f t="shared" si="10"/>
        <v>47542.520000000004</v>
      </c>
      <c r="Q72" s="121" t="s">
        <v>17</v>
      </c>
      <c r="R72" s="121" t="str">
        <f t="shared" si="9"/>
        <v>CFG - FTS-3.1 - Fixed NR</v>
      </c>
      <c r="S72" s="121" t="s">
        <v>201</v>
      </c>
      <c r="T72" s="121" t="s">
        <v>171</v>
      </c>
      <c r="U72" s="257">
        <f t="shared" si="11"/>
        <v>6564.54</v>
      </c>
      <c r="V72" s="257">
        <f t="shared" si="12"/>
        <v>9</v>
      </c>
    </row>
    <row r="73" spans="2:22">
      <c r="B73" s="622" t="s">
        <v>202</v>
      </c>
      <c r="C73" s="619">
        <v>12596.41</v>
      </c>
      <c r="D73" s="619">
        <v>10495.86</v>
      </c>
      <c r="E73" s="619">
        <v>11012.869999999999</v>
      </c>
      <c r="F73" s="619">
        <v>12338.25</v>
      </c>
      <c r="G73" s="619">
        <v>10681.14</v>
      </c>
      <c r="H73" s="619">
        <v>10793.22</v>
      </c>
      <c r="I73" s="619">
        <v>11576.76</v>
      </c>
      <c r="J73" s="619">
        <v>10043.030000000001</v>
      </c>
      <c r="K73" s="619">
        <v>13558.29</v>
      </c>
      <c r="L73" s="619">
        <v>10291.950000000001</v>
      </c>
      <c r="M73" s="619">
        <v>9254.2100000000009</v>
      </c>
      <c r="N73" s="619">
        <f>SUM(N66:N72)</f>
        <v>12849.810000000001</v>
      </c>
      <c r="O73" s="619">
        <f t="shared" si="10"/>
        <v>135491.79999999999</v>
      </c>
      <c r="U73" s="257"/>
      <c r="V73" s="257"/>
    </row>
    <row r="74" spans="2:22">
      <c r="B74" s="320" t="s">
        <v>203</v>
      </c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619">
        <f t="shared" si="10"/>
        <v>0</v>
      </c>
      <c r="U74" s="257"/>
      <c r="V74" s="257"/>
    </row>
    <row r="75" spans="2:22">
      <c r="B75" s="124" t="s">
        <v>204</v>
      </c>
      <c r="C75" s="654">
        <v>38252.380000000005</v>
      </c>
      <c r="D75" s="654">
        <v>27546.61</v>
      </c>
      <c r="E75" s="654">
        <v>74377.23000000001</v>
      </c>
      <c r="F75" s="654">
        <v>112385.8</v>
      </c>
      <c r="G75" s="654">
        <v>58910.64</v>
      </c>
      <c r="H75" s="654">
        <v>57021</v>
      </c>
      <c r="I75" s="654">
        <v>25763.79</v>
      </c>
      <c r="J75" s="654">
        <v>63494.12</v>
      </c>
      <c r="K75" s="654">
        <v>40793.380000000005</v>
      </c>
      <c r="L75" s="654">
        <v>57164.17</v>
      </c>
      <c r="M75" s="654">
        <v>61033.2</v>
      </c>
      <c r="N75" s="654">
        <v>64151.22</v>
      </c>
      <c r="O75" s="619">
        <f t="shared" si="10"/>
        <v>680893.53999999992</v>
      </c>
      <c r="Q75" s="121" t="s">
        <v>17</v>
      </c>
      <c r="R75" s="121"/>
      <c r="S75" s="121"/>
      <c r="T75" s="121" t="s">
        <v>205</v>
      </c>
      <c r="U75" s="257">
        <f t="shared" si="11"/>
        <v>112385.8</v>
      </c>
      <c r="V75" s="257">
        <f t="shared" si="12"/>
        <v>4</v>
      </c>
    </row>
    <row r="76" spans="2:22">
      <c r="B76" s="124" t="s">
        <v>206</v>
      </c>
      <c r="C76" s="654">
        <v>31237.98</v>
      </c>
      <c r="D76" s="654">
        <v>21159.09</v>
      </c>
      <c r="E76" s="654">
        <v>17797.64</v>
      </c>
      <c r="F76" s="654">
        <v>10570.76</v>
      </c>
      <c r="G76" s="654">
        <v>9760.7900000000009</v>
      </c>
      <c r="H76" s="654">
        <v>7983.16</v>
      </c>
      <c r="I76" s="654">
        <v>7636.68</v>
      </c>
      <c r="J76" s="654">
        <v>7536.49</v>
      </c>
      <c r="K76" s="654">
        <v>7328.72</v>
      </c>
      <c r="L76" s="654">
        <v>8943.7900000000009</v>
      </c>
      <c r="M76" s="654">
        <v>17495.52</v>
      </c>
      <c r="N76" s="654">
        <v>16877.64</v>
      </c>
      <c r="O76" s="619">
        <f t="shared" si="10"/>
        <v>164328.25999999995</v>
      </c>
      <c r="Q76" s="121" t="s">
        <v>17</v>
      </c>
      <c r="R76" s="121"/>
      <c r="S76" s="121"/>
      <c r="T76" s="121" t="s">
        <v>205</v>
      </c>
      <c r="U76" s="257">
        <f t="shared" si="11"/>
        <v>31237.98</v>
      </c>
      <c r="V76" s="257">
        <f t="shared" si="12"/>
        <v>1</v>
      </c>
    </row>
    <row r="77" spans="2:22">
      <c r="B77" s="124" t="s">
        <v>207</v>
      </c>
      <c r="C77" s="654">
        <v>1766701.62</v>
      </c>
      <c r="D77" s="654">
        <v>1623568.9</v>
      </c>
      <c r="E77" s="654">
        <v>1761612.95</v>
      </c>
      <c r="F77" s="654">
        <v>575313.29</v>
      </c>
      <c r="G77" s="654">
        <v>634919.35</v>
      </c>
      <c r="H77" s="654">
        <v>1558652.93</v>
      </c>
      <c r="I77" s="654">
        <v>1795016.53</v>
      </c>
      <c r="J77" s="654">
        <v>1797106.31</v>
      </c>
      <c r="K77" s="654">
        <v>1735484.1</v>
      </c>
      <c r="L77" s="654">
        <v>1793378.86</v>
      </c>
      <c r="M77" s="654">
        <v>1513283.69</v>
      </c>
      <c r="N77" s="654">
        <v>1790927.12</v>
      </c>
      <c r="O77" s="619">
        <f t="shared" si="10"/>
        <v>18345965.649999999</v>
      </c>
      <c r="Q77" s="121" t="s">
        <v>17</v>
      </c>
      <c r="R77" s="121"/>
      <c r="S77" s="121"/>
      <c r="T77" s="121" t="s">
        <v>205</v>
      </c>
      <c r="U77" s="257">
        <f t="shared" si="11"/>
        <v>1797106.31</v>
      </c>
      <c r="V77" s="257">
        <f t="shared" si="12"/>
        <v>8</v>
      </c>
    </row>
    <row r="78" spans="2:22">
      <c r="B78" s="124" t="s">
        <v>208</v>
      </c>
      <c r="C78" s="654">
        <v>661100.51</v>
      </c>
      <c r="D78" s="654">
        <v>1040569.65</v>
      </c>
      <c r="E78" s="654">
        <v>1701940.25</v>
      </c>
      <c r="F78" s="654">
        <v>1927319.9</v>
      </c>
      <c r="G78" s="654">
        <v>1982440.38</v>
      </c>
      <c r="H78" s="654">
        <v>2141499.9900000002</v>
      </c>
      <c r="I78" s="654">
        <v>2082660.47</v>
      </c>
      <c r="J78" s="654">
        <v>1183600.24</v>
      </c>
      <c r="K78" s="654">
        <v>1229440.1499999999</v>
      </c>
      <c r="L78" s="654">
        <v>2217079.67</v>
      </c>
      <c r="M78" s="654">
        <v>1837040.12</v>
      </c>
      <c r="N78" s="654">
        <v>1761140.21</v>
      </c>
      <c r="O78" s="619">
        <f t="shared" si="10"/>
        <v>19765831.540000003</v>
      </c>
      <c r="Q78" s="121" t="s">
        <v>17</v>
      </c>
      <c r="R78" s="121"/>
      <c r="S78" s="121"/>
      <c r="T78" s="121" t="s">
        <v>205</v>
      </c>
      <c r="U78" s="257">
        <f t="shared" si="11"/>
        <v>2217079.67</v>
      </c>
      <c r="V78" s="257">
        <f t="shared" si="12"/>
        <v>10</v>
      </c>
    </row>
    <row r="79" spans="2:22">
      <c r="B79" s="124" t="s">
        <v>209</v>
      </c>
      <c r="C79" s="654">
        <v>0</v>
      </c>
      <c r="D79" s="654">
        <v>0</v>
      </c>
      <c r="E79" s="654">
        <v>0</v>
      </c>
      <c r="F79" s="654">
        <v>0</v>
      </c>
      <c r="G79" s="654">
        <v>0</v>
      </c>
      <c r="H79" s="654">
        <v>0</v>
      </c>
      <c r="I79" s="654">
        <v>0</v>
      </c>
      <c r="J79" s="654">
        <v>0</v>
      </c>
      <c r="K79" s="654">
        <v>0</v>
      </c>
      <c r="L79" s="654">
        <v>0</v>
      </c>
      <c r="M79" s="654">
        <v>0</v>
      </c>
      <c r="N79" s="654">
        <v>0</v>
      </c>
      <c r="O79" s="619">
        <f t="shared" si="10"/>
        <v>0</v>
      </c>
      <c r="Q79" s="121" t="s">
        <v>17</v>
      </c>
      <c r="R79" s="121"/>
      <c r="S79" s="121"/>
      <c r="T79" s="121" t="s">
        <v>205</v>
      </c>
      <c r="U79" s="257">
        <f t="shared" si="11"/>
        <v>0</v>
      </c>
      <c r="V79" s="257">
        <f t="shared" si="12"/>
        <v>1</v>
      </c>
    </row>
    <row r="80" spans="2:22">
      <c r="B80" s="124" t="s">
        <v>210</v>
      </c>
      <c r="C80" s="654">
        <v>1046308.36</v>
      </c>
      <c r="D80" s="654">
        <v>661504.91</v>
      </c>
      <c r="E80" s="654">
        <v>818688.5</v>
      </c>
      <c r="F80" s="654">
        <v>854753.87</v>
      </c>
      <c r="G80" s="654">
        <v>874101.86</v>
      </c>
      <c r="H80" s="654">
        <v>807731.9</v>
      </c>
      <c r="I80" s="654">
        <v>796851.19999999995</v>
      </c>
      <c r="J80" s="654">
        <v>520096.08</v>
      </c>
      <c r="K80" s="654">
        <v>603238.5</v>
      </c>
      <c r="L80" s="654">
        <v>673460.26</v>
      </c>
      <c r="M80" s="654">
        <v>510798.05</v>
      </c>
      <c r="N80" s="654">
        <v>554821</v>
      </c>
      <c r="O80" s="619">
        <f t="shared" si="10"/>
        <v>8722354.4900000002</v>
      </c>
      <c r="Q80" s="121" t="s">
        <v>17</v>
      </c>
      <c r="R80" s="121"/>
      <c r="S80" s="121"/>
      <c r="T80" s="121" t="s">
        <v>205</v>
      </c>
      <c r="U80" s="257">
        <f t="shared" si="11"/>
        <v>1046308.36</v>
      </c>
      <c r="V80" s="257">
        <f t="shared" si="12"/>
        <v>1</v>
      </c>
    </row>
    <row r="81" spans="2:22">
      <c r="B81" s="124" t="s">
        <v>211</v>
      </c>
      <c r="C81" s="654">
        <v>443642.31</v>
      </c>
      <c r="D81" s="654">
        <v>159213.12</v>
      </c>
      <c r="E81" s="654">
        <v>564351.25</v>
      </c>
      <c r="F81" s="654">
        <v>501750.81</v>
      </c>
      <c r="G81" s="654">
        <v>151584.92000000001</v>
      </c>
      <c r="H81" s="654">
        <v>66084.59</v>
      </c>
      <c r="I81" s="654">
        <v>44737.49</v>
      </c>
      <c r="J81" s="654">
        <v>60319.68</v>
      </c>
      <c r="K81" s="654">
        <v>51828</v>
      </c>
      <c r="L81" s="654">
        <v>40617.43</v>
      </c>
      <c r="M81" s="654">
        <v>29598.33</v>
      </c>
      <c r="N81" s="654">
        <v>364423.67</v>
      </c>
      <c r="O81" s="619">
        <f t="shared" si="10"/>
        <v>2478151.5999999996</v>
      </c>
      <c r="Q81" s="121" t="s">
        <v>17</v>
      </c>
      <c r="R81" s="121"/>
      <c r="S81" s="121"/>
      <c r="T81" s="121" t="s">
        <v>205</v>
      </c>
      <c r="U81" s="257">
        <f t="shared" si="11"/>
        <v>564351.25</v>
      </c>
      <c r="V81" s="257">
        <f t="shared" si="12"/>
        <v>3</v>
      </c>
    </row>
    <row r="82" spans="2:22">
      <c r="B82" s="124" t="s">
        <v>212</v>
      </c>
      <c r="C82" s="654">
        <v>0</v>
      </c>
      <c r="D82" s="654">
        <v>0</v>
      </c>
      <c r="E82" s="654">
        <v>0</v>
      </c>
      <c r="F82" s="654">
        <v>0</v>
      </c>
      <c r="G82" s="654">
        <v>0</v>
      </c>
      <c r="H82" s="654">
        <v>0</v>
      </c>
      <c r="I82" s="654">
        <v>0</v>
      </c>
      <c r="J82" s="654">
        <v>0</v>
      </c>
      <c r="K82" s="654">
        <v>0</v>
      </c>
      <c r="L82" s="654">
        <v>0</v>
      </c>
      <c r="M82" s="654">
        <v>0</v>
      </c>
      <c r="N82" s="654">
        <v>0</v>
      </c>
      <c r="O82" s="619">
        <f t="shared" si="10"/>
        <v>0</v>
      </c>
      <c r="Q82" s="121" t="s">
        <v>16</v>
      </c>
      <c r="R82" s="121"/>
      <c r="S82" s="121"/>
      <c r="T82" s="121" t="s">
        <v>213</v>
      </c>
      <c r="U82" s="257">
        <f t="shared" si="11"/>
        <v>0</v>
      </c>
      <c r="V82" s="257">
        <f t="shared" si="12"/>
        <v>1</v>
      </c>
    </row>
    <row r="83" spans="2:22">
      <c r="B83" s="323" t="s">
        <v>214</v>
      </c>
      <c r="C83" s="654">
        <v>2518732.09</v>
      </c>
      <c r="D83" s="654">
        <v>2532891.3199999998</v>
      </c>
      <c r="E83" s="654">
        <v>2882061.39</v>
      </c>
      <c r="F83" s="654">
        <v>3014531.13</v>
      </c>
      <c r="G83" s="654">
        <v>3277786.87</v>
      </c>
      <c r="H83" s="654">
        <v>2962665.31</v>
      </c>
      <c r="I83" s="654">
        <v>2827947.14</v>
      </c>
      <c r="J83" s="654">
        <v>3096015.1</v>
      </c>
      <c r="K83" s="654">
        <v>1672663.53</v>
      </c>
      <c r="L83" s="654">
        <v>2371378.1</v>
      </c>
      <c r="M83" s="654">
        <v>2784032.99</v>
      </c>
      <c r="N83" s="654">
        <v>2967803.34</v>
      </c>
      <c r="O83" s="619">
        <f t="shared" si="10"/>
        <v>32908508.310000006</v>
      </c>
      <c r="Q83" s="121" t="s">
        <v>17</v>
      </c>
      <c r="R83" s="121"/>
      <c r="S83" s="121"/>
      <c r="T83" s="121" t="s">
        <v>205</v>
      </c>
      <c r="U83" s="257">
        <f t="shared" si="11"/>
        <v>3277786.87</v>
      </c>
      <c r="V83" s="257">
        <f t="shared" si="12"/>
        <v>5</v>
      </c>
    </row>
    <row r="84" spans="2:22">
      <c r="B84" s="323" t="s">
        <v>215</v>
      </c>
      <c r="C84" s="654">
        <v>1240022.92</v>
      </c>
      <c r="D84" s="654">
        <v>1119431.53</v>
      </c>
      <c r="E84" s="654">
        <v>930713.02</v>
      </c>
      <c r="F84" s="654">
        <v>928174.53</v>
      </c>
      <c r="G84" s="654">
        <v>927139.2</v>
      </c>
      <c r="H84" s="654">
        <v>899220.64</v>
      </c>
      <c r="I84" s="654">
        <v>930095.08</v>
      </c>
      <c r="J84" s="654">
        <v>931051.65</v>
      </c>
      <c r="K84" s="654">
        <v>899114.38</v>
      </c>
      <c r="L84" s="654">
        <v>930082.44</v>
      </c>
      <c r="M84" s="654">
        <v>900132.08</v>
      </c>
      <c r="N84" s="654">
        <v>927812.6</v>
      </c>
      <c r="O84" s="619">
        <f t="shared" si="10"/>
        <v>11562990.07</v>
      </c>
      <c r="Q84" s="121" t="s">
        <v>17</v>
      </c>
      <c r="R84" s="121"/>
      <c r="S84" s="121"/>
      <c r="T84" s="121" t="s">
        <v>205</v>
      </c>
      <c r="U84" s="257">
        <f t="shared" si="11"/>
        <v>1240022.92</v>
      </c>
      <c r="V84" s="257">
        <f t="shared" si="12"/>
        <v>1</v>
      </c>
    </row>
    <row r="85" spans="2:22">
      <c r="B85" s="323" t="s">
        <v>216</v>
      </c>
      <c r="C85" s="654">
        <v>13840135.09</v>
      </c>
      <c r="D85" s="654">
        <v>12673863.35</v>
      </c>
      <c r="E85" s="654">
        <v>12902116.82</v>
      </c>
      <c r="F85" s="654">
        <v>12728771.699999999</v>
      </c>
      <c r="G85" s="654">
        <v>12469234.77</v>
      </c>
      <c r="H85" s="654">
        <v>11398744.890000001</v>
      </c>
      <c r="I85" s="654">
        <v>13969606.76</v>
      </c>
      <c r="J85" s="654">
        <v>13268415.75</v>
      </c>
      <c r="K85" s="654">
        <v>12470271.99</v>
      </c>
      <c r="L85" s="654">
        <v>13318620.199999999</v>
      </c>
      <c r="M85" s="654">
        <v>12449911.01</v>
      </c>
      <c r="N85" s="654">
        <v>13247820.470000001</v>
      </c>
      <c r="O85" s="619">
        <f t="shared" si="10"/>
        <v>154737512.79999998</v>
      </c>
      <c r="Q85" s="121" t="s">
        <v>17</v>
      </c>
      <c r="R85" s="121"/>
      <c r="S85" s="121"/>
      <c r="T85" s="121" t="s">
        <v>205</v>
      </c>
      <c r="U85" s="257">
        <f t="shared" si="11"/>
        <v>13969606.76</v>
      </c>
      <c r="V85" s="257">
        <f t="shared" si="12"/>
        <v>7</v>
      </c>
    </row>
    <row r="86" spans="2:22">
      <c r="B86" s="323" t="s">
        <v>217</v>
      </c>
      <c r="C86" s="654"/>
      <c r="D86" s="654">
        <v>0</v>
      </c>
      <c r="E86" s="654">
        <v>0</v>
      </c>
      <c r="F86" s="654">
        <v>0</v>
      </c>
      <c r="G86" s="654">
        <v>0</v>
      </c>
      <c r="H86" s="654">
        <v>0</v>
      </c>
      <c r="I86" s="654">
        <v>0</v>
      </c>
      <c r="J86" s="654">
        <v>0</v>
      </c>
      <c r="K86" s="654">
        <v>0</v>
      </c>
      <c r="L86" s="654">
        <v>0</v>
      </c>
      <c r="M86" s="654">
        <v>0</v>
      </c>
      <c r="N86" s="654">
        <v>0</v>
      </c>
      <c r="O86" s="619">
        <f t="shared" si="10"/>
        <v>0</v>
      </c>
      <c r="Q86" s="121" t="s">
        <v>17</v>
      </c>
      <c r="R86" s="121"/>
      <c r="S86" s="121"/>
      <c r="T86" s="121" t="s">
        <v>205</v>
      </c>
      <c r="U86" s="257">
        <f t="shared" si="11"/>
        <v>0</v>
      </c>
      <c r="V86" s="257">
        <f t="shared" si="12"/>
        <v>2</v>
      </c>
    </row>
    <row r="87" spans="2:22">
      <c r="B87" s="323" t="s">
        <v>218</v>
      </c>
      <c r="C87" s="654">
        <v>121445.99</v>
      </c>
      <c r="D87" s="654">
        <v>130977.94</v>
      </c>
      <c r="E87" s="654">
        <v>126903.44</v>
      </c>
      <c r="F87" s="654">
        <v>117648.39</v>
      </c>
      <c r="G87" s="654">
        <v>124008.19</v>
      </c>
      <c r="H87" s="654">
        <v>134436.57999999999</v>
      </c>
      <c r="I87" s="654">
        <v>120024.95</v>
      </c>
      <c r="J87" s="654">
        <v>128962.69</v>
      </c>
      <c r="K87" s="654">
        <v>142180.82</v>
      </c>
      <c r="L87" s="654">
        <v>126341.95</v>
      </c>
      <c r="M87" s="654">
        <v>134115.01999999999</v>
      </c>
      <c r="N87" s="654">
        <v>149537.49</v>
      </c>
      <c r="O87" s="619">
        <f t="shared" si="10"/>
        <v>1556583.45</v>
      </c>
      <c r="Q87" s="121" t="s">
        <v>16</v>
      </c>
      <c r="R87" s="121"/>
      <c r="S87" s="121"/>
      <c r="T87" s="121" t="s">
        <v>205</v>
      </c>
      <c r="U87" s="257">
        <f t="shared" si="11"/>
        <v>149537.49</v>
      </c>
      <c r="V87" s="257">
        <f t="shared" si="12"/>
        <v>12</v>
      </c>
    </row>
    <row r="88" spans="2:22">
      <c r="B88" s="323" t="s">
        <v>219</v>
      </c>
      <c r="C88" s="654">
        <v>1003258.03</v>
      </c>
      <c r="D88" s="654">
        <v>1082710.43</v>
      </c>
      <c r="E88" s="654">
        <v>1076317.81</v>
      </c>
      <c r="F88" s="654">
        <v>830295.25</v>
      </c>
      <c r="G88" s="654">
        <v>1128409.94</v>
      </c>
      <c r="H88" s="654">
        <v>1292336.2</v>
      </c>
      <c r="I88" s="654">
        <v>1106240.6200000001</v>
      </c>
      <c r="J88" s="654">
        <v>1291714.99</v>
      </c>
      <c r="K88" s="654">
        <v>1271821.23</v>
      </c>
      <c r="L88" s="654">
        <v>1358289.79</v>
      </c>
      <c r="M88" s="654">
        <v>1375023.89</v>
      </c>
      <c r="N88" s="654">
        <v>1382109.07</v>
      </c>
      <c r="O88" s="619">
        <f t="shared" si="10"/>
        <v>14198527.25</v>
      </c>
      <c r="Q88" s="121" t="s">
        <v>16</v>
      </c>
      <c r="R88" s="121"/>
      <c r="S88" s="121"/>
      <c r="T88" s="121" t="s">
        <v>213</v>
      </c>
      <c r="U88" s="257">
        <f t="shared" si="11"/>
        <v>1382109.07</v>
      </c>
      <c r="V88" s="257">
        <f t="shared" si="12"/>
        <v>12</v>
      </c>
    </row>
    <row r="89" spans="2:22">
      <c r="B89" s="418" t="s">
        <v>220</v>
      </c>
      <c r="C89" s="654">
        <v>0</v>
      </c>
      <c r="D89" s="654">
        <v>0</v>
      </c>
      <c r="E89" s="654">
        <v>0</v>
      </c>
      <c r="F89" s="654">
        <v>0</v>
      </c>
      <c r="G89" s="654">
        <v>0</v>
      </c>
      <c r="H89" s="654">
        <v>0</v>
      </c>
      <c r="I89" s="654">
        <v>0</v>
      </c>
      <c r="J89" s="654">
        <v>0</v>
      </c>
      <c r="K89" s="654">
        <v>0</v>
      </c>
      <c r="L89" s="654">
        <v>0</v>
      </c>
      <c r="M89" s="654">
        <v>0</v>
      </c>
      <c r="N89" s="654">
        <v>0</v>
      </c>
      <c r="O89" s="619">
        <f t="shared" si="10"/>
        <v>0</v>
      </c>
      <c r="Q89" s="121" t="s">
        <v>17</v>
      </c>
      <c r="R89" s="121"/>
      <c r="S89" s="121"/>
      <c r="T89" s="121" t="s">
        <v>213</v>
      </c>
      <c r="U89" s="257">
        <f t="shared" si="11"/>
        <v>0</v>
      </c>
      <c r="V89" s="257">
        <f t="shared" si="12"/>
        <v>1</v>
      </c>
    </row>
    <row r="90" spans="2:22">
      <c r="B90" s="622" t="s">
        <v>221</v>
      </c>
      <c r="C90" s="630">
        <v>22710837.279999997</v>
      </c>
      <c r="D90" s="630">
        <v>21073436.850000001</v>
      </c>
      <c r="E90" s="630">
        <v>22856880.300000001</v>
      </c>
      <c r="F90" s="630">
        <v>21601515.43</v>
      </c>
      <c r="G90" s="630">
        <v>21638296.910000004</v>
      </c>
      <c r="H90" s="630">
        <v>21326377.190000001</v>
      </c>
      <c r="I90" s="630">
        <v>23706580.710000001</v>
      </c>
      <c r="J90" s="630">
        <v>22348313.100000001</v>
      </c>
      <c r="K90" s="630">
        <v>20124164.800000001</v>
      </c>
      <c r="L90" s="630">
        <v>22895356.659999996</v>
      </c>
      <c r="M90" s="630">
        <v>21612463.900000002</v>
      </c>
      <c r="N90" s="630">
        <f>SUM(N75:N89)</f>
        <v>23227423.830000002</v>
      </c>
      <c r="O90" s="619">
        <f t="shared" si="10"/>
        <v>265121646.96000001</v>
      </c>
      <c r="U90" s="257"/>
      <c r="V90" s="257"/>
    </row>
    <row r="91" spans="2:22">
      <c r="B91" s="320" t="s">
        <v>222</v>
      </c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619">
        <f t="shared" si="10"/>
        <v>0</v>
      </c>
      <c r="U91" s="257"/>
      <c r="V91" s="257"/>
    </row>
    <row r="92" spans="2:22">
      <c r="B92" s="323"/>
      <c r="C92" s="654"/>
      <c r="D92" s="654"/>
      <c r="E92" s="654"/>
      <c r="F92" s="654"/>
      <c r="G92" s="654"/>
      <c r="H92" s="654"/>
      <c r="I92" s="654"/>
      <c r="J92" s="654"/>
      <c r="K92" s="654"/>
      <c r="L92" s="654"/>
      <c r="M92" s="654"/>
      <c r="N92" s="654"/>
      <c r="O92" s="619">
        <f t="shared" si="10"/>
        <v>0</v>
      </c>
      <c r="U92" s="257"/>
      <c r="V92" s="257"/>
    </row>
    <row r="93" spans="2:22">
      <c r="B93" s="124" t="s">
        <v>223</v>
      </c>
      <c r="C93" s="654">
        <v>309681.76</v>
      </c>
      <c r="D93" s="654">
        <v>294312.24</v>
      </c>
      <c r="E93" s="654">
        <v>314452.11</v>
      </c>
      <c r="F93" s="654">
        <v>308468.38</v>
      </c>
      <c r="G93" s="654">
        <v>307226.78999999998</v>
      </c>
      <c r="H93" s="654">
        <v>302496.23</v>
      </c>
      <c r="I93" s="654">
        <v>307231.27</v>
      </c>
      <c r="J93" s="654">
        <v>284256.03999999998</v>
      </c>
      <c r="K93" s="654">
        <v>290488.78999999998</v>
      </c>
      <c r="L93" s="654">
        <v>300857.48</v>
      </c>
      <c r="M93" s="654">
        <v>289838.59000000003</v>
      </c>
      <c r="N93" s="654">
        <v>291449.27</v>
      </c>
      <c r="O93" s="619">
        <f t="shared" si="10"/>
        <v>3600758.95</v>
      </c>
      <c r="Q93" s="121" t="s">
        <v>17</v>
      </c>
      <c r="R93" s="121"/>
      <c r="S93" s="121"/>
      <c r="T93" s="121" t="s">
        <v>205</v>
      </c>
      <c r="U93" s="257">
        <f t="shared" si="11"/>
        <v>314452.11</v>
      </c>
      <c r="V93" s="257">
        <f t="shared" si="12"/>
        <v>3</v>
      </c>
    </row>
    <row r="94" spans="2:22">
      <c r="B94" s="124" t="s">
        <v>224</v>
      </c>
      <c r="C94" s="654">
        <v>1445562.13</v>
      </c>
      <c r="D94" s="654">
        <v>1432220.56</v>
      </c>
      <c r="E94" s="654">
        <v>1566908.62</v>
      </c>
      <c r="F94" s="654">
        <v>1498364.84</v>
      </c>
      <c r="G94" s="654">
        <v>1509558.41</v>
      </c>
      <c r="H94" s="654">
        <v>1483841.36</v>
      </c>
      <c r="I94" s="654">
        <v>1484492.59</v>
      </c>
      <c r="J94" s="654">
        <v>1405670.33</v>
      </c>
      <c r="K94" s="654">
        <v>1457530.04</v>
      </c>
      <c r="L94" s="654">
        <v>1604838.58</v>
      </c>
      <c r="M94" s="654">
        <v>1592843.42</v>
      </c>
      <c r="N94" s="654">
        <v>1620443.73</v>
      </c>
      <c r="O94" s="619">
        <f t="shared" si="10"/>
        <v>18102274.609999999</v>
      </c>
      <c r="Q94" s="121" t="s">
        <v>17</v>
      </c>
      <c r="R94" s="121"/>
      <c r="S94" s="121"/>
      <c r="T94" s="121" t="s">
        <v>205</v>
      </c>
      <c r="U94" s="257">
        <f t="shared" si="11"/>
        <v>1620443.73</v>
      </c>
      <c r="V94" s="257">
        <f t="shared" si="12"/>
        <v>12</v>
      </c>
    </row>
    <row r="95" spans="2:22">
      <c r="B95" s="125" t="s">
        <v>260</v>
      </c>
      <c r="C95" s="654">
        <v>53158.23</v>
      </c>
      <c r="D95" s="654">
        <v>0</v>
      </c>
      <c r="E95" s="654">
        <v>5677.06</v>
      </c>
      <c r="F95" s="654">
        <v>0</v>
      </c>
      <c r="G95" s="654">
        <v>0</v>
      </c>
      <c r="H95" s="654">
        <v>4659.83</v>
      </c>
      <c r="I95" s="654">
        <v>90763.22</v>
      </c>
      <c r="J95" s="654">
        <v>7213.99</v>
      </c>
      <c r="K95" s="654">
        <v>0</v>
      </c>
      <c r="L95" s="654">
        <v>79623.62</v>
      </c>
      <c r="M95" s="654">
        <v>16339.19</v>
      </c>
      <c r="N95" s="654">
        <v>0</v>
      </c>
      <c r="O95" s="619">
        <f t="shared" si="10"/>
        <v>257435.13999999998</v>
      </c>
      <c r="Q95" s="121" t="s">
        <v>16</v>
      </c>
      <c r="R95" s="121"/>
      <c r="S95" s="121"/>
      <c r="T95" s="121" t="s">
        <v>213</v>
      </c>
      <c r="U95" s="257">
        <f t="shared" si="11"/>
        <v>90763.22</v>
      </c>
      <c r="V95" s="257">
        <f t="shared" si="12"/>
        <v>7</v>
      </c>
    </row>
    <row r="96" spans="2:22">
      <c r="B96" s="622" t="s">
        <v>226</v>
      </c>
      <c r="C96" s="630">
        <v>1808402.1199999999</v>
      </c>
      <c r="D96" s="630">
        <v>1726532.8</v>
      </c>
      <c r="E96" s="630">
        <v>1887037.79</v>
      </c>
      <c r="F96" s="630">
        <v>1806833.2200000002</v>
      </c>
      <c r="G96" s="630">
        <v>1816785.2</v>
      </c>
      <c r="H96" s="630">
        <v>1790997.4200000002</v>
      </c>
      <c r="I96" s="630">
        <v>1882487.08</v>
      </c>
      <c r="J96" s="630">
        <v>1697140.36</v>
      </c>
      <c r="K96" s="630">
        <v>1748018.83</v>
      </c>
      <c r="L96" s="630">
        <v>1985319.6800000002</v>
      </c>
      <c r="M96" s="630">
        <v>1899021.2</v>
      </c>
      <c r="N96" s="630">
        <f>SUM(N93:N95)</f>
        <v>1911893</v>
      </c>
      <c r="O96" s="619">
        <f t="shared" si="10"/>
        <v>21960468.699999999</v>
      </c>
      <c r="Q96" s="121" t="s">
        <v>16</v>
      </c>
      <c r="R96" s="121"/>
      <c r="S96" s="121"/>
      <c r="T96" s="121" t="s">
        <v>213</v>
      </c>
      <c r="U96" s="257">
        <f t="shared" si="11"/>
        <v>1985319.6800000002</v>
      </c>
      <c r="V96" s="257">
        <f t="shared" si="12"/>
        <v>10</v>
      </c>
    </row>
    <row r="97" spans="2:22">
      <c r="B97" s="320" t="s">
        <v>227</v>
      </c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619">
        <f t="shared" si="10"/>
        <v>0</v>
      </c>
      <c r="Q97" s="121"/>
      <c r="R97" s="121"/>
      <c r="S97" s="121"/>
      <c r="T97" s="121"/>
      <c r="U97" s="257"/>
      <c r="V97" s="257"/>
    </row>
    <row r="98" spans="2:22">
      <c r="B98" s="124" t="s">
        <v>207</v>
      </c>
      <c r="C98" s="654"/>
      <c r="D98" s="654"/>
      <c r="E98" s="654"/>
      <c r="F98" s="654"/>
      <c r="G98" s="654"/>
      <c r="H98" s="654"/>
      <c r="I98" s="654"/>
      <c r="J98" s="654"/>
      <c r="K98" s="654"/>
      <c r="L98" s="654"/>
      <c r="M98" s="654"/>
      <c r="N98" s="654"/>
      <c r="O98" s="619">
        <f t="shared" si="10"/>
        <v>0</v>
      </c>
      <c r="Q98" s="121"/>
      <c r="R98" s="121"/>
      <c r="S98" s="121"/>
      <c r="T98" s="121"/>
      <c r="U98" s="257"/>
      <c r="V98" s="257"/>
    </row>
    <row r="99" spans="2:22">
      <c r="B99" s="125"/>
      <c r="C99" s="656"/>
      <c r="D99" s="656"/>
      <c r="E99" s="656"/>
      <c r="F99" s="656"/>
      <c r="G99" s="656"/>
      <c r="H99" s="656"/>
      <c r="I99" s="656"/>
      <c r="J99" s="656"/>
      <c r="K99" s="656"/>
      <c r="L99" s="656"/>
      <c r="M99" s="656"/>
      <c r="N99" s="656"/>
      <c r="O99" s="619">
        <f t="shared" si="10"/>
        <v>0</v>
      </c>
      <c r="Q99" s="121" t="s">
        <v>17</v>
      </c>
      <c r="R99" s="121"/>
      <c r="S99" s="121"/>
      <c r="T99" s="121" t="s">
        <v>205</v>
      </c>
      <c r="U99" s="257">
        <f t="shared" si="11"/>
        <v>0</v>
      </c>
      <c r="V99" s="257">
        <f t="shared" si="12"/>
        <v>0</v>
      </c>
    </row>
    <row r="100" spans="2:22">
      <c r="B100" s="622" t="s">
        <v>228</v>
      </c>
      <c r="C100" s="619">
        <v>0</v>
      </c>
      <c r="D100" s="619">
        <v>0</v>
      </c>
      <c r="E100" s="619">
        <v>0</v>
      </c>
      <c r="F100" s="619">
        <v>0</v>
      </c>
      <c r="G100" s="619">
        <v>0</v>
      </c>
      <c r="H100" s="619">
        <v>0</v>
      </c>
      <c r="I100" s="619">
        <v>0</v>
      </c>
      <c r="J100" s="619">
        <v>0</v>
      </c>
      <c r="K100" s="619">
        <v>0</v>
      </c>
      <c r="L100" s="619">
        <v>0</v>
      </c>
      <c r="M100" s="619">
        <v>0</v>
      </c>
      <c r="N100" s="619">
        <v>0</v>
      </c>
      <c r="O100" s="619">
        <f t="shared" si="10"/>
        <v>0</v>
      </c>
      <c r="Q100" s="121" t="s">
        <v>17</v>
      </c>
      <c r="R100" s="121"/>
      <c r="S100" s="121"/>
      <c r="T100" s="121" t="s">
        <v>205</v>
      </c>
      <c r="U100" s="257">
        <f t="shared" si="11"/>
        <v>0</v>
      </c>
      <c r="V100" s="257">
        <f t="shared" si="12"/>
        <v>1</v>
      </c>
    </row>
    <row r="101" spans="2:22">
      <c r="B101" s="324" t="s">
        <v>229</v>
      </c>
      <c r="C101" s="383">
        <f t="shared" ref="C101:M101" si="13">+C14+C23+C64+C73+C90+C96+C100</f>
        <v>38422435.480000012</v>
      </c>
      <c r="D101" s="383">
        <f t="shared" si="13"/>
        <v>34863094.829999998</v>
      </c>
      <c r="E101" s="383">
        <f t="shared" si="13"/>
        <v>36971200.970000006</v>
      </c>
      <c r="F101" s="383">
        <f t="shared" si="13"/>
        <v>35307036.629999995</v>
      </c>
      <c r="G101" s="383">
        <f t="shared" si="13"/>
        <v>34151035.630000025</v>
      </c>
      <c r="H101" s="383">
        <f t="shared" si="13"/>
        <v>32510387.700000033</v>
      </c>
      <c r="I101" s="383">
        <f t="shared" si="13"/>
        <v>35492377.110000037</v>
      </c>
      <c r="J101" s="383">
        <f t="shared" si="13"/>
        <v>33590509.940000042</v>
      </c>
      <c r="K101" s="383">
        <f t="shared" si="13"/>
        <v>31327019.210000023</v>
      </c>
      <c r="L101" s="383">
        <f t="shared" si="13"/>
        <v>35009896.800000019</v>
      </c>
      <c r="M101" s="383">
        <f t="shared" si="13"/>
        <v>34511274.370000012</v>
      </c>
      <c r="N101" s="383">
        <f>+N14+N23+N64+N73+N90+N96+N100</f>
        <v>37497325.029999994</v>
      </c>
      <c r="O101" s="619">
        <f>SUM(C101:N101)</f>
        <v>419653593.70000017</v>
      </c>
      <c r="Q101" s="121"/>
      <c r="R101" s="121"/>
      <c r="S101" s="121"/>
      <c r="T101" s="121"/>
      <c r="U101" s="257">
        <f t="shared" si="11"/>
        <v>38422435.480000012</v>
      </c>
      <c r="V101" s="257">
        <f t="shared" si="12"/>
        <v>1</v>
      </c>
    </row>
    <row r="102" spans="2:22">
      <c r="B102" s="634" t="s">
        <v>230</v>
      </c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619"/>
      <c r="Q102" s="121"/>
      <c r="R102" s="121"/>
      <c r="S102" s="121"/>
      <c r="T102" s="121"/>
      <c r="U102" s="257"/>
      <c r="V102" s="257"/>
    </row>
    <row r="103" spans="2:22">
      <c r="B103" s="124" t="s">
        <v>231</v>
      </c>
      <c r="C103" s="654">
        <v>0</v>
      </c>
      <c r="D103" s="654"/>
      <c r="E103" s="654"/>
      <c r="F103" s="654"/>
      <c r="G103" s="654"/>
      <c r="H103" s="654"/>
      <c r="I103" s="654"/>
      <c r="J103" s="658"/>
      <c r="K103" s="658"/>
      <c r="L103" s="658"/>
      <c r="M103" s="658"/>
      <c r="N103" s="654"/>
      <c r="O103" s="619">
        <f>SUM(C103:N103)</f>
        <v>0</v>
      </c>
      <c r="Q103" s="121"/>
      <c r="R103" s="121"/>
      <c r="S103" s="121"/>
      <c r="T103" s="121"/>
      <c r="U103" s="257"/>
      <c r="V103" s="257"/>
    </row>
    <row r="104" spans="2:22">
      <c r="B104" s="124" t="s">
        <v>232</v>
      </c>
      <c r="C104" s="654">
        <v>687819.55</v>
      </c>
      <c r="D104" s="654">
        <v>626361.31999999995</v>
      </c>
      <c r="E104" s="654">
        <v>656960.07999999996</v>
      </c>
      <c r="F104" s="654">
        <v>651432.04</v>
      </c>
      <c r="G104" s="654">
        <v>513316.5</v>
      </c>
      <c r="H104" s="654">
        <v>587272.24</v>
      </c>
      <c r="I104" s="654">
        <v>594017.34</v>
      </c>
      <c r="J104" s="654">
        <v>690222.96</v>
      </c>
      <c r="K104" s="654">
        <v>667816.17000000004</v>
      </c>
      <c r="L104" s="658">
        <v>629039.81000000006</v>
      </c>
      <c r="M104" s="658">
        <v>710094.33</v>
      </c>
      <c r="N104" s="658">
        <v>712886.82</v>
      </c>
      <c r="O104" s="619">
        <f>SUM(C104:N104)</f>
        <v>7727239.1600000001</v>
      </c>
      <c r="Q104" s="121"/>
      <c r="R104" s="121"/>
      <c r="S104" s="121"/>
      <c r="T104" s="121"/>
      <c r="U104" s="257">
        <f t="shared" si="11"/>
        <v>712886.82</v>
      </c>
      <c r="V104" s="257"/>
    </row>
    <row r="105" spans="2:22">
      <c r="B105" s="125" t="s">
        <v>233</v>
      </c>
      <c r="C105" s="656">
        <v>113773.33</v>
      </c>
      <c r="D105" s="656">
        <v>80487.59</v>
      </c>
      <c r="E105" s="656">
        <v>77914.559999999998</v>
      </c>
      <c r="F105" s="656">
        <v>51054.59</v>
      </c>
      <c r="G105" s="656">
        <v>42082.31</v>
      </c>
      <c r="H105" s="656">
        <v>32818.32</v>
      </c>
      <c r="I105" s="656">
        <v>34251.160000000003</v>
      </c>
      <c r="J105" s="656">
        <v>25438.74</v>
      </c>
      <c r="K105" s="656">
        <v>26227.18</v>
      </c>
      <c r="L105" s="656">
        <v>83355.399999999994</v>
      </c>
      <c r="M105" s="656">
        <v>167653.10999999999</v>
      </c>
      <c r="N105" s="656">
        <v>95636.23</v>
      </c>
      <c r="O105" s="619">
        <f>SUM(C105:N105)</f>
        <v>830692.5199999999</v>
      </c>
      <c r="Q105" s="121"/>
      <c r="R105" s="121"/>
      <c r="S105" s="121"/>
      <c r="T105" s="121" t="s">
        <v>213</v>
      </c>
      <c r="U105" s="257">
        <f t="shared" si="11"/>
        <v>167653.10999999999</v>
      </c>
      <c r="V105" s="257"/>
    </row>
    <row r="106" spans="2:22">
      <c r="B106" s="635" t="s">
        <v>234</v>
      </c>
      <c r="C106" s="636">
        <v>801592.88</v>
      </c>
      <c r="D106" s="636">
        <v>706848.90999999992</v>
      </c>
      <c r="E106" s="636">
        <v>734874.6399999999</v>
      </c>
      <c r="F106" s="636">
        <v>702486.63</v>
      </c>
      <c r="G106" s="636">
        <v>555398.81000000006</v>
      </c>
      <c r="H106" s="636">
        <v>620090.55999999994</v>
      </c>
      <c r="I106" s="636">
        <v>628268.5</v>
      </c>
      <c r="J106" s="636">
        <v>715661.7</v>
      </c>
      <c r="K106" s="636">
        <v>694043.35000000009</v>
      </c>
      <c r="L106" s="636">
        <v>712395.21000000008</v>
      </c>
      <c r="M106" s="636">
        <v>877747.44</v>
      </c>
      <c r="N106" s="636">
        <f>SUM(N104:N105)</f>
        <v>808523.04999999993</v>
      </c>
      <c r="O106" s="619">
        <f>SUM(C106:N106)</f>
        <v>8557931.6800000016</v>
      </c>
      <c r="Q106" s="121" t="s">
        <v>17</v>
      </c>
      <c r="R106" s="121"/>
      <c r="S106" s="121"/>
      <c r="T106" s="121" t="s">
        <v>205</v>
      </c>
      <c r="U106" s="257">
        <f t="shared" si="11"/>
        <v>877747.44</v>
      </c>
      <c r="V106" s="257"/>
    </row>
    <row r="107" spans="2:22">
      <c r="B107" s="320" t="s">
        <v>235</v>
      </c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619"/>
      <c r="Q107" s="121" t="s">
        <v>17</v>
      </c>
      <c r="R107" s="121"/>
      <c r="S107" s="121"/>
      <c r="T107" s="121" t="s">
        <v>205</v>
      </c>
      <c r="U107" s="257">
        <f t="shared" si="11"/>
        <v>0</v>
      </c>
      <c r="V107" s="257"/>
    </row>
    <row r="108" spans="2:22">
      <c r="B108" s="124" t="s">
        <v>236</v>
      </c>
      <c r="C108" s="654"/>
      <c r="D108" s="654"/>
      <c r="E108" s="654"/>
      <c r="F108" s="654"/>
      <c r="G108" s="654"/>
      <c r="H108" s="654"/>
      <c r="I108" s="654"/>
      <c r="J108" s="654"/>
      <c r="K108" s="654"/>
      <c r="L108" s="654"/>
      <c r="M108" s="654"/>
      <c r="N108" s="654"/>
      <c r="O108" s="659">
        <f>SUM(C108:N108)</f>
        <v>0</v>
      </c>
      <c r="Q108" s="121"/>
      <c r="R108" s="121"/>
      <c r="S108" s="121"/>
      <c r="T108" s="121"/>
      <c r="U108" s="257">
        <f t="shared" si="11"/>
        <v>0</v>
      </c>
      <c r="V108" s="257"/>
    </row>
    <row r="109" spans="2:22">
      <c r="B109" s="124" t="s">
        <v>237</v>
      </c>
      <c r="C109" s="658">
        <v>1278269.95</v>
      </c>
      <c r="D109" s="658">
        <v>1211499.71</v>
      </c>
      <c r="E109" s="658">
        <v>1262949.8899999999</v>
      </c>
      <c r="F109" s="658">
        <v>222529.75</v>
      </c>
      <c r="G109" s="658">
        <v>2293900.06</v>
      </c>
      <c r="H109" s="658">
        <v>1585420.32</v>
      </c>
      <c r="I109" s="658">
        <v>1528919.9</v>
      </c>
      <c r="J109" s="658">
        <v>1500509.97</v>
      </c>
      <c r="K109" s="658">
        <v>1518499.9</v>
      </c>
      <c r="L109" s="658">
        <v>1451659.78</v>
      </c>
      <c r="M109" s="658">
        <v>1200650.24</v>
      </c>
      <c r="N109" s="660">
        <v>1286039.96</v>
      </c>
      <c r="O109" s="659">
        <f>SUM(C109:N109)</f>
        <v>16340849.43</v>
      </c>
      <c r="Q109" s="121"/>
      <c r="R109" s="121"/>
      <c r="S109" s="121"/>
      <c r="T109" s="121"/>
      <c r="U109" s="257">
        <f t="shared" si="11"/>
        <v>2293900.06</v>
      </c>
      <c r="V109" s="257"/>
    </row>
    <row r="110" spans="2:22">
      <c r="B110" s="125" t="s">
        <v>238</v>
      </c>
      <c r="C110" s="658">
        <v>2090230.19</v>
      </c>
      <c r="D110" s="658">
        <v>550299.93999999994</v>
      </c>
      <c r="E110" s="658">
        <v>1914889.86</v>
      </c>
      <c r="F110" s="658">
        <v>2000699.79</v>
      </c>
      <c r="G110" s="658">
        <v>1523319.73</v>
      </c>
      <c r="H110" s="658">
        <v>336669.68</v>
      </c>
      <c r="I110" s="658">
        <v>346159.68</v>
      </c>
      <c r="J110" s="658">
        <v>351459.86</v>
      </c>
      <c r="K110" s="658">
        <v>319529.98</v>
      </c>
      <c r="L110" s="658">
        <v>314750.21999999997</v>
      </c>
      <c r="M110" s="658">
        <v>346790.35</v>
      </c>
      <c r="N110" s="660">
        <v>1907060.35</v>
      </c>
      <c r="O110" s="659">
        <f>SUM(C110:N110)</f>
        <v>12001859.629999999</v>
      </c>
      <c r="Q110" s="121"/>
      <c r="R110" s="121"/>
      <c r="S110" s="121"/>
      <c r="T110" s="121"/>
      <c r="U110" s="257">
        <f t="shared" si="11"/>
        <v>2090230.19</v>
      </c>
      <c r="V110" s="257"/>
    </row>
    <row r="111" spans="2:22">
      <c r="B111" s="622" t="s">
        <v>239</v>
      </c>
      <c r="C111" s="636">
        <v>3368500.1399999997</v>
      </c>
      <c r="D111" s="636">
        <v>1761799.65</v>
      </c>
      <c r="E111" s="636">
        <v>3177839.75</v>
      </c>
      <c r="F111" s="636">
        <v>2223229.54</v>
      </c>
      <c r="G111" s="636">
        <v>3817219.79</v>
      </c>
      <c r="H111" s="636">
        <v>1922090</v>
      </c>
      <c r="I111" s="636">
        <v>1875079.5799999998</v>
      </c>
      <c r="J111" s="636">
        <v>1851969.83</v>
      </c>
      <c r="K111" s="636">
        <v>1838029.88</v>
      </c>
      <c r="L111" s="636">
        <v>1766410</v>
      </c>
      <c r="M111" s="636">
        <v>1547440.5899999999</v>
      </c>
      <c r="N111" s="636">
        <f>SUM(N109:N110)</f>
        <v>3193100.31</v>
      </c>
      <c r="O111" s="659">
        <f>SUM(C111:N111)</f>
        <v>28342709.059999991</v>
      </c>
      <c r="Q111" s="121" t="s">
        <v>17</v>
      </c>
      <c r="R111" s="121"/>
      <c r="S111" s="121"/>
      <c r="T111" s="121" t="s">
        <v>205</v>
      </c>
      <c r="U111" s="257">
        <f t="shared" si="11"/>
        <v>3817219.79</v>
      </c>
      <c r="V111" s="257"/>
    </row>
    <row r="112" spans="2:22">
      <c r="B112" s="324" t="s">
        <v>240</v>
      </c>
      <c r="C112" s="633">
        <v>4170093.0199999996</v>
      </c>
      <c r="D112" s="633">
        <v>2468648.5599999996</v>
      </c>
      <c r="E112" s="633">
        <v>3912714.3899999997</v>
      </c>
      <c r="F112" s="633">
        <v>2925716.17</v>
      </c>
      <c r="G112" s="633">
        <v>4372618.5999999996</v>
      </c>
      <c r="H112" s="633">
        <v>2542180.56</v>
      </c>
      <c r="I112" s="633">
        <v>2503348.08</v>
      </c>
      <c r="J112" s="633">
        <v>2567631.5300000003</v>
      </c>
      <c r="K112" s="633">
        <v>2532073.23</v>
      </c>
      <c r="L112" s="633">
        <v>2478805.21</v>
      </c>
      <c r="M112" s="633">
        <v>2425188.0299999998</v>
      </c>
      <c r="N112" s="383">
        <f>+N106+N111</f>
        <v>4001623.36</v>
      </c>
      <c r="O112" s="659">
        <f>SUM(C112:N112)</f>
        <v>36900640.740000002</v>
      </c>
      <c r="Q112" s="121" t="s">
        <v>17</v>
      </c>
      <c r="R112" s="121"/>
      <c r="S112" s="121"/>
      <c r="T112" s="121" t="s">
        <v>205</v>
      </c>
      <c r="U112" s="257">
        <f t="shared" si="11"/>
        <v>4372618.5999999996</v>
      </c>
      <c r="V112" s="257"/>
    </row>
    <row r="113" spans="2:22">
      <c r="B113" s="328"/>
      <c r="C113" s="646"/>
      <c r="D113" s="646"/>
      <c r="E113" s="646"/>
      <c r="F113" s="646"/>
      <c r="G113" s="646"/>
      <c r="H113" s="646"/>
      <c r="I113" s="646"/>
      <c r="J113" s="646"/>
      <c r="K113" s="646"/>
      <c r="L113" s="646"/>
      <c r="M113" s="646"/>
      <c r="N113" s="646"/>
      <c r="O113" s="646"/>
      <c r="U113" s="257">
        <f t="shared" si="11"/>
        <v>0</v>
      </c>
      <c r="V113" s="257">
        <f t="shared" si="12"/>
        <v>0</v>
      </c>
    </row>
    <row r="114" spans="2:22">
      <c r="B114" s="642" t="s">
        <v>254</v>
      </c>
      <c r="C114" s="646"/>
      <c r="D114" s="646"/>
      <c r="E114" s="646"/>
      <c r="F114" s="646"/>
      <c r="G114" s="646"/>
      <c r="H114" s="646"/>
      <c r="I114" s="646"/>
      <c r="J114" s="646"/>
      <c r="K114" s="646"/>
      <c r="L114" s="646"/>
      <c r="M114" s="646"/>
      <c r="N114" s="646"/>
      <c r="O114" s="646"/>
      <c r="U114" s="257">
        <f t="shared" si="11"/>
        <v>0</v>
      </c>
      <c r="V114" s="257">
        <f t="shared" si="12"/>
        <v>0</v>
      </c>
    </row>
    <row r="115" spans="2:22">
      <c r="B115" s="643" t="s">
        <v>173</v>
      </c>
      <c r="C115" s="646"/>
      <c r="D115" s="646"/>
      <c r="E115" s="646"/>
      <c r="F115" s="646"/>
      <c r="G115" s="646"/>
      <c r="H115" s="646"/>
      <c r="I115" s="646"/>
      <c r="J115" s="646"/>
      <c r="K115" s="646"/>
      <c r="L115" s="646"/>
      <c r="M115" s="646"/>
      <c r="N115" s="646"/>
      <c r="O115" s="646"/>
      <c r="U115" s="257">
        <f t="shared" si="11"/>
        <v>0</v>
      </c>
      <c r="V115" s="257">
        <f t="shared" si="12"/>
        <v>0</v>
      </c>
    </row>
    <row r="116" spans="2:22">
      <c r="B116" s="643" t="s">
        <v>176</v>
      </c>
      <c r="C116" s="646"/>
      <c r="D116" s="646"/>
      <c r="E116" s="646"/>
      <c r="F116" s="646"/>
      <c r="G116" s="646"/>
      <c r="H116" s="646"/>
      <c r="I116" s="646"/>
      <c r="J116" s="646"/>
      <c r="K116" s="646"/>
      <c r="L116" s="646"/>
      <c r="M116" s="646"/>
      <c r="N116" s="646"/>
      <c r="O116" s="646"/>
      <c r="U116" s="257">
        <f t="shared" si="11"/>
        <v>0</v>
      </c>
      <c r="V116" s="257">
        <f t="shared" si="12"/>
        <v>0</v>
      </c>
    </row>
    <row r="117" spans="2:22">
      <c r="B117" s="643" t="s">
        <v>180</v>
      </c>
      <c r="C117" s="646"/>
      <c r="D117" s="646"/>
      <c r="E117" s="646"/>
      <c r="F117" s="646"/>
      <c r="G117" s="646"/>
      <c r="H117" s="646"/>
      <c r="I117" s="646"/>
      <c r="J117" s="646"/>
      <c r="K117" s="646"/>
      <c r="L117" s="646"/>
      <c r="M117" s="646"/>
      <c r="N117" s="646"/>
      <c r="O117" s="646"/>
      <c r="U117" s="257">
        <f t="shared" si="11"/>
        <v>0</v>
      </c>
      <c r="V117" s="257">
        <f t="shared" si="12"/>
        <v>0</v>
      </c>
    </row>
    <row r="118" spans="2:22">
      <c r="B118" s="643" t="s">
        <v>181</v>
      </c>
      <c r="C118" s="646"/>
      <c r="D118" s="646"/>
      <c r="E118" s="646"/>
      <c r="F118" s="646"/>
      <c r="G118" s="646"/>
      <c r="H118" s="646"/>
      <c r="I118" s="646"/>
      <c r="J118" s="646"/>
      <c r="K118" s="646"/>
      <c r="L118" s="646"/>
      <c r="M118" s="646"/>
      <c r="N118" s="646"/>
      <c r="O118" s="646"/>
      <c r="U118" s="257">
        <f t="shared" si="11"/>
        <v>0</v>
      </c>
      <c r="V118" s="257">
        <f t="shared" si="12"/>
        <v>0</v>
      </c>
    </row>
    <row r="119" spans="2:22">
      <c r="B119" s="643" t="s">
        <v>184</v>
      </c>
      <c r="C119" s="646"/>
      <c r="D119" s="646"/>
      <c r="E119" s="646"/>
      <c r="F119" s="646"/>
      <c r="G119" s="646"/>
      <c r="H119" s="646"/>
      <c r="I119" s="646"/>
      <c r="J119" s="646"/>
      <c r="K119" s="646"/>
      <c r="L119" s="646"/>
      <c r="M119" s="646"/>
      <c r="N119" s="646"/>
      <c r="O119" s="646"/>
      <c r="U119" s="257">
        <f t="shared" si="11"/>
        <v>0</v>
      </c>
      <c r="V119" s="257">
        <f t="shared" si="12"/>
        <v>0</v>
      </c>
    </row>
    <row r="120" spans="2:22">
      <c r="B120" s="643" t="s">
        <v>255</v>
      </c>
      <c r="C120" s="646"/>
      <c r="D120" s="646"/>
      <c r="E120" s="646"/>
      <c r="F120" s="646"/>
      <c r="G120" s="646"/>
      <c r="H120" s="646"/>
      <c r="I120" s="646"/>
      <c r="J120" s="646"/>
      <c r="K120" s="646"/>
      <c r="L120" s="646"/>
      <c r="M120" s="646"/>
      <c r="N120" s="646"/>
      <c r="O120" s="646"/>
      <c r="U120" s="257">
        <f t="shared" si="11"/>
        <v>0</v>
      </c>
      <c r="V120" s="257">
        <f t="shared" si="12"/>
        <v>0</v>
      </c>
    </row>
    <row r="121" spans="2:22">
      <c r="B121" s="645" t="s">
        <v>256</v>
      </c>
      <c r="C121" s="646"/>
      <c r="D121" s="646"/>
      <c r="E121" s="646"/>
      <c r="F121" s="646"/>
      <c r="G121" s="646"/>
      <c r="H121" s="646"/>
      <c r="I121" s="646"/>
      <c r="J121" s="646"/>
      <c r="K121" s="646"/>
      <c r="L121" s="646"/>
      <c r="M121" s="646"/>
      <c r="N121" s="646"/>
      <c r="O121" s="646"/>
      <c r="U121" s="257">
        <f t="shared" si="11"/>
        <v>0</v>
      </c>
      <c r="V121" s="257">
        <f t="shared" si="12"/>
        <v>0</v>
      </c>
    </row>
    <row r="122" spans="2:22">
      <c r="B122" s="645"/>
      <c r="C122" s="646"/>
      <c r="D122" s="646"/>
      <c r="E122" s="646"/>
      <c r="F122" s="646"/>
      <c r="G122" s="646"/>
      <c r="H122" s="646"/>
      <c r="I122" s="646"/>
      <c r="J122" s="646"/>
      <c r="K122" s="646"/>
      <c r="L122" s="646"/>
      <c r="M122" s="646"/>
      <c r="N122" s="646"/>
      <c r="O122" s="646"/>
      <c r="U122" s="257">
        <f t="shared" si="11"/>
        <v>0</v>
      </c>
      <c r="V122" s="257">
        <f t="shared" si="12"/>
        <v>0</v>
      </c>
    </row>
    <row r="123" spans="2:22">
      <c r="B123" s="642" t="s">
        <v>257</v>
      </c>
      <c r="C123" s="646"/>
      <c r="D123" s="646"/>
      <c r="E123" s="646"/>
      <c r="F123" s="646"/>
      <c r="G123" s="646"/>
      <c r="H123" s="646"/>
      <c r="I123" s="646"/>
      <c r="J123" s="646"/>
      <c r="K123" s="646"/>
      <c r="L123" s="646"/>
      <c r="M123" s="646"/>
      <c r="N123" s="646"/>
      <c r="O123" s="646"/>
      <c r="U123" s="257">
        <f t="shared" si="11"/>
        <v>0</v>
      </c>
      <c r="V123" s="257">
        <f t="shared" si="12"/>
        <v>0</v>
      </c>
    </row>
    <row r="124" spans="2:22">
      <c r="B124" s="643" t="s">
        <v>181</v>
      </c>
      <c r="C124" s="646"/>
      <c r="D124" s="646"/>
      <c r="E124" s="646"/>
      <c r="F124" s="646"/>
      <c r="G124" s="646"/>
      <c r="H124" s="646"/>
      <c r="I124" s="646"/>
      <c r="J124" s="646"/>
      <c r="K124" s="646"/>
      <c r="L124" s="646"/>
      <c r="M124" s="646"/>
      <c r="N124" s="646"/>
      <c r="O124" s="646"/>
      <c r="U124" s="257">
        <f t="shared" si="11"/>
        <v>0</v>
      </c>
      <c r="V124" s="257">
        <f t="shared" si="12"/>
        <v>0</v>
      </c>
    </row>
    <row r="125" spans="2:22">
      <c r="B125" s="643" t="s">
        <v>184</v>
      </c>
      <c r="C125" s="646"/>
      <c r="D125" s="646"/>
      <c r="E125" s="646"/>
      <c r="F125" s="646"/>
      <c r="G125" s="646"/>
      <c r="H125" s="646"/>
      <c r="I125" s="646"/>
      <c r="J125" s="646"/>
      <c r="K125" s="646"/>
      <c r="L125" s="646"/>
      <c r="M125" s="646"/>
      <c r="N125" s="646"/>
      <c r="O125" s="646"/>
      <c r="U125" s="257">
        <f t="shared" si="11"/>
        <v>0</v>
      </c>
      <c r="V125" s="257">
        <f t="shared" si="12"/>
        <v>0</v>
      </c>
    </row>
    <row r="126" spans="2:22">
      <c r="B126" s="645" t="s">
        <v>258</v>
      </c>
      <c r="C126" s="646"/>
      <c r="D126" s="646"/>
      <c r="E126" s="646"/>
      <c r="F126" s="646"/>
      <c r="G126" s="646"/>
      <c r="H126" s="646"/>
      <c r="I126" s="646"/>
      <c r="J126" s="646"/>
      <c r="K126" s="646"/>
      <c r="L126" s="646"/>
      <c r="M126" s="646"/>
      <c r="N126" s="646"/>
      <c r="O126" s="646"/>
      <c r="U126" s="257">
        <f t="shared" si="11"/>
        <v>0</v>
      </c>
      <c r="V126" s="257">
        <f t="shared" si="12"/>
        <v>0</v>
      </c>
    </row>
    <row r="127" spans="2:22">
      <c r="B127" s="661" t="s">
        <v>982</v>
      </c>
      <c r="C127" s="633">
        <v>42592528.500000015</v>
      </c>
      <c r="D127" s="633">
        <v>37331743.389999993</v>
      </c>
      <c r="E127" s="633">
        <v>40883915.360000007</v>
      </c>
      <c r="F127" s="633">
        <v>38232752.799999997</v>
      </c>
      <c r="G127" s="633">
        <v>38523654.230000027</v>
      </c>
      <c r="H127" s="633">
        <v>35052568.260000035</v>
      </c>
      <c r="I127" s="633">
        <v>37995725.190000035</v>
      </c>
      <c r="J127" s="633">
        <v>36158141.470000044</v>
      </c>
      <c r="K127" s="633">
        <v>33859092.440000027</v>
      </c>
      <c r="L127" s="633">
        <v>37488702.01000002</v>
      </c>
      <c r="M127" s="633">
        <v>36936462.400000006</v>
      </c>
      <c r="N127" s="383">
        <f>SUM(N14,N23,N64,N73,N90,N96,N100,N106,N111)</f>
        <v>41498948.389999993</v>
      </c>
      <c r="O127" s="633">
        <f>SUM(C127:N127)</f>
        <v>456554234.44000018</v>
      </c>
      <c r="U127" s="257">
        <f t="shared" si="11"/>
        <v>42592528.500000015</v>
      </c>
      <c r="V127" s="257">
        <f t="shared" si="12"/>
        <v>1</v>
      </c>
    </row>
    <row r="128" spans="2:22">
      <c r="B128" s="662" t="s">
        <v>983</v>
      </c>
      <c r="C128" s="663">
        <v>39224028.360000014</v>
      </c>
      <c r="D128" s="663">
        <v>35569943.739999995</v>
      </c>
      <c r="E128" s="663">
        <v>37706075.610000007</v>
      </c>
      <c r="F128" s="663">
        <v>36009523.259999998</v>
      </c>
      <c r="G128" s="663">
        <v>34706434.440000027</v>
      </c>
      <c r="H128" s="663">
        <v>33130478.260000035</v>
      </c>
      <c r="I128" s="663">
        <v>36120645.610000037</v>
      </c>
      <c r="J128" s="663">
        <v>34306171.640000045</v>
      </c>
      <c r="K128" s="663">
        <v>32021062.560000028</v>
      </c>
      <c r="L128" s="663">
        <v>35722292.01000002</v>
      </c>
      <c r="M128" s="663">
        <v>35389021.810000002</v>
      </c>
      <c r="N128" s="664">
        <f>N127-N111</f>
        <v>38305848.079999991</v>
      </c>
      <c r="O128" s="663">
        <f>SUM(C128:N128)</f>
        <v>428211525.38000023</v>
      </c>
    </row>
    <row r="130" spans="2:22">
      <c r="O130" s="56"/>
      <c r="R130" s="121"/>
    </row>
    <row r="131" spans="2:22">
      <c r="O131" s="56"/>
      <c r="R131" s="121"/>
    </row>
    <row r="132" spans="2:22">
      <c r="O132" s="56"/>
      <c r="R132" s="121"/>
    </row>
    <row r="133" spans="2:22">
      <c r="O133" s="56"/>
      <c r="R133" s="121"/>
    </row>
    <row r="134" spans="2:22">
      <c r="B134" s="665" t="s">
        <v>1416</v>
      </c>
    </row>
    <row r="135" spans="2:22">
      <c r="B135" s="553" t="s">
        <v>706</v>
      </c>
      <c r="C135" s="508">
        <v>7444.43</v>
      </c>
      <c r="D135" s="508">
        <v>6717.3000000000011</v>
      </c>
      <c r="E135" s="508">
        <v>5171.75</v>
      </c>
      <c r="F135" s="508">
        <v>4386.2</v>
      </c>
      <c r="G135" s="508">
        <v>3092.4900000000002</v>
      </c>
      <c r="H135" s="508">
        <v>1731.0099999999998</v>
      </c>
      <c r="I135" s="508">
        <v>1387.48</v>
      </c>
      <c r="J135" s="508">
        <v>1146.5999999999999</v>
      </c>
      <c r="K135" s="508">
        <v>1398.5400000000002</v>
      </c>
      <c r="L135" s="508">
        <v>1863.93</v>
      </c>
      <c r="M135" s="508">
        <v>3941.34</v>
      </c>
      <c r="N135" s="508">
        <v>6048.09</v>
      </c>
      <c r="O135" s="508">
        <v>44329.16</v>
      </c>
      <c r="Q135" s="121" t="s">
        <v>14</v>
      </c>
      <c r="R135" s="121" t="s">
        <v>706</v>
      </c>
      <c r="T135" s="121" t="s">
        <v>1417</v>
      </c>
      <c r="U135" s="257">
        <f t="shared" ref="U135:U140" si="14">MAX(C135:N135)</f>
        <v>7444.43</v>
      </c>
      <c r="V135" s="257">
        <f t="shared" ref="V135:V140" si="15">IFERROR(INDEX($C$1:$N$1,MATCH(U135,C135:N135,0)),0)</f>
        <v>1</v>
      </c>
    </row>
    <row r="136" spans="2:22">
      <c r="B136" s="553" t="s">
        <v>709</v>
      </c>
      <c r="C136" s="508">
        <v>2297.7399999999998</v>
      </c>
      <c r="D136" s="508">
        <v>2232.9499999999998</v>
      </c>
      <c r="E136" s="508">
        <v>2163.25</v>
      </c>
      <c r="F136" s="508">
        <v>2491.9499999999998</v>
      </c>
      <c r="G136" s="508">
        <v>2580.42</v>
      </c>
      <c r="H136" s="508">
        <v>2354.73</v>
      </c>
      <c r="I136" s="508">
        <v>2458.98</v>
      </c>
      <c r="J136" s="508">
        <v>2087.1</v>
      </c>
      <c r="K136" s="508">
        <v>2820.5199999999995</v>
      </c>
      <c r="L136" s="508">
        <v>2287.08</v>
      </c>
      <c r="M136" s="508">
        <v>2414.16</v>
      </c>
      <c r="N136" s="508">
        <v>2767.4399999999996</v>
      </c>
      <c r="O136" s="508">
        <v>28956.32</v>
      </c>
      <c r="Q136" s="121" t="s">
        <v>14</v>
      </c>
      <c r="R136" s="121" t="s">
        <v>709</v>
      </c>
      <c r="T136" s="121" t="s">
        <v>1417</v>
      </c>
      <c r="U136" s="257">
        <f t="shared" si="14"/>
        <v>2820.5199999999995</v>
      </c>
      <c r="V136" s="257">
        <f t="shared" si="15"/>
        <v>9</v>
      </c>
    </row>
    <row r="137" spans="2:22">
      <c r="B137" s="553" t="s">
        <v>711</v>
      </c>
      <c r="C137" s="508">
        <v>14955.78</v>
      </c>
      <c r="D137" s="508">
        <v>13816.58</v>
      </c>
      <c r="E137" s="508">
        <v>10961.56</v>
      </c>
      <c r="F137" s="508">
        <v>13020.56</v>
      </c>
      <c r="G137" s="508">
        <v>11914.47</v>
      </c>
      <c r="H137" s="508">
        <v>11327.23</v>
      </c>
      <c r="I137" s="508">
        <v>3449.21</v>
      </c>
      <c r="J137" s="508">
        <v>13831.349999999999</v>
      </c>
      <c r="K137" s="508">
        <v>8491.91</v>
      </c>
      <c r="L137" s="508">
        <v>11035.48</v>
      </c>
      <c r="M137" s="508">
        <v>13487.19</v>
      </c>
      <c r="N137" s="508">
        <v>15547.46</v>
      </c>
      <c r="O137" s="508">
        <v>141838.77999999997</v>
      </c>
      <c r="Q137" s="121" t="s">
        <v>14</v>
      </c>
      <c r="R137" s="121" t="s">
        <v>711</v>
      </c>
      <c r="T137" s="121" t="s">
        <v>1417</v>
      </c>
      <c r="U137" s="257">
        <f t="shared" si="14"/>
        <v>15547.46</v>
      </c>
      <c r="V137" s="257">
        <f t="shared" si="15"/>
        <v>12</v>
      </c>
    </row>
    <row r="138" spans="2:22">
      <c r="B138" s="553" t="s">
        <v>713</v>
      </c>
      <c r="C138" s="508">
        <v>2685.41</v>
      </c>
      <c r="D138" s="508">
        <v>3290.9399999999996</v>
      </c>
      <c r="E138" s="508">
        <v>2677.68</v>
      </c>
      <c r="F138" s="508">
        <v>2564.9499999999998</v>
      </c>
      <c r="G138" s="508">
        <v>2415.52</v>
      </c>
      <c r="H138" s="508">
        <v>2110.79</v>
      </c>
      <c r="I138" s="508">
        <v>1440.57</v>
      </c>
      <c r="J138" s="508">
        <v>1835.02</v>
      </c>
      <c r="K138" s="508">
        <v>1394.97</v>
      </c>
      <c r="L138" s="508">
        <v>1798.1100000000001</v>
      </c>
      <c r="M138" s="508">
        <v>2136.9</v>
      </c>
      <c r="N138" s="508">
        <v>2974.4</v>
      </c>
      <c r="O138" s="508">
        <v>27325.26</v>
      </c>
      <c r="Q138" s="121" t="s">
        <v>14</v>
      </c>
      <c r="R138" s="121" t="s">
        <v>713</v>
      </c>
      <c r="T138" s="121" t="s">
        <v>1417</v>
      </c>
      <c r="U138" s="257">
        <f t="shared" si="14"/>
        <v>3290.9399999999996</v>
      </c>
      <c r="V138" s="257">
        <f t="shared" si="15"/>
        <v>2</v>
      </c>
    </row>
    <row r="139" spans="2:22">
      <c r="B139" s="553" t="s">
        <v>716</v>
      </c>
      <c r="C139" s="508">
        <v>11.64</v>
      </c>
      <c r="D139" s="508">
        <v>7.38</v>
      </c>
      <c r="E139" s="508">
        <v>6.3100000000000005</v>
      </c>
      <c r="F139" s="508">
        <v>17.939999999999998</v>
      </c>
      <c r="G139" s="508">
        <v>10.4</v>
      </c>
      <c r="H139" s="508">
        <v>5.2</v>
      </c>
      <c r="I139" s="508">
        <v>9.36</v>
      </c>
      <c r="J139" s="508">
        <v>23.92</v>
      </c>
      <c r="K139" s="508">
        <v>7.35</v>
      </c>
      <c r="L139" s="508">
        <v>8.32</v>
      </c>
      <c r="M139" s="508">
        <v>5.2</v>
      </c>
      <c r="N139" s="508">
        <v>4.17</v>
      </c>
      <c r="O139" s="508">
        <v>117.19</v>
      </c>
      <c r="Q139" s="121" t="s">
        <v>14</v>
      </c>
      <c r="R139" s="121" t="s">
        <v>706</v>
      </c>
      <c r="T139" s="121" t="s">
        <v>1417</v>
      </c>
      <c r="U139" s="257">
        <f t="shared" si="14"/>
        <v>23.92</v>
      </c>
      <c r="V139" s="257">
        <f t="shared" si="15"/>
        <v>8</v>
      </c>
    </row>
    <row r="140" spans="2:22">
      <c r="B140" s="553" t="s">
        <v>719</v>
      </c>
      <c r="C140" s="508">
        <v>340.2</v>
      </c>
      <c r="D140" s="508">
        <v>564.90000000000009</v>
      </c>
      <c r="E140" s="508">
        <v>553.35</v>
      </c>
      <c r="F140" s="508">
        <v>452.54999999999995</v>
      </c>
      <c r="G140" s="508">
        <v>595.92000000000007</v>
      </c>
      <c r="H140" s="508">
        <v>406.64</v>
      </c>
      <c r="I140" s="508">
        <v>78</v>
      </c>
      <c r="J140" s="508">
        <v>227.76</v>
      </c>
      <c r="K140" s="508">
        <v>501.9</v>
      </c>
      <c r="L140" s="508">
        <v>713.44</v>
      </c>
      <c r="M140" s="508">
        <v>585.52</v>
      </c>
      <c r="N140" s="508">
        <v>607.36</v>
      </c>
      <c r="O140" s="508">
        <v>5627.5400000000009</v>
      </c>
      <c r="Q140" s="121" t="s">
        <v>14</v>
      </c>
      <c r="R140" s="121" t="s">
        <v>709</v>
      </c>
      <c r="T140" s="121" t="s">
        <v>1417</v>
      </c>
      <c r="U140" s="257">
        <f t="shared" si="14"/>
        <v>713.44</v>
      </c>
      <c r="V140" s="257">
        <f t="shared" si="15"/>
        <v>10</v>
      </c>
    </row>
    <row r="146" spans="17:23">
      <c r="V146" s="448">
        <v>1</v>
      </c>
      <c r="W146" s="651">
        <f>COUNTIF($V$2:$V$101,V146)</f>
        <v>43</v>
      </c>
    </row>
    <row r="147" spans="17:23">
      <c r="V147" s="448">
        <v>2</v>
      </c>
      <c r="W147" s="651">
        <f t="shared" ref="W147:W157" si="16">COUNTIF($V$2:$V$101,V147)</f>
        <v>2</v>
      </c>
    </row>
    <row r="148" spans="17:23">
      <c r="V148" s="448">
        <v>3</v>
      </c>
      <c r="W148" s="651">
        <f t="shared" si="16"/>
        <v>4</v>
      </c>
    </row>
    <row r="149" spans="17:23">
      <c r="Q149" s="121"/>
      <c r="V149" s="448">
        <v>4</v>
      </c>
      <c r="W149" s="651">
        <f t="shared" si="16"/>
        <v>4</v>
      </c>
    </row>
    <row r="150" spans="17:23">
      <c r="Q150" s="121"/>
      <c r="V150" s="448">
        <v>5</v>
      </c>
      <c r="W150" s="651">
        <f t="shared" si="16"/>
        <v>3</v>
      </c>
    </row>
    <row r="151" spans="17:23">
      <c r="Q151" s="121"/>
      <c r="V151" s="448">
        <v>6</v>
      </c>
      <c r="W151" s="651">
        <f t="shared" si="16"/>
        <v>1</v>
      </c>
    </row>
    <row r="152" spans="17:23">
      <c r="Q152" s="121"/>
      <c r="V152" s="448">
        <v>7</v>
      </c>
      <c r="W152" s="651">
        <f t="shared" si="16"/>
        <v>3</v>
      </c>
    </row>
    <row r="153" spans="17:23">
      <c r="Q153" s="121"/>
      <c r="V153" s="448">
        <v>8</v>
      </c>
      <c r="W153" s="651">
        <f t="shared" si="16"/>
        <v>2</v>
      </c>
    </row>
    <row r="154" spans="17:23">
      <c r="Q154" s="121"/>
      <c r="V154" s="448">
        <v>9</v>
      </c>
      <c r="W154" s="651">
        <f t="shared" si="16"/>
        <v>2</v>
      </c>
    </row>
    <row r="155" spans="17:23">
      <c r="Q155" s="121"/>
      <c r="V155" s="448">
        <v>10</v>
      </c>
      <c r="W155" s="651">
        <f t="shared" si="16"/>
        <v>3</v>
      </c>
    </row>
    <row r="156" spans="17:23">
      <c r="Q156" s="121"/>
      <c r="V156" s="448">
        <v>11</v>
      </c>
      <c r="W156" s="651">
        <f t="shared" si="16"/>
        <v>2</v>
      </c>
    </row>
    <row r="157" spans="17:23">
      <c r="Q157" s="121"/>
      <c r="V157" s="448">
        <v>12</v>
      </c>
      <c r="W157" s="651">
        <f t="shared" si="16"/>
        <v>16</v>
      </c>
    </row>
  </sheetData>
  <phoneticPr fontId="57" type="noConversion"/>
  <pageMargins left="0.7" right="0.7" top="0.75" bottom="0.75" header="0.3" footer="0.3"/>
  <pageSetup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2BF7F-638E-4782-B367-7817C2AA3789}">
  <sheetPr codeName="Sheet25">
    <tabColor theme="0" tint="-0.34998626667073579"/>
  </sheetPr>
  <dimension ref="B1:AO263"/>
  <sheetViews>
    <sheetView workbookViewId="0"/>
  </sheetViews>
  <sheetFormatPr defaultColWidth="9.140625" defaultRowHeight="12.75"/>
  <cols>
    <col min="1" max="1" width="2.28515625" style="163" customWidth="1"/>
    <col min="2" max="2" width="34.5703125" style="163" bestFit="1" customWidth="1"/>
    <col min="3" max="3" width="21.7109375" style="163" bestFit="1" customWidth="1"/>
    <col min="4" max="4" width="4" style="163" bestFit="1" customWidth="1"/>
    <col min="5" max="5" width="17.7109375" style="121" bestFit="1" customWidth="1"/>
    <col min="6" max="6" width="30.5703125" style="121" customWidth="1"/>
    <col min="7" max="18" width="9.5703125" style="163" hidden="1" customWidth="1"/>
    <col min="19" max="19" width="10.5703125" style="163" hidden="1" customWidth="1"/>
    <col min="20" max="23" width="13" style="163" hidden="1" customWidth="1"/>
    <col min="24" max="24" width="6.5703125" style="163" hidden="1" customWidth="1"/>
    <col min="25" max="36" width="11.42578125" style="163" bestFit="1" customWidth="1"/>
    <col min="37" max="37" width="12.42578125" style="163" bestFit="1" customWidth="1"/>
    <col min="38" max="39" width="12.28515625" style="163" bestFit="1" customWidth="1"/>
    <col min="40" max="40" width="22.140625" style="121" customWidth="1"/>
    <col min="41" max="41" width="9.28515625" style="121" customWidth="1"/>
    <col min="42" max="16384" width="9.140625" style="163"/>
  </cols>
  <sheetData>
    <row r="1" spans="2:41" ht="13.5" thickBot="1">
      <c r="F1" s="306" t="s">
        <v>259</v>
      </c>
      <c r="G1" s="308" t="s">
        <v>1120</v>
      </c>
      <c r="H1" s="308" t="s">
        <v>1120</v>
      </c>
      <c r="I1" s="308" t="s">
        <v>1120</v>
      </c>
      <c r="J1" s="308" t="s">
        <v>1120</v>
      </c>
      <c r="K1" s="308" t="s">
        <v>1120</v>
      </c>
      <c r="L1" s="308" t="s">
        <v>1120</v>
      </c>
      <c r="M1" s="308" t="s">
        <v>1120</v>
      </c>
      <c r="N1" s="308" t="s">
        <v>1120</v>
      </c>
      <c r="O1" s="308" t="s">
        <v>1120</v>
      </c>
      <c r="P1" s="308" t="s">
        <v>1120</v>
      </c>
      <c r="Q1" s="308" t="s">
        <v>1120</v>
      </c>
      <c r="R1" s="308" t="s">
        <v>1120</v>
      </c>
      <c r="S1" s="308" t="s">
        <v>1120</v>
      </c>
      <c r="T1" s="308" t="s">
        <v>1120</v>
      </c>
      <c r="U1" s="308" t="s">
        <v>1120</v>
      </c>
      <c r="V1" s="308" t="s">
        <v>1120</v>
      </c>
      <c r="W1" s="308" t="s">
        <v>1120</v>
      </c>
      <c r="X1" s="388"/>
      <c r="Y1" s="308" t="s">
        <v>1121</v>
      </c>
      <c r="Z1" s="308" t="s">
        <v>1121</v>
      </c>
      <c r="AA1" s="308" t="s">
        <v>1121</v>
      </c>
      <c r="AB1" s="308" t="s">
        <v>1121</v>
      </c>
      <c r="AC1" s="308" t="s">
        <v>1121</v>
      </c>
      <c r="AD1" s="308" t="s">
        <v>1121</v>
      </c>
      <c r="AE1" s="308" t="s">
        <v>1121</v>
      </c>
      <c r="AF1" s="308" t="s">
        <v>1121</v>
      </c>
      <c r="AG1" s="308" t="s">
        <v>1121</v>
      </c>
      <c r="AH1" s="308" t="s">
        <v>1121</v>
      </c>
      <c r="AI1" s="308" t="s">
        <v>1121</v>
      </c>
      <c r="AJ1" s="308" t="s">
        <v>1121</v>
      </c>
      <c r="AK1" s="308" t="s">
        <v>1121</v>
      </c>
      <c r="AL1" s="308"/>
      <c r="AM1" s="308"/>
      <c r="AN1" s="306"/>
      <c r="AO1" s="306"/>
    </row>
    <row r="2" spans="2:41">
      <c r="F2" s="259">
        <v>12</v>
      </c>
      <c r="G2" s="389" t="s">
        <v>1122</v>
      </c>
      <c r="H2" s="389" t="s">
        <v>1122</v>
      </c>
      <c r="I2" s="389" t="s">
        <v>1122</v>
      </c>
      <c r="J2" s="389" t="s">
        <v>1123</v>
      </c>
      <c r="K2" s="389" t="s">
        <v>1123</v>
      </c>
      <c r="L2" s="389" t="s">
        <v>1123</v>
      </c>
      <c r="M2" s="389" t="s">
        <v>1124</v>
      </c>
      <c r="N2" s="389" t="s">
        <v>1124</v>
      </c>
      <c r="O2" s="389" t="s">
        <v>1124</v>
      </c>
      <c r="P2" s="389" t="s">
        <v>1125</v>
      </c>
      <c r="Q2" s="389" t="s">
        <v>1125</v>
      </c>
      <c r="R2" s="389" t="s">
        <v>1125</v>
      </c>
      <c r="T2" s="390" t="s">
        <v>1122</v>
      </c>
      <c r="U2" s="390" t="s">
        <v>1123</v>
      </c>
      <c r="V2" s="390" t="s">
        <v>1124</v>
      </c>
      <c r="W2" s="390" t="s">
        <v>1125</v>
      </c>
      <c r="X2" s="391"/>
      <c r="Y2" s="389" t="s">
        <v>1126</v>
      </c>
      <c r="Z2" s="389" t="s">
        <v>1126</v>
      </c>
      <c r="AA2" s="389" t="s">
        <v>1126</v>
      </c>
      <c r="AB2" s="389" t="s">
        <v>1127</v>
      </c>
      <c r="AC2" s="389" t="s">
        <v>1127</v>
      </c>
      <c r="AD2" s="389" t="s">
        <v>1127</v>
      </c>
      <c r="AE2" s="389" t="s">
        <v>1128</v>
      </c>
      <c r="AF2" s="389" t="s">
        <v>1128</v>
      </c>
      <c r="AG2" s="389" t="s">
        <v>1128</v>
      </c>
      <c r="AH2" s="389" t="s">
        <v>1129</v>
      </c>
      <c r="AI2" s="389" t="s">
        <v>1129</v>
      </c>
      <c r="AJ2" s="389" t="s">
        <v>1129</v>
      </c>
    </row>
    <row r="3" spans="2:41">
      <c r="G3" s="260">
        <v>1</v>
      </c>
      <c r="H3" s="260">
        <v>2</v>
      </c>
      <c r="I3" s="260">
        <v>3</v>
      </c>
      <c r="J3" s="260">
        <v>4</v>
      </c>
      <c r="K3" s="260">
        <v>5</v>
      </c>
      <c r="L3" s="260">
        <v>6</v>
      </c>
      <c r="M3" s="260">
        <v>7</v>
      </c>
      <c r="N3" s="260">
        <v>8</v>
      </c>
      <c r="O3" s="260">
        <v>9</v>
      </c>
      <c r="P3" s="260">
        <v>10</v>
      </c>
      <c r="Q3" s="260">
        <v>11</v>
      </c>
      <c r="R3" s="260">
        <v>12</v>
      </c>
      <c r="S3" s="260" t="s">
        <v>156</v>
      </c>
      <c r="T3" s="260"/>
      <c r="U3" s="260"/>
      <c r="V3" s="260"/>
      <c r="W3" s="260"/>
      <c r="X3" s="392"/>
      <c r="Y3" s="260">
        <v>1</v>
      </c>
      <c r="Z3" s="260">
        <v>2</v>
      </c>
      <c r="AA3" s="260">
        <v>3</v>
      </c>
      <c r="AB3" s="260">
        <v>4</v>
      </c>
      <c r="AC3" s="260">
        <v>5</v>
      </c>
      <c r="AD3" s="260">
        <v>6</v>
      </c>
      <c r="AE3" s="260">
        <v>7</v>
      </c>
      <c r="AF3" s="260">
        <v>8</v>
      </c>
      <c r="AG3" s="260">
        <v>9</v>
      </c>
      <c r="AH3" s="260">
        <v>10</v>
      </c>
      <c r="AI3" s="260">
        <v>11</v>
      </c>
      <c r="AJ3" s="260">
        <v>12</v>
      </c>
      <c r="AK3" s="260" t="s">
        <v>156</v>
      </c>
      <c r="AL3" s="260"/>
      <c r="AM3" s="260"/>
      <c r="AN3" s="260"/>
      <c r="AO3" s="260"/>
    </row>
    <row r="4" spans="2:41">
      <c r="F4" s="666" t="s">
        <v>1130</v>
      </c>
      <c r="G4" s="393"/>
      <c r="H4" s="393"/>
      <c r="I4" s="393"/>
      <c r="J4" s="393"/>
      <c r="K4" s="393"/>
      <c r="O4" s="394"/>
      <c r="T4" s="121"/>
      <c r="U4" s="121"/>
      <c r="V4" s="121"/>
      <c r="W4" s="121"/>
      <c r="X4" s="395"/>
      <c r="Y4" s="393"/>
      <c r="Z4" s="393"/>
      <c r="AA4" s="393"/>
      <c r="AB4" s="393"/>
      <c r="AC4" s="393"/>
      <c r="AG4" s="394"/>
    </row>
    <row r="5" spans="2:41">
      <c r="B5" s="320" t="s">
        <v>1131</v>
      </c>
      <c r="C5" s="320"/>
      <c r="D5" s="320"/>
      <c r="E5" s="121" t="s">
        <v>159</v>
      </c>
      <c r="F5" s="362" t="s">
        <v>158</v>
      </c>
      <c r="G5" s="396">
        <v>43831</v>
      </c>
      <c r="H5" s="396">
        <v>43862</v>
      </c>
      <c r="I5" s="396">
        <v>43891</v>
      </c>
      <c r="J5" s="396">
        <v>43922</v>
      </c>
      <c r="K5" s="396">
        <v>43952</v>
      </c>
      <c r="L5" s="396">
        <v>43983</v>
      </c>
      <c r="M5" s="396">
        <v>44013</v>
      </c>
      <c r="N5" s="396">
        <v>44044</v>
      </c>
      <c r="O5" s="396">
        <v>44075</v>
      </c>
      <c r="P5" s="396">
        <v>44105</v>
      </c>
      <c r="Q5" s="396">
        <v>44136</v>
      </c>
      <c r="R5" s="396">
        <v>44166</v>
      </c>
      <c r="S5" s="259" t="str">
        <f>+"YTD 1-"&amp;$F$2&amp;" "&amp;2020</f>
        <v>YTD 1-12 2020</v>
      </c>
      <c r="T5" s="396" t="str">
        <f>T2</f>
        <v>PY-Q1</v>
      </c>
      <c r="U5" s="396" t="str">
        <f>U2</f>
        <v>PY-Q2</v>
      </c>
      <c r="V5" s="396" t="str">
        <f>V2</f>
        <v>PY-Q3</v>
      </c>
      <c r="W5" s="396" t="str">
        <f>W2</f>
        <v>PY-Q4</v>
      </c>
      <c r="X5" s="397"/>
      <c r="Y5" s="398">
        <v>44197</v>
      </c>
      <c r="Z5" s="398">
        <v>44228</v>
      </c>
      <c r="AA5" s="398">
        <v>44256</v>
      </c>
      <c r="AB5" s="398">
        <v>44287</v>
      </c>
      <c r="AC5" s="398">
        <v>44317</v>
      </c>
      <c r="AD5" s="398">
        <v>44348</v>
      </c>
      <c r="AE5" s="398">
        <v>44378</v>
      </c>
      <c r="AF5" s="398">
        <v>44409</v>
      </c>
      <c r="AG5" s="398">
        <v>44440</v>
      </c>
      <c r="AH5" s="398">
        <v>44470</v>
      </c>
      <c r="AI5" s="398">
        <v>44501</v>
      </c>
      <c r="AJ5" s="398">
        <v>44531</v>
      </c>
      <c r="AK5" s="259" t="str">
        <f>+"YTD 1-"&amp;$F$2&amp;" "&amp;2021</f>
        <v>YTD 1-12 2021</v>
      </c>
      <c r="AL5" s="259"/>
      <c r="AM5" s="259"/>
      <c r="AN5" s="259"/>
      <c r="AO5" s="259"/>
    </row>
    <row r="6" spans="2:41">
      <c r="B6" s="121" t="s">
        <v>1132</v>
      </c>
      <c r="C6" s="121" t="s">
        <v>8</v>
      </c>
      <c r="D6" s="121" t="s">
        <v>17</v>
      </c>
      <c r="E6" s="121" t="s">
        <v>160</v>
      </c>
      <c r="F6" s="157" t="s">
        <v>114</v>
      </c>
      <c r="G6" s="158">
        <v>19201.64</v>
      </c>
      <c r="H6" s="158">
        <v>18913.46</v>
      </c>
      <c r="I6" s="158">
        <v>18625.14</v>
      </c>
      <c r="J6" s="158">
        <v>18277.28</v>
      </c>
      <c r="K6" s="158">
        <v>17968.32</v>
      </c>
      <c r="L6" s="158">
        <v>17425.77</v>
      </c>
      <c r="M6" s="158">
        <v>17565.740000000002</v>
      </c>
      <c r="N6" s="158">
        <v>17317.259999999998</v>
      </c>
      <c r="O6" s="158">
        <v>17316.560000000001</v>
      </c>
      <c r="P6" s="158">
        <v>17304.14</v>
      </c>
      <c r="Q6" s="158">
        <v>17798.28</v>
      </c>
      <c r="R6" s="158">
        <v>19362.73</v>
      </c>
      <c r="S6" s="399">
        <f ca="1">SUM(G6:OFFSET(G6,0,$F$2-1))</f>
        <v>217076.32</v>
      </c>
      <c r="T6" s="158">
        <f t="shared" ref="T6:T16" si="0">SUM(G6:I6)</f>
        <v>56740.24</v>
      </c>
      <c r="U6" s="158">
        <f t="shared" ref="U6:U16" si="1">SUM(J6:L6)</f>
        <v>53671.369999999995</v>
      </c>
      <c r="V6" s="158">
        <f t="shared" ref="V6:V16" si="2">SUM(M6:O6)</f>
        <v>52199.56</v>
      </c>
      <c r="W6" s="158">
        <f t="shared" ref="W6:W16" si="3">SUM(P6:R6)</f>
        <v>54465.149999999994</v>
      </c>
      <c r="X6" s="161"/>
      <c r="Y6" s="162">
        <v>19872.53</v>
      </c>
      <c r="Z6" s="162">
        <v>18640.71</v>
      </c>
      <c r="AA6" s="162">
        <v>18440.150000000001</v>
      </c>
      <c r="AB6" s="162">
        <v>18637.47</v>
      </c>
      <c r="AC6" s="162">
        <v>17519.48</v>
      </c>
      <c r="AD6" s="162">
        <v>17207.79</v>
      </c>
      <c r="AE6" s="162">
        <v>17282.759999999998</v>
      </c>
      <c r="AF6" s="162">
        <v>17052.3</v>
      </c>
      <c r="AG6" s="162">
        <v>17349.45</v>
      </c>
      <c r="AH6" s="162">
        <v>17283.95</v>
      </c>
      <c r="AI6" s="162">
        <v>17722.509999999998</v>
      </c>
      <c r="AJ6" s="162">
        <v>19023.7</v>
      </c>
      <c r="AK6" s="160">
        <f>SUM(Y6:AJ6)</f>
        <v>216032.80000000005</v>
      </c>
      <c r="AL6" s="121" t="s">
        <v>17</v>
      </c>
      <c r="AM6" s="121" t="s">
        <v>17</v>
      </c>
      <c r="AN6" s="121" t="str">
        <f t="shared" ref="AN6:AN12" si="4">CONCATENATE(AL6," - ",F6," R")</f>
        <v>CFG - FTS-A R</v>
      </c>
    </row>
    <row r="7" spans="2:41">
      <c r="B7" s="121" t="s">
        <v>1133</v>
      </c>
      <c r="C7" s="121" t="s">
        <v>8</v>
      </c>
      <c r="D7" s="121" t="s">
        <v>17</v>
      </c>
      <c r="E7" s="121" t="s">
        <v>160</v>
      </c>
      <c r="F7" s="157" t="s">
        <v>115</v>
      </c>
      <c r="G7" s="158">
        <v>49559.080000000104</v>
      </c>
      <c r="H7" s="158">
        <v>48721.699999999903</v>
      </c>
      <c r="I7" s="158">
        <v>47603.860000000299</v>
      </c>
      <c r="J7" s="158">
        <v>47102.370000000097</v>
      </c>
      <c r="K7" s="158">
        <v>45775.200000000099</v>
      </c>
      <c r="L7" s="158">
        <v>44211.620000000097</v>
      </c>
      <c r="M7" s="158">
        <v>44992.200000000201</v>
      </c>
      <c r="N7" s="158">
        <v>43721.6700000001</v>
      </c>
      <c r="O7" s="158">
        <v>44282.8400000002</v>
      </c>
      <c r="P7" s="158">
        <v>43571.439999999799</v>
      </c>
      <c r="Q7" s="158">
        <v>45506.239999999802</v>
      </c>
      <c r="R7" s="158">
        <v>51986.46</v>
      </c>
      <c r="S7" s="160">
        <f ca="1">SUM(G7:OFFSET(G7,0,$F$2-1))</f>
        <v>557034.68000000075</v>
      </c>
      <c r="T7" s="158">
        <f t="shared" si="0"/>
        <v>145884.64000000031</v>
      </c>
      <c r="U7" s="158">
        <f t="shared" si="1"/>
        <v>137089.19000000029</v>
      </c>
      <c r="V7" s="158">
        <f t="shared" si="2"/>
        <v>132996.71000000049</v>
      </c>
      <c r="W7" s="158">
        <f t="shared" si="3"/>
        <v>141064.13999999961</v>
      </c>
      <c r="X7" s="161"/>
      <c r="Y7" s="162">
        <v>52862.14</v>
      </c>
      <c r="Z7" s="162">
        <v>48726.74</v>
      </c>
      <c r="AA7" s="162">
        <v>46759.229999999698</v>
      </c>
      <c r="AB7" s="162">
        <v>47831.1600000002</v>
      </c>
      <c r="AC7" s="162">
        <v>44500.859999999797</v>
      </c>
      <c r="AD7" s="162">
        <v>44003.130000000201</v>
      </c>
      <c r="AE7" s="162">
        <v>44227.720000000198</v>
      </c>
      <c r="AF7" s="162">
        <v>43329.369999999901</v>
      </c>
      <c r="AG7" s="162">
        <v>44073.15</v>
      </c>
      <c r="AH7" s="162">
        <v>43675.120000000097</v>
      </c>
      <c r="AI7" s="162">
        <v>44824.140000000101</v>
      </c>
      <c r="AJ7" s="162">
        <v>49585.120000000003</v>
      </c>
      <c r="AK7" s="160">
        <f t="shared" ref="AK7:AK16" si="5">SUM(Y7:AJ7)</f>
        <v>554397.88000000024</v>
      </c>
      <c r="AL7" s="121" t="s">
        <v>17</v>
      </c>
      <c r="AM7" s="121" t="s">
        <v>17</v>
      </c>
      <c r="AN7" s="121" t="str">
        <f t="shared" si="4"/>
        <v>CFG - FTS-B R</v>
      </c>
    </row>
    <row r="8" spans="2:41">
      <c r="B8" s="121" t="s">
        <v>1134</v>
      </c>
      <c r="C8" s="121" t="s">
        <v>8</v>
      </c>
      <c r="D8" s="121" t="s">
        <v>17</v>
      </c>
      <c r="E8" s="121" t="s">
        <v>160</v>
      </c>
      <c r="F8" s="157" t="s">
        <v>116</v>
      </c>
      <c r="G8" s="158">
        <v>371036.01999999699</v>
      </c>
      <c r="H8" s="158">
        <v>359419.35000000201</v>
      </c>
      <c r="I8" s="158">
        <v>356752.49999999802</v>
      </c>
      <c r="J8" s="158">
        <v>331648.52999999799</v>
      </c>
      <c r="K8" s="158">
        <v>323192.04999999399</v>
      </c>
      <c r="L8" s="158">
        <v>309914.49999999901</v>
      </c>
      <c r="M8" s="158">
        <v>313266.54999999597</v>
      </c>
      <c r="N8" s="158">
        <v>305572.92999999598</v>
      </c>
      <c r="O8" s="158">
        <v>310366.59999999899</v>
      </c>
      <c r="P8" s="158">
        <v>315620.07000000897</v>
      </c>
      <c r="Q8" s="158">
        <v>335675.91000000399</v>
      </c>
      <c r="R8" s="158">
        <v>400653.23000000301</v>
      </c>
      <c r="S8" s="160">
        <f ca="1">SUM(G8:OFFSET(G8,0,$F$2-1))</f>
        <v>4033118.2399999946</v>
      </c>
      <c r="T8" s="158">
        <f t="shared" si="0"/>
        <v>1087207.8699999969</v>
      </c>
      <c r="U8" s="158">
        <f t="shared" si="1"/>
        <v>964755.07999999099</v>
      </c>
      <c r="V8" s="158">
        <f t="shared" si="2"/>
        <v>929206.07999999099</v>
      </c>
      <c r="W8" s="158">
        <f t="shared" si="3"/>
        <v>1051949.210000016</v>
      </c>
      <c r="X8" s="161"/>
      <c r="Y8" s="162">
        <v>428293.49000000698</v>
      </c>
      <c r="Z8" s="162">
        <v>379894.12000000599</v>
      </c>
      <c r="AA8" s="162">
        <v>369184.27000001399</v>
      </c>
      <c r="AB8" s="162">
        <v>379398.52999999898</v>
      </c>
      <c r="AC8" s="162">
        <v>341962.65999999299</v>
      </c>
      <c r="AD8" s="162">
        <v>336118.25000000099</v>
      </c>
      <c r="AE8" s="162">
        <v>333737.19999999902</v>
      </c>
      <c r="AF8" s="162">
        <v>324131.60000000399</v>
      </c>
      <c r="AG8" s="162">
        <v>328395.25999999797</v>
      </c>
      <c r="AH8" s="162">
        <v>330989.729999998</v>
      </c>
      <c r="AI8" s="162">
        <v>348941.18</v>
      </c>
      <c r="AJ8" s="162">
        <v>400623.580000007</v>
      </c>
      <c r="AK8" s="160">
        <f t="shared" si="5"/>
        <v>4301669.8700000262</v>
      </c>
      <c r="AL8" s="121" t="s">
        <v>17</v>
      </c>
      <c r="AM8" s="121" t="s">
        <v>17</v>
      </c>
      <c r="AN8" s="121" t="str">
        <f t="shared" si="4"/>
        <v>CFG - FTS-1 R</v>
      </c>
    </row>
    <row r="9" spans="2:41">
      <c r="B9" s="121" t="s">
        <v>1135</v>
      </c>
      <c r="C9" s="121" t="s">
        <v>8</v>
      </c>
      <c r="D9" s="121" t="s">
        <v>17</v>
      </c>
      <c r="E9" s="121" t="s">
        <v>160</v>
      </c>
      <c r="F9" s="157" t="s">
        <v>117</v>
      </c>
      <c r="G9" s="158">
        <v>49651.670000000202</v>
      </c>
      <c r="H9" s="158">
        <v>46665.589999999902</v>
      </c>
      <c r="I9" s="158">
        <v>47867.56</v>
      </c>
      <c r="J9" s="158">
        <v>34823.799999999901</v>
      </c>
      <c r="K9" s="158">
        <v>32300.1700000001</v>
      </c>
      <c r="L9" s="158">
        <v>29640.040000000099</v>
      </c>
      <c r="M9" s="158">
        <v>29633.4900000001</v>
      </c>
      <c r="N9" s="158">
        <v>28522.820000000102</v>
      </c>
      <c r="O9" s="158">
        <v>28815.919999999998</v>
      </c>
      <c r="P9" s="158">
        <v>30072.84</v>
      </c>
      <c r="Q9" s="158">
        <v>32732.389999999901</v>
      </c>
      <c r="R9" s="158">
        <v>42283.269999999902</v>
      </c>
      <c r="S9" s="400">
        <f ca="1">SUM(G9:OFFSET(G9,0,$F$2-1))</f>
        <v>433009.56000000023</v>
      </c>
      <c r="T9" s="158">
        <f t="shared" si="0"/>
        <v>144184.82000000009</v>
      </c>
      <c r="U9" s="158">
        <f t="shared" si="1"/>
        <v>96764.010000000097</v>
      </c>
      <c r="V9" s="158">
        <f t="shared" si="2"/>
        <v>86972.2300000002</v>
      </c>
      <c r="W9" s="158">
        <f t="shared" si="3"/>
        <v>105088.4999999998</v>
      </c>
      <c r="X9" s="161"/>
      <c r="Y9" s="162">
        <v>46996.799999999901</v>
      </c>
      <c r="Z9" s="162">
        <v>40854.559999999998</v>
      </c>
      <c r="AA9" s="162">
        <v>41871.56</v>
      </c>
      <c r="AB9" s="162">
        <v>42226.909999999902</v>
      </c>
      <c r="AC9" s="162">
        <v>33842.6700000001</v>
      </c>
      <c r="AD9" s="162">
        <v>31846.400000000202</v>
      </c>
      <c r="AE9" s="162">
        <v>31500.38</v>
      </c>
      <c r="AF9" s="162">
        <v>29407.809999999899</v>
      </c>
      <c r="AG9" s="162">
        <v>29221.210000000101</v>
      </c>
      <c r="AH9" s="162">
        <v>31050.37</v>
      </c>
      <c r="AI9" s="162">
        <v>36063.56</v>
      </c>
      <c r="AJ9" s="162">
        <v>46166.970000000103</v>
      </c>
      <c r="AK9" s="160">
        <f t="shared" si="5"/>
        <v>441049.20000000013</v>
      </c>
      <c r="AL9" s="121" t="s">
        <v>17</v>
      </c>
      <c r="AM9" s="121" t="s">
        <v>17</v>
      </c>
      <c r="AN9" s="121" t="str">
        <f t="shared" si="4"/>
        <v>CFG - FTS-2 R</v>
      </c>
    </row>
    <row r="10" spans="2:41">
      <c r="B10" s="121" t="s">
        <v>1136</v>
      </c>
      <c r="C10" s="121" t="s">
        <v>8</v>
      </c>
      <c r="D10" s="121" t="s">
        <v>17</v>
      </c>
      <c r="E10" s="121" t="s">
        <v>160</v>
      </c>
      <c r="F10" s="157" t="s">
        <v>118</v>
      </c>
      <c r="G10" s="158">
        <v>44707.839999999902</v>
      </c>
      <c r="H10" s="158">
        <v>42908.38</v>
      </c>
      <c r="I10" s="158">
        <v>41198.25</v>
      </c>
      <c r="J10" s="158">
        <v>26136.16</v>
      </c>
      <c r="K10" s="401">
        <v>23733.59</v>
      </c>
      <c r="L10" s="158">
        <v>22629.779999999901</v>
      </c>
      <c r="M10" s="158">
        <v>22908.880000000001</v>
      </c>
      <c r="N10" s="158">
        <v>21990.6499999999</v>
      </c>
      <c r="O10" s="158">
        <v>21798.74</v>
      </c>
      <c r="P10" s="158">
        <v>23140.44</v>
      </c>
      <c r="Q10" s="158">
        <v>26369.54</v>
      </c>
      <c r="R10" s="158">
        <v>37509.879999999997</v>
      </c>
      <c r="S10" s="400">
        <f ca="1">SUM(G10:OFFSET(G10,0,$F$2-1))</f>
        <v>355032.12999999971</v>
      </c>
      <c r="T10" s="158">
        <f t="shared" si="0"/>
        <v>128814.4699999999</v>
      </c>
      <c r="U10" s="158">
        <f t="shared" si="1"/>
        <v>72499.529999999897</v>
      </c>
      <c r="V10" s="158">
        <f t="shared" si="2"/>
        <v>66698.269999999902</v>
      </c>
      <c r="W10" s="158">
        <f t="shared" si="3"/>
        <v>87019.859999999986</v>
      </c>
      <c r="X10" s="161"/>
      <c r="Y10" s="162">
        <v>42712.3</v>
      </c>
      <c r="Z10" s="162">
        <v>36441</v>
      </c>
      <c r="AA10" s="162">
        <v>37850.47</v>
      </c>
      <c r="AB10" s="162">
        <v>37209.93</v>
      </c>
      <c r="AC10" s="162">
        <v>27031.82</v>
      </c>
      <c r="AD10" s="162">
        <v>25563.5099999999</v>
      </c>
      <c r="AE10" s="162">
        <v>25083.03</v>
      </c>
      <c r="AF10" s="162">
        <v>23891.84</v>
      </c>
      <c r="AG10" s="162">
        <v>22646.639999999999</v>
      </c>
      <c r="AH10" s="162">
        <v>25157</v>
      </c>
      <c r="AI10" s="162">
        <v>30338.97</v>
      </c>
      <c r="AJ10" s="162">
        <v>41479.32</v>
      </c>
      <c r="AK10" s="160">
        <f t="shared" si="5"/>
        <v>375405.8299999999</v>
      </c>
      <c r="AL10" s="121" t="s">
        <v>17</v>
      </c>
      <c r="AM10" s="121" t="s">
        <v>17</v>
      </c>
      <c r="AN10" s="121" t="str">
        <f t="shared" si="4"/>
        <v>CFG - FTS-2.1 R</v>
      </c>
    </row>
    <row r="11" spans="2:41">
      <c r="B11" s="121" t="s">
        <v>1137</v>
      </c>
      <c r="C11" s="121" t="s">
        <v>8</v>
      </c>
      <c r="D11" s="121" t="s">
        <v>17</v>
      </c>
      <c r="E11" s="121" t="s">
        <v>160</v>
      </c>
      <c r="F11" s="364" t="s">
        <v>119</v>
      </c>
      <c r="G11" s="158">
        <v>3244.12</v>
      </c>
      <c r="H11" s="158">
        <v>2943.33</v>
      </c>
      <c r="I11" s="158">
        <v>2777.83</v>
      </c>
      <c r="J11" s="158">
        <v>2110.0700000000002</v>
      </c>
      <c r="K11" s="158">
        <v>2079.83</v>
      </c>
      <c r="L11" s="158">
        <v>1988.36</v>
      </c>
      <c r="M11" s="158">
        <v>1918.16</v>
      </c>
      <c r="N11" s="158">
        <v>1823.04</v>
      </c>
      <c r="O11" s="158">
        <v>1892.9</v>
      </c>
      <c r="P11" s="158">
        <v>2051.64</v>
      </c>
      <c r="Q11" s="158">
        <v>2305.37</v>
      </c>
      <c r="R11" s="158">
        <v>3443.67</v>
      </c>
      <c r="S11" s="400">
        <f ca="1">SUM(G11:OFFSET(G11,0,$F$2-1))</f>
        <v>28578.32</v>
      </c>
      <c r="T11" s="158">
        <f t="shared" si="0"/>
        <v>8965.2799999999988</v>
      </c>
      <c r="U11" s="158">
        <f t="shared" si="1"/>
        <v>6178.2599999999993</v>
      </c>
      <c r="V11" s="158">
        <f t="shared" si="2"/>
        <v>5634.1</v>
      </c>
      <c r="W11" s="158">
        <f t="shared" si="3"/>
        <v>7800.68</v>
      </c>
      <c r="X11" s="161"/>
      <c r="Y11" s="162">
        <v>3604.3</v>
      </c>
      <c r="Z11" s="162">
        <v>3017.47</v>
      </c>
      <c r="AA11" s="162">
        <v>2738.1</v>
      </c>
      <c r="AB11" s="162">
        <v>2588.02</v>
      </c>
      <c r="AC11" s="162">
        <v>2069.5</v>
      </c>
      <c r="AD11" s="162">
        <v>2011.28</v>
      </c>
      <c r="AE11" s="162">
        <v>1972.53</v>
      </c>
      <c r="AF11" s="162">
        <v>1886.07</v>
      </c>
      <c r="AG11" s="162">
        <v>1864.59</v>
      </c>
      <c r="AH11" s="162">
        <v>1960.79</v>
      </c>
      <c r="AI11" s="162">
        <v>2335.87</v>
      </c>
      <c r="AJ11" s="162">
        <v>2673.92</v>
      </c>
      <c r="AK11" s="160">
        <f t="shared" si="5"/>
        <v>28722.440000000002</v>
      </c>
      <c r="AL11" s="121" t="s">
        <v>17</v>
      </c>
      <c r="AM11" s="121" t="s">
        <v>17</v>
      </c>
      <c r="AN11" s="121" t="str">
        <f t="shared" si="4"/>
        <v>CFG - FTS-3 R</v>
      </c>
    </row>
    <row r="12" spans="2:41">
      <c r="B12" s="121" t="s">
        <v>1138</v>
      </c>
      <c r="C12" s="121" t="s">
        <v>8</v>
      </c>
      <c r="D12" s="121" t="s">
        <v>17</v>
      </c>
      <c r="E12" s="121" t="s">
        <v>160</v>
      </c>
      <c r="F12" s="364" t="s">
        <v>120</v>
      </c>
      <c r="G12" s="158">
        <v>0</v>
      </c>
      <c r="H12" s="158">
        <v>0</v>
      </c>
      <c r="I12" s="158">
        <v>0</v>
      </c>
      <c r="J12" s="158">
        <v>0</v>
      </c>
      <c r="K12" s="158">
        <v>0</v>
      </c>
      <c r="L12" s="158">
        <v>0</v>
      </c>
      <c r="M12" s="158">
        <v>0</v>
      </c>
      <c r="N12" s="158">
        <v>0</v>
      </c>
      <c r="O12" s="158">
        <v>0</v>
      </c>
      <c r="P12" s="158">
        <v>0</v>
      </c>
      <c r="Q12" s="158">
        <v>0</v>
      </c>
      <c r="R12" s="158">
        <v>0</v>
      </c>
      <c r="S12" s="400">
        <f ca="1">SUM(G12:OFFSET(G12,0,$F$2-1))</f>
        <v>0</v>
      </c>
      <c r="T12" s="158">
        <f t="shared" si="0"/>
        <v>0</v>
      </c>
      <c r="U12" s="158">
        <f t="shared" si="1"/>
        <v>0</v>
      </c>
      <c r="V12" s="158">
        <f t="shared" si="2"/>
        <v>0</v>
      </c>
      <c r="W12" s="158">
        <f t="shared" si="3"/>
        <v>0</v>
      </c>
      <c r="X12" s="161"/>
      <c r="Y12" s="162">
        <v>0</v>
      </c>
      <c r="Z12" s="162">
        <v>0</v>
      </c>
      <c r="AA12" s="162">
        <v>0</v>
      </c>
      <c r="AB12" s="162">
        <v>0</v>
      </c>
      <c r="AC12" s="162">
        <v>0</v>
      </c>
      <c r="AD12" s="162">
        <v>0</v>
      </c>
      <c r="AE12" s="162">
        <v>0</v>
      </c>
      <c r="AF12" s="162">
        <v>0</v>
      </c>
      <c r="AG12" s="162">
        <v>0</v>
      </c>
      <c r="AH12" s="162">
        <v>0</v>
      </c>
      <c r="AI12" s="162">
        <v>0</v>
      </c>
      <c r="AJ12" s="162">
        <v>0</v>
      </c>
      <c r="AK12" s="160">
        <f t="shared" si="5"/>
        <v>0</v>
      </c>
      <c r="AL12" s="121" t="s">
        <v>17</v>
      </c>
      <c r="AM12" s="121" t="s">
        <v>17</v>
      </c>
      <c r="AN12" s="121" t="str">
        <f t="shared" si="4"/>
        <v>CFG - FTS-3.1 R</v>
      </c>
    </row>
    <row r="13" spans="2:41">
      <c r="B13" s="121" t="s">
        <v>1139</v>
      </c>
      <c r="C13" s="121" t="s">
        <v>8</v>
      </c>
      <c r="D13" s="121" t="s">
        <v>16</v>
      </c>
      <c r="E13" s="121" t="s">
        <v>162</v>
      </c>
      <c r="F13" s="364" t="s">
        <v>161</v>
      </c>
      <c r="G13" s="158">
        <v>1566240.8199999921</v>
      </c>
      <c r="H13" s="158">
        <v>1462658.7600000093</v>
      </c>
      <c r="I13" s="158">
        <v>1383397.9699999788</v>
      </c>
      <c r="J13" s="158">
        <v>1329334.2099999685</v>
      </c>
      <c r="K13" s="159">
        <v>1284377.469999982</v>
      </c>
      <c r="L13" s="158">
        <v>1129634.6899999978</v>
      </c>
      <c r="M13" s="158">
        <v>1065037.9700000025</v>
      </c>
      <c r="N13" s="158">
        <v>1023045.2999999984</v>
      </c>
      <c r="O13" s="158">
        <v>1023493.0599999983</v>
      </c>
      <c r="P13" s="158">
        <v>1058307.0600000008</v>
      </c>
      <c r="Q13" s="158">
        <v>1234229.2099999851</v>
      </c>
      <c r="R13" s="158">
        <v>1593938.3899999778</v>
      </c>
      <c r="S13" s="400">
        <f ca="1">SUM(G13:OFFSET(G13,0,$F$2-1))</f>
        <v>15153694.909999892</v>
      </c>
      <c r="T13" s="158">
        <f t="shared" si="0"/>
        <v>4412297.5499999803</v>
      </c>
      <c r="U13" s="158">
        <f t="shared" si="1"/>
        <v>3743346.369999948</v>
      </c>
      <c r="V13" s="158">
        <f t="shared" si="2"/>
        <v>3111576.3299999991</v>
      </c>
      <c r="W13" s="158">
        <f t="shared" si="3"/>
        <v>3886474.6599999634</v>
      </c>
      <c r="X13" s="161"/>
      <c r="Y13" s="162">
        <v>1897800.8799999901</v>
      </c>
      <c r="Z13" s="162">
        <v>1614176.3799999873</v>
      </c>
      <c r="AA13" s="162">
        <v>1477487.0799999742</v>
      </c>
      <c r="AB13" s="162">
        <v>1446833.389999989</v>
      </c>
      <c r="AC13" s="162">
        <v>1251731.5299999961</v>
      </c>
      <c r="AD13" s="162">
        <v>1142636.7799999914</v>
      </c>
      <c r="AE13" s="162">
        <v>1105765.1799999983</v>
      </c>
      <c r="AF13" s="162">
        <v>1046068.959999989</v>
      </c>
      <c r="AG13" s="162">
        <v>1083155.759999993</v>
      </c>
      <c r="AH13" s="162">
        <v>1103100.4499999876</v>
      </c>
      <c r="AI13" s="162">
        <v>1283841.409999995</v>
      </c>
      <c r="AJ13" s="162">
        <v>1532888.3799999917</v>
      </c>
      <c r="AK13" s="160">
        <f t="shared" si="5"/>
        <v>15985486.179999882</v>
      </c>
      <c r="AL13" s="121" t="s">
        <v>16</v>
      </c>
      <c r="AM13" s="121" t="s">
        <v>16</v>
      </c>
      <c r="AN13" s="121" t="str">
        <f>CONCATENATE(AL13," - ",F13)</f>
        <v>FPU - FPU - RS</v>
      </c>
    </row>
    <row r="14" spans="2:41">
      <c r="B14" s="121" t="s">
        <v>1140</v>
      </c>
      <c r="C14" s="121" t="s">
        <v>8</v>
      </c>
      <c r="D14" s="121" t="s">
        <v>16</v>
      </c>
      <c r="E14" s="121" t="s">
        <v>162</v>
      </c>
      <c r="F14" s="364" t="s">
        <v>163</v>
      </c>
      <c r="G14" s="158">
        <v>15390.27</v>
      </c>
      <c r="H14" s="158">
        <v>15081.249999999996</v>
      </c>
      <c r="I14" s="158">
        <v>14581.640000000003</v>
      </c>
      <c r="J14" s="158">
        <v>14546.069999999998</v>
      </c>
      <c r="K14" s="159">
        <v>14233.379999999997</v>
      </c>
      <c r="L14" s="158">
        <v>13455.88</v>
      </c>
      <c r="M14" s="158">
        <v>12923.32</v>
      </c>
      <c r="N14" s="158">
        <v>12958.13</v>
      </c>
      <c r="O14" s="158">
        <v>13314.619999999997</v>
      </c>
      <c r="P14" s="158">
        <v>14067.31</v>
      </c>
      <c r="Q14" s="158">
        <v>16001.059999999996</v>
      </c>
      <c r="R14" s="158">
        <v>17730.029999999995</v>
      </c>
      <c r="S14" s="400">
        <f ca="1">SUM(G14:OFFSET(G14,0,$F$2-1))</f>
        <v>174282.96</v>
      </c>
      <c r="T14" s="158">
        <f t="shared" si="0"/>
        <v>45053.16</v>
      </c>
      <c r="U14" s="158">
        <f t="shared" si="1"/>
        <v>42235.329999999994</v>
      </c>
      <c r="V14" s="158">
        <f t="shared" si="2"/>
        <v>39196.069999999992</v>
      </c>
      <c r="W14" s="158">
        <f t="shared" si="3"/>
        <v>47798.399999999994</v>
      </c>
      <c r="X14" s="161"/>
      <c r="Y14" s="162">
        <v>18118.57</v>
      </c>
      <c r="Z14" s="162">
        <v>18441.019999999993</v>
      </c>
      <c r="AA14" s="162">
        <v>17749.030000000002</v>
      </c>
      <c r="AB14" s="162">
        <v>17122.72</v>
      </c>
      <c r="AC14" s="162">
        <v>17903.699999999993</v>
      </c>
      <c r="AD14" s="162">
        <v>15434.569999999998</v>
      </c>
      <c r="AE14" s="162">
        <v>16031.279999999995</v>
      </c>
      <c r="AF14" s="162">
        <v>14935.22</v>
      </c>
      <c r="AG14" s="162">
        <v>16243.729999999996</v>
      </c>
      <c r="AH14" s="162">
        <v>17201.250000000007</v>
      </c>
      <c r="AI14" s="162">
        <v>18891.980000000007</v>
      </c>
      <c r="AJ14" s="162">
        <v>19942.090000000004</v>
      </c>
      <c r="AK14" s="160">
        <f t="shared" si="5"/>
        <v>208015.15999999997</v>
      </c>
      <c r="AL14" s="121" t="s">
        <v>16</v>
      </c>
      <c r="AM14" s="121" t="s">
        <v>16</v>
      </c>
      <c r="AN14" s="121" t="str">
        <f>CONCATENATE(AL14," - ",F14)</f>
        <v>FPU - FPU - RS-GS</v>
      </c>
    </row>
    <row r="15" spans="2:41">
      <c r="B15" s="121" t="s">
        <v>1141</v>
      </c>
      <c r="C15" s="121" t="s">
        <v>8</v>
      </c>
      <c r="D15" s="121" t="s">
        <v>14</v>
      </c>
      <c r="E15" s="121" t="s">
        <v>164</v>
      </c>
      <c r="F15" s="364" t="s">
        <v>111</v>
      </c>
      <c r="G15" s="158">
        <v>9517.5899999999801</v>
      </c>
      <c r="H15" s="158">
        <v>8993.5599999999758</v>
      </c>
      <c r="I15" s="158">
        <v>8558.5199999999732</v>
      </c>
      <c r="J15" s="158">
        <v>8052.0899999999738</v>
      </c>
      <c r="K15" s="159">
        <v>7626.7900000000191</v>
      </c>
      <c r="L15" s="158">
        <v>7169.069999999967</v>
      </c>
      <c r="M15" s="158">
        <v>7277.0299999999734</v>
      </c>
      <c r="N15" s="158">
        <v>6961.639999999974</v>
      </c>
      <c r="O15" s="158">
        <v>7270.8399999999692</v>
      </c>
      <c r="P15" s="158">
        <v>7288.739999999977</v>
      </c>
      <c r="Q15" s="158">
        <v>7577.6100000000133</v>
      </c>
      <c r="R15" s="158">
        <v>9122.1999999999753</v>
      </c>
      <c r="S15" s="400">
        <f ca="1">SUM(G15:OFFSET(G15,0,$F$2-1))</f>
        <v>95415.67999999976</v>
      </c>
      <c r="T15" s="158">
        <f t="shared" si="0"/>
        <v>27069.669999999933</v>
      </c>
      <c r="U15" s="158">
        <f t="shared" si="1"/>
        <v>22847.949999999961</v>
      </c>
      <c r="V15" s="158">
        <f t="shared" si="2"/>
        <v>21509.509999999915</v>
      </c>
      <c r="W15" s="158">
        <f t="shared" si="3"/>
        <v>23988.549999999967</v>
      </c>
      <c r="X15" s="161"/>
      <c r="Y15" s="162">
        <v>10172.36</v>
      </c>
      <c r="Z15" s="162">
        <v>9198.1600000000235</v>
      </c>
      <c r="AA15" s="162">
        <v>8147.600000000014</v>
      </c>
      <c r="AB15" s="162">
        <v>8372.5300000000279</v>
      </c>
      <c r="AC15" s="162">
        <v>7352.5699999999733</v>
      </c>
      <c r="AD15" s="162">
        <v>7027.0899999999729</v>
      </c>
      <c r="AE15" s="162">
        <v>7176.5399999999754</v>
      </c>
      <c r="AF15" s="162">
        <v>6688.089999999982</v>
      </c>
      <c r="AG15" s="162">
        <v>7081.370000000009</v>
      </c>
      <c r="AH15" s="162">
        <v>6857.1899999999814</v>
      </c>
      <c r="AI15" s="162">
        <v>7272.2099999999746</v>
      </c>
      <c r="AJ15" s="162">
        <v>8436.7299999999777</v>
      </c>
      <c r="AK15" s="160">
        <f t="shared" si="5"/>
        <v>93782.43999999993</v>
      </c>
      <c r="AL15" s="121" t="s">
        <v>14</v>
      </c>
      <c r="AM15" s="121" t="s">
        <v>14</v>
      </c>
      <c r="AN15" s="121" t="str">
        <f>CONCATENATE(AL15," - ",F15)</f>
        <v>FT - FT-RS</v>
      </c>
    </row>
    <row r="16" spans="2:41">
      <c r="B16" s="121" t="s">
        <v>1142</v>
      </c>
      <c r="C16" s="121" t="s">
        <v>8</v>
      </c>
      <c r="D16" s="121" t="s">
        <v>13</v>
      </c>
      <c r="E16" s="121" t="s">
        <v>165</v>
      </c>
      <c r="F16" s="364" t="s">
        <v>105</v>
      </c>
      <c r="G16" s="403">
        <v>10629.220000000007</v>
      </c>
      <c r="H16" s="403">
        <v>9749.7299999999959</v>
      </c>
      <c r="I16" s="403">
        <v>9878.9499999999935</v>
      </c>
      <c r="J16" s="403">
        <v>10163.71000000001</v>
      </c>
      <c r="K16" s="404">
        <v>9863.31</v>
      </c>
      <c r="L16" s="403">
        <v>9441.5100000000039</v>
      </c>
      <c r="M16" s="403">
        <v>9842.6099999999897</v>
      </c>
      <c r="N16" s="403">
        <v>9233.2900000000027</v>
      </c>
      <c r="O16" s="403">
        <v>9360.6099999999933</v>
      </c>
      <c r="P16" s="403">
        <v>9404.9399999999951</v>
      </c>
      <c r="Q16" s="403">
        <v>10043.070000000007</v>
      </c>
      <c r="R16" s="403">
        <v>10510.440000000008</v>
      </c>
      <c r="S16" s="405">
        <f ca="1">SUM(G16:OFFSET(G16,0,$F$2-1))</f>
        <v>118121.39000000001</v>
      </c>
      <c r="T16" s="403">
        <f t="shared" si="0"/>
        <v>30257.899999999998</v>
      </c>
      <c r="U16" s="403">
        <f t="shared" si="1"/>
        <v>29468.530000000013</v>
      </c>
      <c r="V16" s="403">
        <f t="shared" si="2"/>
        <v>28436.509999999987</v>
      </c>
      <c r="W16" s="403">
        <f t="shared" si="3"/>
        <v>29958.450000000012</v>
      </c>
      <c r="X16" s="161"/>
      <c r="Y16" s="406">
        <v>10659.050000000005</v>
      </c>
      <c r="Z16" s="406">
        <v>9879.9399999999914</v>
      </c>
      <c r="AA16" s="406">
        <v>10068.860000000006</v>
      </c>
      <c r="AB16" s="406">
        <v>9778.0400000000063</v>
      </c>
      <c r="AC16" s="406">
        <v>9442.0199999999822</v>
      </c>
      <c r="AD16" s="406">
        <v>9592.0200000000168</v>
      </c>
      <c r="AE16" s="406">
        <v>9484.7999999999975</v>
      </c>
      <c r="AF16" s="406">
        <v>9096.3500000000222</v>
      </c>
      <c r="AG16" s="406">
        <v>9540.5399999999845</v>
      </c>
      <c r="AH16" s="406">
        <v>9181.2299999999941</v>
      </c>
      <c r="AI16" s="406">
        <v>8999.8700000000026</v>
      </c>
      <c r="AJ16" s="406">
        <v>10788.779999999997</v>
      </c>
      <c r="AK16" s="160">
        <f t="shared" si="5"/>
        <v>116511.5</v>
      </c>
      <c r="AL16" s="121" t="s">
        <v>13</v>
      </c>
      <c r="AM16" s="121" t="s">
        <v>13</v>
      </c>
      <c r="AN16" s="121" t="str">
        <f>CONCATENATE(AL16," - ",F16)</f>
        <v>IGC - IGC - TS1</v>
      </c>
    </row>
    <row r="17" spans="2:41">
      <c r="B17" s="320"/>
      <c r="C17" s="320"/>
      <c r="D17" s="320" t="s">
        <v>1143</v>
      </c>
      <c r="E17" s="257"/>
      <c r="F17" s="407" t="s">
        <v>166</v>
      </c>
      <c r="G17" s="160">
        <f t="shared" ref="G17:P17" si="6">SUM(G6:G16)</f>
        <v>2139178.2699999893</v>
      </c>
      <c r="H17" s="160">
        <f t="shared" si="6"/>
        <v>2016055.1100000113</v>
      </c>
      <c r="I17" s="160">
        <f t="shared" si="6"/>
        <v>1931242.2199999769</v>
      </c>
      <c r="J17" s="160">
        <f t="shared" si="6"/>
        <v>1822194.2899999665</v>
      </c>
      <c r="K17" s="160">
        <f t="shared" si="6"/>
        <v>1761150.1099999761</v>
      </c>
      <c r="L17" s="160">
        <f t="shared" si="6"/>
        <v>1585511.2199999969</v>
      </c>
      <c r="M17" s="160">
        <f t="shared" si="6"/>
        <v>1525365.949999999</v>
      </c>
      <c r="N17" s="160">
        <f t="shared" si="6"/>
        <v>1471146.7299999944</v>
      </c>
      <c r="O17" s="160">
        <f t="shared" si="6"/>
        <v>1477912.6899999978</v>
      </c>
      <c r="P17" s="160">
        <f t="shared" si="6"/>
        <v>1520828.6200000097</v>
      </c>
      <c r="Q17" s="160">
        <f>SUM(Q6:Q16)</f>
        <v>1728238.679999989</v>
      </c>
      <c r="R17" s="160">
        <f t="shared" ref="R17:W17" si="7">SUM(R6:R16)</f>
        <v>2186540.2999999807</v>
      </c>
      <c r="S17" s="160">
        <f t="shared" ca="1" si="7"/>
        <v>21165364.18999989</v>
      </c>
      <c r="T17" s="160">
        <f t="shared" si="7"/>
        <v>6086475.5999999782</v>
      </c>
      <c r="U17" s="160">
        <f t="shared" si="7"/>
        <v>5168855.6199999396</v>
      </c>
      <c r="V17" s="160">
        <f t="shared" si="7"/>
        <v>4474425.3699999908</v>
      </c>
      <c r="W17" s="160">
        <f t="shared" si="7"/>
        <v>5435607.5999999791</v>
      </c>
      <c r="X17" s="408"/>
      <c r="Y17" s="160">
        <f t="shared" ref="Y17:AK17" si="8">SUM(Y6:Y16)</f>
        <v>2531092.4199999967</v>
      </c>
      <c r="Z17" s="160">
        <f t="shared" si="8"/>
        <v>2179270.0999999931</v>
      </c>
      <c r="AA17" s="160">
        <f t="shared" si="8"/>
        <v>2030296.349999988</v>
      </c>
      <c r="AB17" s="160">
        <f t="shared" si="8"/>
        <v>2009998.6999999881</v>
      </c>
      <c r="AC17" s="160">
        <f t="shared" si="8"/>
        <v>1753356.8099999889</v>
      </c>
      <c r="AD17" s="160">
        <f t="shared" si="8"/>
        <v>1631440.8199999928</v>
      </c>
      <c r="AE17" s="160">
        <f t="shared" si="8"/>
        <v>1592261.4199999976</v>
      </c>
      <c r="AF17" s="160">
        <f t="shared" si="8"/>
        <v>1516487.6099999929</v>
      </c>
      <c r="AG17" s="160">
        <f>SUM(AG6:AG16)</f>
        <v>1559571.6999999913</v>
      </c>
      <c r="AH17" s="160">
        <f t="shared" si="8"/>
        <v>1586457.0799999856</v>
      </c>
      <c r="AI17" s="160">
        <f>SUM(AI6:AI16)</f>
        <v>1799231.6999999951</v>
      </c>
      <c r="AJ17" s="160">
        <f t="shared" si="8"/>
        <v>2131608.5899999985</v>
      </c>
      <c r="AK17" s="160">
        <f t="shared" si="8"/>
        <v>22321073.299999911</v>
      </c>
      <c r="AL17" s="160"/>
      <c r="AM17" s="160"/>
      <c r="AN17" s="160"/>
      <c r="AO17" s="160"/>
    </row>
    <row r="18" spans="2:41">
      <c r="B18" s="121"/>
      <c r="C18" s="121"/>
      <c r="D18" s="121" t="s">
        <v>1143</v>
      </c>
      <c r="E18" s="257"/>
      <c r="F18" s="362" t="s">
        <v>167</v>
      </c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60"/>
      <c r="T18" s="117"/>
      <c r="U18" s="117"/>
      <c r="V18" s="117"/>
      <c r="W18" s="117"/>
      <c r="X18" s="161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60"/>
      <c r="AL18" s="160"/>
      <c r="AM18" s="160"/>
      <c r="AN18" s="160"/>
      <c r="AO18" s="160"/>
    </row>
    <row r="19" spans="2:41">
      <c r="B19" s="121" t="s">
        <v>1144</v>
      </c>
      <c r="C19" s="121" t="s">
        <v>1145</v>
      </c>
      <c r="D19" s="121" t="s">
        <v>17</v>
      </c>
      <c r="E19" s="121" t="s">
        <v>160</v>
      </c>
      <c r="F19" s="157" t="s">
        <v>114</v>
      </c>
      <c r="G19" s="158">
        <v>561</v>
      </c>
      <c r="H19" s="158">
        <v>593.29999999999995</v>
      </c>
      <c r="I19" s="158">
        <v>589.9</v>
      </c>
      <c r="J19" s="158">
        <v>555.9</v>
      </c>
      <c r="K19" s="159">
        <v>527</v>
      </c>
      <c r="L19" s="158">
        <v>527</v>
      </c>
      <c r="M19" s="158">
        <v>517.92999999999995</v>
      </c>
      <c r="N19" s="158">
        <v>484.5</v>
      </c>
      <c r="O19" s="158">
        <v>486.77</v>
      </c>
      <c r="P19" s="158">
        <v>503.77</v>
      </c>
      <c r="Q19" s="158">
        <v>526.44000000000005</v>
      </c>
      <c r="R19" s="158">
        <v>535.5</v>
      </c>
      <c r="S19" s="160">
        <f ca="1">SUM(G19:OFFSET(G19,0,$F$2-1))</f>
        <v>6409.01</v>
      </c>
      <c r="T19" s="158">
        <f t="shared" ref="T19:T25" si="9">SUM(G19:I19)</f>
        <v>1744.1999999999998</v>
      </c>
      <c r="U19" s="158">
        <f t="shared" ref="U19:U25" si="10">SUM(J19:L19)</f>
        <v>1609.9</v>
      </c>
      <c r="V19" s="158">
        <f t="shared" ref="V19:V25" si="11">SUM(M19:O19)</f>
        <v>1489.1999999999998</v>
      </c>
      <c r="W19" s="158">
        <f t="shared" ref="W19:W25" si="12">SUM(P19:R19)</f>
        <v>1565.71</v>
      </c>
      <c r="X19" s="161"/>
      <c r="Y19" s="162">
        <v>527</v>
      </c>
      <c r="Z19" s="162">
        <v>527</v>
      </c>
      <c r="AA19" s="162">
        <v>527</v>
      </c>
      <c r="AB19" s="162">
        <v>538.33000000000004</v>
      </c>
      <c r="AC19" s="162">
        <v>530.4</v>
      </c>
      <c r="AD19" s="162">
        <v>511.7</v>
      </c>
      <c r="AE19" s="162">
        <v>485.07</v>
      </c>
      <c r="AF19" s="162">
        <v>475.44</v>
      </c>
      <c r="AG19" s="162">
        <v>476</v>
      </c>
      <c r="AH19" s="162">
        <v>476</v>
      </c>
      <c r="AI19" s="162">
        <v>507.73</v>
      </c>
      <c r="AJ19" s="162">
        <v>545.13</v>
      </c>
      <c r="AK19" s="160">
        <f t="shared" ref="AK19:AK25" si="13">SUM(Y19:AJ19)</f>
        <v>6126.8</v>
      </c>
      <c r="AL19" s="121" t="s">
        <v>17</v>
      </c>
      <c r="AM19" s="121" t="s">
        <v>17</v>
      </c>
      <c r="AN19" s="121" t="str">
        <f>CONCATENATE(AL19," - ",F19," - ",AO19)</f>
        <v>CFG - FTS-A - Fixed R</v>
      </c>
      <c r="AO19" s="121" t="s">
        <v>168</v>
      </c>
    </row>
    <row r="20" spans="2:41">
      <c r="B20" s="121" t="s">
        <v>1146</v>
      </c>
      <c r="C20" s="121" t="s">
        <v>1145</v>
      </c>
      <c r="D20" s="121" t="s">
        <v>17</v>
      </c>
      <c r="E20" s="121" t="s">
        <v>160</v>
      </c>
      <c r="F20" s="157" t="s">
        <v>115</v>
      </c>
      <c r="G20" s="158">
        <v>1417.57</v>
      </c>
      <c r="H20" s="158">
        <v>1386.9</v>
      </c>
      <c r="I20" s="158">
        <v>1396.87</v>
      </c>
      <c r="J20" s="158">
        <v>1387.67</v>
      </c>
      <c r="K20" s="159">
        <v>1380</v>
      </c>
      <c r="L20" s="158">
        <v>1380</v>
      </c>
      <c r="M20" s="158">
        <v>1380</v>
      </c>
      <c r="N20" s="158">
        <v>1409.13</v>
      </c>
      <c r="O20" s="158">
        <v>1403</v>
      </c>
      <c r="P20" s="158">
        <v>1411.44</v>
      </c>
      <c r="Q20" s="158">
        <v>1415.27</v>
      </c>
      <c r="R20" s="158">
        <v>1434.43</v>
      </c>
      <c r="S20" s="160">
        <f ca="1">SUM(G20:OFFSET(G20,0,$F$2-1))</f>
        <v>16802.28</v>
      </c>
      <c r="T20" s="158">
        <f t="shared" si="9"/>
        <v>4201.34</v>
      </c>
      <c r="U20" s="158">
        <f t="shared" si="10"/>
        <v>4147.67</v>
      </c>
      <c r="V20" s="158">
        <f t="shared" si="11"/>
        <v>4192.13</v>
      </c>
      <c r="W20" s="158">
        <f t="shared" si="12"/>
        <v>4261.1400000000003</v>
      </c>
      <c r="X20" s="161"/>
      <c r="Y20" s="162">
        <v>1426</v>
      </c>
      <c r="Z20" s="162">
        <v>1426</v>
      </c>
      <c r="AA20" s="162">
        <v>1426</v>
      </c>
      <c r="AB20" s="162">
        <v>1426</v>
      </c>
      <c r="AC20" s="162">
        <v>1419.1</v>
      </c>
      <c r="AD20" s="162">
        <v>1403</v>
      </c>
      <c r="AE20" s="162">
        <v>1403</v>
      </c>
      <c r="AF20" s="162">
        <v>1437.5</v>
      </c>
      <c r="AG20" s="162">
        <v>1414.5</v>
      </c>
      <c r="AH20" s="162">
        <v>1412.2</v>
      </c>
      <c r="AI20" s="162">
        <v>1396.87</v>
      </c>
      <c r="AJ20" s="162">
        <v>1411.43</v>
      </c>
      <c r="AK20" s="160">
        <f t="shared" si="13"/>
        <v>17001.600000000002</v>
      </c>
      <c r="AL20" s="121" t="s">
        <v>17</v>
      </c>
      <c r="AM20" s="121" t="s">
        <v>17</v>
      </c>
      <c r="AN20" s="121" t="str">
        <f t="shared" ref="AN20:AN25" si="14">CONCATENATE(AL20," - ",F20," - ",AO20)</f>
        <v>CFG - FTS-B - Fixed R</v>
      </c>
      <c r="AO20" s="121" t="s">
        <v>168</v>
      </c>
    </row>
    <row r="21" spans="2:41">
      <c r="B21" s="121" t="s">
        <v>1147</v>
      </c>
      <c r="C21" s="121" t="s">
        <v>1145</v>
      </c>
      <c r="D21" s="121" t="s">
        <v>17</v>
      </c>
      <c r="E21" s="121" t="s">
        <v>160</v>
      </c>
      <c r="F21" s="157" t="s">
        <v>116</v>
      </c>
      <c r="G21" s="158">
        <v>4846.87</v>
      </c>
      <c r="H21" s="158">
        <v>4826.57</v>
      </c>
      <c r="I21" s="158">
        <v>4772.43</v>
      </c>
      <c r="J21" s="158">
        <v>4776.3</v>
      </c>
      <c r="K21" s="159">
        <v>4757.93</v>
      </c>
      <c r="L21" s="158">
        <v>4754.03</v>
      </c>
      <c r="M21" s="158">
        <v>4756</v>
      </c>
      <c r="N21" s="158">
        <v>4752.1400000000003</v>
      </c>
      <c r="O21" s="158">
        <v>4764.7</v>
      </c>
      <c r="P21" s="158">
        <v>4729.8999999999996</v>
      </c>
      <c r="Q21" s="158">
        <v>4710.57</v>
      </c>
      <c r="R21" s="158">
        <v>4775.34</v>
      </c>
      <c r="S21" s="160">
        <f ca="1">SUM(G21:OFFSET(G21,0,$F$2-1))</f>
        <v>57222.78</v>
      </c>
      <c r="T21" s="158">
        <f t="shared" si="9"/>
        <v>14445.869999999999</v>
      </c>
      <c r="U21" s="158">
        <f t="shared" si="10"/>
        <v>14288.259999999998</v>
      </c>
      <c r="V21" s="158">
        <f t="shared" si="11"/>
        <v>14272.84</v>
      </c>
      <c r="W21" s="158">
        <f t="shared" si="12"/>
        <v>14215.81</v>
      </c>
      <c r="X21" s="161"/>
      <c r="Y21" s="162">
        <v>4737.63</v>
      </c>
      <c r="Z21" s="162">
        <v>4750.2</v>
      </c>
      <c r="AA21" s="162">
        <v>4756</v>
      </c>
      <c r="AB21" s="162">
        <v>4710.57</v>
      </c>
      <c r="AC21" s="162">
        <v>4653.53</v>
      </c>
      <c r="AD21" s="162">
        <v>4722.17</v>
      </c>
      <c r="AE21" s="162">
        <v>4683.5</v>
      </c>
      <c r="AF21" s="162">
        <v>4719.2700000000004</v>
      </c>
      <c r="AG21" s="162">
        <v>4705.7299999999996</v>
      </c>
      <c r="AH21" s="162">
        <v>4609.08</v>
      </c>
      <c r="AI21" s="162">
        <v>4611</v>
      </c>
      <c r="AJ21" s="162">
        <v>4621.6400000000003</v>
      </c>
      <c r="AK21" s="160">
        <f t="shared" si="13"/>
        <v>56280.319999999992</v>
      </c>
      <c r="AL21" s="121" t="s">
        <v>17</v>
      </c>
      <c r="AM21" s="121" t="s">
        <v>17</v>
      </c>
      <c r="AN21" s="121" t="str">
        <f t="shared" si="14"/>
        <v>CFG - FTS-1 - Fixed R</v>
      </c>
      <c r="AO21" s="121" t="s">
        <v>168</v>
      </c>
    </row>
    <row r="22" spans="2:41">
      <c r="B22" s="121" t="s">
        <v>1148</v>
      </c>
      <c r="C22" s="121" t="s">
        <v>1145</v>
      </c>
      <c r="D22" s="121" t="s">
        <v>17</v>
      </c>
      <c r="E22" s="121" t="s">
        <v>160</v>
      </c>
      <c r="F22" s="157" t="s">
        <v>117</v>
      </c>
      <c r="G22" s="158">
        <v>912</v>
      </c>
      <c r="H22" s="158">
        <v>912</v>
      </c>
      <c r="I22" s="158">
        <v>932.8</v>
      </c>
      <c r="J22" s="158">
        <v>960</v>
      </c>
      <c r="K22" s="159">
        <v>960</v>
      </c>
      <c r="L22" s="158">
        <v>960</v>
      </c>
      <c r="M22" s="158">
        <v>960</v>
      </c>
      <c r="N22" s="158">
        <v>960</v>
      </c>
      <c r="O22" s="158">
        <v>960</v>
      </c>
      <c r="P22" s="158">
        <v>958.4</v>
      </c>
      <c r="Q22" s="158">
        <v>960</v>
      </c>
      <c r="R22" s="158">
        <v>960</v>
      </c>
      <c r="S22" s="400">
        <f ca="1">SUM(G22:OFFSET(G22,0,$F$2-1))</f>
        <v>11395.199999999999</v>
      </c>
      <c r="T22" s="158">
        <f t="shared" si="9"/>
        <v>2756.8</v>
      </c>
      <c r="U22" s="158">
        <f t="shared" si="10"/>
        <v>2880</v>
      </c>
      <c r="V22" s="158">
        <f t="shared" si="11"/>
        <v>2880</v>
      </c>
      <c r="W22" s="158">
        <f t="shared" si="12"/>
        <v>2878.4</v>
      </c>
      <c r="X22" s="161"/>
      <c r="Y22" s="162">
        <v>960</v>
      </c>
      <c r="Z22" s="162">
        <v>960</v>
      </c>
      <c r="AA22" s="162">
        <v>960</v>
      </c>
      <c r="AB22" s="162">
        <v>960</v>
      </c>
      <c r="AC22" s="162">
        <v>950.4</v>
      </c>
      <c r="AD22" s="162">
        <v>912</v>
      </c>
      <c r="AE22" s="162">
        <v>913.6</v>
      </c>
      <c r="AF22" s="162">
        <v>924.8</v>
      </c>
      <c r="AG22" s="162">
        <v>891.2</v>
      </c>
      <c r="AH22" s="162">
        <v>878.4</v>
      </c>
      <c r="AI22" s="162">
        <v>920</v>
      </c>
      <c r="AJ22" s="162">
        <v>974.4</v>
      </c>
      <c r="AK22" s="160">
        <f t="shared" si="13"/>
        <v>11204.8</v>
      </c>
      <c r="AL22" s="121" t="s">
        <v>17</v>
      </c>
      <c r="AM22" s="121" t="s">
        <v>17</v>
      </c>
      <c r="AN22" s="121" t="str">
        <f t="shared" si="14"/>
        <v>CFG - FTS-2 - Fixed R</v>
      </c>
      <c r="AO22" s="121" t="s">
        <v>168</v>
      </c>
    </row>
    <row r="23" spans="2:41">
      <c r="B23" s="121" t="s">
        <v>1149</v>
      </c>
      <c r="C23" s="121" t="s">
        <v>1145</v>
      </c>
      <c r="D23" s="121" t="s">
        <v>17</v>
      </c>
      <c r="E23" s="121" t="s">
        <v>160</v>
      </c>
      <c r="F23" s="157" t="s">
        <v>118</v>
      </c>
      <c r="G23" s="158">
        <v>696</v>
      </c>
      <c r="H23" s="158">
        <v>696</v>
      </c>
      <c r="I23" s="158">
        <v>696</v>
      </c>
      <c r="J23" s="158">
        <v>696</v>
      </c>
      <c r="K23" s="159">
        <v>696</v>
      </c>
      <c r="L23" s="158">
        <v>696</v>
      </c>
      <c r="M23" s="158">
        <v>696</v>
      </c>
      <c r="N23" s="158">
        <v>696</v>
      </c>
      <c r="O23" s="158">
        <v>696</v>
      </c>
      <c r="P23" s="158">
        <v>696</v>
      </c>
      <c r="Q23" s="158">
        <v>696</v>
      </c>
      <c r="R23" s="158">
        <v>696</v>
      </c>
      <c r="S23" s="400">
        <f ca="1">SUM(G23:OFFSET(G23,0,$F$2-1))</f>
        <v>8352</v>
      </c>
      <c r="T23" s="158">
        <f t="shared" si="9"/>
        <v>2088</v>
      </c>
      <c r="U23" s="158">
        <f t="shared" si="10"/>
        <v>2088</v>
      </c>
      <c r="V23" s="158">
        <f t="shared" si="11"/>
        <v>2088</v>
      </c>
      <c r="W23" s="158">
        <f t="shared" si="12"/>
        <v>2088</v>
      </c>
      <c r="X23" s="161"/>
      <c r="Y23" s="162">
        <v>548.1</v>
      </c>
      <c r="Z23" s="162">
        <v>669.9</v>
      </c>
      <c r="AA23" s="162">
        <v>548.1</v>
      </c>
      <c r="AB23" s="162">
        <v>609</v>
      </c>
      <c r="AC23" s="162">
        <v>609</v>
      </c>
      <c r="AD23" s="162">
        <v>609</v>
      </c>
      <c r="AE23" s="162">
        <v>609</v>
      </c>
      <c r="AF23" s="162">
        <v>609</v>
      </c>
      <c r="AG23" s="162">
        <v>609</v>
      </c>
      <c r="AH23" s="162">
        <v>609</v>
      </c>
      <c r="AI23" s="162">
        <v>609</v>
      </c>
      <c r="AJ23" s="162">
        <v>609</v>
      </c>
      <c r="AK23" s="160">
        <f t="shared" si="13"/>
        <v>7247.1</v>
      </c>
      <c r="AL23" s="121" t="s">
        <v>17</v>
      </c>
      <c r="AM23" s="121" t="s">
        <v>17</v>
      </c>
      <c r="AN23" s="121" t="str">
        <f t="shared" si="14"/>
        <v>CFG - FTS-2.1 - Fixed R</v>
      </c>
      <c r="AO23" s="121" t="s">
        <v>168</v>
      </c>
    </row>
    <row r="24" spans="2:41">
      <c r="B24" s="121" t="s">
        <v>1150</v>
      </c>
      <c r="C24" s="121" t="s">
        <v>1145</v>
      </c>
      <c r="D24" s="121" t="s">
        <v>17</v>
      </c>
      <c r="E24" s="121" t="s">
        <v>160</v>
      </c>
      <c r="F24" s="364" t="s">
        <v>119</v>
      </c>
      <c r="G24" s="158">
        <v>0</v>
      </c>
      <c r="H24" s="158">
        <v>0</v>
      </c>
      <c r="I24" s="158">
        <v>0</v>
      </c>
      <c r="J24" s="158">
        <v>0</v>
      </c>
      <c r="K24" s="158">
        <v>0</v>
      </c>
      <c r="L24" s="158">
        <v>0</v>
      </c>
      <c r="M24" s="158">
        <v>0</v>
      </c>
      <c r="N24" s="158">
        <v>0</v>
      </c>
      <c r="O24" s="158">
        <v>0</v>
      </c>
      <c r="P24" s="158">
        <v>0</v>
      </c>
      <c r="Q24" s="158">
        <v>0</v>
      </c>
      <c r="R24" s="158">
        <v>0</v>
      </c>
      <c r="S24" s="400">
        <f ca="1">SUM(G24:OFFSET(G24,0,$F$2-1))</f>
        <v>0</v>
      </c>
      <c r="T24" s="158">
        <f t="shared" si="9"/>
        <v>0</v>
      </c>
      <c r="U24" s="158">
        <f t="shared" si="10"/>
        <v>0</v>
      </c>
      <c r="V24" s="158">
        <f t="shared" si="11"/>
        <v>0</v>
      </c>
      <c r="W24" s="158">
        <f t="shared" si="12"/>
        <v>0</v>
      </c>
      <c r="X24" s="161"/>
      <c r="Y24" s="162">
        <v>0</v>
      </c>
      <c r="Z24" s="162">
        <v>0</v>
      </c>
      <c r="AA24" s="162">
        <v>0</v>
      </c>
      <c r="AB24" s="162">
        <v>0</v>
      </c>
      <c r="AC24" s="162">
        <v>0</v>
      </c>
      <c r="AD24" s="162">
        <v>0</v>
      </c>
      <c r="AE24" s="162">
        <v>0</v>
      </c>
      <c r="AF24" s="162">
        <v>0</v>
      </c>
      <c r="AG24" s="162">
        <v>0</v>
      </c>
      <c r="AH24" s="162">
        <v>0</v>
      </c>
      <c r="AI24" s="162">
        <v>0</v>
      </c>
      <c r="AJ24" s="162">
        <v>0</v>
      </c>
      <c r="AK24" s="160">
        <f t="shared" si="13"/>
        <v>0</v>
      </c>
      <c r="AL24" s="121" t="s">
        <v>17</v>
      </c>
      <c r="AM24" s="121" t="s">
        <v>17</v>
      </c>
      <c r="AN24" s="121" t="str">
        <f t="shared" si="14"/>
        <v>CFG - FTS-3 - Fixed R</v>
      </c>
      <c r="AO24" s="121" t="s">
        <v>168</v>
      </c>
    </row>
    <row r="25" spans="2:41">
      <c r="B25" s="121" t="s">
        <v>1151</v>
      </c>
      <c r="C25" s="121" t="s">
        <v>1145</v>
      </c>
      <c r="D25" s="121" t="s">
        <v>17</v>
      </c>
      <c r="E25" s="121" t="s">
        <v>160</v>
      </c>
      <c r="F25" s="364" t="s">
        <v>120</v>
      </c>
      <c r="G25" s="403">
        <v>0</v>
      </c>
      <c r="H25" s="403">
        <v>0</v>
      </c>
      <c r="I25" s="403">
        <v>0</v>
      </c>
      <c r="J25" s="403">
        <v>0</v>
      </c>
      <c r="K25" s="403">
        <v>0</v>
      </c>
      <c r="L25" s="403">
        <v>0</v>
      </c>
      <c r="M25" s="403">
        <v>0</v>
      </c>
      <c r="N25" s="403">
        <v>0</v>
      </c>
      <c r="O25" s="403">
        <v>0</v>
      </c>
      <c r="P25" s="403">
        <v>0</v>
      </c>
      <c r="Q25" s="403">
        <v>0</v>
      </c>
      <c r="R25" s="403">
        <v>0</v>
      </c>
      <c r="S25" s="405">
        <f ca="1">SUM(G25:OFFSET(G25,0,$F$2-1))</f>
        <v>0</v>
      </c>
      <c r="T25" s="403">
        <f t="shared" si="9"/>
        <v>0</v>
      </c>
      <c r="U25" s="403">
        <f t="shared" si="10"/>
        <v>0</v>
      </c>
      <c r="V25" s="403">
        <f t="shared" si="11"/>
        <v>0</v>
      </c>
      <c r="W25" s="403">
        <f t="shared" si="12"/>
        <v>0</v>
      </c>
      <c r="X25" s="161"/>
      <c r="Y25" s="406">
        <v>0</v>
      </c>
      <c r="Z25" s="406">
        <v>0</v>
      </c>
      <c r="AA25" s="406">
        <v>0</v>
      </c>
      <c r="AB25" s="406">
        <v>0</v>
      </c>
      <c r="AC25" s="406">
        <v>0</v>
      </c>
      <c r="AD25" s="406">
        <v>0</v>
      </c>
      <c r="AE25" s="406">
        <v>0</v>
      </c>
      <c r="AF25" s="406">
        <v>0</v>
      </c>
      <c r="AG25" s="406">
        <v>0</v>
      </c>
      <c r="AH25" s="406">
        <v>0</v>
      </c>
      <c r="AI25" s="406">
        <v>0</v>
      </c>
      <c r="AJ25" s="406">
        <v>0</v>
      </c>
      <c r="AK25" s="160">
        <f t="shared" si="13"/>
        <v>0</v>
      </c>
      <c r="AL25" s="121" t="s">
        <v>17</v>
      </c>
      <c r="AM25" s="121" t="s">
        <v>17</v>
      </c>
      <c r="AN25" s="121" t="str">
        <f t="shared" si="14"/>
        <v>CFG - FTS-3.1 - Fixed R</v>
      </c>
      <c r="AO25" s="121" t="s">
        <v>168</v>
      </c>
    </row>
    <row r="26" spans="2:41">
      <c r="B26" s="320"/>
      <c r="C26" s="320"/>
      <c r="D26" s="320" t="s">
        <v>1143</v>
      </c>
      <c r="F26" s="407" t="s">
        <v>169</v>
      </c>
      <c r="G26" s="160">
        <f t="shared" ref="G26:P26" si="15">SUM(G19:G25)</f>
        <v>8433.4399999999987</v>
      </c>
      <c r="H26" s="160">
        <f t="shared" si="15"/>
        <v>8414.77</v>
      </c>
      <c r="I26" s="160">
        <f t="shared" si="15"/>
        <v>8388</v>
      </c>
      <c r="J26" s="160">
        <f t="shared" si="15"/>
        <v>8375.8700000000008</v>
      </c>
      <c r="K26" s="160">
        <f t="shared" si="15"/>
        <v>8320.93</v>
      </c>
      <c r="L26" s="160">
        <f t="shared" si="15"/>
        <v>8317.0299999999988</v>
      </c>
      <c r="M26" s="160">
        <f t="shared" si="15"/>
        <v>8309.93</v>
      </c>
      <c r="N26" s="160">
        <f t="shared" si="15"/>
        <v>8301.77</v>
      </c>
      <c r="O26" s="160">
        <f t="shared" si="15"/>
        <v>8310.4699999999993</v>
      </c>
      <c r="P26" s="160">
        <f t="shared" si="15"/>
        <v>8299.5099999999984</v>
      </c>
      <c r="Q26" s="160">
        <f>SUM(Q19:Q25)</f>
        <v>8308.2799999999988</v>
      </c>
      <c r="R26" s="160">
        <f t="shared" ref="R26:W26" si="16">SUM(R19:R25)</f>
        <v>8401.27</v>
      </c>
      <c r="S26" s="160">
        <f t="shared" ca="1" si="16"/>
        <v>100181.27</v>
      </c>
      <c r="T26" s="160">
        <f t="shared" si="16"/>
        <v>25236.21</v>
      </c>
      <c r="U26" s="160">
        <f t="shared" si="16"/>
        <v>25013.829999999998</v>
      </c>
      <c r="V26" s="160">
        <f t="shared" si="16"/>
        <v>24922.17</v>
      </c>
      <c r="W26" s="160">
        <f t="shared" si="16"/>
        <v>25009.06</v>
      </c>
      <c r="X26" s="408"/>
      <c r="Y26" s="160">
        <f t="shared" ref="Y26:AK26" si="17">SUM(Y19:Y25)</f>
        <v>8198.73</v>
      </c>
      <c r="Z26" s="160">
        <f t="shared" si="17"/>
        <v>8333.1</v>
      </c>
      <c r="AA26" s="160">
        <f t="shared" si="17"/>
        <v>8217.1</v>
      </c>
      <c r="AB26" s="160">
        <f t="shared" si="17"/>
        <v>8243.9</v>
      </c>
      <c r="AC26" s="160">
        <f t="shared" si="17"/>
        <v>8162.4299999999994</v>
      </c>
      <c r="AD26" s="160">
        <f t="shared" si="17"/>
        <v>8157.87</v>
      </c>
      <c r="AE26" s="160">
        <f t="shared" si="17"/>
        <v>8094.17</v>
      </c>
      <c r="AF26" s="160">
        <f t="shared" si="17"/>
        <v>8166.0100000000011</v>
      </c>
      <c r="AG26" s="160">
        <f>SUM(AG19:AG25)</f>
        <v>8096.4299999999994</v>
      </c>
      <c r="AH26" s="160">
        <f t="shared" si="17"/>
        <v>7984.6799999999994</v>
      </c>
      <c r="AI26" s="160">
        <f>SUM(AI19:AI25)</f>
        <v>8044.6</v>
      </c>
      <c r="AJ26" s="160">
        <f t="shared" si="17"/>
        <v>8161.6</v>
      </c>
      <c r="AK26" s="160">
        <f t="shared" si="17"/>
        <v>97860.62000000001</v>
      </c>
      <c r="AL26" s="121"/>
      <c r="AM26" s="121"/>
      <c r="AN26" s="160"/>
      <c r="AO26" s="160"/>
    </row>
    <row r="27" spans="2:41">
      <c r="B27" s="121"/>
      <c r="C27" s="121"/>
      <c r="D27" s="121" t="s">
        <v>1143</v>
      </c>
      <c r="F27" s="320" t="s">
        <v>170</v>
      </c>
      <c r="S27" s="409"/>
      <c r="T27" s="121"/>
      <c r="U27" s="121"/>
      <c r="V27" s="121"/>
      <c r="W27" s="121"/>
      <c r="X27" s="395"/>
      <c r="AK27" s="409"/>
      <c r="AL27" s="121"/>
      <c r="AM27" s="121"/>
      <c r="AN27" s="320"/>
      <c r="AO27" s="320"/>
    </row>
    <row r="28" spans="2:41">
      <c r="B28" s="121" t="s">
        <v>1152</v>
      </c>
      <c r="C28" s="121" t="s">
        <v>1153</v>
      </c>
      <c r="D28" s="121" t="s">
        <v>17</v>
      </c>
      <c r="E28" s="121" t="s">
        <v>171</v>
      </c>
      <c r="F28" s="157" t="s">
        <v>114</v>
      </c>
      <c r="G28" s="158">
        <v>145.44</v>
      </c>
      <c r="H28" s="158">
        <v>147.91</v>
      </c>
      <c r="I28" s="158">
        <v>145.94</v>
      </c>
      <c r="J28" s="158">
        <v>141.22999999999999</v>
      </c>
      <c r="K28" s="159">
        <v>139.69999999999999</v>
      </c>
      <c r="L28" s="158">
        <v>138.72999999999999</v>
      </c>
      <c r="M28" s="158">
        <v>140.75</v>
      </c>
      <c r="N28" s="158">
        <v>137.88</v>
      </c>
      <c r="O28" s="158">
        <v>140.19</v>
      </c>
      <c r="P28" s="158">
        <v>140.16</v>
      </c>
      <c r="Q28" s="158">
        <v>139.78</v>
      </c>
      <c r="R28" s="158">
        <v>151.78</v>
      </c>
      <c r="S28" s="160">
        <f ca="1">SUM(G28:OFFSET(G28,0,$F$2-1))</f>
        <v>1709.49</v>
      </c>
      <c r="T28" s="158">
        <f t="shared" ref="T28:T66" si="18">SUM(G28:I28)</f>
        <v>439.29</v>
      </c>
      <c r="U28" s="158">
        <f t="shared" ref="U28:U66" si="19">SUM(J28:L28)</f>
        <v>419.65999999999997</v>
      </c>
      <c r="V28" s="158">
        <f t="shared" ref="V28:V66" si="20">SUM(M28:O28)</f>
        <v>418.82</v>
      </c>
      <c r="W28" s="158">
        <f t="shared" ref="W28:W66" si="21">SUM(P28:R28)</f>
        <v>431.72</v>
      </c>
      <c r="X28" s="161"/>
      <c r="Y28" s="162">
        <v>202.5</v>
      </c>
      <c r="Z28" s="162">
        <v>165.89</v>
      </c>
      <c r="AA28" s="162">
        <v>154.24</v>
      </c>
      <c r="AB28" s="162">
        <v>156.09</v>
      </c>
      <c r="AC28" s="162">
        <v>153.22</v>
      </c>
      <c r="AD28" s="162">
        <v>152.69999999999999</v>
      </c>
      <c r="AE28" s="162">
        <v>153.63</v>
      </c>
      <c r="AF28" s="162">
        <v>152.18</v>
      </c>
      <c r="AG28" s="162">
        <v>155.6</v>
      </c>
      <c r="AH28" s="162">
        <v>152.18</v>
      </c>
      <c r="AI28" s="162">
        <v>154.59</v>
      </c>
      <c r="AJ28" s="162">
        <v>157.99</v>
      </c>
      <c r="AK28" s="160">
        <f t="shared" ref="AK28:AK66" si="22">SUM(Y28:AJ28)</f>
        <v>1910.81</v>
      </c>
      <c r="AL28" s="121" t="s">
        <v>17</v>
      </c>
      <c r="AM28" s="121" t="s">
        <v>17</v>
      </c>
      <c r="AN28" s="121" t="str">
        <f t="shared" ref="AN28:AN34" si="23">CONCATENATE(AL28," - ",F28," NR")</f>
        <v>CFG - FTS-A NR</v>
      </c>
    </row>
    <row r="29" spans="2:41">
      <c r="B29" s="121" t="s">
        <v>1154</v>
      </c>
      <c r="C29" s="121" t="s">
        <v>1153</v>
      </c>
      <c r="D29" s="121" t="s">
        <v>17</v>
      </c>
      <c r="E29" s="121" t="s">
        <v>171</v>
      </c>
      <c r="F29" s="157" t="s">
        <v>115</v>
      </c>
      <c r="G29" s="158">
        <v>156.97</v>
      </c>
      <c r="H29" s="158">
        <v>146.22</v>
      </c>
      <c r="I29" s="158">
        <v>140.85</v>
      </c>
      <c r="J29" s="158">
        <v>123.4</v>
      </c>
      <c r="K29" s="159">
        <v>120.2</v>
      </c>
      <c r="L29" s="158">
        <v>119.13</v>
      </c>
      <c r="M29" s="158">
        <v>122.23</v>
      </c>
      <c r="N29" s="158">
        <v>119.22</v>
      </c>
      <c r="O29" s="158">
        <v>120.25</v>
      </c>
      <c r="P29" s="158">
        <v>122.3</v>
      </c>
      <c r="Q29" s="158">
        <v>124.94</v>
      </c>
      <c r="R29" s="158">
        <v>168.79</v>
      </c>
      <c r="S29" s="160">
        <f ca="1">SUM(G29:OFFSET(G29,0,$F$2-1))</f>
        <v>1584.5</v>
      </c>
      <c r="T29" s="158">
        <f t="shared" si="18"/>
        <v>444.03999999999996</v>
      </c>
      <c r="U29" s="158">
        <f t="shared" si="19"/>
        <v>362.73</v>
      </c>
      <c r="V29" s="158">
        <f t="shared" si="20"/>
        <v>361.7</v>
      </c>
      <c r="W29" s="158">
        <f t="shared" si="21"/>
        <v>416.03</v>
      </c>
      <c r="X29" s="161"/>
      <c r="Y29" s="162">
        <v>169.83</v>
      </c>
      <c r="Z29" s="162">
        <v>159.41999999999999</v>
      </c>
      <c r="AA29" s="162">
        <v>135.69999999999999</v>
      </c>
      <c r="AB29" s="162">
        <v>138.91</v>
      </c>
      <c r="AC29" s="162">
        <v>123.24</v>
      </c>
      <c r="AD29" s="162">
        <v>115.62</v>
      </c>
      <c r="AE29" s="162">
        <v>117.13</v>
      </c>
      <c r="AF29" s="162">
        <v>116.76</v>
      </c>
      <c r="AG29" s="162">
        <v>118.66</v>
      </c>
      <c r="AH29" s="162">
        <v>116.09</v>
      </c>
      <c r="AI29" s="162">
        <v>116.55</v>
      </c>
      <c r="AJ29" s="162">
        <v>121.91</v>
      </c>
      <c r="AK29" s="160">
        <f t="shared" si="22"/>
        <v>1549.8200000000002</v>
      </c>
      <c r="AL29" s="121" t="s">
        <v>17</v>
      </c>
      <c r="AM29" s="121" t="s">
        <v>17</v>
      </c>
      <c r="AN29" s="121" t="str">
        <f t="shared" si="23"/>
        <v>CFG - FTS-B NR</v>
      </c>
    </row>
    <row r="30" spans="2:41">
      <c r="B30" s="121" t="s">
        <v>1155</v>
      </c>
      <c r="C30" s="121" t="s">
        <v>1153</v>
      </c>
      <c r="D30" s="121" t="s">
        <v>17</v>
      </c>
      <c r="E30" s="121" t="s">
        <v>171</v>
      </c>
      <c r="F30" s="157" t="s">
        <v>116</v>
      </c>
      <c r="G30" s="158">
        <v>7222.3</v>
      </c>
      <c r="H30" s="158">
        <v>6495.94</v>
      </c>
      <c r="I30" s="158">
        <v>6968.55</v>
      </c>
      <c r="J30" s="158">
        <v>5861.8</v>
      </c>
      <c r="K30" s="159">
        <v>6504.29</v>
      </c>
      <c r="L30" s="158">
        <v>5574.25</v>
      </c>
      <c r="M30" s="158">
        <v>6031.8099999999904</v>
      </c>
      <c r="N30" s="158">
        <v>5674.6</v>
      </c>
      <c r="O30" s="158">
        <v>5761.15</v>
      </c>
      <c r="P30" s="158">
        <v>5706.98</v>
      </c>
      <c r="Q30" s="158">
        <v>5873.26</v>
      </c>
      <c r="R30" s="158">
        <v>7353.5699999999897</v>
      </c>
      <c r="S30" s="160">
        <f ca="1">SUM(G30:OFFSET(G30,0,$F$2-1))</f>
        <v>75028.499999999971</v>
      </c>
      <c r="T30" s="158">
        <f t="shared" si="18"/>
        <v>20686.79</v>
      </c>
      <c r="U30" s="158">
        <f t="shared" si="19"/>
        <v>17940.34</v>
      </c>
      <c r="V30" s="158">
        <f t="shared" si="20"/>
        <v>17467.55999999999</v>
      </c>
      <c r="W30" s="158">
        <f t="shared" si="21"/>
        <v>18933.80999999999</v>
      </c>
      <c r="X30" s="161"/>
      <c r="Y30" s="162">
        <v>7710.61</v>
      </c>
      <c r="Z30" s="162">
        <v>7366.77</v>
      </c>
      <c r="AA30" s="162">
        <v>6813.17</v>
      </c>
      <c r="AB30" s="162">
        <v>6826.52</v>
      </c>
      <c r="AC30" s="162">
        <v>6117.55</v>
      </c>
      <c r="AD30" s="162">
        <v>6077.44</v>
      </c>
      <c r="AE30" s="162">
        <v>6041.35</v>
      </c>
      <c r="AF30" s="162">
        <v>5929.48</v>
      </c>
      <c r="AG30" s="162">
        <v>5866.42</v>
      </c>
      <c r="AH30" s="162">
        <v>6411.9</v>
      </c>
      <c r="AI30" s="162">
        <v>6119.98</v>
      </c>
      <c r="AJ30" s="162">
        <v>7175.39</v>
      </c>
      <c r="AK30" s="160">
        <f t="shared" si="22"/>
        <v>78456.58</v>
      </c>
      <c r="AL30" s="121" t="s">
        <v>17</v>
      </c>
      <c r="AM30" s="121" t="s">
        <v>17</v>
      </c>
      <c r="AN30" s="121" t="str">
        <f t="shared" si="23"/>
        <v>CFG - FTS-1 NR</v>
      </c>
    </row>
    <row r="31" spans="2:41">
      <c r="B31" s="121" t="s">
        <v>1156</v>
      </c>
      <c r="C31" s="121" t="s">
        <v>1153</v>
      </c>
      <c r="D31" s="121" t="s">
        <v>17</v>
      </c>
      <c r="E31" s="121" t="s">
        <v>171</v>
      </c>
      <c r="F31" s="157" t="s">
        <v>117</v>
      </c>
      <c r="G31" s="158">
        <v>5714.78999999999</v>
      </c>
      <c r="H31" s="158">
        <v>5847.95</v>
      </c>
      <c r="I31" s="158">
        <v>5596.52</v>
      </c>
      <c r="J31" s="158">
        <v>4838.66</v>
      </c>
      <c r="K31" s="159">
        <v>4742.37</v>
      </c>
      <c r="L31" s="158">
        <v>4757.25</v>
      </c>
      <c r="M31" s="158">
        <v>4805.32</v>
      </c>
      <c r="N31" s="158">
        <v>4788.42</v>
      </c>
      <c r="O31" s="158">
        <v>4876.03</v>
      </c>
      <c r="P31" s="158">
        <v>4827.78</v>
      </c>
      <c r="Q31" s="158">
        <v>4930.26</v>
      </c>
      <c r="R31" s="158">
        <v>5585.39</v>
      </c>
      <c r="S31" s="160">
        <f ca="1">SUM(G31:OFFSET(G31,0,$F$2-1))</f>
        <v>61310.739999999983</v>
      </c>
      <c r="T31" s="158">
        <f t="shared" si="18"/>
        <v>17159.259999999991</v>
      </c>
      <c r="U31" s="158">
        <f t="shared" si="19"/>
        <v>14338.279999999999</v>
      </c>
      <c r="V31" s="158">
        <f t="shared" si="20"/>
        <v>14469.77</v>
      </c>
      <c r="W31" s="158">
        <f t="shared" si="21"/>
        <v>15343.43</v>
      </c>
      <c r="X31" s="161"/>
      <c r="Y31" s="162">
        <v>6129.78</v>
      </c>
      <c r="Z31" s="162">
        <v>5678.34</v>
      </c>
      <c r="AA31" s="162">
        <v>5646.92</v>
      </c>
      <c r="AB31" s="162">
        <v>5306.12</v>
      </c>
      <c r="AC31" s="162">
        <v>4889.6499999999996</v>
      </c>
      <c r="AD31" s="162">
        <v>4975.34</v>
      </c>
      <c r="AE31" s="162">
        <v>4279.74</v>
      </c>
      <c r="AF31" s="162">
        <v>5313.67</v>
      </c>
      <c r="AG31" s="162">
        <v>4890.9799999999996</v>
      </c>
      <c r="AH31" s="162">
        <v>4910.96</v>
      </c>
      <c r="AI31" s="162">
        <v>4310.76</v>
      </c>
      <c r="AJ31" s="162">
        <v>5187.3500000000004</v>
      </c>
      <c r="AK31" s="160">
        <f t="shared" si="22"/>
        <v>61519.609999999993</v>
      </c>
      <c r="AL31" s="121" t="s">
        <v>17</v>
      </c>
      <c r="AM31" s="121" t="s">
        <v>17</v>
      </c>
      <c r="AN31" s="121" t="str">
        <f t="shared" si="23"/>
        <v>CFG - FTS-2 NR</v>
      </c>
    </row>
    <row r="32" spans="2:41">
      <c r="B32" s="121" t="s">
        <v>1157</v>
      </c>
      <c r="C32" s="121" t="s">
        <v>1153</v>
      </c>
      <c r="D32" s="121" t="s">
        <v>17</v>
      </c>
      <c r="E32" s="121" t="s">
        <v>171</v>
      </c>
      <c r="F32" s="157" t="s">
        <v>118</v>
      </c>
      <c r="G32" s="158">
        <v>19756.68</v>
      </c>
      <c r="H32" s="158">
        <v>19612.810000000001</v>
      </c>
      <c r="I32" s="158">
        <v>18479.57</v>
      </c>
      <c r="J32" s="158">
        <v>16169.48</v>
      </c>
      <c r="K32" s="159">
        <v>16966.93</v>
      </c>
      <c r="L32" s="158">
        <v>16823.23</v>
      </c>
      <c r="M32" s="158">
        <v>17083.099999999999</v>
      </c>
      <c r="N32" s="158">
        <v>16245.25</v>
      </c>
      <c r="O32" s="158">
        <v>18871.810000000001</v>
      </c>
      <c r="P32" s="158">
        <v>18303.97</v>
      </c>
      <c r="Q32" s="158">
        <v>17998.97</v>
      </c>
      <c r="R32" s="158">
        <v>20701.52</v>
      </c>
      <c r="S32" s="160">
        <f ca="1">SUM(G32:OFFSET(G32,0,$F$2-1))</f>
        <v>217013.31999999998</v>
      </c>
      <c r="T32" s="158">
        <f t="shared" si="18"/>
        <v>57849.060000000005</v>
      </c>
      <c r="U32" s="158">
        <f t="shared" si="19"/>
        <v>49959.64</v>
      </c>
      <c r="V32" s="158">
        <f t="shared" si="20"/>
        <v>52200.160000000003</v>
      </c>
      <c r="W32" s="158">
        <f t="shared" si="21"/>
        <v>57004.460000000006</v>
      </c>
      <c r="X32" s="161"/>
      <c r="Y32" s="162">
        <v>21515.37</v>
      </c>
      <c r="Z32" s="162">
        <v>19788.349999999999</v>
      </c>
      <c r="AA32" s="162">
        <v>19209.25</v>
      </c>
      <c r="AB32" s="162">
        <v>20492.990000000002</v>
      </c>
      <c r="AC32" s="162">
        <v>18108.87</v>
      </c>
      <c r="AD32" s="162">
        <v>17554.57</v>
      </c>
      <c r="AE32" s="667">
        <v>17695.61</v>
      </c>
      <c r="AF32" s="667">
        <v>18262.849999999999</v>
      </c>
      <c r="AG32" s="667">
        <v>18216.37</v>
      </c>
      <c r="AH32" s="667">
        <v>18070.650000000001</v>
      </c>
      <c r="AI32" s="667">
        <v>18105.060000000001</v>
      </c>
      <c r="AJ32" s="667">
        <v>21351.84</v>
      </c>
      <c r="AK32" s="160">
        <f t="shared" si="22"/>
        <v>228371.78</v>
      </c>
      <c r="AL32" s="121" t="s">
        <v>17</v>
      </c>
      <c r="AM32" s="121" t="s">
        <v>17</v>
      </c>
      <c r="AN32" s="121" t="str">
        <f t="shared" si="23"/>
        <v>CFG - FTS-2.1 NR</v>
      </c>
    </row>
    <row r="33" spans="2:40">
      <c r="B33" s="121" t="s">
        <v>1158</v>
      </c>
      <c r="C33" s="121" t="s">
        <v>1153</v>
      </c>
      <c r="D33" s="121" t="s">
        <v>17</v>
      </c>
      <c r="E33" s="121" t="s">
        <v>171</v>
      </c>
      <c r="F33" s="364" t="s">
        <v>119</v>
      </c>
      <c r="G33" s="158">
        <v>53279.19</v>
      </c>
      <c r="H33" s="158">
        <v>53147.040000000001</v>
      </c>
      <c r="I33" s="158">
        <v>52439.4</v>
      </c>
      <c r="J33" s="158">
        <v>46809.19</v>
      </c>
      <c r="K33" s="159">
        <v>47637.71</v>
      </c>
      <c r="L33" s="158">
        <v>47166.12</v>
      </c>
      <c r="M33" s="158">
        <v>49180.95</v>
      </c>
      <c r="N33" s="158">
        <v>47866.06</v>
      </c>
      <c r="O33" s="158">
        <v>49179.74</v>
      </c>
      <c r="P33" s="158">
        <v>49099.96</v>
      </c>
      <c r="Q33" s="158">
        <v>51484.5600000001</v>
      </c>
      <c r="R33" s="158">
        <v>53789.02</v>
      </c>
      <c r="S33" s="160">
        <f ca="1">SUM(G33:OFFSET(G33,0,$F$2-1))</f>
        <v>601078.94000000018</v>
      </c>
      <c r="T33" s="158">
        <f t="shared" si="18"/>
        <v>158865.63</v>
      </c>
      <c r="U33" s="158">
        <f t="shared" si="19"/>
        <v>141613.01999999999</v>
      </c>
      <c r="V33" s="158">
        <f t="shared" si="20"/>
        <v>146226.75</v>
      </c>
      <c r="W33" s="158">
        <f t="shared" si="21"/>
        <v>154373.5400000001</v>
      </c>
      <c r="X33" s="161"/>
      <c r="Y33" s="162">
        <v>54862.46</v>
      </c>
      <c r="Z33" s="162">
        <v>52256.93</v>
      </c>
      <c r="AA33" s="162">
        <v>52617.1</v>
      </c>
      <c r="AB33" s="162">
        <v>55747.01</v>
      </c>
      <c r="AC33" s="162">
        <v>51992.66</v>
      </c>
      <c r="AD33" s="162">
        <v>51143.17</v>
      </c>
      <c r="AE33" s="667">
        <v>51282.33</v>
      </c>
      <c r="AF33" s="667">
        <v>50680.7</v>
      </c>
      <c r="AG33" s="667">
        <v>53344.06</v>
      </c>
      <c r="AH33" s="667">
        <v>52468.39</v>
      </c>
      <c r="AI33" s="667">
        <v>52398.5</v>
      </c>
      <c r="AJ33" s="667">
        <v>58883.48</v>
      </c>
      <c r="AK33" s="160">
        <f t="shared" si="22"/>
        <v>637676.79</v>
      </c>
      <c r="AL33" s="121" t="s">
        <v>17</v>
      </c>
      <c r="AM33" s="121" t="s">
        <v>17</v>
      </c>
      <c r="AN33" s="121" t="str">
        <f t="shared" si="23"/>
        <v>CFG - FTS-3 NR</v>
      </c>
    </row>
    <row r="34" spans="2:40" ht="10.5" customHeight="1">
      <c r="B34" s="121" t="s">
        <v>1159</v>
      </c>
      <c r="C34" s="121" t="s">
        <v>1153</v>
      </c>
      <c r="D34" s="121" t="s">
        <v>17</v>
      </c>
      <c r="E34" s="121" t="s">
        <v>171</v>
      </c>
      <c r="F34" s="364" t="s">
        <v>120</v>
      </c>
      <c r="G34" s="158">
        <v>96398.399999999994</v>
      </c>
      <c r="H34" s="158">
        <v>85534.36</v>
      </c>
      <c r="I34" s="158">
        <v>86130.5600000001</v>
      </c>
      <c r="J34" s="158">
        <v>74294.66</v>
      </c>
      <c r="K34" s="159">
        <v>75966.240000000005</v>
      </c>
      <c r="L34" s="158">
        <v>78264.570000000094</v>
      </c>
      <c r="M34" s="158">
        <v>80293.919999999998</v>
      </c>
      <c r="N34" s="158">
        <v>78853.640000000101</v>
      </c>
      <c r="O34" s="158">
        <v>79057.460000000006</v>
      </c>
      <c r="P34" s="158">
        <v>78828.5799999999</v>
      </c>
      <c r="Q34" s="158">
        <v>82750.78</v>
      </c>
      <c r="R34" s="158">
        <v>88175.98</v>
      </c>
      <c r="S34" s="160">
        <f ca="1">SUM(G34:OFFSET(G34,0,$F$2-1))</f>
        <v>984549.15000000014</v>
      </c>
      <c r="T34" s="158">
        <f t="shared" si="18"/>
        <v>268063.32000000012</v>
      </c>
      <c r="U34" s="158">
        <f t="shared" si="19"/>
        <v>228525.47000000012</v>
      </c>
      <c r="V34" s="158">
        <f t="shared" si="20"/>
        <v>238205.02000000014</v>
      </c>
      <c r="W34" s="158">
        <f t="shared" si="21"/>
        <v>249755.33999999991</v>
      </c>
      <c r="X34" s="161"/>
      <c r="Y34" s="162">
        <v>92189.330000000104</v>
      </c>
      <c r="Z34" s="162">
        <v>83775.25</v>
      </c>
      <c r="AA34" s="162">
        <v>86460.45</v>
      </c>
      <c r="AB34" s="162">
        <v>90296.869999999893</v>
      </c>
      <c r="AC34" s="162">
        <v>82099.630000000107</v>
      </c>
      <c r="AD34" s="162">
        <v>81290.58</v>
      </c>
      <c r="AE34" s="667">
        <v>82330.399999999994</v>
      </c>
      <c r="AF34" s="667">
        <v>80442.42</v>
      </c>
      <c r="AG34" s="667">
        <v>82542.34</v>
      </c>
      <c r="AH34" s="667">
        <v>81012.66</v>
      </c>
      <c r="AI34" s="667">
        <v>81549.260000000097</v>
      </c>
      <c r="AJ34" s="667">
        <v>95889.27</v>
      </c>
      <c r="AK34" s="160">
        <f t="shared" si="22"/>
        <v>1019878.4600000003</v>
      </c>
      <c r="AL34" s="121" t="s">
        <v>17</v>
      </c>
      <c r="AM34" s="121" t="s">
        <v>17</v>
      </c>
      <c r="AN34" s="121" t="str">
        <f t="shared" si="23"/>
        <v>CFG - FTS-3.1 NR</v>
      </c>
    </row>
    <row r="35" spans="2:40">
      <c r="B35" s="121" t="s">
        <v>1160</v>
      </c>
      <c r="C35" s="121" t="s">
        <v>1153</v>
      </c>
      <c r="D35" s="121" t="s">
        <v>17</v>
      </c>
      <c r="E35" s="121" t="s">
        <v>171</v>
      </c>
      <c r="F35" s="364" t="s">
        <v>121</v>
      </c>
      <c r="G35" s="158">
        <v>103843.63</v>
      </c>
      <c r="H35" s="158">
        <v>95898.460000000094</v>
      </c>
      <c r="I35" s="158">
        <v>92932.53</v>
      </c>
      <c r="J35" s="158">
        <v>75886.58</v>
      </c>
      <c r="K35" s="159">
        <v>77885.509999999995</v>
      </c>
      <c r="L35" s="158">
        <v>82651.97</v>
      </c>
      <c r="M35" s="158">
        <v>82178.23</v>
      </c>
      <c r="N35" s="158">
        <v>80651.88</v>
      </c>
      <c r="O35" s="158">
        <v>84016.17</v>
      </c>
      <c r="P35" s="158">
        <v>81989</v>
      </c>
      <c r="Q35" s="158">
        <v>89523.199999999997</v>
      </c>
      <c r="R35" s="158">
        <v>101426.06</v>
      </c>
      <c r="S35" s="160">
        <f ca="1">SUM(G35:OFFSET(G35,0,$F$2-1))</f>
        <v>1048883.2200000002</v>
      </c>
      <c r="T35" s="158">
        <f t="shared" si="18"/>
        <v>292674.62000000011</v>
      </c>
      <c r="U35" s="158">
        <f t="shared" si="19"/>
        <v>236424.06</v>
      </c>
      <c r="V35" s="158">
        <f t="shared" si="20"/>
        <v>246846.27999999997</v>
      </c>
      <c r="W35" s="158">
        <f t="shared" si="21"/>
        <v>272938.26</v>
      </c>
      <c r="X35" s="161"/>
      <c r="Y35" s="162">
        <v>104067.44</v>
      </c>
      <c r="Z35" s="162">
        <v>95103.06</v>
      </c>
      <c r="AA35" s="162">
        <v>94268.81</v>
      </c>
      <c r="AB35" s="162">
        <v>99013.16</v>
      </c>
      <c r="AC35" s="162">
        <v>86990.75</v>
      </c>
      <c r="AD35" s="162">
        <v>87514.72</v>
      </c>
      <c r="AE35" s="667">
        <v>86744.37</v>
      </c>
      <c r="AF35" s="667">
        <v>83281.78</v>
      </c>
      <c r="AG35" s="667">
        <v>87383.83</v>
      </c>
      <c r="AH35" s="667">
        <v>87778.08</v>
      </c>
      <c r="AI35" s="667">
        <v>92611.639999999898</v>
      </c>
      <c r="AJ35" s="667">
        <v>106063.93</v>
      </c>
      <c r="AK35" s="160">
        <f t="shared" si="22"/>
        <v>1110821.5699999998</v>
      </c>
      <c r="AL35" s="121" t="s">
        <v>17</v>
      </c>
      <c r="AM35" s="121" t="s">
        <v>17</v>
      </c>
      <c r="AN35" s="121" t="str">
        <f t="shared" ref="AN35:AN66" si="24">CONCATENATE(AL35," - ",F35)</f>
        <v>CFG - FTS-4</v>
      </c>
    </row>
    <row r="36" spans="2:40">
      <c r="B36" s="121" t="s">
        <v>1161</v>
      </c>
      <c r="C36" s="121" t="s">
        <v>1153</v>
      </c>
      <c r="D36" s="121" t="s">
        <v>17</v>
      </c>
      <c r="E36" s="121" t="s">
        <v>171</v>
      </c>
      <c r="F36" s="364" t="s">
        <v>142</v>
      </c>
      <c r="G36" s="158">
        <v>29670.42</v>
      </c>
      <c r="H36" s="158">
        <v>29415.08</v>
      </c>
      <c r="I36" s="158">
        <v>29677.759999999998</v>
      </c>
      <c r="J36" s="158">
        <v>30671.77</v>
      </c>
      <c r="K36" s="159">
        <v>26871.29</v>
      </c>
      <c r="L36" s="158">
        <v>25573</v>
      </c>
      <c r="M36" s="158">
        <v>25910.43</v>
      </c>
      <c r="N36" s="158">
        <v>26679.08</v>
      </c>
      <c r="O36" s="158">
        <v>26516.22</v>
      </c>
      <c r="P36" s="158">
        <v>26113.23</v>
      </c>
      <c r="Q36" s="158">
        <v>27253.11</v>
      </c>
      <c r="R36" s="158">
        <v>30385.26</v>
      </c>
      <c r="S36" s="160">
        <f ca="1">SUM(G36:OFFSET(G36,0,$F$2-1))</f>
        <v>334736.65000000002</v>
      </c>
      <c r="T36" s="158">
        <f t="shared" si="18"/>
        <v>88763.26</v>
      </c>
      <c r="U36" s="158">
        <f t="shared" si="19"/>
        <v>83116.06</v>
      </c>
      <c r="V36" s="158">
        <f t="shared" si="20"/>
        <v>79105.73000000001</v>
      </c>
      <c r="W36" s="158">
        <f t="shared" si="21"/>
        <v>83751.599999999991</v>
      </c>
      <c r="X36" s="161"/>
      <c r="Y36" s="162">
        <v>31215.29</v>
      </c>
      <c r="Z36" s="162">
        <v>30087.33</v>
      </c>
      <c r="AA36" s="162">
        <v>34301.21</v>
      </c>
      <c r="AB36" s="162">
        <v>28877.21</v>
      </c>
      <c r="AC36" s="162">
        <v>25706.13</v>
      </c>
      <c r="AD36" s="162">
        <v>24754.87</v>
      </c>
      <c r="AE36" s="667">
        <v>24874.62</v>
      </c>
      <c r="AF36" s="667">
        <v>24521.58</v>
      </c>
      <c r="AG36" s="667">
        <v>26689.85</v>
      </c>
      <c r="AH36" s="667">
        <v>29070.6</v>
      </c>
      <c r="AI36" s="667">
        <v>26987.95</v>
      </c>
      <c r="AJ36" s="667">
        <v>32185.200000000001</v>
      </c>
      <c r="AK36" s="160">
        <f t="shared" si="22"/>
        <v>339271.84</v>
      </c>
      <c r="AL36" s="121" t="s">
        <v>17</v>
      </c>
      <c r="AM36" s="121" t="s">
        <v>17</v>
      </c>
      <c r="AN36" s="121" t="str">
        <f t="shared" si="24"/>
        <v>CFG - FTS-5</v>
      </c>
    </row>
    <row r="37" spans="2:40">
      <c r="B37" s="121" t="s">
        <v>1162</v>
      </c>
      <c r="C37" s="121" t="s">
        <v>1153</v>
      </c>
      <c r="D37" s="121" t="s">
        <v>17</v>
      </c>
      <c r="E37" s="121" t="s">
        <v>171</v>
      </c>
      <c r="F37" s="364" t="s">
        <v>143</v>
      </c>
      <c r="G37" s="158">
        <v>43069.18</v>
      </c>
      <c r="H37" s="158">
        <v>43563.66</v>
      </c>
      <c r="I37" s="158">
        <v>38785.08</v>
      </c>
      <c r="J37" s="158">
        <v>36214.339999999997</v>
      </c>
      <c r="K37" s="159">
        <v>40043.78</v>
      </c>
      <c r="L37" s="158">
        <v>37452.11</v>
      </c>
      <c r="M37" s="158">
        <v>33697.129999999997</v>
      </c>
      <c r="N37" s="158">
        <v>40490.239999999998</v>
      </c>
      <c r="O37" s="158">
        <v>43712.47</v>
      </c>
      <c r="P37" s="158">
        <v>45337.42</v>
      </c>
      <c r="Q37" s="158">
        <v>42123.66</v>
      </c>
      <c r="R37" s="158">
        <v>47980.58</v>
      </c>
      <c r="S37" s="160">
        <f ca="1">SUM(G37:OFFSET(G37,0,$F$2-1))</f>
        <v>492469.64999999997</v>
      </c>
      <c r="T37" s="158">
        <f t="shared" si="18"/>
        <v>125417.92</v>
      </c>
      <c r="U37" s="158">
        <f t="shared" si="19"/>
        <v>113710.23</v>
      </c>
      <c r="V37" s="158">
        <f t="shared" si="20"/>
        <v>117899.84</v>
      </c>
      <c r="W37" s="158">
        <f t="shared" si="21"/>
        <v>135441.66</v>
      </c>
      <c r="X37" s="161"/>
      <c r="Y37" s="162">
        <v>50782.1</v>
      </c>
      <c r="Z37" s="162">
        <v>50523.69</v>
      </c>
      <c r="AA37" s="162">
        <v>47184.52</v>
      </c>
      <c r="AB37" s="162">
        <v>50750.27</v>
      </c>
      <c r="AC37" s="162">
        <v>41852.639999999999</v>
      </c>
      <c r="AD37" s="162">
        <v>44283.88</v>
      </c>
      <c r="AE37" s="667">
        <v>45957.81</v>
      </c>
      <c r="AF37" s="667">
        <v>50220.28</v>
      </c>
      <c r="AG37" s="667">
        <f>55447.38+3628</f>
        <v>59075.38</v>
      </c>
      <c r="AH37" s="667">
        <f>62221.54-3628</f>
        <v>58593.54</v>
      </c>
      <c r="AI37" s="667">
        <v>55056.959999999999</v>
      </c>
      <c r="AJ37" s="667">
        <v>54509.61</v>
      </c>
      <c r="AK37" s="160">
        <f t="shared" si="22"/>
        <v>608790.67999999993</v>
      </c>
      <c r="AL37" s="121" t="s">
        <v>17</v>
      </c>
      <c r="AM37" s="121" t="s">
        <v>17</v>
      </c>
      <c r="AN37" s="121" t="str">
        <f t="shared" si="24"/>
        <v>CFG - FTS-6</v>
      </c>
    </row>
    <row r="38" spans="2:40">
      <c r="B38" s="121" t="s">
        <v>1163</v>
      </c>
      <c r="C38" s="121" t="s">
        <v>1153</v>
      </c>
      <c r="D38" s="121" t="s">
        <v>17</v>
      </c>
      <c r="E38" s="121" t="s">
        <v>171</v>
      </c>
      <c r="F38" s="364" t="s">
        <v>144</v>
      </c>
      <c r="G38" s="158">
        <v>60088.97</v>
      </c>
      <c r="H38" s="158">
        <v>55518.05</v>
      </c>
      <c r="I38" s="158">
        <v>59929.279999999999</v>
      </c>
      <c r="J38" s="158">
        <v>48969.32</v>
      </c>
      <c r="K38" s="159">
        <v>58760.82</v>
      </c>
      <c r="L38" s="158">
        <v>55533.94</v>
      </c>
      <c r="M38" s="158">
        <v>52570.98</v>
      </c>
      <c r="N38" s="158">
        <v>52556.160000000003</v>
      </c>
      <c r="O38" s="158">
        <v>54003.14</v>
      </c>
      <c r="P38" s="158">
        <v>56926.16</v>
      </c>
      <c r="Q38" s="158">
        <v>58581.69</v>
      </c>
      <c r="R38" s="158">
        <v>63934.26</v>
      </c>
      <c r="S38" s="160">
        <f ca="1">SUM(G38:OFFSET(G38,0,$F$2-1))</f>
        <v>677372.77</v>
      </c>
      <c r="T38" s="158">
        <f t="shared" si="18"/>
        <v>175536.3</v>
      </c>
      <c r="U38" s="158">
        <f t="shared" si="19"/>
        <v>163264.08000000002</v>
      </c>
      <c r="V38" s="158">
        <f t="shared" si="20"/>
        <v>159130.28000000003</v>
      </c>
      <c r="W38" s="158">
        <f t="shared" si="21"/>
        <v>179442.11000000002</v>
      </c>
      <c r="X38" s="161"/>
      <c r="Y38" s="162">
        <v>66240.58</v>
      </c>
      <c r="Z38" s="162">
        <v>62203.82</v>
      </c>
      <c r="AA38" s="162">
        <v>64916.480000000003</v>
      </c>
      <c r="AB38" s="162">
        <v>60242.97</v>
      </c>
      <c r="AC38" s="162">
        <v>57647.59</v>
      </c>
      <c r="AD38" s="162">
        <v>59904.46</v>
      </c>
      <c r="AE38" s="667">
        <v>59219.81</v>
      </c>
      <c r="AF38" s="667">
        <v>62345.19</v>
      </c>
      <c r="AG38" s="667">
        <v>60480.97</v>
      </c>
      <c r="AH38" s="667">
        <v>60521.07</v>
      </c>
      <c r="AI38" s="667">
        <v>68726.05</v>
      </c>
      <c r="AJ38" s="667">
        <v>64377.13</v>
      </c>
      <c r="AK38" s="160">
        <f t="shared" si="22"/>
        <v>746826.12</v>
      </c>
      <c r="AL38" s="121" t="s">
        <v>17</v>
      </c>
      <c r="AM38" s="121" t="s">
        <v>17</v>
      </c>
      <c r="AN38" s="121" t="str">
        <f t="shared" si="24"/>
        <v>CFG - FTS-7</v>
      </c>
    </row>
    <row r="39" spans="2:40">
      <c r="B39" s="121" t="s">
        <v>1164</v>
      </c>
      <c r="C39" s="121" t="s">
        <v>1153</v>
      </c>
      <c r="D39" s="121" t="s">
        <v>17</v>
      </c>
      <c r="E39" s="121" t="s">
        <v>171</v>
      </c>
      <c r="F39" s="364" t="s">
        <v>145</v>
      </c>
      <c r="G39" s="158">
        <v>89365.16</v>
      </c>
      <c r="H39" s="158">
        <v>71328.34</v>
      </c>
      <c r="I39" s="158">
        <v>74887.05</v>
      </c>
      <c r="J39" s="158">
        <v>58846.57</v>
      </c>
      <c r="K39" s="159">
        <v>60247.88</v>
      </c>
      <c r="L39" s="158">
        <v>61850.58</v>
      </c>
      <c r="M39" s="158">
        <v>65497.63</v>
      </c>
      <c r="N39" s="158">
        <v>65183.19</v>
      </c>
      <c r="O39" s="158">
        <v>64369.19</v>
      </c>
      <c r="P39" s="158">
        <v>68033.899999999994</v>
      </c>
      <c r="Q39" s="158">
        <v>68864.5</v>
      </c>
      <c r="R39" s="158">
        <v>74086.880000000005</v>
      </c>
      <c r="S39" s="160">
        <f ca="1">SUM(G39:OFFSET(G39,0,$F$2-1))</f>
        <v>822560.87000000011</v>
      </c>
      <c r="T39" s="158">
        <f t="shared" si="18"/>
        <v>235580.55</v>
      </c>
      <c r="U39" s="158">
        <f t="shared" si="19"/>
        <v>180945.03</v>
      </c>
      <c r="V39" s="158">
        <f t="shared" si="20"/>
        <v>195050.01</v>
      </c>
      <c r="W39" s="158">
        <f t="shared" si="21"/>
        <v>210985.28</v>
      </c>
      <c r="X39" s="161"/>
      <c r="Y39" s="162">
        <v>73808.81</v>
      </c>
      <c r="Z39" s="162">
        <v>69900.11</v>
      </c>
      <c r="AA39" s="162">
        <v>72589.490000000005</v>
      </c>
      <c r="AB39" s="162">
        <v>67356.02</v>
      </c>
      <c r="AC39" s="162">
        <v>67111.92</v>
      </c>
      <c r="AD39" s="162">
        <v>63207.41</v>
      </c>
      <c r="AE39" s="667">
        <v>59090.720000000001</v>
      </c>
      <c r="AF39" s="667">
        <v>56943.86</v>
      </c>
      <c r="AG39" s="667">
        <v>55584.93</v>
      </c>
      <c r="AH39" s="667">
        <v>65971.95</v>
      </c>
      <c r="AI39" s="667">
        <v>75312.91</v>
      </c>
      <c r="AJ39" s="667">
        <v>67136.460000000006</v>
      </c>
      <c r="AK39" s="160">
        <f t="shared" si="22"/>
        <v>794014.59</v>
      </c>
      <c r="AL39" s="121" t="s">
        <v>17</v>
      </c>
      <c r="AM39" s="121" t="s">
        <v>17</v>
      </c>
      <c r="AN39" s="121" t="str">
        <f t="shared" si="24"/>
        <v>CFG - FTS-8</v>
      </c>
    </row>
    <row r="40" spans="2:40">
      <c r="B40" s="121" t="s">
        <v>1165</v>
      </c>
      <c r="C40" s="121" t="s">
        <v>1153</v>
      </c>
      <c r="D40" s="121" t="s">
        <v>17</v>
      </c>
      <c r="E40" s="121" t="s">
        <v>171</v>
      </c>
      <c r="F40" s="364" t="s">
        <v>146</v>
      </c>
      <c r="G40" s="158">
        <v>41093.67</v>
      </c>
      <c r="H40" s="158">
        <v>40447.57</v>
      </c>
      <c r="I40" s="158">
        <v>40461.599999999999</v>
      </c>
      <c r="J40" s="158">
        <v>34579.96</v>
      </c>
      <c r="K40" s="159">
        <v>35814.959999999999</v>
      </c>
      <c r="L40" s="158">
        <v>35630.239999999998</v>
      </c>
      <c r="M40" s="158">
        <v>37661.01</v>
      </c>
      <c r="N40" s="158">
        <v>36380.74</v>
      </c>
      <c r="O40" s="158">
        <v>36205.379999999997</v>
      </c>
      <c r="P40" s="158">
        <v>36583.949999999997</v>
      </c>
      <c r="Q40" s="158">
        <v>37301.19</v>
      </c>
      <c r="R40" s="158">
        <v>39983.47</v>
      </c>
      <c r="S40" s="160">
        <f ca="1">SUM(G40:OFFSET(G40,0,$F$2-1))</f>
        <v>452143.74</v>
      </c>
      <c r="T40" s="158">
        <f t="shared" si="18"/>
        <v>122002.84</v>
      </c>
      <c r="U40" s="158">
        <f t="shared" si="19"/>
        <v>106025.16</v>
      </c>
      <c r="V40" s="158">
        <f t="shared" si="20"/>
        <v>110247.13</v>
      </c>
      <c r="W40" s="158">
        <f t="shared" si="21"/>
        <v>113868.61</v>
      </c>
      <c r="X40" s="161"/>
      <c r="Y40" s="162">
        <v>40390.76</v>
      </c>
      <c r="Z40" s="162">
        <v>38305.35</v>
      </c>
      <c r="AA40" s="162">
        <v>41423.46</v>
      </c>
      <c r="AB40" s="162">
        <v>39053.449999999997</v>
      </c>
      <c r="AC40" s="162">
        <v>38978.94</v>
      </c>
      <c r="AD40" s="162">
        <v>45647.9</v>
      </c>
      <c r="AE40" s="667">
        <v>45452.19</v>
      </c>
      <c r="AF40" s="667">
        <v>43647.71</v>
      </c>
      <c r="AG40" s="667">
        <v>40972.050000000003</v>
      </c>
      <c r="AH40" s="667">
        <v>43764.59</v>
      </c>
      <c r="AI40" s="667">
        <v>45902.84</v>
      </c>
      <c r="AJ40" s="667">
        <v>46485.27</v>
      </c>
      <c r="AK40" s="160">
        <f t="shared" si="22"/>
        <v>510024.51</v>
      </c>
      <c r="AL40" s="121" t="s">
        <v>17</v>
      </c>
      <c r="AM40" s="121" t="s">
        <v>17</v>
      </c>
      <c r="AN40" s="121" t="str">
        <f t="shared" si="24"/>
        <v>CFG - FTS-9</v>
      </c>
    </row>
    <row r="41" spans="2:40">
      <c r="B41" s="121" t="s">
        <v>1166</v>
      </c>
      <c r="C41" s="121" t="s">
        <v>1153</v>
      </c>
      <c r="D41" s="121" t="s">
        <v>17</v>
      </c>
      <c r="E41" s="121" t="s">
        <v>171</v>
      </c>
      <c r="F41" s="364" t="s">
        <v>147</v>
      </c>
      <c r="G41" s="158">
        <v>27389.67</v>
      </c>
      <c r="H41" s="158">
        <v>26524.25</v>
      </c>
      <c r="I41" s="158">
        <v>28818.880000000001</v>
      </c>
      <c r="J41" s="158">
        <v>27813.95</v>
      </c>
      <c r="K41" s="159">
        <v>26534.94</v>
      </c>
      <c r="L41" s="158">
        <v>28174.89</v>
      </c>
      <c r="M41" s="158">
        <v>28275.05</v>
      </c>
      <c r="N41" s="158">
        <v>29812.59</v>
      </c>
      <c r="O41" s="158">
        <v>27793.64</v>
      </c>
      <c r="P41" s="158">
        <v>28982.78</v>
      </c>
      <c r="Q41" s="158">
        <v>30452.98</v>
      </c>
      <c r="R41" s="158">
        <v>29394.73</v>
      </c>
      <c r="S41" s="160">
        <f ca="1">SUM(G41:OFFSET(G41,0,$F$2-1))</f>
        <v>339968.35</v>
      </c>
      <c r="T41" s="158">
        <f t="shared" si="18"/>
        <v>82732.800000000003</v>
      </c>
      <c r="U41" s="158">
        <f t="shared" si="19"/>
        <v>82523.78</v>
      </c>
      <c r="V41" s="158">
        <f t="shared" si="20"/>
        <v>85881.279999999999</v>
      </c>
      <c r="W41" s="158">
        <f t="shared" si="21"/>
        <v>88830.489999999991</v>
      </c>
      <c r="X41" s="161"/>
      <c r="Y41" s="162">
        <v>40050.89</v>
      </c>
      <c r="Z41" s="162">
        <v>32765.32</v>
      </c>
      <c r="AA41" s="162">
        <v>33942.15</v>
      </c>
      <c r="AB41" s="162">
        <v>34894.410000000003</v>
      </c>
      <c r="AC41" s="162">
        <v>33675.06</v>
      </c>
      <c r="AD41" s="162">
        <v>33204.29</v>
      </c>
      <c r="AE41" s="667">
        <v>32852.559999999998</v>
      </c>
      <c r="AF41" s="667">
        <v>31046.35</v>
      </c>
      <c r="AG41" s="667">
        <v>33852.53</v>
      </c>
      <c r="AH41" s="667">
        <v>36165.08</v>
      </c>
      <c r="AI41" s="667">
        <v>33578.33</v>
      </c>
      <c r="AJ41" s="667">
        <v>33990.370000000003</v>
      </c>
      <c r="AK41" s="160">
        <f t="shared" si="22"/>
        <v>410017.33999999997</v>
      </c>
      <c r="AL41" s="121" t="s">
        <v>17</v>
      </c>
      <c r="AM41" s="121" t="s">
        <v>17</v>
      </c>
      <c r="AN41" s="121" t="str">
        <f t="shared" si="24"/>
        <v>CFG - FTS-10</v>
      </c>
    </row>
    <row r="42" spans="2:40">
      <c r="B42" s="121" t="s">
        <v>1167</v>
      </c>
      <c r="C42" s="121" t="s">
        <v>1153</v>
      </c>
      <c r="D42" s="121" t="s">
        <v>17</v>
      </c>
      <c r="E42" s="121" t="s">
        <v>171</v>
      </c>
      <c r="F42" s="364" t="s">
        <v>148</v>
      </c>
      <c r="G42" s="158">
        <v>22135.94</v>
      </c>
      <c r="H42" s="158">
        <v>20823.88</v>
      </c>
      <c r="I42" s="158">
        <v>20781.45</v>
      </c>
      <c r="J42" s="158">
        <v>19717.259999999998</v>
      </c>
      <c r="K42" s="159">
        <v>19839.689999999999</v>
      </c>
      <c r="L42" s="158">
        <v>17234.25</v>
      </c>
      <c r="M42" s="158">
        <v>16735.5</v>
      </c>
      <c r="N42" s="158">
        <v>16315.67</v>
      </c>
      <c r="O42" s="158">
        <v>16115.15</v>
      </c>
      <c r="P42" s="158">
        <v>16849</v>
      </c>
      <c r="Q42" s="158">
        <v>16088.1</v>
      </c>
      <c r="R42" s="158">
        <v>13401.64</v>
      </c>
      <c r="S42" s="400">
        <f ca="1">SUM(G42:OFFSET(G42,0,$F$2-1))</f>
        <v>216037.53000000003</v>
      </c>
      <c r="T42" s="158">
        <f t="shared" si="18"/>
        <v>63741.270000000004</v>
      </c>
      <c r="U42" s="158">
        <f t="shared" si="19"/>
        <v>56791.199999999997</v>
      </c>
      <c r="V42" s="158">
        <f t="shared" si="20"/>
        <v>49166.32</v>
      </c>
      <c r="W42" s="158">
        <f t="shared" si="21"/>
        <v>46338.74</v>
      </c>
      <c r="X42" s="161"/>
      <c r="Y42" s="162">
        <v>15742.73</v>
      </c>
      <c r="Z42" s="162">
        <v>15855.9</v>
      </c>
      <c r="AA42" s="162">
        <v>17207.73</v>
      </c>
      <c r="AB42" s="162">
        <v>17325.689999999999</v>
      </c>
      <c r="AC42" s="162">
        <v>9437.33</v>
      </c>
      <c r="AD42" s="162">
        <v>5500</v>
      </c>
      <c r="AE42" s="667">
        <v>13932.7</v>
      </c>
      <c r="AF42" s="667">
        <v>13996.78</v>
      </c>
      <c r="AG42" s="667">
        <v>7159.14</v>
      </c>
      <c r="AH42" s="667">
        <v>10393.15</v>
      </c>
      <c r="AI42" s="667">
        <v>11257.77</v>
      </c>
      <c r="AJ42" s="667">
        <v>13816.22</v>
      </c>
      <c r="AK42" s="160">
        <f t="shared" si="22"/>
        <v>151625.13999999998</v>
      </c>
      <c r="AL42" s="121" t="s">
        <v>17</v>
      </c>
      <c r="AM42" s="121" t="s">
        <v>17</v>
      </c>
      <c r="AN42" s="121" t="str">
        <f t="shared" si="24"/>
        <v>CFG - FTS-11</v>
      </c>
    </row>
    <row r="43" spans="2:40" ht="9.9499999999999993" customHeight="1">
      <c r="B43" s="121" t="s">
        <v>1168</v>
      </c>
      <c r="C43" s="121" t="s">
        <v>1153</v>
      </c>
      <c r="D43" s="121" t="s">
        <v>17</v>
      </c>
      <c r="E43" s="121" t="s">
        <v>171</v>
      </c>
      <c r="F43" s="364" t="s">
        <v>149</v>
      </c>
      <c r="G43" s="158">
        <v>114289.88</v>
      </c>
      <c r="H43" s="158">
        <v>127202.17</v>
      </c>
      <c r="I43" s="158">
        <v>132316.41</v>
      </c>
      <c r="J43" s="158">
        <v>122386.31</v>
      </c>
      <c r="K43" s="158">
        <v>129547.15</v>
      </c>
      <c r="L43" s="158">
        <v>117084</v>
      </c>
      <c r="M43" s="158">
        <v>108464.67</v>
      </c>
      <c r="N43" s="158">
        <v>136238.85</v>
      </c>
      <c r="O43" s="158">
        <v>128432.23</v>
      </c>
      <c r="P43" s="158">
        <v>137341.09</v>
      </c>
      <c r="Q43" s="158">
        <v>118376.67</v>
      </c>
      <c r="R43" s="158">
        <v>141880.01</v>
      </c>
      <c r="S43" s="400">
        <f ca="1">SUM(G43:OFFSET(G43,0,$F$2-1))</f>
        <v>1513559.44</v>
      </c>
      <c r="T43" s="158">
        <f t="shared" si="18"/>
        <v>373808.45999999996</v>
      </c>
      <c r="U43" s="158">
        <f t="shared" si="19"/>
        <v>369017.45999999996</v>
      </c>
      <c r="V43" s="158">
        <f t="shared" si="20"/>
        <v>373135.75</v>
      </c>
      <c r="W43" s="158">
        <f t="shared" si="21"/>
        <v>397597.77</v>
      </c>
      <c r="X43" s="161"/>
      <c r="Y43" s="162">
        <v>137058.22</v>
      </c>
      <c r="Z43" s="162">
        <v>131728.5</v>
      </c>
      <c r="AA43" s="162">
        <v>147634.54999999999</v>
      </c>
      <c r="AB43" s="162">
        <v>134597.32999999999</v>
      </c>
      <c r="AC43" s="162">
        <v>137952.56</v>
      </c>
      <c r="AD43" s="162">
        <v>108521.73</v>
      </c>
      <c r="AE43" s="667">
        <v>126832.36</v>
      </c>
      <c r="AF43" s="667">
        <v>135970.54999999999</v>
      </c>
      <c r="AG43" s="667">
        <v>120000.86</v>
      </c>
      <c r="AH43" s="667">
        <v>133150.93</v>
      </c>
      <c r="AI43" s="667">
        <v>132915.01</v>
      </c>
      <c r="AJ43" s="667">
        <v>136202.65</v>
      </c>
      <c r="AK43" s="160">
        <f t="shared" si="22"/>
        <v>1582565.2499999998</v>
      </c>
      <c r="AL43" s="121" t="s">
        <v>17</v>
      </c>
      <c r="AM43" s="121" t="s">
        <v>17</v>
      </c>
      <c r="AN43" s="121" t="str">
        <f t="shared" si="24"/>
        <v>CFG - FTS-12</v>
      </c>
    </row>
    <row r="44" spans="2:40">
      <c r="B44" s="121" t="s">
        <v>1169</v>
      </c>
      <c r="C44" s="121" t="s">
        <v>1153</v>
      </c>
      <c r="D44" s="121" t="s">
        <v>17</v>
      </c>
      <c r="E44" s="121" t="s">
        <v>171</v>
      </c>
      <c r="F44" s="364" t="s">
        <v>150</v>
      </c>
      <c r="G44" s="158">
        <v>26281.64</v>
      </c>
      <c r="H44" s="158">
        <v>26963.32</v>
      </c>
      <c r="I44" s="158">
        <v>29923.599999999999</v>
      </c>
      <c r="J44" s="158">
        <v>27613.200000000001</v>
      </c>
      <c r="K44" s="159">
        <v>28037.77</v>
      </c>
      <c r="L44" s="158">
        <v>19581</v>
      </c>
      <c r="M44" s="158">
        <v>22347.279999999999</v>
      </c>
      <c r="N44" s="158">
        <v>23603.64</v>
      </c>
      <c r="O44" s="158">
        <v>19560.2</v>
      </c>
      <c r="P44" s="158">
        <v>20216.259999999998</v>
      </c>
      <c r="Q44" s="158">
        <v>17499.650000000001</v>
      </c>
      <c r="R44" s="158">
        <v>17769.93</v>
      </c>
      <c r="S44" s="400">
        <f ca="1">SUM(G44:OFFSET(G44,0,$F$2-1))</f>
        <v>279397.49000000005</v>
      </c>
      <c r="T44" s="158">
        <f t="shared" si="18"/>
        <v>83168.56</v>
      </c>
      <c r="U44" s="158">
        <f t="shared" si="19"/>
        <v>75231.97</v>
      </c>
      <c r="V44" s="158">
        <f t="shared" si="20"/>
        <v>65511.119999999995</v>
      </c>
      <c r="W44" s="158">
        <f t="shared" si="21"/>
        <v>55485.840000000004</v>
      </c>
      <c r="X44" s="161"/>
      <c r="Y44" s="162">
        <v>18814.78</v>
      </c>
      <c r="Z44" s="162">
        <v>14843.91</v>
      </c>
      <c r="AA44" s="162">
        <v>18455.18</v>
      </c>
      <c r="AB44" s="162">
        <v>18400.02</v>
      </c>
      <c r="AC44" s="162">
        <v>19387.47</v>
      </c>
      <c r="AD44" s="162">
        <v>18426.11</v>
      </c>
      <c r="AE44" s="667">
        <v>17141</v>
      </c>
      <c r="AF44" s="667">
        <f>15722+100</f>
        <v>15822</v>
      </c>
      <c r="AG44" s="667">
        <f>1909.18+100</f>
        <v>2009.18</v>
      </c>
      <c r="AH44" s="667">
        <v>2698.89</v>
      </c>
      <c r="AI44" s="667">
        <f>3001.56+100</f>
        <v>3101.56</v>
      </c>
      <c r="AJ44" s="667">
        <f>3912.7+100</f>
        <v>4012.7</v>
      </c>
      <c r="AK44" s="160">
        <f t="shared" si="22"/>
        <v>153112.80000000002</v>
      </c>
      <c r="AL44" s="121" t="s">
        <v>17</v>
      </c>
      <c r="AM44" s="121" t="s">
        <v>17</v>
      </c>
      <c r="AN44" s="121" t="str">
        <f t="shared" si="24"/>
        <v>CFG - FTS-NGV</v>
      </c>
    </row>
    <row r="45" spans="2:40">
      <c r="B45" s="121" t="s">
        <v>1170</v>
      </c>
      <c r="C45" s="121" t="s">
        <v>1153</v>
      </c>
      <c r="D45" s="121" t="s">
        <v>16</v>
      </c>
      <c r="E45" s="121" t="s">
        <v>172</v>
      </c>
      <c r="F45" s="364" t="s">
        <v>113</v>
      </c>
      <c r="G45" s="158">
        <v>61671.69</v>
      </c>
      <c r="H45" s="158">
        <v>58762.08999999996</v>
      </c>
      <c r="I45" s="158">
        <v>55138.019999999982</v>
      </c>
      <c r="J45" s="158">
        <v>39477.719999999928</v>
      </c>
      <c r="K45" s="159">
        <v>38766.880000000012</v>
      </c>
      <c r="L45" s="158">
        <v>40171.129999999976</v>
      </c>
      <c r="M45" s="158">
        <v>38857.289999999921</v>
      </c>
      <c r="N45" s="158">
        <v>39662.019999999939</v>
      </c>
      <c r="O45" s="158">
        <v>39607.629999999968</v>
      </c>
      <c r="P45" s="158">
        <v>43835.109999999921</v>
      </c>
      <c r="Q45" s="158">
        <v>47946.149999999972</v>
      </c>
      <c r="R45" s="158">
        <v>52056.799999999959</v>
      </c>
      <c r="S45" s="400">
        <f ca="1">SUM(G45:OFFSET(G45,0,$F$2-1))</f>
        <v>555952.52999999956</v>
      </c>
      <c r="T45" s="158">
        <f t="shared" si="18"/>
        <v>175571.79999999996</v>
      </c>
      <c r="U45" s="158">
        <f t="shared" si="19"/>
        <v>118415.72999999992</v>
      </c>
      <c r="V45" s="158">
        <f t="shared" si="20"/>
        <v>118126.93999999983</v>
      </c>
      <c r="W45" s="158">
        <f t="shared" si="21"/>
        <v>143838.05999999985</v>
      </c>
      <c r="X45" s="161"/>
      <c r="Y45" s="162">
        <v>64166.259999999958</v>
      </c>
      <c r="Z45" s="162">
        <v>52346.469999999943</v>
      </c>
      <c r="AA45" s="162">
        <v>57491.379999999946</v>
      </c>
      <c r="AB45" s="162">
        <v>51613.050000000025</v>
      </c>
      <c r="AC45" s="162">
        <v>46164.929999999993</v>
      </c>
      <c r="AD45" s="162">
        <v>43233.59</v>
      </c>
      <c r="AE45" s="667">
        <v>45011.020000000019</v>
      </c>
      <c r="AF45" s="667">
        <v>41311.34000000004</v>
      </c>
      <c r="AG45" s="667">
        <v>44252.710000000028</v>
      </c>
      <c r="AH45" s="667">
        <v>43642.889999999963</v>
      </c>
      <c r="AI45" s="667">
        <v>48516.890000000014</v>
      </c>
      <c r="AJ45" s="667">
        <v>54511.630000000005</v>
      </c>
      <c r="AK45" s="160">
        <f t="shared" si="22"/>
        <v>592262.1599999998</v>
      </c>
      <c r="AL45" s="121" t="s">
        <v>16</v>
      </c>
      <c r="AM45" s="121" t="s">
        <v>16</v>
      </c>
      <c r="AN45" s="121" t="str">
        <f t="shared" si="24"/>
        <v>FPU - FPU - GS - 1</v>
      </c>
    </row>
    <row r="46" spans="2:40">
      <c r="B46" s="121" t="s">
        <v>1171</v>
      </c>
      <c r="C46" s="121" t="s">
        <v>1153</v>
      </c>
      <c r="D46" s="121" t="s">
        <v>16</v>
      </c>
      <c r="E46" s="121" t="s">
        <v>174</v>
      </c>
      <c r="F46" s="364" t="s">
        <v>173</v>
      </c>
      <c r="G46" s="158">
        <v>36728.19</v>
      </c>
      <c r="H46" s="158">
        <v>33900</v>
      </c>
      <c r="I46" s="158">
        <v>31834.86000000003</v>
      </c>
      <c r="J46" s="158">
        <v>22004.150000000009</v>
      </c>
      <c r="K46" s="159">
        <v>19487.960000000006</v>
      </c>
      <c r="L46" s="158">
        <v>21089.440000000006</v>
      </c>
      <c r="M46" s="158">
        <v>21516.69</v>
      </c>
      <c r="N46" s="158">
        <v>20531.920000000006</v>
      </c>
      <c r="O46" s="158">
        <v>21243.30999999999</v>
      </c>
      <c r="P46" s="158">
        <v>23166.450000000004</v>
      </c>
      <c r="Q46" s="158">
        <v>26520.299999999996</v>
      </c>
      <c r="R46" s="158">
        <v>30444.710000000021</v>
      </c>
      <c r="S46" s="400">
        <f ca="1">SUM(G46:OFFSET(G46,0,$F$2-1))</f>
        <v>308467.9800000001</v>
      </c>
      <c r="T46" s="158">
        <f t="shared" si="18"/>
        <v>102463.05000000003</v>
      </c>
      <c r="U46" s="158">
        <f t="shared" si="19"/>
        <v>62581.550000000017</v>
      </c>
      <c r="V46" s="158">
        <f t="shared" si="20"/>
        <v>63291.919999999991</v>
      </c>
      <c r="W46" s="158">
        <f t="shared" si="21"/>
        <v>80131.460000000021</v>
      </c>
      <c r="X46" s="161"/>
      <c r="Y46" s="162">
        <v>35511.450000000012</v>
      </c>
      <c r="Z46" s="162">
        <v>34142.020000000011</v>
      </c>
      <c r="AA46" s="162">
        <v>27972.240000000013</v>
      </c>
      <c r="AB46" s="162">
        <v>29968.27</v>
      </c>
      <c r="AC46" s="162">
        <v>26632.270000000015</v>
      </c>
      <c r="AD46" s="162">
        <v>28431.26000000002</v>
      </c>
      <c r="AE46" s="667">
        <v>16712.789999999994</v>
      </c>
      <c r="AF46" s="667">
        <v>20135.71</v>
      </c>
      <c r="AG46" s="667">
        <v>23252.790000000012</v>
      </c>
      <c r="AH46" s="667">
        <v>25338.209999999992</v>
      </c>
      <c r="AI46" s="667">
        <v>30666.400000000012</v>
      </c>
      <c r="AJ46" s="667">
        <v>36227.000000000015</v>
      </c>
      <c r="AK46" s="160">
        <f t="shared" si="22"/>
        <v>334990.41000000003</v>
      </c>
      <c r="AL46" s="121" t="s">
        <v>16</v>
      </c>
      <c r="AM46" s="121" t="s">
        <v>16</v>
      </c>
      <c r="AN46" s="121" t="str">
        <f t="shared" si="24"/>
        <v>FPU - FPU - GSTS - 1</v>
      </c>
    </row>
    <row r="47" spans="2:40" ht="10.5" customHeight="1">
      <c r="B47" s="121" t="s">
        <v>1172</v>
      </c>
      <c r="C47" s="121" t="s">
        <v>1153</v>
      </c>
      <c r="D47" s="121" t="s">
        <v>16</v>
      </c>
      <c r="E47" s="121" t="s">
        <v>172</v>
      </c>
      <c r="F47" s="364" t="s">
        <v>175</v>
      </c>
      <c r="G47" s="158">
        <v>364811.20000000071</v>
      </c>
      <c r="H47" s="158">
        <v>348013.42000000039</v>
      </c>
      <c r="I47" s="158">
        <v>315887.68000000023</v>
      </c>
      <c r="J47" s="158">
        <v>232087.80999999976</v>
      </c>
      <c r="K47" s="159">
        <v>214139.52999999968</v>
      </c>
      <c r="L47" s="158">
        <v>214921.00000000023</v>
      </c>
      <c r="M47" s="158">
        <v>227073.59000000005</v>
      </c>
      <c r="N47" s="158">
        <v>220609.98000000051</v>
      </c>
      <c r="O47" s="158">
        <v>222223.56999999983</v>
      </c>
      <c r="P47" s="158">
        <v>233825.16000000032</v>
      </c>
      <c r="Q47" s="158">
        <v>263512.8699999993</v>
      </c>
      <c r="R47" s="158">
        <v>316394.86999999924</v>
      </c>
      <c r="S47" s="400">
        <f ca="1">SUM(G47:OFFSET(G47,0,$F$2-1))</f>
        <v>3173500.6799999997</v>
      </c>
      <c r="T47" s="158">
        <f t="shared" si="18"/>
        <v>1028712.3000000012</v>
      </c>
      <c r="U47" s="158">
        <f t="shared" si="19"/>
        <v>661148.33999999962</v>
      </c>
      <c r="V47" s="158">
        <f t="shared" si="20"/>
        <v>669907.14000000036</v>
      </c>
      <c r="W47" s="158">
        <f t="shared" si="21"/>
        <v>813732.89999999886</v>
      </c>
      <c r="X47" s="161"/>
      <c r="Y47" s="162">
        <v>369352.26999999949</v>
      </c>
      <c r="Z47" s="162">
        <v>326887.27000000037</v>
      </c>
      <c r="AA47" s="162">
        <v>307907.01000000047</v>
      </c>
      <c r="AB47" s="162">
        <v>307629.46999999863</v>
      </c>
      <c r="AC47" s="162">
        <v>280200.95999999985</v>
      </c>
      <c r="AD47" s="162">
        <v>256153.66999999995</v>
      </c>
      <c r="AE47" s="667">
        <v>259836.79999999996</v>
      </c>
      <c r="AF47" s="667">
        <v>240657.54000000094</v>
      </c>
      <c r="AG47" s="667">
        <v>249146.32000000012</v>
      </c>
      <c r="AH47" s="667">
        <v>253211.03999999914</v>
      </c>
      <c r="AI47" s="667">
        <v>278370.39999999874</v>
      </c>
      <c r="AJ47" s="667">
        <v>324026.1399999999</v>
      </c>
      <c r="AK47" s="160">
        <f t="shared" si="22"/>
        <v>3453378.8899999969</v>
      </c>
      <c r="AL47" s="121" t="s">
        <v>16</v>
      </c>
      <c r="AM47" s="121" t="s">
        <v>16</v>
      </c>
      <c r="AN47" s="121" t="str">
        <f t="shared" si="24"/>
        <v>FPU - FPU - GS - 2</v>
      </c>
    </row>
    <row r="48" spans="2:40">
      <c r="B48" s="121" t="s">
        <v>1173</v>
      </c>
      <c r="C48" s="121" t="s">
        <v>1153</v>
      </c>
      <c r="D48" s="121" t="s">
        <v>16</v>
      </c>
      <c r="E48" s="121" t="s">
        <v>174</v>
      </c>
      <c r="F48" s="364" t="s">
        <v>176</v>
      </c>
      <c r="G48" s="158">
        <v>255853.31000000035</v>
      </c>
      <c r="H48" s="158">
        <v>245416.07999999996</v>
      </c>
      <c r="I48" s="158">
        <v>228675.03999999975</v>
      </c>
      <c r="J48" s="158">
        <v>169853.15000000014</v>
      </c>
      <c r="K48" s="159">
        <v>162156.06999999983</v>
      </c>
      <c r="L48" s="158">
        <v>168477.31000000011</v>
      </c>
      <c r="M48" s="158">
        <v>184885.37999999998</v>
      </c>
      <c r="N48" s="158">
        <v>176356.78999999969</v>
      </c>
      <c r="O48" s="158">
        <v>179824.51000000021</v>
      </c>
      <c r="P48" s="158">
        <v>186559.67000000016</v>
      </c>
      <c r="Q48" s="158">
        <v>208145.28000000006</v>
      </c>
      <c r="R48" s="158">
        <v>236289.05999999982</v>
      </c>
      <c r="S48" s="400">
        <f ca="1">SUM(G48:OFFSET(G48,0,$F$2-1))</f>
        <v>2402491.6499999994</v>
      </c>
      <c r="T48" s="158">
        <f t="shared" si="18"/>
        <v>729944.43</v>
      </c>
      <c r="U48" s="158">
        <f t="shared" si="19"/>
        <v>500486.53000000009</v>
      </c>
      <c r="V48" s="158">
        <f t="shared" si="20"/>
        <v>541066.67999999993</v>
      </c>
      <c r="W48" s="158">
        <f t="shared" si="21"/>
        <v>630994.01</v>
      </c>
      <c r="X48" s="161"/>
      <c r="Y48" s="162">
        <v>263681.8600000001</v>
      </c>
      <c r="Z48" s="162">
        <v>235853.91999999987</v>
      </c>
      <c r="AA48" s="162">
        <v>224414.97000000003</v>
      </c>
      <c r="AB48" s="162">
        <v>241841.68999999997</v>
      </c>
      <c r="AC48" s="162">
        <v>224053.17999999961</v>
      </c>
      <c r="AD48" s="162">
        <v>200562.98</v>
      </c>
      <c r="AE48" s="667">
        <v>209934.82999999984</v>
      </c>
      <c r="AF48" s="667">
        <v>197465.0100000001</v>
      </c>
      <c r="AG48" s="667">
        <v>208577.2200000002</v>
      </c>
      <c r="AH48" s="667">
        <v>205732.15999999983</v>
      </c>
      <c r="AI48" s="667">
        <v>223084.48000000004</v>
      </c>
      <c r="AJ48" s="667">
        <v>257684.16999999993</v>
      </c>
      <c r="AK48" s="160">
        <f t="shared" si="22"/>
        <v>2692886.4699999993</v>
      </c>
      <c r="AL48" s="121" t="s">
        <v>16</v>
      </c>
      <c r="AM48" s="121" t="s">
        <v>16</v>
      </c>
      <c r="AN48" s="121" t="str">
        <f t="shared" si="24"/>
        <v>FPU - FPU - GSTS - 2</v>
      </c>
    </row>
    <row r="49" spans="2:40">
      <c r="B49" s="121" t="s">
        <v>1174</v>
      </c>
      <c r="C49" s="121" t="s">
        <v>1153</v>
      </c>
      <c r="D49" s="121" t="s">
        <v>16</v>
      </c>
      <c r="E49" s="121" t="s">
        <v>172</v>
      </c>
      <c r="F49" s="364" t="s">
        <v>177</v>
      </c>
      <c r="G49" s="158">
        <v>12005.619999999999</v>
      </c>
      <c r="H49" s="158">
        <v>11558.570000000012</v>
      </c>
      <c r="I49" s="158">
        <v>10291.850000000013</v>
      </c>
      <c r="J49" s="158">
        <v>10573.630000000019</v>
      </c>
      <c r="K49" s="159">
        <v>10344.970000000016</v>
      </c>
      <c r="L49" s="158">
        <v>9763.8000000000266</v>
      </c>
      <c r="M49" s="158">
        <v>9710.9200000000092</v>
      </c>
      <c r="N49" s="158">
        <v>9594.2500000000164</v>
      </c>
      <c r="O49" s="158">
        <v>9509.6300000000429</v>
      </c>
      <c r="P49" s="158">
        <v>9698.0800000000145</v>
      </c>
      <c r="Q49" s="158">
        <v>10219.080000000007</v>
      </c>
      <c r="R49" s="158">
        <v>11538.529999999981</v>
      </c>
      <c r="S49" s="400">
        <f ca="1">SUM(G49:OFFSET(G49,0,$F$2-1))</f>
        <v>124808.93000000015</v>
      </c>
      <c r="T49" s="158">
        <f t="shared" si="18"/>
        <v>33856.040000000023</v>
      </c>
      <c r="U49" s="158">
        <f t="shared" si="19"/>
        <v>30682.40000000006</v>
      </c>
      <c r="V49" s="158">
        <f t="shared" si="20"/>
        <v>28814.800000000068</v>
      </c>
      <c r="W49" s="158">
        <f t="shared" si="21"/>
        <v>31455.690000000002</v>
      </c>
      <c r="X49" s="161"/>
      <c r="Y49" s="162">
        <v>11149.999999999995</v>
      </c>
      <c r="Z49" s="162">
        <v>10266.599999999999</v>
      </c>
      <c r="AA49" s="162">
        <v>10324.949999999999</v>
      </c>
      <c r="AB49" s="162">
        <v>10283.65</v>
      </c>
      <c r="AC49" s="162">
        <v>12852.139999999967</v>
      </c>
      <c r="AD49" s="162">
        <v>10853.009999999989</v>
      </c>
      <c r="AE49" s="667">
        <v>10127.550000000005</v>
      </c>
      <c r="AF49" s="667">
        <v>9942.3700000000117</v>
      </c>
      <c r="AG49" s="667">
        <v>9993.7500000000091</v>
      </c>
      <c r="AH49" s="667">
        <v>10111.050000000005</v>
      </c>
      <c r="AI49" s="667">
        <v>10654.999999999998</v>
      </c>
      <c r="AJ49" s="667">
        <v>10896.01999999999</v>
      </c>
      <c r="AK49" s="160">
        <f t="shared" si="22"/>
        <v>127456.08999999997</v>
      </c>
      <c r="AL49" s="121" t="s">
        <v>16</v>
      </c>
      <c r="AM49" s="121" t="s">
        <v>16</v>
      </c>
      <c r="AN49" s="121" t="str">
        <f t="shared" si="24"/>
        <v>FPU - FPU - CS - GS</v>
      </c>
    </row>
    <row r="50" spans="2:40">
      <c r="B50" s="121" t="s">
        <v>1175</v>
      </c>
      <c r="C50" s="121" t="s">
        <v>1153</v>
      </c>
      <c r="D50" s="121" t="s">
        <v>16</v>
      </c>
      <c r="E50" s="121" t="s">
        <v>179</v>
      </c>
      <c r="F50" s="364" t="s">
        <v>178</v>
      </c>
      <c r="G50" s="158">
        <v>415973.89999999892</v>
      </c>
      <c r="H50" s="158">
        <v>389261.94999999995</v>
      </c>
      <c r="I50" s="410">
        <v>346834.89999999967</v>
      </c>
      <c r="J50" s="410">
        <v>277769.61000000185</v>
      </c>
      <c r="K50" s="158">
        <v>281560.45000000141</v>
      </c>
      <c r="L50" s="158">
        <v>268826.88000000163</v>
      </c>
      <c r="M50" s="158">
        <v>287550.91000000114</v>
      </c>
      <c r="N50" s="158">
        <v>287170.17000000144</v>
      </c>
      <c r="O50" s="158">
        <v>269131.65000000159</v>
      </c>
      <c r="P50" s="158">
        <v>281126.36000000138</v>
      </c>
      <c r="Q50" s="158">
        <v>306201.41000000085</v>
      </c>
      <c r="R50" s="158">
        <v>339910.18000000034</v>
      </c>
      <c r="S50" s="400">
        <f ca="1">SUM(G50:OFFSET(G50,0,$F$2-1))</f>
        <v>3751318.3700000099</v>
      </c>
      <c r="T50" s="158">
        <f t="shared" si="18"/>
        <v>1152070.7499999986</v>
      </c>
      <c r="U50" s="158">
        <f t="shared" si="19"/>
        <v>828156.94000000495</v>
      </c>
      <c r="V50" s="158">
        <f t="shared" si="20"/>
        <v>843852.73000000417</v>
      </c>
      <c r="W50" s="158">
        <f t="shared" si="21"/>
        <v>927237.95000000251</v>
      </c>
      <c r="X50" s="161"/>
      <c r="Y50" s="162">
        <v>400013.62999999977</v>
      </c>
      <c r="Z50" s="162">
        <v>378892.30000000022</v>
      </c>
      <c r="AA50" s="162">
        <v>340158.13000000035</v>
      </c>
      <c r="AB50" s="162">
        <v>384970.1999999996</v>
      </c>
      <c r="AC50" s="162">
        <v>320287.50000000023</v>
      </c>
      <c r="AD50" s="162">
        <v>296880.81000000081</v>
      </c>
      <c r="AE50" s="162">
        <v>310441.36000000022</v>
      </c>
      <c r="AF50" s="162">
        <v>276000.56000000157</v>
      </c>
      <c r="AG50" s="162">
        <v>278860.74000000104</v>
      </c>
      <c r="AH50" s="162">
        <v>286216.38000000117</v>
      </c>
      <c r="AI50" s="162">
        <v>300641.99000000057</v>
      </c>
      <c r="AJ50" s="162">
        <v>333284.52000000025</v>
      </c>
      <c r="AK50" s="160">
        <f t="shared" si="22"/>
        <v>3906648.1200000057</v>
      </c>
      <c r="AL50" s="121" t="s">
        <v>16</v>
      </c>
      <c r="AM50" s="121" t="s">
        <v>16</v>
      </c>
      <c r="AN50" s="121" t="str">
        <f t="shared" si="24"/>
        <v>FPU - FPU - LVS</v>
      </c>
    </row>
    <row r="51" spans="2:40">
      <c r="B51" s="121" t="s">
        <v>979</v>
      </c>
      <c r="C51" s="121" t="s">
        <v>1153</v>
      </c>
      <c r="D51" s="121" t="s">
        <v>16</v>
      </c>
      <c r="F51" s="364" t="s">
        <v>979</v>
      </c>
      <c r="G51" s="411"/>
      <c r="H51" s="411"/>
      <c r="I51" s="412"/>
      <c r="J51" s="412"/>
      <c r="K51" s="411"/>
      <c r="L51" s="411"/>
      <c r="M51" s="411"/>
      <c r="N51" s="411"/>
      <c r="O51" s="411"/>
      <c r="P51" s="411"/>
      <c r="Q51" s="411"/>
      <c r="R51" s="411"/>
      <c r="S51" s="400">
        <f ca="1">SUM(G51:OFFSET(G51,0,$F$2-1))</f>
        <v>0</v>
      </c>
      <c r="T51" s="158">
        <f t="shared" si="18"/>
        <v>0</v>
      </c>
      <c r="U51" s="158">
        <f t="shared" si="19"/>
        <v>0</v>
      </c>
      <c r="V51" s="158">
        <f t="shared" si="20"/>
        <v>0</v>
      </c>
      <c r="W51" s="158">
        <f t="shared" si="21"/>
        <v>0</v>
      </c>
      <c r="X51" s="161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>
        <v>0</v>
      </c>
      <c r="AK51" s="160">
        <f t="shared" si="22"/>
        <v>0</v>
      </c>
      <c r="AL51" s="121" t="s">
        <v>16</v>
      </c>
      <c r="AM51" s="121" t="s">
        <v>16</v>
      </c>
      <c r="AN51" s="121" t="str">
        <f t="shared" si="24"/>
        <v>FPU - FPU - LVS Large Customers Non-Residential</v>
      </c>
    </row>
    <row r="52" spans="2:40">
      <c r="B52" s="121" t="s">
        <v>1176</v>
      </c>
      <c r="C52" s="121" t="s">
        <v>1153</v>
      </c>
      <c r="D52" s="121" t="s">
        <v>16</v>
      </c>
      <c r="F52" s="364" t="s">
        <v>180</v>
      </c>
      <c r="G52" s="158">
        <v>0</v>
      </c>
      <c r="H52" s="158">
        <v>0</v>
      </c>
      <c r="I52" s="158">
        <v>0</v>
      </c>
      <c r="J52" s="158"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8">
        <v>0</v>
      </c>
      <c r="Q52" s="158">
        <v>0</v>
      </c>
      <c r="R52" s="158">
        <v>0</v>
      </c>
      <c r="S52" s="400">
        <f ca="1">SUM(G52:OFFSET(G52,0,$F$2-1))</f>
        <v>0</v>
      </c>
      <c r="T52" s="158">
        <f t="shared" si="18"/>
        <v>0</v>
      </c>
      <c r="U52" s="158">
        <f t="shared" si="19"/>
        <v>0</v>
      </c>
      <c r="V52" s="158">
        <f t="shared" si="20"/>
        <v>0</v>
      </c>
      <c r="W52" s="158">
        <f t="shared" si="21"/>
        <v>0</v>
      </c>
      <c r="X52" s="161"/>
      <c r="Y52" s="162">
        <v>0</v>
      </c>
      <c r="Z52" s="162">
        <v>0</v>
      </c>
      <c r="AA52" s="162">
        <v>0</v>
      </c>
      <c r="AB52" s="162">
        <v>0</v>
      </c>
      <c r="AC52" s="162">
        <v>0</v>
      </c>
      <c r="AD52" s="162">
        <v>0</v>
      </c>
      <c r="AE52" s="162">
        <v>0</v>
      </c>
      <c r="AF52" s="162">
        <v>0</v>
      </c>
      <c r="AG52" s="162">
        <v>0</v>
      </c>
      <c r="AH52" s="162">
        <v>0</v>
      </c>
      <c r="AI52" s="162">
        <v>0</v>
      </c>
      <c r="AJ52" s="162">
        <v>0</v>
      </c>
      <c r="AK52" s="160">
        <f t="shared" si="22"/>
        <v>0</v>
      </c>
      <c r="AL52" s="121" t="s">
        <v>16</v>
      </c>
      <c r="AM52" s="121" t="s">
        <v>16</v>
      </c>
      <c r="AN52" s="121" t="str">
        <f t="shared" si="24"/>
        <v>FPU - FPU - LVTS &lt;50k</v>
      </c>
    </row>
    <row r="53" spans="2:40">
      <c r="B53" s="121" t="s">
        <v>1177</v>
      </c>
      <c r="C53" s="121" t="s">
        <v>1153</v>
      </c>
      <c r="D53" s="121" t="s">
        <v>16</v>
      </c>
      <c r="E53" s="121" t="s">
        <v>182</v>
      </c>
      <c r="F53" s="364" t="s">
        <v>181</v>
      </c>
      <c r="G53" s="158">
        <v>1274126.1199999999</v>
      </c>
      <c r="H53" s="158">
        <v>1199211.3199999984</v>
      </c>
      <c r="I53" s="158">
        <v>1147941.2299999984</v>
      </c>
      <c r="J53" s="158">
        <v>945109.99999999476</v>
      </c>
      <c r="K53" s="159">
        <v>923213.2199999966</v>
      </c>
      <c r="L53" s="158">
        <v>956223.88999999699</v>
      </c>
      <c r="M53" s="158">
        <v>1002362.92</v>
      </c>
      <c r="N53" s="158">
        <v>972881.40999999701</v>
      </c>
      <c r="O53" s="158">
        <v>985434.26999999594</v>
      </c>
      <c r="P53" s="158">
        <v>990273.20999999798</v>
      </c>
      <c r="Q53" s="158">
        <v>1029692.28</v>
      </c>
      <c r="R53" s="158">
        <v>1120504.98</v>
      </c>
      <c r="S53" s="400">
        <f ca="1">SUM(G53:OFFSET(G53,0,$F$2-1))</f>
        <v>12546974.849999975</v>
      </c>
      <c r="T53" s="158">
        <f t="shared" si="18"/>
        <v>3621278.6699999971</v>
      </c>
      <c r="U53" s="158">
        <f t="shared" si="19"/>
        <v>2824547.1099999882</v>
      </c>
      <c r="V53" s="158">
        <f t="shared" si="20"/>
        <v>2960678.5999999931</v>
      </c>
      <c r="W53" s="158">
        <f t="shared" si="21"/>
        <v>3140470.4699999979</v>
      </c>
      <c r="X53" s="161"/>
      <c r="Y53" s="162">
        <v>1182652.45</v>
      </c>
      <c r="Z53" s="162">
        <v>1105333.4799999977</v>
      </c>
      <c r="AA53" s="162">
        <v>1161331.2499999979</v>
      </c>
      <c r="AB53" s="162">
        <v>1138883.0999999968</v>
      </c>
      <c r="AC53" s="162">
        <v>1105140.029999997</v>
      </c>
      <c r="AD53" s="162">
        <v>1038314.0199999979</v>
      </c>
      <c r="AE53" s="162">
        <v>1100091.2499999974</v>
      </c>
      <c r="AF53" s="162">
        <v>1036810.4499999969</v>
      </c>
      <c r="AG53" s="162">
        <v>1103363.5499999966</v>
      </c>
      <c r="AH53" s="162">
        <v>1094899.8799999973</v>
      </c>
      <c r="AI53" s="162">
        <v>1143636.3499999973</v>
      </c>
      <c r="AJ53" s="162">
        <v>1183637.1199999994</v>
      </c>
      <c r="AK53" s="160">
        <f t="shared" si="22"/>
        <v>13394092.929999972</v>
      </c>
      <c r="AL53" s="121" t="s">
        <v>16</v>
      </c>
      <c r="AM53" s="121" t="s">
        <v>16</v>
      </c>
      <c r="AN53" s="121" t="str">
        <f t="shared" si="24"/>
        <v>FPU - FPU - LVTS &gt;50k</v>
      </c>
    </row>
    <row r="54" spans="2:40" ht="11.1" customHeight="1">
      <c r="B54" s="121" t="s">
        <v>980</v>
      </c>
      <c r="C54" s="121" t="s">
        <v>1153</v>
      </c>
      <c r="D54" s="121" t="s">
        <v>16</v>
      </c>
      <c r="F54" s="364" t="s">
        <v>980</v>
      </c>
      <c r="G54" s="411"/>
      <c r="H54" s="411"/>
      <c r="I54" s="411"/>
      <c r="J54" s="411"/>
      <c r="K54" s="413"/>
      <c r="L54" s="411"/>
      <c r="M54" s="411"/>
      <c r="N54" s="411"/>
      <c r="O54" s="411"/>
      <c r="P54" s="411"/>
      <c r="Q54" s="411"/>
      <c r="R54" s="411"/>
      <c r="S54" s="400">
        <f ca="1">SUM(G54:OFFSET(G54,0,$F$2-1))</f>
        <v>0</v>
      </c>
      <c r="T54" s="158">
        <f t="shared" si="18"/>
        <v>0</v>
      </c>
      <c r="U54" s="158">
        <f t="shared" si="19"/>
        <v>0</v>
      </c>
      <c r="V54" s="158">
        <f t="shared" si="20"/>
        <v>0</v>
      </c>
      <c r="W54" s="158">
        <f t="shared" si="21"/>
        <v>0</v>
      </c>
      <c r="X54" s="161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>
        <v>0</v>
      </c>
      <c r="AK54" s="160">
        <f t="shared" si="22"/>
        <v>0</v>
      </c>
      <c r="AL54" s="121" t="s">
        <v>16</v>
      </c>
      <c r="AM54" s="121" t="s">
        <v>16</v>
      </c>
      <c r="AN54" s="121" t="str">
        <f t="shared" si="24"/>
        <v>FPU - FPU - LVTS &gt;50k Large Customers Non-Residential</v>
      </c>
    </row>
    <row r="55" spans="2:40">
      <c r="B55" s="121" t="s">
        <v>1178</v>
      </c>
      <c r="C55" s="121" t="s">
        <v>1153</v>
      </c>
      <c r="D55" s="121" t="s">
        <v>16</v>
      </c>
      <c r="F55" s="364" t="s">
        <v>183</v>
      </c>
      <c r="G55" s="158">
        <v>0</v>
      </c>
      <c r="H55" s="158">
        <v>0</v>
      </c>
      <c r="I55" s="158">
        <v>0</v>
      </c>
      <c r="J55" s="158">
        <v>0</v>
      </c>
      <c r="K55" s="159">
        <v>0</v>
      </c>
      <c r="L55" s="158">
        <v>0</v>
      </c>
      <c r="M55" s="158">
        <v>0</v>
      </c>
      <c r="N55" s="158">
        <v>0</v>
      </c>
      <c r="O55" s="158">
        <v>0</v>
      </c>
      <c r="P55" s="158">
        <v>0</v>
      </c>
      <c r="Q55" s="158">
        <v>0</v>
      </c>
      <c r="R55" s="158">
        <v>0</v>
      </c>
      <c r="S55" s="400">
        <f ca="1">SUM(G55:OFFSET(G55,0,$F$2-1))</f>
        <v>0</v>
      </c>
      <c r="T55" s="158">
        <f t="shared" si="18"/>
        <v>0</v>
      </c>
      <c r="U55" s="158">
        <f t="shared" si="19"/>
        <v>0</v>
      </c>
      <c r="V55" s="158">
        <f t="shared" si="20"/>
        <v>0</v>
      </c>
      <c r="W55" s="158">
        <f t="shared" si="21"/>
        <v>0</v>
      </c>
      <c r="X55" s="161"/>
      <c r="Y55" s="162">
        <v>0</v>
      </c>
      <c r="Z55" s="162">
        <v>0</v>
      </c>
      <c r="AA55" s="162">
        <v>0</v>
      </c>
      <c r="AB55" s="162">
        <v>0</v>
      </c>
      <c r="AC55" s="162">
        <v>0</v>
      </c>
      <c r="AD55" s="162">
        <v>0</v>
      </c>
      <c r="AE55" s="162">
        <v>0</v>
      </c>
      <c r="AF55" s="162">
        <v>0</v>
      </c>
      <c r="AG55" s="162">
        <v>0</v>
      </c>
      <c r="AH55" s="162">
        <v>0</v>
      </c>
      <c r="AI55" s="162">
        <v>0</v>
      </c>
      <c r="AJ55" s="162">
        <v>0</v>
      </c>
      <c r="AK55" s="160">
        <f t="shared" si="22"/>
        <v>0</v>
      </c>
      <c r="AL55" s="121" t="s">
        <v>16</v>
      </c>
      <c r="AM55" s="121" t="s">
        <v>16</v>
      </c>
      <c r="AN55" s="121" t="str">
        <f t="shared" si="24"/>
        <v>FPU - FPU - IS</v>
      </c>
    </row>
    <row r="56" spans="2:40">
      <c r="B56" s="121" t="s">
        <v>1179</v>
      </c>
      <c r="C56" s="121" t="s">
        <v>1153</v>
      </c>
      <c r="D56" s="121" t="s">
        <v>16</v>
      </c>
      <c r="E56" s="121" t="s">
        <v>185</v>
      </c>
      <c r="F56" s="364" t="s">
        <v>184</v>
      </c>
      <c r="G56" s="158">
        <v>205853.4</v>
      </c>
      <c r="H56" s="158">
        <v>191894.57</v>
      </c>
      <c r="I56" s="158">
        <v>219778.35</v>
      </c>
      <c r="J56" s="158">
        <v>196506.05000000002</v>
      </c>
      <c r="K56" s="159">
        <v>211135.58</v>
      </c>
      <c r="L56" s="158">
        <v>191742.55000000002</v>
      </c>
      <c r="M56" s="158">
        <v>203988.59000000005</v>
      </c>
      <c r="N56" s="158">
        <v>205455.11000000007</v>
      </c>
      <c r="O56" s="158">
        <v>196715.88999999998</v>
      </c>
      <c r="P56" s="158">
        <v>207883.27000000002</v>
      </c>
      <c r="Q56" s="158">
        <v>208528.92</v>
      </c>
      <c r="R56" s="158">
        <v>215468.58999999994</v>
      </c>
      <c r="S56" s="400">
        <f ca="1">SUM(G56:OFFSET(G56,0,$F$2-1))</f>
        <v>2454950.87</v>
      </c>
      <c r="T56" s="158">
        <f t="shared" si="18"/>
        <v>617526.31999999995</v>
      </c>
      <c r="U56" s="158">
        <f t="shared" si="19"/>
        <v>599384.18000000005</v>
      </c>
      <c r="V56" s="158">
        <f t="shared" si="20"/>
        <v>606159.59000000008</v>
      </c>
      <c r="W56" s="158">
        <f t="shared" si="21"/>
        <v>631880.78</v>
      </c>
      <c r="X56" s="161"/>
      <c r="Y56" s="162">
        <v>223917.83</v>
      </c>
      <c r="Z56" s="162">
        <v>186827.77000000002</v>
      </c>
      <c r="AA56" s="162">
        <v>201606.64</v>
      </c>
      <c r="AB56" s="162">
        <v>176129.91999999998</v>
      </c>
      <c r="AC56" s="162">
        <v>190273.21999999997</v>
      </c>
      <c r="AD56" s="162">
        <v>170758.54000000004</v>
      </c>
      <c r="AE56" s="162">
        <v>182775.33</v>
      </c>
      <c r="AF56" s="162">
        <v>194033.48</v>
      </c>
      <c r="AG56" s="162">
        <v>189954.26</v>
      </c>
      <c r="AH56" s="162">
        <v>211735.54000000004</v>
      </c>
      <c r="AI56" s="162">
        <v>203360.02</v>
      </c>
      <c r="AJ56" s="162">
        <v>202751.17</v>
      </c>
      <c r="AK56" s="160">
        <f t="shared" si="22"/>
        <v>2334123.7199999997</v>
      </c>
      <c r="AL56" s="121" t="s">
        <v>16</v>
      </c>
      <c r="AM56" s="121" t="s">
        <v>16</v>
      </c>
      <c r="AN56" s="121" t="str">
        <f t="shared" si="24"/>
        <v>FPU - FPU - ITS</v>
      </c>
    </row>
    <row r="57" spans="2:40">
      <c r="B57" s="121" t="s">
        <v>981</v>
      </c>
      <c r="C57" s="121" t="s">
        <v>1153</v>
      </c>
      <c r="D57" s="121" t="s">
        <v>16</v>
      </c>
      <c r="F57" s="364" t="s">
        <v>981</v>
      </c>
      <c r="G57" s="411"/>
      <c r="H57" s="411"/>
      <c r="I57" s="411"/>
      <c r="J57" s="411"/>
      <c r="K57" s="413"/>
      <c r="L57" s="411"/>
      <c r="M57" s="411"/>
      <c r="N57" s="411"/>
      <c r="O57" s="411"/>
      <c r="P57" s="411"/>
      <c r="Q57" s="411"/>
      <c r="R57" s="411"/>
      <c r="S57" s="400">
        <f ca="1">SUM(G57:OFFSET(G57,0,$F$2-1))</f>
        <v>0</v>
      </c>
      <c r="T57" s="158">
        <f t="shared" si="18"/>
        <v>0</v>
      </c>
      <c r="U57" s="158">
        <f t="shared" si="19"/>
        <v>0</v>
      </c>
      <c r="V57" s="158">
        <f t="shared" si="20"/>
        <v>0</v>
      </c>
      <c r="W57" s="158">
        <f t="shared" si="21"/>
        <v>0</v>
      </c>
      <c r="X57" s="161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>
        <v>0</v>
      </c>
      <c r="AK57" s="160">
        <f t="shared" si="22"/>
        <v>0</v>
      </c>
      <c r="AL57" s="121" t="s">
        <v>16</v>
      </c>
      <c r="AM57" s="121" t="s">
        <v>16</v>
      </c>
      <c r="AN57" s="121" t="str">
        <f t="shared" si="24"/>
        <v>FPU - FPU - ITS Large Customers Non-Residential</v>
      </c>
    </row>
    <row r="58" spans="2:40">
      <c r="B58" s="121" t="s">
        <v>1180</v>
      </c>
      <c r="C58" s="121" t="s">
        <v>1153</v>
      </c>
      <c r="D58" s="121" t="s">
        <v>16</v>
      </c>
      <c r="E58" s="121" t="s">
        <v>187</v>
      </c>
      <c r="F58" s="364" t="s">
        <v>186</v>
      </c>
      <c r="G58" s="158">
        <v>2520.3100000000004</v>
      </c>
      <c r="H58" s="158">
        <v>3043.13</v>
      </c>
      <c r="I58" s="158">
        <v>2781.7200000000003</v>
      </c>
      <c r="J58" s="158">
        <v>2781.7200000000003</v>
      </c>
      <c r="K58" s="159">
        <v>2781.7200000000003</v>
      </c>
      <c r="L58" s="158">
        <v>2781.7200000000003</v>
      </c>
      <c r="M58" s="158">
        <v>2781.7200000000003</v>
      </c>
      <c r="N58" s="158">
        <v>2781.7200000000003</v>
      </c>
      <c r="O58" s="158">
        <v>2781.7200000000003</v>
      </c>
      <c r="P58" s="158">
        <v>2691.7200000000003</v>
      </c>
      <c r="Q58" s="158">
        <v>2871.7200000000003</v>
      </c>
      <c r="R58" s="158">
        <v>2691.7200000000003</v>
      </c>
      <c r="S58" s="400">
        <f ca="1">SUM(G58:OFFSET(G58,0,$F$2-1))</f>
        <v>33290.640000000007</v>
      </c>
      <c r="T58" s="158">
        <f t="shared" si="18"/>
        <v>8345.16</v>
      </c>
      <c r="U58" s="158">
        <f t="shared" si="19"/>
        <v>8345.16</v>
      </c>
      <c r="V58" s="158">
        <f t="shared" si="20"/>
        <v>8345.16</v>
      </c>
      <c r="W58" s="158">
        <f t="shared" si="21"/>
        <v>8255.16</v>
      </c>
      <c r="X58" s="161"/>
      <c r="Y58" s="162">
        <v>2691.7200000000003</v>
      </c>
      <c r="Z58" s="162">
        <v>2592.94</v>
      </c>
      <c r="AA58" s="162">
        <v>2592.94</v>
      </c>
      <c r="AB58" s="162">
        <v>2592.94</v>
      </c>
      <c r="AC58" s="162">
        <v>2558.4099999999994</v>
      </c>
      <c r="AD58" s="162">
        <v>2558.4099999999994</v>
      </c>
      <c r="AE58" s="162">
        <v>2558.4099999999994</v>
      </c>
      <c r="AF58" s="162">
        <v>2358.29</v>
      </c>
      <c r="AG58" s="162">
        <v>2358.29</v>
      </c>
      <c r="AH58" s="162">
        <v>2358.29</v>
      </c>
      <c r="AI58" s="162">
        <v>2166.6099999999997</v>
      </c>
      <c r="AJ58" s="162">
        <v>2195.66</v>
      </c>
      <c r="AK58" s="160">
        <f t="shared" si="22"/>
        <v>29582.910000000003</v>
      </c>
      <c r="AL58" s="121" t="s">
        <v>16</v>
      </c>
      <c r="AM58" s="121" t="s">
        <v>16</v>
      </c>
      <c r="AN58" s="121" t="str">
        <f t="shared" si="24"/>
        <v>FPU - FPU - GLS</v>
      </c>
    </row>
    <row r="59" spans="2:40">
      <c r="B59" s="121" t="s">
        <v>1181</v>
      </c>
      <c r="C59" s="121" t="s">
        <v>1153</v>
      </c>
      <c r="D59" s="121" t="s">
        <v>16</v>
      </c>
      <c r="F59" s="364" t="s">
        <v>188</v>
      </c>
      <c r="G59" s="158">
        <v>0</v>
      </c>
      <c r="H59" s="158">
        <v>0</v>
      </c>
      <c r="I59" s="158">
        <v>0</v>
      </c>
      <c r="J59" s="158">
        <v>0</v>
      </c>
      <c r="K59" s="159">
        <v>0</v>
      </c>
      <c r="L59" s="158">
        <v>0</v>
      </c>
      <c r="M59" s="158">
        <v>0</v>
      </c>
      <c r="N59" s="158">
        <v>0</v>
      </c>
      <c r="O59" s="158">
        <v>0</v>
      </c>
      <c r="P59" s="158">
        <v>0</v>
      </c>
      <c r="Q59" s="158">
        <v>0</v>
      </c>
      <c r="R59" s="158">
        <v>0</v>
      </c>
      <c r="S59" s="400">
        <f ca="1">SUM(G59:OFFSET(G59,0,$F$2-1))</f>
        <v>0</v>
      </c>
      <c r="T59" s="158">
        <f t="shared" si="18"/>
        <v>0</v>
      </c>
      <c r="U59" s="158">
        <f t="shared" si="19"/>
        <v>0</v>
      </c>
      <c r="V59" s="158">
        <f t="shared" si="20"/>
        <v>0</v>
      </c>
      <c r="W59" s="158">
        <f t="shared" si="21"/>
        <v>0</v>
      </c>
      <c r="X59" s="161"/>
      <c r="Y59" s="162">
        <v>0</v>
      </c>
      <c r="Z59" s="162">
        <v>0</v>
      </c>
      <c r="AA59" s="162">
        <v>0</v>
      </c>
      <c r="AB59" s="162">
        <v>0</v>
      </c>
      <c r="AC59" s="162">
        <v>0</v>
      </c>
      <c r="AD59" s="162">
        <v>0</v>
      </c>
      <c r="AE59" s="162">
        <v>0</v>
      </c>
      <c r="AF59" s="162">
        <v>0</v>
      </c>
      <c r="AG59" s="162">
        <v>0</v>
      </c>
      <c r="AH59" s="162">
        <v>0</v>
      </c>
      <c r="AI59" s="162">
        <v>0</v>
      </c>
      <c r="AJ59" s="162">
        <v>0</v>
      </c>
      <c r="AK59" s="160">
        <f t="shared" si="22"/>
        <v>0</v>
      </c>
      <c r="AL59" s="121" t="s">
        <v>16</v>
      </c>
      <c r="AM59" s="121" t="s">
        <v>16</v>
      </c>
      <c r="AN59" s="121" t="str">
        <f t="shared" si="24"/>
        <v>FPU - FPU-NGVS</v>
      </c>
    </row>
    <row r="60" spans="2:40">
      <c r="B60" s="121" t="s">
        <v>1182</v>
      </c>
      <c r="C60" s="121" t="s">
        <v>1153</v>
      </c>
      <c r="D60" s="121" t="s">
        <v>16</v>
      </c>
      <c r="E60" s="121" t="s">
        <v>174</v>
      </c>
      <c r="F60" s="364" t="s">
        <v>189</v>
      </c>
      <c r="G60" s="158">
        <v>12731.42</v>
      </c>
      <c r="H60" s="158">
        <v>11526.3</v>
      </c>
      <c r="I60" s="158">
        <v>13009.220000000001</v>
      </c>
      <c r="J60" s="158">
        <v>13756.46</v>
      </c>
      <c r="K60" s="159">
        <v>13309.5</v>
      </c>
      <c r="L60" s="158">
        <v>14086.86</v>
      </c>
      <c r="M60" s="158">
        <v>15112</v>
      </c>
      <c r="N60" s="158">
        <v>14337.509999999998</v>
      </c>
      <c r="O60" s="158">
        <v>14511.880000000001</v>
      </c>
      <c r="P60" s="158">
        <v>14530.89</v>
      </c>
      <c r="Q60" s="158">
        <v>13602.95</v>
      </c>
      <c r="R60" s="158">
        <v>13873.91</v>
      </c>
      <c r="S60" s="400">
        <f ca="1">SUM(G60:OFFSET(G60,0,$F$2-1))</f>
        <v>164388.90000000002</v>
      </c>
      <c r="T60" s="158">
        <f t="shared" si="18"/>
        <v>37266.94</v>
      </c>
      <c r="U60" s="158">
        <f t="shared" si="19"/>
        <v>41152.82</v>
      </c>
      <c r="V60" s="158">
        <f t="shared" si="20"/>
        <v>43961.39</v>
      </c>
      <c r="W60" s="158">
        <f t="shared" si="21"/>
        <v>42007.75</v>
      </c>
      <c r="X60" s="161"/>
      <c r="Y60" s="162">
        <v>14076.59</v>
      </c>
      <c r="Z60" s="162">
        <v>14017.779999999999</v>
      </c>
      <c r="AA60" s="162">
        <v>16384.990000000002</v>
      </c>
      <c r="AB60" s="162">
        <v>16076.61</v>
      </c>
      <c r="AC60" s="162">
        <v>15657.84</v>
      </c>
      <c r="AD60" s="162">
        <v>15992.69</v>
      </c>
      <c r="AE60" s="162">
        <v>16208.28</v>
      </c>
      <c r="AF60" s="162">
        <v>16690.11</v>
      </c>
      <c r="AG60" s="162">
        <v>16497.189999999999</v>
      </c>
      <c r="AH60" s="162">
        <v>15640.140000000001</v>
      </c>
      <c r="AI60" s="162">
        <v>15641.76</v>
      </c>
      <c r="AJ60" s="162">
        <v>16893.41</v>
      </c>
      <c r="AK60" s="160">
        <f t="shared" si="22"/>
        <v>189777.39</v>
      </c>
      <c r="AL60" s="121" t="s">
        <v>16</v>
      </c>
      <c r="AM60" s="121" t="s">
        <v>16</v>
      </c>
      <c r="AN60" s="121" t="str">
        <f t="shared" si="24"/>
        <v>FPU - FPU- NGVTS</v>
      </c>
    </row>
    <row r="61" spans="2:40">
      <c r="B61" s="121" t="s">
        <v>1183</v>
      </c>
      <c r="C61" s="121" t="s">
        <v>1153</v>
      </c>
      <c r="D61" s="121" t="s">
        <v>14</v>
      </c>
      <c r="E61" s="121" t="s">
        <v>191</v>
      </c>
      <c r="F61" s="364" t="s">
        <v>190</v>
      </c>
      <c r="G61" s="158">
        <v>95.21</v>
      </c>
      <c r="H61" s="158">
        <v>106.47999999999999</v>
      </c>
      <c r="I61" s="158">
        <v>93.52</v>
      </c>
      <c r="J61" s="158">
        <v>72.900000000000006</v>
      </c>
      <c r="K61" s="158">
        <v>74</v>
      </c>
      <c r="L61" s="158">
        <v>82.74</v>
      </c>
      <c r="M61" s="158">
        <v>74.06</v>
      </c>
      <c r="N61" s="158">
        <v>70</v>
      </c>
      <c r="O61" s="158">
        <v>77.53</v>
      </c>
      <c r="P61" s="158">
        <v>82.169999999999987</v>
      </c>
      <c r="Q61" s="158">
        <v>74.680000000000007</v>
      </c>
      <c r="R61" s="158">
        <v>92.87</v>
      </c>
      <c r="S61" s="400">
        <f ca="1">SUM(G61:OFFSET(G61,0,$F$2-1))</f>
        <v>996.16</v>
      </c>
      <c r="T61" s="158">
        <f t="shared" si="18"/>
        <v>295.20999999999998</v>
      </c>
      <c r="U61" s="158">
        <f t="shared" si="19"/>
        <v>229.64</v>
      </c>
      <c r="V61" s="158">
        <f t="shared" si="20"/>
        <v>221.59</v>
      </c>
      <c r="W61" s="158">
        <f t="shared" si="21"/>
        <v>249.72</v>
      </c>
      <c r="X61" s="161"/>
      <c r="Y61" s="162">
        <v>76.48</v>
      </c>
      <c r="Z61" s="162">
        <v>74.11</v>
      </c>
      <c r="AA61" s="162">
        <v>73.510000000000005</v>
      </c>
      <c r="AB61" s="162">
        <v>79.989999999999995</v>
      </c>
      <c r="AC61" s="162">
        <v>75.789999999999992</v>
      </c>
      <c r="AD61" s="162">
        <v>72.900000000000006</v>
      </c>
      <c r="AE61" s="162">
        <v>75.210000000000008</v>
      </c>
      <c r="AF61" s="162">
        <v>83.32</v>
      </c>
      <c r="AG61" s="162">
        <v>74.09</v>
      </c>
      <c r="AH61" s="162">
        <v>74.63</v>
      </c>
      <c r="AI61" s="162">
        <v>72.900000000000006</v>
      </c>
      <c r="AJ61" s="162">
        <v>72.319999999999993</v>
      </c>
      <c r="AK61" s="160">
        <f t="shared" si="22"/>
        <v>905.25</v>
      </c>
      <c r="AL61" s="121" t="s">
        <v>14</v>
      </c>
      <c r="AM61" s="121" t="s">
        <v>14</v>
      </c>
      <c r="AN61" s="121" t="s">
        <v>706</v>
      </c>
    </row>
    <row r="62" spans="2:40">
      <c r="B62" s="121" t="s">
        <v>1184</v>
      </c>
      <c r="C62" s="121" t="s">
        <v>1153</v>
      </c>
      <c r="D62" s="121" t="s">
        <v>14</v>
      </c>
      <c r="E62" s="121" t="s">
        <v>191</v>
      </c>
      <c r="F62" s="364" t="s">
        <v>192</v>
      </c>
      <c r="G62" s="158">
        <v>8318.36</v>
      </c>
      <c r="H62" s="158">
        <v>8752.44</v>
      </c>
      <c r="I62" s="158">
        <v>8215.09</v>
      </c>
      <c r="J62" s="158">
        <v>6027</v>
      </c>
      <c r="K62" s="158">
        <v>3788</v>
      </c>
      <c r="L62" s="158">
        <v>3392.83</v>
      </c>
      <c r="M62" s="158">
        <v>3444.38</v>
      </c>
      <c r="N62" s="158">
        <v>3009.2599999999998</v>
      </c>
      <c r="O62" s="158">
        <v>3298.7300000000005</v>
      </c>
      <c r="P62" s="158">
        <v>4087.45</v>
      </c>
      <c r="Q62" s="158">
        <v>5784.7300000000005</v>
      </c>
      <c r="R62" s="158">
        <v>8623.5399999999991</v>
      </c>
      <c r="S62" s="400">
        <f ca="1">SUM(G62:OFFSET(G62,0,$F$2-1))</f>
        <v>66741.81</v>
      </c>
      <c r="T62" s="158">
        <f t="shared" si="18"/>
        <v>25285.890000000003</v>
      </c>
      <c r="U62" s="158">
        <f t="shared" si="19"/>
        <v>13207.83</v>
      </c>
      <c r="V62" s="158">
        <f t="shared" si="20"/>
        <v>9752.369999999999</v>
      </c>
      <c r="W62" s="158">
        <f t="shared" si="21"/>
        <v>18495.72</v>
      </c>
      <c r="X62" s="161"/>
      <c r="Y62" s="162">
        <v>9043.3200000000015</v>
      </c>
      <c r="Z62" s="162">
        <v>8521.98</v>
      </c>
      <c r="AA62" s="162">
        <v>6902.7100000000009</v>
      </c>
      <c r="AB62" s="162">
        <v>6891.7600000000011</v>
      </c>
      <c r="AC62" s="162">
        <v>6124.59</v>
      </c>
      <c r="AD62" s="162">
        <v>5112.82</v>
      </c>
      <c r="AE62" s="162">
        <v>3050.91</v>
      </c>
      <c r="AF62" s="162">
        <v>5096.41</v>
      </c>
      <c r="AG62" s="162">
        <v>3999.1700000000005</v>
      </c>
      <c r="AH62" s="162">
        <v>4876.2700000000004</v>
      </c>
      <c r="AI62" s="162">
        <v>6586.8900000000012</v>
      </c>
      <c r="AJ62" s="162">
        <v>8427.6500000000015</v>
      </c>
      <c r="AK62" s="160">
        <f t="shared" si="22"/>
        <v>74634.48000000001</v>
      </c>
      <c r="AL62" s="121" t="s">
        <v>14</v>
      </c>
      <c r="AM62" s="121" t="s">
        <v>14</v>
      </c>
      <c r="AN62" s="121" t="s">
        <v>706</v>
      </c>
    </row>
    <row r="63" spans="2:40">
      <c r="B63" s="121" t="s">
        <v>1185</v>
      </c>
      <c r="C63" s="121" t="s">
        <v>1153</v>
      </c>
      <c r="D63" s="121" t="s">
        <v>14</v>
      </c>
      <c r="E63" s="121" t="s">
        <v>195</v>
      </c>
      <c r="F63" s="364" t="s">
        <v>194</v>
      </c>
      <c r="G63" s="158">
        <v>1442.58</v>
      </c>
      <c r="H63" s="158">
        <v>1415.51</v>
      </c>
      <c r="I63" s="158">
        <v>1378.33</v>
      </c>
      <c r="J63" s="158">
        <v>1092</v>
      </c>
      <c r="K63" s="159">
        <v>915</v>
      </c>
      <c r="L63" s="158">
        <v>956.36</v>
      </c>
      <c r="M63" s="158">
        <v>1019.35</v>
      </c>
      <c r="N63" s="158">
        <v>925.79</v>
      </c>
      <c r="O63" s="158">
        <v>1201.96</v>
      </c>
      <c r="P63" s="158">
        <v>1218.3</v>
      </c>
      <c r="Q63" s="158">
        <v>1332.12</v>
      </c>
      <c r="R63" s="158">
        <v>1525.37</v>
      </c>
      <c r="S63" s="400">
        <f ca="1">SUM(G63:OFFSET(G63,0,$F$2-1))</f>
        <v>14422.669999999995</v>
      </c>
      <c r="T63" s="158">
        <f t="shared" si="18"/>
        <v>4236.42</v>
      </c>
      <c r="U63" s="158">
        <f t="shared" si="19"/>
        <v>2963.36</v>
      </c>
      <c r="V63" s="158">
        <f t="shared" si="20"/>
        <v>3147.1</v>
      </c>
      <c r="W63" s="158">
        <f t="shared" si="21"/>
        <v>4075.79</v>
      </c>
      <c r="X63" s="161"/>
      <c r="Y63" s="162">
        <v>1650.3300000000002</v>
      </c>
      <c r="Z63" s="162">
        <v>1739.3899999999999</v>
      </c>
      <c r="AA63" s="162">
        <v>1694.1399999999999</v>
      </c>
      <c r="AB63" s="162">
        <v>1821.09</v>
      </c>
      <c r="AC63" s="162">
        <v>1747.57</v>
      </c>
      <c r="AD63" s="162">
        <v>1568.41</v>
      </c>
      <c r="AE63" s="162">
        <v>1506.28</v>
      </c>
      <c r="AF63" s="162">
        <v>1487.3</v>
      </c>
      <c r="AG63" s="162">
        <v>2049.09</v>
      </c>
      <c r="AH63" s="162">
        <v>1869.79</v>
      </c>
      <c r="AI63" s="162">
        <v>1869.33</v>
      </c>
      <c r="AJ63" s="162">
        <v>2078.2799999999997</v>
      </c>
      <c r="AK63" s="160">
        <f t="shared" si="22"/>
        <v>21081</v>
      </c>
      <c r="AL63" s="121" t="s">
        <v>14</v>
      </c>
      <c r="AM63" s="121" t="s">
        <v>14</v>
      </c>
      <c r="AN63" s="121" t="s">
        <v>706</v>
      </c>
    </row>
    <row r="64" spans="2:40">
      <c r="B64" s="121" t="s">
        <v>1186</v>
      </c>
      <c r="C64" s="121" t="s">
        <v>1153</v>
      </c>
      <c r="D64" s="121" t="s">
        <v>13</v>
      </c>
      <c r="E64" s="121" t="s">
        <v>196</v>
      </c>
      <c r="F64" s="157" t="s">
        <v>107</v>
      </c>
      <c r="G64" s="158">
        <v>945.56</v>
      </c>
      <c r="H64" s="158">
        <v>939.26</v>
      </c>
      <c r="I64" s="158">
        <v>927.82999999999993</v>
      </c>
      <c r="J64" s="158">
        <v>884.4899999999999</v>
      </c>
      <c r="K64" s="158">
        <v>892.82999999999993</v>
      </c>
      <c r="L64" s="158">
        <v>863.53000000000009</v>
      </c>
      <c r="M64" s="158">
        <v>905.61999999999989</v>
      </c>
      <c r="N64" s="158">
        <v>855.31000000000006</v>
      </c>
      <c r="O64" s="158">
        <v>901.98000000000013</v>
      </c>
      <c r="P64" s="158">
        <v>836.74</v>
      </c>
      <c r="Q64" s="158">
        <v>892.38999999999987</v>
      </c>
      <c r="R64" s="158">
        <v>878.45</v>
      </c>
      <c r="S64" s="400">
        <f ca="1">SUM(G64:OFFSET(G64,0,$F$2-1))</f>
        <v>10723.99</v>
      </c>
      <c r="T64" s="158">
        <f t="shared" si="18"/>
        <v>2812.6499999999996</v>
      </c>
      <c r="U64" s="158">
        <f t="shared" si="19"/>
        <v>2640.85</v>
      </c>
      <c r="V64" s="158">
        <f t="shared" si="20"/>
        <v>2662.91</v>
      </c>
      <c r="W64" s="158">
        <f t="shared" si="21"/>
        <v>2607.58</v>
      </c>
      <c r="X64" s="161"/>
      <c r="Y64" s="162">
        <v>874.86</v>
      </c>
      <c r="Z64" s="162">
        <v>854.93</v>
      </c>
      <c r="AA64" s="162">
        <v>893.21000000000015</v>
      </c>
      <c r="AB64" s="162">
        <v>928.73000000000013</v>
      </c>
      <c r="AC64" s="162">
        <v>894.42</v>
      </c>
      <c r="AD64" s="162">
        <v>914.99</v>
      </c>
      <c r="AE64" s="162">
        <v>890.92000000000007</v>
      </c>
      <c r="AF64" s="162">
        <v>875.56</v>
      </c>
      <c r="AG64" s="162">
        <v>938.18000000000006</v>
      </c>
      <c r="AH64" s="162">
        <v>836.40999999999985</v>
      </c>
      <c r="AI64" s="162">
        <v>932.37000000000012</v>
      </c>
      <c r="AJ64" s="162">
        <v>906.49000000000012</v>
      </c>
      <c r="AK64" s="160">
        <f t="shared" si="22"/>
        <v>10741.07</v>
      </c>
      <c r="AL64" s="121" t="s">
        <v>13</v>
      </c>
      <c r="AM64" s="121" t="s">
        <v>13</v>
      </c>
      <c r="AN64" s="121" t="str">
        <f t="shared" si="24"/>
        <v>IGC - IGC - TS2</v>
      </c>
    </row>
    <row r="65" spans="2:41">
      <c r="B65" s="121" t="s">
        <v>1187</v>
      </c>
      <c r="C65" s="121" t="s">
        <v>1153</v>
      </c>
      <c r="D65" s="121" t="s">
        <v>13</v>
      </c>
      <c r="E65" s="121" t="s">
        <v>197</v>
      </c>
      <c r="F65" s="157" t="s">
        <v>108</v>
      </c>
      <c r="G65" s="158">
        <v>75.58</v>
      </c>
      <c r="H65" s="158">
        <v>74.180000000000007</v>
      </c>
      <c r="I65" s="158">
        <v>78.8</v>
      </c>
      <c r="J65" s="158">
        <v>76.7</v>
      </c>
      <c r="K65" s="158">
        <v>83.89</v>
      </c>
      <c r="L65" s="158">
        <v>76.95</v>
      </c>
      <c r="M65" s="158">
        <v>81.31</v>
      </c>
      <c r="N65" s="158">
        <v>79.47</v>
      </c>
      <c r="O65" s="158">
        <v>76.37</v>
      </c>
      <c r="P65" s="158">
        <v>72.55</v>
      </c>
      <c r="Q65" s="158">
        <v>80.150000000000006</v>
      </c>
      <c r="R65" s="158">
        <v>87.34</v>
      </c>
      <c r="S65" s="400">
        <f ca="1">SUM(G65:OFFSET(G65,0,$F$2-1))</f>
        <v>943.29</v>
      </c>
      <c r="T65" s="158">
        <f t="shared" si="18"/>
        <v>228.56</v>
      </c>
      <c r="U65" s="158">
        <f t="shared" si="19"/>
        <v>237.54000000000002</v>
      </c>
      <c r="V65" s="158">
        <f t="shared" si="20"/>
        <v>237.15</v>
      </c>
      <c r="W65" s="158">
        <f t="shared" si="21"/>
        <v>240.04</v>
      </c>
      <c r="X65" s="161"/>
      <c r="Y65" s="162">
        <v>105.19</v>
      </c>
      <c r="Z65" s="162">
        <v>96.14</v>
      </c>
      <c r="AA65" s="162">
        <v>91.71</v>
      </c>
      <c r="AB65" s="162">
        <v>100.16</v>
      </c>
      <c r="AC65" s="162">
        <v>83.65</v>
      </c>
      <c r="AD65" s="162">
        <v>102.33</v>
      </c>
      <c r="AE65" s="162">
        <v>82.98</v>
      </c>
      <c r="AF65" s="162">
        <v>83.02</v>
      </c>
      <c r="AG65" s="162">
        <v>91.77</v>
      </c>
      <c r="AH65" s="162">
        <v>86.67</v>
      </c>
      <c r="AI65" s="162">
        <v>93.22</v>
      </c>
      <c r="AJ65" s="162">
        <v>85.29</v>
      </c>
      <c r="AK65" s="160">
        <f t="shared" si="22"/>
        <v>1102.1299999999999</v>
      </c>
      <c r="AL65" s="121" t="s">
        <v>13</v>
      </c>
      <c r="AM65" s="121" t="s">
        <v>13</v>
      </c>
      <c r="AN65" s="121" t="str">
        <f t="shared" si="24"/>
        <v>IGC - IGC - TS3</v>
      </c>
    </row>
    <row r="66" spans="2:41">
      <c r="B66" s="121" t="s">
        <v>1188</v>
      </c>
      <c r="C66" s="121" t="s">
        <v>1153</v>
      </c>
      <c r="D66" s="121" t="s">
        <v>13</v>
      </c>
      <c r="E66" s="121" t="s">
        <v>198</v>
      </c>
      <c r="F66" s="370" t="s">
        <v>109</v>
      </c>
      <c r="G66" s="403">
        <v>7035</v>
      </c>
      <c r="H66" s="403">
        <v>7035</v>
      </c>
      <c r="I66" s="403">
        <v>7035</v>
      </c>
      <c r="J66" s="403">
        <v>7035</v>
      </c>
      <c r="K66" s="403">
        <v>7035</v>
      </c>
      <c r="L66" s="403">
        <v>7035</v>
      </c>
      <c r="M66" s="403">
        <v>7035</v>
      </c>
      <c r="N66" s="403">
        <v>7035</v>
      </c>
      <c r="O66" s="403">
        <v>7035</v>
      </c>
      <c r="P66" s="403">
        <v>7035</v>
      </c>
      <c r="Q66" s="403">
        <v>7035</v>
      </c>
      <c r="R66" s="403">
        <v>7035</v>
      </c>
      <c r="S66" s="405">
        <f ca="1">SUM(G66:OFFSET(G66,0,$F$2-1))</f>
        <v>84420</v>
      </c>
      <c r="T66" s="403">
        <f t="shared" si="18"/>
        <v>21105</v>
      </c>
      <c r="U66" s="403">
        <f t="shared" si="19"/>
        <v>21105</v>
      </c>
      <c r="V66" s="403">
        <f t="shared" si="20"/>
        <v>21105</v>
      </c>
      <c r="W66" s="403">
        <f t="shared" si="21"/>
        <v>21105</v>
      </c>
      <c r="X66" s="161"/>
      <c r="Y66" s="406">
        <v>7035</v>
      </c>
      <c r="Z66" s="414">
        <v>-12736.67</v>
      </c>
      <c r="AA66" s="406">
        <v>0</v>
      </c>
      <c r="AB66" s="406">
        <v>0</v>
      </c>
      <c r="AC66" s="406">
        <v>0</v>
      </c>
      <c r="AD66" s="406">
        <v>0</v>
      </c>
      <c r="AE66" s="406">
        <v>0</v>
      </c>
      <c r="AF66" s="406">
        <v>0</v>
      </c>
      <c r="AG66" s="406">
        <v>0</v>
      </c>
      <c r="AH66" s="406">
        <v>0</v>
      </c>
      <c r="AI66" s="406">
        <v>0</v>
      </c>
      <c r="AJ66" s="406">
        <v>0</v>
      </c>
      <c r="AK66" s="160">
        <f t="shared" si="22"/>
        <v>-5701.67</v>
      </c>
      <c r="AL66" s="121" t="s">
        <v>13</v>
      </c>
      <c r="AM66" s="121" t="s">
        <v>13</v>
      </c>
      <c r="AN66" s="121" t="str">
        <f t="shared" si="24"/>
        <v>IGC - IGC - TS4</v>
      </c>
    </row>
    <row r="67" spans="2:41">
      <c r="B67" s="121"/>
      <c r="C67" s="121"/>
      <c r="D67" s="121" t="s">
        <v>1143</v>
      </c>
      <c r="F67" s="407" t="s">
        <v>199</v>
      </c>
      <c r="G67" s="160">
        <f t="shared" ref="G67:R67" si="25">SUM(G28:G66)</f>
        <v>3400089.38</v>
      </c>
      <c r="H67" s="160">
        <f t="shared" si="25"/>
        <v>3219527.3099999982</v>
      </c>
      <c r="I67" s="160">
        <f t="shared" si="25"/>
        <v>3108316.4699999988</v>
      </c>
      <c r="J67" s="160">
        <f t="shared" si="25"/>
        <v>2556046.069999997</v>
      </c>
      <c r="K67" s="160">
        <f t="shared" si="25"/>
        <v>2545345.8299999977</v>
      </c>
      <c r="L67" s="160">
        <f t="shared" si="25"/>
        <v>2534101.2499999991</v>
      </c>
      <c r="M67" s="160">
        <f t="shared" si="25"/>
        <v>2637395.7200000011</v>
      </c>
      <c r="N67" s="160">
        <f t="shared" si="25"/>
        <v>2622952.8199999984</v>
      </c>
      <c r="O67" s="160">
        <f t="shared" si="25"/>
        <v>2612306.0499999975</v>
      </c>
      <c r="P67" s="160">
        <f t="shared" si="25"/>
        <v>2682324.65</v>
      </c>
      <c r="Q67" s="160">
        <f t="shared" si="25"/>
        <v>2801807.3300000015</v>
      </c>
      <c r="R67" s="160">
        <f t="shared" si="25"/>
        <v>3093584.79</v>
      </c>
      <c r="S67" s="160">
        <f ca="1">SUM(S28:S66)</f>
        <v>33813797.669999987</v>
      </c>
      <c r="T67" s="160">
        <f>SUM(T28:T66)</f>
        <v>9727933.1600000001</v>
      </c>
      <c r="U67" s="160">
        <f>SUM(U28:U66)</f>
        <v>7635493.1499999939</v>
      </c>
      <c r="V67" s="160">
        <f>SUM(V28:V66)</f>
        <v>7872654.5899999971</v>
      </c>
      <c r="W67" s="160">
        <f>SUM(W28:W66)</f>
        <v>8577716.7699999996</v>
      </c>
      <c r="X67" s="408"/>
      <c r="Y67" s="160">
        <f t="shared" ref="Y67:AJ67" si="26">SUM(Y28:Y66)</f>
        <v>3346950.7199999993</v>
      </c>
      <c r="Z67" s="160">
        <f t="shared" si="26"/>
        <v>3056218.3699999982</v>
      </c>
      <c r="AA67" s="160">
        <f t="shared" si="26"/>
        <v>3102800.189999999</v>
      </c>
      <c r="AB67" s="160">
        <f t="shared" si="26"/>
        <v>3099285.6699999948</v>
      </c>
      <c r="AC67" s="160">
        <f t="shared" si="26"/>
        <v>2914971.7099999962</v>
      </c>
      <c r="AD67" s="160">
        <f t="shared" si="26"/>
        <v>2723785.2199999988</v>
      </c>
      <c r="AE67" s="160">
        <f t="shared" si="26"/>
        <v>2833302.2499999977</v>
      </c>
      <c r="AF67" s="160">
        <f t="shared" si="26"/>
        <v>2721724.6099999994</v>
      </c>
      <c r="AG67" s="160">
        <f>SUM(AG28:AG66)</f>
        <v>2791752.2699999982</v>
      </c>
      <c r="AH67" s="160">
        <f t="shared" si="26"/>
        <v>2847880.0599999977</v>
      </c>
      <c r="AI67" s="160">
        <f t="shared" si="26"/>
        <v>2974500.3299999968</v>
      </c>
      <c r="AJ67" s="160">
        <f t="shared" si="26"/>
        <v>3181223.6399999992</v>
      </c>
      <c r="AK67" s="160">
        <f>SUM(AK28:AK66)</f>
        <v>35594395.039999969</v>
      </c>
      <c r="AN67" s="160"/>
      <c r="AO67" s="160"/>
    </row>
    <row r="68" spans="2:41">
      <c r="B68" s="121"/>
      <c r="C68" s="121"/>
      <c r="D68" s="121" t="s">
        <v>1143</v>
      </c>
      <c r="F68" s="320" t="s">
        <v>200</v>
      </c>
      <c r="S68" s="409"/>
      <c r="T68" s="121"/>
      <c r="U68" s="121"/>
      <c r="V68" s="121"/>
      <c r="W68" s="121"/>
      <c r="X68" s="395"/>
      <c r="AK68" s="409"/>
      <c r="AN68" s="320"/>
      <c r="AO68" s="320"/>
    </row>
    <row r="69" spans="2:41">
      <c r="B69" s="121" t="s">
        <v>1189</v>
      </c>
      <c r="C69" s="121" t="s">
        <v>1190</v>
      </c>
      <c r="D69" s="121" t="s">
        <v>17</v>
      </c>
      <c r="E69" s="121" t="s">
        <v>171</v>
      </c>
      <c r="F69" s="157" t="s">
        <v>114</v>
      </c>
      <c r="G69" s="158">
        <v>0</v>
      </c>
      <c r="H69" s="158">
        <v>0</v>
      </c>
      <c r="I69" s="158">
        <v>0</v>
      </c>
      <c r="J69" s="158">
        <v>0</v>
      </c>
      <c r="K69" s="158">
        <v>0</v>
      </c>
      <c r="L69" s="158">
        <v>0</v>
      </c>
      <c r="M69" s="158">
        <v>0</v>
      </c>
      <c r="N69" s="158">
        <v>0</v>
      </c>
      <c r="O69" s="158">
        <v>0</v>
      </c>
      <c r="P69" s="158">
        <v>0</v>
      </c>
      <c r="Q69" s="158">
        <v>0</v>
      </c>
      <c r="R69" s="158">
        <v>0</v>
      </c>
      <c r="S69" s="160">
        <f ca="1">SUM(G69:OFFSET(G69,0,$F$2-1))</f>
        <v>0</v>
      </c>
      <c r="T69" s="158">
        <f t="shared" ref="T69:T75" si="27">SUM(G69:I69)</f>
        <v>0</v>
      </c>
      <c r="U69" s="158">
        <f t="shared" ref="U69:U75" si="28">SUM(J69:L69)</f>
        <v>0</v>
      </c>
      <c r="V69" s="158">
        <f t="shared" ref="V69:V75" si="29">SUM(M69:O69)</f>
        <v>0</v>
      </c>
      <c r="W69" s="158">
        <f t="shared" ref="W69:W75" si="30">SUM(P69:R69)</f>
        <v>0</v>
      </c>
      <c r="X69" s="161"/>
      <c r="Y69" s="162">
        <v>0</v>
      </c>
      <c r="Z69" s="162">
        <v>0</v>
      </c>
      <c r="AA69" s="162">
        <v>0</v>
      </c>
      <c r="AB69" s="162">
        <v>0</v>
      </c>
      <c r="AC69" s="162">
        <v>0</v>
      </c>
      <c r="AD69" s="162">
        <v>0</v>
      </c>
      <c r="AE69" s="162">
        <v>0</v>
      </c>
      <c r="AF69" s="162">
        <v>0</v>
      </c>
      <c r="AG69" s="162">
        <v>0</v>
      </c>
      <c r="AH69" s="162">
        <v>0</v>
      </c>
      <c r="AI69" s="162">
        <v>0</v>
      </c>
      <c r="AJ69" s="162">
        <v>0</v>
      </c>
      <c r="AK69" s="160">
        <f t="shared" ref="AK69:AK75" si="31">SUM(Y69:AJ69)</f>
        <v>0</v>
      </c>
      <c r="AL69" s="121" t="s">
        <v>17</v>
      </c>
      <c r="AM69" s="121" t="s">
        <v>17</v>
      </c>
      <c r="AN69" s="121" t="str">
        <f>CONCATENATE(AL69," - ",F69," - ",AO69)</f>
        <v>CFG - FTS-A - Fixed NR</v>
      </c>
      <c r="AO69" s="121" t="s">
        <v>201</v>
      </c>
    </row>
    <row r="70" spans="2:41">
      <c r="B70" s="121" t="s">
        <v>1191</v>
      </c>
      <c r="C70" s="121" t="s">
        <v>1190</v>
      </c>
      <c r="D70" s="121" t="s">
        <v>17</v>
      </c>
      <c r="E70" s="121" t="s">
        <v>171</v>
      </c>
      <c r="F70" s="157" t="s">
        <v>115</v>
      </c>
      <c r="G70" s="158">
        <v>23</v>
      </c>
      <c r="H70" s="158">
        <v>23</v>
      </c>
      <c r="I70" s="158">
        <v>23</v>
      </c>
      <c r="J70" s="158">
        <v>23</v>
      </c>
      <c r="K70" s="158">
        <v>23</v>
      </c>
      <c r="L70" s="158">
        <v>23</v>
      </c>
      <c r="M70" s="158">
        <v>23</v>
      </c>
      <c r="N70" s="158">
        <v>23</v>
      </c>
      <c r="O70" s="158">
        <v>23</v>
      </c>
      <c r="P70" s="158">
        <v>23</v>
      </c>
      <c r="Q70" s="158">
        <v>23</v>
      </c>
      <c r="R70" s="158">
        <v>23</v>
      </c>
      <c r="S70" s="160">
        <f ca="1">SUM(G70:OFFSET(G70,0,$F$2-1))</f>
        <v>276</v>
      </c>
      <c r="T70" s="158">
        <f t="shared" si="27"/>
        <v>69</v>
      </c>
      <c r="U70" s="158">
        <f t="shared" si="28"/>
        <v>69</v>
      </c>
      <c r="V70" s="158">
        <f t="shared" si="29"/>
        <v>69</v>
      </c>
      <c r="W70" s="158">
        <f t="shared" si="30"/>
        <v>69</v>
      </c>
      <c r="X70" s="161"/>
      <c r="Y70" s="162">
        <v>23</v>
      </c>
      <c r="Z70" s="162">
        <v>23</v>
      </c>
      <c r="AA70" s="162">
        <v>23</v>
      </c>
      <c r="AB70" s="162">
        <v>23</v>
      </c>
      <c r="AC70" s="162">
        <v>23</v>
      </c>
      <c r="AD70" s="162">
        <v>23</v>
      </c>
      <c r="AE70" s="162">
        <v>23</v>
      </c>
      <c r="AF70" s="162">
        <v>23</v>
      </c>
      <c r="AG70" s="162">
        <v>23</v>
      </c>
      <c r="AH70" s="162">
        <v>23</v>
      </c>
      <c r="AI70" s="162">
        <v>23</v>
      </c>
      <c r="AJ70" s="162">
        <v>23</v>
      </c>
      <c r="AK70" s="160">
        <f t="shared" si="31"/>
        <v>276</v>
      </c>
      <c r="AL70" s="121" t="s">
        <v>17</v>
      </c>
      <c r="AM70" s="121" t="s">
        <v>17</v>
      </c>
      <c r="AN70" s="121" t="str">
        <f t="shared" ref="AN70:AN75" si="32">CONCATENATE(AL70," - ",F70," - ",AO70)</f>
        <v>CFG - FTS-B - Fixed NR</v>
      </c>
      <c r="AO70" s="121" t="s">
        <v>201</v>
      </c>
    </row>
    <row r="71" spans="2:41">
      <c r="B71" s="121" t="s">
        <v>1192</v>
      </c>
      <c r="C71" s="121" t="s">
        <v>1190</v>
      </c>
      <c r="D71" s="121" t="s">
        <v>17</v>
      </c>
      <c r="E71" s="121" t="s">
        <v>171</v>
      </c>
      <c r="F71" s="157" t="s">
        <v>116</v>
      </c>
      <c r="G71" s="158">
        <v>1038.2</v>
      </c>
      <c r="H71" s="158">
        <v>1044</v>
      </c>
      <c r="I71" s="158">
        <v>1055.5999999999999</v>
      </c>
      <c r="J71" s="158">
        <v>1102</v>
      </c>
      <c r="K71" s="158">
        <v>1102</v>
      </c>
      <c r="L71" s="158">
        <v>1154.2</v>
      </c>
      <c r="M71" s="158">
        <v>1200.5999999999999</v>
      </c>
      <c r="N71" s="158">
        <v>1209.3</v>
      </c>
      <c r="O71" s="158">
        <v>1218</v>
      </c>
      <c r="P71" s="158">
        <v>1218</v>
      </c>
      <c r="Q71" s="158">
        <v>1247</v>
      </c>
      <c r="R71" s="158">
        <v>1247</v>
      </c>
      <c r="S71" s="160">
        <f ca="1">SUM(G71:OFFSET(G71,0,$F$2-1))</f>
        <v>13835.899999999998</v>
      </c>
      <c r="T71" s="158">
        <f t="shared" si="27"/>
        <v>3137.7999999999997</v>
      </c>
      <c r="U71" s="158">
        <f t="shared" si="28"/>
        <v>3358.2</v>
      </c>
      <c r="V71" s="158">
        <f t="shared" si="29"/>
        <v>3627.8999999999996</v>
      </c>
      <c r="W71" s="158">
        <f t="shared" si="30"/>
        <v>3712</v>
      </c>
      <c r="X71" s="161"/>
      <c r="Y71" s="162">
        <v>1255.7</v>
      </c>
      <c r="Z71" s="162">
        <v>1247</v>
      </c>
      <c r="AA71" s="162">
        <v>1285.67</v>
      </c>
      <c r="AB71" s="162">
        <v>1324.33</v>
      </c>
      <c r="AC71" s="162">
        <v>1305</v>
      </c>
      <c r="AD71" s="162">
        <v>1305</v>
      </c>
      <c r="AE71" s="162">
        <v>1325.3</v>
      </c>
      <c r="AF71" s="162">
        <v>1334</v>
      </c>
      <c r="AG71" s="162">
        <v>1305</v>
      </c>
      <c r="AH71" s="162">
        <v>1305</v>
      </c>
      <c r="AI71" s="162">
        <v>1334</v>
      </c>
      <c r="AJ71" s="162">
        <v>1427.77</v>
      </c>
      <c r="AK71" s="160">
        <f t="shared" si="31"/>
        <v>15753.77</v>
      </c>
      <c r="AL71" s="121" t="s">
        <v>17</v>
      </c>
      <c r="AM71" s="121" t="s">
        <v>17</v>
      </c>
      <c r="AN71" s="121" t="str">
        <f t="shared" si="32"/>
        <v>CFG - FTS-1 - Fixed NR</v>
      </c>
      <c r="AO71" s="121" t="s">
        <v>201</v>
      </c>
    </row>
    <row r="72" spans="2:41">
      <c r="B72" s="121" t="s">
        <v>1193</v>
      </c>
      <c r="C72" s="121" t="s">
        <v>1190</v>
      </c>
      <c r="D72" s="121" t="s">
        <v>17</v>
      </c>
      <c r="E72" s="121" t="s">
        <v>171</v>
      </c>
      <c r="F72" s="364" t="s">
        <v>117</v>
      </c>
      <c r="G72" s="158">
        <v>240</v>
      </c>
      <c r="H72" s="158">
        <v>288</v>
      </c>
      <c r="I72" s="158">
        <v>288</v>
      </c>
      <c r="J72" s="158">
        <v>288</v>
      </c>
      <c r="K72" s="158">
        <v>288</v>
      </c>
      <c r="L72" s="158">
        <v>291.2</v>
      </c>
      <c r="M72" s="158">
        <v>288</v>
      </c>
      <c r="N72" s="158">
        <v>240</v>
      </c>
      <c r="O72" s="158">
        <v>240</v>
      </c>
      <c r="P72" s="158">
        <v>240</v>
      </c>
      <c r="Q72" s="158">
        <v>240</v>
      </c>
      <c r="R72" s="158">
        <v>268.8</v>
      </c>
      <c r="S72" s="400">
        <f ca="1">SUM(G72:OFFSET(G72,0,$F$2-1))</f>
        <v>3200</v>
      </c>
      <c r="T72" s="158">
        <f t="shared" si="27"/>
        <v>816</v>
      </c>
      <c r="U72" s="158">
        <f t="shared" si="28"/>
        <v>867.2</v>
      </c>
      <c r="V72" s="158">
        <f t="shared" si="29"/>
        <v>768</v>
      </c>
      <c r="W72" s="158">
        <f t="shared" si="30"/>
        <v>748.8</v>
      </c>
      <c r="X72" s="161"/>
      <c r="Y72" s="162">
        <v>288</v>
      </c>
      <c r="Z72" s="162">
        <v>288</v>
      </c>
      <c r="AA72" s="162">
        <v>288</v>
      </c>
      <c r="AB72" s="162">
        <v>288</v>
      </c>
      <c r="AC72" s="162">
        <v>288</v>
      </c>
      <c r="AD72" s="162">
        <v>288</v>
      </c>
      <c r="AE72" s="162">
        <v>249.6</v>
      </c>
      <c r="AF72" s="162">
        <v>240</v>
      </c>
      <c r="AG72" s="162">
        <v>240</v>
      </c>
      <c r="AH72" s="162">
        <v>240</v>
      </c>
      <c r="AI72" s="162">
        <v>240</v>
      </c>
      <c r="AJ72" s="162">
        <v>240</v>
      </c>
      <c r="AK72" s="160">
        <f t="shared" si="31"/>
        <v>3177.6</v>
      </c>
      <c r="AL72" s="121" t="s">
        <v>17</v>
      </c>
      <c r="AM72" s="121" t="s">
        <v>17</v>
      </c>
      <c r="AN72" s="121" t="str">
        <f t="shared" si="32"/>
        <v>CFG - FTS-2 - Fixed NR</v>
      </c>
      <c r="AO72" s="121" t="s">
        <v>201</v>
      </c>
    </row>
    <row r="73" spans="2:41">
      <c r="B73" s="121" t="s">
        <v>1194</v>
      </c>
      <c r="C73" s="121" t="s">
        <v>1190</v>
      </c>
      <c r="D73" s="121" t="s">
        <v>17</v>
      </c>
      <c r="E73" s="121" t="s">
        <v>171</v>
      </c>
      <c r="F73" s="364" t="s">
        <v>118</v>
      </c>
      <c r="G73" s="158">
        <v>870</v>
      </c>
      <c r="H73" s="158">
        <v>870</v>
      </c>
      <c r="I73" s="158">
        <v>870</v>
      </c>
      <c r="J73" s="158">
        <v>870</v>
      </c>
      <c r="K73" s="158">
        <v>870</v>
      </c>
      <c r="L73" s="158">
        <v>870</v>
      </c>
      <c r="M73" s="158">
        <v>870</v>
      </c>
      <c r="N73" s="158">
        <v>870</v>
      </c>
      <c r="O73" s="158">
        <v>817.8</v>
      </c>
      <c r="P73" s="158">
        <v>783</v>
      </c>
      <c r="Q73" s="158">
        <v>870</v>
      </c>
      <c r="R73" s="158">
        <v>884.5</v>
      </c>
      <c r="S73" s="400">
        <f ca="1">SUM(G73:OFFSET(G73,0,$F$2-1))</f>
        <v>10315.299999999999</v>
      </c>
      <c r="T73" s="158">
        <f t="shared" si="27"/>
        <v>2610</v>
      </c>
      <c r="U73" s="158">
        <f t="shared" si="28"/>
        <v>2610</v>
      </c>
      <c r="V73" s="158">
        <f t="shared" si="29"/>
        <v>2557.8000000000002</v>
      </c>
      <c r="W73" s="158">
        <f t="shared" si="30"/>
        <v>2537.5</v>
      </c>
      <c r="X73" s="161"/>
      <c r="Y73" s="162">
        <v>870</v>
      </c>
      <c r="Z73" s="162">
        <v>870</v>
      </c>
      <c r="AA73" s="162">
        <v>864.2</v>
      </c>
      <c r="AB73" s="162">
        <v>870</v>
      </c>
      <c r="AC73" s="162">
        <v>870</v>
      </c>
      <c r="AD73" s="162">
        <v>870</v>
      </c>
      <c r="AE73" s="162">
        <v>870</v>
      </c>
      <c r="AF73" s="162">
        <v>872.9</v>
      </c>
      <c r="AG73" s="162">
        <v>870</v>
      </c>
      <c r="AH73" s="162">
        <v>870</v>
      </c>
      <c r="AI73" s="162">
        <v>870</v>
      </c>
      <c r="AJ73" s="162">
        <v>870</v>
      </c>
      <c r="AK73" s="160">
        <f t="shared" si="31"/>
        <v>10437.099999999999</v>
      </c>
      <c r="AL73" s="121" t="s">
        <v>17</v>
      </c>
      <c r="AM73" s="121" t="s">
        <v>17</v>
      </c>
      <c r="AN73" s="121" t="str">
        <f t="shared" si="32"/>
        <v>CFG - FTS-2.1 - Fixed NR</v>
      </c>
      <c r="AO73" s="121" t="s">
        <v>201</v>
      </c>
    </row>
    <row r="74" spans="2:41">
      <c r="B74" s="121" t="s">
        <v>1195</v>
      </c>
      <c r="C74" s="121" t="s">
        <v>1190</v>
      </c>
      <c r="D74" s="121" t="s">
        <v>17</v>
      </c>
      <c r="E74" s="121" t="s">
        <v>171</v>
      </c>
      <c r="F74" s="364" t="s">
        <v>119</v>
      </c>
      <c r="G74" s="158">
        <v>3110.4</v>
      </c>
      <c r="H74" s="158">
        <v>3078</v>
      </c>
      <c r="I74" s="158">
        <v>3078</v>
      </c>
      <c r="J74" s="158">
        <v>3078</v>
      </c>
      <c r="K74" s="158">
        <v>2813.4</v>
      </c>
      <c r="L74" s="158">
        <v>2754</v>
      </c>
      <c r="M74" s="158">
        <v>2754</v>
      </c>
      <c r="N74" s="158">
        <v>2754</v>
      </c>
      <c r="O74" s="158">
        <v>2754</v>
      </c>
      <c r="P74" s="158">
        <v>2754</v>
      </c>
      <c r="Q74" s="158">
        <v>2754</v>
      </c>
      <c r="R74" s="158">
        <v>2754</v>
      </c>
      <c r="S74" s="400">
        <f ca="1">SUM(G74:OFFSET(G74,0,$F$2-1))</f>
        <v>34435.800000000003</v>
      </c>
      <c r="T74" s="158">
        <f t="shared" si="27"/>
        <v>9266.4</v>
      </c>
      <c r="U74" s="158">
        <f t="shared" si="28"/>
        <v>8645.4</v>
      </c>
      <c r="V74" s="158">
        <f t="shared" si="29"/>
        <v>8262</v>
      </c>
      <c r="W74" s="158">
        <f t="shared" si="30"/>
        <v>8262</v>
      </c>
      <c r="X74" s="161"/>
      <c r="Y74" s="162">
        <v>2754</v>
      </c>
      <c r="Z74" s="162">
        <v>2754</v>
      </c>
      <c r="AA74" s="162">
        <v>2754</v>
      </c>
      <c r="AB74" s="162">
        <v>2754</v>
      </c>
      <c r="AC74" s="162">
        <v>2754</v>
      </c>
      <c r="AD74" s="162">
        <v>2754</v>
      </c>
      <c r="AE74" s="162">
        <v>2754</v>
      </c>
      <c r="AF74" s="162">
        <v>2754</v>
      </c>
      <c r="AG74" s="162">
        <v>2759.4</v>
      </c>
      <c r="AH74" s="162">
        <v>2754</v>
      </c>
      <c r="AI74" s="162">
        <v>2608.1999999999998</v>
      </c>
      <c r="AJ74" s="162">
        <v>2592</v>
      </c>
      <c r="AK74" s="160">
        <f t="shared" si="31"/>
        <v>32745.600000000002</v>
      </c>
      <c r="AL74" s="121" t="s">
        <v>17</v>
      </c>
      <c r="AM74" s="121" t="s">
        <v>17</v>
      </c>
      <c r="AN74" s="121" t="str">
        <f t="shared" si="32"/>
        <v>CFG - FTS-3 - Fixed NR</v>
      </c>
      <c r="AO74" s="121" t="s">
        <v>201</v>
      </c>
    </row>
    <row r="75" spans="2:41">
      <c r="B75" s="121" t="s">
        <v>1196</v>
      </c>
      <c r="C75" s="121" t="s">
        <v>1190</v>
      </c>
      <c r="D75" s="121" t="s">
        <v>17</v>
      </c>
      <c r="E75" s="121" t="s">
        <v>171</v>
      </c>
      <c r="F75" s="370" t="s">
        <v>120</v>
      </c>
      <c r="G75" s="403">
        <v>1841</v>
      </c>
      <c r="H75" s="403">
        <v>1841</v>
      </c>
      <c r="I75" s="403">
        <v>1841</v>
      </c>
      <c r="J75" s="403">
        <v>1841</v>
      </c>
      <c r="K75" s="403">
        <v>1911.13</v>
      </c>
      <c r="L75" s="403">
        <v>1841</v>
      </c>
      <c r="M75" s="403">
        <v>1841</v>
      </c>
      <c r="N75" s="403">
        <v>1841</v>
      </c>
      <c r="O75" s="403">
        <v>1841</v>
      </c>
      <c r="P75" s="403">
        <v>1753.33</v>
      </c>
      <c r="Q75" s="403">
        <v>1937.43</v>
      </c>
      <c r="R75" s="403">
        <v>1718.27</v>
      </c>
      <c r="S75" s="405">
        <f ca="1">SUM(G75:OFFSET(G75,0,$F$2-1))</f>
        <v>22048.16</v>
      </c>
      <c r="T75" s="403">
        <f t="shared" si="27"/>
        <v>5523</v>
      </c>
      <c r="U75" s="403">
        <f t="shared" si="28"/>
        <v>5593.13</v>
      </c>
      <c r="V75" s="403">
        <f t="shared" si="29"/>
        <v>5523</v>
      </c>
      <c r="W75" s="403">
        <f t="shared" si="30"/>
        <v>5409.0300000000007</v>
      </c>
      <c r="X75" s="161"/>
      <c r="Y75" s="406">
        <v>1998.8</v>
      </c>
      <c r="Z75" s="406">
        <v>1841</v>
      </c>
      <c r="AA75" s="406">
        <v>1841</v>
      </c>
      <c r="AB75" s="406">
        <v>1841</v>
      </c>
      <c r="AC75" s="406">
        <v>1841</v>
      </c>
      <c r="AD75" s="406">
        <v>1841</v>
      </c>
      <c r="AE75" s="406">
        <v>1841</v>
      </c>
      <c r="AF75" s="406">
        <v>1841</v>
      </c>
      <c r="AG75" s="406">
        <v>1788.4</v>
      </c>
      <c r="AH75" s="406">
        <v>1578</v>
      </c>
      <c r="AI75" s="406">
        <v>1578</v>
      </c>
      <c r="AJ75" s="406">
        <v>1578</v>
      </c>
      <c r="AK75" s="160">
        <f t="shared" si="31"/>
        <v>21408.2</v>
      </c>
      <c r="AL75" s="121" t="s">
        <v>17</v>
      </c>
      <c r="AM75" s="121" t="s">
        <v>17</v>
      </c>
      <c r="AN75" s="121" t="str">
        <f t="shared" si="32"/>
        <v>CFG - FTS-3.1 - Fixed NR</v>
      </c>
      <c r="AO75" s="121" t="s">
        <v>201</v>
      </c>
    </row>
    <row r="76" spans="2:41">
      <c r="B76" s="121"/>
      <c r="C76" s="121"/>
      <c r="D76" s="121" t="s">
        <v>1143</v>
      </c>
      <c r="F76" s="407" t="s">
        <v>202</v>
      </c>
      <c r="G76" s="160">
        <f>SUM(G69:G75)</f>
        <v>7122.6</v>
      </c>
      <c r="H76" s="160">
        <f t="shared" ref="H76:W76" si="33">SUM(H69:H75)</f>
        <v>7144</v>
      </c>
      <c r="I76" s="160">
        <f t="shared" si="33"/>
        <v>7155.6</v>
      </c>
      <c r="J76" s="160">
        <f t="shared" si="33"/>
        <v>7202</v>
      </c>
      <c r="K76" s="160">
        <f t="shared" si="33"/>
        <v>7007.53</v>
      </c>
      <c r="L76" s="160">
        <f t="shared" si="33"/>
        <v>6933.4</v>
      </c>
      <c r="M76" s="160">
        <f t="shared" si="33"/>
        <v>6976.6</v>
      </c>
      <c r="N76" s="160">
        <f t="shared" si="33"/>
        <v>6937.3</v>
      </c>
      <c r="O76" s="160">
        <f t="shared" si="33"/>
        <v>6893.8</v>
      </c>
      <c r="P76" s="160">
        <f t="shared" si="33"/>
        <v>6771.33</v>
      </c>
      <c r="Q76" s="160">
        <f t="shared" si="33"/>
        <v>7071.43</v>
      </c>
      <c r="R76" s="160">
        <f t="shared" si="33"/>
        <v>6895.57</v>
      </c>
      <c r="S76" s="160">
        <f t="shared" ca="1" si="33"/>
        <v>84111.16</v>
      </c>
      <c r="T76" s="160">
        <f t="shared" si="33"/>
        <v>21422.199999999997</v>
      </c>
      <c r="U76" s="160">
        <f t="shared" si="33"/>
        <v>21142.93</v>
      </c>
      <c r="V76" s="160">
        <f t="shared" si="33"/>
        <v>20807.7</v>
      </c>
      <c r="W76" s="160">
        <f t="shared" si="33"/>
        <v>20738.330000000002</v>
      </c>
      <c r="X76" s="408"/>
      <c r="Y76" s="160">
        <f>SUM(Y69:Y75)</f>
        <v>7189.5</v>
      </c>
      <c r="Z76" s="160">
        <f t="shared" ref="Z76:AK76" si="34">SUM(Z69:Z75)</f>
        <v>7023</v>
      </c>
      <c r="AA76" s="160">
        <f t="shared" si="34"/>
        <v>7055.87</v>
      </c>
      <c r="AB76" s="160">
        <f t="shared" si="34"/>
        <v>7100.33</v>
      </c>
      <c r="AC76" s="160">
        <f t="shared" si="34"/>
        <v>7081</v>
      </c>
      <c r="AD76" s="160">
        <f t="shared" si="34"/>
        <v>7081</v>
      </c>
      <c r="AE76" s="160">
        <f t="shared" si="34"/>
        <v>7062.9</v>
      </c>
      <c r="AF76" s="160">
        <f t="shared" si="34"/>
        <v>7064.9</v>
      </c>
      <c r="AG76" s="160">
        <f>SUM(AG69:AG75)</f>
        <v>6985.7999999999993</v>
      </c>
      <c r="AH76" s="160">
        <f t="shared" si="34"/>
        <v>6770</v>
      </c>
      <c r="AI76" s="160">
        <f t="shared" si="34"/>
        <v>6653.2</v>
      </c>
      <c r="AJ76" s="160">
        <f t="shared" si="34"/>
        <v>6730.77</v>
      </c>
      <c r="AK76" s="160">
        <f t="shared" si="34"/>
        <v>83798.27</v>
      </c>
      <c r="AL76" s="121"/>
      <c r="AM76" s="121"/>
      <c r="AN76" s="160"/>
    </row>
    <row r="77" spans="2:41">
      <c r="B77" s="121"/>
      <c r="C77" s="121"/>
      <c r="D77" s="121" t="s">
        <v>1143</v>
      </c>
      <c r="F77" s="320" t="s">
        <v>203</v>
      </c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320"/>
      <c r="T77" s="117"/>
      <c r="U77" s="117"/>
      <c r="V77" s="117"/>
      <c r="W77" s="117"/>
      <c r="X77" s="161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320"/>
      <c r="AN77" s="415">
        <f>AK76+AK67+AK26+AK17</f>
        <v>58097127.229999885</v>
      </c>
      <c r="AO77" s="320"/>
    </row>
    <row r="78" spans="2:41">
      <c r="B78" s="121" t="s">
        <v>204</v>
      </c>
      <c r="C78" s="121" t="s">
        <v>1197</v>
      </c>
      <c r="D78" s="121" t="s">
        <v>17</v>
      </c>
      <c r="E78" s="121" t="s">
        <v>205</v>
      </c>
      <c r="F78" s="118" t="s">
        <v>204</v>
      </c>
      <c r="G78" s="158">
        <v>16463</v>
      </c>
      <c r="H78" s="158">
        <v>16463</v>
      </c>
      <c r="I78" s="158">
        <v>16463</v>
      </c>
      <c r="J78" s="158">
        <v>16463</v>
      </c>
      <c r="K78" s="158">
        <v>16463</v>
      </c>
      <c r="L78" s="158">
        <v>16463</v>
      </c>
      <c r="M78" s="158">
        <v>16463</v>
      </c>
      <c r="N78" s="158">
        <v>16463</v>
      </c>
      <c r="O78" s="158">
        <v>16463</v>
      </c>
      <c r="P78" s="158">
        <v>16463</v>
      </c>
      <c r="Q78" s="158">
        <v>16463</v>
      </c>
      <c r="R78" s="158">
        <v>16463</v>
      </c>
      <c r="S78" s="160">
        <f ca="1">SUM(G78:OFFSET(G78,0,$F$2-1))</f>
        <v>197556</v>
      </c>
      <c r="T78" s="158">
        <f t="shared" ref="T78:T92" si="35">SUM(G78:I78)</f>
        <v>49389</v>
      </c>
      <c r="U78" s="158">
        <f t="shared" ref="U78:U92" si="36">SUM(J78:L78)</f>
        <v>49389</v>
      </c>
      <c r="V78" s="158">
        <f t="shared" ref="V78:V92" si="37">SUM(M78:O78)</f>
        <v>49389</v>
      </c>
      <c r="W78" s="158">
        <f t="shared" ref="W78:W92" si="38">SUM(P78:R78)</f>
        <v>49389</v>
      </c>
      <c r="X78" s="161"/>
      <c r="Y78" s="162">
        <v>16463</v>
      </c>
      <c r="Z78" s="162">
        <v>16463</v>
      </c>
      <c r="AA78" s="162">
        <v>16463</v>
      </c>
      <c r="AB78" s="162">
        <v>16463</v>
      </c>
      <c r="AC78" s="162">
        <v>16463</v>
      </c>
      <c r="AD78" s="162">
        <v>16463</v>
      </c>
      <c r="AE78" s="162">
        <v>16463</v>
      </c>
      <c r="AF78" s="162">
        <v>16463</v>
      </c>
      <c r="AG78" s="162">
        <v>16463</v>
      </c>
      <c r="AH78" s="162">
        <v>16463</v>
      </c>
      <c r="AI78" s="162">
        <v>16463</v>
      </c>
      <c r="AJ78" s="162">
        <v>16463</v>
      </c>
      <c r="AK78" s="160">
        <f t="shared" ref="AK78:AK92" si="39">SUM(Y78:AJ78)</f>
        <v>197556</v>
      </c>
      <c r="AL78" s="121" t="s">
        <v>17</v>
      </c>
      <c r="AM78" s="121" t="s">
        <v>17</v>
      </c>
      <c r="AN78" s="160"/>
      <c r="AO78" s="160"/>
    </row>
    <row r="79" spans="2:41">
      <c r="B79" s="121" t="s">
        <v>206</v>
      </c>
      <c r="C79" s="121" t="s">
        <v>1197</v>
      </c>
      <c r="D79" s="121" t="s">
        <v>17</v>
      </c>
      <c r="E79" s="121" t="s">
        <v>205</v>
      </c>
      <c r="F79" s="118" t="s">
        <v>206</v>
      </c>
      <c r="G79" s="158">
        <v>7420</v>
      </c>
      <c r="H79" s="158">
        <v>7420</v>
      </c>
      <c r="I79" s="158">
        <v>7420</v>
      </c>
      <c r="J79" s="158">
        <v>7420</v>
      </c>
      <c r="K79" s="158">
        <v>7420</v>
      </c>
      <c r="L79" s="158">
        <v>7420</v>
      </c>
      <c r="M79" s="158">
        <v>7420</v>
      </c>
      <c r="N79" s="158">
        <v>7420</v>
      </c>
      <c r="O79" s="158">
        <v>7420</v>
      </c>
      <c r="P79" s="158">
        <v>7420</v>
      </c>
      <c r="Q79" s="158">
        <v>7420</v>
      </c>
      <c r="R79" s="158">
        <v>7420</v>
      </c>
      <c r="S79" s="160">
        <f ca="1">SUM(G79:OFFSET(G79,0,$F$2-1))</f>
        <v>89040</v>
      </c>
      <c r="T79" s="158">
        <f t="shared" si="35"/>
        <v>22260</v>
      </c>
      <c r="U79" s="158">
        <f t="shared" si="36"/>
        <v>22260</v>
      </c>
      <c r="V79" s="158">
        <f t="shared" si="37"/>
        <v>22260</v>
      </c>
      <c r="W79" s="158">
        <f t="shared" si="38"/>
        <v>22260</v>
      </c>
      <c r="X79" s="161"/>
      <c r="Y79" s="162">
        <v>7420</v>
      </c>
      <c r="Z79" s="162">
        <v>7420</v>
      </c>
      <c r="AA79" s="162">
        <v>7420</v>
      </c>
      <c r="AB79" s="162">
        <v>7420</v>
      </c>
      <c r="AC79" s="162">
        <v>7420</v>
      </c>
      <c r="AD79" s="162">
        <v>7420</v>
      </c>
      <c r="AE79" s="162">
        <v>7420</v>
      </c>
      <c r="AF79" s="162">
        <v>7420</v>
      </c>
      <c r="AG79" s="162">
        <v>7420</v>
      </c>
      <c r="AH79" s="162">
        <v>7420</v>
      </c>
      <c r="AI79" s="162">
        <v>7420</v>
      </c>
      <c r="AJ79" s="162">
        <v>7420</v>
      </c>
      <c r="AK79" s="160">
        <f t="shared" si="39"/>
        <v>89040</v>
      </c>
      <c r="AL79" s="121" t="s">
        <v>17</v>
      </c>
      <c r="AM79" s="121" t="s">
        <v>17</v>
      </c>
      <c r="AN79" s="160"/>
      <c r="AO79" s="160"/>
    </row>
    <row r="80" spans="2:41">
      <c r="B80" s="121" t="s">
        <v>207</v>
      </c>
      <c r="C80" s="121" t="s">
        <v>1197</v>
      </c>
      <c r="D80" s="121" t="s">
        <v>17</v>
      </c>
      <c r="E80" s="121" t="s">
        <v>205</v>
      </c>
      <c r="F80" s="118" t="s">
        <v>207</v>
      </c>
      <c r="G80" s="158">
        <v>37500</v>
      </c>
      <c r="H80" s="158">
        <v>37500</v>
      </c>
      <c r="I80" s="158">
        <v>37500</v>
      </c>
      <c r="J80" s="158">
        <v>37500</v>
      </c>
      <c r="K80" s="158">
        <v>37500</v>
      </c>
      <c r="L80" s="158">
        <v>37500</v>
      </c>
      <c r="M80" s="158">
        <v>37500</v>
      </c>
      <c r="N80" s="158">
        <v>37500</v>
      </c>
      <c r="O80" s="158">
        <v>37500</v>
      </c>
      <c r="P80" s="158">
        <v>37500</v>
      </c>
      <c r="Q80" s="158">
        <v>37500</v>
      </c>
      <c r="R80" s="158">
        <v>37500</v>
      </c>
      <c r="S80" s="160">
        <f ca="1">SUM(G80:OFFSET(G80,0,$F$2-1))</f>
        <v>450000</v>
      </c>
      <c r="T80" s="158">
        <f t="shared" si="35"/>
        <v>112500</v>
      </c>
      <c r="U80" s="158">
        <f t="shared" si="36"/>
        <v>112500</v>
      </c>
      <c r="V80" s="158">
        <f t="shared" si="37"/>
        <v>112500</v>
      </c>
      <c r="W80" s="158">
        <f t="shared" si="38"/>
        <v>112500</v>
      </c>
      <c r="X80" s="161"/>
      <c r="Y80" s="667">
        <v>37500</v>
      </c>
      <c r="Z80" s="667">
        <v>37500</v>
      </c>
      <c r="AA80" s="667">
        <v>37500</v>
      </c>
      <c r="AB80" s="667">
        <v>37500</v>
      </c>
      <c r="AC80" s="667">
        <v>37500</v>
      </c>
      <c r="AD80" s="667">
        <v>37500</v>
      </c>
      <c r="AE80" s="667">
        <v>37500</v>
      </c>
      <c r="AF80" s="667">
        <v>37500</v>
      </c>
      <c r="AG80" s="667">
        <v>37500</v>
      </c>
      <c r="AH80" s="667">
        <v>37500</v>
      </c>
      <c r="AI80" s="667">
        <v>37500</v>
      </c>
      <c r="AJ80" s="162">
        <v>37500</v>
      </c>
      <c r="AK80" s="160">
        <f t="shared" si="39"/>
        <v>450000</v>
      </c>
      <c r="AL80" s="121" t="s">
        <v>17</v>
      </c>
      <c r="AM80" s="121" t="s">
        <v>17</v>
      </c>
      <c r="AN80" s="160"/>
      <c r="AO80" s="160"/>
    </row>
    <row r="81" spans="2:41">
      <c r="B81" s="121" t="s">
        <v>208</v>
      </c>
      <c r="C81" s="121" t="s">
        <v>1197</v>
      </c>
      <c r="D81" s="121" t="s">
        <v>17</v>
      </c>
      <c r="E81" s="121" t="s">
        <v>205</v>
      </c>
      <c r="F81" s="118" t="s">
        <v>208</v>
      </c>
      <c r="G81" s="158">
        <v>4563.28</v>
      </c>
      <c r="H81" s="158">
        <v>4563.28</v>
      </c>
      <c r="I81" s="158">
        <v>4563.28</v>
      </c>
      <c r="J81" s="158">
        <v>4563.28</v>
      </c>
      <c r="K81" s="158">
        <v>4563.28</v>
      </c>
      <c r="L81" s="158">
        <v>4563.28</v>
      </c>
      <c r="M81" s="158">
        <v>4563.28</v>
      </c>
      <c r="N81" s="158">
        <v>4563.28</v>
      </c>
      <c r="O81" s="158">
        <v>4563.28</v>
      </c>
      <c r="P81" s="158">
        <v>4563.28</v>
      </c>
      <c r="Q81" s="158">
        <v>4563.28</v>
      </c>
      <c r="R81" s="158">
        <v>4563.28</v>
      </c>
      <c r="S81" s="160">
        <f ca="1">SUM(G81:OFFSET(G81,0,$F$2-1))</f>
        <v>54759.359999999993</v>
      </c>
      <c r="T81" s="158">
        <f t="shared" si="35"/>
        <v>13689.84</v>
      </c>
      <c r="U81" s="158">
        <f t="shared" si="36"/>
        <v>13689.84</v>
      </c>
      <c r="V81" s="158">
        <f t="shared" si="37"/>
        <v>13689.84</v>
      </c>
      <c r="W81" s="158">
        <f t="shared" si="38"/>
        <v>13689.84</v>
      </c>
      <c r="X81" s="161"/>
      <c r="Y81" s="667">
        <v>4563.28</v>
      </c>
      <c r="Z81" s="667">
        <v>4563.28</v>
      </c>
      <c r="AA81" s="667">
        <v>4563.28</v>
      </c>
      <c r="AB81" s="667">
        <v>4563.28</v>
      </c>
      <c r="AC81" s="667">
        <v>4563.28</v>
      </c>
      <c r="AD81" s="667">
        <v>4563.28</v>
      </c>
      <c r="AE81" s="667">
        <v>4563.28</v>
      </c>
      <c r="AF81" s="667">
        <v>4563.28</v>
      </c>
      <c r="AG81" s="667">
        <v>4563.28</v>
      </c>
      <c r="AH81" s="667">
        <v>4563.28</v>
      </c>
      <c r="AI81" s="667">
        <v>4563.28</v>
      </c>
      <c r="AJ81" s="162">
        <v>4563.28</v>
      </c>
      <c r="AK81" s="160">
        <f t="shared" si="39"/>
        <v>54759.359999999993</v>
      </c>
      <c r="AL81" s="121" t="s">
        <v>17</v>
      </c>
      <c r="AM81" s="121" t="s">
        <v>17</v>
      </c>
      <c r="AN81" s="160"/>
      <c r="AO81" s="160"/>
    </row>
    <row r="82" spans="2:41">
      <c r="B82" s="121" t="s">
        <v>209</v>
      </c>
      <c r="C82" s="121" t="s">
        <v>1197</v>
      </c>
      <c r="D82" s="121" t="s">
        <v>17</v>
      </c>
      <c r="E82" s="121" t="s">
        <v>205</v>
      </c>
      <c r="F82" s="118" t="s">
        <v>209</v>
      </c>
      <c r="G82" s="158">
        <v>0</v>
      </c>
      <c r="H82" s="158">
        <v>0</v>
      </c>
      <c r="I82" s="158">
        <v>0</v>
      </c>
      <c r="J82" s="158">
        <v>0</v>
      </c>
      <c r="K82" s="158">
        <v>0</v>
      </c>
      <c r="L82" s="158">
        <v>0</v>
      </c>
      <c r="M82" s="158">
        <v>0</v>
      </c>
      <c r="N82" s="158">
        <v>0</v>
      </c>
      <c r="O82" s="158">
        <v>0</v>
      </c>
      <c r="P82" s="158">
        <v>0</v>
      </c>
      <c r="Q82" s="158">
        <v>0</v>
      </c>
      <c r="R82" s="158">
        <v>0</v>
      </c>
      <c r="S82" s="160">
        <f ca="1">SUM(G82:OFFSET(G82,0,$F$2-1))</f>
        <v>0</v>
      </c>
      <c r="T82" s="158">
        <f t="shared" si="35"/>
        <v>0</v>
      </c>
      <c r="U82" s="158">
        <f t="shared" si="36"/>
        <v>0</v>
      </c>
      <c r="V82" s="158">
        <f t="shared" si="37"/>
        <v>0</v>
      </c>
      <c r="W82" s="158">
        <f t="shared" si="38"/>
        <v>0</v>
      </c>
      <c r="X82" s="161"/>
      <c r="Y82" s="667">
        <v>0</v>
      </c>
      <c r="Z82" s="667">
        <v>0</v>
      </c>
      <c r="AA82" s="667">
        <v>0</v>
      </c>
      <c r="AB82" s="667">
        <v>0</v>
      </c>
      <c r="AC82" s="667">
        <v>0</v>
      </c>
      <c r="AD82" s="667">
        <v>0</v>
      </c>
      <c r="AE82" s="667">
        <v>0</v>
      </c>
      <c r="AF82" s="667">
        <v>0</v>
      </c>
      <c r="AG82" s="667">
        <v>0</v>
      </c>
      <c r="AH82" s="667">
        <v>0</v>
      </c>
      <c r="AI82" s="667">
        <v>0</v>
      </c>
      <c r="AJ82" s="162">
        <v>0</v>
      </c>
      <c r="AK82" s="160">
        <f t="shared" si="39"/>
        <v>0</v>
      </c>
      <c r="AL82" s="121" t="s">
        <v>17</v>
      </c>
      <c r="AM82" s="121" t="s">
        <v>17</v>
      </c>
      <c r="AN82" s="160"/>
      <c r="AO82" s="160"/>
    </row>
    <row r="83" spans="2:41">
      <c r="B83" s="121" t="s">
        <v>210</v>
      </c>
      <c r="C83" s="121" t="s">
        <v>1197</v>
      </c>
      <c r="D83" s="121" t="s">
        <v>17</v>
      </c>
      <c r="E83" s="121" t="s">
        <v>205</v>
      </c>
      <c r="F83" s="118" t="s">
        <v>210</v>
      </c>
      <c r="G83" s="158">
        <v>26598</v>
      </c>
      <c r="H83" s="158">
        <v>26598</v>
      </c>
      <c r="I83" s="158">
        <v>26598</v>
      </c>
      <c r="J83" s="158">
        <v>26598</v>
      </c>
      <c r="K83" s="158">
        <v>26598</v>
      </c>
      <c r="L83" s="158">
        <v>26598</v>
      </c>
      <c r="M83" s="158">
        <v>26598</v>
      </c>
      <c r="N83" s="158">
        <v>53196</v>
      </c>
      <c r="O83" s="158">
        <v>0</v>
      </c>
      <c r="P83" s="158">
        <v>26598</v>
      </c>
      <c r="Q83" s="158">
        <v>26598</v>
      </c>
      <c r="R83" s="158">
        <v>26598</v>
      </c>
      <c r="S83" s="160">
        <f ca="1">SUM(G83:OFFSET(G83,0,$F$2-1))</f>
        <v>319176</v>
      </c>
      <c r="T83" s="158">
        <f t="shared" si="35"/>
        <v>79794</v>
      </c>
      <c r="U83" s="158">
        <f t="shared" si="36"/>
        <v>79794</v>
      </c>
      <c r="V83" s="158">
        <f t="shared" si="37"/>
        <v>79794</v>
      </c>
      <c r="W83" s="158">
        <f t="shared" si="38"/>
        <v>79794</v>
      </c>
      <c r="X83" s="161"/>
      <c r="Y83" s="667">
        <v>26598</v>
      </c>
      <c r="Z83" s="667">
        <v>26598</v>
      </c>
      <c r="AA83" s="667">
        <v>26598</v>
      </c>
      <c r="AB83" s="667">
        <v>26598</v>
      </c>
      <c r="AC83" s="667">
        <v>26598</v>
      </c>
      <c r="AD83" s="667">
        <v>26598</v>
      </c>
      <c r="AE83" s="667">
        <v>26598</v>
      </c>
      <c r="AF83" s="667">
        <v>26598</v>
      </c>
      <c r="AG83" s="667">
        <v>26598</v>
      </c>
      <c r="AH83" s="667">
        <v>26598</v>
      </c>
      <c r="AI83" s="667">
        <v>26598</v>
      </c>
      <c r="AJ83" s="162">
        <v>26598</v>
      </c>
      <c r="AK83" s="160">
        <f t="shared" si="39"/>
        <v>319176</v>
      </c>
      <c r="AL83" s="121" t="s">
        <v>17</v>
      </c>
      <c r="AM83" s="121" t="s">
        <v>17</v>
      </c>
      <c r="AN83" s="160"/>
      <c r="AO83" s="160"/>
    </row>
    <row r="84" spans="2:41" ht="11.1" customHeight="1">
      <c r="B84" s="121" t="s">
        <v>211</v>
      </c>
      <c r="C84" s="121" t="s">
        <v>1197</v>
      </c>
      <c r="D84" s="121" t="s">
        <v>17</v>
      </c>
      <c r="E84" s="121" t="s">
        <v>205</v>
      </c>
      <c r="F84" s="118" t="s">
        <v>211</v>
      </c>
      <c r="G84" s="158">
        <v>13570.27</v>
      </c>
      <c r="H84" s="158">
        <v>13570.27</v>
      </c>
      <c r="I84" s="158">
        <v>13570.27</v>
      </c>
      <c r="J84" s="158">
        <v>13570.27</v>
      </c>
      <c r="K84" s="158">
        <v>13570.27</v>
      </c>
      <c r="L84" s="158">
        <v>13570.27</v>
      </c>
      <c r="M84" s="158">
        <v>13570.27</v>
      </c>
      <c r="N84" s="158">
        <v>13570.27</v>
      </c>
      <c r="O84" s="158">
        <v>13570.27</v>
      </c>
      <c r="P84" s="158">
        <v>13570.27</v>
      </c>
      <c r="Q84" s="158">
        <v>13570.27</v>
      </c>
      <c r="R84" s="158">
        <v>13570.27</v>
      </c>
      <c r="S84" s="160">
        <f ca="1">SUM(G84:OFFSET(G84,0,$F$2-1))</f>
        <v>162843.24</v>
      </c>
      <c r="T84" s="158">
        <f t="shared" si="35"/>
        <v>40710.81</v>
      </c>
      <c r="U84" s="158">
        <f t="shared" si="36"/>
        <v>40710.81</v>
      </c>
      <c r="V84" s="158">
        <f t="shared" si="37"/>
        <v>40710.81</v>
      </c>
      <c r="W84" s="158">
        <f t="shared" si="38"/>
        <v>40710.81</v>
      </c>
      <c r="X84" s="161"/>
      <c r="Y84" s="667">
        <v>13570.27</v>
      </c>
      <c r="Z84" s="667">
        <v>13570.27</v>
      </c>
      <c r="AA84" s="667">
        <v>13570.27</v>
      </c>
      <c r="AB84" s="667">
        <v>13570.27</v>
      </c>
      <c r="AC84" s="667">
        <v>13570.27</v>
      </c>
      <c r="AD84" s="667">
        <v>13570.27</v>
      </c>
      <c r="AE84" s="667">
        <v>13570.27</v>
      </c>
      <c r="AF84" s="667">
        <v>13570.27</v>
      </c>
      <c r="AG84" s="667">
        <v>13570.27</v>
      </c>
      <c r="AH84" s="667">
        <v>13570.27</v>
      </c>
      <c r="AI84" s="667">
        <v>13570.27</v>
      </c>
      <c r="AJ84" s="162">
        <v>13570.27</v>
      </c>
      <c r="AK84" s="160">
        <f t="shared" si="39"/>
        <v>162843.24</v>
      </c>
      <c r="AL84" s="121" t="s">
        <v>17</v>
      </c>
      <c r="AM84" s="121" t="s">
        <v>17</v>
      </c>
      <c r="AN84" s="160"/>
      <c r="AO84" s="160"/>
    </row>
    <row r="85" spans="2:41">
      <c r="B85" s="121" t="s">
        <v>212</v>
      </c>
      <c r="C85" s="121" t="s">
        <v>1197</v>
      </c>
      <c r="D85" s="121" t="s">
        <v>16</v>
      </c>
      <c r="E85" s="121" t="s">
        <v>213</v>
      </c>
      <c r="F85" s="118" t="s">
        <v>212</v>
      </c>
      <c r="G85" s="158">
        <v>42321.45</v>
      </c>
      <c r="H85" s="158">
        <v>42321.45</v>
      </c>
      <c r="I85" s="158">
        <v>42321.45</v>
      </c>
      <c r="J85" s="158">
        <v>42321.45</v>
      </c>
      <c r="K85" s="158">
        <v>41169.42</v>
      </c>
      <c r="L85" s="158">
        <v>41169.42</v>
      </c>
      <c r="M85" s="159">
        <v>41169.42</v>
      </c>
      <c r="N85" s="159">
        <v>41169.42</v>
      </c>
      <c r="O85" s="159">
        <v>41169.42</v>
      </c>
      <c r="P85" s="159">
        <v>41169.42</v>
      </c>
      <c r="Q85" s="159">
        <v>41169.42</v>
      </c>
      <c r="R85" s="159">
        <v>41169.42</v>
      </c>
      <c r="S85" s="160">
        <f ca="1">SUM(G85:OFFSET(G85,0,$F$2-1))</f>
        <v>498641.15999999986</v>
      </c>
      <c r="T85" s="159">
        <f t="shared" si="35"/>
        <v>126964.34999999999</v>
      </c>
      <c r="U85" s="159">
        <f t="shared" si="36"/>
        <v>124660.29</v>
      </c>
      <c r="V85" s="159">
        <f t="shared" si="37"/>
        <v>123508.26</v>
      </c>
      <c r="W85" s="159">
        <f t="shared" si="38"/>
        <v>123508.26</v>
      </c>
      <c r="X85" s="161"/>
      <c r="Y85" s="667">
        <v>41169.42</v>
      </c>
      <c r="Z85" s="667">
        <v>41169.42</v>
      </c>
      <c r="AA85" s="667">
        <v>41169.42</v>
      </c>
      <c r="AB85" s="667">
        <v>41169.42</v>
      </c>
      <c r="AC85" s="667">
        <v>39705.879999999997</v>
      </c>
      <c r="AD85" s="667">
        <v>39705.879999999997</v>
      </c>
      <c r="AE85" s="667">
        <v>39705.879999999997</v>
      </c>
      <c r="AF85" s="668">
        <v>39705.879999999997</v>
      </c>
      <c r="AG85" s="668">
        <v>39705.879999999997</v>
      </c>
      <c r="AH85" s="668">
        <v>39705.879999999997</v>
      </c>
      <c r="AI85" s="668">
        <v>39705.879999999997</v>
      </c>
      <c r="AJ85" s="417">
        <v>39705.879999999997</v>
      </c>
      <c r="AK85" s="160">
        <f t="shared" si="39"/>
        <v>482324.72000000003</v>
      </c>
      <c r="AL85" s="121" t="s">
        <v>16</v>
      </c>
      <c r="AM85" s="121" t="s">
        <v>16</v>
      </c>
      <c r="AN85" s="160"/>
      <c r="AO85" s="160"/>
    </row>
    <row r="86" spans="2:41">
      <c r="B86" s="121" t="s">
        <v>214</v>
      </c>
      <c r="C86" s="121" t="s">
        <v>1197</v>
      </c>
      <c r="D86" s="121" t="s">
        <v>17</v>
      </c>
      <c r="E86" s="121" t="s">
        <v>205</v>
      </c>
      <c r="F86" s="323" t="s">
        <v>214</v>
      </c>
      <c r="G86" s="158">
        <v>10786.13</v>
      </c>
      <c r="H86" s="158">
        <v>10786.13</v>
      </c>
      <c r="I86" s="158">
        <v>10786.13</v>
      </c>
      <c r="J86" s="158">
        <v>10786.13</v>
      </c>
      <c r="K86" s="158">
        <v>10786.13</v>
      </c>
      <c r="L86" s="158">
        <v>10786.13</v>
      </c>
      <c r="M86" s="158">
        <v>10786.13</v>
      </c>
      <c r="N86" s="158">
        <v>10786.13</v>
      </c>
      <c r="O86" s="158">
        <v>10786.13</v>
      </c>
      <c r="P86" s="158">
        <v>10786.13</v>
      </c>
      <c r="Q86" s="158">
        <v>10786.13</v>
      </c>
      <c r="R86" s="158">
        <v>10786.13</v>
      </c>
      <c r="S86" s="160">
        <f ca="1">SUM(G86:OFFSET(G86,0,$F$2-1))</f>
        <v>129433.56000000001</v>
      </c>
      <c r="T86" s="158">
        <f t="shared" si="35"/>
        <v>32358.39</v>
      </c>
      <c r="U86" s="158">
        <f t="shared" si="36"/>
        <v>32358.39</v>
      </c>
      <c r="V86" s="158">
        <f t="shared" si="37"/>
        <v>32358.39</v>
      </c>
      <c r="W86" s="158">
        <f t="shared" si="38"/>
        <v>32358.39</v>
      </c>
      <c r="X86" s="161"/>
      <c r="Y86" s="667">
        <v>21610.33</v>
      </c>
      <c r="Z86" s="667">
        <v>285.509999999998</v>
      </c>
      <c r="AA86" s="667">
        <v>11109.71</v>
      </c>
      <c r="AB86" s="667">
        <v>11109.71</v>
      </c>
      <c r="AC86" s="667">
        <v>11109.71</v>
      </c>
      <c r="AD86" s="667">
        <v>11109.71</v>
      </c>
      <c r="AE86" s="667">
        <v>11109.71</v>
      </c>
      <c r="AF86" s="667">
        <v>11109.71</v>
      </c>
      <c r="AG86" s="667">
        <v>11109.71</v>
      </c>
      <c r="AH86" s="667">
        <v>11109.71</v>
      </c>
      <c r="AI86" s="667">
        <v>11109.71</v>
      </c>
      <c r="AJ86" s="162">
        <v>11109.71</v>
      </c>
      <c r="AK86" s="160">
        <f t="shared" si="39"/>
        <v>132992.93999999994</v>
      </c>
      <c r="AL86" s="121" t="s">
        <v>17</v>
      </c>
      <c r="AM86" s="121" t="s">
        <v>17</v>
      </c>
      <c r="AN86" s="160"/>
      <c r="AO86" s="160"/>
    </row>
    <row r="87" spans="2:41">
      <c r="B87" s="121" t="s">
        <v>215</v>
      </c>
      <c r="C87" s="121" t="s">
        <v>1197</v>
      </c>
      <c r="D87" s="121" t="s">
        <v>17</v>
      </c>
      <c r="E87" s="121" t="s">
        <v>205</v>
      </c>
      <c r="F87" s="323" t="s">
        <v>215</v>
      </c>
      <c r="G87" s="158">
        <v>78631.48</v>
      </c>
      <c r="H87" s="158">
        <v>73558.48</v>
      </c>
      <c r="I87" s="158">
        <v>78631.48</v>
      </c>
      <c r="J87" s="158">
        <v>76094.98</v>
      </c>
      <c r="K87" s="158">
        <v>78631.48</v>
      </c>
      <c r="L87" s="158">
        <v>76094.98</v>
      </c>
      <c r="M87" s="158">
        <v>78631.48</v>
      </c>
      <c r="N87" s="158">
        <v>78631.48</v>
      </c>
      <c r="O87" s="158">
        <v>76094.98</v>
      </c>
      <c r="P87" s="158">
        <v>78631.48</v>
      </c>
      <c r="Q87" s="158">
        <v>76094.98</v>
      </c>
      <c r="R87" s="158">
        <v>78631.48</v>
      </c>
      <c r="S87" s="160">
        <f ca="1">SUM(G87:OFFSET(G87,0,$F$2-1))</f>
        <v>928358.75999999989</v>
      </c>
      <c r="T87" s="158">
        <f t="shared" si="35"/>
        <v>230821.44</v>
      </c>
      <c r="U87" s="158">
        <f t="shared" si="36"/>
        <v>230821.44</v>
      </c>
      <c r="V87" s="158">
        <f t="shared" si="37"/>
        <v>233357.94</v>
      </c>
      <c r="W87" s="158">
        <f t="shared" si="38"/>
        <v>233357.94</v>
      </c>
      <c r="X87" s="161"/>
      <c r="Y87" s="667">
        <v>78631.48</v>
      </c>
      <c r="Z87" s="667">
        <v>71021.98</v>
      </c>
      <c r="AA87" s="667">
        <v>78631.48</v>
      </c>
      <c r="AB87" s="667">
        <v>76094.98</v>
      </c>
      <c r="AC87" s="667">
        <v>78631.48</v>
      </c>
      <c r="AD87" s="667">
        <v>76094.98</v>
      </c>
      <c r="AE87" s="667">
        <v>78631.48</v>
      </c>
      <c r="AF87" s="667">
        <v>78631.48</v>
      </c>
      <c r="AG87" s="667">
        <v>76094.98</v>
      </c>
      <c r="AH87" s="667">
        <v>78631.48</v>
      </c>
      <c r="AI87" s="667">
        <v>76094.98</v>
      </c>
      <c r="AJ87" s="162">
        <v>78631.48</v>
      </c>
      <c r="AK87" s="160">
        <f t="shared" si="39"/>
        <v>925822.25999999989</v>
      </c>
      <c r="AL87" s="121" t="s">
        <v>17</v>
      </c>
      <c r="AM87" s="121" t="s">
        <v>17</v>
      </c>
      <c r="AN87" s="160"/>
      <c r="AO87" s="160"/>
    </row>
    <row r="88" spans="2:41">
      <c r="B88" s="121" t="s">
        <v>216</v>
      </c>
      <c r="C88" s="121" t="s">
        <v>1197</v>
      </c>
      <c r="D88" s="121" t="s">
        <v>17</v>
      </c>
      <c r="E88" s="121" t="s">
        <v>205</v>
      </c>
      <c r="F88" s="323" t="s">
        <v>216</v>
      </c>
      <c r="G88" s="158">
        <v>26659.98</v>
      </c>
      <c r="H88" s="158">
        <v>24080.125000000011</v>
      </c>
      <c r="I88" s="158">
        <v>26731.375000000011</v>
      </c>
      <c r="J88" s="158">
        <v>25800.125000000011</v>
      </c>
      <c r="K88" s="158">
        <v>26660.125000000011</v>
      </c>
      <c r="L88" s="158">
        <v>25800.125000000011</v>
      </c>
      <c r="M88" s="158">
        <v>26660.125000000011</v>
      </c>
      <c r="N88" s="158">
        <v>26660.125000000011</v>
      </c>
      <c r="O88" s="158">
        <v>25800.125000000011</v>
      </c>
      <c r="P88" s="158">
        <v>26660.125000000011</v>
      </c>
      <c r="Q88" s="158">
        <v>25800.125000000011</v>
      </c>
      <c r="R88" s="158">
        <v>27030.625000000011</v>
      </c>
      <c r="S88" s="160">
        <f ca="1">SUM(G88:OFFSET(G88,0,$F$2-1))</f>
        <v>314343.1050000001</v>
      </c>
      <c r="T88" s="158">
        <f t="shared" si="35"/>
        <v>77471.480000000025</v>
      </c>
      <c r="U88" s="158">
        <f t="shared" si="36"/>
        <v>78260.375000000029</v>
      </c>
      <c r="V88" s="158">
        <f t="shared" si="37"/>
        <v>79120.375000000029</v>
      </c>
      <c r="W88" s="158">
        <f t="shared" si="38"/>
        <v>79490.875000000029</v>
      </c>
      <c r="X88" s="161"/>
      <c r="Y88" s="667">
        <f>31907-Y89+370.5-46.92</f>
        <v>26983.705000000013</v>
      </c>
      <c r="Z88" s="667">
        <v>24507.625000000011</v>
      </c>
      <c r="AA88" s="667">
        <v>27002.125000000011</v>
      </c>
      <c r="AB88" s="667">
        <v>26348.755000000012</v>
      </c>
      <c r="AC88" s="667">
        <v>26802.625000000011</v>
      </c>
      <c r="AD88" s="667">
        <v>25942.625000000011</v>
      </c>
      <c r="AE88" s="667">
        <v>26802.625000000011</v>
      </c>
      <c r="AF88" s="667">
        <f>31907+142.5-AF89</f>
        <v>26802.625000000011</v>
      </c>
      <c r="AG88" s="667">
        <f>31189.5-AG89</f>
        <v>25942.625000000011</v>
      </c>
      <c r="AH88" s="667">
        <f>32049.5-AH89</f>
        <v>26802.625000000011</v>
      </c>
      <c r="AI88" s="667">
        <v>25942.625000000011</v>
      </c>
      <c r="AJ88" s="162">
        <v>26802.625000000011</v>
      </c>
      <c r="AK88" s="160">
        <f t="shared" si="39"/>
        <v>316683.21000000008</v>
      </c>
      <c r="AL88" s="121" t="s">
        <v>17</v>
      </c>
      <c r="AM88" s="121" t="s">
        <v>17</v>
      </c>
      <c r="AN88" s="160"/>
      <c r="AO88" s="160"/>
    </row>
    <row r="89" spans="2:41" ht="12" customHeight="1">
      <c r="B89" s="121" t="s">
        <v>217</v>
      </c>
      <c r="C89" s="121" t="s">
        <v>1197</v>
      </c>
      <c r="D89" s="121" t="s">
        <v>17</v>
      </c>
      <c r="E89" s="121" t="s">
        <v>205</v>
      </c>
      <c r="F89" s="323" t="s">
        <v>217</v>
      </c>
      <c r="G89" s="158">
        <v>5246.87499999999</v>
      </c>
      <c r="H89" s="158">
        <v>5246.87499999999</v>
      </c>
      <c r="I89" s="158">
        <v>5246.87499999999</v>
      </c>
      <c r="J89" s="158">
        <v>5246.87499999999</v>
      </c>
      <c r="K89" s="158">
        <v>5246.87499999999</v>
      </c>
      <c r="L89" s="158">
        <v>5246.87499999999</v>
      </c>
      <c r="M89" s="158">
        <v>5246.87499999999</v>
      </c>
      <c r="N89" s="158">
        <v>5246.87499999999</v>
      </c>
      <c r="O89" s="158">
        <v>5246.87499999999</v>
      </c>
      <c r="P89" s="158">
        <v>5246.87499999999</v>
      </c>
      <c r="Q89" s="158">
        <v>5246.87499999999</v>
      </c>
      <c r="R89" s="158">
        <v>5246.87499999999</v>
      </c>
      <c r="S89" s="160">
        <f ca="1">SUM(G89:OFFSET(G89,0,$F$2-1))</f>
        <v>62962.499999999891</v>
      </c>
      <c r="T89" s="158">
        <f t="shared" si="35"/>
        <v>15740.624999999971</v>
      </c>
      <c r="U89" s="158">
        <f t="shared" si="36"/>
        <v>15740.624999999971</v>
      </c>
      <c r="V89" s="158">
        <f t="shared" si="37"/>
        <v>15740.624999999971</v>
      </c>
      <c r="W89" s="158">
        <f t="shared" si="38"/>
        <v>15740.624999999971</v>
      </c>
      <c r="X89" s="161"/>
      <c r="Y89" s="667">
        <v>5246.87499999999</v>
      </c>
      <c r="Z89" s="667">
        <v>5246.87499999999</v>
      </c>
      <c r="AA89" s="667">
        <v>5246.87499999999</v>
      </c>
      <c r="AB89" s="667">
        <v>5246.87499999999</v>
      </c>
      <c r="AC89" s="667">
        <v>5246.87499999999</v>
      </c>
      <c r="AD89" s="667">
        <v>5246.87499999999</v>
      </c>
      <c r="AE89" s="667">
        <v>5246.87499999999</v>
      </c>
      <c r="AF89" s="667">
        <v>5246.87499999999</v>
      </c>
      <c r="AG89" s="667">
        <v>5246.87499999999</v>
      </c>
      <c r="AH89" s="667">
        <v>5246.87499999999</v>
      </c>
      <c r="AI89" s="667">
        <v>5246.87499999999</v>
      </c>
      <c r="AJ89" s="162">
        <v>5246.87499999999</v>
      </c>
      <c r="AK89" s="160">
        <f t="shared" si="39"/>
        <v>62962.499999999891</v>
      </c>
      <c r="AL89" s="121" t="s">
        <v>17</v>
      </c>
      <c r="AM89" s="121" t="s">
        <v>17</v>
      </c>
      <c r="AN89" s="160"/>
      <c r="AO89" s="160"/>
    </row>
    <row r="90" spans="2:41">
      <c r="B90" s="121" t="s">
        <v>218</v>
      </c>
      <c r="C90" s="121" t="s">
        <v>1197</v>
      </c>
      <c r="D90" s="121" t="s">
        <v>16</v>
      </c>
      <c r="E90" s="121" t="s">
        <v>213</v>
      </c>
      <c r="F90" s="323" t="s">
        <v>218</v>
      </c>
      <c r="G90" s="158">
        <v>4983</v>
      </c>
      <c r="H90" s="158">
        <v>5363</v>
      </c>
      <c r="I90" s="158">
        <v>5127</v>
      </c>
      <c r="J90" s="158">
        <v>7428</v>
      </c>
      <c r="K90" s="158">
        <v>7625</v>
      </c>
      <c r="L90" s="158">
        <v>7086.11</v>
      </c>
      <c r="M90" s="158">
        <v>6976.29</v>
      </c>
      <c r="N90" s="158">
        <v>4407.05</v>
      </c>
      <c r="O90" s="158">
        <v>7016.15</v>
      </c>
      <c r="P90" s="158">
        <v>-2143.98</v>
      </c>
      <c r="Q90" s="158">
        <v>14290.18</v>
      </c>
      <c r="R90" s="158">
        <v>8398.4</v>
      </c>
      <c r="S90" s="160">
        <f ca="1">SUM(G90:OFFSET(G90,0,$F$2-1))</f>
        <v>76556.2</v>
      </c>
      <c r="T90" s="158">
        <f t="shared" si="35"/>
        <v>15473</v>
      </c>
      <c r="U90" s="158">
        <f t="shared" si="36"/>
        <v>22139.11</v>
      </c>
      <c r="V90" s="158">
        <f t="shared" si="37"/>
        <v>18399.489999999998</v>
      </c>
      <c r="W90" s="158">
        <f t="shared" si="38"/>
        <v>20544.599999999999</v>
      </c>
      <c r="X90" s="161"/>
      <c r="Y90" s="667">
        <v>7265.07</v>
      </c>
      <c r="Z90" s="667">
        <v>7694.01</v>
      </c>
      <c r="AA90" s="667">
        <v>7510.65</v>
      </c>
      <c r="AB90" s="667">
        <v>7094.18</v>
      </c>
      <c r="AC90" s="667">
        <v>7380.37</v>
      </c>
      <c r="AD90" s="667">
        <v>7849.65</v>
      </c>
      <c r="AE90" s="667">
        <v>7201.12</v>
      </c>
      <c r="AF90" s="667">
        <v>7603.32</v>
      </c>
      <c r="AG90" s="667">
        <v>8198.14</v>
      </c>
      <c r="AH90" s="667">
        <v>7485.39</v>
      </c>
      <c r="AI90" s="667">
        <v>7835.18</v>
      </c>
      <c r="AJ90" s="162">
        <v>8529.19</v>
      </c>
      <c r="AK90" s="160">
        <f t="shared" si="39"/>
        <v>91646.270000000019</v>
      </c>
      <c r="AL90" s="121" t="s">
        <v>16</v>
      </c>
      <c r="AM90" s="121" t="s">
        <v>16</v>
      </c>
      <c r="AN90" s="160"/>
      <c r="AO90" s="160"/>
    </row>
    <row r="91" spans="2:41">
      <c r="B91" s="121" t="s">
        <v>219</v>
      </c>
      <c r="C91" s="121" t="s">
        <v>1197</v>
      </c>
      <c r="D91" s="121" t="s">
        <v>16</v>
      </c>
      <c r="E91" s="121" t="s">
        <v>213</v>
      </c>
      <c r="F91" s="323" t="s">
        <v>219</v>
      </c>
      <c r="G91" s="158">
        <v>21462</v>
      </c>
      <c r="H91" s="158">
        <v>9911</v>
      </c>
      <c r="I91" s="158">
        <v>18583</v>
      </c>
      <c r="J91" s="158">
        <v>19155</v>
      </c>
      <c r="K91" s="158">
        <v>41179</v>
      </c>
      <c r="L91" s="158">
        <v>41180.06</v>
      </c>
      <c r="M91" s="158">
        <v>40783.339999999997</v>
      </c>
      <c r="N91" s="158">
        <v>20606.439999999999</v>
      </c>
      <c r="O91" s="158">
        <v>38398.699999999997</v>
      </c>
      <c r="P91" s="158">
        <v>48607.199999999997</v>
      </c>
      <c r="Q91" s="158">
        <v>32924.519999999997</v>
      </c>
      <c r="R91" s="158">
        <v>52629.42</v>
      </c>
      <c r="S91" s="160">
        <f ca="1">SUM(G91:OFFSET(G91,0,$F$2-1))</f>
        <v>385419.68</v>
      </c>
      <c r="T91" s="158">
        <f t="shared" si="35"/>
        <v>49956</v>
      </c>
      <c r="U91" s="158">
        <f t="shared" si="36"/>
        <v>101514.06</v>
      </c>
      <c r="V91" s="158">
        <f t="shared" si="37"/>
        <v>99788.479999999996</v>
      </c>
      <c r="W91" s="158">
        <f t="shared" si="38"/>
        <v>134161.14000000001</v>
      </c>
      <c r="X91" s="161"/>
      <c r="Y91" s="667">
        <v>39014.03</v>
      </c>
      <c r="Z91" s="667">
        <v>41794.870000000003</v>
      </c>
      <c r="AA91" s="667">
        <v>41571.120000000003</v>
      </c>
      <c r="AB91" s="667">
        <v>32960.33</v>
      </c>
      <c r="AC91" s="667">
        <v>43394.35</v>
      </c>
      <c r="AD91" s="667">
        <v>49131.77</v>
      </c>
      <c r="AE91" s="667">
        <v>42618.42</v>
      </c>
      <c r="AF91" s="667">
        <v>49110.02</v>
      </c>
      <c r="AG91" s="667">
        <v>48413.74</v>
      </c>
      <c r="AH91" s="667">
        <v>51440.14</v>
      </c>
      <c r="AI91" s="667">
        <v>52025.84</v>
      </c>
      <c r="AJ91" s="162">
        <v>52273.82</v>
      </c>
      <c r="AK91" s="160">
        <f t="shared" si="39"/>
        <v>543748.44999999995</v>
      </c>
      <c r="AL91" s="121" t="s">
        <v>16</v>
      </c>
      <c r="AM91" s="121" t="s">
        <v>16</v>
      </c>
      <c r="AN91" s="160"/>
      <c r="AO91" s="160"/>
    </row>
    <row r="92" spans="2:41">
      <c r="B92" s="121" t="s">
        <v>220</v>
      </c>
      <c r="C92" s="121" t="s">
        <v>1197</v>
      </c>
      <c r="D92" s="121" t="s">
        <v>17</v>
      </c>
      <c r="E92" s="121" t="s">
        <v>205</v>
      </c>
      <c r="F92" s="418" t="s">
        <v>220</v>
      </c>
      <c r="G92" s="158">
        <v>12401</v>
      </c>
      <c r="H92" s="158">
        <v>12401</v>
      </c>
      <c r="I92" s="158">
        <v>12401</v>
      </c>
      <c r="J92" s="158">
        <v>11401</v>
      </c>
      <c r="K92" s="158">
        <v>11401</v>
      </c>
      <c r="L92" s="158">
        <v>11401</v>
      </c>
      <c r="M92" s="158">
        <v>11401</v>
      </c>
      <c r="N92" s="158">
        <v>10401</v>
      </c>
      <c r="O92" s="158">
        <v>10401</v>
      </c>
      <c r="P92" s="158">
        <v>10401</v>
      </c>
      <c r="Q92" s="158">
        <v>10401</v>
      </c>
      <c r="R92" s="158">
        <v>12401</v>
      </c>
      <c r="S92" s="160">
        <f ca="1">SUM(G92:OFFSET(G92,0,$F$2-1))</f>
        <v>136812</v>
      </c>
      <c r="T92" s="158">
        <f t="shared" si="35"/>
        <v>37203</v>
      </c>
      <c r="U92" s="158">
        <f t="shared" si="36"/>
        <v>34203</v>
      </c>
      <c r="V92" s="158">
        <f t="shared" si="37"/>
        <v>32203</v>
      </c>
      <c r="W92" s="158">
        <f t="shared" si="38"/>
        <v>33203</v>
      </c>
      <c r="X92" s="161"/>
      <c r="Y92" s="162">
        <v>12401</v>
      </c>
      <c r="Z92" s="162">
        <v>12401</v>
      </c>
      <c r="AA92" s="162">
        <v>12401</v>
      </c>
      <c r="AB92" s="162">
        <v>11401</v>
      </c>
      <c r="AC92" s="162">
        <v>11401</v>
      </c>
      <c r="AD92" s="162">
        <v>11401</v>
      </c>
      <c r="AE92" s="162">
        <v>11401</v>
      </c>
      <c r="AF92" s="162">
        <v>10401</v>
      </c>
      <c r="AG92" s="162">
        <v>10401</v>
      </c>
      <c r="AH92" s="162">
        <v>10401</v>
      </c>
      <c r="AI92" s="162">
        <v>10401</v>
      </c>
      <c r="AJ92" s="162">
        <v>12401</v>
      </c>
      <c r="AK92" s="160">
        <f t="shared" si="39"/>
        <v>136812</v>
      </c>
      <c r="AL92" s="121" t="s">
        <v>17</v>
      </c>
      <c r="AM92" s="121" t="s">
        <v>17</v>
      </c>
      <c r="AN92" s="160"/>
      <c r="AO92" s="160"/>
    </row>
    <row r="93" spans="2:41">
      <c r="B93" s="121"/>
      <c r="C93" s="121"/>
      <c r="D93" s="121" t="s">
        <v>1143</v>
      </c>
      <c r="F93" s="407" t="s">
        <v>221</v>
      </c>
      <c r="G93" s="419">
        <f>SUM(G78:G92)</f>
        <v>308606.46499999997</v>
      </c>
      <c r="H93" s="419">
        <f t="shared" ref="H93:R93" si="40">SUM(H78:H92)</f>
        <v>289782.61</v>
      </c>
      <c r="I93" s="419">
        <f t="shared" si="40"/>
        <v>305942.86</v>
      </c>
      <c r="J93" s="419">
        <f t="shared" si="40"/>
        <v>304348.11</v>
      </c>
      <c r="K93" s="419">
        <f t="shared" si="40"/>
        <v>328813.58</v>
      </c>
      <c r="L93" s="419">
        <f t="shared" si="40"/>
        <v>324879.25</v>
      </c>
      <c r="M93" s="419">
        <f t="shared" si="40"/>
        <v>327769.20999999996</v>
      </c>
      <c r="N93" s="419">
        <f t="shared" si="40"/>
        <v>330621.06999999995</v>
      </c>
      <c r="O93" s="419">
        <f t="shared" si="40"/>
        <v>294429.93</v>
      </c>
      <c r="P93" s="419">
        <f t="shared" si="40"/>
        <v>325472.80000000005</v>
      </c>
      <c r="Q93" s="419">
        <f t="shared" si="40"/>
        <v>322827.78000000003</v>
      </c>
      <c r="R93" s="419">
        <f t="shared" si="40"/>
        <v>342407.9</v>
      </c>
      <c r="S93" s="419">
        <f ca="1">SUM(S78:S92)</f>
        <v>3805901.5649999999</v>
      </c>
      <c r="T93" s="419">
        <f>SUM(T78:T92)</f>
        <v>904331.93499999994</v>
      </c>
      <c r="U93" s="419">
        <f>SUM(U78:U92)</f>
        <v>958040.94</v>
      </c>
      <c r="V93" s="419">
        <f>SUM(V78:V92)</f>
        <v>952820.21</v>
      </c>
      <c r="W93" s="419">
        <f>SUM(W78:W92)</f>
        <v>990708.48</v>
      </c>
      <c r="X93" s="408"/>
      <c r="Y93" s="419">
        <f>SUM(Y78:Y92)</f>
        <v>338436.45999999996</v>
      </c>
      <c r="Z93" s="419">
        <f t="shared" ref="Z93:AJ93" si="41">SUM(Z78:Z92)</f>
        <v>310235.84000000003</v>
      </c>
      <c r="AA93" s="419">
        <f t="shared" si="41"/>
        <v>330756.93</v>
      </c>
      <c r="AB93" s="419">
        <f t="shared" si="41"/>
        <v>317539.8</v>
      </c>
      <c r="AC93" s="419">
        <f t="shared" si="41"/>
        <v>329786.83999999997</v>
      </c>
      <c r="AD93" s="419">
        <f t="shared" si="41"/>
        <v>332597.04000000004</v>
      </c>
      <c r="AE93" s="419">
        <f t="shared" si="41"/>
        <v>328831.65999999997</v>
      </c>
      <c r="AF93" s="419">
        <f t="shared" si="41"/>
        <v>334725.46000000002</v>
      </c>
      <c r="AG93" s="419">
        <f>SUM(AG78:AG92)</f>
        <v>331227.5</v>
      </c>
      <c r="AH93" s="419">
        <f t="shared" si="41"/>
        <v>336937.65</v>
      </c>
      <c r="AI93" s="419">
        <f t="shared" si="41"/>
        <v>334476.64</v>
      </c>
      <c r="AJ93" s="419">
        <f t="shared" si="41"/>
        <v>340815.13</v>
      </c>
      <c r="AK93" s="419">
        <f>SUM(AK78:AK92)</f>
        <v>3966366.9499999993</v>
      </c>
      <c r="AL93" s="121"/>
      <c r="AM93" s="121"/>
      <c r="AN93" s="419"/>
      <c r="AO93" s="419"/>
    </row>
    <row r="94" spans="2:41">
      <c r="B94" s="121"/>
      <c r="C94" s="121"/>
      <c r="D94" s="121" t="s">
        <v>1143</v>
      </c>
      <c r="F94" s="320" t="s">
        <v>222</v>
      </c>
      <c r="G94" s="117"/>
      <c r="H94" s="117"/>
      <c r="I94" s="117"/>
      <c r="J94" s="117"/>
      <c r="K94" s="117"/>
      <c r="L94" s="117"/>
      <c r="M94" s="117"/>
      <c r="N94" s="420"/>
      <c r="O94" s="117"/>
      <c r="P94" s="117"/>
      <c r="Q94" s="117"/>
      <c r="R94" s="117"/>
      <c r="S94" s="320"/>
      <c r="T94" s="117"/>
      <c r="U94" s="117"/>
      <c r="V94" s="117"/>
      <c r="W94" s="117"/>
      <c r="X94" s="161"/>
      <c r="Y94" s="117"/>
      <c r="Z94" s="117"/>
      <c r="AA94" s="117"/>
      <c r="AB94" s="117"/>
      <c r="AC94" s="117"/>
      <c r="AD94" s="117"/>
      <c r="AE94" s="117"/>
      <c r="AF94" s="420"/>
      <c r="AG94" s="420"/>
      <c r="AH94" s="117"/>
      <c r="AI94" s="117"/>
      <c r="AJ94" s="117"/>
      <c r="AK94" s="320"/>
      <c r="AN94" s="320"/>
      <c r="AO94" s="320"/>
    </row>
    <row r="95" spans="2:41">
      <c r="B95" s="121"/>
      <c r="C95" s="121" t="s">
        <v>1197</v>
      </c>
      <c r="D95" s="121" t="s">
        <v>17</v>
      </c>
      <c r="E95" s="121" t="s">
        <v>205</v>
      </c>
      <c r="F95" s="323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60"/>
      <c r="T95" s="158"/>
      <c r="U95" s="158"/>
      <c r="V95" s="158"/>
      <c r="W95" s="158"/>
      <c r="X95" s="161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0">
        <f ca="1">SUM(Y95:OFFSET(Y95,0,$F$2-1))</f>
        <v>0</v>
      </c>
      <c r="AL95" s="121" t="s">
        <v>17</v>
      </c>
      <c r="AM95" s="121" t="s">
        <v>17</v>
      </c>
      <c r="AN95" s="160"/>
      <c r="AO95" s="160"/>
    </row>
    <row r="96" spans="2:41">
      <c r="B96" s="121" t="s">
        <v>223</v>
      </c>
      <c r="C96" s="121" t="s">
        <v>1197</v>
      </c>
      <c r="D96" s="121" t="s">
        <v>17</v>
      </c>
      <c r="E96" s="121" t="s">
        <v>205</v>
      </c>
      <c r="F96" s="118" t="s">
        <v>223</v>
      </c>
      <c r="G96" s="158">
        <v>5996.22</v>
      </c>
      <c r="H96" s="158">
        <v>5249.8</v>
      </c>
      <c r="I96" s="158">
        <v>6519.12</v>
      </c>
      <c r="J96" s="158">
        <v>5018.2700000000004</v>
      </c>
      <c r="K96" s="158">
        <v>5781.26</v>
      </c>
      <c r="L96" s="158">
        <v>5735.14</v>
      </c>
      <c r="M96" s="158">
        <v>6247.67</v>
      </c>
      <c r="N96" s="158">
        <v>6181.61</v>
      </c>
      <c r="O96" s="158">
        <v>5772.85</v>
      </c>
      <c r="P96" s="158">
        <v>5432.85</v>
      </c>
      <c r="Q96" s="158">
        <v>5272.82</v>
      </c>
      <c r="R96" s="158">
        <v>6382.83</v>
      </c>
      <c r="S96" s="400">
        <f ca="1">SUM(G96:OFFSET(G96,0,$F$2-1))</f>
        <v>69590.439999999988</v>
      </c>
      <c r="T96" s="158">
        <f>SUM(G96:I96)</f>
        <v>17765.14</v>
      </c>
      <c r="U96" s="158">
        <f>SUM(J96:L96)</f>
        <v>16534.670000000002</v>
      </c>
      <c r="V96" s="158">
        <f>SUM(M96:O96)</f>
        <v>18202.129999999997</v>
      </c>
      <c r="W96" s="158">
        <f>SUM(P96:R96)</f>
        <v>17088.5</v>
      </c>
      <c r="X96" s="161"/>
      <c r="Y96" s="162">
        <v>6193.64</v>
      </c>
      <c r="Z96" s="162">
        <v>5886.24</v>
      </c>
      <c r="AA96" s="162">
        <v>6289.04</v>
      </c>
      <c r="AB96" s="162">
        <v>6169.37</v>
      </c>
      <c r="AC96" s="162">
        <v>6144.54</v>
      </c>
      <c r="AD96" s="162">
        <v>6049.92</v>
      </c>
      <c r="AE96" s="162">
        <v>6144.54</v>
      </c>
      <c r="AF96" s="162">
        <v>5685.12</v>
      </c>
      <c r="AG96" s="162">
        <v>5809.78</v>
      </c>
      <c r="AH96" s="162">
        <v>6017.15</v>
      </c>
      <c r="AI96" s="162">
        <v>5796.77</v>
      </c>
      <c r="AJ96" s="162">
        <v>5828.99</v>
      </c>
      <c r="AK96" s="400">
        <f ca="1">SUM(Y96:OFFSET(Y96,0,$F$2-1))</f>
        <v>72015.100000000006</v>
      </c>
      <c r="AL96" s="121" t="s">
        <v>17</v>
      </c>
      <c r="AM96" s="121" t="s">
        <v>17</v>
      </c>
      <c r="AN96" s="400"/>
      <c r="AO96" s="400"/>
    </row>
    <row r="97" spans="2:41">
      <c r="B97" s="121" t="s">
        <v>224</v>
      </c>
      <c r="C97" s="121" t="s">
        <v>1197</v>
      </c>
      <c r="D97" s="121" t="s">
        <v>16</v>
      </c>
      <c r="E97" s="121" t="s">
        <v>213</v>
      </c>
      <c r="F97" s="118" t="s">
        <v>224</v>
      </c>
      <c r="G97" s="158">
        <v>43990</v>
      </c>
      <c r="H97" s="158">
        <v>43638</v>
      </c>
      <c r="I97" s="158">
        <v>45028</v>
      </c>
      <c r="J97" s="158">
        <v>44313</v>
      </c>
      <c r="K97" s="159">
        <v>43426</v>
      </c>
      <c r="L97" s="158">
        <v>42270.1</v>
      </c>
      <c r="M97" s="158">
        <v>42393.3</v>
      </c>
      <c r="N97" s="158">
        <v>41552.949999999997</v>
      </c>
      <c r="O97" s="158">
        <v>42683.8</v>
      </c>
      <c r="P97" s="158">
        <v>42900.800000000003</v>
      </c>
      <c r="Q97" s="158">
        <v>42650.55</v>
      </c>
      <c r="R97" s="158">
        <v>43071.6</v>
      </c>
      <c r="S97" s="400">
        <f ca="1">SUM(G97:OFFSET(G97,0,$F$2-1))</f>
        <v>517918.09999999992</v>
      </c>
      <c r="T97" s="158">
        <f>SUM(G97:I97)</f>
        <v>132656</v>
      </c>
      <c r="U97" s="158">
        <f>SUM(J97:L97)</f>
        <v>130009.1</v>
      </c>
      <c r="V97" s="158">
        <f>SUM(M97:O97)</f>
        <v>126630.05</v>
      </c>
      <c r="W97" s="158">
        <f>SUM(P97:R97)</f>
        <v>128622.95000000001</v>
      </c>
      <c r="X97" s="161"/>
      <c r="Y97" s="162">
        <v>41631.35</v>
      </c>
      <c r="Z97" s="162">
        <v>42706.9</v>
      </c>
      <c r="AA97" s="162">
        <v>42181.55</v>
      </c>
      <c r="AB97" s="162">
        <v>42109.799999999996</v>
      </c>
      <c r="AC97" s="162">
        <v>41427.65</v>
      </c>
      <c r="AD97" s="162">
        <v>41205.75</v>
      </c>
      <c r="AE97" s="162">
        <v>40830.9</v>
      </c>
      <c r="AF97" s="162">
        <v>39366.85</v>
      </c>
      <c r="AG97" s="162">
        <v>42364.25</v>
      </c>
      <c r="AH97" s="162">
        <v>43795.05</v>
      </c>
      <c r="AI97" s="162">
        <v>45117.35</v>
      </c>
      <c r="AJ97" s="162">
        <v>44308.85</v>
      </c>
      <c r="AK97" s="400">
        <f ca="1">SUM(Y97:OFFSET(Y97,0,$F$2-1))</f>
        <v>507046.24999999994</v>
      </c>
      <c r="AL97" s="121" t="s">
        <v>16</v>
      </c>
      <c r="AM97" s="121" t="s">
        <v>16</v>
      </c>
      <c r="AN97" s="400"/>
      <c r="AO97" s="400"/>
    </row>
    <row r="98" spans="2:41">
      <c r="B98" s="121" t="s">
        <v>260</v>
      </c>
      <c r="C98" s="121" t="s">
        <v>1197</v>
      </c>
      <c r="D98" s="121" t="s">
        <v>16</v>
      </c>
      <c r="E98" s="121" t="s">
        <v>213</v>
      </c>
      <c r="F98" s="119" t="s">
        <v>260</v>
      </c>
      <c r="G98" s="158">
        <v>4978</v>
      </c>
      <c r="H98" s="158">
        <v>0</v>
      </c>
      <c r="I98" s="158">
        <v>4</v>
      </c>
      <c r="J98" s="158">
        <v>0</v>
      </c>
      <c r="K98" s="158">
        <v>399</v>
      </c>
      <c r="L98" s="158">
        <v>0</v>
      </c>
      <c r="M98" s="158">
        <v>3136.81</v>
      </c>
      <c r="N98" s="158">
        <v>1446.39</v>
      </c>
      <c r="O98" s="158">
        <v>126.22</v>
      </c>
      <c r="P98" s="158">
        <v>152</v>
      </c>
      <c r="Q98" s="158">
        <v>4906.54</v>
      </c>
      <c r="R98" s="158">
        <v>1827.37</v>
      </c>
      <c r="S98" s="400">
        <f ca="1">SUM(G98:OFFSET(G98,0,$F$2-1))</f>
        <v>16976.329999999998</v>
      </c>
      <c r="T98" s="158">
        <f>SUM(G98:I98)</f>
        <v>4982</v>
      </c>
      <c r="U98" s="158">
        <f>SUM(J98:L98)</f>
        <v>399</v>
      </c>
      <c r="V98" s="158">
        <f>SUM(M98:O98)</f>
        <v>4709.42</v>
      </c>
      <c r="W98" s="158">
        <f>SUM(P98:R98)</f>
        <v>6885.91</v>
      </c>
      <c r="X98" s="161"/>
      <c r="Y98" s="162">
        <v>1860.54</v>
      </c>
      <c r="Z98" s="162">
        <v>0</v>
      </c>
      <c r="AA98" s="162">
        <v>198.7</v>
      </c>
      <c r="AB98" s="162">
        <v>0</v>
      </c>
      <c r="AC98" s="162">
        <v>0</v>
      </c>
      <c r="AD98" s="162">
        <v>163.09</v>
      </c>
      <c r="AE98" s="162">
        <v>3176.71</v>
      </c>
      <c r="AF98" s="162">
        <v>252.49</v>
      </c>
      <c r="AG98" s="162">
        <v>0</v>
      </c>
      <c r="AH98" s="162">
        <v>2786.83</v>
      </c>
      <c r="AI98" s="162">
        <v>571.87</v>
      </c>
      <c r="AJ98" s="162">
        <v>0</v>
      </c>
      <c r="AK98" s="400">
        <f ca="1">SUM(Y98:OFFSET(Y98,0,$F$2-1))</f>
        <v>9010.2300000000014</v>
      </c>
      <c r="AL98" s="121" t="s">
        <v>16</v>
      </c>
      <c r="AM98" s="121" t="s">
        <v>16</v>
      </c>
      <c r="AN98" s="400"/>
      <c r="AO98" s="400"/>
    </row>
    <row r="99" spans="2:41">
      <c r="B99" s="121"/>
      <c r="C99" s="121"/>
      <c r="D99" s="121" t="s">
        <v>1143</v>
      </c>
      <c r="F99" s="407" t="s">
        <v>226</v>
      </c>
      <c r="G99" s="419">
        <f>SUM(G95:G98)</f>
        <v>54964.22</v>
      </c>
      <c r="H99" s="419">
        <f>SUM(H95:H98)</f>
        <v>48887.8</v>
      </c>
      <c r="I99" s="419">
        <f>SUM(I95:I98)</f>
        <v>51551.12</v>
      </c>
      <c r="J99" s="419">
        <f>SUM(J95:J98)</f>
        <v>49331.270000000004</v>
      </c>
      <c r="K99" s="419">
        <f>SUM(K95:K98)</f>
        <v>49606.26</v>
      </c>
      <c r="L99" s="419">
        <f t="shared" ref="L99:W99" si="42">SUM(L95:L98)</f>
        <v>48005.24</v>
      </c>
      <c r="M99" s="419">
        <f t="shared" si="42"/>
        <v>51777.78</v>
      </c>
      <c r="N99" s="419">
        <f t="shared" si="42"/>
        <v>49180.95</v>
      </c>
      <c r="O99" s="419">
        <f t="shared" si="42"/>
        <v>48582.87</v>
      </c>
      <c r="P99" s="419">
        <f t="shared" si="42"/>
        <v>48485.65</v>
      </c>
      <c r="Q99" s="419">
        <f t="shared" si="42"/>
        <v>52829.91</v>
      </c>
      <c r="R99" s="419">
        <f t="shared" si="42"/>
        <v>51281.8</v>
      </c>
      <c r="S99" s="419">
        <f t="shared" ca="1" si="42"/>
        <v>604484.86999999988</v>
      </c>
      <c r="T99" s="419">
        <f t="shared" si="42"/>
        <v>155403.14000000001</v>
      </c>
      <c r="U99" s="419">
        <f t="shared" si="42"/>
        <v>146942.77000000002</v>
      </c>
      <c r="V99" s="419">
        <f t="shared" si="42"/>
        <v>149541.6</v>
      </c>
      <c r="W99" s="419">
        <f t="shared" si="42"/>
        <v>152597.36000000002</v>
      </c>
      <c r="X99" s="408"/>
      <c r="Y99" s="419">
        <f>SUM(Y95:Y98)</f>
        <v>49685.53</v>
      </c>
      <c r="Z99" s="419">
        <f t="shared" ref="Z99:AK99" si="43">SUM(Z95:Z98)</f>
        <v>48593.14</v>
      </c>
      <c r="AA99" s="419">
        <f t="shared" si="43"/>
        <v>48669.29</v>
      </c>
      <c r="AB99" s="419">
        <f t="shared" si="43"/>
        <v>48279.17</v>
      </c>
      <c r="AC99" s="419">
        <f t="shared" si="43"/>
        <v>47572.19</v>
      </c>
      <c r="AD99" s="419">
        <f t="shared" si="43"/>
        <v>47418.759999999995</v>
      </c>
      <c r="AE99" s="419">
        <f t="shared" si="43"/>
        <v>50152.15</v>
      </c>
      <c r="AF99" s="419">
        <f t="shared" si="43"/>
        <v>45304.46</v>
      </c>
      <c r="AG99" s="419">
        <f>SUM(AG95:AG98)</f>
        <v>48174.03</v>
      </c>
      <c r="AH99" s="419">
        <f t="shared" si="43"/>
        <v>52599.030000000006</v>
      </c>
      <c r="AI99" s="419">
        <f t="shared" si="43"/>
        <v>51485.99</v>
      </c>
      <c r="AJ99" s="419">
        <f t="shared" si="43"/>
        <v>50137.84</v>
      </c>
      <c r="AK99" s="419">
        <f t="shared" ca="1" si="43"/>
        <v>588071.57999999996</v>
      </c>
      <c r="AL99" s="121"/>
      <c r="AM99" s="121"/>
      <c r="AN99" s="419"/>
      <c r="AO99" s="419"/>
    </row>
    <row r="100" spans="2:41">
      <c r="B100" s="121"/>
      <c r="C100" s="121"/>
      <c r="D100" s="121" t="s">
        <v>1143</v>
      </c>
      <c r="F100" s="320" t="s">
        <v>227</v>
      </c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320"/>
      <c r="T100" s="117"/>
      <c r="U100" s="117"/>
      <c r="V100" s="117"/>
      <c r="W100" s="117"/>
      <c r="X100" s="161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320"/>
      <c r="AL100" s="121"/>
      <c r="AM100" s="121"/>
      <c r="AN100" s="320"/>
      <c r="AO100" s="320"/>
    </row>
    <row r="101" spans="2:41">
      <c r="B101" s="121"/>
      <c r="C101" s="121"/>
      <c r="D101" s="121" t="s">
        <v>17</v>
      </c>
      <c r="E101" s="121" t="s">
        <v>205</v>
      </c>
      <c r="F101" s="118" t="s">
        <v>207</v>
      </c>
      <c r="G101" s="411"/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  <c r="R101" s="411"/>
      <c r="S101" s="160">
        <f ca="1">SUM(G101:OFFSET(G101,0,$F$2-1))</f>
        <v>0</v>
      </c>
      <c r="T101" s="158">
        <f>SUM(G101:I101)</f>
        <v>0</v>
      </c>
      <c r="U101" s="158">
        <f>SUM(J101:L101)</f>
        <v>0</v>
      </c>
      <c r="V101" s="158">
        <f>SUM(M101:O101)</f>
        <v>0</v>
      </c>
      <c r="W101" s="158">
        <f>SUM(P101:R101)</f>
        <v>0</v>
      </c>
      <c r="X101" s="161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0">
        <f ca="1">SUM(Y101:OFFSET(Y101,0,$F$2-1))</f>
        <v>0</v>
      </c>
      <c r="AN101" s="160"/>
      <c r="AO101" s="160"/>
    </row>
    <row r="102" spans="2:41">
      <c r="B102" s="121"/>
      <c r="C102" s="121"/>
      <c r="D102" s="121"/>
      <c r="E102" s="121" t="s">
        <v>205</v>
      </c>
      <c r="F102" s="119"/>
      <c r="G102" s="421"/>
      <c r="H102" s="421"/>
      <c r="I102" s="421"/>
      <c r="J102" s="421"/>
      <c r="K102" s="421"/>
      <c r="L102" s="421"/>
      <c r="M102" s="421"/>
      <c r="N102" s="421"/>
      <c r="O102" s="421"/>
      <c r="P102" s="421"/>
      <c r="Q102" s="421"/>
      <c r="R102" s="421"/>
      <c r="S102" s="422">
        <f ca="1">SUM(G102:OFFSET(G102,0,$F$2-1))</f>
        <v>0</v>
      </c>
      <c r="T102" s="403">
        <f>SUM(G102:I102)</f>
        <v>0</v>
      </c>
      <c r="U102" s="403">
        <f>SUM(J102:L102)</f>
        <v>0</v>
      </c>
      <c r="V102" s="403">
        <f>SUM(M102:O102)</f>
        <v>0</v>
      </c>
      <c r="W102" s="403">
        <f>SUM(P102:R102)</f>
        <v>0</v>
      </c>
      <c r="X102" s="161"/>
      <c r="Y102" s="406"/>
      <c r="Z102" s="406"/>
      <c r="AA102" s="406"/>
      <c r="AB102" s="406"/>
      <c r="AC102" s="406"/>
      <c r="AD102" s="406"/>
      <c r="AE102" s="406"/>
      <c r="AF102" s="406"/>
      <c r="AG102" s="406"/>
      <c r="AH102" s="406"/>
      <c r="AI102" s="406"/>
      <c r="AJ102" s="406"/>
      <c r="AK102" s="422">
        <f ca="1">SUM(Y102:OFFSET(Y102,0,$F$2-1))</f>
        <v>0</v>
      </c>
      <c r="AL102" s="121" t="s">
        <v>17</v>
      </c>
      <c r="AM102" s="121" t="s">
        <v>17</v>
      </c>
      <c r="AN102" s="422"/>
      <c r="AO102" s="422"/>
    </row>
    <row r="103" spans="2:41">
      <c r="B103" s="121"/>
      <c r="C103" s="121"/>
      <c r="D103" s="121" t="s">
        <v>1143</v>
      </c>
      <c r="F103" s="407" t="s">
        <v>228</v>
      </c>
      <c r="G103" s="160">
        <f t="shared" ref="G103:R103" si="44">+G101+G102</f>
        <v>0</v>
      </c>
      <c r="H103" s="160">
        <f t="shared" si="44"/>
        <v>0</v>
      </c>
      <c r="I103" s="160">
        <f t="shared" si="44"/>
        <v>0</v>
      </c>
      <c r="J103" s="160">
        <f t="shared" si="44"/>
        <v>0</v>
      </c>
      <c r="K103" s="160">
        <f t="shared" si="44"/>
        <v>0</v>
      </c>
      <c r="L103" s="160">
        <f t="shared" si="44"/>
        <v>0</v>
      </c>
      <c r="M103" s="160">
        <f t="shared" si="44"/>
        <v>0</v>
      </c>
      <c r="N103" s="160">
        <f t="shared" si="44"/>
        <v>0</v>
      </c>
      <c r="O103" s="160">
        <f t="shared" si="44"/>
        <v>0</v>
      </c>
      <c r="P103" s="160">
        <f t="shared" si="44"/>
        <v>0</v>
      </c>
      <c r="Q103" s="160">
        <f t="shared" si="44"/>
        <v>0</v>
      </c>
      <c r="R103" s="160">
        <f t="shared" si="44"/>
        <v>0</v>
      </c>
      <c r="S103" s="160">
        <f ca="1">SUM(S101:S102)</f>
        <v>0</v>
      </c>
      <c r="T103" s="160">
        <f>SUM(T101:T102)</f>
        <v>0</v>
      </c>
      <c r="U103" s="160">
        <f>SUM(U101:U102)</f>
        <v>0</v>
      </c>
      <c r="V103" s="160">
        <f>SUM(V101:V102)</f>
        <v>0</v>
      </c>
      <c r="W103" s="160">
        <f>SUM(W101:W102)</f>
        <v>0</v>
      </c>
      <c r="X103" s="161"/>
      <c r="Y103" s="160">
        <f t="shared" ref="Y103:AJ103" si="45">+Y101+Y102</f>
        <v>0</v>
      </c>
      <c r="Z103" s="160">
        <f t="shared" si="45"/>
        <v>0</v>
      </c>
      <c r="AA103" s="160">
        <f t="shared" si="45"/>
        <v>0</v>
      </c>
      <c r="AB103" s="160">
        <f t="shared" si="45"/>
        <v>0</v>
      </c>
      <c r="AC103" s="160">
        <f t="shared" si="45"/>
        <v>0</v>
      </c>
      <c r="AD103" s="160">
        <f t="shared" si="45"/>
        <v>0</v>
      </c>
      <c r="AE103" s="160">
        <f t="shared" si="45"/>
        <v>0</v>
      </c>
      <c r="AF103" s="160">
        <f t="shared" si="45"/>
        <v>0</v>
      </c>
      <c r="AG103" s="160">
        <f>+AG101+AG102</f>
        <v>0</v>
      </c>
      <c r="AH103" s="160">
        <f t="shared" si="45"/>
        <v>0</v>
      </c>
      <c r="AI103" s="160">
        <f t="shared" si="45"/>
        <v>0</v>
      </c>
      <c r="AJ103" s="160">
        <f t="shared" si="45"/>
        <v>0</v>
      </c>
      <c r="AK103" s="160">
        <f ca="1">SUM(AK101:AK102)</f>
        <v>0</v>
      </c>
      <c r="AL103" s="121" t="s">
        <v>17</v>
      </c>
      <c r="AM103" s="121" t="s">
        <v>17</v>
      </c>
      <c r="AN103" s="160"/>
      <c r="AO103" s="160"/>
    </row>
    <row r="104" spans="2:41">
      <c r="B104" s="121"/>
      <c r="C104" s="121"/>
      <c r="D104" s="121" t="s">
        <v>1143</v>
      </c>
      <c r="F104" s="324" t="s">
        <v>229</v>
      </c>
      <c r="G104" s="383">
        <f t="shared" ref="G104:R104" si="46">+G17+G26+G67+G76+G93+G99+G103</f>
        <v>5918394.3749999879</v>
      </c>
      <c r="H104" s="383">
        <f t="shared" si="46"/>
        <v>5589811.6000000099</v>
      </c>
      <c r="I104" s="383">
        <f t="shared" si="46"/>
        <v>5412596.2699999753</v>
      </c>
      <c r="J104" s="383">
        <f t="shared" si="46"/>
        <v>4747497.6099999631</v>
      </c>
      <c r="K104" s="383">
        <f t="shared" si="46"/>
        <v>4700244.2399999741</v>
      </c>
      <c r="L104" s="383">
        <f t="shared" si="46"/>
        <v>4507747.3899999969</v>
      </c>
      <c r="M104" s="383">
        <f t="shared" si="46"/>
        <v>4557595.1900000004</v>
      </c>
      <c r="N104" s="383">
        <f t="shared" si="46"/>
        <v>4489140.6399999931</v>
      </c>
      <c r="O104" s="383">
        <f t="shared" si="46"/>
        <v>4448435.8099999949</v>
      </c>
      <c r="P104" s="383">
        <f t="shared" si="46"/>
        <v>4592182.5600000098</v>
      </c>
      <c r="Q104" s="383">
        <f t="shared" si="46"/>
        <v>4921083.4099999908</v>
      </c>
      <c r="R104" s="383">
        <f t="shared" si="46"/>
        <v>5689111.6299999813</v>
      </c>
      <c r="S104" s="383">
        <f ca="1">+S17+S26+S67+S76+S93+S99+S103</f>
        <v>59573840.724999867</v>
      </c>
      <c r="T104" s="383">
        <f>+T17+T26+T67+T76+T93+T99+T103</f>
        <v>16920802.244999979</v>
      </c>
      <c r="U104" s="383">
        <f>+U17+U26+U67+U76+U93+U99+U103</f>
        <v>13955489.239999933</v>
      </c>
      <c r="V104" s="383">
        <f>+V17+V26+V67+V76+V93+V99+V103</f>
        <v>13495171.639999988</v>
      </c>
      <c r="W104" s="383">
        <f>+W17+W26+W67+W76+W93+W99+W103</f>
        <v>15202377.599999977</v>
      </c>
      <c r="X104" s="423"/>
      <c r="Y104" s="383">
        <f t="shared" ref="Y104:AJ104" si="47">+Y17+Y26+Y67+Y76+Y93+Y99+Y103</f>
        <v>6281553.3599999957</v>
      </c>
      <c r="Z104" s="383">
        <f t="shared" si="47"/>
        <v>5609673.5499999905</v>
      </c>
      <c r="AA104" s="383">
        <f t="shared" si="47"/>
        <v>5527795.7299999874</v>
      </c>
      <c r="AB104" s="383">
        <f t="shared" si="47"/>
        <v>5490447.5699999826</v>
      </c>
      <c r="AC104" s="383">
        <f t="shared" si="47"/>
        <v>5060930.9799999855</v>
      </c>
      <c r="AD104" s="383">
        <f t="shared" si="47"/>
        <v>4750480.7099999916</v>
      </c>
      <c r="AE104" s="383">
        <f t="shared" si="47"/>
        <v>4819704.5499999961</v>
      </c>
      <c r="AF104" s="383">
        <f t="shared" si="47"/>
        <v>4633473.0499999924</v>
      </c>
      <c r="AG104" s="383">
        <f>+AG17+AG26+AG67+AG76+AG93+AG99+AG103</f>
        <v>4745807.7299999893</v>
      </c>
      <c r="AH104" s="383">
        <f t="shared" si="47"/>
        <v>4838628.4999999842</v>
      </c>
      <c r="AI104" s="383">
        <f t="shared" si="47"/>
        <v>5174392.4599999916</v>
      </c>
      <c r="AJ104" s="383">
        <f t="shared" si="47"/>
        <v>5718677.5699999975</v>
      </c>
      <c r="AK104" s="383">
        <f ca="1">+AK17+AK26+AK67+AK76+AK93+AK99+AK103</f>
        <v>62651565.759999886</v>
      </c>
      <c r="AL104" s="121"/>
      <c r="AM104" s="121"/>
      <c r="AN104" s="383"/>
      <c r="AO104" s="383"/>
    </row>
    <row r="105" spans="2:41">
      <c r="B105" s="121"/>
      <c r="C105" s="121"/>
      <c r="D105" s="121" t="s">
        <v>1143</v>
      </c>
      <c r="F105" s="385" t="s">
        <v>230</v>
      </c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320"/>
      <c r="T105" s="117"/>
      <c r="U105" s="117"/>
      <c r="V105" s="117"/>
      <c r="W105" s="117"/>
      <c r="X105" s="161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320"/>
      <c r="AL105" s="121"/>
      <c r="AM105" s="121"/>
      <c r="AN105" s="320"/>
      <c r="AO105" s="320"/>
    </row>
    <row r="106" spans="2:41">
      <c r="B106" s="121" t="s">
        <v>231</v>
      </c>
      <c r="C106" s="121" t="s">
        <v>1197</v>
      </c>
      <c r="D106" s="121" t="s">
        <v>16</v>
      </c>
      <c r="E106" s="121" t="s">
        <v>213</v>
      </c>
      <c r="F106" s="118" t="s">
        <v>231</v>
      </c>
      <c r="G106" s="411"/>
      <c r="H106" s="411"/>
      <c r="I106" s="411"/>
      <c r="J106" s="411"/>
      <c r="K106" s="411"/>
      <c r="L106" s="411"/>
      <c r="M106" s="413"/>
      <c r="N106" s="413"/>
      <c r="O106" s="413"/>
      <c r="P106" s="413"/>
      <c r="Q106" s="413"/>
      <c r="R106" s="158">
        <v>95704</v>
      </c>
      <c r="S106" s="160">
        <f ca="1">SUM(G106:OFFSET(G106,0,$F$2-1))</f>
        <v>95704</v>
      </c>
      <c r="T106" s="158">
        <f>SUM(G106:I106)</f>
        <v>0</v>
      </c>
      <c r="U106" s="158">
        <f>SUM(J106:L106)</f>
        <v>0</v>
      </c>
      <c r="V106" s="158">
        <f>SUM(M106:O106)</f>
        <v>0</v>
      </c>
      <c r="W106" s="158">
        <f>SUM(P106:R106)</f>
        <v>95704</v>
      </c>
      <c r="X106" s="161"/>
      <c r="Y106" s="162">
        <v>95704</v>
      </c>
      <c r="Z106" s="162">
        <v>86442</v>
      </c>
      <c r="AA106" s="162">
        <v>95704</v>
      </c>
      <c r="AB106" s="162">
        <v>92617</v>
      </c>
      <c r="AC106" s="162">
        <v>95704</v>
      </c>
      <c r="AD106" s="162">
        <v>92617</v>
      </c>
      <c r="AE106" s="162">
        <v>95704</v>
      </c>
      <c r="AF106" s="417">
        <v>95704</v>
      </c>
      <c r="AG106" s="417">
        <v>92617</v>
      </c>
      <c r="AH106" s="417">
        <v>95704</v>
      </c>
      <c r="AI106" s="417">
        <v>92617</v>
      </c>
      <c r="AJ106" s="417">
        <v>95704</v>
      </c>
      <c r="AK106" s="160">
        <f ca="1">SUM(Y106:OFFSET(Y106,0,$F$2-1))</f>
        <v>1126838</v>
      </c>
      <c r="AL106" s="121" t="s">
        <v>16</v>
      </c>
      <c r="AM106" s="121" t="s">
        <v>16</v>
      </c>
      <c r="AN106" s="160"/>
      <c r="AO106" s="160"/>
    </row>
    <row r="107" spans="2:41">
      <c r="B107" s="121" t="s">
        <v>232</v>
      </c>
      <c r="C107" s="121" t="s">
        <v>1197</v>
      </c>
      <c r="D107" s="121" t="s">
        <v>17</v>
      </c>
      <c r="E107" s="121" t="s">
        <v>205</v>
      </c>
      <c r="F107" s="118" t="s">
        <v>232</v>
      </c>
      <c r="G107" s="158">
        <v>9800</v>
      </c>
      <c r="H107" s="158">
        <v>9800</v>
      </c>
      <c r="I107" s="158">
        <v>9800</v>
      </c>
      <c r="J107" s="158">
        <v>9800</v>
      </c>
      <c r="K107" s="158">
        <v>9800</v>
      </c>
      <c r="L107" s="158">
        <v>9800</v>
      </c>
      <c r="M107" s="159">
        <v>9800</v>
      </c>
      <c r="N107" s="159">
        <v>9800</v>
      </c>
      <c r="O107" s="159">
        <v>9800</v>
      </c>
      <c r="P107" s="159">
        <v>9800</v>
      </c>
      <c r="Q107" s="159">
        <v>9800</v>
      </c>
      <c r="R107" s="158">
        <v>9800</v>
      </c>
      <c r="S107" s="160">
        <f ca="1">SUM(G107:OFFSET(G107,0,$F$2-1))</f>
        <v>117600</v>
      </c>
      <c r="T107" s="158">
        <f>SUM(G107:I107)</f>
        <v>29400</v>
      </c>
      <c r="U107" s="158">
        <f>SUM(J107:L107)</f>
        <v>29400</v>
      </c>
      <c r="V107" s="158">
        <f>SUM(M107:O107)</f>
        <v>29400</v>
      </c>
      <c r="W107" s="158">
        <f>SUM(P107:R107)</f>
        <v>29400</v>
      </c>
      <c r="X107" s="161"/>
      <c r="Y107" s="162">
        <v>9800</v>
      </c>
      <c r="Z107" s="162">
        <v>9800</v>
      </c>
      <c r="AA107" s="162">
        <v>9800</v>
      </c>
      <c r="AB107" s="162">
        <v>9800</v>
      </c>
      <c r="AC107" s="162">
        <v>9800</v>
      </c>
      <c r="AD107" s="162">
        <v>9800</v>
      </c>
      <c r="AE107" s="162">
        <v>9800</v>
      </c>
      <c r="AF107" s="162">
        <v>9800</v>
      </c>
      <c r="AG107" s="162">
        <v>9800</v>
      </c>
      <c r="AH107" s="417">
        <v>9800</v>
      </c>
      <c r="AI107" s="417">
        <v>9800</v>
      </c>
      <c r="AJ107" s="417">
        <v>9800</v>
      </c>
      <c r="AK107" s="160">
        <f ca="1">SUM(Y107:OFFSET(Y107,0,$F$2-1))</f>
        <v>117600</v>
      </c>
      <c r="AL107" s="121" t="s">
        <v>17</v>
      </c>
      <c r="AM107" s="121" t="s">
        <v>17</v>
      </c>
      <c r="AN107" s="160"/>
      <c r="AO107" s="160"/>
    </row>
    <row r="108" spans="2:41">
      <c r="B108" s="121" t="s">
        <v>233</v>
      </c>
      <c r="C108" s="121" t="s">
        <v>1197</v>
      </c>
      <c r="D108" s="121" t="s">
        <v>17</v>
      </c>
      <c r="E108" s="121" t="s">
        <v>205</v>
      </c>
      <c r="F108" s="119" t="s">
        <v>233</v>
      </c>
      <c r="G108" s="403">
        <v>3250</v>
      </c>
      <c r="H108" s="403">
        <v>3250</v>
      </c>
      <c r="I108" s="403">
        <v>3250</v>
      </c>
      <c r="J108" s="403">
        <v>3250</v>
      </c>
      <c r="K108" s="403">
        <v>3250</v>
      </c>
      <c r="L108" s="403">
        <v>3250</v>
      </c>
      <c r="M108" s="403">
        <v>3250</v>
      </c>
      <c r="N108" s="403">
        <v>3250</v>
      </c>
      <c r="O108" s="403">
        <v>3250</v>
      </c>
      <c r="P108" s="403">
        <v>3250</v>
      </c>
      <c r="Q108" s="403">
        <v>3250</v>
      </c>
      <c r="R108" s="403">
        <v>3250</v>
      </c>
      <c r="S108" s="405">
        <f ca="1">SUM(G108:OFFSET(G108,0,$F$2-1))</f>
        <v>39000</v>
      </c>
      <c r="T108" s="403">
        <f>SUM(G108:I108)</f>
        <v>9750</v>
      </c>
      <c r="U108" s="403">
        <f>SUM(J108:L108)</f>
        <v>9750</v>
      </c>
      <c r="V108" s="403">
        <f>SUM(M108:O108)</f>
        <v>9750</v>
      </c>
      <c r="W108" s="403">
        <f>SUM(P108:R108)</f>
        <v>9750</v>
      </c>
      <c r="X108" s="161"/>
      <c r="Y108" s="406">
        <v>3250</v>
      </c>
      <c r="Z108" s="406">
        <v>3250</v>
      </c>
      <c r="AA108" s="406">
        <v>3250</v>
      </c>
      <c r="AB108" s="406">
        <v>3250</v>
      </c>
      <c r="AC108" s="406">
        <v>3250</v>
      </c>
      <c r="AD108" s="406">
        <v>3250</v>
      </c>
      <c r="AE108" s="406">
        <v>3250</v>
      </c>
      <c r="AF108" s="406">
        <v>3250</v>
      </c>
      <c r="AG108" s="406">
        <v>3250</v>
      </c>
      <c r="AH108" s="406">
        <v>3250</v>
      </c>
      <c r="AI108" s="417">
        <v>3250</v>
      </c>
      <c r="AJ108" s="417">
        <v>3250</v>
      </c>
      <c r="AK108" s="405">
        <f ca="1">SUM(Y108:OFFSET(Y108,0,$F$2-1))</f>
        <v>39000</v>
      </c>
      <c r="AL108" s="121" t="s">
        <v>17</v>
      </c>
      <c r="AM108" s="121" t="s">
        <v>17</v>
      </c>
      <c r="AN108" s="405"/>
      <c r="AO108" s="405"/>
    </row>
    <row r="109" spans="2:41">
      <c r="B109" s="121"/>
      <c r="C109" s="121"/>
      <c r="D109" s="121" t="s">
        <v>1143</v>
      </c>
      <c r="F109" s="424" t="s">
        <v>234</v>
      </c>
      <c r="G109" s="425">
        <f t="shared" ref="G109:W109" si="48">SUM(G106:G108)</f>
        <v>13050</v>
      </c>
      <c r="H109" s="425">
        <f t="shared" si="48"/>
        <v>13050</v>
      </c>
      <c r="I109" s="425">
        <f t="shared" si="48"/>
        <v>13050</v>
      </c>
      <c r="J109" s="425">
        <f t="shared" si="48"/>
        <v>13050</v>
      </c>
      <c r="K109" s="425">
        <f t="shared" si="48"/>
        <v>13050</v>
      </c>
      <c r="L109" s="425">
        <f t="shared" si="48"/>
        <v>13050</v>
      </c>
      <c r="M109" s="425">
        <f t="shared" si="48"/>
        <v>13050</v>
      </c>
      <c r="N109" s="425">
        <f t="shared" si="48"/>
        <v>13050</v>
      </c>
      <c r="O109" s="425">
        <f t="shared" si="48"/>
        <v>13050</v>
      </c>
      <c r="P109" s="425">
        <f t="shared" si="48"/>
        <v>13050</v>
      </c>
      <c r="Q109" s="425">
        <f t="shared" si="48"/>
        <v>13050</v>
      </c>
      <c r="R109" s="425">
        <f t="shared" si="48"/>
        <v>108754</v>
      </c>
      <c r="S109" s="425">
        <f t="shared" ca="1" si="48"/>
        <v>252304</v>
      </c>
      <c r="T109" s="425">
        <f t="shared" si="48"/>
        <v>39150</v>
      </c>
      <c r="U109" s="425">
        <f t="shared" si="48"/>
        <v>39150</v>
      </c>
      <c r="V109" s="425">
        <f t="shared" si="48"/>
        <v>39150</v>
      </c>
      <c r="W109" s="425">
        <f t="shared" si="48"/>
        <v>134854</v>
      </c>
      <c r="X109" s="408"/>
      <c r="Y109" s="425">
        <f t="shared" ref="Y109:AK109" si="49">SUM(Y106:Y108)</f>
        <v>108754</v>
      </c>
      <c r="Z109" s="425">
        <f t="shared" si="49"/>
        <v>99492</v>
      </c>
      <c r="AA109" s="425">
        <f t="shared" si="49"/>
        <v>108754</v>
      </c>
      <c r="AB109" s="425">
        <f>SUM(AB106:AB108)</f>
        <v>105667</v>
      </c>
      <c r="AC109" s="425">
        <f>SUM(AC106:AC108)</f>
        <v>108754</v>
      </c>
      <c r="AD109" s="425">
        <f t="shared" si="49"/>
        <v>105667</v>
      </c>
      <c r="AE109" s="425">
        <f t="shared" si="49"/>
        <v>108754</v>
      </c>
      <c r="AF109" s="425">
        <f t="shared" si="49"/>
        <v>108754</v>
      </c>
      <c r="AG109" s="425">
        <f t="shared" si="49"/>
        <v>105667</v>
      </c>
      <c r="AH109" s="425">
        <f t="shared" si="49"/>
        <v>108754</v>
      </c>
      <c r="AI109" s="425">
        <f t="shared" si="49"/>
        <v>105667</v>
      </c>
      <c r="AJ109" s="425">
        <f t="shared" si="49"/>
        <v>108754</v>
      </c>
      <c r="AK109" s="425">
        <f t="shared" ca="1" si="49"/>
        <v>1283438</v>
      </c>
      <c r="AL109" s="121"/>
      <c r="AM109" s="121"/>
      <c r="AN109" s="425"/>
      <c r="AO109" s="425"/>
    </row>
    <row r="110" spans="2:41">
      <c r="B110" s="121"/>
      <c r="C110" s="121"/>
      <c r="D110" s="121" t="s">
        <v>1143</v>
      </c>
      <c r="F110" s="320" t="s">
        <v>235</v>
      </c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320"/>
      <c r="T110" s="117"/>
      <c r="U110" s="117"/>
      <c r="V110" s="117"/>
      <c r="W110" s="117"/>
      <c r="X110" s="161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320"/>
      <c r="AL110" s="121"/>
      <c r="AM110" s="121"/>
      <c r="AN110" s="320"/>
      <c r="AO110" s="320"/>
    </row>
    <row r="111" spans="2:41">
      <c r="B111" s="121" t="s">
        <v>236</v>
      </c>
      <c r="C111" s="121" t="s">
        <v>1197</v>
      </c>
      <c r="D111" s="121" t="s">
        <v>16</v>
      </c>
      <c r="F111" s="118" t="s">
        <v>236</v>
      </c>
      <c r="G111" s="413"/>
      <c r="H111" s="411"/>
      <c r="I111" s="411"/>
      <c r="J111" s="411"/>
      <c r="K111" s="411"/>
      <c r="L111" s="411"/>
      <c r="M111" s="411"/>
      <c r="N111" s="411"/>
      <c r="O111" s="411"/>
      <c r="P111" s="411"/>
      <c r="Q111" s="411"/>
      <c r="R111" s="411"/>
      <c r="S111" s="400">
        <f ca="1">SUM(G111:OFFSET(G111,0,$F$2-1))</f>
        <v>0</v>
      </c>
      <c r="T111" s="158">
        <f>SUM(G111:I111)</f>
        <v>0</v>
      </c>
      <c r="U111" s="158">
        <f>SUM(J111:L111)</f>
        <v>0</v>
      </c>
      <c r="V111" s="158">
        <f>SUM(M111:O111)</f>
        <v>0</v>
      </c>
      <c r="W111" s="158">
        <f>SUM(P111:R111)</f>
        <v>0</v>
      </c>
      <c r="X111" s="161"/>
      <c r="Y111" s="417">
        <v>0</v>
      </c>
      <c r="Z111" s="162">
        <v>0</v>
      </c>
      <c r="AA111" s="162">
        <v>0</v>
      </c>
      <c r="AB111" s="162">
        <v>0</v>
      </c>
      <c r="AC111" s="162">
        <v>0</v>
      </c>
      <c r="AD111" s="162">
        <v>0</v>
      </c>
      <c r="AE111" s="162">
        <v>0</v>
      </c>
      <c r="AF111" s="162">
        <v>0</v>
      </c>
      <c r="AG111" s="162">
        <v>0</v>
      </c>
      <c r="AH111" s="162">
        <v>0</v>
      </c>
      <c r="AI111" s="162">
        <v>0</v>
      </c>
      <c r="AJ111" s="162">
        <v>0</v>
      </c>
      <c r="AK111" s="400">
        <f ca="1">SUM(Y111:OFFSET(Y111,0,$F$2-1))</f>
        <v>0</v>
      </c>
      <c r="AL111" s="121" t="s">
        <v>253</v>
      </c>
      <c r="AM111" s="121" t="s">
        <v>253</v>
      </c>
      <c r="AN111" s="400"/>
      <c r="AO111" s="400"/>
    </row>
    <row r="112" spans="2:41" ht="12" customHeight="1">
      <c r="B112" s="121" t="s">
        <v>237</v>
      </c>
      <c r="C112" s="121" t="s">
        <v>1197</v>
      </c>
      <c r="D112" s="121" t="s">
        <v>17</v>
      </c>
      <c r="E112" s="121" t="s">
        <v>205</v>
      </c>
      <c r="F112" s="118" t="s">
        <v>237</v>
      </c>
      <c r="G112" s="413"/>
      <c r="H112" s="413"/>
      <c r="I112" s="413"/>
      <c r="J112" s="413"/>
      <c r="K112" s="413"/>
      <c r="L112" s="413"/>
      <c r="M112" s="413"/>
      <c r="N112" s="413"/>
      <c r="O112" s="413"/>
      <c r="P112" s="413"/>
      <c r="Q112" s="413"/>
      <c r="R112" s="411"/>
      <c r="S112" s="400">
        <f ca="1">SUM(G112:OFFSET(G112,0,$F$2-1))</f>
        <v>0</v>
      </c>
      <c r="T112" s="158">
        <f>SUM(G112:I112)</f>
        <v>0</v>
      </c>
      <c r="U112" s="158">
        <f>SUM(J112:L112)</f>
        <v>0</v>
      </c>
      <c r="V112" s="158">
        <f>SUM(M112:O112)</f>
        <v>0</v>
      </c>
      <c r="W112" s="158">
        <f>SUM(P112:R112)</f>
        <v>0</v>
      </c>
      <c r="X112" s="161"/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v>0</v>
      </c>
      <c r="AF112" s="417">
        <v>0</v>
      </c>
      <c r="AG112" s="417">
        <v>0</v>
      </c>
      <c r="AH112" s="417">
        <v>0</v>
      </c>
      <c r="AI112" s="417">
        <v>0</v>
      </c>
      <c r="AJ112" s="417">
        <v>0</v>
      </c>
      <c r="AK112" s="400">
        <f ca="1">SUM(Y112:OFFSET(Y112,0,$F$2-1))</f>
        <v>0</v>
      </c>
      <c r="AL112" s="121" t="s">
        <v>17</v>
      </c>
      <c r="AM112" s="121" t="s">
        <v>17</v>
      </c>
      <c r="AN112" s="400"/>
      <c r="AO112" s="400"/>
    </row>
    <row r="113" spans="2:41">
      <c r="B113" s="121" t="s">
        <v>238</v>
      </c>
      <c r="C113" s="121" t="s">
        <v>1197</v>
      </c>
      <c r="D113" s="121" t="s">
        <v>17</v>
      </c>
      <c r="E113" s="121" t="s">
        <v>205</v>
      </c>
      <c r="F113" s="119" t="s">
        <v>238</v>
      </c>
      <c r="G113" s="413"/>
      <c r="H113" s="413"/>
      <c r="I113" s="413"/>
      <c r="J113" s="413"/>
      <c r="K113" s="413"/>
      <c r="L113" s="413"/>
      <c r="M113" s="413"/>
      <c r="N113" s="413"/>
      <c r="O113" s="413"/>
      <c r="P113" s="413"/>
      <c r="Q113" s="413"/>
      <c r="R113" s="411"/>
      <c r="S113" s="400">
        <f ca="1">SUM(G113:OFFSET(G113,0,$F$2-1))</f>
        <v>0</v>
      </c>
      <c r="T113" s="158">
        <f>SUM(G113:I113)</f>
        <v>0</v>
      </c>
      <c r="U113" s="158">
        <f>SUM(J113:L113)</f>
        <v>0</v>
      </c>
      <c r="V113" s="158">
        <f>SUM(M113:O113)</f>
        <v>0</v>
      </c>
      <c r="W113" s="158">
        <f>SUM(P113:R113)</f>
        <v>0</v>
      </c>
      <c r="X113" s="161"/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v>0</v>
      </c>
      <c r="AF113" s="417">
        <v>0</v>
      </c>
      <c r="AG113" s="417">
        <v>0</v>
      </c>
      <c r="AH113" s="417">
        <v>0</v>
      </c>
      <c r="AI113" s="417">
        <v>0</v>
      </c>
      <c r="AJ113" s="417">
        <v>0</v>
      </c>
      <c r="AK113" s="400">
        <f ca="1">SUM(Y113:OFFSET(Y113,0,$F$2-1))</f>
        <v>0</v>
      </c>
      <c r="AL113" s="121" t="s">
        <v>17</v>
      </c>
      <c r="AM113" s="121" t="s">
        <v>17</v>
      </c>
      <c r="AN113" s="400"/>
      <c r="AO113" s="400"/>
    </row>
    <row r="114" spans="2:41">
      <c r="B114" s="121"/>
      <c r="C114" s="121"/>
      <c r="D114" s="121" t="s">
        <v>1143</v>
      </c>
      <c r="F114" s="407" t="s">
        <v>239</v>
      </c>
      <c r="G114" s="425">
        <f>SUM(G111:G113)</f>
        <v>0</v>
      </c>
      <c r="H114" s="425">
        <f t="shared" ref="H114:W114" si="50">SUM(H111:H113)</f>
        <v>0</v>
      </c>
      <c r="I114" s="425">
        <f t="shared" si="50"/>
        <v>0</v>
      </c>
      <c r="J114" s="425">
        <f t="shared" si="50"/>
        <v>0</v>
      </c>
      <c r="K114" s="425">
        <f t="shared" si="50"/>
        <v>0</v>
      </c>
      <c r="L114" s="425">
        <f t="shared" si="50"/>
        <v>0</v>
      </c>
      <c r="M114" s="425">
        <f t="shared" si="50"/>
        <v>0</v>
      </c>
      <c r="N114" s="425">
        <f t="shared" si="50"/>
        <v>0</v>
      </c>
      <c r="O114" s="425">
        <f t="shared" si="50"/>
        <v>0</v>
      </c>
      <c r="P114" s="425">
        <f t="shared" si="50"/>
        <v>0</v>
      </c>
      <c r="Q114" s="425">
        <f t="shared" si="50"/>
        <v>0</v>
      </c>
      <c r="R114" s="425">
        <f t="shared" si="50"/>
        <v>0</v>
      </c>
      <c r="S114" s="425">
        <f t="shared" ca="1" si="50"/>
        <v>0</v>
      </c>
      <c r="T114" s="425">
        <f t="shared" si="50"/>
        <v>0</v>
      </c>
      <c r="U114" s="425">
        <f t="shared" si="50"/>
        <v>0</v>
      </c>
      <c r="V114" s="425">
        <f t="shared" si="50"/>
        <v>0</v>
      </c>
      <c r="W114" s="425">
        <f t="shared" si="50"/>
        <v>0</v>
      </c>
      <c r="X114" s="161"/>
      <c r="Y114" s="425">
        <f>SUM(Y111:Y113)</f>
        <v>0</v>
      </c>
      <c r="Z114" s="425">
        <f t="shared" ref="Z114:AK114" si="51">SUM(Z111:Z113)</f>
        <v>0</v>
      </c>
      <c r="AA114" s="425">
        <f t="shared" si="51"/>
        <v>0</v>
      </c>
      <c r="AB114" s="425">
        <f t="shared" si="51"/>
        <v>0</v>
      </c>
      <c r="AC114" s="425">
        <f t="shared" si="51"/>
        <v>0</v>
      </c>
      <c r="AD114" s="425">
        <f t="shared" si="51"/>
        <v>0</v>
      </c>
      <c r="AE114" s="425">
        <f t="shared" si="51"/>
        <v>0</v>
      </c>
      <c r="AF114" s="425">
        <f t="shared" si="51"/>
        <v>0</v>
      </c>
      <c r="AG114" s="425">
        <f>SUM(AG111:AG113)</f>
        <v>0</v>
      </c>
      <c r="AH114" s="425">
        <f t="shared" si="51"/>
        <v>0</v>
      </c>
      <c r="AI114" s="425">
        <f t="shared" si="51"/>
        <v>0</v>
      </c>
      <c r="AJ114" s="425">
        <f t="shared" si="51"/>
        <v>0</v>
      </c>
      <c r="AK114" s="425">
        <f t="shared" ca="1" si="51"/>
        <v>0</v>
      </c>
      <c r="AN114" s="425"/>
      <c r="AO114" s="425"/>
    </row>
    <row r="115" spans="2:41">
      <c r="B115" s="121"/>
      <c r="C115" s="121"/>
      <c r="D115" s="121" t="s">
        <v>1143</v>
      </c>
      <c r="F115" s="324" t="s">
        <v>240</v>
      </c>
      <c r="G115" s="383">
        <f t="shared" ref="G115:W115" si="52">+G109+G114</f>
        <v>13050</v>
      </c>
      <c r="H115" s="383">
        <f t="shared" si="52"/>
        <v>13050</v>
      </c>
      <c r="I115" s="383">
        <f t="shared" si="52"/>
        <v>13050</v>
      </c>
      <c r="J115" s="383">
        <f t="shared" si="52"/>
        <v>13050</v>
      </c>
      <c r="K115" s="383">
        <f t="shared" si="52"/>
        <v>13050</v>
      </c>
      <c r="L115" s="383">
        <f t="shared" si="52"/>
        <v>13050</v>
      </c>
      <c r="M115" s="383">
        <f t="shared" si="52"/>
        <v>13050</v>
      </c>
      <c r="N115" s="383">
        <f t="shared" si="52"/>
        <v>13050</v>
      </c>
      <c r="O115" s="383">
        <f t="shared" si="52"/>
        <v>13050</v>
      </c>
      <c r="P115" s="383">
        <f t="shared" si="52"/>
        <v>13050</v>
      </c>
      <c r="Q115" s="383">
        <f t="shared" si="52"/>
        <v>13050</v>
      </c>
      <c r="R115" s="383">
        <f t="shared" si="52"/>
        <v>108754</v>
      </c>
      <c r="S115" s="383">
        <f t="shared" ca="1" si="52"/>
        <v>252304</v>
      </c>
      <c r="T115" s="383">
        <f t="shared" si="52"/>
        <v>39150</v>
      </c>
      <c r="U115" s="383">
        <f t="shared" si="52"/>
        <v>39150</v>
      </c>
      <c r="V115" s="383">
        <f t="shared" si="52"/>
        <v>39150</v>
      </c>
      <c r="W115" s="383">
        <f t="shared" si="52"/>
        <v>134854</v>
      </c>
      <c r="X115" s="423"/>
      <c r="Y115" s="383">
        <f t="shared" ref="Y115:AK115" si="53">+Y109+Y114</f>
        <v>108754</v>
      </c>
      <c r="Z115" s="383">
        <f t="shared" si="53"/>
        <v>99492</v>
      </c>
      <c r="AA115" s="383">
        <f t="shared" si="53"/>
        <v>108754</v>
      </c>
      <c r="AB115" s="383">
        <f>+AB109+AB114</f>
        <v>105667</v>
      </c>
      <c r="AC115" s="383">
        <f>+AC109+AC114</f>
        <v>108754</v>
      </c>
      <c r="AD115" s="383">
        <f t="shared" si="53"/>
        <v>105667</v>
      </c>
      <c r="AE115" s="383">
        <f t="shared" si="53"/>
        <v>108754</v>
      </c>
      <c r="AF115" s="383">
        <f t="shared" si="53"/>
        <v>108754</v>
      </c>
      <c r="AG115" s="383">
        <f>+AG109+AG114</f>
        <v>105667</v>
      </c>
      <c r="AH115" s="383">
        <f t="shared" si="53"/>
        <v>108754</v>
      </c>
      <c r="AI115" s="383">
        <f t="shared" si="53"/>
        <v>105667</v>
      </c>
      <c r="AJ115" s="383">
        <f t="shared" si="53"/>
        <v>108754</v>
      </c>
      <c r="AK115" s="383">
        <f t="shared" ca="1" si="53"/>
        <v>1283438</v>
      </c>
      <c r="AN115" s="383"/>
      <c r="AO115" s="383"/>
    </row>
    <row r="116" spans="2:41">
      <c r="B116" s="121"/>
      <c r="C116" s="121"/>
      <c r="D116" s="121" t="s">
        <v>1143</v>
      </c>
      <c r="F116" s="328"/>
      <c r="G116" s="426"/>
      <c r="H116" s="426"/>
      <c r="I116" s="426"/>
      <c r="J116" s="426"/>
      <c r="K116" s="426"/>
      <c r="L116" s="426"/>
      <c r="M116" s="426"/>
      <c r="N116" s="426"/>
      <c r="O116" s="426"/>
      <c r="P116" s="426"/>
      <c r="Q116" s="426"/>
      <c r="R116" s="426"/>
      <c r="S116" s="426"/>
      <c r="T116" s="426"/>
      <c r="U116" s="426"/>
      <c r="V116" s="426"/>
      <c r="W116" s="426"/>
      <c r="X116" s="423"/>
      <c r="Y116" s="423"/>
      <c r="Z116" s="423"/>
      <c r="AA116" s="423"/>
      <c r="AB116" s="423"/>
      <c r="AC116" s="423"/>
      <c r="AD116" s="423"/>
      <c r="AE116" s="423"/>
      <c r="AF116" s="423"/>
      <c r="AG116" s="423"/>
      <c r="AH116" s="423"/>
      <c r="AI116" s="423"/>
      <c r="AJ116" s="423"/>
      <c r="AK116" s="423"/>
      <c r="AN116" s="423"/>
      <c r="AO116" s="423"/>
    </row>
    <row r="117" spans="2:41">
      <c r="B117" s="121"/>
      <c r="C117" s="121"/>
      <c r="D117" s="121" t="s">
        <v>1143</v>
      </c>
      <c r="F117" s="427" t="s">
        <v>254</v>
      </c>
      <c r="G117" s="426"/>
      <c r="H117" s="426"/>
      <c r="I117" s="426"/>
      <c r="J117" s="426"/>
      <c r="K117" s="426"/>
      <c r="L117" s="426"/>
      <c r="M117" s="426"/>
      <c r="N117" s="426"/>
      <c r="O117" s="426"/>
      <c r="P117" s="426"/>
      <c r="Q117" s="426"/>
      <c r="R117" s="426"/>
      <c r="S117" s="426"/>
      <c r="T117" s="426"/>
      <c r="U117" s="426"/>
      <c r="V117" s="426"/>
      <c r="W117" s="426"/>
      <c r="X117" s="423"/>
      <c r="Y117" s="423"/>
      <c r="Z117" s="423"/>
      <c r="AA117" s="423"/>
      <c r="AB117" s="423"/>
      <c r="AC117" s="423"/>
      <c r="AD117" s="423"/>
      <c r="AE117" s="423"/>
      <c r="AF117" s="423"/>
      <c r="AG117" s="423"/>
      <c r="AH117" s="423"/>
      <c r="AI117" s="423"/>
      <c r="AJ117" s="423"/>
      <c r="AK117" s="423"/>
      <c r="AL117" s="121" t="s">
        <v>262</v>
      </c>
      <c r="AM117" s="121" t="s">
        <v>16</v>
      </c>
      <c r="AN117" s="423"/>
      <c r="AO117" s="423"/>
    </row>
    <row r="118" spans="2:41">
      <c r="B118" s="121"/>
      <c r="C118" s="121"/>
      <c r="D118" s="121"/>
      <c r="F118" s="428" t="s">
        <v>173</v>
      </c>
      <c r="G118" s="426"/>
      <c r="H118" s="426"/>
      <c r="I118" s="426"/>
      <c r="J118" s="426"/>
      <c r="K118" s="426"/>
      <c r="L118" s="426"/>
      <c r="M118" s="426"/>
      <c r="N118" s="426"/>
      <c r="O118" s="426"/>
      <c r="P118" s="426"/>
      <c r="Q118" s="426"/>
      <c r="R118" s="426"/>
      <c r="S118" s="426"/>
      <c r="T118" s="426"/>
      <c r="U118" s="426"/>
      <c r="V118" s="426"/>
      <c r="W118" s="426"/>
      <c r="X118" s="423"/>
      <c r="Y118" s="423"/>
      <c r="Z118" s="423"/>
      <c r="AA118" s="423"/>
      <c r="AB118" s="423"/>
      <c r="AC118" s="423"/>
      <c r="AD118" s="423"/>
      <c r="AE118" s="423"/>
      <c r="AF118" s="423"/>
      <c r="AG118" s="423"/>
      <c r="AH118" s="423"/>
      <c r="AI118" s="423"/>
      <c r="AJ118" s="423"/>
      <c r="AK118" s="423"/>
      <c r="AL118" s="121" t="s">
        <v>17</v>
      </c>
      <c r="AM118" s="121" t="s">
        <v>17</v>
      </c>
      <c r="AN118" s="423"/>
      <c r="AO118" s="423"/>
    </row>
    <row r="119" spans="2:41">
      <c r="B119" s="121"/>
      <c r="C119" s="121"/>
      <c r="D119" s="121"/>
      <c r="F119" s="428" t="s">
        <v>176</v>
      </c>
      <c r="G119" s="426"/>
      <c r="H119" s="426"/>
      <c r="I119" s="426"/>
      <c r="J119" s="426"/>
      <c r="K119" s="426"/>
      <c r="L119" s="426"/>
      <c r="M119" s="426"/>
      <c r="N119" s="426"/>
      <c r="O119" s="426"/>
      <c r="P119" s="426"/>
      <c r="Q119" s="426"/>
      <c r="R119" s="426"/>
      <c r="S119" s="426"/>
      <c r="T119" s="426"/>
      <c r="U119" s="426"/>
      <c r="V119" s="426"/>
      <c r="W119" s="426"/>
      <c r="X119" s="423"/>
      <c r="Y119" s="423"/>
      <c r="Z119" s="423"/>
      <c r="AA119" s="423"/>
      <c r="AB119" s="423"/>
      <c r="AC119" s="423"/>
      <c r="AD119" s="423"/>
      <c r="AE119" s="423"/>
      <c r="AF119" s="423"/>
      <c r="AG119" s="423"/>
      <c r="AH119" s="423"/>
      <c r="AI119" s="423"/>
      <c r="AJ119" s="423"/>
      <c r="AK119" s="423"/>
      <c r="AL119" s="121" t="s">
        <v>13</v>
      </c>
      <c r="AM119" s="121" t="s">
        <v>13</v>
      </c>
      <c r="AN119" s="423"/>
      <c r="AO119" s="423"/>
    </row>
    <row r="120" spans="2:41">
      <c r="B120" s="121"/>
      <c r="C120" s="121"/>
      <c r="D120" s="121"/>
      <c r="F120" s="428" t="s">
        <v>180</v>
      </c>
      <c r="G120" s="426"/>
      <c r="H120" s="426"/>
      <c r="I120" s="426"/>
      <c r="J120" s="426"/>
      <c r="K120" s="426"/>
      <c r="L120" s="426"/>
      <c r="M120" s="426"/>
      <c r="N120" s="426"/>
      <c r="O120" s="426"/>
      <c r="P120" s="426"/>
      <c r="Q120" s="426"/>
      <c r="R120" s="426"/>
      <c r="S120" s="426"/>
      <c r="T120" s="426"/>
      <c r="U120" s="426"/>
      <c r="V120" s="426"/>
      <c r="W120" s="426"/>
      <c r="X120" s="423"/>
      <c r="Y120" s="423"/>
      <c r="Z120" s="423"/>
      <c r="AA120" s="423"/>
      <c r="AB120" s="423"/>
      <c r="AC120" s="423"/>
      <c r="AD120" s="423"/>
      <c r="AE120" s="423"/>
      <c r="AF120" s="423"/>
      <c r="AG120" s="423"/>
      <c r="AH120" s="423"/>
      <c r="AI120" s="423"/>
      <c r="AJ120" s="423"/>
      <c r="AK120" s="423"/>
      <c r="AL120" s="121" t="s">
        <v>263</v>
      </c>
      <c r="AM120" s="121" t="s">
        <v>14</v>
      </c>
      <c r="AN120" s="423"/>
      <c r="AO120" s="423"/>
    </row>
    <row r="121" spans="2:41">
      <c r="B121" s="121"/>
      <c r="C121" s="121"/>
      <c r="D121" s="121"/>
      <c r="F121" s="428" t="s">
        <v>181</v>
      </c>
      <c r="G121" s="426"/>
      <c r="H121" s="426"/>
      <c r="I121" s="426"/>
      <c r="J121" s="426"/>
      <c r="K121" s="426"/>
      <c r="L121" s="426"/>
      <c r="M121" s="426"/>
      <c r="N121" s="426"/>
      <c r="O121" s="426"/>
      <c r="P121" s="426"/>
      <c r="Q121" s="426"/>
      <c r="R121" s="426"/>
      <c r="S121" s="426"/>
      <c r="T121" s="426"/>
      <c r="U121" s="426"/>
      <c r="V121" s="426"/>
      <c r="W121" s="426"/>
      <c r="X121" s="423"/>
      <c r="Y121" s="423"/>
      <c r="Z121" s="423"/>
      <c r="AA121" s="423"/>
      <c r="AB121" s="423"/>
      <c r="AC121" s="423"/>
      <c r="AD121" s="423"/>
      <c r="AE121" s="423"/>
      <c r="AF121" s="423"/>
      <c r="AG121" s="423"/>
      <c r="AH121" s="423"/>
      <c r="AI121" s="423"/>
      <c r="AJ121" s="423"/>
      <c r="AK121" s="423"/>
      <c r="AN121" s="423"/>
      <c r="AO121" s="423"/>
    </row>
    <row r="122" spans="2:41">
      <c r="B122" s="121"/>
      <c r="C122" s="121"/>
      <c r="D122" s="121"/>
      <c r="F122" s="428" t="s">
        <v>184</v>
      </c>
      <c r="G122" s="426"/>
      <c r="H122" s="426"/>
      <c r="I122" s="426"/>
      <c r="J122" s="426"/>
      <c r="K122" s="426"/>
      <c r="L122" s="426"/>
      <c r="M122" s="426"/>
      <c r="N122" s="426"/>
      <c r="O122" s="426"/>
      <c r="P122" s="426"/>
      <c r="Q122" s="426"/>
      <c r="R122" s="426"/>
      <c r="S122" s="426"/>
      <c r="T122" s="426"/>
      <c r="U122" s="426"/>
      <c r="V122" s="426"/>
      <c r="W122" s="426"/>
      <c r="X122" s="423"/>
      <c r="Y122" s="423"/>
      <c r="Z122" s="423"/>
      <c r="AA122" s="423"/>
      <c r="AB122" s="423"/>
      <c r="AC122" s="423"/>
      <c r="AD122" s="423"/>
      <c r="AE122" s="423"/>
      <c r="AF122" s="423"/>
      <c r="AG122" s="423"/>
      <c r="AH122" s="423"/>
      <c r="AI122" s="423"/>
      <c r="AJ122" s="423"/>
      <c r="AK122" s="423"/>
      <c r="AL122" s="121" t="s">
        <v>264</v>
      </c>
      <c r="AM122" s="121" t="s">
        <v>16</v>
      </c>
      <c r="AN122" s="423"/>
      <c r="AO122" s="423"/>
    </row>
    <row r="123" spans="2:41">
      <c r="B123" s="121"/>
      <c r="C123" s="121"/>
      <c r="D123" s="121"/>
      <c r="F123" s="428" t="s">
        <v>255</v>
      </c>
      <c r="G123" s="426"/>
      <c r="H123" s="426"/>
      <c r="I123" s="426"/>
      <c r="J123" s="426"/>
      <c r="K123" s="426"/>
      <c r="L123" s="426"/>
      <c r="M123" s="426"/>
      <c r="N123" s="426"/>
      <c r="O123" s="426"/>
      <c r="P123" s="426"/>
      <c r="Q123" s="426"/>
      <c r="R123" s="426"/>
      <c r="S123" s="426"/>
      <c r="T123" s="426"/>
      <c r="U123" s="426"/>
      <c r="V123" s="426"/>
      <c r="W123" s="426"/>
      <c r="X123" s="423"/>
      <c r="Y123" s="423"/>
      <c r="Z123" s="423"/>
      <c r="AA123" s="423"/>
      <c r="AB123" s="423"/>
      <c r="AC123" s="423"/>
      <c r="AD123" s="423"/>
      <c r="AE123" s="423"/>
      <c r="AF123" s="423"/>
      <c r="AG123" s="423"/>
      <c r="AH123" s="423"/>
      <c r="AI123" s="423"/>
      <c r="AJ123" s="423"/>
      <c r="AK123" s="423"/>
      <c r="AL123" s="121" t="s">
        <v>17</v>
      </c>
      <c r="AM123" s="121" t="s">
        <v>17</v>
      </c>
      <c r="AN123" s="423"/>
      <c r="AO123" s="423"/>
    </row>
    <row r="124" spans="2:41">
      <c r="B124" s="121"/>
      <c r="C124" s="121"/>
      <c r="D124" s="121"/>
      <c r="F124" s="430" t="s">
        <v>256</v>
      </c>
      <c r="G124" s="426"/>
      <c r="H124" s="426"/>
      <c r="I124" s="426"/>
      <c r="J124" s="426"/>
      <c r="K124" s="426"/>
      <c r="L124" s="426"/>
      <c r="M124" s="426"/>
      <c r="N124" s="426"/>
      <c r="O124" s="426"/>
      <c r="P124" s="426"/>
      <c r="Q124" s="426"/>
      <c r="R124" s="426"/>
      <c r="S124" s="426"/>
      <c r="T124" s="426"/>
      <c r="U124" s="426"/>
      <c r="V124" s="426"/>
      <c r="W124" s="426"/>
      <c r="X124" s="423"/>
      <c r="Y124" s="423"/>
      <c r="Z124" s="423"/>
      <c r="AA124" s="423"/>
      <c r="AB124" s="423"/>
      <c r="AC124" s="423"/>
      <c r="AD124" s="423"/>
      <c r="AE124" s="423"/>
      <c r="AF124" s="423"/>
      <c r="AG124" s="423"/>
      <c r="AH124" s="423"/>
      <c r="AI124" s="423"/>
      <c r="AJ124" s="423"/>
      <c r="AK124" s="423"/>
      <c r="AL124" s="121" t="s">
        <v>13</v>
      </c>
      <c r="AM124" s="121" t="s">
        <v>13</v>
      </c>
      <c r="AN124" s="423"/>
      <c r="AO124" s="423"/>
    </row>
    <row r="125" spans="2:41">
      <c r="B125" s="121"/>
      <c r="C125" s="121"/>
      <c r="D125" s="121"/>
      <c r="F125" s="430"/>
      <c r="G125" s="426"/>
      <c r="H125" s="426"/>
      <c r="I125" s="426"/>
      <c r="J125" s="426"/>
      <c r="K125" s="426"/>
      <c r="L125" s="426"/>
      <c r="M125" s="426"/>
      <c r="N125" s="426"/>
      <c r="O125" s="426"/>
      <c r="P125" s="426"/>
      <c r="Q125" s="426"/>
      <c r="R125" s="426"/>
      <c r="S125" s="426"/>
      <c r="T125" s="426"/>
      <c r="U125" s="426"/>
      <c r="V125" s="426"/>
      <c r="W125" s="426"/>
      <c r="X125" s="423"/>
      <c r="Y125" s="423"/>
      <c r="Z125" s="423"/>
      <c r="AA125" s="423"/>
      <c r="AB125" s="423"/>
      <c r="AC125" s="423"/>
      <c r="AD125" s="423"/>
      <c r="AE125" s="423"/>
      <c r="AF125" s="423"/>
      <c r="AG125" s="423"/>
      <c r="AH125" s="423"/>
      <c r="AI125" s="423"/>
      <c r="AJ125" s="423"/>
      <c r="AK125" s="423"/>
      <c r="AL125" s="121" t="s">
        <v>265</v>
      </c>
      <c r="AM125" s="121" t="s">
        <v>14</v>
      </c>
      <c r="AN125" s="423"/>
      <c r="AO125" s="423"/>
    </row>
    <row r="126" spans="2:41">
      <c r="B126" s="121"/>
      <c r="C126" s="121"/>
      <c r="D126" s="121"/>
      <c r="F126" s="427" t="s">
        <v>257</v>
      </c>
      <c r="G126" s="426"/>
      <c r="H126" s="426"/>
      <c r="I126" s="426"/>
      <c r="J126" s="426"/>
      <c r="K126" s="426"/>
      <c r="L126" s="426"/>
      <c r="M126" s="426"/>
      <c r="N126" s="426"/>
      <c r="O126" s="426"/>
      <c r="P126" s="426"/>
      <c r="Q126" s="426"/>
      <c r="R126" s="426"/>
      <c r="S126" s="426"/>
      <c r="T126" s="426"/>
      <c r="U126" s="426"/>
      <c r="V126" s="426"/>
      <c r="W126" s="426"/>
      <c r="X126" s="423"/>
      <c r="Y126" s="423"/>
      <c r="Z126" s="423"/>
      <c r="AA126" s="423"/>
      <c r="AB126" s="423"/>
      <c r="AC126" s="423"/>
      <c r="AD126" s="423"/>
      <c r="AE126" s="423"/>
      <c r="AF126" s="423"/>
      <c r="AG126" s="423"/>
      <c r="AH126" s="423"/>
      <c r="AI126" s="423"/>
      <c r="AJ126" s="423"/>
      <c r="AK126" s="423"/>
      <c r="AN126" s="423"/>
      <c r="AO126" s="423"/>
    </row>
    <row r="127" spans="2:41">
      <c r="B127" s="121"/>
      <c r="C127" s="121"/>
      <c r="D127" s="121"/>
      <c r="F127" s="428" t="s">
        <v>181</v>
      </c>
      <c r="G127" s="426"/>
      <c r="H127" s="426"/>
      <c r="I127" s="426"/>
      <c r="J127" s="426"/>
      <c r="K127" s="426"/>
      <c r="L127" s="426"/>
      <c r="M127" s="426"/>
      <c r="N127" s="426"/>
      <c r="O127" s="426"/>
      <c r="P127" s="426"/>
      <c r="Q127" s="426"/>
      <c r="R127" s="426"/>
      <c r="S127" s="426"/>
      <c r="T127" s="426"/>
      <c r="U127" s="426"/>
      <c r="V127" s="426"/>
      <c r="W127" s="426"/>
      <c r="X127" s="423"/>
      <c r="Y127" s="423"/>
      <c r="Z127" s="423"/>
      <c r="AA127" s="423"/>
      <c r="AB127" s="423"/>
      <c r="AC127" s="423"/>
      <c r="AD127" s="423"/>
      <c r="AE127" s="423"/>
      <c r="AF127" s="423"/>
      <c r="AG127" s="423"/>
      <c r="AH127" s="423"/>
      <c r="AI127" s="423"/>
      <c r="AJ127" s="423"/>
      <c r="AK127" s="423"/>
      <c r="AL127" s="121" t="s">
        <v>266</v>
      </c>
      <c r="AM127" s="121" t="s">
        <v>16</v>
      </c>
      <c r="AN127" s="423"/>
      <c r="AO127" s="423"/>
    </row>
    <row r="128" spans="2:41">
      <c r="B128" s="121"/>
      <c r="C128" s="121"/>
      <c r="D128" s="121"/>
      <c r="F128" s="428" t="s">
        <v>184</v>
      </c>
      <c r="G128" s="426"/>
      <c r="H128" s="426"/>
      <c r="I128" s="426"/>
      <c r="J128" s="426"/>
      <c r="K128" s="426"/>
      <c r="L128" s="426"/>
      <c r="M128" s="426"/>
      <c r="N128" s="426"/>
      <c r="O128" s="426"/>
      <c r="P128" s="426"/>
      <c r="Q128" s="426"/>
      <c r="R128" s="426"/>
      <c r="S128" s="426"/>
      <c r="T128" s="426"/>
      <c r="U128" s="426"/>
      <c r="V128" s="426"/>
      <c r="W128" s="426"/>
      <c r="X128" s="423"/>
      <c r="Y128" s="423"/>
      <c r="Z128" s="423"/>
      <c r="AA128" s="423"/>
      <c r="AB128" s="423"/>
      <c r="AC128" s="423"/>
      <c r="AD128" s="423"/>
      <c r="AE128" s="423"/>
      <c r="AF128" s="423"/>
      <c r="AG128" s="423"/>
      <c r="AH128" s="423"/>
      <c r="AI128" s="423"/>
      <c r="AJ128" s="423"/>
      <c r="AK128" s="423"/>
      <c r="AL128" s="121" t="s">
        <v>17</v>
      </c>
      <c r="AM128" s="121" t="s">
        <v>17</v>
      </c>
      <c r="AN128" s="423"/>
      <c r="AO128" s="423"/>
    </row>
    <row r="129" spans="2:41">
      <c r="B129" s="121"/>
      <c r="C129" s="121"/>
      <c r="D129" s="121" t="s">
        <v>1143</v>
      </c>
      <c r="F129" s="430" t="s">
        <v>258</v>
      </c>
      <c r="G129" s="426"/>
      <c r="H129" s="426"/>
      <c r="I129" s="426"/>
      <c r="J129" s="426"/>
      <c r="K129" s="426"/>
      <c r="L129" s="426"/>
      <c r="M129" s="426"/>
      <c r="N129" s="426"/>
      <c r="O129" s="426"/>
      <c r="P129" s="426"/>
      <c r="Q129" s="426"/>
      <c r="R129" s="426"/>
      <c r="S129" s="426"/>
      <c r="T129" s="426"/>
      <c r="U129" s="426"/>
      <c r="V129" s="426"/>
      <c r="W129" s="426"/>
      <c r="X129" s="423"/>
      <c r="Y129" s="423"/>
      <c r="Z129" s="423"/>
      <c r="AA129" s="423"/>
      <c r="AB129" s="423"/>
      <c r="AC129" s="423"/>
      <c r="AD129" s="423"/>
      <c r="AE129" s="423"/>
      <c r="AF129" s="423"/>
      <c r="AG129" s="423"/>
      <c r="AH129" s="423"/>
      <c r="AI129" s="423"/>
      <c r="AJ129" s="423"/>
      <c r="AK129" s="423"/>
      <c r="AL129" s="121" t="s">
        <v>13</v>
      </c>
      <c r="AM129" s="121" t="s">
        <v>13</v>
      </c>
      <c r="AN129" s="423"/>
      <c r="AO129" s="423"/>
    </row>
    <row r="130" spans="2:41">
      <c r="B130" s="121"/>
      <c r="C130" s="121"/>
      <c r="D130" s="121"/>
      <c r="F130" s="431" t="s">
        <v>982</v>
      </c>
      <c r="G130" s="383">
        <f>SUM(G17,G26,G67,G76,G93,G99,G103,G109,G114)</f>
        <v>5931444.3749999879</v>
      </c>
      <c r="H130" s="383">
        <f t="shared" ref="H130:W130" si="54">SUM(H17,H26,H67,H76,H93,H99,H103,H109,H114)</f>
        <v>5602861.6000000099</v>
      </c>
      <c r="I130" s="383">
        <f t="shared" si="54"/>
        <v>5425646.2699999753</v>
      </c>
      <c r="J130" s="383">
        <f t="shared" si="54"/>
        <v>4760547.6099999631</v>
      </c>
      <c r="K130" s="383">
        <f t="shared" si="54"/>
        <v>4713294.2399999741</v>
      </c>
      <c r="L130" s="383">
        <f t="shared" si="54"/>
        <v>4520797.3899999969</v>
      </c>
      <c r="M130" s="383">
        <f t="shared" si="54"/>
        <v>4570645.1900000004</v>
      </c>
      <c r="N130" s="383">
        <f t="shared" si="54"/>
        <v>4502190.6399999931</v>
      </c>
      <c r="O130" s="383">
        <f t="shared" si="54"/>
        <v>4461485.8099999949</v>
      </c>
      <c r="P130" s="383">
        <f t="shared" si="54"/>
        <v>4605232.5600000098</v>
      </c>
      <c r="Q130" s="383">
        <f t="shared" si="54"/>
        <v>4934133.4099999908</v>
      </c>
      <c r="R130" s="383">
        <f t="shared" si="54"/>
        <v>5797865.6299999813</v>
      </c>
      <c r="S130" s="383">
        <f t="shared" ca="1" si="54"/>
        <v>59826144.724999867</v>
      </c>
      <c r="T130" s="383">
        <f t="shared" si="54"/>
        <v>16959952.244999979</v>
      </c>
      <c r="U130" s="383">
        <f t="shared" si="54"/>
        <v>13994639.239999933</v>
      </c>
      <c r="V130" s="383">
        <f t="shared" si="54"/>
        <v>13534321.639999988</v>
      </c>
      <c r="W130" s="383">
        <f t="shared" si="54"/>
        <v>15337231.599999977</v>
      </c>
      <c r="X130" s="423"/>
      <c r="Y130" s="383">
        <f>SUM(Y17,Y26,Y67,Y76,Y93,Y99,Y103,Y109,Y114)</f>
        <v>6390307.3599999957</v>
      </c>
      <c r="Z130" s="383">
        <f t="shared" ref="Z130:AK130" si="55">SUM(Z17,Z26,Z67,Z76,Z93,Z99,Z103,Z109,Z114)</f>
        <v>5709165.5499999905</v>
      </c>
      <c r="AA130" s="383">
        <f t="shared" si="55"/>
        <v>5636549.7299999874</v>
      </c>
      <c r="AB130" s="383">
        <f>SUM(AB17,AB26,AB67,AB76,AB93,AB99,AB103,AB109,AB114)</f>
        <v>5596114.5699999826</v>
      </c>
      <c r="AC130" s="383">
        <f>SUM(AC17,AC26,AC67,AC76,AC93,AC99,AC103,AC109,AC114)</f>
        <v>5169684.9799999855</v>
      </c>
      <c r="AD130" s="383">
        <f t="shared" si="55"/>
        <v>4856147.7099999916</v>
      </c>
      <c r="AE130" s="383">
        <f t="shared" si="55"/>
        <v>4928458.5499999961</v>
      </c>
      <c r="AF130" s="383">
        <f t="shared" si="55"/>
        <v>4742227.0499999924</v>
      </c>
      <c r="AG130" s="383">
        <f>SUM(AG17,AG26,AG67,AG76,AG93,AG99,AG103,AG109,AG114)</f>
        <v>4851474.7299999893</v>
      </c>
      <c r="AH130" s="383">
        <f t="shared" si="55"/>
        <v>4947382.4999999842</v>
      </c>
      <c r="AI130" s="383">
        <f t="shared" si="55"/>
        <v>5280059.4599999916</v>
      </c>
      <c r="AJ130" s="383">
        <f t="shared" si="55"/>
        <v>5827431.5699999975</v>
      </c>
      <c r="AK130" s="383">
        <f t="shared" ca="1" si="55"/>
        <v>63935003.759999886</v>
      </c>
      <c r="AN130" s="383"/>
      <c r="AO130" s="383"/>
    </row>
    <row r="131" spans="2:41">
      <c r="B131" s="121"/>
      <c r="C131" s="121"/>
      <c r="D131" s="121" t="s">
        <v>1143</v>
      </c>
      <c r="F131" s="430"/>
      <c r="G131" s="426"/>
      <c r="H131" s="426"/>
      <c r="I131" s="426"/>
      <c r="J131" s="426"/>
      <c r="K131" s="426"/>
      <c r="L131" s="426"/>
      <c r="M131" s="426"/>
      <c r="N131" s="426"/>
      <c r="O131" s="426"/>
      <c r="P131" s="426"/>
      <c r="Q131" s="426"/>
      <c r="R131" s="426"/>
      <c r="S131" s="426"/>
      <c r="T131" s="426"/>
      <c r="U131" s="426"/>
      <c r="V131" s="426"/>
      <c r="W131" s="426"/>
      <c r="X131" s="423"/>
      <c r="Y131" s="423"/>
      <c r="Z131" s="423"/>
      <c r="AA131" s="423"/>
      <c r="AB131" s="423"/>
      <c r="AC131" s="423"/>
      <c r="AD131" s="423"/>
      <c r="AE131" s="423"/>
      <c r="AF131" s="423"/>
      <c r="AG131" s="423"/>
      <c r="AH131" s="423"/>
      <c r="AI131" s="423"/>
      <c r="AJ131" s="423"/>
      <c r="AK131" s="423"/>
      <c r="AN131" s="423"/>
      <c r="AO131" s="423"/>
    </row>
    <row r="132" spans="2:41">
      <c r="B132" s="121"/>
      <c r="C132" s="121"/>
      <c r="D132" s="121" t="s">
        <v>1143</v>
      </c>
      <c r="F132" s="320" t="s">
        <v>261</v>
      </c>
      <c r="G132" s="432"/>
      <c r="H132" s="432"/>
      <c r="I132" s="432"/>
      <c r="J132" s="432"/>
      <c r="K132" s="432"/>
      <c r="L132" s="432"/>
      <c r="M132" s="432"/>
      <c r="N132" s="432"/>
      <c r="O132" s="432"/>
      <c r="P132" s="121"/>
      <c r="Q132" s="121"/>
      <c r="R132" s="121"/>
      <c r="S132" s="121"/>
      <c r="T132" s="121"/>
      <c r="U132" s="121"/>
      <c r="V132" s="121"/>
      <c r="W132" s="121"/>
      <c r="X132" s="395"/>
      <c r="Y132" s="433"/>
      <c r="Z132" s="433"/>
      <c r="AA132" s="433"/>
      <c r="AB132" s="433"/>
      <c r="AC132" s="433"/>
      <c r="AD132" s="433"/>
      <c r="AE132" s="433"/>
      <c r="AF132" s="433"/>
      <c r="AG132" s="433"/>
      <c r="AH132" s="395"/>
      <c r="AI132" s="395"/>
      <c r="AJ132" s="395"/>
      <c r="AK132" s="395"/>
      <c r="AL132" s="121" t="s">
        <v>267</v>
      </c>
      <c r="AM132" s="121" t="s">
        <v>14</v>
      </c>
      <c r="AN132" s="395"/>
      <c r="AO132" s="395"/>
    </row>
    <row r="133" spans="2:41">
      <c r="B133" s="121"/>
      <c r="C133" s="121"/>
      <c r="D133" s="121" t="s">
        <v>1143</v>
      </c>
      <c r="F133" s="434" t="s">
        <v>20</v>
      </c>
      <c r="G133" s="158"/>
      <c r="H133" s="158"/>
      <c r="I133" s="158"/>
      <c r="J133" s="158" t="s">
        <v>31</v>
      </c>
      <c r="K133" s="158"/>
      <c r="L133" s="158"/>
      <c r="M133" s="158"/>
      <c r="N133" s="158"/>
      <c r="O133" s="158"/>
      <c r="P133" s="158"/>
      <c r="Q133" s="158"/>
      <c r="R133" s="158"/>
      <c r="S133" s="160"/>
      <c r="T133" s="158"/>
      <c r="U133" s="158"/>
      <c r="V133" s="158"/>
      <c r="W133" s="158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435"/>
      <c r="AN133" s="435"/>
      <c r="AO133" s="435"/>
    </row>
    <row r="134" spans="2:41">
      <c r="B134" s="121" t="s">
        <v>1198</v>
      </c>
      <c r="C134" s="121" t="s">
        <v>18</v>
      </c>
      <c r="D134" s="121" t="s">
        <v>16</v>
      </c>
      <c r="F134" s="118" t="s">
        <v>16</v>
      </c>
      <c r="G134" s="158">
        <v>140860</v>
      </c>
      <c r="H134" s="158">
        <v>161814</v>
      </c>
      <c r="I134" s="158">
        <v>117605</v>
      </c>
      <c r="J134" s="158">
        <v>54365</v>
      </c>
      <c r="K134" s="158">
        <v>43724</v>
      </c>
      <c r="L134" s="158">
        <v>37425.270000000004</v>
      </c>
      <c r="M134" s="158">
        <v>51571.82</v>
      </c>
      <c r="N134" s="158">
        <v>46797.36</v>
      </c>
      <c r="O134" s="158">
        <v>45172.639999999999</v>
      </c>
      <c r="P134" s="158">
        <v>43823.42</v>
      </c>
      <c r="Q134" s="158">
        <v>51323.75</v>
      </c>
      <c r="R134" s="158">
        <v>49736.47</v>
      </c>
      <c r="S134" s="160">
        <f ca="1">SUM(G134:OFFSET(G134,0,$F$2-1))</f>
        <v>844218.73</v>
      </c>
      <c r="T134" s="436">
        <f>SUM(G134:I134)</f>
        <v>420279</v>
      </c>
      <c r="U134" s="436">
        <f>SUM(J134:L134)</f>
        <v>135514.27000000002</v>
      </c>
      <c r="V134" s="436">
        <f>SUM(M134:O134)</f>
        <v>143541.82</v>
      </c>
      <c r="W134" s="436">
        <f>SUM(P134:R134)</f>
        <v>144883.64000000001</v>
      </c>
      <c r="X134" s="437"/>
      <c r="Y134" s="158">
        <v>142657.40999999997</v>
      </c>
      <c r="Z134" s="158">
        <v>116057.76000000001</v>
      </c>
      <c r="AA134" s="158">
        <v>137132.4</v>
      </c>
      <c r="AB134" s="158">
        <v>138074.1</v>
      </c>
      <c r="AC134" s="158">
        <v>148950.64000000001</v>
      </c>
      <c r="AD134" s="158">
        <v>146843.04999999999</v>
      </c>
      <c r="AE134" s="158">
        <v>148327.45000000001</v>
      </c>
      <c r="AF134" s="158">
        <v>146964.85</v>
      </c>
      <c r="AG134" s="158">
        <v>129646.22000000002</v>
      </c>
      <c r="AH134" s="158">
        <v>132880.46000000002</v>
      </c>
      <c r="AI134" s="158">
        <v>142781.34999999998</v>
      </c>
      <c r="AJ134" s="158">
        <v>130436.29999999999</v>
      </c>
      <c r="AK134" s="160">
        <f ca="1">SUM(Y134:OFFSET(Y134,0,$F$2-1))</f>
        <v>1660751.99</v>
      </c>
      <c r="AL134" s="121" t="s">
        <v>269</v>
      </c>
      <c r="AM134" s="121" t="s">
        <v>16</v>
      </c>
      <c r="AN134" s="160"/>
      <c r="AO134" s="160"/>
    </row>
    <row r="135" spans="2:41">
      <c r="B135" s="121" t="s">
        <v>1199</v>
      </c>
      <c r="C135" s="121" t="s">
        <v>18</v>
      </c>
      <c r="D135" s="121" t="s">
        <v>17</v>
      </c>
      <c r="F135" s="118" t="s">
        <v>17</v>
      </c>
      <c r="G135" s="158">
        <v>23683</v>
      </c>
      <c r="H135" s="158">
        <v>24677</v>
      </c>
      <c r="I135" s="158">
        <v>17893</v>
      </c>
      <c r="J135" s="158">
        <v>10408</v>
      </c>
      <c r="K135" s="158">
        <v>10116</v>
      </c>
      <c r="L135" s="158">
        <v>9634</v>
      </c>
      <c r="M135" s="158">
        <v>11566.869999999995</v>
      </c>
      <c r="N135" s="158">
        <v>12176.779999999999</v>
      </c>
      <c r="O135" s="158">
        <v>13137.690000000002</v>
      </c>
      <c r="P135" s="158">
        <v>12077.930000000008</v>
      </c>
      <c r="Q135" s="158">
        <v>12170.119999999995</v>
      </c>
      <c r="R135" s="158">
        <v>12772.350000000006</v>
      </c>
      <c r="S135" s="160">
        <f ca="1">SUM(G135:OFFSET(G135,0,$F$2-1))</f>
        <v>170312.74000000002</v>
      </c>
      <c r="T135" s="436">
        <f t="shared" ref="T135:T172" si="56">SUM(G135:I135)</f>
        <v>66253</v>
      </c>
      <c r="U135" s="436">
        <f t="shared" ref="U135:U172" si="57">SUM(J135:L135)</f>
        <v>30158</v>
      </c>
      <c r="V135" s="436">
        <f t="shared" ref="V135:V172" si="58">SUM(M135:O135)</f>
        <v>36881.339999999997</v>
      </c>
      <c r="W135" s="436">
        <f t="shared" ref="W135:W172" si="59">SUM(P135:R135)</f>
        <v>37020.400000000009</v>
      </c>
      <c r="X135" s="402"/>
      <c r="Y135" s="158">
        <v>13286.87000000001</v>
      </c>
      <c r="Z135" s="158">
        <v>10297.690000000002</v>
      </c>
      <c r="AA135" s="158">
        <v>12688.989999999991</v>
      </c>
      <c r="AB135" s="158">
        <v>14163.399999999994</v>
      </c>
      <c r="AC135" s="158">
        <v>22586.75999999998</v>
      </c>
      <c r="AD135" s="158">
        <v>23789.020000000019</v>
      </c>
      <c r="AE135" s="158">
        <v>26168.630000000005</v>
      </c>
      <c r="AF135" s="158">
        <v>24730.22</v>
      </c>
      <c r="AG135" s="158">
        <v>29506.23000000001</v>
      </c>
      <c r="AH135" s="158">
        <v>23592.819999999978</v>
      </c>
      <c r="AI135" s="158">
        <v>29311.01999999999</v>
      </c>
      <c r="AJ135" s="158">
        <v>25876.320000000007</v>
      </c>
      <c r="AK135" s="160">
        <f ca="1">SUM(Y135:OFFSET(Y135,0,$F$2-1))</f>
        <v>255997.97</v>
      </c>
      <c r="AL135" s="121" t="s">
        <v>17</v>
      </c>
      <c r="AM135" s="121" t="s">
        <v>17</v>
      </c>
      <c r="AN135" s="160"/>
      <c r="AO135" s="160"/>
    </row>
    <row r="136" spans="2:41">
      <c r="B136" s="121" t="s">
        <v>1200</v>
      </c>
      <c r="C136" s="121" t="s">
        <v>18</v>
      </c>
      <c r="D136" s="121" t="s">
        <v>13</v>
      </c>
      <c r="F136" s="118" t="s">
        <v>13</v>
      </c>
      <c r="G136" s="158">
        <v>450</v>
      </c>
      <c r="H136" s="158">
        <v>315</v>
      </c>
      <c r="I136" s="158">
        <v>570</v>
      </c>
      <c r="J136" s="158">
        <v>120</v>
      </c>
      <c r="K136" s="158">
        <v>30</v>
      </c>
      <c r="L136" s="158">
        <v>70</v>
      </c>
      <c r="M136" s="158">
        <v>150</v>
      </c>
      <c r="N136" s="158">
        <v>85</v>
      </c>
      <c r="O136" s="158">
        <v>75</v>
      </c>
      <c r="P136" s="158">
        <v>15</v>
      </c>
      <c r="Q136" s="158">
        <v>15</v>
      </c>
      <c r="R136" s="158">
        <v>60</v>
      </c>
      <c r="S136" s="160">
        <f ca="1">SUM(G136:OFFSET(G136,0,$F$2-1))</f>
        <v>1955</v>
      </c>
      <c r="T136" s="436">
        <f t="shared" si="56"/>
        <v>1335</v>
      </c>
      <c r="U136" s="436">
        <f t="shared" si="57"/>
        <v>220</v>
      </c>
      <c r="V136" s="436">
        <f t="shared" si="58"/>
        <v>310</v>
      </c>
      <c r="W136" s="436">
        <f t="shared" si="59"/>
        <v>90</v>
      </c>
      <c r="X136" s="402"/>
      <c r="Y136" s="158">
        <v>0</v>
      </c>
      <c r="Z136" s="158">
        <v>192.45000000000005</v>
      </c>
      <c r="AA136" s="158">
        <v>105</v>
      </c>
      <c r="AB136" s="158">
        <v>160</v>
      </c>
      <c r="AC136" s="158">
        <v>70</v>
      </c>
      <c r="AD136" s="158">
        <v>70</v>
      </c>
      <c r="AE136" s="158">
        <v>70</v>
      </c>
      <c r="AF136" s="158">
        <v>35</v>
      </c>
      <c r="AG136" s="158">
        <v>80</v>
      </c>
      <c r="AH136" s="158">
        <v>158</v>
      </c>
      <c r="AI136" s="158">
        <v>400</v>
      </c>
      <c r="AJ136" s="158">
        <v>9.9999999999909051E-2</v>
      </c>
      <c r="AK136" s="160">
        <f ca="1">SUM(Y136:OFFSET(Y136,0,$F$2-1))</f>
        <v>1340.55</v>
      </c>
      <c r="AL136" s="121" t="s">
        <v>13</v>
      </c>
      <c r="AM136" s="121" t="s">
        <v>13</v>
      </c>
      <c r="AN136" s="160"/>
      <c r="AO136" s="160"/>
    </row>
    <row r="137" spans="2:41">
      <c r="B137" s="121" t="s">
        <v>1201</v>
      </c>
      <c r="C137" s="121" t="s">
        <v>18</v>
      </c>
      <c r="D137" s="121" t="s">
        <v>14</v>
      </c>
      <c r="F137" s="118" t="s">
        <v>14</v>
      </c>
      <c r="G137" s="158">
        <v>1393</v>
      </c>
      <c r="H137" s="158">
        <v>1343</v>
      </c>
      <c r="I137" s="158">
        <v>1069</v>
      </c>
      <c r="J137" s="158">
        <v>76</v>
      </c>
      <c r="K137" s="158">
        <v>80</v>
      </c>
      <c r="L137" s="158">
        <v>270</v>
      </c>
      <c r="M137" s="158">
        <v>328</v>
      </c>
      <c r="N137" s="158">
        <v>148.05000000000001</v>
      </c>
      <c r="O137" s="158">
        <v>329</v>
      </c>
      <c r="P137" s="158">
        <v>243.05</v>
      </c>
      <c r="Q137" s="158">
        <v>175</v>
      </c>
      <c r="R137" s="158">
        <v>243.05</v>
      </c>
      <c r="S137" s="160">
        <f ca="1">SUM(G137:OFFSET(G137,0,$F$2-1))</f>
        <v>5697.1500000000005</v>
      </c>
      <c r="T137" s="436">
        <f t="shared" si="56"/>
        <v>3805</v>
      </c>
      <c r="U137" s="436">
        <f t="shared" si="57"/>
        <v>426</v>
      </c>
      <c r="V137" s="436">
        <f t="shared" si="58"/>
        <v>805.05</v>
      </c>
      <c r="W137" s="436">
        <f t="shared" si="59"/>
        <v>661.1</v>
      </c>
      <c r="X137" s="402"/>
      <c r="Y137" s="158">
        <v>1154.22</v>
      </c>
      <c r="Z137" s="158">
        <v>956.48</v>
      </c>
      <c r="AA137" s="158">
        <v>960.67</v>
      </c>
      <c r="AB137" s="158">
        <v>823.26</v>
      </c>
      <c r="AC137" s="158">
        <v>1332.4299999999998</v>
      </c>
      <c r="AD137" s="158">
        <v>935.78</v>
      </c>
      <c r="AE137" s="158">
        <v>1283.72</v>
      </c>
      <c r="AF137" s="158">
        <v>1161.1399999999999</v>
      </c>
      <c r="AG137" s="158">
        <v>1459.47</v>
      </c>
      <c r="AH137" s="158">
        <v>1244.27</v>
      </c>
      <c r="AI137" s="158">
        <v>1306.5900000000001</v>
      </c>
      <c r="AJ137" s="158">
        <v>1346.1799999999998</v>
      </c>
      <c r="AK137" s="160">
        <f ca="1">SUM(Y137:OFFSET(Y137,0,$F$2-1))</f>
        <v>13964.21</v>
      </c>
      <c r="AL137" s="121" t="s">
        <v>270</v>
      </c>
      <c r="AM137" s="121" t="s">
        <v>14</v>
      </c>
      <c r="AN137" s="160"/>
      <c r="AO137" s="160"/>
    </row>
    <row r="138" spans="2:41">
      <c r="B138" s="121"/>
      <c r="C138" s="121"/>
      <c r="D138" s="121" t="s">
        <v>1143</v>
      </c>
      <c r="F138" s="434" t="s">
        <v>21</v>
      </c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60">
        <f ca="1">SUM(G138:OFFSET(G138,0,$F$2-1))</f>
        <v>0</v>
      </c>
      <c r="T138" s="436">
        <f t="shared" si="56"/>
        <v>0</v>
      </c>
      <c r="U138" s="436">
        <f t="shared" si="57"/>
        <v>0</v>
      </c>
      <c r="V138" s="436">
        <f t="shared" si="58"/>
        <v>0</v>
      </c>
      <c r="W138" s="436">
        <f t="shared" si="59"/>
        <v>0</v>
      </c>
      <c r="X138" s="161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60"/>
      <c r="AL138" s="121"/>
      <c r="AN138" s="160"/>
      <c r="AO138" s="160"/>
    </row>
    <row r="139" spans="2:41">
      <c r="B139" s="121" t="s">
        <v>1202</v>
      </c>
      <c r="C139" s="121" t="s">
        <v>18</v>
      </c>
      <c r="D139" s="121" t="s">
        <v>16</v>
      </c>
      <c r="F139" s="118" t="s">
        <v>16</v>
      </c>
      <c r="G139" s="158">
        <v>1200</v>
      </c>
      <c r="H139" s="158">
        <v>1200</v>
      </c>
      <c r="I139" s="158">
        <v>1200</v>
      </c>
      <c r="J139" s="158">
        <v>1200</v>
      </c>
      <c r="K139" s="158">
        <v>1200</v>
      </c>
      <c r="L139" s="158">
        <v>1200</v>
      </c>
      <c r="M139" s="158">
        <v>1200</v>
      </c>
      <c r="N139" s="158">
        <v>1200</v>
      </c>
      <c r="O139" s="158">
        <v>1200</v>
      </c>
      <c r="P139" s="158">
        <v>1200</v>
      </c>
      <c r="Q139" s="158">
        <v>1200</v>
      </c>
      <c r="R139" s="158">
        <v>1200</v>
      </c>
      <c r="S139" s="160">
        <f ca="1">SUM(G139:OFFSET(G139,0,$F$2-1))</f>
        <v>14400</v>
      </c>
      <c r="T139" s="436">
        <f t="shared" si="56"/>
        <v>3600</v>
      </c>
      <c r="U139" s="436">
        <f t="shared" si="57"/>
        <v>3600</v>
      </c>
      <c r="V139" s="436">
        <f t="shared" si="58"/>
        <v>3600</v>
      </c>
      <c r="W139" s="436">
        <f t="shared" si="59"/>
        <v>3600</v>
      </c>
      <c r="X139" s="402"/>
      <c r="Y139" s="158">
        <v>1200</v>
      </c>
      <c r="Z139" s="158">
        <v>1200</v>
      </c>
      <c r="AA139" s="158">
        <v>1200</v>
      </c>
      <c r="AB139" s="158">
        <v>1200</v>
      </c>
      <c r="AC139" s="158">
        <v>1200</v>
      </c>
      <c r="AD139" s="158">
        <v>1100</v>
      </c>
      <c r="AE139" s="158">
        <v>1100</v>
      </c>
      <c r="AF139" s="158">
        <v>1100</v>
      </c>
      <c r="AG139" s="158">
        <v>1100</v>
      </c>
      <c r="AH139" s="158">
        <v>1100</v>
      </c>
      <c r="AI139" s="158">
        <v>1100</v>
      </c>
      <c r="AJ139" s="158">
        <v>1100</v>
      </c>
      <c r="AK139" s="160">
        <f ca="1">SUM(Y139:OFFSET(Y139,0,$F$2-1))</f>
        <v>13700</v>
      </c>
      <c r="AL139" s="121" t="s">
        <v>269</v>
      </c>
      <c r="AM139" s="121" t="s">
        <v>16</v>
      </c>
      <c r="AN139" s="160"/>
      <c r="AO139" s="160"/>
    </row>
    <row r="140" spans="2:41">
      <c r="B140" s="121" t="s">
        <v>1203</v>
      </c>
      <c r="C140" s="121" t="s">
        <v>18</v>
      </c>
      <c r="D140" s="121" t="s">
        <v>17</v>
      </c>
      <c r="F140" s="118" t="s">
        <v>17</v>
      </c>
      <c r="G140" s="158">
        <v>111222</v>
      </c>
      <c r="H140" s="158">
        <v>111531</v>
      </c>
      <c r="I140" s="158">
        <v>112078</v>
      </c>
      <c r="J140" s="158">
        <v>112353</v>
      </c>
      <c r="K140" s="158">
        <v>112517</v>
      </c>
      <c r="L140" s="158">
        <v>112590.77</v>
      </c>
      <c r="M140" s="158">
        <v>112488.8</v>
      </c>
      <c r="N140" s="158">
        <v>113215.83</v>
      </c>
      <c r="O140" s="158">
        <v>113823.5</v>
      </c>
      <c r="P140" s="158">
        <v>114426</v>
      </c>
      <c r="Q140" s="158">
        <v>115735</v>
      </c>
      <c r="R140" s="158">
        <v>116620</v>
      </c>
      <c r="S140" s="160">
        <f ca="1">SUM(G140:OFFSET(G140,0,$F$2-1))</f>
        <v>1358600.9</v>
      </c>
      <c r="T140" s="436">
        <f t="shared" si="56"/>
        <v>334831</v>
      </c>
      <c r="U140" s="436">
        <f t="shared" si="57"/>
        <v>337460.77</v>
      </c>
      <c r="V140" s="436">
        <f t="shared" si="58"/>
        <v>339528.13</v>
      </c>
      <c r="W140" s="436">
        <f t="shared" si="59"/>
        <v>346781</v>
      </c>
      <c r="X140" s="402"/>
      <c r="Y140" s="158">
        <v>116730.5</v>
      </c>
      <c r="Z140" s="158">
        <v>116742.5</v>
      </c>
      <c r="AA140" s="158">
        <v>117110.5</v>
      </c>
      <c r="AB140" s="158">
        <v>117562</v>
      </c>
      <c r="AC140" s="158">
        <v>117648.5</v>
      </c>
      <c r="AD140" s="158">
        <v>117049</v>
      </c>
      <c r="AE140" s="158">
        <v>117158</v>
      </c>
      <c r="AF140" s="158">
        <v>116843</v>
      </c>
      <c r="AG140" s="158">
        <v>116955.5</v>
      </c>
      <c r="AH140" s="158">
        <v>116690.5</v>
      </c>
      <c r="AI140" s="158">
        <v>116970.5</v>
      </c>
      <c r="AJ140" s="158">
        <v>117605.5</v>
      </c>
      <c r="AK140" s="160">
        <f ca="1">SUM(Y140:OFFSET(Y140,0,$F$2-1))</f>
        <v>1405066</v>
      </c>
      <c r="AL140" s="121" t="s">
        <v>17</v>
      </c>
      <c r="AM140" s="121" t="s">
        <v>17</v>
      </c>
      <c r="AN140" s="160"/>
      <c r="AO140" s="160"/>
    </row>
    <row r="141" spans="2:41">
      <c r="B141" s="121" t="s">
        <v>1204</v>
      </c>
      <c r="C141" s="121" t="s">
        <v>18</v>
      </c>
      <c r="D141" s="121" t="s">
        <v>13</v>
      </c>
      <c r="F141" s="118" t="s">
        <v>13</v>
      </c>
      <c r="G141" s="158">
        <v>1407</v>
      </c>
      <c r="H141" s="158">
        <v>1411</v>
      </c>
      <c r="I141" s="158">
        <v>1409</v>
      </c>
      <c r="J141" s="158">
        <v>1407</v>
      </c>
      <c r="K141" s="158">
        <v>1411</v>
      </c>
      <c r="L141" s="158">
        <v>1405</v>
      </c>
      <c r="M141" s="158">
        <v>1406.79</v>
      </c>
      <c r="N141" s="158">
        <v>1410.85</v>
      </c>
      <c r="O141" s="158">
        <v>1406.79</v>
      </c>
      <c r="P141" s="158">
        <v>1404.76</v>
      </c>
      <c r="Q141" s="158">
        <v>1402.73</v>
      </c>
      <c r="R141" s="158">
        <v>1400.7</v>
      </c>
      <c r="S141" s="160">
        <f ca="1">SUM(G141:OFFSET(G141,0,$F$2-1))</f>
        <v>16882.62</v>
      </c>
      <c r="T141" s="436">
        <f t="shared" si="56"/>
        <v>4227</v>
      </c>
      <c r="U141" s="436">
        <f t="shared" si="57"/>
        <v>4223</v>
      </c>
      <c r="V141" s="436">
        <f t="shared" si="58"/>
        <v>4224.43</v>
      </c>
      <c r="W141" s="436">
        <f t="shared" si="59"/>
        <v>4208.1899999999996</v>
      </c>
      <c r="X141" s="402"/>
      <c r="Y141" s="158">
        <v>1404.76</v>
      </c>
      <c r="Z141" s="158">
        <v>1404.76</v>
      </c>
      <c r="AA141" s="158">
        <v>1406.79</v>
      </c>
      <c r="AB141" s="158">
        <v>1418.97</v>
      </c>
      <c r="AC141" s="158">
        <v>1414.91</v>
      </c>
      <c r="AD141" s="158">
        <v>1416.94</v>
      </c>
      <c r="AE141" s="158">
        <v>1423.03</v>
      </c>
      <c r="AF141" s="158">
        <v>1416.94</v>
      </c>
      <c r="AG141" s="158">
        <v>1416.94</v>
      </c>
      <c r="AH141" s="158">
        <v>1421</v>
      </c>
      <c r="AI141" s="158">
        <v>1402.73</v>
      </c>
      <c r="AJ141" s="158">
        <v>1398.67</v>
      </c>
      <c r="AK141" s="160">
        <f ca="1">SUM(Y141:OFFSET(Y141,0,$F$2-1))</f>
        <v>16946.440000000002</v>
      </c>
      <c r="AL141" s="121" t="s">
        <v>13</v>
      </c>
      <c r="AM141" s="121" t="s">
        <v>13</v>
      </c>
      <c r="AN141" s="160"/>
      <c r="AO141" s="160"/>
    </row>
    <row r="142" spans="2:41">
      <c r="B142" s="121" t="s">
        <v>1205</v>
      </c>
      <c r="C142" s="121" t="s">
        <v>18</v>
      </c>
      <c r="D142" s="121" t="s">
        <v>14</v>
      </c>
      <c r="F142" s="118" t="s">
        <v>14</v>
      </c>
      <c r="G142" s="158">
        <v>0</v>
      </c>
      <c r="H142" s="158">
        <v>0</v>
      </c>
      <c r="I142" s="158">
        <v>0</v>
      </c>
      <c r="J142" s="158">
        <v>0</v>
      </c>
      <c r="K142" s="158">
        <v>0</v>
      </c>
      <c r="L142" s="158">
        <v>0</v>
      </c>
      <c r="M142" s="158">
        <v>0</v>
      </c>
      <c r="N142" s="158">
        <v>0</v>
      </c>
      <c r="O142" s="158">
        <v>0</v>
      </c>
      <c r="P142" s="158">
        <v>0</v>
      </c>
      <c r="Q142" s="158">
        <v>0</v>
      </c>
      <c r="R142" s="158">
        <v>0</v>
      </c>
      <c r="S142" s="160">
        <f ca="1">SUM(G142:OFFSET(G142,0,$F$2-1))</f>
        <v>0</v>
      </c>
      <c r="T142" s="436">
        <f t="shared" si="56"/>
        <v>0</v>
      </c>
      <c r="U142" s="436">
        <f t="shared" si="57"/>
        <v>0</v>
      </c>
      <c r="V142" s="436">
        <f t="shared" si="58"/>
        <v>0</v>
      </c>
      <c r="W142" s="436">
        <f t="shared" si="59"/>
        <v>0</v>
      </c>
      <c r="X142" s="402"/>
      <c r="Y142" s="158">
        <v>0</v>
      </c>
      <c r="Z142" s="158">
        <v>0</v>
      </c>
      <c r="AA142" s="158">
        <v>0</v>
      </c>
      <c r="AB142" s="158">
        <v>0</v>
      </c>
      <c r="AC142" s="158">
        <v>0</v>
      </c>
      <c r="AD142" s="158">
        <v>0</v>
      </c>
      <c r="AE142" s="158">
        <v>0</v>
      </c>
      <c r="AF142" s="158">
        <v>0</v>
      </c>
      <c r="AG142" s="158">
        <v>0</v>
      </c>
      <c r="AH142" s="158">
        <v>0</v>
      </c>
      <c r="AI142" s="158">
        <v>0</v>
      </c>
      <c r="AJ142" s="158">
        <v>0</v>
      </c>
      <c r="AK142" s="160">
        <f ca="1">SUM(Y142:OFFSET(Y142,0,$F$2-1))</f>
        <v>0</v>
      </c>
      <c r="AL142" s="121" t="s">
        <v>270</v>
      </c>
      <c r="AM142" s="121" t="s">
        <v>14</v>
      </c>
      <c r="AN142" s="160"/>
      <c r="AO142" s="160"/>
    </row>
    <row r="143" spans="2:41">
      <c r="B143" s="121"/>
      <c r="C143" s="121"/>
      <c r="D143" s="121" t="s">
        <v>1143</v>
      </c>
      <c r="F143" s="434" t="s">
        <v>22</v>
      </c>
      <c r="G143" s="158"/>
      <c r="H143" s="158"/>
      <c r="I143" s="158"/>
      <c r="J143" s="158"/>
      <c r="K143" s="159"/>
      <c r="L143" s="158"/>
      <c r="M143" s="158"/>
      <c r="N143" s="158"/>
      <c r="O143" s="158"/>
      <c r="P143" s="158"/>
      <c r="Q143" s="158"/>
      <c r="R143" s="158"/>
      <c r="S143" s="160">
        <f ca="1">SUM(G143:OFFSET(G143,0,$F$2-1))</f>
        <v>0</v>
      </c>
      <c r="T143" s="436">
        <f t="shared" si="56"/>
        <v>0</v>
      </c>
      <c r="U143" s="436">
        <f t="shared" si="57"/>
        <v>0</v>
      </c>
      <c r="V143" s="436">
        <f t="shared" si="58"/>
        <v>0</v>
      </c>
      <c r="W143" s="436">
        <f t="shared" si="59"/>
        <v>0</v>
      </c>
      <c r="X143" s="161"/>
      <c r="Y143" s="161"/>
      <c r="Z143" s="161"/>
      <c r="AA143" s="161"/>
      <c r="AB143" s="161"/>
      <c r="AC143" s="402"/>
      <c r="AD143" s="161"/>
      <c r="AE143" s="161"/>
      <c r="AF143" s="161"/>
      <c r="AG143" s="161"/>
      <c r="AH143" s="161"/>
      <c r="AI143" s="161"/>
      <c r="AJ143" s="161"/>
      <c r="AK143" s="160"/>
      <c r="AN143" s="160"/>
      <c r="AO143" s="160"/>
    </row>
    <row r="144" spans="2:41">
      <c r="B144" s="121" t="s">
        <v>1206</v>
      </c>
      <c r="C144" s="121" t="s">
        <v>18</v>
      </c>
      <c r="D144" s="121" t="s">
        <v>16</v>
      </c>
      <c r="F144" s="118" t="s">
        <v>16</v>
      </c>
      <c r="G144" s="158">
        <v>-83924</v>
      </c>
      <c r="H144" s="158">
        <v>-120477</v>
      </c>
      <c r="I144" s="158">
        <v>119034</v>
      </c>
      <c r="J144" s="158">
        <v>-148851</v>
      </c>
      <c r="K144" s="158">
        <v>-99457</v>
      </c>
      <c r="L144" s="158">
        <v>0</v>
      </c>
      <c r="M144" s="158">
        <v>-150091</v>
      </c>
      <c r="N144" s="158">
        <v>27818</v>
      </c>
      <c r="O144" s="158">
        <v>64024</v>
      </c>
      <c r="P144" s="158">
        <v>167179</v>
      </c>
      <c r="Q144" s="158">
        <v>27512</v>
      </c>
      <c r="R144" s="158">
        <v>253295</v>
      </c>
      <c r="S144" s="160">
        <f ca="1">SUM(G144:OFFSET(G144,0,$F$2-1))</f>
        <v>56062</v>
      </c>
      <c r="T144" s="436">
        <f t="shared" si="56"/>
        <v>-85367</v>
      </c>
      <c r="U144" s="436">
        <f t="shared" si="57"/>
        <v>-248308</v>
      </c>
      <c r="V144" s="436">
        <f t="shared" si="58"/>
        <v>-58249</v>
      </c>
      <c r="W144" s="436">
        <f t="shared" si="59"/>
        <v>447986</v>
      </c>
      <c r="X144" s="161"/>
      <c r="Y144" s="162">
        <v>-153186</v>
      </c>
      <c r="Z144" s="162">
        <v>-17383</v>
      </c>
      <c r="AA144" s="162">
        <v>41966</v>
      </c>
      <c r="AB144" s="162">
        <v>-122637</v>
      </c>
      <c r="AC144" s="162">
        <v>-54019</v>
      </c>
      <c r="AD144" s="162">
        <v>-54327</v>
      </c>
      <c r="AE144" s="162">
        <v>-55359</v>
      </c>
      <c r="AF144" s="162">
        <v>86692</v>
      </c>
      <c r="AG144" s="162">
        <v>-117862</v>
      </c>
      <c r="AH144" s="162">
        <v>201785</v>
      </c>
      <c r="AI144" s="162">
        <v>270123</v>
      </c>
      <c r="AJ144" s="162">
        <v>35844</v>
      </c>
      <c r="AK144" s="160">
        <f ca="1">SUM(Y144:OFFSET(Y144,0,$F$2-1))</f>
        <v>61637</v>
      </c>
      <c r="AL144" s="121" t="s">
        <v>269</v>
      </c>
      <c r="AM144" s="121" t="s">
        <v>16</v>
      </c>
      <c r="AN144" s="160"/>
      <c r="AO144" s="160"/>
    </row>
    <row r="145" spans="2:41">
      <c r="B145" s="121" t="s">
        <v>1207</v>
      </c>
      <c r="C145" s="121" t="s">
        <v>18</v>
      </c>
      <c r="D145" s="121" t="s">
        <v>17</v>
      </c>
      <c r="F145" s="118" t="s">
        <v>17</v>
      </c>
      <c r="G145" s="158">
        <v>9000</v>
      </c>
      <c r="H145" s="158">
        <v>-28000</v>
      </c>
      <c r="I145" s="158">
        <v>56000</v>
      </c>
      <c r="J145" s="158">
        <v>-44000</v>
      </c>
      <c r="K145" s="158">
        <v>14000</v>
      </c>
      <c r="L145" s="158">
        <v>-25000</v>
      </c>
      <c r="M145" s="158">
        <v>20000</v>
      </c>
      <c r="N145" s="158">
        <v>5000</v>
      </c>
      <c r="O145" s="158">
        <v>-15000</v>
      </c>
      <c r="P145" s="158">
        <v>50000</v>
      </c>
      <c r="Q145" s="158">
        <v>6000</v>
      </c>
      <c r="R145" s="158">
        <v>-20000</v>
      </c>
      <c r="S145" s="160">
        <f ca="1">SUM(G145:OFFSET(G145,0,$F$2-1))</f>
        <v>28000</v>
      </c>
      <c r="T145" s="436">
        <f t="shared" si="56"/>
        <v>37000</v>
      </c>
      <c r="U145" s="436">
        <f t="shared" si="57"/>
        <v>-55000</v>
      </c>
      <c r="V145" s="436">
        <f t="shared" si="58"/>
        <v>10000</v>
      </c>
      <c r="W145" s="436">
        <f t="shared" si="59"/>
        <v>36000</v>
      </c>
      <c r="X145" s="161"/>
      <c r="Y145" s="162">
        <v>-66000</v>
      </c>
      <c r="Z145" s="162">
        <v>50000</v>
      </c>
      <c r="AA145" s="162">
        <v>43000</v>
      </c>
      <c r="AB145" s="162">
        <v>-20000</v>
      </c>
      <c r="AC145" s="162">
        <v>-13000</v>
      </c>
      <c r="AD145" s="162">
        <v>-5000</v>
      </c>
      <c r="AE145" s="162">
        <v>-15000</v>
      </c>
      <c r="AF145" s="162">
        <v>35000</v>
      </c>
      <c r="AG145" s="162">
        <v>-28000</v>
      </c>
      <c r="AH145" s="162">
        <v>33000</v>
      </c>
      <c r="AI145" s="162">
        <v>35000</v>
      </c>
      <c r="AJ145" s="162">
        <v>-30000</v>
      </c>
      <c r="AK145" s="160">
        <f ca="1">SUM(Y145:OFFSET(Y145,0,$F$2-1))</f>
        <v>19000</v>
      </c>
      <c r="AL145" s="121" t="s">
        <v>17</v>
      </c>
      <c r="AM145" s="121" t="s">
        <v>17</v>
      </c>
      <c r="AN145" s="160"/>
      <c r="AO145" s="160"/>
    </row>
    <row r="146" spans="2:41">
      <c r="B146" s="121" t="s">
        <v>1208</v>
      </c>
      <c r="C146" s="121" t="s">
        <v>18</v>
      </c>
      <c r="D146" s="121" t="s">
        <v>13</v>
      </c>
      <c r="F146" s="118" t="s">
        <v>13</v>
      </c>
      <c r="G146" s="158">
        <v>0</v>
      </c>
      <c r="H146" s="158">
        <v>0</v>
      </c>
      <c r="I146" s="158">
        <v>0</v>
      </c>
      <c r="J146" s="158">
        <v>0</v>
      </c>
      <c r="K146" s="158">
        <v>0</v>
      </c>
      <c r="L146" s="158">
        <v>0</v>
      </c>
      <c r="M146" s="158">
        <v>0</v>
      </c>
      <c r="N146" s="158">
        <v>0</v>
      </c>
      <c r="O146" s="158">
        <v>0</v>
      </c>
      <c r="P146" s="158">
        <v>0</v>
      </c>
      <c r="Q146" s="158">
        <v>0</v>
      </c>
      <c r="R146" s="158">
        <v>0</v>
      </c>
      <c r="S146" s="160">
        <f ca="1">SUM(G146:OFFSET(G146,0,$F$2-1))</f>
        <v>0</v>
      </c>
      <c r="T146" s="436">
        <f t="shared" si="56"/>
        <v>0</v>
      </c>
      <c r="U146" s="436">
        <f t="shared" si="57"/>
        <v>0</v>
      </c>
      <c r="V146" s="436">
        <f t="shared" si="58"/>
        <v>0</v>
      </c>
      <c r="W146" s="436">
        <f t="shared" si="59"/>
        <v>0</v>
      </c>
      <c r="X146" s="161"/>
      <c r="Y146" s="162">
        <v>0</v>
      </c>
      <c r="Z146" s="162">
        <v>0</v>
      </c>
      <c r="AA146" s="162">
        <v>0</v>
      </c>
      <c r="AB146" s="162">
        <v>0</v>
      </c>
      <c r="AC146" s="162">
        <v>0</v>
      </c>
      <c r="AD146" s="162">
        <v>0</v>
      </c>
      <c r="AE146" s="162">
        <v>0</v>
      </c>
      <c r="AF146" s="162">
        <v>0</v>
      </c>
      <c r="AG146" s="162">
        <v>0</v>
      </c>
      <c r="AH146" s="162">
        <v>0</v>
      </c>
      <c r="AI146" s="162">
        <v>0</v>
      </c>
      <c r="AJ146" s="162">
        <v>0</v>
      </c>
      <c r="AK146" s="160">
        <f ca="1">SUM(Y146:OFFSET(Y146,0,$F$2-1))</f>
        <v>0</v>
      </c>
      <c r="AL146" s="121" t="s">
        <v>13</v>
      </c>
      <c r="AM146" s="121" t="s">
        <v>13</v>
      </c>
      <c r="AN146" s="160"/>
      <c r="AO146" s="160"/>
    </row>
    <row r="147" spans="2:41">
      <c r="B147" s="121" t="s">
        <v>1209</v>
      </c>
      <c r="C147" s="121" t="s">
        <v>18</v>
      </c>
      <c r="D147" s="121" t="s">
        <v>14</v>
      </c>
      <c r="F147" s="118" t="s">
        <v>14</v>
      </c>
      <c r="G147" s="158">
        <v>-1571</v>
      </c>
      <c r="H147" s="158">
        <v>485</v>
      </c>
      <c r="I147" s="158">
        <v>1905</v>
      </c>
      <c r="J147" s="158">
        <v>-3489</v>
      </c>
      <c r="K147" s="158">
        <v>-816</v>
      </c>
      <c r="L147" s="158">
        <v>-135.76000000000022</v>
      </c>
      <c r="M147" s="158">
        <v>-1111.9399999999996</v>
      </c>
      <c r="N147" s="158">
        <v>116.25</v>
      </c>
      <c r="O147" s="158">
        <v>-29.710000000000036</v>
      </c>
      <c r="P147" s="158">
        <v>1805.1099999999997</v>
      </c>
      <c r="Q147" s="158">
        <v>144.39000000000033</v>
      </c>
      <c r="R147" s="158">
        <v>2476.2700000000004</v>
      </c>
      <c r="S147" s="160">
        <f ca="1">SUM(G147:OFFSET(G147,0,$F$2-1))</f>
        <v>-221.38999999999942</v>
      </c>
      <c r="T147" s="436">
        <f t="shared" si="56"/>
        <v>819</v>
      </c>
      <c r="U147" s="436">
        <f t="shared" si="57"/>
        <v>-4440.76</v>
      </c>
      <c r="V147" s="436">
        <f t="shared" si="58"/>
        <v>-1025.3999999999996</v>
      </c>
      <c r="W147" s="436">
        <f t="shared" si="59"/>
        <v>4425.7700000000004</v>
      </c>
      <c r="X147" s="161"/>
      <c r="Y147" s="162">
        <v>-2307.3900000000012</v>
      </c>
      <c r="Z147" s="162">
        <v>2143.6800000000003</v>
      </c>
      <c r="AA147" s="162">
        <v>197.65999999999985</v>
      </c>
      <c r="AB147" s="162">
        <v>-1417.7199999999993</v>
      </c>
      <c r="AC147" s="162">
        <v>-706.55999999999949</v>
      </c>
      <c r="AD147" s="162">
        <v>-679.69000000000051</v>
      </c>
      <c r="AE147" s="162">
        <v>-1265.4000000000005</v>
      </c>
      <c r="AF147" s="162">
        <v>1573.1799999999994</v>
      </c>
      <c r="AG147" s="162">
        <v>-1789.5299999999988</v>
      </c>
      <c r="AH147" s="162">
        <v>1423.38</v>
      </c>
      <c r="AI147" s="162">
        <v>1949.2499999999991</v>
      </c>
      <c r="AJ147" s="162">
        <v>1215.2800000000007</v>
      </c>
      <c r="AK147" s="160">
        <f ca="1">SUM(Y147:OFFSET(Y147,0,$F$2-1))</f>
        <v>336.13999999999942</v>
      </c>
      <c r="AL147" s="121" t="s">
        <v>270</v>
      </c>
      <c r="AM147" s="121" t="s">
        <v>14</v>
      </c>
      <c r="AN147" s="160"/>
      <c r="AO147" s="160"/>
    </row>
    <row r="148" spans="2:41">
      <c r="B148" s="121"/>
      <c r="C148" s="121"/>
      <c r="D148" s="121" t="s">
        <v>1143</v>
      </c>
      <c r="F148" s="434" t="s">
        <v>268</v>
      </c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60">
        <f ca="1">SUM(G148:OFFSET(G148,0,$F$2-1))</f>
        <v>0</v>
      </c>
      <c r="T148" s="436">
        <f t="shared" si="56"/>
        <v>0</v>
      </c>
      <c r="U148" s="436">
        <f t="shared" si="57"/>
        <v>0</v>
      </c>
      <c r="V148" s="436">
        <f t="shared" si="58"/>
        <v>0</v>
      </c>
      <c r="W148" s="436">
        <f t="shared" si="59"/>
        <v>0</v>
      </c>
      <c r="X148" s="161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0"/>
      <c r="AL148" s="121"/>
      <c r="AN148" s="160"/>
      <c r="AO148" s="160"/>
    </row>
    <row r="149" spans="2:41">
      <c r="B149" s="121" t="s">
        <v>1210</v>
      </c>
      <c r="C149" s="121" t="s">
        <v>18</v>
      </c>
      <c r="D149" s="121" t="s">
        <v>16</v>
      </c>
      <c r="F149" s="118" t="s">
        <v>16</v>
      </c>
      <c r="G149" s="158">
        <v>845649</v>
      </c>
      <c r="H149" s="158">
        <v>941421</v>
      </c>
      <c r="I149" s="158">
        <v>907201</v>
      </c>
      <c r="J149" s="158">
        <v>822559</v>
      </c>
      <c r="K149" s="158">
        <v>902077</v>
      </c>
      <c r="L149" s="158">
        <v>908886.66</v>
      </c>
      <c r="M149" s="158">
        <v>920651.08</v>
      </c>
      <c r="N149" s="158">
        <v>926532.15999999992</v>
      </c>
      <c r="O149" s="158">
        <v>972484.57</v>
      </c>
      <c r="P149" s="158">
        <v>960573.27</v>
      </c>
      <c r="Q149" s="158">
        <v>1072054.45</v>
      </c>
      <c r="R149" s="438">
        <v>982835.03</v>
      </c>
      <c r="S149" s="160">
        <f ca="1">SUM(G149:OFFSET(G149,0,$F$2-1))</f>
        <v>11162924.219999999</v>
      </c>
      <c r="T149" s="436">
        <f t="shared" si="56"/>
        <v>2694271</v>
      </c>
      <c r="U149" s="436">
        <f t="shared" si="57"/>
        <v>2633522.66</v>
      </c>
      <c r="V149" s="436">
        <f t="shared" si="58"/>
        <v>2819667.8099999996</v>
      </c>
      <c r="W149" s="436">
        <f t="shared" si="59"/>
        <v>3015462.75</v>
      </c>
      <c r="X149" s="439"/>
      <c r="Y149" s="162">
        <v>1015761.8199999998</v>
      </c>
      <c r="Z149" s="162">
        <v>1025977.7300000001</v>
      </c>
      <c r="AA149" s="162">
        <v>985186.5</v>
      </c>
      <c r="AB149" s="162">
        <v>1040749.3500000001</v>
      </c>
      <c r="AC149" s="162">
        <v>1048647.93</v>
      </c>
      <c r="AD149" s="162">
        <v>1056427.46</v>
      </c>
      <c r="AE149" s="162">
        <v>1069882.03</v>
      </c>
      <c r="AF149" s="162">
        <v>1096566.0899999999</v>
      </c>
      <c r="AG149" s="162">
        <v>1099490.3599999999</v>
      </c>
      <c r="AH149" s="162">
        <v>1147702.03</v>
      </c>
      <c r="AI149" s="162">
        <v>1124193.5499999998</v>
      </c>
      <c r="AJ149" s="440">
        <v>1135767.94</v>
      </c>
      <c r="AK149" s="160">
        <f ca="1">SUM(Y149:OFFSET(Y149,0,$F$2-1))</f>
        <v>12846352.789999997</v>
      </c>
      <c r="AL149" s="121"/>
      <c r="AM149" s="121" t="s">
        <v>16</v>
      </c>
      <c r="AN149" s="160"/>
      <c r="AO149" s="160"/>
    </row>
    <row r="150" spans="2:41">
      <c r="B150" s="121" t="s">
        <v>1211</v>
      </c>
      <c r="C150" s="121" t="s">
        <v>18</v>
      </c>
      <c r="D150" s="121" t="s">
        <v>17</v>
      </c>
      <c r="F150" s="118" t="s">
        <v>17</v>
      </c>
      <c r="G150" s="158">
        <v>330919</v>
      </c>
      <c r="H150" s="158">
        <v>331096</v>
      </c>
      <c r="I150" s="158">
        <v>332816</v>
      </c>
      <c r="J150" s="158">
        <v>306366</v>
      </c>
      <c r="K150" s="158">
        <v>331414</v>
      </c>
      <c r="L150" s="158">
        <v>331336.24</v>
      </c>
      <c r="M150" s="158">
        <v>332542.62000000005</v>
      </c>
      <c r="N150" s="158">
        <v>333791.08000000007</v>
      </c>
      <c r="O150" s="158">
        <v>338322.54999999993</v>
      </c>
      <c r="P150" s="158">
        <v>337586.27000000014</v>
      </c>
      <c r="Q150" s="158">
        <v>339424.32</v>
      </c>
      <c r="R150" s="158">
        <v>340919.32999999996</v>
      </c>
      <c r="S150" s="160">
        <f ca="1">SUM(G150:OFFSET(G150,0,$F$2-1))</f>
        <v>3986533.4099999997</v>
      </c>
      <c r="T150" s="436">
        <f t="shared" si="56"/>
        <v>994831</v>
      </c>
      <c r="U150" s="436">
        <f t="shared" si="57"/>
        <v>969116.24</v>
      </c>
      <c r="V150" s="436">
        <f t="shared" si="58"/>
        <v>1004656.2500000001</v>
      </c>
      <c r="W150" s="436">
        <f t="shared" si="59"/>
        <v>1017929.92</v>
      </c>
      <c r="X150" s="161"/>
      <c r="Y150" s="162">
        <v>346501.51999999996</v>
      </c>
      <c r="Z150" s="162">
        <v>347269.13000000012</v>
      </c>
      <c r="AA150" s="162">
        <v>327844.26</v>
      </c>
      <c r="AB150" s="162">
        <v>342075.88</v>
      </c>
      <c r="AC150" s="162">
        <v>342458.69999999995</v>
      </c>
      <c r="AD150" s="162">
        <v>344984.41000000003</v>
      </c>
      <c r="AE150" s="162">
        <v>345330.02000000008</v>
      </c>
      <c r="AF150" s="162">
        <v>344875.69999999995</v>
      </c>
      <c r="AG150" s="162">
        <v>343850.91999999993</v>
      </c>
      <c r="AH150" s="162">
        <v>346860.39999999997</v>
      </c>
      <c r="AI150" s="162">
        <v>345514.91000000003</v>
      </c>
      <c r="AJ150" s="162">
        <v>345646.8</v>
      </c>
      <c r="AK150" s="160">
        <f ca="1">SUM(Y150:OFFSET(Y150,0,$F$2-1))</f>
        <v>4123212.65</v>
      </c>
      <c r="AL150" s="121"/>
      <c r="AM150" s="121" t="s">
        <v>17</v>
      </c>
      <c r="AN150" s="160"/>
      <c r="AO150" s="160"/>
    </row>
    <row r="151" spans="2:41">
      <c r="B151" s="121" t="s">
        <v>1212</v>
      </c>
      <c r="C151" s="121" t="s">
        <v>18</v>
      </c>
      <c r="D151" s="121" t="s">
        <v>13</v>
      </c>
      <c r="F151" s="118" t="s">
        <v>13</v>
      </c>
      <c r="G151" s="158">
        <v>0</v>
      </c>
      <c r="H151" s="158">
        <v>0</v>
      </c>
      <c r="I151" s="158">
        <v>0</v>
      </c>
      <c r="J151" s="158">
        <v>0</v>
      </c>
      <c r="K151" s="158">
        <v>0</v>
      </c>
      <c r="L151" s="158">
        <v>0</v>
      </c>
      <c r="M151" s="158">
        <v>0</v>
      </c>
      <c r="N151" s="158">
        <v>0</v>
      </c>
      <c r="O151" s="158">
        <v>0</v>
      </c>
      <c r="P151" s="158">
        <v>0</v>
      </c>
      <c r="Q151" s="158">
        <v>0</v>
      </c>
      <c r="R151" s="158">
        <v>0</v>
      </c>
      <c r="S151" s="400">
        <f ca="1">SUM(G151:OFFSET(G151,0,$F$2-1))</f>
        <v>0</v>
      </c>
      <c r="T151" s="436">
        <f t="shared" si="56"/>
        <v>0</v>
      </c>
      <c r="U151" s="436">
        <f t="shared" si="57"/>
        <v>0</v>
      </c>
      <c r="V151" s="436">
        <f t="shared" si="58"/>
        <v>0</v>
      </c>
      <c r="W151" s="436">
        <f t="shared" si="59"/>
        <v>0</v>
      </c>
      <c r="X151" s="161"/>
      <c r="Y151" s="162">
        <v>0</v>
      </c>
      <c r="Z151" s="162">
        <v>0</v>
      </c>
      <c r="AA151" s="162">
        <v>0</v>
      </c>
      <c r="AB151" s="162">
        <v>0</v>
      </c>
      <c r="AC151" s="162">
        <v>0</v>
      </c>
      <c r="AD151" s="162">
        <v>0</v>
      </c>
      <c r="AE151" s="162">
        <v>0</v>
      </c>
      <c r="AF151" s="162">
        <v>0</v>
      </c>
      <c r="AG151" s="162">
        <v>0</v>
      </c>
      <c r="AH151" s="162">
        <v>0</v>
      </c>
      <c r="AI151" s="162">
        <v>0</v>
      </c>
      <c r="AJ151" s="162">
        <v>0</v>
      </c>
      <c r="AK151" s="400">
        <f ca="1">SUM(Y151:OFFSET(Y151,0,$F$2-1))</f>
        <v>0</v>
      </c>
      <c r="AL151" s="121"/>
      <c r="AM151" s="121" t="s">
        <v>13</v>
      </c>
      <c r="AN151" s="400"/>
      <c r="AO151" s="400"/>
    </row>
    <row r="152" spans="2:41">
      <c r="B152" s="121" t="s">
        <v>1213</v>
      </c>
      <c r="C152" s="121" t="s">
        <v>18</v>
      </c>
      <c r="D152" s="121" t="s">
        <v>14</v>
      </c>
      <c r="F152" s="118" t="s">
        <v>14</v>
      </c>
      <c r="G152" s="158">
        <v>2012</v>
      </c>
      <c r="H152" s="158">
        <v>2011</v>
      </c>
      <c r="I152" s="158">
        <v>2005</v>
      </c>
      <c r="J152" s="158">
        <v>2578</v>
      </c>
      <c r="K152" s="158">
        <v>2135</v>
      </c>
      <c r="L152" s="158">
        <v>2132.9499999999998</v>
      </c>
      <c r="M152" s="158">
        <v>2130.9900000000002</v>
      </c>
      <c r="N152" s="158">
        <v>2126.4699999999998</v>
      </c>
      <c r="O152" s="158">
        <v>2125.44</v>
      </c>
      <c r="P152" s="158">
        <v>2125.0299999999997</v>
      </c>
      <c r="Q152" s="158">
        <v>2125.92</v>
      </c>
      <c r="R152" s="158">
        <v>2268.67</v>
      </c>
      <c r="S152" s="400">
        <f ca="1">SUM(G152:OFFSET(G152,0,$F$2-1))</f>
        <v>25776.469999999994</v>
      </c>
      <c r="T152" s="436">
        <f t="shared" si="56"/>
        <v>6028</v>
      </c>
      <c r="U152" s="436">
        <f t="shared" si="57"/>
        <v>6845.95</v>
      </c>
      <c r="V152" s="436">
        <f t="shared" si="58"/>
        <v>6382.9</v>
      </c>
      <c r="W152" s="436">
        <f t="shared" si="59"/>
        <v>6519.62</v>
      </c>
      <c r="X152" s="161"/>
      <c r="Y152" s="162">
        <v>2113.92</v>
      </c>
      <c r="Z152" s="162">
        <v>2109.85</v>
      </c>
      <c r="AA152" s="162">
        <v>1941.1</v>
      </c>
      <c r="AB152" s="162">
        <v>2048.58</v>
      </c>
      <c r="AC152" s="162">
        <v>2044.71</v>
      </c>
      <c r="AD152" s="162">
        <v>2053.7400000000002</v>
      </c>
      <c r="AE152" s="162">
        <v>2060.48</v>
      </c>
      <c r="AF152" s="162">
        <v>1998.0500000000002</v>
      </c>
      <c r="AG152" s="162">
        <v>2032.24</v>
      </c>
      <c r="AH152" s="162">
        <v>2031.06</v>
      </c>
      <c r="AI152" s="162">
        <v>2031.2399999999998</v>
      </c>
      <c r="AJ152" s="162">
        <v>2031.6699999999998</v>
      </c>
      <c r="AK152" s="400">
        <f ca="1">SUM(Y152:OFFSET(Y152,0,$F$2-1))</f>
        <v>24496.639999999999</v>
      </c>
      <c r="AL152" s="121"/>
      <c r="AM152" s="121" t="s">
        <v>14</v>
      </c>
      <c r="AN152" s="400"/>
      <c r="AO152" s="400"/>
    </row>
    <row r="153" spans="2:41">
      <c r="B153" s="121"/>
      <c r="C153" s="121"/>
      <c r="D153" s="121" t="s">
        <v>1143</v>
      </c>
      <c r="F153" s="434" t="s">
        <v>23</v>
      </c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400">
        <f ca="1">SUM(G153:OFFSET(G153,0,$F$2-1))</f>
        <v>0</v>
      </c>
      <c r="T153" s="436">
        <f t="shared" si="56"/>
        <v>0</v>
      </c>
      <c r="U153" s="436">
        <f t="shared" si="57"/>
        <v>0</v>
      </c>
      <c r="V153" s="436">
        <f t="shared" si="58"/>
        <v>0</v>
      </c>
      <c r="W153" s="436">
        <f t="shared" si="59"/>
        <v>0</v>
      </c>
      <c r="X153" s="161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400"/>
      <c r="AN153" s="400"/>
      <c r="AO153" s="400"/>
    </row>
    <row r="154" spans="2:41">
      <c r="B154" s="121" t="s">
        <v>1214</v>
      </c>
      <c r="C154" s="121" t="s">
        <v>18</v>
      </c>
      <c r="D154" s="121" t="s">
        <v>16</v>
      </c>
      <c r="F154" s="118" t="s">
        <v>16</v>
      </c>
      <c r="G154" s="159">
        <v>0</v>
      </c>
      <c r="H154" s="159">
        <v>0</v>
      </c>
      <c r="I154" s="159">
        <v>0</v>
      </c>
      <c r="J154" s="159">
        <v>0</v>
      </c>
      <c r="K154" s="159">
        <v>0</v>
      </c>
      <c r="L154" s="159">
        <v>0</v>
      </c>
      <c r="M154" s="159">
        <v>0</v>
      </c>
      <c r="N154" s="159">
        <v>0</v>
      </c>
      <c r="O154" s="159">
        <v>0</v>
      </c>
      <c r="P154" s="159">
        <v>0</v>
      </c>
      <c r="Q154" s="159">
        <v>0</v>
      </c>
      <c r="R154" s="159">
        <v>0</v>
      </c>
      <c r="S154" s="160">
        <f ca="1">SUM(G154:OFFSET(G154,0,$F$2-1))</f>
        <v>0</v>
      </c>
      <c r="T154" s="436">
        <f t="shared" si="56"/>
        <v>0</v>
      </c>
      <c r="U154" s="436">
        <f t="shared" si="57"/>
        <v>0</v>
      </c>
      <c r="V154" s="436">
        <f t="shared" si="58"/>
        <v>0</v>
      </c>
      <c r="W154" s="436">
        <f t="shared" si="59"/>
        <v>0</v>
      </c>
      <c r="X154" s="402"/>
      <c r="Y154" s="417">
        <v>0</v>
      </c>
      <c r="Z154" s="417"/>
      <c r="AA154" s="417"/>
      <c r="AB154" s="417"/>
      <c r="AC154" s="417"/>
      <c r="AD154" s="417"/>
      <c r="AE154" s="417"/>
      <c r="AF154" s="417"/>
      <c r="AG154" s="417"/>
      <c r="AH154" s="417"/>
      <c r="AI154" s="417"/>
      <c r="AJ154" s="417"/>
      <c r="AK154" s="160">
        <f ca="1">SUM(Y154:OFFSET(Y154,0,$F$2-1))</f>
        <v>0</v>
      </c>
      <c r="AL154" s="121" t="s">
        <v>276</v>
      </c>
      <c r="AM154" s="121"/>
      <c r="AN154" s="160"/>
      <c r="AO154" s="160"/>
    </row>
    <row r="155" spans="2:41">
      <c r="B155" s="121" t="s">
        <v>1215</v>
      </c>
      <c r="C155" s="121" t="s">
        <v>18</v>
      </c>
      <c r="D155" s="121" t="s">
        <v>17</v>
      </c>
      <c r="F155" s="118" t="s">
        <v>17</v>
      </c>
      <c r="G155" s="158"/>
      <c r="H155" s="158">
        <v>0</v>
      </c>
      <c r="I155" s="158">
        <v>350000</v>
      </c>
      <c r="J155" s="158">
        <v>0</v>
      </c>
      <c r="K155" s="158">
        <v>0</v>
      </c>
      <c r="L155" s="158">
        <v>0</v>
      </c>
      <c r="M155" s="158">
        <v>0</v>
      </c>
      <c r="N155" s="158">
        <v>0</v>
      </c>
      <c r="O155" s="158">
        <v>0</v>
      </c>
      <c r="P155" s="158">
        <v>0</v>
      </c>
      <c r="Q155" s="158">
        <v>0</v>
      </c>
      <c r="R155" s="158">
        <v>0</v>
      </c>
      <c r="S155" s="160">
        <f ca="1">SUM(G155:OFFSET(G155,0,$F$2-1))</f>
        <v>350000</v>
      </c>
      <c r="T155" s="436">
        <f t="shared" si="56"/>
        <v>350000</v>
      </c>
      <c r="U155" s="436">
        <f t="shared" si="57"/>
        <v>0</v>
      </c>
      <c r="V155" s="436">
        <f t="shared" si="58"/>
        <v>0</v>
      </c>
      <c r="W155" s="436">
        <f t="shared" si="59"/>
        <v>0</v>
      </c>
      <c r="X155" s="161"/>
      <c r="Y155" s="162">
        <v>0</v>
      </c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0">
        <f ca="1">SUM(Y155:OFFSET(Y155,0,$F$2-1))</f>
        <v>0</v>
      </c>
      <c r="AL155" s="121" t="s">
        <v>17</v>
      </c>
      <c r="AM155" s="121"/>
      <c r="AN155" s="160"/>
      <c r="AO155" s="160"/>
    </row>
    <row r="156" spans="2:41">
      <c r="B156" s="121"/>
      <c r="C156" s="121"/>
      <c r="D156" s="121" t="s">
        <v>13</v>
      </c>
      <c r="F156" s="118" t="s">
        <v>13</v>
      </c>
      <c r="G156" s="159">
        <v>0</v>
      </c>
      <c r="H156" s="159">
        <v>0</v>
      </c>
      <c r="I156" s="159">
        <v>0</v>
      </c>
      <c r="J156" s="159">
        <v>0</v>
      </c>
      <c r="K156" s="159">
        <v>0</v>
      </c>
      <c r="L156" s="159">
        <v>0</v>
      </c>
      <c r="M156" s="159">
        <v>0</v>
      </c>
      <c r="N156" s="159">
        <v>0</v>
      </c>
      <c r="O156" s="159">
        <v>0</v>
      </c>
      <c r="P156" s="159">
        <v>0</v>
      </c>
      <c r="Q156" s="159">
        <v>0</v>
      </c>
      <c r="R156" s="159">
        <v>0</v>
      </c>
      <c r="S156" s="400">
        <f ca="1">SUM(G156:OFFSET(G156,0,$F$2-1))</f>
        <v>0</v>
      </c>
      <c r="T156" s="436">
        <f t="shared" si="56"/>
        <v>0</v>
      </c>
      <c r="U156" s="436">
        <f t="shared" si="57"/>
        <v>0</v>
      </c>
      <c r="V156" s="436">
        <f t="shared" si="58"/>
        <v>0</v>
      </c>
      <c r="W156" s="436">
        <f t="shared" si="59"/>
        <v>0</v>
      </c>
      <c r="X156" s="402"/>
      <c r="Y156" s="417">
        <v>0</v>
      </c>
      <c r="Z156" s="417"/>
      <c r="AA156" s="417"/>
      <c r="AB156" s="417"/>
      <c r="AC156" s="417"/>
      <c r="AD156" s="417"/>
      <c r="AE156" s="417"/>
      <c r="AF156" s="417"/>
      <c r="AG156" s="417"/>
      <c r="AH156" s="417"/>
      <c r="AI156" s="417"/>
      <c r="AJ156" s="417"/>
      <c r="AK156" s="400">
        <f ca="1">SUM(Y156:OFFSET(Y156,0,$F$2-1))</f>
        <v>0</v>
      </c>
      <c r="AL156" s="121" t="s">
        <v>13</v>
      </c>
      <c r="AM156" s="121"/>
      <c r="AN156" s="400"/>
      <c r="AO156" s="400"/>
    </row>
    <row r="157" spans="2:41">
      <c r="B157" s="121"/>
      <c r="C157" s="121"/>
      <c r="D157" s="121" t="s">
        <v>14</v>
      </c>
      <c r="F157" s="118" t="s">
        <v>14</v>
      </c>
      <c r="G157" s="159">
        <v>0</v>
      </c>
      <c r="H157" s="159">
        <v>0</v>
      </c>
      <c r="I157" s="159">
        <v>0</v>
      </c>
      <c r="J157" s="159">
        <v>0</v>
      </c>
      <c r="K157" s="159">
        <v>0</v>
      </c>
      <c r="L157" s="159">
        <v>0</v>
      </c>
      <c r="M157" s="159">
        <v>0</v>
      </c>
      <c r="N157" s="159">
        <v>0</v>
      </c>
      <c r="O157" s="159">
        <v>0</v>
      </c>
      <c r="P157" s="159">
        <v>0</v>
      </c>
      <c r="Q157" s="159">
        <v>0</v>
      </c>
      <c r="R157" s="159">
        <v>0</v>
      </c>
      <c r="S157" s="400">
        <f ca="1">SUM(G157:OFFSET(G157,0,$F$2-1))</f>
        <v>0</v>
      </c>
      <c r="T157" s="436">
        <f t="shared" si="56"/>
        <v>0</v>
      </c>
      <c r="U157" s="436">
        <f t="shared" si="57"/>
        <v>0</v>
      </c>
      <c r="V157" s="436">
        <f t="shared" si="58"/>
        <v>0</v>
      </c>
      <c r="W157" s="436">
        <f t="shared" si="59"/>
        <v>0</v>
      </c>
      <c r="X157" s="402"/>
      <c r="Y157" s="417">
        <v>0</v>
      </c>
      <c r="Z157" s="417"/>
      <c r="AA157" s="417"/>
      <c r="AB157" s="417"/>
      <c r="AC157" s="417"/>
      <c r="AD157" s="417"/>
      <c r="AE157" s="417"/>
      <c r="AF157" s="417"/>
      <c r="AG157" s="417"/>
      <c r="AH157" s="417"/>
      <c r="AI157" s="417"/>
      <c r="AJ157" s="417"/>
      <c r="AK157" s="400">
        <f ca="1">SUM(Y157:OFFSET(Y157,0,$F$2-1))</f>
        <v>0</v>
      </c>
      <c r="AL157" s="121" t="s">
        <v>280</v>
      </c>
      <c r="AM157" s="121"/>
      <c r="AN157" s="400"/>
      <c r="AO157" s="400"/>
    </row>
    <row r="158" spans="2:41">
      <c r="B158" s="121"/>
      <c r="C158" s="121"/>
      <c r="D158" s="121"/>
      <c r="F158" s="441" t="s">
        <v>1216</v>
      </c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400"/>
      <c r="T158" s="436"/>
      <c r="U158" s="436"/>
      <c r="V158" s="436"/>
      <c r="W158" s="436"/>
      <c r="X158" s="402"/>
      <c r="Y158" s="417"/>
      <c r="Z158" s="417"/>
      <c r="AA158" s="417"/>
      <c r="AB158" s="417"/>
      <c r="AC158" s="417"/>
      <c r="AD158" s="417"/>
      <c r="AE158" s="417"/>
      <c r="AF158" s="417"/>
      <c r="AG158" s="417"/>
      <c r="AH158" s="417"/>
      <c r="AI158" s="417"/>
      <c r="AJ158" s="417"/>
      <c r="AK158" s="400"/>
      <c r="AL158" s="400"/>
      <c r="AM158" s="400"/>
      <c r="AN158" s="400"/>
      <c r="AO158" s="400"/>
    </row>
    <row r="159" spans="2:41">
      <c r="B159" s="121" t="s">
        <v>1217</v>
      </c>
      <c r="C159" s="121" t="s">
        <v>1153</v>
      </c>
      <c r="D159" s="121" t="s">
        <v>16</v>
      </c>
      <c r="F159" s="118" t="s">
        <v>16</v>
      </c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400"/>
      <c r="T159" s="436"/>
      <c r="U159" s="436"/>
      <c r="V159" s="436"/>
      <c r="W159" s="436"/>
      <c r="X159" s="402"/>
      <c r="Y159" s="417">
        <v>0</v>
      </c>
      <c r="Z159" s="417">
        <v>0</v>
      </c>
      <c r="AA159" s="417">
        <v>0</v>
      </c>
      <c r="AB159" s="417">
        <v>0</v>
      </c>
      <c r="AC159" s="417">
        <v>0</v>
      </c>
      <c r="AD159" s="417">
        <v>0</v>
      </c>
      <c r="AE159" s="417">
        <v>0</v>
      </c>
      <c r="AF159" s="417">
        <v>0</v>
      </c>
      <c r="AG159" s="417">
        <v>0</v>
      </c>
      <c r="AH159" s="417">
        <v>0</v>
      </c>
      <c r="AI159" s="417">
        <v>0</v>
      </c>
      <c r="AJ159" s="417">
        <v>0</v>
      </c>
      <c r="AK159" s="400"/>
      <c r="AL159" s="400"/>
      <c r="AM159" s="400"/>
      <c r="AN159" s="400"/>
      <c r="AO159" s="400"/>
    </row>
    <row r="160" spans="2:41">
      <c r="B160" s="121" t="s">
        <v>1218</v>
      </c>
      <c r="C160" s="121" t="s">
        <v>1153</v>
      </c>
      <c r="D160" s="121" t="s">
        <v>17</v>
      </c>
      <c r="F160" s="118" t="s">
        <v>17</v>
      </c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400"/>
      <c r="T160" s="436"/>
      <c r="U160" s="436"/>
      <c r="V160" s="436"/>
      <c r="W160" s="436"/>
      <c r="X160" s="402"/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v>0</v>
      </c>
      <c r="AF160" s="417">
        <v>0</v>
      </c>
      <c r="AG160" s="417">
        <v>0</v>
      </c>
      <c r="AH160" s="417">
        <v>0</v>
      </c>
      <c r="AI160" s="417">
        <v>0</v>
      </c>
      <c r="AJ160" s="417">
        <v>0</v>
      </c>
      <c r="AK160" s="400"/>
      <c r="AL160" s="400"/>
      <c r="AM160" s="400"/>
      <c r="AN160" s="400"/>
      <c r="AO160" s="400"/>
    </row>
    <row r="161" spans="2:41">
      <c r="B161" s="121"/>
      <c r="C161" s="121" t="s">
        <v>1219</v>
      </c>
      <c r="D161" s="121" t="s">
        <v>13</v>
      </c>
      <c r="F161" s="118" t="s">
        <v>13</v>
      </c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400"/>
      <c r="T161" s="436"/>
      <c r="U161" s="436"/>
      <c r="V161" s="436"/>
      <c r="W161" s="436"/>
      <c r="X161" s="402"/>
      <c r="Y161" s="417">
        <v>0</v>
      </c>
      <c r="Z161" s="417">
        <v>0</v>
      </c>
      <c r="AA161" s="417">
        <v>0</v>
      </c>
      <c r="AB161" s="417">
        <v>0</v>
      </c>
      <c r="AC161" s="417">
        <v>0</v>
      </c>
      <c r="AD161" s="417">
        <v>0</v>
      </c>
      <c r="AE161" s="417">
        <v>0</v>
      </c>
      <c r="AF161" s="417">
        <v>0</v>
      </c>
      <c r="AG161" s="417">
        <v>0</v>
      </c>
      <c r="AH161" s="417">
        <v>0</v>
      </c>
      <c r="AI161" s="417">
        <v>0</v>
      </c>
      <c r="AJ161" s="417">
        <v>0</v>
      </c>
      <c r="AK161" s="400"/>
      <c r="AL161" s="400"/>
      <c r="AM161" s="400"/>
      <c r="AN161" s="400"/>
      <c r="AO161" s="400"/>
    </row>
    <row r="162" spans="2:41">
      <c r="B162" s="121"/>
      <c r="C162" s="121" t="s">
        <v>1219</v>
      </c>
      <c r="D162" s="121" t="s">
        <v>14</v>
      </c>
      <c r="F162" s="118" t="s">
        <v>14</v>
      </c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400"/>
      <c r="T162" s="436"/>
      <c r="U162" s="436"/>
      <c r="V162" s="436"/>
      <c r="W162" s="436"/>
      <c r="X162" s="402"/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v>0</v>
      </c>
      <c r="AF162" s="417">
        <v>0</v>
      </c>
      <c r="AG162" s="417">
        <v>0</v>
      </c>
      <c r="AH162" s="417">
        <v>0</v>
      </c>
      <c r="AI162" s="417">
        <v>0</v>
      </c>
      <c r="AJ162" s="417">
        <v>0</v>
      </c>
      <c r="AK162" s="400"/>
      <c r="AL162" s="400"/>
      <c r="AM162" s="400"/>
      <c r="AN162" s="400"/>
      <c r="AO162" s="400"/>
    </row>
    <row r="163" spans="2:41">
      <c r="B163" s="121"/>
      <c r="C163" s="121"/>
      <c r="D163" s="121" t="s">
        <v>1143</v>
      </c>
      <c r="F163" s="434" t="s">
        <v>271</v>
      </c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60">
        <f ca="1">SUM(G163:OFFSET(G163,0,$F$2-1))</f>
        <v>0</v>
      </c>
      <c r="T163" s="436">
        <f t="shared" si="56"/>
        <v>0</v>
      </c>
      <c r="U163" s="436">
        <f t="shared" si="57"/>
        <v>0</v>
      </c>
      <c r="V163" s="436">
        <f t="shared" si="58"/>
        <v>0</v>
      </c>
      <c r="W163" s="436">
        <f t="shared" si="59"/>
        <v>0</v>
      </c>
      <c r="X163" s="161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0"/>
      <c r="AL163" s="160"/>
      <c r="AM163" s="160"/>
      <c r="AN163" s="160"/>
      <c r="AO163" s="160"/>
    </row>
    <row r="164" spans="2:41">
      <c r="B164" s="121" t="s">
        <v>1220</v>
      </c>
      <c r="C164" s="121" t="s">
        <v>18</v>
      </c>
      <c r="D164" s="121" t="s">
        <v>16</v>
      </c>
      <c r="F164" s="118" t="s">
        <v>16</v>
      </c>
      <c r="G164" s="158">
        <v>17513</v>
      </c>
      <c r="H164" s="158">
        <v>15033</v>
      </c>
      <c r="I164" s="158">
        <v>12022</v>
      </c>
      <c r="J164" s="158">
        <v>9483</v>
      </c>
      <c r="K164" s="158">
        <v>11436</v>
      </c>
      <c r="L164" s="158">
        <v>9748</v>
      </c>
      <c r="M164" s="158">
        <v>9939</v>
      </c>
      <c r="N164" s="158">
        <v>9011</v>
      </c>
      <c r="O164" s="158">
        <v>9626</v>
      </c>
      <c r="P164" s="158">
        <v>10574</v>
      </c>
      <c r="Q164" s="158">
        <v>13878</v>
      </c>
      <c r="R164" s="438">
        <v>19901</v>
      </c>
      <c r="S164" s="160">
        <f ca="1">SUM(G164:OFFSET(G164,0,$F$2-1))</f>
        <v>148164</v>
      </c>
      <c r="T164" s="436">
        <f t="shared" si="56"/>
        <v>44568</v>
      </c>
      <c r="U164" s="436">
        <f t="shared" si="57"/>
        <v>30667</v>
      </c>
      <c r="V164" s="436">
        <f t="shared" si="58"/>
        <v>28576</v>
      </c>
      <c r="W164" s="436">
        <f t="shared" si="59"/>
        <v>44353</v>
      </c>
      <c r="X164" s="439"/>
      <c r="Y164" s="162">
        <v>25516</v>
      </c>
      <c r="Z164" s="162">
        <v>21016</v>
      </c>
      <c r="AA164" s="667">
        <v>18838</v>
      </c>
      <c r="AB164" s="667">
        <v>25182.5</v>
      </c>
      <c r="AC164" s="667">
        <v>16223</v>
      </c>
      <c r="AD164" s="667">
        <v>12483</v>
      </c>
      <c r="AE164" s="667">
        <v>12528</v>
      </c>
      <c r="AF164" s="162">
        <v>10596</v>
      </c>
      <c r="AG164" s="162">
        <v>12485</v>
      </c>
      <c r="AH164" s="162">
        <v>11289</v>
      </c>
      <c r="AI164" s="162">
        <v>13070</v>
      </c>
      <c r="AJ164" s="440">
        <v>17841.100000004655</v>
      </c>
      <c r="AK164" s="160">
        <f ca="1">SUM(Y164:OFFSET(Y164,0,$F$2-1))</f>
        <v>197067.60000000466</v>
      </c>
      <c r="AL164" s="160"/>
      <c r="AM164" s="160"/>
      <c r="AN164" s="160"/>
      <c r="AO164" s="160"/>
    </row>
    <row r="165" spans="2:41">
      <c r="B165" s="121" t="s">
        <v>1221</v>
      </c>
      <c r="C165" s="121" t="s">
        <v>18</v>
      </c>
      <c r="D165" s="121" t="s">
        <v>17</v>
      </c>
      <c r="F165" s="118" t="s">
        <v>17</v>
      </c>
      <c r="G165" s="158">
        <v>3459</v>
      </c>
      <c r="H165" s="158">
        <v>3261</v>
      </c>
      <c r="I165" s="158">
        <v>3370</v>
      </c>
      <c r="J165" s="158">
        <v>2948</v>
      </c>
      <c r="K165" s="158">
        <v>3028</v>
      </c>
      <c r="L165" s="158">
        <v>2870</v>
      </c>
      <c r="M165" s="158">
        <v>2904</v>
      </c>
      <c r="N165" s="158">
        <v>3002</v>
      </c>
      <c r="O165" s="158">
        <v>2913</v>
      </c>
      <c r="P165" s="158">
        <v>3066</v>
      </c>
      <c r="Q165" s="158">
        <v>3021</v>
      </c>
      <c r="R165" s="158">
        <v>3509</v>
      </c>
      <c r="S165" s="160">
        <f ca="1">SUM(G165:OFFSET(G165,0,$F$2-1))</f>
        <v>37351</v>
      </c>
      <c r="T165" s="436">
        <f t="shared" si="56"/>
        <v>10090</v>
      </c>
      <c r="U165" s="436">
        <f t="shared" si="57"/>
        <v>8846</v>
      </c>
      <c r="V165" s="436">
        <f t="shared" si="58"/>
        <v>8819</v>
      </c>
      <c r="W165" s="436">
        <f t="shared" si="59"/>
        <v>9596</v>
      </c>
      <c r="X165" s="161"/>
      <c r="Y165" s="162">
        <v>4745</v>
      </c>
      <c r="Z165" s="162">
        <v>4172</v>
      </c>
      <c r="AA165" s="667">
        <v>4501</v>
      </c>
      <c r="AB165" s="667">
        <v>4333</v>
      </c>
      <c r="AC165" s="667">
        <v>4020</v>
      </c>
      <c r="AD165" s="667">
        <v>3701</v>
      </c>
      <c r="AE165" s="667">
        <v>3891</v>
      </c>
      <c r="AF165" s="162">
        <v>3807</v>
      </c>
      <c r="AG165" s="162">
        <v>1483</v>
      </c>
      <c r="AH165" s="162">
        <v>4045</v>
      </c>
      <c r="AI165" s="162">
        <v>4516</v>
      </c>
      <c r="AJ165" s="162">
        <v>4541.6499999997486</v>
      </c>
      <c r="AK165" s="160">
        <f ca="1">SUM(Y165:OFFSET(Y165,0,$F$2-1))</f>
        <v>47755.649999999747</v>
      </c>
      <c r="AL165" s="160"/>
      <c r="AM165" s="160"/>
      <c r="AN165" s="160"/>
      <c r="AO165" s="160"/>
    </row>
    <row r="166" spans="2:41">
      <c r="B166" s="121" t="s">
        <v>1222</v>
      </c>
      <c r="C166" s="121" t="s">
        <v>18</v>
      </c>
      <c r="D166" s="121" t="s">
        <v>13</v>
      </c>
      <c r="F166" s="118" t="s">
        <v>13</v>
      </c>
      <c r="G166" s="158">
        <v>13</v>
      </c>
      <c r="H166" s="158">
        <v>11</v>
      </c>
      <c r="I166" s="158">
        <v>10</v>
      </c>
      <c r="J166" s="158">
        <v>10</v>
      </c>
      <c r="K166" s="158">
        <v>11</v>
      </c>
      <c r="L166" s="158">
        <v>10</v>
      </c>
      <c r="M166" s="158">
        <v>10</v>
      </c>
      <c r="N166" s="158">
        <v>9</v>
      </c>
      <c r="O166" s="158">
        <v>10</v>
      </c>
      <c r="P166" s="158">
        <v>10</v>
      </c>
      <c r="Q166" s="158">
        <v>11</v>
      </c>
      <c r="R166" s="158">
        <v>12</v>
      </c>
      <c r="S166" s="400">
        <f ca="1">SUM(G166:OFFSET(G166,0,$F$2-1))</f>
        <v>127</v>
      </c>
      <c r="T166" s="436">
        <f t="shared" si="56"/>
        <v>34</v>
      </c>
      <c r="U166" s="436">
        <f t="shared" si="57"/>
        <v>31</v>
      </c>
      <c r="V166" s="436">
        <f t="shared" si="58"/>
        <v>29</v>
      </c>
      <c r="W166" s="436">
        <f t="shared" si="59"/>
        <v>33</v>
      </c>
      <c r="X166" s="161"/>
      <c r="Y166" s="162">
        <v>15</v>
      </c>
      <c r="Z166" s="162">
        <v>13</v>
      </c>
      <c r="AA166" s="667">
        <v>13</v>
      </c>
      <c r="AB166" s="667">
        <v>12</v>
      </c>
      <c r="AC166" s="667">
        <v>12</v>
      </c>
      <c r="AD166" s="667">
        <v>12</v>
      </c>
      <c r="AE166" s="667">
        <v>13</v>
      </c>
      <c r="AF166" s="162">
        <v>11</v>
      </c>
      <c r="AG166" s="162">
        <v>12</v>
      </c>
      <c r="AH166" s="162">
        <v>12</v>
      </c>
      <c r="AI166" s="162">
        <v>11</v>
      </c>
      <c r="AJ166" s="162">
        <v>15.340000000000344</v>
      </c>
      <c r="AK166" s="400">
        <f ca="1">SUM(Y166:OFFSET(Y166,0,$F$2-1))</f>
        <v>151.34000000000034</v>
      </c>
      <c r="AL166" s="400"/>
      <c r="AM166" s="400"/>
      <c r="AN166" s="400"/>
      <c r="AO166" s="400"/>
    </row>
    <row r="167" spans="2:41">
      <c r="B167" s="121" t="s">
        <v>1223</v>
      </c>
      <c r="C167" s="121" t="s">
        <v>18</v>
      </c>
      <c r="D167" s="121" t="s">
        <v>14</v>
      </c>
      <c r="F167" s="118" t="s">
        <v>14</v>
      </c>
      <c r="G167" s="158">
        <v>-665</v>
      </c>
      <c r="H167" s="158">
        <v>-805</v>
      </c>
      <c r="I167" s="158">
        <v>67</v>
      </c>
      <c r="J167" s="158">
        <v>332</v>
      </c>
      <c r="K167" s="158">
        <v>51</v>
      </c>
      <c r="L167" s="158">
        <v>42</v>
      </c>
      <c r="M167" s="158">
        <v>1384</v>
      </c>
      <c r="N167" s="158">
        <v>37</v>
      </c>
      <c r="O167" s="158">
        <v>45</v>
      </c>
      <c r="P167" s="158">
        <v>52</v>
      </c>
      <c r="Q167" s="158">
        <v>61</v>
      </c>
      <c r="R167" s="158">
        <v>103</v>
      </c>
      <c r="S167" s="400">
        <f ca="1">SUM(G167:OFFSET(G167,0,$F$2-1))</f>
        <v>704</v>
      </c>
      <c r="T167" s="436">
        <f t="shared" si="56"/>
        <v>-1403</v>
      </c>
      <c r="U167" s="436">
        <f t="shared" si="57"/>
        <v>425</v>
      </c>
      <c r="V167" s="436">
        <f t="shared" si="58"/>
        <v>1466</v>
      </c>
      <c r="W167" s="436">
        <f t="shared" si="59"/>
        <v>216</v>
      </c>
      <c r="X167" s="161"/>
      <c r="Y167" s="162">
        <v>116</v>
      </c>
      <c r="Z167" s="162">
        <v>107</v>
      </c>
      <c r="AA167" s="162">
        <v>82</v>
      </c>
      <c r="AB167" s="162">
        <v>81</v>
      </c>
      <c r="AC167" s="162">
        <v>22</v>
      </c>
      <c r="AD167" s="162">
        <v>46</v>
      </c>
      <c r="AE167" s="162">
        <v>31</v>
      </c>
      <c r="AF167" s="162">
        <v>33</v>
      </c>
      <c r="AG167" s="162">
        <v>34</v>
      </c>
      <c r="AH167" s="162">
        <v>29</v>
      </c>
      <c r="AI167" s="162">
        <v>41</v>
      </c>
      <c r="AJ167" s="162">
        <v>71.770000000000039</v>
      </c>
      <c r="AK167" s="400">
        <f ca="1">SUM(Y167:OFFSET(Y167,0,$F$2-1))</f>
        <v>693.77</v>
      </c>
      <c r="AL167" s="400"/>
      <c r="AM167" s="400"/>
      <c r="AN167" s="400"/>
      <c r="AO167" s="400"/>
    </row>
    <row r="168" spans="2:41">
      <c r="B168" s="121"/>
      <c r="C168" s="121"/>
      <c r="D168" s="121" t="s">
        <v>1143</v>
      </c>
      <c r="F168" s="434" t="s">
        <v>24</v>
      </c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400">
        <f ca="1">SUM(G168:OFFSET(G168,0,$F$2-1))</f>
        <v>0</v>
      </c>
      <c r="T168" s="436">
        <f t="shared" si="56"/>
        <v>0</v>
      </c>
      <c r="U168" s="436">
        <f t="shared" si="57"/>
        <v>0</v>
      </c>
      <c r="V168" s="436">
        <f t="shared" si="58"/>
        <v>0</v>
      </c>
      <c r="W168" s="436">
        <f t="shared" si="59"/>
        <v>0</v>
      </c>
      <c r="X168" s="161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400"/>
      <c r="AL168" s="400"/>
      <c r="AM168" s="400"/>
      <c r="AN168" s="400"/>
      <c r="AO168" s="400"/>
    </row>
    <row r="169" spans="2:41">
      <c r="B169" s="121" t="s">
        <v>1224</v>
      </c>
      <c r="C169" s="121" t="s">
        <v>18</v>
      </c>
      <c r="D169" s="121" t="s">
        <v>16</v>
      </c>
      <c r="F169" s="118" t="s">
        <v>16</v>
      </c>
      <c r="G169" s="158">
        <v>-11665</v>
      </c>
      <c r="H169" s="158">
        <v>-17556</v>
      </c>
      <c r="I169" s="158">
        <v>-14247</v>
      </c>
      <c r="J169" s="158">
        <v>-9748</v>
      </c>
      <c r="K169" s="158">
        <v>-11477</v>
      </c>
      <c r="L169" s="158">
        <v>-7143.92</v>
      </c>
      <c r="M169" s="158">
        <v>-8734.5499999999993</v>
      </c>
      <c r="N169" s="158">
        <v>-10224.459999999999</v>
      </c>
      <c r="O169" s="158">
        <v>-11511.17</v>
      </c>
      <c r="P169" s="158">
        <v>-11525.88</v>
      </c>
      <c r="Q169" s="158">
        <v>-15204.76</v>
      </c>
      <c r="R169" s="158">
        <v>-14591.58</v>
      </c>
      <c r="S169" s="400">
        <f ca="1">SUM(G169:OFFSET(G169,0,$F$2-1))</f>
        <v>-143629.31999999998</v>
      </c>
      <c r="T169" s="436">
        <f t="shared" si="56"/>
        <v>-43468</v>
      </c>
      <c r="U169" s="436">
        <f t="shared" si="57"/>
        <v>-28368.92</v>
      </c>
      <c r="V169" s="436">
        <f t="shared" si="58"/>
        <v>-30470.18</v>
      </c>
      <c r="W169" s="436">
        <f t="shared" si="59"/>
        <v>-41322.22</v>
      </c>
      <c r="X169" s="161"/>
      <c r="Y169" s="162">
        <v>-20106.560000000001</v>
      </c>
      <c r="Z169" s="162">
        <v>-19844.66</v>
      </c>
      <c r="AA169" s="162">
        <v>-17120.47</v>
      </c>
      <c r="AB169" s="162">
        <v>292545.93999999994</v>
      </c>
      <c r="AC169" s="162">
        <v>-14524.25</v>
      </c>
      <c r="AD169" s="162">
        <v>-11237.96</v>
      </c>
      <c r="AE169" s="162">
        <v>-12119.05</v>
      </c>
      <c r="AF169" s="162">
        <v>-13219.29</v>
      </c>
      <c r="AG169" s="162">
        <v>-117614.23999999999</v>
      </c>
      <c r="AH169" s="162">
        <f>242959.33-272365</f>
        <v>-29405.670000000013</v>
      </c>
      <c r="AI169" s="162">
        <v>-27292.91</v>
      </c>
      <c r="AJ169" s="162">
        <v>-29079</v>
      </c>
      <c r="AK169" s="400">
        <f ca="1">SUM(Y169:OFFSET(Y169,0,$F$2-1))</f>
        <v>-19018.12000000005</v>
      </c>
      <c r="AL169" s="400"/>
      <c r="AM169" s="400"/>
      <c r="AN169" s="400"/>
      <c r="AO169" s="400"/>
    </row>
    <row r="170" spans="2:41">
      <c r="B170" s="121" t="s">
        <v>1225</v>
      </c>
      <c r="C170" s="121" t="s">
        <v>18</v>
      </c>
      <c r="D170" s="121" t="s">
        <v>17</v>
      </c>
      <c r="F170" s="118" t="s">
        <v>17</v>
      </c>
      <c r="G170" s="158">
        <v>-18626</v>
      </c>
      <c r="H170" s="158">
        <v>-6870</v>
      </c>
      <c r="I170" s="158">
        <v>-6414</v>
      </c>
      <c r="J170" s="158">
        <v>-6860</v>
      </c>
      <c r="K170" s="158">
        <v>-6446</v>
      </c>
      <c r="L170" s="158">
        <v>-5033.3999999999996</v>
      </c>
      <c r="M170" s="158">
        <v>-6158.59</v>
      </c>
      <c r="N170" s="158">
        <v>-6357.24</v>
      </c>
      <c r="O170" s="158">
        <v>-8147.03</v>
      </c>
      <c r="P170" s="158">
        <v>-6405.8</v>
      </c>
      <c r="Q170" s="158">
        <v>-6865.72</v>
      </c>
      <c r="R170" s="158">
        <v>-2356.21</v>
      </c>
      <c r="S170" s="400">
        <f ca="1">SUM(G170:OFFSET(G170,0,$F$2-1))</f>
        <v>-86539.99000000002</v>
      </c>
      <c r="T170" s="436">
        <f t="shared" si="56"/>
        <v>-31910</v>
      </c>
      <c r="U170" s="436">
        <f t="shared" si="57"/>
        <v>-18339.400000000001</v>
      </c>
      <c r="V170" s="436">
        <f t="shared" si="58"/>
        <v>-20662.86</v>
      </c>
      <c r="W170" s="436">
        <f t="shared" si="59"/>
        <v>-15627.73</v>
      </c>
      <c r="X170" s="161"/>
      <c r="Y170" s="162">
        <v>-6388.36</v>
      </c>
      <c r="Z170" s="162">
        <v>-5493.43</v>
      </c>
      <c r="AA170" s="162">
        <v>-8865.5400000000009</v>
      </c>
      <c r="AB170" s="162">
        <v>142928.90000000002</v>
      </c>
      <c r="AC170" s="162">
        <v>-5452.46</v>
      </c>
      <c r="AD170" s="162">
        <v>-4986.6400000000003</v>
      </c>
      <c r="AE170" s="162">
        <v>-7320.88</v>
      </c>
      <c r="AF170" s="162">
        <v>-6537.94</v>
      </c>
      <c r="AG170" s="162">
        <v>-47784.87</v>
      </c>
      <c r="AH170" s="162">
        <f>101733.82-114220</f>
        <v>-12486.179999999993</v>
      </c>
      <c r="AI170" s="162">
        <v>-7844.42</v>
      </c>
      <c r="AJ170" s="162">
        <v>-11007.12</v>
      </c>
      <c r="AK170" s="400">
        <f ca="1">SUM(Y170:OFFSET(Y170,0,$F$2-1))</f>
        <v>18761.060000000012</v>
      </c>
      <c r="AL170" s="400"/>
      <c r="AM170" s="400"/>
      <c r="AN170" s="400"/>
      <c r="AO170" s="400"/>
    </row>
    <row r="171" spans="2:41">
      <c r="B171" s="121" t="s">
        <v>1226</v>
      </c>
      <c r="C171" s="121" t="s">
        <v>18</v>
      </c>
      <c r="D171" s="121" t="s">
        <v>13</v>
      </c>
      <c r="F171" s="118" t="s">
        <v>13</v>
      </c>
      <c r="G171" s="158">
        <v>0</v>
      </c>
      <c r="H171" s="158">
        <v>0</v>
      </c>
      <c r="I171" s="158">
        <v>0</v>
      </c>
      <c r="J171" s="158">
        <v>0</v>
      </c>
      <c r="K171" s="158">
        <v>0</v>
      </c>
      <c r="L171" s="158">
        <v>0</v>
      </c>
      <c r="M171" s="158">
        <v>0</v>
      </c>
      <c r="N171" s="158">
        <v>0</v>
      </c>
      <c r="O171" s="158">
        <v>0</v>
      </c>
      <c r="P171" s="158">
        <v>0</v>
      </c>
      <c r="Q171" s="158">
        <v>0</v>
      </c>
      <c r="R171" s="158">
        <v>0</v>
      </c>
      <c r="S171" s="400">
        <f ca="1">SUM(G171:OFFSET(G171,0,$F$2-1))</f>
        <v>0</v>
      </c>
      <c r="T171" s="436">
        <f t="shared" si="56"/>
        <v>0</v>
      </c>
      <c r="U171" s="436">
        <f t="shared" si="57"/>
        <v>0</v>
      </c>
      <c r="V171" s="436">
        <f t="shared" si="58"/>
        <v>0</v>
      </c>
      <c r="W171" s="436">
        <f t="shared" si="59"/>
        <v>0</v>
      </c>
      <c r="X171" s="161"/>
      <c r="Y171" s="162">
        <v>0</v>
      </c>
      <c r="Z171" s="162">
        <v>0</v>
      </c>
      <c r="AA171" s="162">
        <v>0</v>
      </c>
      <c r="AB171" s="162">
        <v>0</v>
      </c>
      <c r="AC171" s="162">
        <v>0</v>
      </c>
      <c r="AD171" s="162">
        <v>0</v>
      </c>
      <c r="AE171" s="162">
        <v>0</v>
      </c>
      <c r="AF171" s="162">
        <v>0</v>
      </c>
      <c r="AG171" s="162">
        <v>0</v>
      </c>
      <c r="AH171" s="162">
        <v>0</v>
      </c>
      <c r="AI171" s="162">
        <v>0</v>
      </c>
      <c r="AJ171" s="162">
        <v>0</v>
      </c>
      <c r="AK171" s="400">
        <f ca="1">SUM(Y171:OFFSET(Y171,0,$F$2-1))</f>
        <v>0</v>
      </c>
      <c r="AL171" s="400"/>
      <c r="AM171" s="400"/>
      <c r="AN171" s="400"/>
      <c r="AO171" s="400"/>
    </row>
    <row r="172" spans="2:41">
      <c r="B172" s="121" t="s">
        <v>1227</v>
      </c>
      <c r="C172" s="121" t="s">
        <v>18</v>
      </c>
      <c r="D172" s="121" t="s">
        <v>14</v>
      </c>
      <c r="F172" s="118" t="s">
        <v>14</v>
      </c>
      <c r="G172" s="158">
        <v>0</v>
      </c>
      <c r="H172" s="158">
        <v>0</v>
      </c>
      <c r="I172" s="158">
        <v>0</v>
      </c>
      <c r="J172" s="158">
        <v>0</v>
      </c>
      <c r="K172" s="158">
        <v>0</v>
      </c>
      <c r="L172" s="158">
        <v>0</v>
      </c>
      <c r="M172" s="158">
        <v>0</v>
      </c>
      <c r="N172" s="158">
        <v>0</v>
      </c>
      <c r="O172" s="158">
        <v>0</v>
      </c>
      <c r="P172" s="158">
        <v>0</v>
      </c>
      <c r="Q172" s="158">
        <v>0</v>
      </c>
      <c r="R172" s="158">
        <v>0</v>
      </c>
      <c r="S172" s="400">
        <f ca="1">SUM(G172:OFFSET(G172,0,$F$2-1))</f>
        <v>0</v>
      </c>
      <c r="T172" s="436">
        <f t="shared" si="56"/>
        <v>0</v>
      </c>
      <c r="U172" s="436">
        <f t="shared" si="57"/>
        <v>0</v>
      </c>
      <c r="V172" s="436">
        <f t="shared" si="58"/>
        <v>0</v>
      </c>
      <c r="W172" s="436">
        <f t="shared" si="59"/>
        <v>0</v>
      </c>
      <c r="X172" s="161"/>
      <c r="Y172" s="162">
        <v>-23.71</v>
      </c>
      <c r="Z172" s="162">
        <v>-66.14</v>
      </c>
      <c r="AA172" s="162">
        <v>-1.6800000000000002</v>
      </c>
      <c r="AB172" s="162">
        <v>-9.44</v>
      </c>
      <c r="AC172" s="162">
        <v>-10.92</v>
      </c>
      <c r="AD172" s="162">
        <v>20.34</v>
      </c>
      <c r="AE172" s="162">
        <v>16.43</v>
      </c>
      <c r="AF172" s="162">
        <v>75.12</v>
      </c>
      <c r="AG172" s="162">
        <v>0</v>
      </c>
      <c r="AH172" s="162">
        <v>0</v>
      </c>
      <c r="AI172" s="162">
        <v>-17.75</v>
      </c>
      <c r="AJ172" s="162">
        <v>-73.09</v>
      </c>
      <c r="AK172" s="400">
        <f ca="1">SUM(Y172:OFFSET(Y172,0,$F$2-1))</f>
        <v>-90.84</v>
      </c>
      <c r="AL172" s="400"/>
      <c r="AM172" s="400"/>
      <c r="AN172" s="400"/>
      <c r="AO172" s="400"/>
    </row>
    <row r="173" spans="2:41">
      <c r="B173" s="121"/>
      <c r="C173" s="121"/>
      <c r="D173" s="121" t="s">
        <v>1143</v>
      </c>
      <c r="F173" s="424" t="s">
        <v>272</v>
      </c>
      <c r="G173" s="425">
        <f t="shared" ref="G173:R173" si="60">SUM(G134:G172)</f>
        <v>1372329</v>
      </c>
      <c r="H173" s="425">
        <f t="shared" si="60"/>
        <v>1421901</v>
      </c>
      <c r="I173" s="425">
        <f t="shared" si="60"/>
        <v>2015593</v>
      </c>
      <c r="J173" s="425">
        <f t="shared" si="60"/>
        <v>1111257</v>
      </c>
      <c r="K173" s="425">
        <f t="shared" si="60"/>
        <v>1315034</v>
      </c>
      <c r="L173" s="425">
        <f t="shared" si="60"/>
        <v>1380307.8100000003</v>
      </c>
      <c r="M173" s="425">
        <f t="shared" si="60"/>
        <v>1302177.8899999999</v>
      </c>
      <c r="N173" s="425">
        <f t="shared" si="60"/>
        <v>1465895.1300000001</v>
      </c>
      <c r="O173" s="425">
        <f t="shared" si="60"/>
        <v>1530007.2699999998</v>
      </c>
      <c r="P173" s="425">
        <f t="shared" si="60"/>
        <v>1688229.1600000001</v>
      </c>
      <c r="Q173" s="425">
        <f t="shared" si="60"/>
        <v>1624183.2</v>
      </c>
      <c r="R173" s="425">
        <f t="shared" si="60"/>
        <v>1750404.08</v>
      </c>
      <c r="S173" s="425">
        <f ca="1">SUM(S134:S172)</f>
        <v>17977318.539999999</v>
      </c>
      <c r="T173" s="425">
        <f>SUM(T134:T172)</f>
        <v>4809823</v>
      </c>
      <c r="U173" s="425">
        <f>SUM(U134:U172)</f>
        <v>3806598.810000001</v>
      </c>
      <c r="V173" s="425">
        <f>SUM(V134:V172)</f>
        <v>4298080.29</v>
      </c>
      <c r="W173" s="425">
        <f>SUM(W134:W172)</f>
        <v>5062816.4400000004</v>
      </c>
      <c r="X173" s="161"/>
      <c r="Y173" s="442">
        <f t="shared" ref="Y173:AJ173" si="61">SUM(Y134:Y172)</f>
        <v>1423190.9999999998</v>
      </c>
      <c r="Z173" s="442">
        <f t="shared" si="61"/>
        <v>1656872.8000000005</v>
      </c>
      <c r="AA173" s="442">
        <f t="shared" si="61"/>
        <v>1668186.1800000002</v>
      </c>
      <c r="AB173" s="442">
        <f t="shared" si="61"/>
        <v>1979294.7200000002</v>
      </c>
      <c r="AC173" s="442">
        <f t="shared" si="61"/>
        <v>1618918.39</v>
      </c>
      <c r="AD173" s="442">
        <f t="shared" si="61"/>
        <v>1634700.4500000004</v>
      </c>
      <c r="AE173" s="442">
        <f t="shared" si="61"/>
        <v>1638218.4600000002</v>
      </c>
      <c r="AF173" s="442">
        <f t="shared" si="61"/>
        <v>1853721.06</v>
      </c>
      <c r="AG173" s="442">
        <f>SUM(AG134:AG172)</f>
        <v>1426501.2399999998</v>
      </c>
      <c r="AH173" s="442">
        <f t="shared" si="61"/>
        <v>1983372.07</v>
      </c>
      <c r="AI173" s="442">
        <f t="shared" si="61"/>
        <v>2054567.06</v>
      </c>
      <c r="AJ173" s="442">
        <f t="shared" si="61"/>
        <v>1750579.4100000043</v>
      </c>
      <c r="AK173" s="425">
        <f ca="1">SUM(AK134:AK172)</f>
        <v>20688122.839999996</v>
      </c>
      <c r="AL173" s="425"/>
      <c r="AM173" s="425"/>
      <c r="AN173" s="425"/>
      <c r="AO173" s="425"/>
    </row>
    <row r="174" spans="2:41">
      <c r="B174" s="121"/>
      <c r="C174" s="121"/>
      <c r="D174" s="121" t="s">
        <v>1143</v>
      </c>
      <c r="F174" s="324" t="s">
        <v>273</v>
      </c>
      <c r="G174" s="425">
        <f t="shared" ref="G174:R174" si="62">+G104+G115+G173</f>
        <v>7303773.3749999879</v>
      </c>
      <c r="H174" s="425">
        <f t="shared" si="62"/>
        <v>7024762.6000000099</v>
      </c>
      <c r="I174" s="425">
        <f t="shared" si="62"/>
        <v>7441239.2699999753</v>
      </c>
      <c r="J174" s="425">
        <f t="shared" si="62"/>
        <v>5871804.6099999631</v>
      </c>
      <c r="K174" s="425">
        <f t="shared" si="62"/>
        <v>6028328.2399999741</v>
      </c>
      <c r="L174" s="425">
        <f t="shared" si="62"/>
        <v>5901105.1999999974</v>
      </c>
      <c r="M174" s="425">
        <f t="shared" si="62"/>
        <v>5872823.0800000001</v>
      </c>
      <c r="N174" s="425">
        <f t="shared" si="62"/>
        <v>5968085.769999993</v>
      </c>
      <c r="O174" s="425">
        <f t="shared" si="62"/>
        <v>5991493.0799999945</v>
      </c>
      <c r="P174" s="425">
        <f t="shared" si="62"/>
        <v>6293461.72000001</v>
      </c>
      <c r="Q174" s="425">
        <f t="shared" si="62"/>
        <v>6558316.609999991</v>
      </c>
      <c r="R174" s="425">
        <f t="shared" si="62"/>
        <v>7548269.7099999813</v>
      </c>
      <c r="S174" s="425">
        <f ca="1">SUM(S130,S173)</f>
        <v>77803463.264999866</v>
      </c>
      <c r="T174" s="425">
        <f>SUM(T130,T173)</f>
        <v>21769775.244999979</v>
      </c>
      <c r="U174" s="425">
        <f>SUM(U130,U173)</f>
        <v>17801238.049999934</v>
      </c>
      <c r="V174" s="425">
        <f>SUM(V130,V173)</f>
        <v>17832401.929999989</v>
      </c>
      <c r="W174" s="425">
        <f>SUM(W130,W173)</f>
        <v>20400048.039999977</v>
      </c>
      <c r="X174" s="408"/>
      <c r="Y174" s="425">
        <f t="shared" ref="Y174:AJ174" si="63">+Y104+Y115+Y173</f>
        <v>7813498.3599999957</v>
      </c>
      <c r="Z174" s="425">
        <f t="shared" si="63"/>
        <v>7366038.3499999912</v>
      </c>
      <c r="AA174" s="425">
        <f t="shared" si="63"/>
        <v>7304735.9099999871</v>
      </c>
      <c r="AB174" s="425">
        <f t="shared" si="63"/>
        <v>7575409.2899999823</v>
      </c>
      <c r="AC174" s="425">
        <f t="shared" si="63"/>
        <v>6788603.3699999852</v>
      </c>
      <c r="AD174" s="425">
        <f t="shared" si="63"/>
        <v>6490848.1599999918</v>
      </c>
      <c r="AE174" s="425">
        <f t="shared" si="63"/>
        <v>6566677.0099999961</v>
      </c>
      <c r="AF174" s="425">
        <f t="shared" si="63"/>
        <v>6595948.109999992</v>
      </c>
      <c r="AG174" s="425">
        <f>+AG104+AG115+AG173</f>
        <v>6277975.9699999895</v>
      </c>
      <c r="AH174" s="425">
        <f t="shared" si="63"/>
        <v>6930754.5699999845</v>
      </c>
      <c r="AI174" s="425">
        <f t="shared" si="63"/>
        <v>7334626.5199999921</v>
      </c>
      <c r="AJ174" s="425">
        <f t="shared" si="63"/>
        <v>7578010.9800000023</v>
      </c>
      <c r="AK174" s="425">
        <f ca="1">SUM(AK130,AK173)</f>
        <v>84623126.599999875</v>
      </c>
      <c r="AL174" s="425"/>
      <c r="AM174" s="425"/>
      <c r="AN174" s="425"/>
      <c r="AO174" s="425"/>
    </row>
    <row r="175" spans="2:41">
      <c r="B175" s="121"/>
      <c r="C175" s="121"/>
      <c r="D175" s="121" t="s">
        <v>1143</v>
      </c>
      <c r="F175" s="320" t="s">
        <v>274</v>
      </c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320"/>
      <c r="T175" s="121"/>
      <c r="U175" s="121"/>
      <c r="V175" s="121"/>
      <c r="W175" s="121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395"/>
      <c r="AI175" s="395"/>
      <c r="AJ175" s="395"/>
      <c r="AK175" s="320"/>
      <c r="AL175" s="320"/>
      <c r="AM175" s="320"/>
      <c r="AN175" s="320"/>
      <c r="AO175" s="320"/>
    </row>
    <row r="176" spans="2:41">
      <c r="B176" s="121" t="s">
        <v>1228</v>
      </c>
      <c r="C176" s="121" t="s">
        <v>1229</v>
      </c>
      <c r="D176" s="121" t="s">
        <v>16</v>
      </c>
      <c r="F176" s="443" t="s">
        <v>275</v>
      </c>
      <c r="G176" s="158">
        <v>47470</v>
      </c>
      <c r="H176" s="158">
        <v>44948</v>
      </c>
      <c r="I176" s="158">
        <v>42566</v>
      </c>
      <c r="J176" s="158">
        <v>34180</v>
      </c>
      <c r="K176" s="158">
        <v>33887</v>
      </c>
      <c r="L176" s="158">
        <v>31557.08</v>
      </c>
      <c r="M176" s="158">
        <v>31076.07</v>
      </c>
      <c r="N176" s="158">
        <v>30663</v>
      </c>
      <c r="O176" s="158">
        <v>31691</v>
      </c>
      <c r="P176" s="158">
        <v>33540.400000000001</v>
      </c>
      <c r="Q176" s="158">
        <v>38533.78</v>
      </c>
      <c r="R176" s="158">
        <v>49153</v>
      </c>
      <c r="S176" s="400">
        <f ca="1">SUM(G176:OFFSET(G176,0,$F$2-1))</f>
        <v>449265.33000000007</v>
      </c>
      <c r="T176" s="158">
        <f>SUM(G176:I176)</f>
        <v>134984</v>
      </c>
      <c r="U176" s="158">
        <f>SUM(J176:L176)</f>
        <v>99624.08</v>
      </c>
      <c r="V176" s="158">
        <f>SUM(M176:O176)</f>
        <v>93430.07</v>
      </c>
      <c r="W176" s="158">
        <f>SUM(P176:R176)</f>
        <v>121227.18</v>
      </c>
      <c r="X176" s="161"/>
      <c r="Y176" s="162">
        <v>56404</v>
      </c>
      <c r="Z176" s="162">
        <v>49172</v>
      </c>
      <c r="AA176" s="162">
        <v>46856</v>
      </c>
      <c r="AB176" s="162">
        <v>48246</v>
      </c>
      <c r="AC176" s="162">
        <v>42109</v>
      </c>
      <c r="AD176" s="162">
        <v>36848</v>
      </c>
      <c r="AE176" s="162">
        <v>36763</v>
      </c>
      <c r="AF176" s="162">
        <v>35131</v>
      </c>
      <c r="AG176" s="162">
        <v>36132</v>
      </c>
      <c r="AH176" s="162">
        <v>37545</v>
      </c>
      <c r="AI176" s="162">
        <v>41265</v>
      </c>
      <c r="AJ176" s="162">
        <v>47279.35</v>
      </c>
      <c r="AK176" s="400">
        <f ca="1">SUM(Y176:OFFSET(Y176,0,$F$2-1))</f>
        <v>513750.35</v>
      </c>
      <c r="AL176" s="400"/>
      <c r="AM176" s="400"/>
      <c r="AN176" s="400"/>
      <c r="AO176" s="400"/>
    </row>
    <row r="177" spans="2:41">
      <c r="B177" s="121" t="s">
        <v>1230</v>
      </c>
      <c r="C177" s="121" t="s">
        <v>1229</v>
      </c>
      <c r="D177" s="121" t="s">
        <v>17</v>
      </c>
      <c r="F177" s="443" t="s">
        <v>277</v>
      </c>
      <c r="G177" s="158">
        <v>14382</v>
      </c>
      <c r="H177" s="158">
        <v>13043</v>
      </c>
      <c r="I177" s="158">
        <v>13614</v>
      </c>
      <c r="J177" s="158">
        <v>12158</v>
      </c>
      <c r="K177" s="158">
        <v>12328</v>
      </c>
      <c r="L177" s="158">
        <v>11705.75</v>
      </c>
      <c r="M177" s="158">
        <v>12066.82</v>
      </c>
      <c r="N177" s="158">
        <v>12246</v>
      </c>
      <c r="O177" s="158">
        <v>11923</v>
      </c>
      <c r="P177" s="158">
        <v>12766</v>
      </c>
      <c r="Q177" s="158">
        <v>12610.46</v>
      </c>
      <c r="R177" s="158">
        <v>13861</v>
      </c>
      <c r="S177" s="400">
        <f ca="1">SUM(G177:OFFSET(G177,0,$F$2-1))</f>
        <v>152704.03</v>
      </c>
      <c r="T177" s="158">
        <f>SUM(G177:I177)</f>
        <v>41039</v>
      </c>
      <c r="U177" s="158">
        <f>SUM(J177:L177)</f>
        <v>36191.75</v>
      </c>
      <c r="V177" s="158">
        <f>SUM(M177:O177)</f>
        <v>36235.82</v>
      </c>
      <c r="W177" s="158">
        <f>SUM(P177:R177)</f>
        <v>39237.46</v>
      </c>
      <c r="X177" s="161"/>
      <c r="Y177" s="162">
        <v>15654</v>
      </c>
      <c r="Z177" s="162">
        <v>14530</v>
      </c>
      <c r="AA177" s="162">
        <v>15000</v>
      </c>
      <c r="AB177" s="162">
        <v>14552</v>
      </c>
      <c r="AC177" s="162">
        <v>13763</v>
      </c>
      <c r="AD177" s="162">
        <v>13254</v>
      </c>
      <c r="AE177" s="162">
        <v>14320</v>
      </c>
      <c r="AF177" s="162">
        <v>13651</v>
      </c>
      <c r="AG177" s="162">
        <v>13183</v>
      </c>
      <c r="AH177" s="162">
        <v>14006</v>
      </c>
      <c r="AI177" s="162">
        <v>14373</v>
      </c>
      <c r="AJ177" s="162">
        <v>15063.42</v>
      </c>
      <c r="AK177" s="400">
        <f ca="1">SUM(Y177:OFFSET(Y177,0,$F$2-1))</f>
        <v>171349.42</v>
      </c>
      <c r="AL177" s="400"/>
      <c r="AM177" s="400"/>
      <c r="AN177" s="400"/>
      <c r="AO177" s="400"/>
    </row>
    <row r="178" spans="2:41">
      <c r="B178" s="121" t="s">
        <v>1231</v>
      </c>
      <c r="C178" s="121" t="s">
        <v>1229</v>
      </c>
      <c r="D178" s="121" t="s">
        <v>13</v>
      </c>
      <c r="F178" s="443" t="s">
        <v>278</v>
      </c>
      <c r="G178" s="158">
        <v>115</v>
      </c>
      <c r="H178" s="158">
        <v>108</v>
      </c>
      <c r="I178" s="158">
        <v>110</v>
      </c>
      <c r="J178" s="158">
        <v>109</v>
      </c>
      <c r="K178" s="159">
        <v>107</v>
      </c>
      <c r="L178" s="159">
        <v>103.99</v>
      </c>
      <c r="M178" s="159">
        <v>107.73</v>
      </c>
      <c r="N178" s="159">
        <v>95</v>
      </c>
      <c r="O178" s="158">
        <v>104</v>
      </c>
      <c r="P178" s="158">
        <v>103.04</v>
      </c>
      <c r="Q178" s="158">
        <v>108.45</v>
      </c>
      <c r="R178" s="158">
        <v>112</v>
      </c>
      <c r="S178" s="400">
        <f ca="1">SUM(G178:OFFSET(G178,0,$F$2-1))</f>
        <v>1283.21</v>
      </c>
      <c r="T178" s="158">
        <f>SUM(G178:I178)</f>
        <v>333</v>
      </c>
      <c r="U178" s="158">
        <f>SUM(J178:L178)</f>
        <v>319.99</v>
      </c>
      <c r="V178" s="158">
        <f>SUM(M178:O178)</f>
        <v>306.73</v>
      </c>
      <c r="W178" s="158">
        <f>SUM(P178:R178)</f>
        <v>323.49</v>
      </c>
      <c r="X178" s="161"/>
      <c r="Y178" s="162">
        <v>122</v>
      </c>
      <c r="Z178" s="162">
        <v>11</v>
      </c>
      <c r="AA178" s="162">
        <v>77</v>
      </c>
      <c r="AB178" s="162">
        <v>75</v>
      </c>
      <c r="AC178" s="162">
        <v>71</v>
      </c>
      <c r="AD178" s="417">
        <v>73</v>
      </c>
      <c r="AE178" s="417">
        <v>72</v>
      </c>
      <c r="AF178" s="417">
        <v>68</v>
      </c>
      <c r="AG178" s="417">
        <v>73</v>
      </c>
      <c r="AH178" s="162">
        <v>69</v>
      </c>
      <c r="AI178" s="162">
        <v>71</v>
      </c>
      <c r="AJ178" s="162">
        <v>81.22</v>
      </c>
      <c r="AK178" s="400">
        <f ca="1">SUM(Y178:OFFSET(Y178,0,$F$2-1))</f>
        <v>863.22</v>
      </c>
      <c r="AL178" s="400"/>
      <c r="AM178" s="400"/>
      <c r="AN178" s="400"/>
      <c r="AO178" s="400"/>
    </row>
    <row r="179" spans="2:41">
      <c r="B179" s="121" t="s">
        <v>1232</v>
      </c>
      <c r="C179" s="121" t="s">
        <v>1229</v>
      </c>
      <c r="D179" s="121" t="s">
        <v>14</v>
      </c>
      <c r="F179" s="443" t="s">
        <v>279</v>
      </c>
      <c r="G179" s="158">
        <v>148</v>
      </c>
      <c r="H179" s="158">
        <v>212</v>
      </c>
      <c r="I179" s="158">
        <v>205</v>
      </c>
      <c r="J179" s="158">
        <v>145</v>
      </c>
      <c r="K179" s="159">
        <v>130</v>
      </c>
      <c r="L179" s="159">
        <v>119.34</v>
      </c>
      <c r="M179" s="159">
        <v>117</v>
      </c>
      <c r="N179" s="159">
        <v>110</v>
      </c>
      <c r="O179" s="158">
        <v>123</v>
      </c>
      <c r="P179" s="158">
        <v>142.16</v>
      </c>
      <c r="Q179" s="158">
        <v>154.66</v>
      </c>
      <c r="R179" s="158">
        <v>240</v>
      </c>
      <c r="S179" s="400">
        <f ca="1">SUM(G179:OFFSET(G179,0,$F$2-1))</f>
        <v>1846.1600000000003</v>
      </c>
      <c r="T179" s="158">
        <f>SUM(G179:I179)</f>
        <v>565</v>
      </c>
      <c r="U179" s="158">
        <f>SUM(J179:L179)</f>
        <v>394.34000000000003</v>
      </c>
      <c r="V179" s="158">
        <f>SUM(M179:O179)</f>
        <v>350</v>
      </c>
      <c r="W179" s="158">
        <f>SUM(P179:R179)</f>
        <v>536.81999999999994</v>
      </c>
      <c r="X179" s="161"/>
      <c r="Y179" s="162">
        <v>241</v>
      </c>
      <c r="Z179" s="162">
        <v>243</v>
      </c>
      <c r="AA179" s="162">
        <v>193</v>
      </c>
      <c r="AB179" s="162">
        <v>185</v>
      </c>
      <c r="AC179" s="162">
        <v>165</v>
      </c>
      <c r="AD179" s="417">
        <v>140</v>
      </c>
      <c r="AE179" s="417">
        <v>116</v>
      </c>
      <c r="AF179" s="417">
        <v>140</v>
      </c>
      <c r="AG179" s="417">
        <v>125</v>
      </c>
      <c r="AH179" s="162">
        <v>141</v>
      </c>
      <c r="AI179" s="162">
        <v>171</v>
      </c>
      <c r="AJ179" s="162">
        <v>215.06</v>
      </c>
      <c r="AK179" s="400">
        <f ca="1">SUM(Y179:OFFSET(Y179,0,$F$2-1))</f>
        <v>2075.06</v>
      </c>
      <c r="AL179" s="400"/>
      <c r="AM179" s="400"/>
      <c r="AN179" s="400"/>
      <c r="AO179" s="400"/>
    </row>
    <row r="180" spans="2:41">
      <c r="F180" s="424" t="s">
        <v>281</v>
      </c>
      <c r="G180" s="425">
        <f t="shared" ref="G180:R180" si="64">SUM(G176:G179)</f>
        <v>62115</v>
      </c>
      <c r="H180" s="425">
        <f t="shared" si="64"/>
        <v>58311</v>
      </c>
      <c r="I180" s="425">
        <f t="shared" si="64"/>
        <v>56495</v>
      </c>
      <c r="J180" s="425">
        <f t="shared" si="64"/>
        <v>46592</v>
      </c>
      <c r="K180" s="425">
        <f t="shared" si="64"/>
        <v>46452</v>
      </c>
      <c r="L180" s="425">
        <f t="shared" si="64"/>
        <v>43486.159999999996</v>
      </c>
      <c r="M180" s="425">
        <f t="shared" si="64"/>
        <v>43367.62</v>
      </c>
      <c r="N180" s="425">
        <f t="shared" si="64"/>
        <v>43114</v>
      </c>
      <c r="O180" s="425">
        <f t="shared" si="64"/>
        <v>43841</v>
      </c>
      <c r="P180" s="425">
        <f t="shared" si="64"/>
        <v>46551.600000000006</v>
      </c>
      <c r="Q180" s="425">
        <f t="shared" si="64"/>
        <v>51407.35</v>
      </c>
      <c r="R180" s="425">
        <f t="shared" si="64"/>
        <v>63366</v>
      </c>
      <c r="S180" s="425">
        <f ca="1">SUM(S176:S179)</f>
        <v>605098.7300000001</v>
      </c>
      <c r="T180" s="425">
        <f>SUM(T176:T179)</f>
        <v>176921</v>
      </c>
      <c r="U180" s="425">
        <f>SUM(U176:U179)</f>
        <v>136530.16</v>
      </c>
      <c r="V180" s="425">
        <f>SUM(V176:V179)</f>
        <v>130322.62000000001</v>
      </c>
      <c r="W180" s="425">
        <f>SUM(W176:W179)</f>
        <v>161324.94999999998</v>
      </c>
      <c r="X180" s="408"/>
      <c r="Y180" s="425">
        <f t="shared" ref="Y180:AJ180" si="65">SUM(Y176:Y179)</f>
        <v>72421</v>
      </c>
      <c r="Z180" s="425">
        <f t="shared" si="65"/>
        <v>63956</v>
      </c>
      <c r="AA180" s="425">
        <f t="shared" si="65"/>
        <v>62126</v>
      </c>
      <c r="AB180" s="425">
        <f t="shared" si="65"/>
        <v>63058</v>
      </c>
      <c r="AC180" s="425">
        <f t="shared" si="65"/>
        <v>56108</v>
      </c>
      <c r="AD180" s="425">
        <f t="shared" si="65"/>
        <v>50315</v>
      </c>
      <c r="AE180" s="425">
        <f t="shared" si="65"/>
        <v>51271</v>
      </c>
      <c r="AF180" s="425">
        <f t="shared" si="65"/>
        <v>48990</v>
      </c>
      <c r="AG180" s="425">
        <f>SUM(AG176:AG179)</f>
        <v>49513</v>
      </c>
      <c r="AH180" s="425">
        <f t="shared" si="65"/>
        <v>51761</v>
      </c>
      <c r="AI180" s="425">
        <f t="shared" si="65"/>
        <v>55880</v>
      </c>
      <c r="AJ180" s="425">
        <f t="shared" si="65"/>
        <v>62639.049999999996</v>
      </c>
      <c r="AK180" s="425">
        <f ca="1">SUM(AK176:AK179)</f>
        <v>688038.05</v>
      </c>
      <c r="AL180" s="425"/>
      <c r="AM180" s="425"/>
      <c r="AN180" s="425"/>
      <c r="AO180" s="425"/>
    </row>
    <row r="181" spans="2:41" ht="13.5" thickBot="1">
      <c r="B181" s="163" t="s">
        <v>1233</v>
      </c>
      <c r="F181" s="444" t="s">
        <v>282</v>
      </c>
      <c r="G181" s="445">
        <f>+G174-G180</f>
        <v>7241658.3749999879</v>
      </c>
      <c r="H181" s="445">
        <f>+H174-H180</f>
        <v>6966451.6000000099</v>
      </c>
      <c r="I181" s="445">
        <f>+I174-I180</f>
        <v>7384744.2699999753</v>
      </c>
      <c r="J181" s="445">
        <f t="shared" ref="J181:R181" si="66">+J174-J180</f>
        <v>5825212.6099999631</v>
      </c>
      <c r="K181" s="445">
        <f t="shared" si="66"/>
        <v>5981876.2399999741</v>
      </c>
      <c r="L181" s="445">
        <f t="shared" si="66"/>
        <v>5857619.0399999972</v>
      </c>
      <c r="M181" s="445">
        <f t="shared" si="66"/>
        <v>5829455.46</v>
      </c>
      <c r="N181" s="445">
        <f t="shared" si="66"/>
        <v>5924971.769999993</v>
      </c>
      <c r="O181" s="445">
        <f t="shared" si="66"/>
        <v>5947652.0799999945</v>
      </c>
      <c r="P181" s="445">
        <f t="shared" si="66"/>
        <v>6246910.1200000104</v>
      </c>
      <c r="Q181" s="445">
        <f t="shared" si="66"/>
        <v>6506909.2599999914</v>
      </c>
      <c r="R181" s="445">
        <f t="shared" si="66"/>
        <v>7484903.7099999813</v>
      </c>
      <c r="S181" s="445">
        <f ca="1">S174-S180</f>
        <v>77198364.534999862</v>
      </c>
      <c r="T181" s="445">
        <f>T174-T180</f>
        <v>21592854.244999979</v>
      </c>
      <c r="U181" s="445">
        <f>U174-U180</f>
        <v>17664707.889999934</v>
      </c>
      <c r="V181" s="445">
        <f>V174-V180</f>
        <v>17702079.309999987</v>
      </c>
      <c r="W181" s="445">
        <f>W174-W180</f>
        <v>20238723.089999977</v>
      </c>
      <c r="X181" s="446"/>
      <c r="Y181" s="445">
        <f t="shared" ref="Y181:AJ181" si="67">+Y174-Y180</f>
        <v>7741077.3599999957</v>
      </c>
      <c r="Z181" s="445">
        <f t="shared" si="67"/>
        <v>7302082.3499999912</v>
      </c>
      <c r="AA181" s="445">
        <f>+AA174-AA180</f>
        <v>7242609.9099999871</v>
      </c>
      <c r="AB181" s="445">
        <f t="shared" si="67"/>
        <v>7512351.2899999823</v>
      </c>
      <c r="AC181" s="445">
        <f t="shared" si="67"/>
        <v>6732495.3699999852</v>
      </c>
      <c r="AD181" s="445">
        <f t="shared" si="67"/>
        <v>6440533.1599999918</v>
      </c>
      <c r="AE181" s="445">
        <f t="shared" si="67"/>
        <v>6515406.0099999961</v>
      </c>
      <c r="AF181" s="445">
        <f t="shared" si="67"/>
        <v>6546958.109999992</v>
      </c>
      <c r="AG181" s="445">
        <f>+AG174-AG180</f>
        <v>6228462.9699999895</v>
      </c>
      <c r="AH181" s="445">
        <f t="shared" si="67"/>
        <v>6878993.5699999845</v>
      </c>
      <c r="AI181" s="445">
        <f t="shared" si="67"/>
        <v>7278746.5199999921</v>
      </c>
      <c r="AJ181" s="445">
        <f t="shared" si="67"/>
        <v>7515371.9300000025</v>
      </c>
      <c r="AK181" s="445">
        <f ca="1">AK174-AK180</f>
        <v>83935088.549999878</v>
      </c>
      <c r="AL181" s="445"/>
      <c r="AM181" s="445"/>
      <c r="AN181" s="445"/>
      <c r="AO181" s="445"/>
    </row>
    <row r="182" spans="2:41" ht="13.5" thickTop="1"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395"/>
      <c r="AO182" s="395"/>
    </row>
    <row r="183" spans="2:41">
      <c r="X183" s="164"/>
      <c r="Y183" s="164"/>
      <c r="Z183" s="416"/>
      <c r="AA183" s="416"/>
      <c r="AB183" s="416"/>
      <c r="AC183" s="416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395"/>
      <c r="AO183" s="395"/>
    </row>
    <row r="184" spans="2:41">
      <c r="X184" s="164"/>
      <c r="Y184" s="164"/>
      <c r="Z184" s="164"/>
      <c r="AA184" s="164"/>
      <c r="AB184" s="416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395"/>
      <c r="AO184" s="395"/>
    </row>
    <row r="185" spans="2:41"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395"/>
      <c r="AO185" s="395"/>
    </row>
    <row r="186" spans="2:41">
      <c r="C186" s="121" t="s">
        <v>8</v>
      </c>
      <c r="D186" s="320" t="s">
        <v>1234</v>
      </c>
      <c r="F186" s="355" t="str">
        <f>CONCATENATE(C186, " - ",D186)</f>
        <v>Residential - NGD</v>
      </c>
      <c r="G186" s="158">
        <f t="shared" ref="G186:W192" si="68">SUMIFS(G$5:G$181,$C$5:$C$181,$C186)</f>
        <v>2139178.2699999893</v>
      </c>
      <c r="H186" s="158">
        <f t="shared" si="68"/>
        <v>2016055.1100000113</v>
      </c>
      <c r="I186" s="158">
        <f t="shared" si="68"/>
        <v>1931242.2199999769</v>
      </c>
      <c r="J186" s="158">
        <f t="shared" si="68"/>
        <v>1822194.2899999665</v>
      </c>
      <c r="K186" s="158">
        <f t="shared" si="68"/>
        <v>1761150.1099999761</v>
      </c>
      <c r="L186" s="158">
        <f t="shared" si="68"/>
        <v>1585511.2199999969</v>
      </c>
      <c r="M186" s="158">
        <f t="shared" si="68"/>
        <v>1525365.949999999</v>
      </c>
      <c r="N186" s="158">
        <f t="shared" si="68"/>
        <v>1471146.7299999944</v>
      </c>
      <c r="O186" s="158">
        <f t="shared" si="68"/>
        <v>1477912.6899999978</v>
      </c>
      <c r="P186" s="158">
        <f t="shared" si="68"/>
        <v>1520828.6200000097</v>
      </c>
      <c r="Q186" s="158">
        <f t="shared" si="68"/>
        <v>1728238.679999989</v>
      </c>
      <c r="R186" s="158">
        <f t="shared" si="68"/>
        <v>2186540.2999999807</v>
      </c>
      <c r="S186" s="400">
        <f t="shared" ca="1" si="68"/>
        <v>21165364.18999989</v>
      </c>
      <c r="T186" s="158">
        <f t="shared" si="68"/>
        <v>6086475.5999999782</v>
      </c>
      <c r="U186" s="158">
        <f t="shared" si="68"/>
        <v>5168855.6199999396</v>
      </c>
      <c r="V186" s="158">
        <f t="shared" si="68"/>
        <v>4474425.3699999908</v>
      </c>
      <c r="W186" s="158">
        <f t="shared" si="68"/>
        <v>5435607.5999999791</v>
      </c>
      <c r="X186" s="164"/>
      <c r="Y186" s="158">
        <f t="shared" ref="Y186:AK192" si="69">SUMIFS(Y$5:Y$181,$C$5:$C$181,$C186)</f>
        <v>2531092.4199999967</v>
      </c>
      <c r="Z186" s="158">
        <f t="shared" si="69"/>
        <v>2179270.0999999931</v>
      </c>
      <c r="AA186" s="158">
        <f t="shared" si="69"/>
        <v>2030296.349999988</v>
      </c>
      <c r="AB186" s="158">
        <f t="shared" si="69"/>
        <v>2009998.6999999881</v>
      </c>
      <c r="AC186" s="158">
        <f t="shared" si="69"/>
        <v>1753356.8099999889</v>
      </c>
      <c r="AD186" s="158">
        <f t="shared" si="69"/>
        <v>1631440.8199999928</v>
      </c>
      <c r="AE186" s="158">
        <f t="shared" si="69"/>
        <v>1592261.4199999976</v>
      </c>
      <c r="AF186" s="158">
        <f t="shared" si="69"/>
        <v>1516487.6099999929</v>
      </c>
      <c r="AG186" s="158">
        <f t="shared" si="69"/>
        <v>1559571.6999999913</v>
      </c>
      <c r="AH186" s="158">
        <f t="shared" si="69"/>
        <v>1586457.0799999856</v>
      </c>
      <c r="AI186" s="158">
        <f t="shared" si="69"/>
        <v>1799231.6999999951</v>
      </c>
      <c r="AJ186" s="158">
        <f t="shared" si="69"/>
        <v>2131608.5899999985</v>
      </c>
      <c r="AK186" s="400">
        <f t="shared" si="69"/>
        <v>22321073.299999911</v>
      </c>
      <c r="AL186" s="400"/>
      <c r="AM186" s="400"/>
      <c r="AN186" s="400"/>
      <c r="AO186" s="400"/>
    </row>
    <row r="187" spans="2:41">
      <c r="C187" s="121" t="s">
        <v>1145</v>
      </c>
      <c r="D187" s="320" t="s">
        <v>1234</v>
      </c>
      <c r="F187" s="355" t="str">
        <f t="shared" ref="F187:F229" si="70">CONCATENATE(C187, " - ",D187)</f>
        <v>Residential - Experimental - NGD</v>
      </c>
      <c r="G187" s="158">
        <f t="shared" si="68"/>
        <v>8433.4399999999987</v>
      </c>
      <c r="H187" s="158">
        <f t="shared" si="68"/>
        <v>8414.77</v>
      </c>
      <c r="I187" s="158">
        <f t="shared" si="68"/>
        <v>8388</v>
      </c>
      <c r="J187" s="158">
        <f t="shared" si="68"/>
        <v>8375.8700000000008</v>
      </c>
      <c r="K187" s="158">
        <f t="shared" si="68"/>
        <v>8320.93</v>
      </c>
      <c r="L187" s="158">
        <f t="shared" si="68"/>
        <v>8317.0299999999988</v>
      </c>
      <c r="M187" s="158">
        <f t="shared" si="68"/>
        <v>8309.93</v>
      </c>
      <c r="N187" s="158">
        <f t="shared" si="68"/>
        <v>8301.77</v>
      </c>
      <c r="O187" s="158">
        <f t="shared" si="68"/>
        <v>8310.4699999999993</v>
      </c>
      <c r="P187" s="158">
        <f t="shared" si="68"/>
        <v>8299.5099999999984</v>
      </c>
      <c r="Q187" s="158">
        <f t="shared" si="68"/>
        <v>8308.2799999999988</v>
      </c>
      <c r="R187" s="158">
        <f t="shared" si="68"/>
        <v>8401.27</v>
      </c>
      <c r="S187" s="400">
        <f t="shared" ca="1" si="68"/>
        <v>100181.27</v>
      </c>
      <c r="T187" s="158">
        <f t="shared" si="68"/>
        <v>25236.21</v>
      </c>
      <c r="U187" s="158">
        <f t="shared" si="68"/>
        <v>25013.829999999998</v>
      </c>
      <c r="V187" s="158">
        <f t="shared" si="68"/>
        <v>24922.17</v>
      </c>
      <c r="W187" s="158">
        <f t="shared" si="68"/>
        <v>25009.06</v>
      </c>
      <c r="X187" s="164"/>
      <c r="Y187" s="158">
        <f t="shared" si="69"/>
        <v>8198.73</v>
      </c>
      <c r="Z187" s="158">
        <f t="shared" si="69"/>
        <v>8333.1</v>
      </c>
      <c r="AA187" s="158">
        <f t="shared" si="69"/>
        <v>8217.1</v>
      </c>
      <c r="AB187" s="158">
        <f t="shared" si="69"/>
        <v>8243.9</v>
      </c>
      <c r="AC187" s="158">
        <f t="shared" si="69"/>
        <v>8162.4299999999994</v>
      </c>
      <c r="AD187" s="158">
        <f t="shared" si="69"/>
        <v>8157.87</v>
      </c>
      <c r="AE187" s="158">
        <f t="shared" si="69"/>
        <v>8094.17</v>
      </c>
      <c r="AF187" s="158">
        <f t="shared" si="69"/>
        <v>8166.0100000000011</v>
      </c>
      <c r="AG187" s="158">
        <f t="shared" si="69"/>
        <v>8096.4299999999994</v>
      </c>
      <c r="AH187" s="158">
        <f t="shared" si="69"/>
        <v>7984.6799999999994</v>
      </c>
      <c r="AI187" s="158">
        <f t="shared" si="69"/>
        <v>8044.6</v>
      </c>
      <c r="AJ187" s="158">
        <f t="shared" si="69"/>
        <v>8161.6</v>
      </c>
      <c r="AK187" s="400">
        <f t="shared" si="69"/>
        <v>97860.62000000001</v>
      </c>
      <c r="AL187" s="400"/>
      <c r="AM187" s="400"/>
      <c r="AN187" s="400"/>
      <c r="AO187" s="400"/>
    </row>
    <row r="188" spans="2:41">
      <c r="C188" s="121" t="s">
        <v>1153</v>
      </c>
      <c r="D188" s="320" t="s">
        <v>1234</v>
      </c>
      <c r="F188" s="355" t="str">
        <f t="shared" si="70"/>
        <v>Non-Residential - NGD</v>
      </c>
      <c r="G188" s="158">
        <f t="shared" si="68"/>
        <v>3400089.38</v>
      </c>
      <c r="H188" s="158">
        <f t="shared" si="68"/>
        <v>3219527.3099999982</v>
      </c>
      <c r="I188" s="158">
        <f t="shared" si="68"/>
        <v>3108316.4699999988</v>
      </c>
      <c r="J188" s="158">
        <f t="shared" si="68"/>
        <v>2556046.069999997</v>
      </c>
      <c r="K188" s="158">
        <f t="shared" si="68"/>
        <v>2545345.8299999977</v>
      </c>
      <c r="L188" s="158">
        <f t="shared" si="68"/>
        <v>2534101.2499999991</v>
      </c>
      <c r="M188" s="158">
        <f t="shared" si="68"/>
        <v>2637395.7200000011</v>
      </c>
      <c r="N188" s="158">
        <f t="shared" si="68"/>
        <v>2622952.8199999984</v>
      </c>
      <c r="O188" s="158">
        <f t="shared" si="68"/>
        <v>2612306.0499999975</v>
      </c>
      <c r="P188" s="158">
        <f t="shared" si="68"/>
        <v>2682324.65</v>
      </c>
      <c r="Q188" s="158">
        <f t="shared" si="68"/>
        <v>2801807.3300000015</v>
      </c>
      <c r="R188" s="158">
        <f t="shared" si="68"/>
        <v>3093584.79</v>
      </c>
      <c r="S188" s="400">
        <f t="shared" ca="1" si="68"/>
        <v>33813797.669999987</v>
      </c>
      <c r="T188" s="158">
        <f t="shared" si="68"/>
        <v>9727933.1600000001</v>
      </c>
      <c r="U188" s="158">
        <f t="shared" si="68"/>
        <v>7635493.1499999939</v>
      </c>
      <c r="V188" s="158">
        <f t="shared" si="68"/>
        <v>7872654.5899999971</v>
      </c>
      <c r="W188" s="158">
        <f t="shared" si="68"/>
        <v>8577716.7699999996</v>
      </c>
      <c r="X188" s="164"/>
      <c r="Y188" s="158">
        <f t="shared" si="69"/>
        <v>3346950.7199999993</v>
      </c>
      <c r="Z188" s="158">
        <f t="shared" si="69"/>
        <v>3056218.3699999982</v>
      </c>
      <c r="AA188" s="158">
        <f t="shared" si="69"/>
        <v>3102800.189999999</v>
      </c>
      <c r="AB188" s="158">
        <f t="shared" si="69"/>
        <v>3099285.6699999948</v>
      </c>
      <c r="AC188" s="158">
        <f t="shared" si="69"/>
        <v>2914971.7099999962</v>
      </c>
      <c r="AD188" s="158">
        <f t="shared" si="69"/>
        <v>2723785.2199999988</v>
      </c>
      <c r="AE188" s="158">
        <f t="shared" si="69"/>
        <v>2833302.2499999977</v>
      </c>
      <c r="AF188" s="158">
        <f t="shared" si="69"/>
        <v>2721724.6099999994</v>
      </c>
      <c r="AG188" s="158">
        <f t="shared" si="69"/>
        <v>2791752.2699999982</v>
      </c>
      <c r="AH188" s="158">
        <f t="shared" si="69"/>
        <v>2847880.0599999977</v>
      </c>
      <c r="AI188" s="158">
        <f t="shared" si="69"/>
        <v>2974500.3299999968</v>
      </c>
      <c r="AJ188" s="158">
        <f t="shared" si="69"/>
        <v>3181223.6399999992</v>
      </c>
      <c r="AK188" s="400">
        <f t="shared" si="69"/>
        <v>35594395.039999969</v>
      </c>
      <c r="AL188" s="400"/>
      <c r="AM188" s="400"/>
      <c r="AN188" s="400"/>
      <c r="AO188" s="400"/>
    </row>
    <row r="189" spans="2:41">
      <c r="C189" s="121" t="s">
        <v>1190</v>
      </c>
      <c r="D189" s="320" t="s">
        <v>1234</v>
      </c>
      <c r="F189" s="355" t="str">
        <f t="shared" si="70"/>
        <v>Non-Residential-Experimental - NGD</v>
      </c>
      <c r="G189" s="158">
        <f t="shared" si="68"/>
        <v>7122.6</v>
      </c>
      <c r="H189" s="158">
        <f t="shared" si="68"/>
        <v>7144</v>
      </c>
      <c r="I189" s="158">
        <f t="shared" si="68"/>
        <v>7155.6</v>
      </c>
      <c r="J189" s="158">
        <f t="shared" si="68"/>
        <v>7202</v>
      </c>
      <c r="K189" s="158">
        <f t="shared" si="68"/>
        <v>7007.53</v>
      </c>
      <c r="L189" s="158">
        <f t="shared" si="68"/>
        <v>6933.4</v>
      </c>
      <c r="M189" s="158">
        <f t="shared" si="68"/>
        <v>6976.6</v>
      </c>
      <c r="N189" s="158">
        <f t="shared" si="68"/>
        <v>6937.3</v>
      </c>
      <c r="O189" s="158">
        <f t="shared" si="68"/>
        <v>6893.8</v>
      </c>
      <c r="P189" s="158">
        <f t="shared" si="68"/>
        <v>6771.33</v>
      </c>
      <c r="Q189" s="158">
        <f t="shared" si="68"/>
        <v>7071.43</v>
      </c>
      <c r="R189" s="158">
        <f t="shared" si="68"/>
        <v>6895.57</v>
      </c>
      <c r="S189" s="400">
        <f t="shared" ca="1" si="68"/>
        <v>84111.16</v>
      </c>
      <c r="T189" s="158">
        <f t="shared" si="68"/>
        <v>21422.199999999997</v>
      </c>
      <c r="U189" s="158">
        <f t="shared" si="68"/>
        <v>21142.93</v>
      </c>
      <c r="V189" s="158">
        <f t="shared" si="68"/>
        <v>20807.7</v>
      </c>
      <c r="W189" s="158">
        <f t="shared" si="68"/>
        <v>20738.330000000002</v>
      </c>
      <c r="X189" s="164"/>
      <c r="Y189" s="158">
        <f t="shared" si="69"/>
        <v>7189.5</v>
      </c>
      <c r="Z189" s="158">
        <f t="shared" si="69"/>
        <v>7023</v>
      </c>
      <c r="AA189" s="158">
        <f t="shared" si="69"/>
        <v>7055.87</v>
      </c>
      <c r="AB189" s="158">
        <f t="shared" si="69"/>
        <v>7100.33</v>
      </c>
      <c r="AC189" s="158">
        <f t="shared" si="69"/>
        <v>7081</v>
      </c>
      <c r="AD189" s="158">
        <f t="shared" si="69"/>
        <v>7081</v>
      </c>
      <c r="AE189" s="158">
        <f t="shared" si="69"/>
        <v>7062.9</v>
      </c>
      <c r="AF189" s="158">
        <f t="shared" si="69"/>
        <v>7064.9</v>
      </c>
      <c r="AG189" s="158">
        <f t="shared" si="69"/>
        <v>6985.7999999999993</v>
      </c>
      <c r="AH189" s="158">
        <f t="shared" si="69"/>
        <v>6770</v>
      </c>
      <c r="AI189" s="158">
        <f t="shared" si="69"/>
        <v>6653.2</v>
      </c>
      <c r="AJ189" s="158">
        <f t="shared" si="69"/>
        <v>6730.77</v>
      </c>
      <c r="AK189" s="400">
        <f t="shared" si="69"/>
        <v>83798.27</v>
      </c>
      <c r="AL189" s="400"/>
      <c r="AM189" s="400"/>
      <c r="AN189" s="400"/>
      <c r="AO189" s="400"/>
    </row>
    <row r="190" spans="2:41">
      <c r="C190" s="121" t="s">
        <v>1197</v>
      </c>
      <c r="D190" s="320" t="s">
        <v>1234</v>
      </c>
      <c r="F190" s="355" t="str">
        <f t="shared" si="70"/>
        <v>Industrial - NGD</v>
      </c>
      <c r="G190" s="158">
        <f t="shared" si="68"/>
        <v>376620.68499999994</v>
      </c>
      <c r="H190" s="158">
        <f t="shared" si="68"/>
        <v>351720.41</v>
      </c>
      <c r="I190" s="158">
        <f t="shared" si="68"/>
        <v>370543.98</v>
      </c>
      <c r="J190" s="158">
        <f t="shared" si="68"/>
        <v>366729.38</v>
      </c>
      <c r="K190" s="158">
        <f t="shared" si="68"/>
        <v>391469.84</v>
      </c>
      <c r="L190" s="158">
        <f t="shared" si="68"/>
        <v>385934.49</v>
      </c>
      <c r="M190" s="158">
        <f t="shared" si="68"/>
        <v>392596.98999999993</v>
      </c>
      <c r="N190" s="158">
        <f t="shared" si="68"/>
        <v>392852.01999999996</v>
      </c>
      <c r="O190" s="158">
        <f t="shared" si="68"/>
        <v>356062.79999999993</v>
      </c>
      <c r="P190" s="158">
        <f t="shared" si="68"/>
        <v>387008.45</v>
      </c>
      <c r="Q190" s="158">
        <f t="shared" si="68"/>
        <v>388707.69</v>
      </c>
      <c r="R190" s="158">
        <f t="shared" si="68"/>
        <v>502443.7</v>
      </c>
      <c r="S190" s="400">
        <f t="shared" ca="1" si="68"/>
        <v>4662690.4349999996</v>
      </c>
      <c r="T190" s="158">
        <f t="shared" si="68"/>
        <v>1098885.075</v>
      </c>
      <c r="U190" s="158">
        <f t="shared" si="68"/>
        <v>1144133.71</v>
      </c>
      <c r="V190" s="158">
        <f t="shared" si="68"/>
        <v>1141511.8099999998</v>
      </c>
      <c r="W190" s="158">
        <f t="shared" si="68"/>
        <v>1278159.8399999999</v>
      </c>
      <c r="X190" s="164"/>
      <c r="Y190" s="158">
        <f t="shared" si="69"/>
        <v>496875.98999999993</v>
      </c>
      <c r="Z190" s="158">
        <f t="shared" si="69"/>
        <v>458320.98000000004</v>
      </c>
      <c r="AA190" s="158">
        <f t="shared" si="69"/>
        <v>488180.22</v>
      </c>
      <c r="AB190" s="158">
        <f t="shared" si="69"/>
        <v>471485.97</v>
      </c>
      <c r="AC190" s="158">
        <f t="shared" si="69"/>
        <v>486113.02999999997</v>
      </c>
      <c r="AD190" s="158">
        <f t="shared" si="69"/>
        <v>485682.80000000005</v>
      </c>
      <c r="AE190" s="158">
        <f t="shared" si="69"/>
        <v>487737.81</v>
      </c>
      <c r="AF190" s="158">
        <f t="shared" si="69"/>
        <v>488783.92</v>
      </c>
      <c r="AG190" s="158">
        <f t="shared" si="69"/>
        <v>485068.53</v>
      </c>
      <c r="AH190" s="158">
        <f t="shared" si="69"/>
        <v>498290.68000000005</v>
      </c>
      <c r="AI190" s="158">
        <f t="shared" si="69"/>
        <v>491629.63</v>
      </c>
      <c r="AJ190" s="158">
        <f t="shared" si="69"/>
        <v>499706.97</v>
      </c>
      <c r="AK190" s="400">
        <f t="shared" ca="1" si="69"/>
        <v>5837876.5299999993</v>
      </c>
      <c r="AL190" s="400"/>
      <c r="AM190" s="400"/>
      <c r="AN190" s="400"/>
      <c r="AO190" s="400"/>
    </row>
    <row r="191" spans="2:41">
      <c r="C191" s="121" t="s">
        <v>18</v>
      </c>
      <c r="D191" s="320" t="s">
        <v>1234</v>
      </c>
      <c r="F191" s="355" t="str">
        <f t="shared" si="70"/>
        <v>Miscellaneous Revenues - NGD</v>
      </c>
      <c r="G191" s="158">
        <f t="shared" si="68"/>
        <v>1372329</v>
      </c>
      <c r="H191" s="158">
        <f t="shared" si="68"/>
        <v>1421901</v>
      </c>
      <c r="I191" s="158">
        <f t="shared" si="68"/>
        <v>2015593</v>
      </c>
      <c r="J191" s="158">
        <f t="shared" si="68"/>
        <v>1111257</v>
      </c>
      <c r="K191" s="158">
        <f t="shared" si="68"/>
        <v>1315034</v>
      </c>
      <c r="L191" s="158">
        <f t="shared" si="68"/>
        <v>1380307.8100000003</v>
      </c>
      <c r="M191" s="158">
        <f t="shared" si="68"/>
        <v>1302177.8899999999</v>
      </c>
      <c r="N191" s="158">
        <f t="shared" si="68"/>
        <v>1465895.1300000001</v>
      </c>
      <c r="O191" s="158">
        <f t="shared" si="68"/>
        <v>1530007.2699999998</v>
      </c>
      <c r="P191" s="158">
        <f t="shared" si="68"/>
        <v>1688229.1600000001</v>
      </c>
      <c r="Q191" s="158">
        <f t="shared" si="68"/>
        <v>1624183.2</v>
      </c>
      <c r="R191" s="158">
        <f t="shared" si="68"/>
        <v>1750404.08</v>
      </c>
      <c r="S191" s="400">
        <f t="shared" ca="1" si="68"/>
        <v>17977318.539999999</v>
      </c>
      <c r="T191" s="158">
        <f t="shared" si="68"/>
        <v>4809823</v>
      </c>
      <c r="U191" s="158">
        <f t="shared" si="68"/>
        <v>3806598.810000001</v>
      </c>
      <c r="V191" s="158">
        <f t="shared" si="68"/>
        <v>4298080.29</v>
      </c>
      <c r="W191" s="158">
        <f t="shared" si="68"/>
        <v>5062816.4400000004</v>
      </c>
      <c r="X191" s="164"/>
      <c r="Y191" s="158">
        <f t="shared" si="69"/>
        <v>1423190.9999999998</v>
      </c>
      <c r="Z191" s="158">
        <f t="shared" si="69"/>
        <v>1656872.8000000005</v>
      </c>
      <c r="AA191" s="158">
        <f t="shared" si="69"/>
        <v>1668186.1800000002</v>
      </c>
      <c r="AB191" s="158">
        <f t="shared" si="69"/>
        <v>1979294.7200000002</v>
      </c>
      <c r="AC191" s="158">
        <f t="shared" si="69"/>
        <v>1618918.39</v>
      </c>
      <c r="AD191" s="158">
        <f t="shared" si="69"/>
        <v>1634700.4500000004</v>
      </c>
      <c r="AE191" s="158">
        <f t="shared" si="69"/>
        <v>1638218.4600000002</v>
      </c>
      <c r="AF191" s="158">
        <f t="shared" si="69"/>
        <v>1853721.06</v>
      </c>
      <c r="AG191" s="158">
        <f t="shared" si="69"/>
        <v>1426501.2399999998</v>
      </c>
      <c r="AH191" s="158">
        <f t="shared" si="69"/>
        <v>1983372.07</v>
      </c>
      <c r="AI191" s="158">
        <f t="shared" si="69"/>
        <v>2054567.06</v>
      </c>
      <c r="AJ191" s="158">
        <f t="shared" si="69"/>
        <v>1750579.4100000043</v>
      </c>
      <c r="AK191" s="400">
        <f t="shared" ca="1" si="69"/>
        <v>20688122.839999996</v>
      </c>
      <c r="AL191" s="400"/>
      <c r="AM191" s="400"/>
      <c r="AN191" s="400"/>
      <c r="AO191" s="400"/>
    </row>
    <row r="192" spans="2:41">
      <c r="C192" s="121" t="s">
        <v>1229</v>
      </c>
      <c r="D192" s="320" t="s">
        <v>1234</v>
      </c>
      <c r="F192" s="355" t="str">
        <f t="shared" si="70"/>
        <v>COGS - NGD</v>
      </c>
      <c r="G192" s="158">
        <f t="shared" si="68"/>
        <v>62115</v>
      </c>
      <c r="H192" s="158">
        <f t="shared" si="68"/>
        <v>58311</v>
      </c>
      <c r="I192" s="158">
        <f t="shared" si="68"/>
        <v>56495</v>
      </c>
      <c r="J192" s="158">
        <f t="shared" si="68"/>
        <v>46592</v>
      </c>
      <c r="K192" s="158">
        <f t="shared" si="68"/>
        <v>46452</v>
      </c>
      <c r="L192" s="158">
        <f t="shared" si="68"/>
        <v>43486.159999999996</v>
      </c>
      <c r="M192" s="158">
        <f t="shared" si="68"/>
        <v>43367.62</v>
      </c>
      <c r="N192" s="158">
        <f t="shared" si="68"/>
        <v>43114</v>
      </c>
      <c r="O192" s="158">
        <f t="shared" si="68"/>
        <v>43841</v>
      </c>
      <c r="P192" s="158">
        <f t="shared" si="68"/>
        <v>46551.600000000006</v>
      </c>
      <c r="Q192" s="158">
        <f t="shared" si="68"/>
        <v>51407.35</v>
      </c>
      <c r="R192" s="158">
        <f t="shared" si="68"/>
        <v>63366</v>
      </c>
      <c r="S192" s="400">
        <f t="shared" ca="1" si="68"/>
        <v>605098.7300000001</v>
      </c>
      <c r="T192" s="158">
        <f t="shared" si="68"/>
        <v>176921</v>
      </c>
      <c r="U192" s="158">
        <f t="shared" si="68"/>
        <v>136530.16</v>
      </c>
      <c r="V192" s="158">
        <f t="shared" si="68"/>
        <v>130322.62000000001</v>
      </c>
      <c r="W192" s="158">
        <f t="shared" si="68"/>
        <v>161324.94999999998</v>
      </c>
      <c r="X192" s="164"/>
      <c r="Y192" s="158">
        <f t="shared" si="69"/>
        <v>72421</v>
      </c>
      <c r="Z192" s="158">
        <f t="shared" si="69"/>
        <v>63956</v>
      </c>
      <c r="AA192" s="158">
        <f t="shared" si="69"/>
        <v>62126</v>
      </c>
      <c r="AB192" s="158">
        <f t="shared" si="69"/>
        <v>63058</v>
      </c>
      <c r="AC192" s="158">
        <f t="shared" si="69"/>
        <v>56108</v>
      </c>
      <c r="AD192" s="158">
        <f t="shared" si="69"/>
        <v>50315</v>
      </c>
      <c r="AE192" s="158">
        <f t="shared" si="69"/>
        <v>51271</v>
      </c>
      <c r="AF192" s="158">
        <f t="shared" si="69"/>
        <v>48990</v>
      </c>
      <c r="AG192" s="158">
        <f t="shared" si="69"/>
        <v>49513</v>
      </c>
      <c r="AH192" s="158">
        <f t="shared" si="69"/>
        <v>51761</v>
      </c>
      <c r="AI192" s="158">
        <f t="shared" si="69"/>
        <v>55880</v>
      </c>
      <c r="AJ192" s="158">
        <f t="shared" si="69"/>
        <v>62639.049999999996</v>
      </c>
      <c r="AK192" s="400">
        <f t="shared" ca="1" si="69"/>
        <v>688038.05</v>
      </c>
      <c r="AL192" s="400"/>
      <c r="AM192" s="400"/>
      <c r="AN192" s="400"/>
      <c r="AO192" s="400"/>
    </row>
    <row r="193" spans="3:41">
      <c r="C193" s="259" t="s">
        <v>249</v>
      </c>
      <c r="D193" s="320" t="s">
        <v>1234</v>
      </c>
      <c r="F193" s="328" t="str">
        <f t="shared" si="70"/>
        <v>TOTAL - NGD</v>
      </c>
      <c r="G193" s="400">
        <f>SUM(G186:G191)-G192</f>
        <v>7241658.3749999879</v>
      </c>
      <c r="H193" s="400">
        <f t="shared" ref="H193:W193" si="71">SUM(H186:H191)-H192</f>
        <v>6966451.6000000099</v>
      </c>
      <c r="I193" s="400">
        <f t="shared" si="71"/>
        <v>7384744.2699999753</v>
      </c>
      <c r="J193" s="400">
        <f t="shared" si="71"/>
        <v>5825212.6099999631</v>
      </c>
      <c r="K193" s="400">
        <f t="shared" si="71"/>
        <v>5981876.2399999741</v>
      </c>
      <c r="L193" s="400">
        <f t="shared" si="71"/>
        <v>5857619.0399999963</v>
      </c>
      <c r="M193" s="400">
        <f t="shared" si="71"/>
        <v>5829455.46</v>
      </c>
      <c r="N193" s="400">
        <f t="shared" si="71"/>
        <v>5924971.7699999921</v>
      </c>
      <c r="O193" s="400">
        <f t="shared" si="71"/>
        <v>5947652.0799999945</v>
      </c>
      <c r="P193" s="400">
        <f t="shared" si="71"/>
        <v>6246910.1200000104</v>
      </c>
      <c r="Q193" s="400">
        <f t="shared" si="71"/>
        <v>6506909.2599999914</v>
      </c>
      <c r="R193" s="400">
        <f t="shared" si="71"/>
        <v>7484903.7099999813</v>
      </c>
      <c r="S193" s="400">
        <f t="shared" ca="1" si="71"/>
        <v>77198364.534999862</v>
      </c>
      <c r="T193" s="400">
        <f t="shared" si="71"/>
        <v>21592854.244999979</v>
      </c>
      <c r="U193" s="400">
        <f t="shared" si="71"/>
        <v>17664707.889999937</v>
      </c>
      <c r="V193" s="400">
        <f t="shared" si="71"/>
        <v>17702079.309999987</v>
      </c>
      <c r="W193" s="400">
        <f t="shared" si="71"/>
        <v>20238723.089999977</v>
      </c>
      <c r="X193" s="164"/>
      <c r="Y193" s="400">
        <f t="shared" ref="Y193:AK193" si="72">SUM(Y186:Y191)-Y192</f>
        <v>7741077.3599999957</v>
      </c>
      <c r="Z193" s="400">
        <f t="shared" si="72"/>
        <v>7302082.3499999922</v>
      </c>
      <c r="AA193" s="400">
        <f t="shared" si="72"/>
        <v>7242609.9099999871</v>
      </c>
      <c r="AB193" s="400">
        <f t="shared" si="72"/>
        <v>7512351.2899999823</v>
      </c>
      <c r="AC193" s="400">
        <f t="shared" si="72"/>
        <v>6732495.3699999852</v>
      </c>
      <c r="AD193" s="400">
        <f t="shared" si="72"/>
        <v>6440533.1599999918</v>
      </c>
      <c r="AE193" s="400">
        <f t="shared" si="72"/>
        <v>6515406.0099999951</v>
      </c>
      <c r="AF193" s="400">
        <f t="shared" si="72"/>
        <v>6546958.109999992</v>
      </c>
      <c r="AG193" s="400">
        <f t="shared" si="72"/>
        <v>6228462.9699999895</v>
      </c>
      <c r="AH193" s="400">
        <f t="shared" si="72"/>
        <v>6878993.5699999835</v>
      </c>
      <c r="AI193" s="400">
        <f t="shared" si="72"/>
        <v>7278746.5199999921</v>
      </c>
      <c r="AJ193" s="400">
        <f t="shared" si="72"/>
        <v>7515371.9300000025</v>
      </c>
      <c r="AK193" s="400">
        <f t="shared" ca="1" si="72"/>
        <v>83935088.549999878</v>
      </c>
      <c r="AL193" s="400"/>
      <c r="AM193" s="400"/>
      <c r="AN193" s="400"/>
      <c r="AO193" s="400"/>
    </row>
    <row r="194" spans="3:41">
      <c r="X194" s="164"/>
    </row>
    <row r="195" spans="3:41">
      <c r="C195" s="121" t="s">
        <v>8</v>
      </c>
      <c r="D195" s="320" t="s">
        <v>16</v>
      </c>
      <c r="F195" s="355" t="str">
        <f>CONCATENATE(C195, " - ",D195)</f>
        <v>Residential - FPU</v>
      </c>
      <c r="G195" s="158">
        <f t="shared" ref="G195:W201" si="73">SUMIFS(G$5:G$181,$C$5:$C$181,$C195,$D$5:$D$181,$D195)</f>
        <v>1581631.0899999922</v>
      </c>
      <c r="H195" s="158">
        <f t="shared" si="73"/>
        <v>1477740.0100000093</v>
      </c>
      <c r="I195" s="158">
        <f t="shared" si="73"/>
        <v>1397979.6099999787</v>
      </c>
      <c r="J195" s="158">
        <f t="shared" si="73"/>
        <v>1343880.2799999686</v>
      </c>
      <c r="K195" s="158">
        <f t="shared" si="73"/>
        <v>1298610.8499999819</v>
      </c>
      <c r="L195" s="158">
        <f t="shared" si="73"/>
        <v>1143090.5699999977</v>
      </c>
      <c r="M195" s="158">
        <f t="shared" si="73"/>
        <v>1077961.2900000026</v>
      </c>
      <c r="N195" s="158">
        <f t="shared" si="73"/>
        <v>1036003.4299999984</v>
      </c>
      <c r="O195" s="158">
        <f t="shared" si="73"/>
        <v>1036807.6799999983</v>
      </c>
      <c r="P195" s="158">
        <f t="shared" si="73"/>
        <v>1072374.3700000008</v>
      </c>
      <c r="Q195" s="158">
        <f t="shared" si="73"/>
        <v>1250230.2699999851</v>
      </c>
      <c r="R195" s="158">
        <f t="shared" si="73"/>
        <v>1611668.4199999778</v>
      </c>
      <c r="S195" s="400">
        <f t="shared" ca="1" si="73"/>
        <v>15327977.869999893</v>
      </c>
      <c r="T195" s="158">
        <f t="shared" si="73"/>
        <v>4457350.7099999804</v>
      </c>
      <c r="U195" s="158">
        <f t="shared" si="73"/>
        <v>3785581.699999948</v>
      </c>
      <c r="V195" s="158">
        <f t="shared" si="73"/>
        <v>3150772.399999999</v>
      </c>
      <c r="W195" s="158">
        <f t="shared" si="73"/>
        <v>3934273.0599999633</v>
      </c>
      <c r="X195" s="164"/>
      <c r="Y195" s="158">
        <f t="shared" ref="Y195:AK201" si="74">SUMIFS(Y$5:Y$181,$C$5:$C$181,$C195,$D$5:$D$181,$D195)</f>
        <v>1915919.4499999902</v>
      </c>
      <c r="Z195" s="158">
        <f t="shared" si="74"/>
        <v>1632617.3999999873</v>
      </c>
      <c r="AA195" s="158">
        <f t="shared" si="74"/>
        <v>1495236.1099999743</v>
      </c>
      <c r="AB195" s="158">
        <f t="shared" si="74"/>
        <v>1463956.1099999889</v>
      </c>
      <c r="AC195" s="158">
        <f t="shared" si="74"/>
        <v>1269635.229999996</v>
      </c>
      <c r="AD195" s="158">
        <f t="shared" si="74"/>
        <v>1158071.3499999915</v>
      </c>
      <c r="AE195" s="158">
        <f t="shared" si="74"/>
        <v>1121796.4599999983</v>
      </c>
      <c r="AF195" s="158">
        <f t="shared" si="74"/>
        <v>1061004.179999989</v>
      </c>
      <c r="AG195" s="158">
        <f t="shared" si="74"/>
        <v>1099399.489999993</v>
      </c>
      <c r="AH195" s="158">
        <f t="shared" si="74"/>
        <v>1120301.6999999876</v>
      </c>
      <c r="AI195" s="158">
        <f t="shared" si="74"/>
        <v>1302733.389999995</v>
      </c>
      <c r="AJ195" s="158">
        <f t="shared" si="74"/>
        <v>1552830.4699999918</v>
      </c>
      <c r="AK195" s="400">
        <f t="shared" si="74"/>
        <v>16193501.339999883</v>
      </c>
      <c r="AL195" s="400"/>
      <c r="AM195" s="400"/>
      <c r="AN195" s="400"/>
      <c r="AO195" s="400"/>
    </row>
    <row r="196" spans="3:41">
      <c r="C196" s="121" t="s">
        <v>1145</v>
      </c>
      <c r="D196" s="320" t="s">
        <v>16</v>
      </c>
      <c r="F196" s="355" t="str">
        <f t="shared" si="70"/>
        <v>Residential - Experimental - FPU</v>
      </c>
      <c r="G196" s="158">
        <f t="shared" si="73"/>
        <v>0</v>
      </c>
      <c r="H196" s="158">
        <f t="shared" si="73"/>
        <v>0</v>
      </c>
      <c r="I196" s="158">
        <f t="shared" si="73"/>
        <v>0</v>
      </c>
      <c r="J196" s="158">
        <f t="shared" si="73"/>
        <v>0</v>
      </c>
      <c r="K196" s="158">
        <f t="shared" si="73"/>
        <v>0</v>
      </c>
      <c r="L196" s="158">
        <f t="shared" si="73"/>
        <v>0</v>
      </c>
      <c r="M196" s="158">
        <f t="shared" si="73"/>
        <v>0</v>
      </c>
      <c r="N196" s="158">
        <f t="shared" si="73"/>
        <v>0</v>
      </c>
      <c r="O196" s="158">
        <f t="shared" si="73"/>
        <v>0</v>
      </c>
      <c r="P196" s="158">
        <f t="shared" si="73"/>
        <v>0</v>
      </c>
      <c r="Q196" s="158">
        <f t="shared" si="73"/>
        <v>0</v>
      </c>
      <c r="R196" s="158">
        <f t="shared" si="73"/>
        <v>0</v>
      </c>
      <c r="S196" s="400">
        <f t="shared" si="73"/>
        <v>0</v>
      </c>
      <c r="T196" s="158">
        <f t="shared" si="73"/>
        <v>0</v>
      </c>
      <c r="U196" s="158">
        <f t="shared" si="73"/>
        <v>0</v>
      </c>
      <c r="V196" s="158">
        <f t="shared" si="73"/>
        <v>0</v>
      </c>
      <c r="W196" s="158">
        <f t="shared" si="73"/>
        <v>0</v>
      </c>
      <c r="X196" s="164"/>
      <c r="Y196" s="158">
        <f t="shared" si="74"/>
        <v>0</v>
      </c>
      <c r="Z196" s="158">
        <f t="shared" si="74"/>
        <v>0</v>
      </c>
      <c r="AA196" s="158">
        <f t="shared" si="74"/>
        <v>0</v>
      </c>
      <c r="AB196" s="158">
        <f t="shared" si="74"/>
        <v>0</v>
      </c>
      <c r="AC196" s="158">
        <f t="shared" si="74"/>
        <v>0</v>
      </c>
      <c r="AD196" s="158">
        <f t="shared" si="74"/>
        <v>0</v>
      </c>
      <c r="AE196" s="158">
        <f t="shared" si="74"/>
        <v>0</v>
      </c>
      <c r="AF196" s="158">
        <f t="shared" si="74"/>
        <v>0</v>
      </c>
      <c r="AG196" s="158">
        <f t="shared" si="74"/>
        <v>0</v>
      </c>
      <c r="AH196" s="158">
        <f t="shared" si="74"/>
        <v>0</v>
      </c>
      <c r="AI196" s="158">
        <f t="shared" si="74"/>
        <v>0</v>
      </c>
      <c r="AJ196" s="158">
        <f t="shared" si="74"/>
        <v>0</v>
      </c>
      <c r="AK196" s="400">
        <f t="shared" si="74"/>
        <v>0</v>
      </c>
      <c r="AL196" s="400"/>
      <c r="AM196" s="400"/>
      <c r="AN196" s="400"/>
      <c r="AO196" s="400"/>
    </row>
    <row r="197" spans="3:41">
      <c r="C197" s="121" t="s">
        <v>1153</v>
      </c>
      <c r="D197" s="320" t="s">
        <v>16</v>
      </c>
      <c r="F197" s="355" t="str">
        <f t="shared" si="70"/>
        <v>Non-Residential - FPU</v>
      </c>
      <c r="G197" s="158">
        <f t="shared" si="73"/>
        <v>2642275.1599999997</v>
      </c>
      <c r="H197" s="158">
        <f t="shared" si="73"/>
        <v>2492587.4299999983</v>
      </c>
      <c r="I197" s="158">
        <f t="shared" si="73"/>
        <v>2372172.8699999987</v>
      </c>
      <c r="J197" s="158">
        <f t="shared" si="73"/>
        <v>1909920.2999999966</v>
      </c>
      <c r="K197" s="158">
        <f t="shared" si="73"/>
        <v>1876895.8799999978</v>
      </c>
      <c r="L197" s="158">
        <f t="shared" si="73"/>
        <v>1888084.5799999989</v>
      </c>
      <c r="M197" s="158">
        <f t="shared" si="73"/>
        <v>1993840.0100000012</v>
      </c>
      <c r="N197" s="158">
        <f t="shared" si="73"/>
        <v>1949380.8799999987</v>
      </c>
      <c r="O197" s="158">
        <f t="shared" si="73"/>
        <v>1940984.0599999973</v>
      </c>
      <c r="P197" s="158">
        <f t="shared" si="73"/>
        <v>1993589.9199999997</v>
      </c>
      <c r="Q197" s="158">
        <f t="shared" si="73"/>
        <v>2117240.9600000004</v>
      </c>
      <c r="R197" s="158">
        <f t="shared" si="73"/>
        <v>2339173.3499999996</v>
      </c>
      <c r="S197" s="400">
        <f t="shared" ca="1" si="73"/>
        <v>25516145.399999984</v>
      </c>
      <c r="T197" s="158">
        <f t="shared" si="73"/>
        <v>7507035.4599999981</v>
      </c>
      <c r="U197" s="158">
        <f t="shared" si="73"/>
        <v>5674900.7599999933</v>
      </c>
      <c r="V197" s="158">
        <f t="shared" si="73"/>
        <v>5884204.9499999974</v>
      </c>
      <c r="W197" s="158">
        <f t="shared" si="73"/>
        <v>6450004.2299999995</v>
      </c>
      <c r="X197" s="164"/>
      <c r="Y197" s="158">
        <f t="shared" si="74"/>
        <v>2567214.0599999991</v>
      </c>
      <c r="Z197" s="158">
        <f t="shared" si="74"/>
        <v>2347160.5499999975</v>
      </c>
      <c r="AA197" s="158">
        <f t="shared" si="74"/>
        <v>2350184.4999999991</v>
      </c>
      <c r="AB197" s="158">
        <f t="shared" si="74"/>
        <v>2359988.8999999948</v>
      </c>
      <c r="AC197" s="158">
        <f t="shared" si="74"/>
        <v>2223820.4799999967</v>
      </c>
      <c r="AD197" s="158">
        <f t="shared" si="74"/>
        <v>2063738.9799999986</v>
      </c>
      <c r="AE197" s="158">
        <f t="shared" si="74"/>
        <v>2153697.6199999973</v>
      </c>
      <c r="AF197" s="158">
        <f t="shared" si="74"/>
        <v>2035404.8599999996</v>
      </c>
      <c r="AG197" s="158">
        <f t="shared" si="74"/>
        <v>2126256.819999998</v>
      </c>
      <c r="AH197" s="158">
        <f t="shared" si="74"/>
        <v>2148885.5799999977</v>
      </c>
      <c r="AI197" s="158">
        <f t="shared" si="74"/>
        <v>2256739.8999999962</v>
      </c>
      <c r="AJ197" s="158">
        <f t="shared" si="74"/>
        <v>2422106.84</v>
      </c>
      <c r="AK197" s="400">
        <f t="shared" si="74"/>
        <v>27055199.08999997</v>
      </c>
      <c r="AL197" s="400"/>
      <c r="AM197" s="400"/>
      <c r="AN197" s="400"/>
      <c r="AO197" s="400"/>
    </row>
    <row r="198" spans="3:41">
      <c r="C198" s="121" t="s">
        <v>1190</v>
      </c>
      <c r="D198" s="320" t="s">
        <v>16</v>
      </c>
      <c r="F198" s="355" t="str">
        <f t="shared" si="70"/>
        <v>Non-Residential-Experimental - FPU</v>
      </c>
      <c r="G198" s="158">
        <f t="shared" si="73"/>
        <v>0</v>
      </c>
      <c r="H198" s="158">
        <f t="shared" si="73"/>
        <v>0</v>
      </c>
      <c r="I198" s="158">
        <f t="shared" si="73"/>
        <v>0</v>
      </c>
      <c r="J198" s="158">
        <f t="shared" si="73"/>
        <v>0</v>
      </c>
      <c r="K198" s="158">
        <f t="shared" si="73"/>
        <v>0</v>
      </c>
      <c r="L198" s="158">
        <f t="shared" si="73"/>
        <v>0</v>
      </c>
      <c r="M198" s="158">
        <f t="shared" si="73"/>
        <v>0</v>
      </c>
      <c r="N198" s="158">
        <f t="shared" si="73"/>
        <v>0</v>
      </c>
      <c r="O198" s="158">
        <f t="shared" si="73"/>
        <v>0</v>
      </c>
      <c r="P198" s="158">
        <f t="shared" si="73"/>
        <v>0</v>
      </c>
      <c r="Q198" s="158">
        <f t="shared" si="73"/>
        <v>0</v>
      </c>
      <c r="R198" s="158">
        <f t="shared" si="73"/>
        <v>0</v>
      </c>
      <c r="S198" s="400">
        <f t="shared" si="73"/>
        <v>0</v>
      </c>
      <c r="T198" s="158">
        <f t="shared" si="73"/>
        <v>0</v>
      </c>
      <c r="U198" s="158">
        <f t="shared" si="73"/>
        <v>0</v>
      </c>
      <c r="V198" s="158">
        <f t="shared" si="73"/>
        <v>0</v>
      </c>
      <c r="W198" s="158">
        <f t="shared" si="73"/>
        <v>0</v>
      </c>
      <c r="X198" s="164"/>
      <c r="Y198" s="158">
        <f t="shared" si="74"/>
        <v>0</v>
      </c>
      <c r="Z198" s="158">
        <f t="shared" si="74"/>
        <v>0</v>
      </c>
      <c r="AA198" s="158">
        <f t="shared" si="74"/>
        <v>0</v>
      </c>
      <c r="AB198" s="158">
        <f t="shared" si="74"/>
        <v>0</v>
      </c>
      <c r="AC198" s="158">
        <f t="shared" si="74"/>
        <v>0</v>
      </c>
      <c r="AD198" s="158">
        <f t="shared" si="74"/>
        <v>0</v>
      </c>
      <c r="AE198" s="158">
        <f t="shared" si="74"/>
        <v>0</v>
      </c>
      <c r="AF198" s="158">
        <f t="shared" si="74"/>
        <v>0</v>
      </c>
      <c r="AG198" s="158">
        <f t="shared" si="74"/>
        <v>0</v>
      </c>
      <c r="AH198" s="158">
        <f t="shared" si="74"/>
        <v>0</v>
      </c>
      <c r="AI198" s="158">
        <f t="shared" si="74"/>
        <v>0</v>
      </c>
      <c r="AJ198" s="158">
        <f t="shared" si="74"/>
        <v>0</v>
      </c>
      <c r="AK198" s="400">
        <f t="shared" si="74"/>
        <v>0</v>
      </c>
      <c r="AL198" s="400"/>
      <c r="AM198" s="400"/>
      <c r="AN198" s="400"/>
      <c r="AO198" s="400"/>
    </row>
    <row r="199" spans="3:41">
      <c r="C199" s="121" t="s">
        <v>1197</v>
      </c>
      <c r="D199" s="320" t="s">
        <v>16</v>
      </c>
      <c r="F199" s="355" t="str">
        <f t="shared" si="70"/>
        <v>Industrial - FPU</v>
      </c>
      <c r="G199" s="158">
        <f t="shared" si="73"/>
        <v>117734.45</v>
      </c>
      <c r="H199" s="158">
        <f t="shared" si="73"/>
        <v>101233.45</v>
      </c>
      <c r="I199" s="158">
        <f t="shared" si="73"/>
        <v>111063.45</v>
      </c>
      <c r="J199" s="158">
        <f t="shared" si="73"/>
        <v>113217.45</v>
      </c>
      <c r="K199" s="158">
        <f t="shared" si="73"/>
        <v>133798.41999999998</v>
      </c>
      <c r="L199" s="158">
        <f t="shared" si="73"/>
        <v>131705.69</v>
      </c>
      <c r="M199" s="158">
        <f t="shared" si="73"/>
        <v>134459.15999999997</v>
      </c>
      <c r="N199" s="158">
        <f t="shared" si="73"/>
        <v>109182.25</v>
      </c>
      <c r="O199" s="158">
        <f t="shared" si="73"/>
        <v>129394.29</v>
      </c>
      <c r="P199" s="158">
        <f t="shared" si="73"/>
        <v>130685.43999999999</v>
      </c>
      <c r="Q199" s="158">
        <f t="shared" si="73"/>
        <v>135941.21</v>
      </c>
      <c r="R199" s="158">
        <f t="shared" si="73"/>
        <v>242800.21</v>
      </c>
      <c r="S199" s="400">
        <f t="shared" ca="1" si="73"/>
        <v>1591215.4699999997</v>
      </c>
      <c r="T199" s="158">
        <f t="shared" si="73"/>
        <v>330031.34999999998</v>
      </c>
      <c r="U199" s="158">
        <f t="shared" si="73"/>
        <v>378721.56</v>
      </c>
      <c r="V199" s="158">
        <f t="shared" si="73"/>
        <v>373035.69999999995</v>
      </c>
      <c r="W199" s="158">
        <f t="shared" si="73"/>
        <v>509426.86</v>
      </c>
      <c r="X199" s="164"/>
      <c r="Y199" s="158">
        <f t="shared" si="74"/>
        <v>226644.40999999997</v>
      </c>
      <c r="Z199" s="158">
        <f t="shared" si="74"/>
        <v>219807.2</v>
      </c>
      <c r="AA199" s="158">
        <f t="shared" si="74"/>
        <v>228335.44</v>
      </c>
      <c r="AB199" s="158">
        <f t="shared" si="74"/>
        <v>215950.72999999998</v>
      </c>
      <c r="AC199" s="158">
        <f t="shared" si="74"/>
        <v>227612.25</v>
      </c>
      <c r="AD199" s="158">
        <f t="shared" si="74"/>
        <v>230673.13999999998</v>
      </c>
      <c r="AE199" s="158">
        <f t="shared" si="74"/>
        <v>229237.03</v>
      </c>
      <c r="AF199" s="158">
        <f t="shared" si="74"/>
        <v>231742.56</v>
      </c>
      <c r="AG199" s="158">
        <f t="shared" si="74"/>
        <v>231299.01</v>
      </c>
      <c r="AH199" s="158">
        <f t="shared" si="74"/>
        <v>240917.29</v>
      </c>
      <c r="AI199" s="158">
        <f t="shared" si="74"/>
        <v>237873.12</v>
      </c>
      <c r="AJ199" s="158">
        <f t="shared" si="74"/>
        <v>240521.74</v>
      </c>
      <c r="AK199" s="400">
        <f t="shared" ca="1" si="74"/>
        <v>2760613.92</v>
      </c>
      <c r="AL199" s="400">
        <f ca="1">AK195+AK197+AK199</f>
        <v>46009314.349999852</v>
      </c>
      <c r="AM199" s="400"/>
      <c r="AN199" s="400"/>
      <c r="AO199" s="400"/>
    </row>
    <row r="200" spans="3:41">
      <c r="C200" s="121" t="s">
        <v>18</v>
      </c>
      <c r="D200" s="320" t="s">
        <v>16</v>
      </c>
      <c r="F200" s="355" t="str">
        <f t="shared" si="70"/>
        <v>Miscellaneous Revenues - FPU</v>
      </c>
      <c r="G200" s="158">
        <f t="shared" si="73"/>
        <v>909633</v>
      </c>
      <c r="H200" s="158">
        <f t="shared" si="73"/>
        <v>981435</v>
      </c>
      <c r="I200" s="158">
        <f t="shared" si="73"/>
        <v>1142815</v>
      </c>
      <c r="J200" s="158">
        <f t="shared" si="73"/>
        <v>729008</v>
      </c>
      <c r="K200" s="158">
        <f t="shared" si="73"/>
        <v>847503</v>
      </c>
      <c r="L200" s="158">
        <f t="shared" si="73"/>
        <v>950116.01</v>
      </c>
      <c r="M200" s="158">
        <f t="shared" si="73"/>
        <v>824536.34999999986</v>
      </c>
      <c r="N200" s="158">
        <f t="shared" si="73"/>
        <v>1001134.0599999999</v>
      </c>
      <c r="O200" s="158">
        <f t="shared" si="73"/>
        <v>1080996.04</v>
      </c>
      <c r="P200" s="158">
        <f t="shared" si="73"/>
        <v>1171823.81</v>
      </c>
      <c r="Q200" s="158">
        <f t="shared" si="73"/>
        <v>1150763.44</v>
      </c>
      <c r="R200" s="158">
        <f t="shared" si="73"/>
        <v>1292375.92</v>
      </c>
      <c r="S200" s="400">
        <f t="shared" ca="1" si="73"/>
        <v>12082139.629999999</v>
      </c>
      <c r="T200" s="158">
        <f t="shared" si="73"/>
        <v>3033883</v>
      </c>
      <c r="U200" s="158">
        <f t="shared" si="73"/>
        <v>2526627.0100000002</v>
      </c>
      <c r="V200" s="158">
        <f t="shared" si="73"/>
        <v>2906666.4499999993</v>
      </c>
      <c r="W200" s="158">
        <f t="shared" si="73"/>
        <v>3614963.17</v>
      </c>
      <c r="X200" s="164"/>
      <c r="Y200" s="158">
        <f t="shared" si="74"/>
        <v>1011842.6699999997</v>
      </c>
      <c r="Z200" s="158">
        <f t="shared" si="74"/>
        <v>1127023.8300000003</v>
      </c>
      <c r="AA200" s="158">
        <f t="shared" si="74"/>
        <v>1167202.43</v>
      </c>
      <c r="AB200" s="158">
        <f t="shared" si="74"/>
        <v>1375114.8900000001</v>
      </c>
      <c r="AC200" s="158">
        <f t="shared" si="74"/>
        <v>1146478.3199999998</v>
      </c>
      <c r="AD200" s="158">
        <f t="shared" si="74"/>
        <v>1151288.55</v>
      </c>
      <c r="AE200" s="158">
        <f t="shared" si="74"/>
        <v>1164359.43</v>
      </c>
      <c r="AF200" s="158">
        <f t="shared" si="74"/>
        <v>1328699.6499999999</v>
      </c>
      <c r="AG200" s="158">
        <f t="shared" si="74"/>
        <v>1007245.3399999999</v>
      </c>
      <c r="AH200" s="158">
        <f t="shared" si="74"/>
        <v>1465350.82</v>
      </c>
      <c r="AI200" s="158">
        <f t="shared" si="74"/>
        <v>1523974.99</v>
      </c>
      <c r="AJ200" s="158">
        <f t="shared" si="74"/>
        <v>1291910.3400000047</v>
      </c>
      <c r="AK200" s="400">
        <f t="shared" ca="1" si="74"/>
        <v>14760491.260000004</v>
      </c>
      <c r="AL200" s="400"/>
      <c r="AM200" s="400"/>
      <c r="AN200" s="400"/>
      <c r="AO200" s="400"/>
    </row>
    <row r="201" spans="3:41">
      <c r="C201" s="121" t="s">
        <v>1229</v>
      </c>
      <c r="D201" s="320" t="s">
        <v>16</v>
      </c>
      <c r="F201" s="355" t="str">
        <f t="shared" si="70"/>
        <v>COGS - FPU</v>
      </c>
      <c r="G201" s="158">
        <f t="shared" si="73"/>
        <v>47470</v>
      </c>
      <c r="H201" s="158">
        <f t="shared" si="73"/>
        <v>44948</v>
      </c>
      <c r="I201" s="158">
        <f t="shared" si="73"/>
        <v>42566</v>
      </c>
      <c r="J201" s="158">
        <f t="shared" si="73"/>
        <v>34180</v>
      </c>
      <c r="K201" s="158">
        <f t="shared" si="73"/>
        <v>33887</v>
      </c>
      <c r="L201" s="158">
        <f t="shared" si="73"/>
        <v>31557.08</v>
      </c>
      <c r="M201" s="158">
        <f t="shared" si="73"/>
        <v>31076.07</v>
      </c>
      <c r="N201" s="158">
        <f t="shared" si="73"/>
        <v>30663</v>
      </c>
      <c r="O201" s="158">
        <f t="shared" si="73"/>
        <v>31691</v>
      </c>
      <c r="P201" s="158">
        <f t="shared" si="73"/>
        <v>33540.400000000001</v>
      </c>
      <c r="Q201" s="158">
        <f t="shared" si="73"/>
        <v>38533.78</v>
      </c>
      <c r="R201" s="158">
        <f t="shared" si="73"/>
        <v>49153</v>
      </c>
      <c r="S201" s="400">
        <f t="shared" ca="1" si="73"/>
        <v>449265.33000000007</v>
      </c>
      <c r="T201" s="158">
        <f t="shared" si="73"/>
        <v>134984</v>
      </c>
      <c r="U201" s="158">
        <f t="shared" si="73"/>
        <v>99624.08</v>
      </c>
      <c r="V201" s="158">
        <f t="shared" si="73"/>
        <v>93430.07</v>
      </c>
      <c r="W201" s="158">
        <f t="shared" si="73"/>
        <v>121227.18</v>
      </c>
      <c r="X201" s="164"/>
      <c r="Y201" s="158">
        <f t="shared" si="74"/>
        <v>56404</v>
      </c>
      <c r="Z201" s="158">
        <f t="shared" si="74"/>
        <v>49172</v>
      </c>
      <c r="AA201" s="158">
        <f t="shared" si="74"/>
        <v>46856</v>
      </c>
      <c r="AB201" s="158">
        <f t="shared" si="74"/>
        <v>48246</v>
      </c>
      <c r="AC201" s="158">
        <f t="shared" si="74"/>
        <v>42109</v>
      </c>
      <c r="AD201" s="158">
        <f t="shared" si="74"/>
        <v>36848</v>
      </c>
      <c r="AE201" s="158">
        <f t="shared" si="74"/>
        <v>36763</v>
      </c>
      <c r="AF201" s="158">
        <f t="shared" si="74"/>
        <v>35131</v>
      </c>
      <c r="AG201" s="158">
        <f t="shared" si="74"/>
        <v>36132</v>
      </c>
      <c r="AH201" s="158">
        <f t="shared" si="74"/>
        <v>37545</v>
      </c>
      <c r="AI201" s="158">
        <f t="shared" si="74"/>
        <v>41265</v>
      </c>
      <c r="AJ201" s="158">
        <f t="shared" si="74"/>
        <v>47279.35</v>
      </c>
      <c r="AK201" s="400">
        <f t="shared" ca="1" si="74"/>
        <v>513750.35</v>
      </c>
      <c r="AL201" s="400"/>
      <c r="AM201" s="400"/>
      <c r="AN201" s="400"/>
      <c r="AO201" s="400"/>
    </row>
    <row r="202" spans="3:41">
      <c r="C202" s="259" t="s">
        <v>249</v>
      </c>
      <c r="D202" s="320" t="s">
        <v>16</v>
      </c>
      <c r="F202" s="328" t="str">
        <f t="shared" si="70"/>
        <v>TOTAL - FPU</v>
      </c>
      <c r="G202" s="400">
        <f t="shared" ref="G202:W202" si="75">SUM(G195:G200)-G201</f>
        <v>5203803.6999999918</v>
      </c>
      <c r="H202" s="400">
        <f t="shared" si="75"/>
        <v>5008047.890000008</v>
      </c>
      <c r="I202" s="400">
        <f t="shared" si="75"/>
        <v>4981464.9299999774</v>
      </c>
      <c r="J202" s="400">
        <f t="shared" si="75"/>
        <v>4061846.0299999653</v>
      </c>
      <c r="K202" s="400">
        <f t="shared" si="75"/>
        <v>4122921.1499999799</v>
      </c>
      <c r="L202" s="400">
        <f t="shared" si="75"/>
        <v>4081439.7699999968</v>
      </c>
      <c r="M202" s="400">
        <f t="shared" si="75"/>
        <v>3999720.7400000035</v>
      </c>
      <c r="N202" s="400">
        <f t="shared" si="75"/>
        <v>4065037.6199999973</v>
      </c>
      <c r="O202" s="400">
        <f t="shared" si="75"/>
        <v>4156491.0699999956</v>
      </c>
      <c r="P202" s="400">
        <f t="shared" si="75"/>
        <v>4334933.1400000006</v>
      </c>
      <c r="Q202" s="400">
        <f t="shared" si="75"/>
        <v>4615642.0999999857</v>
      </c>
      <c r="R202" s="400">
        <f t="shared" si="75"/>
        <v>5436864.8999999771</v>
      </c>
      <c r="S202" s="400">
        <f t="shared" ca="1" si="75"/>
        <v>54068213.039999872</v>
      </c>
      <c r="T202" s="400">
        <f t="shared" si="75"/>
        <v>15193316.519999979</v>
      </c>
      <c r="U202" s="400">
        <f t="shared" si="75"/>
        <v>12266206.949999942</v>
      </c>
      <c r="V202" s="400">
        <f t="shared" si="75"/>
        <v>12221249.429999994</v>
      </c>
      <c r="W202" s="400">
        <f t="shared" si="75"/>
        <v>14387440.139999961</v>
      </c>
      <c r="X202" s="164"/>
      <c r="Y202" s="400">
        <f t="shared" ref="Y202:AK202" si="76">SUM(Y195:Y200)-Y201</f>
        <v>5665216.5899999896</v>
      </c>
      <c r="Z202" s="400">
        <f t="shared" si="76"/>
        <v>5277436.9799999846</v>
      </c>
      <c r="AA202" s="400">
        <f t="shared" si="76"/>
        <v>5194102.4799999734</v>
      </c>
      <c r="AB202" s="400">
        <f t="shared" si="76"/>
        <v>5366764.6299999841</v>
      </c>
      <c r="AC202" s="400">
        <f t="shared" si="76"/>
        <v>4825437.2799999919</v>
      </c>
      <c r="AD202" s="400">
        <f t="shared" si="76"/>
        <v>4566924.0199999902</v>
      </c>
      <c r="AE202" s="400">
        <f t="shared" si="76"/>
        <v>4632327.5399999954</v>
      </c>
      <c r="AF202" s="400">
        <f t="shared" si="76"/>
        <v>4621720.2499999888</v>
      </c>
      <c r="AG202" s="400">
        <f t="shared" si="76"/>
        <v>4428068.6599999908</v>
      </c>
      <c r="AH202" s="400">
        <f t="shared" si="76"/>
        <v>4937910.3899999857</v>
      </c>
      <c r="AI202" s="400">
        <f t="shared" si="76"/>
        <v>5280056.3999999911</v>
      </c>
      <c r="AJ202" s="400">
        <f t="shared" si="76"/>
        <v>5460090.0399999963</v>
      </c>
      <c r="AK202" s="400">
        <f t="shared" ca="1" si="76"/>
        <v>60256055.259999856</v>
      </c>
      <c r="AL202" s="400">
        <v>58319282.020000003</v>
      </c>
      <c r="AM202" s="400">
        <f ca="1">AL202-AK202</f>
        <v>-1936773.2399998531</v>
      </c>
      <c r="AN202" s="400"/>
      <c r="AO202" s="400"/>
    </row>
    <row r="203" spans="3:41">
      <c r="X203" s="164"/>
    </row>
    <row r="204" spans="3:41">
      <c r="C204" s="121" t="s">
        <v>8</v>
      </c>
      <c r="D204" s="320" t="s">
        <v>17</v>
      </c>
      <c r="F204" s="355" t="str">
        <f>CONCATENATE(C204, " - ",D204)</f>
        <v>Residential - CFG</v>
      </c>
      <c r="G204" s="158">
        <f t="shared" ref="G204:V210" si="77">SUMIFS(G$5:G$181,$C$5:$C$181,$C204,$D$5:$D$181,$D204)</f>
        <v>537400.3699999972</v>
      </c>
      <c r="H204" s="158">
        <f t="shared" si="77"/>
        <v>519571.81000000186</v>
      </c>
      <c r="I204" s="158">
        <f t="shared" si="77"/>
        <v>514825.13999999833</v>
      </c>
      <c r="J204" s="158">
        <f t="shared" si="77"/>
        <v>460098.20999999798</v>
      </c>
      <c r="K204" s="158">
        <f t="shared" si="77"/>
        <v>445049.15999999421</v>
      </c>
      <c r="L204" s="158">
        <f t="shared" si="77"/>
        <v>425810.06999999908</v>
      </c>
      <c r="M204" s="158">
        <f t="shared" si="77"/>
        <v>430285.01999999624</v>
      </c>
      <c r="N204" s="158">
        <f t="shared" si="77"/>
        <v>418948.3699999961</v>
      </c>
      <c r="O204" s="158">
        <f t="shared" si="77"/>
        <v>424473.55999999918</v>
      </c>
      <c r="P204" s="158">
        <f t="shared" si="77"/>
        <v>431760.5700000088</v>
      </c>
      <c r="Q204" s="158">
        <f t="shared" si="77"/>
        <v>460387.73000000365</v>
      </c>
      <c r="R204" s="158">
        <f t="shared" si="77"/>
        <v>555239.2400000029</v>
      </c>
      <c r="S204" s="400">
        <f t="shared" ca="1" si="77"/>
        <v>5623849.2499999963</v>
      </c>
      <c r="T204" s="158">
        <f t="shared" si="77"/>
        <v>1571797.3199999973</v>
      </c>
      <c r="U204" s="158">
        <f t="shared" si="77"/>
        <v>1330957.4399999911</v>
      </c>
      <c r="V204" s="158">
        <f t="shared" si="77"/>
        <v>1273706.9499999918</v>
      </c>
      <c r="W204" s="158">
        <f t="shared" ref="Q204:W210" si="78">SUMIFS(W$5:W$181,$C$5:$C$181,$C204,$D$5:$D$181,$D204)</f>
        <v>1447387.5400000152</v>
      </c>
      <c r="X204" s="164"/>
      <c r="Y204" s="158">
        <f t="shared" ref="Y204:AK210" si="79">SUMIFS(Y$5:Y$181,$C$5:$C$181,$C204,$D$5:$D$181,$D204)</f>
        <v>594341.56000000692</v>
      </c>
      <c r="Z204" s="158">
        <f t="shared" si="79"/>
        <v>527574.60000000591</v>
      </c>
      <c r="AA204" s="158">
        <f t="shared" si="79"/>
        <v>516843.78000001365</v>
      </c>
      <c r="AB204" s="158">
        <f t="shared" si="79"/>
        <v>527892.0199999992</v>
      </c>
      <c r="AC204" s="158">
        <f t="shared" si="79"/>
        <v>466926.98999999289</v>
      </c>
      <c r="AD204" s="158">
        <f t="shared" si="79"/>
        <v>456750.36000000132</v>
      </c>
      <c r="AE204" s="158">
        <f t="shared" si="79"/>
        <v>453803.6199999993</v>
      </c>
      <c r="AF204" s="158">
        <f t="shared" si="79"/>
        <v>439698.99000000377</v>
      </c>
      <c r="AG204" s="158">
        <f t="shared" si="79"/>
        <v>443550.29999999813</v>
      </c>
      <c r="AH204" s="158">
        <f t="shared" si="79"/>
        <v>450116.95999999804</v>
      </c>
      <c r="AI204" s="158">
        <f t="shared" si="79"/>
        <v>480226.2300000001</v>
      </c>
      <c r="AJ204" s="158">
        <f t="shared" si="79"/>
        <v>559552.61000000709</v>
      </c>
      <c r="AK204" s="400">
        <f t="shared" si="79"/>
        <v>5917278.0200000275</v>
      </c>
      <c r="AL204" s="400"/>
      <c r="AM204" s="400"/>
      <c r="AN204" s="400"/>
      <c r="AO204" s="400"/>
    </row>
    <row r="205" spans="3:41">
      <c r="C205" s="121" t="s">
        <v>1145</v>
      </c>
      <c r="D205" s="320" t="s">
        <v>17</v>
      </c>
      <c r="F205" s="355" t="str">
        <f t="shared" si="70"/>
        <v>Residential - Experimental - CFG</v>
      </c>
      <c r="G205" s="158">
        <f t="shared" si="77"/>
        <v>8433.4399999999987</v>
      </c>
      <c r="H205" s="158">
        <f t="shared" si="77"/>
        <v>8414.77</v>
      </c>
      <c r="I205" s="158">
        <f t="shared" si="77"/>
        <v>8388</v>
      </c>
      <c r="J205" s="158">
        <f t="shared" si="77"/>
        <v>8375.8700000000008</v>
      </c>
      <c r="K205" s="158">
        <f t="shared" si="77"/>
        <v>8320.93</v>
      </c>
      <c r="L205" s="158">
        <f t="shared" si="77"/>
        <v>8317.0299999999988</v>
      </c>
      <c r="M205" s="158">
        <f t="shared" si="77"/>
        <v>8309.93</v>
      </c>
      <c r="N205" s="158">
        <f t="shared" si="77"/>
        <v>8301.77</v>
      </c>
      <c r="O205" s="158">
        <f t="shared" si="77"/>
        <v>8310.4699999999993</v>
      </c>
      <c r="P205" s="158">
        <f t="shared" si="77"/>
        <v>8299.5099999999984</v>
      </c>
      <c r="Q205" s="158">
        <f t="shared" si="78"/>
        <v>8308.2799999999988</v>
      </c>
      <c r="R205" s="158">
        <f t="shared" si="78"/>
        <v>8401.27</v>
      </c>
      <c r="S205" s="400">
        <f t="shared" ca="1" si="78"/>
        <v>100181.27</v>
      </c>
      <c r="T205" s="158">
        <f t="shared" si="78"/>
        <v>25236.21</v>
      </c>
      <c r="U205" s="158">
        <f t="shared" si="78"/>
        <v>25013.829999999998</v>
      </c>
      <c r="V205" s="158">
        <f t="shared" si="78"/>
        <v>24922.17</v>
      </c>
      <c r="W205" s="158">
        <f t="shared" si="78"/>
        <v>25009.06</v>
      </c>
      <c r="X205" s="164"/>
      <c r="Y205" s="158">
        <f t="shared" si="79"/>
        <v>8198.73</v>
      </c>
      <c r="Z205" s="158">
        <f t="shared" si="79"/>
        <v>8333.1</v>
      </c>
      <c r="AA205" s="158">
        <f t="shared" si="79"/>
        <v>8217.1</v>
      </c>
      <c r="AB205" s="158">
        <f t="shared" si="79"/>
        <v>8243.9</v>
      </c>
      <c r="AC205" s="158">
        <f t="shared" si="79"/>
        <v>8162.4299999999994</v>
      </c>
      <c r="AD205" s="158">
        <f t="shared" si="79"/>
        <v>8157.87</v>
      </c>
      <c r="AE205" s="158">
        <f t="shared" si="79"/>
        <v>8094.17</v>
      </c>
      <c r="AF205" s="158">
        <f t="shared" si="79"/>
        <v>8166.0100000000011</v>
      </c>
      <c r="AG205" s="158">
        <f t="shared" si="79"/>
        <v>8096.4299999999994</v>
      </c>
      <c r="AH205" s="158">
        <f t="shared" si="79"/>
        <v>7984.6799999999994</v>
      </c>
      <c r="AI205" s="158">
        <f t="shared" ref="AI205:AK210" si="80">SUMIFS(AI$5:AI$181,$C$5:$C$181,$C205,$D$5:$D$181,$D205)</f>
        <v>8044.6</v>
      </c>
      <c r="AJ205" s="158">
        <f t="shared" si="80"/>
        <v>8161.6</v>
      </c>
      <c r="AK205" s="400">
        <f t="shared" si="80"/>
        <v>97860.62000000001</v>
      </c>
      <c r="AL205" s="400"/>
      <c r="AM205" s="400"/>
      <c r="AN205" s="400"/>
      <c r="AO205" s="400"/>
    </row>
    <row r="206" spans="3:41">
      <c r="C206" s="121" t="s">
        <v>1153</v>
      </c>
      <c r="D206" s="320" t="s">
        <v>17</v>
      </c>
      <c r="F206" s="355" t="str">
        <f t="shared" si="70"/>
        <v>Non-Residential - CFG</v>
      </c>
      <c r="G206" s="158">
        <f t="shared" si="77"/>
        <v>739901.93</v>
      </c>
      <c r="H206" s="158">
        <f t="shared" si="77"/>
        <v>708617.01000000013</v>
      </c>
      <c r="I206" s="158">
        <f t="shared" si="77"/>
        <v>718415.03</v>
      </c>
      <c r="J206" s="158">
        <f t="shared" si="77"/>
        <v>630937.67999999993</v>
      </c>
      <c r="K206" s="158">
        <f t="shared" si="77"/>
        <v>655661.2300000001</v>
      </c>
      <c r="L206" s="158">
        <f t="shared" si="77"/>
        <v>633609.26000000013</v>
      </c>
      <c r="M206" s="158">
        <f t="shared" si="77"/>
        <v>630995.99</v>
      </c>
      <c r="N206" s="158">
        <f t="shared" si="77"/>
        <v>661597.1100000001</v>
      </c>
      <c r="O206" s="158">
        <f t="shared" si="77"/>
        <v>658730.42000000004</v>
      </c>
      <c r="P206" s="158">
        <f t="shared" si="77"/>
        <v>675402.5199999999</v>
      </c>
      <c r="Q206" s="158">
        <f t="shared" si="78"/>
        <v>669367.30000000016</v>
      </c>
      <c r="R206" s="158">
        <f t="shared" si="78"/>
        <v>736168.87000000011</v>
      </c>
      <c r="S206" s="400">
        <f t="shared" ca="1" si="78"/>
        <v>8119404.3499999996</v>
      </c>
      <c r="T206" s="158">
        <f t="shared" si="78"/>
        <v>2166933.9700000002</v>
      </c>
      <c r="U206" s="158">
        <f t="shared" si="78"/>
        <v>1920208.1700000002</v>
      </c>
      <c r="V206" s="158">
        <f t="shared" si="78"/>
        <v>1951323.5200000005</v>
      </c>
      <c r="W206" s="158">
        <f t="shared" si="78"/>
        <v>2080938.6900000004</v>
      </c>
      <c r="X206" s="164"/>
      <c r="Y206" s="158">
        <f t="shared" si="79"/>
        <v>760951.48</v>
      </c>
      <c r="Z206" s="158">
        <f t="shared" si="79"/>
        <v>710507.94000000006</v>
      </c>
      <c r="AA206" s="158">
        <f t="shared" si="79"/>
        <v>742960.41</v>
      </c>
      <c r="AB206" s="158">
        <f t="shared" si="79"/>
        <v>729475.03999999992</v>
      </c>
      <c r="AC206" s="158">
        <f t="shared" si="79"/>
        <v>682225.2100000002</v>
      </c>
      <c r="AD206" s="158">
        <f t="shared" si="79"/>
        <v>652274.78999999992</v>
      </c>
      <c r="AE206" s="158">
        <f t="shared" si="79"/>
        <v>673998.33</v>
      </c>
      <c r="AF206" s="158">
        <f t="shared" si="79"/>
        <v>678694.1399999999</v>
      </c>
      <c r="AG206" s="158">
        <f t="shared" si="79"/>
        <v>658343.15</v>
      </c>
      <c r="AH206" s="158">
        <f t="shared" si="79"/>
        <v>691250.71000000008</v>
      </c>
      <c r="AI206" s="158">
        <f t="shared" si="80"/>
        <v>708205.72</v>
      </c>
      <c r="AJ206" s="158">
        <f t="shared" si="80"/>
        <v>747546.7699999999</v>
      </c>
      <c r="AK206" s="400">
        <f t="shared" si="80"/>
        <v>8436433.6899999995</v>
      </c>
      <c r="AL206" s="400"/>
      <c r="AM206" s="400"/>
      <c r="AN206" s="400"/>
      <c r="AO206" s="400"/>
    </row>
    <row r="207" spans="3:41">
      <c r="C207" s="121" t="s">
        <v>1190</v>
      </c>
      <c r="D207" s="320" t="s">
        <v>17</v>
      </c>
      <c r="F207" s="355" t="str">
        <f t="shared" si="70"/>
        <v>Non-Residential-Experimental - CFG</v>
      </c>
      <c r="G207" s="158">
        <f t="shared" si="77"/>
        <v>7122.6</v>
      </c>
      <c r="H207" s="158">
        <f t="shared" si="77"/>
        <v>7144</v>
      </c>
      <c r="I207" s="158">
        <f t="shared" si="77"/>
        <v>7155.6</v>
      </c>
      <c r="J207" s="158">
        <f t="shared" si="77"/>
        <v>7202</v>
      </c>
      <c r="K207" s="158">
        <f t="shared" si="77"/>
        <v>7007.53</v>
      </c>
      <c r="L207" s="158">
        <f t="shared" si="77"/>
        <v>6933.4</v>
      </c>
      <c r="M207" s="158">
        <f t="shared" si="77"/>
        <v>6976.6</v>
      </c>
      <c r="N207" s="158">
        <f t="shared" si="77"/>
        <v>6937.3</v>
      </c>
      <c r="O207" s="158">
        <f t="shared" si="77"/>
        <v>6893.8</v>
      </c>
      <c r="P207" s="158">
        <f t="shared" si="77"/>
        <v>6771.33</v>
      </c>
      <c r="Q207" s="158">
        <f t="shared" si="78"/>
        <v>7071.43</v>
      </c>
      <c r="R207" s="158">
        <f t="shared" si="78"/>
        <v>6895.57</v>
      </c>
      <c r="S207" s="400">
        <f t="shared" ca="1" si="78"/>
        <v>84111.16</v>
      </c>
      <c r="T207" s="158">
        <f t="shared" si="78"/>
        <v>21422.199999999997</v>
      </c>
      <c r="U207" s="158">
        <f t="shared" si="78"/>
        <v>21142.93</v>
      </c>
      <c r="V207" s="158">
        <f t="shared" si="78"/>
        <v>20807.7</v>
      </c>
      <c r="W207" s="158">
        <f t="shared" si="78"/>
        <v>20738.330000000002</v>
      </c>
      <c r="X207" s="164"/>
      <c r="Y207" s="158">
        <f t="shared" si="79"/>
        <v>7189.5</v>
      </c>
      <c r="Z207" s="158">
        <f t="shared" si="79"/>
        <v>7023</v>
      </c>
      <c r="AA207" s="158">
        <f t="shared" si="79"/>
        <v>7055.87</v>
      </c>
      <c r="AB207" s="158">
        <f t="shared" si="79"/>
        <v>7100.33</v>
      </c>
      <c r="AC207" s="158">
        <f t="shared" si="79"/>
        <v>7081</v>
      </c>
      <c r="AD207" s="158">
        <f t="shared" si="79"/>
        <v>7081</v>
      </c>
      <c r="AE207" s="158">
        <f t="shared" si="79"/>
        <v>7062.9</v>
      </c>
      <c r="AF207" s="158">
        <f t="shared" si="79"/>
        <v>7064.9</v>
      </c>
      <c r="AG207" s="158">
        <f t="shared" si="79"/>
        <v>6985.7999999999993</v>
      </c>
      <c r="AH207" s="158">
        <f t="shared" si="79"/>
        <v>6770</v>
      </c>
      <c r="AI207" s="158">
        <f t="shared" si="80"/>
        <v>6653.2</v>
      </c>
      <c r="AJ207" s="158">
        <f t="shared" si="80"/>
        <v>6730.77</v>
      </c>
      <c r="AK207" s="400">
        <f t="shared" si="80"/>
        <v>83798.27</v>
      </c>
      <c r="AL207" s="400"/>
      <c r="AM207" s="400"/>
      <c r="AN207" s="400"/>
      <c r="AO207" s="400"/>
    </row>
    <row r="208" spans="3:41">
      <c r="C208" s="121" t="s">
        <v>1197</v>
      </c>
      <c r="D208" s="320" t="s">
        <v>17</v>
      </c>
      <c r="F208" s="355" t="str">
        <f t="shared" si="70"/>
        <v>Industrial - CFG</v>
      </c>
      <c r="G208" s="158">
        <f t="shared" si="77"/>
        <v>258886.23500000002</v>
      </c>
      <c r="H208" s="158">
        <f t="shared" si="77"/>
        <v>250486.96</v>
      </c>
      <c r="I208" s="158">
        <f t="shared" si="77"/>
        <v>259480.53</v>
      </c>
      <c r="J208" s="158">
        <f t="shared" si="77"/>
        <v>253511.93</v>
      </c>
      <c r="K208" s="158">
        <f t="shared" si="77"/>
        <v>257671.42</v>
      </c>
      <c r="L208" s="158">
        <f t="shared" si="77"/>
        <v>254228.80000000002</v>
      </c>
      <c r="M208" s="158">
        <f t="shared" si="77"/>
        <v>258137.83000000002</v>
      </c>
      <c r="N208" s="158">
        <f t="shared" si="77"/>
        <v>283669.76999999996</v>
      </c>
      <c r="O208" s="158">
        <f t="shared" si="77"/>
        <v>226668.51</v>
      </c>
      <c r="P208" s="158">
        <f t="shared" si="77"/>
        <v>256323.01</v>
      </c>
      <c r="Q208" s="158">
        <f t="shared" si="78"/>
        <v>252766.48</v>
      </c>
      <c r="R208" s="158">
        <f t="shared" si="78"/>
        <v>259643.49</v>
      </c>
      <c r="S208" s="400">
        <f t="shared" ca="1" si="78"/>
        <v>3071474.9649999999</v>
      </c>
      <c r="T208" s="158">
        <f t="shared" si="78"/>
        <v>768853.72499999998</v>
      </c>
      <c r="U208" s="158">
        <f t="shared" si="78"/>
        <v>765412.15</v>
      </c>
      <c r="V208" s="158">
        <f t="shared" si="78"/>
        <v>768476.11</v>
      </c>
      <c r="W208" s="158">
        <f t="shared" si="78"/>
        <v>768732.98</v>
      </c>
      <c r="X208" s="164"/>
      <c r="Y208" s="158">
        <f t="shared" si="79"/>
        <v>270231.58</v>
      </c>
      <c r="Z208" s="158">
        <f t="shared" si="79"/>
        <v>238513.77999999997</v>
      </c>
      <c r="AA208" s="158">
        <f t="shared" si="79"/>
        <v>259844.78</v>
      </c>
      <c r="AB208" s="158">
        <f t="shared" si="79"/>
        <v>255535.24</v>
      </c>
      <c r="AC208" s="158">
        <f t="shared" si="79"/>
        <v>258500.78</v>
      </c>
      <c r="AD208" s="158">
        <f t="shared" si="79"/>
        <v>255009.66</v>
      </c>
      <c r="AE208" s="158">
        <f t="shared" si="79"/>
        <v>258500.78</v>
      </c>
      <c r="AF208" s="158">
        <f t="shared" si="79"/>
        <v>257041.36</v>
      </c>
      <c r="AG208" s="158">
        <f t="shared" si="79"/>
        <v>253769.52</v>
      </c>
      <c r="AH208" s="158">
        <f t="shared" si="79"/>
        <v>257373.38999999998</v>
      </c>
      <c r="AI208" s="158">
        <f t="shared" si="80"/>
        <v>253756.50999999998</v>
      </c>
      <c r="AJ208" s="158">
        <f t="shared" si="80"/>
        <v>259185.22999999998</v>
      </c>
      <c r="AK208" s="400">
        <f t="shared" ca="1" si="80"/>
        <v>3077262.61</v>
      </c>
      <c r="AL208" s="400"/>
      <c r="AM208" s="400"/>
      <c r="AN208" s="400"/>
      <c r="AO208" s="400"/>
    </row>
    <row r="209" spans="3:41">
      <c r="C209" s="121" t="s">
        <v>18</v>
      </c>
      <c r="D209" s="320" t="s">
        <v>17</v>
      </c>
      <c r="F209" s="355" t="str">
        <f t="shared" si="70"/>
        <v>Miscellaneous Revenues - CFG</v>
      </c>
      <c r="G209" s="158">
        <f t="shared" si="77"/>
        <v>459657</v>
      </c>
      <c r="H209" s="158">
        <f t="shared" si="77"/>
        <v>435695</v>
      </c>
      <c r="I209" s="158">
        <f t="shared" si="77"/>
        <v>865743</v>
      </c>
      <c r="J209" s="158">
        <f t="shared" si="77"/>
        <v>381215</v>
      </c>
      <c r="K209" s="158">
        <f t="shared" si="77"/>
        <v>464629</v>
      </c>
      <c r="L209" s="158">
        <f t="shared" si="77"/>
        <v>426397.61</v>
      </c>
      <c r="M209" s="158">
        <f t="shared" si="77"/>
        <v>473343.7</v>
      </c>
      <c r="N209" s="158">
        <f t="shared" si="77"/>
        <v>460828.45000000007</v>
      </c>
      <c r="O209" s="158">
        <f t="shared" si="77"/>
        <v>445049.7099999999</v>
      </c>
      <c r="P209" s="158">
        <f t="shared" si="77"/>
        <v>510750.40000000014</v>
      </c>
      <c r="Q209" s="158">
        <f t="shared" si="78"/>
        <v>469484.72000000003</v>
      </c>
      <c r="R209" s="158">
        <f t="shared" si="78"/>
        <v>451464.46999999991</v>
      </c>
      <c r="S209" s="400">
        <f t="shared" ca="1" si="78"/>
        <v>5844258.0599999996</v>
      </c>
      <c r="T209" s="158">
        <f t="shared" si="78"/>
        <v>1761095</v>
      </c>
      <c r="U209" s="158">
        <f t="shared" si="78"/>
        <v>1272241.6100000001</v>
      </c>
      <c r="V209" s="158">
        <f t="shared" si="78"/>
        <v>1379221.86</v>
      </c>
      <c r="W209" s="158">
        <f t="shared" si="78"/>
        <v>1431699.59</v>
      </c>
      <c r="X209" s="164"/>
      <c r="Y209" s="158">
        <f t="shared" si="79"/>
        <v>408875.52999999997</v>
      </c>
      <c r="Z209" s="158">
        <f t="shared" si="79"/>
        <v>522987.89000000007</v>
      </c>
      <c r="AA209" s="158">
        <f t="shared" si="79"/>
        <v>496279.21</v>
      </c>
      <c r="AB209" s="158">
        <f t="shared" si="79"/>
        <v>601063.18000000005</v>
      </c>
      <c r="AC209" s="158">
        <f t="shared" si="79"/>
        <v>468261.49999999994</v>
      </c>
      <c r="AD209" s="158">
        <f t="shared" si="79"/>
        <v>479536.79000000004</v>
      </c>
      <c r="AE209" s="158">
        <f t="shared" si="79"/>
        <v>470226.77000000008</v>
      </c>
      <c r="AF209" s="158">
        <f t="shared" si="79"/>
        <v>518717.97999999992</v>
      </c>
      <c r="AG209" s="158">
        <f t="shared" si="79"/>
        <v>416010.77999999991</v>
      </c>
      <c r="AH209" s="158">
        <f t="shared" si="79"/>
        <v>511702.54</v>
      </c>
      <c r="AI209" s="158">
        <f t="shared" si="80"/>
        <v>523468.01000000007</v>
      </c>
      <c r="AJ209" s="158">
        <f t="shared" si="80"/>
        <v>452663.14999999973</v>
      </c>
      <c r="AK209" s="400">
        <f t="shared" ca="1" si="80"/>
        <v>5869793.3299999991</v>
      </c>
      <c r="AL209" s="400"/>
      <c r="AM209" s="400"/>
      <c r="AN209" s="400"/>
      <c r="AO209" s="400"/>
    </row>
    <row r="210" spans="3:41">
      <c r="C210" s="121" t="s">
        <v>1229</v>
      </c>
      <c r="D210" s="320" t="s">
        <v>17</v>
      </c>
      <c r="F210" s="355" t="str">
        <f t="shared" si="70"/>
        <v>COGS - CFG</v>
      </c>
      <c r="G210" s="158">
        <f t="shared" si="77"/>
        <v>14382</v>
      </c>
      <c r="H210" s="158">
        <f t="shared" si="77"/>
        <v>13043</v>
      </c>
      <c r="I210" s="158">
        <f t="shared" si="77"/>
        <v>13614</v>
      </c>
      <c r="J210" s="158">
        <f t="shared" si="77"/>
        <v>12158</v>
      </c>
      <c r="K210" s="158">
        <f t="shared" si="77"/>
        <v>12328</v>
      </c>
      <c r="L210" s="158">
        <f t="shared" si="77"/>
        <v>11705.75</v>
      </c>
      <c r="M210" s="158">
        <f t="shared" si="77"/>
        <v>12066.82</v>
      </c>
      <c r="N210" s="158">
        <f t="shared" si="77"/>
        <v>12246</v>
      </c>
      <c r="O210" s="158">
        <f t="shared" si="77"/>
        <v>11923</v>
      </c>
      <c r="P210" s="158">
        <f t="shared" si="77"/>
        <v>12766</v>
      </c>
      <c r="Q210" s="158">
        <f t="shared" si="78"/>
        <v>12610.46</v>
      </c>
      <c r="R210" s="158">
        <f t="shared" si="78"/>
        <v>13861</v>
      </c>
      <c r="S210" s="400">
        <f t="shared" ca="1" si="78"/>
        <v>152704.03</v>
      </c>
      <c r="T210" s="158">
        <f t="shared" si="78"/>
        <v>41039</v>
      </c>
      <c r="U210" s="158">
        <f t="shared" si="78"/>
        <v>36191.75</v>
      </c>
      <c r="V210" s="158">
        <f t="shared" si="78"/>
        <v>36235.82</v>
      </c>
      <c r="W210" s="158">
        <f t="shared" si="78"/>
        <v>39237.46</v>
      </c>
      <c r="X210" s="164"/>
      <c r="Y210" s="158">
        <f t="shared" si="79"/>
        <v>15654</v>
      </c>
      <c r="Z210" s="158">
        <f t="shared" si="79"/>
        <v>14530</v>
      </c>
      <c r="AA210" s="158">
        <f t="shared" si="79"/>
        <v>15000</v>
      </c>
      <c r="AB210" s="158">
        <f t="shared" si="79"/>
        <v>14552</v>
      </c>
      <c r="AC210" s="158">
        <f t="shared" si="79"/>
        <v>13763</v>
      </c>
      <c r="AD210" s="158">
        <f t="shared" si="79"/>
        <v>13254</v>
      </c>
      <c r="AE210" s="158">
        <f t="shared" si="79"/>
        <v>14320</v>
      </c>
      <c r="AF210" s="158">
        <f t="shared" si="79"/>
        <v>13651</v>
      </c>
      <c r="AG210" s="158">
        <f t="shared" si="79"/>
        <v>13183</v>
      </c>
      <c r="AH210" s="158">
        <f t="shared" si="79"/>
        <v>14006</v>
      </c>
      <c r="AI210" s="158">
        <f t="shared" si="80"/>
        <v>14373</v>
      </c>
      <c r="AJ210" s="158">
        <f t="shared" si="80"/>
        <v>15063.42</v>
      </c>
      <c r="AK210" s="400">
        <f t="shared" ca="1" si="80"/>
        <v>171349.42</v>
      </c>
      <c r="AL210" s="400"/>
      <c r="AM210" s="400"/>
      <c r="AN210" s="400"/>
      <c r="AO210" s="400"/>
    </row>
    <row r="211" spans="3:41">
      <c r="C211" s="259" t="s">
        <v>249</v>
      </c>
      <c r="D211" s="320" t="s">
        <v>17</v>
      </c>
      <c r="F211" s="328" t="str">
        <f t="shared" si="70"/>
        <v>TOTAL - CFG</v>
      </c>
      <c r="G211" s="400">
        <f t="shared" ref="G211:W211" si="81">SUM(G204:G209)-G210</f>
        <v>1997019.5749999974</v>
      </c>
      <c r="H211" s="400">
        <f t="shared" si="81"/>
        <v>1916886.5500000019</v>
      </c>
      <c r="I211" s="400">
        <f t="shared" si="81"/>
        <v>2360393.2999999984</v>
      </c>
      <c r="J211" s="400">
        <f t="shared" si="81"/>
        <v>1729182.6899999978</v>
      </c>
      <c r="K211" s="400">
        <f t="shared" si="81"/>
        <v>1826011.2699999942</v>
      </c>
      <c r="L211" s="400">
        <f t="shared" si="81"/>
        <v>1743590.419999999</v>
      </c>
      <c r="M211" s="400">
        <f t="shared" si="81"/>
        <v>1795982.2499999963</v>
      </c>
      <c r="N211" s="400">
        <f t="shared" si="81"/>
        <v>1828036.7699999963</v>
      </c>
      <c r="O211" s="400">
        <f t="shared" si="81"/>
        <v>1758203.4699999993</v>
      </c>
      <c r="P211" s="400">
        <f t="shared" si="81"/>
        <v>1876541.3400000089</v>
      </c>
      <c r="Q211" s="400">
        <f t="shared" si="81"/>
        <v>1854775.4800000037</v>
      </c>
      <c r="R211" s="400">
        <f t="shared" si="81"/>
        <v>2003951.9100000032</v>
      </c>
      <c r="S211" s="400">
        <f t="shared" ca="1" si="81"/>
        <v>22690575.024999995</v>
      </c>
      <c r="T211" s="400">
        <f t="shared" si="81"/>
        <v>6274299.424999997</v>
      </c>
      <c r="U211" s="400">
        <f t="shared" si="81"/>
        <v>5298784.3799999915</v>
      </c>
      <c r="V211" s="400">
        <f t="shared" si="81"/>
        <v>5382222.4899999918</v>
      </c>
      <c r="W211" s="400">
        <f t="shared" si="81"/>
        <v>5735268.7300000163</v>
      </c>
      <c r="X211" s="164"/>
      <c r="Y211" s="400">
        <f t="shared" ref="Y211:AK211" si="82">SUM(Y204:Y209)-Y210</f>
        <v>2034134.3800000071</v>
      </c>
      <c r="Z211" s="400">
        <f t="shared" si="82"/>
        <v>2000410.3100000061</v>
      </c>
      <c r="AA211" s="400">
        <f t="shared" si="82"/>
        <v>2016201.1500000136</v>
      </c>
      <c r="AB211" s="400">
        <f t="shared" si="82"/>
        <v>2114757.709999999</v>
      </c>
      <c r="AC211" s="400">
        <f t="shared" si="82"/>
        <v>1877394.9099999932</v>
      </c>
      <c r="AD211" s="400">
        <f t="shared" si="82"/>
        <v>1845556.4700000011</v>
      </c>
      <c r="AE211" s="400">
        <f t="shared" si="82"/>
        <v>1857366.5699999991</v>
      </c>
      <c r="AF211" s="400">
        <f t="shared" si="82"/>
        <v>1895732.3800000036</v>
      </c>
      <c r="AG211" s="400">
        <f t="shared" si="82"/>
        <v>1773572.9799999981</v>
      </c>
      <c r="AH211" s="400">
        <f t="shared" si="82"/>
        <v>1911192.2799999982</v>
      </c>
      <c r="AI211" s="400">
        <f t="shared" si="82"/>
        <v>1965981.27</v>
      </c>
      <c r="AJ211" s="400">
        <f t="shared" si="82"/>
        <v>2018776.7100000067</v>
      </c>
      <c r="AK211" s="400">
        <f t="shared" ca="1" si="82"/>
        <v>23311077.120000023</v>
      </c>
      <c r="AL211" s="400"/>
      <c r="AM211" s="400"/>
      <c r="AN211" s="400"/>
      <c r="AO211" s="400"/>
    </row>
    <row r="212" spans="3:41">
      <c r="X212" s="164"/>
    </row>
    <row r="213" spans="3:41">
      <c r="C213" s="121" t="s">
        <v>8</v>
      </c>
      <c r="D213" s="320" t="s">
        <v>13</v>
      </c>
      <c r="F213" s="355" t="str">
        <f>CONCATENATE(C213, " - ",D213)</f>
        <v>Residential - IGC</v>
      </c>
      <c r="G213" s="158">
        <f t="shared" ref="G213:W219" si="83">SUMIFS(G$5:G$181,$C$5:$C$181,$C213,$D$5:$D$181,$D213)</f>
        <v>10629.220000000007</v>
      </c>
      <c r="H213" s="158">
        <f t="shared" si="83"/>
        <v>9749.7299999999959</v>
      </c>
      <c r="I213" s="158">
        <f t="shared" si="83"/>
        <v>9878.9499999999935</v>
      </c>
      <c r="J213" s="158">
        <f t="shared" si="83"/>
        <v>10163.71000000001</v>
      </c>
      <c r="K213" s="158">
        <f t="shared" si="83"/>
        <v>9863.31</v>
      </c>
      <c r="L213" s="158">
        <f t="shared" si="83"/>
        <v>9441.5100000000039</v>
      </c>
      <c r="M213" s="158">
        <f t="shared" si="83"/>
        <v>9842.6099999999897</v>
      </c>
      <c r="N213" s="158">
        <f t="shared" si="83"/>
        <v>9233.2900000000027</v>
      </c>
      <c r="O213" s="158">
        <f t="shared" si="83"/>
        <v>9360.6099999999933</v>
      </c>
      <c r="P213" s="158">
        <f t="shared" si="83"/>
        <v>9404.9399999999951</v>
      </c>
      <c r="Q213" s="158">
        <f t="shared" si="83"/>
        <v>10043.070000000007</v>
      </c>
      <c r="R213" s="158">
        <f t="shared" si="83"/>
        <v>10510.440000000008</v>
      </c>
      <c r="S213" s="400">
        <f t="shared" ca="1" si="83"/>
        <v>118121.39000000001</v>
      </c>
      <c r="T213" s="158">
        <f t="shared" si="83"/>
        <v>30257.899999999998</v>
      </c>
      <c r="U213" s="158">
        <f t="shared" si="83"/>
        <v>29468.530000000013</v>
      </c>
      <c r="V213" s="158">
        <f t="shared" si="83"/>
        <v>28436.509999999987</v>
      </c>
      <c r="W213" s="158">
        <f t="shared" si="83"/>
        <v>29958.450000000012</v>
      </c>
      <c r="X213" s="164"/>
      <c r="Y213" s="158">
        <f t="shared" ref="Y213:AK219" si="84">SUMIFS(Y$5:Y$181,$C$5:$C$181,$C213,$D$5:$D$181,$D213)</f>
        <v>10659.050000000005</v>
      </c>
      <c r="Z213" s="158">
        <f t="shared" si="84"/>
        <v>9879.9399999999914</v>
      </c>
      <c r="AA213" s="158">
        <f t="shared" si="84"/>
        <v>10068.860000000006</v>
      </c>
      <c r="AB213" s="158">
        <f t="shared" si="84"/>
        <v>9778.0400000000063</v>
      </c>
      <c r="AC213" s="158">
        <f t="shared" si="84"/>
        <v>9442.0199999999822</v>
      </c>
      <c r="AD213" s="158">
        <f t="shared" si="84"/>
        <v>9592.0200000000168</v>
      </c>
      <c r="AE213" s="158">
        <f t="shared" si="84"/>
        <v>9484.7999999999975</v>
      </c>
      <c r="AF213" s="158">
        <f t="shared" si="84"/>
        <v>9096.3500000000222</v>
      </c>
      <c r="AG213" s="158">
        <f t="shared" si="84"/>
        <v>9540.5399999999845</v>
      </c>
      <c r="AH213" s="158">
        <f t="shared" si="84"/>
        <v>9181.2299999999941</v>
      </c>
      <c r="AI213" s="158">
        <f t="shared" si="84"/>
        <v>8999.8700000000026</v>
      </c>
      <c r="AJ213" s="158">
        <f t="shared" si="84"/>
        <v>10788.779999999997</v>
      </c>
      <c r="AK213" s="400">
        <f t="shared" si="84"/>
        <v>116511.5</v>
      </c>
      <c r="AL213" s="400"/>
      <c r="AM213" s="400"/>
      <c r="AN213" s="400"/>
      <c r="AO213" s="400"/>
    </row>
    <row r="214" spans="3:41">
      <c r="C214" s="121" t="s">
        <v>1145</v>
      </c>
      <c r="D214" s="320" t="s">
        <v>13</v>
      </c>
      <c r="F214" s="355" t="str">
        <f t="shared" si="70"/>
        <v>Residential - Experimental - IGC</v>
      </c>
      <c r="G214" s="158">
        <f t="shared" si="83"/>
        <v>0</v>
      </c>
      <c r="H214" s="158">
        <f t="shared" si="83"/>
        <v>0</v>
      </c>
      <c r="I214" s="158">
        <f t="shared" si="83"/>
        <v>0</v>
      </c>
      <c r="J214" s="158">
        <f t="shared" si="83"/>
        <v>0</v>
      </c>
      <c r="K214" s="158">
        <f t="shared" si="83"/>
        <v>0</v>
      </c>
      <c r="L214" s="158">
        <f t="shared" si="83"/>
        <v>0</v>
      </c>
      <c r="M214" s="158">
        <f t="shared" si="83"/>
        <v>0</v>
      </c>
      <c r="N214" s="158">
        <f t="shared" si="83"/>
        <v>0</v>
      </c>
      <c r="O214" s="158">
        <f t="shared" si="83"/>
        <v>0</v>
      </c>
      <c r="P214" s="158">
        <f t="shared" si="83"/>
        <v>0</v>
      </c>
      <c r="Q214" s="158">
        <f t="shared" si="83"/>
        <v>0</v>
      </c>
      <c r="R214" s="158">
        <f t="shared" si="83"/>
        <v>0</v>
      </c>
      <c r="S214" s="400">
        <f t="shared" si="83"/>
        <v>0</v>
      </c>
      <c r="T214" s="158">
        <f t="shared" si="83"/>
        <v>0</v>
      </c>
      <c r="U214" s="158">
        <f t="shared" si="83"/>
        <v>0</v>
      </c>
      <c r="V214" s="158">
        <f t="shared" si="83"/>
        <v>0</v>
      </c>
      <c r="W214" s="158">
        <f t="shared" si="83"/>
        <v>0</v>
      </c>
      <c r="X214" s="164"/>
      <c r="Y214" s="158">
        <f t="shared" si="84"/>
        <v>0</v>
      </c>
      <c r="Z214" s="158">
        <f t="shared" si="84"/>
        <v>0</v>
      </c>
      <c r="AA214" s="158">
        <f t="shared" si="84"/>
        <v>0</v>
      </c>
      <c r="AB214" s="158">
        <f t="shared" si="84"/>
        <v>0</v>
      </c>
      <c r="AC214" s="158">
        <f t="shared" si="84"/>
        <v>0</v>
      </c>
      <c r="AD214" s="158">
        <f t="shared" si="84"/>
        <v>0</v>
      </c>
      <c r="AE214" s="158">
        <f t="shared" si="84"/>
        <v>0</v>
      </c>
      <c r="AF214" s="158">
        <f t="shared" si="84"/>
        <v>0</v>
      </c>
      <c r="AG214" s="158">
        <f t="shared" si="84"/>
        <v>0</v>
      </c>
      <c r="AH214" s="158">
        <f t="shared" si="84"/>
        <v>0</v>
      </c>
      <c r="AI214" s="158">
        <f t="shared" si="84"/>
        <v>0</v>
      </c>
      <c r="AJ214" s="158">
        <f t="shared" si="84"/>
        <v>0</v>
      </c>
      <c r="AK214" s="400">
        <f t="shared" si="84"/>
        <v>0</v>
      </c>
      <c r="AL214" s="400"/>
      <c r="AM214" s="400"/>
      <c r="AN214" s="400"/>
      <c r="AO214" s="400"/>
    </row>
    <row r="215" spans="3:41">
      <c r="C215" s="121" t="s">
        <v>1153</v>
      </c>
      <c r="D215" s="320" t="s">
        <v>13</v>
      </c>
      <c r="F215" s="355" t="str">
        <f t="shared" si="70"/>
        <v>Non-Residential - IGC</v>
      </c>
      <c r="G215" s="158">
        <f t="shared" si="83"/>
        <v>8056.14</v>
      </c>
      <c r="H215" s="158">
        <f t="shared" si="83"/>
        <v>8048.4400000000005</v>
      </c>
      <c r="I215" s="158">
        <f t="shared" si="83"/>
        <v>8041.63</v>
      </c>
      <c r="J215" s="158">
        <f t="shared" si="83"/>
        <v>7996.19</v>
      </c>
      <c r="K215" s="158">
        <f t="shared" si="83"/>
        <v>8011.72</v>
      </c>
      <c r="L215" s="158">
        <f t="shared" si="83"/>
        <v>7975.4800000000005</v>
      </c>
      <c r="M215" s="158">
        <f t="shared" si="83"/>
        <v>8021.93</v>
      </c>
      <c r="N215" s="158">
        <f t="shared" si="83"/>
        <v>7969.78</v>
      </c>
      <c r="O215" s="158">
        <f t="shared" si="83"/>
        <v>8013.35</v>
      </c>
      <c r="P215" s="158">
        <f t="shared" si="83"/>
        <v>7944.29</v>
      </c>
      <c r="Q215" s="158">
        <f t="shared" si="83"/>
        <v>8007.54</v>
      </c>
      <c r="R215" s="158">
        <f t="shared" si="83"/>
        <v>8000.79</v>
      </c>
      <c r="S215" s="400">
        <f t="shared" ca="1" si="83"/>
        <v>96087.28</v>
      </c>
      <c r="T215" s="158">
        <f t="shared" si="83"/>
        <v>24146.21</v>
      </c>
      <c r="U215" s="158">
        <f t="shared" si="83"/>
        <v>23983.39</v>
      </c>
      <c r="V215" s="158">
        <f t="shared" si="83"/>
        <v>24005.06</v>
      </c>
      <c r="W215" s="158">
        <f t="shared" si="83"/>
        <v>23952.62</v>
      </c>
      <c r="X215" s="164"/>
      <c r="Y215" s="158">
        <f t="shared" si="84"/>
        <v>8015.05</v>
      </c>
      <c r="Z215" s="158">
        <f t="shared" si="84"/>
        <v>-11785.6</v>
      </c>
      <c r="AA215" s="158">
        <f t="shared" si="84"/>
        <v>984.92000000000019</v>
      </c>
      <c r="AB215" s="158">
        <f t="shared" si="84"/>
        <v>1028.8900000000001</v>
      </c>
      <c r="AC215" s="158">
        <f t="shared" si="84"/>
        <v>978.06999999999994</v>
      </c>
      <c r="AD215" s="158">
        <f t="shared" si="84"/>
        <v>1017.32</v>
      </c>
      <c r="AE215" s="158">
        <f t="shared" si="84"/>
        <v>973.90000000000009</v>
      </c>
      <c r="AF215" s="158">
        <f t="shared" si="84"/>
        <v>958.57999999999993</v>
      </c>
      <c r="AG215" s="158">
        <f t="shared" si="84"/>
        <v>1029.95</v>
      </c>
      <c r="AH215" s="158">
        <f t="shared" si="84"/>
        <v>923.07999999999981</v>
      </c>
      <c r="AI215" s="158">
        <f t="shared" si="84"/>
        <v>1025.5900000000001</v>
      </c>
      <c r="AJ215" s="158">
        <f t="shared" si="84"/>
        <v>991.78000000000009</v>
      </c>
      <c r="AK215" s="400">
        <f t="shared" si="84"/>
        <v>6141.5299999999988</v>
      </c>
      <c r="AL215" s="400"/>
      <c r="AM215" s="400"/>
      <c r="AN215" s="400"/>
      <c r="AO215" s="400"/>
    </row>
    <row r="216" spans="3:41">
      <c r="C216" s="121" t="s">
        <v>1190</v>
      </c>
      <c r="D216" s="320" t="s">
        <v>13</v>
      </c>
      <c r="F216" s="355" t="str">
        <f t="shared" si="70"/>
        <v>Non-Residential-Experimental - IGC</v>
      </c>
      <c r="G216" s="158">
        <f t="shared" si="83"/>
        <v>0</v>
      </c>
      <c r="H216" s="158">
        <f t="shared" si="83"/>
        <v>0</v>
      </c>
      <c r="I216" s="158">
        <f t="shared" si="83"/>
        <v>0</v>
      </c>
      <c r="J216" s="158">
        <f t="shared" si="83"/>
        <v>0</v>
      </c>
      <c r="K216" s="158">
        <f t="shared" si="83"/>
        <v>0</v>
      </c>
      <c r="L216" s="158">
        <f t="shared" si="83"/>
        <v>0</v>
      </c>
      <c r="M216" s="158">
        <f t="shared" si="83"/>
        <v>0</v>
      </c>
      <c r="N216" s="158">
        <f t="shared" si="83"/>
        <v>0</v>
      </c>
      <c r="O216" s="158">
        <f t="shared" si="83"/>
        <v>0</v>
      </c>
      <c r="P216" s="158">
        <f t="shared" si="83"/>
        <v>0</v>
      </c>
      <c r="Q216" s="158">
        <f t="shared" si="83"/>
        <v>0</v>
      </c>
      <c r="R216" s="158">
        <f t="shared" si="83"/>
        <v>0</v>
      </c>
      <c r="S216" s="400">
        <f t="shared" si="83"/>
        <v>0</v>
      </c>
      <c r="T216" s="158">
        <f t="shared" si="83"/>
        <v>0</v>
      </c>
      <c r="U216" s="158">
        <f t="shared" si="83"/>
        <v>0</v>
      </c>
      <c r="V216" s="158">
        <f t="shared" si="83"/>
        <v>0</v>
      </c>
      <c r="W216" s="158">
        <f t="shared" si="83"/>
        <v>0</v>
      </c>
      <c r="X216" s="164"/>
      <c r="Y216" s="158">
        <f t="shared" si="84"/>
        <v>0</v>
      </c>
      <c r="Z216" s="158">
        <f t="shared" si="84"/>
        <v>0</v>
      </c>
      <c r="AA216" s="158">
        <f t="shared" si="84"/>
        <v>0</v>
      </c>
      <c r="AB216" s="158">
        <f t="shared" si="84"/>
        <v>0</v>
      </c>
      <c r="AC216" s="158">
        <f t="shared" si="84"/>
        <v>0</v>
      </c>
      <c r="AD216" s="158">
        <f t="shared" si="84"/>
        <v>0</v>
      </c>
      <c r="AE216" s="158">
        <f t="shared" si="84"/>
        <v>0</v>
      </c>
      <c r="AF216" s="158">
        <f t="shared" si="84"/>
        <v>0</v>
      </c>
      <c r="AG216" s="158">
        <f t="shared" si="84"/>
        <v>0</v>
      </c>
      <c r="AH216" s="158">
        <f t="shared" si="84"/>
        <v>0</v>
      </c>
      <c r="AI216" s="158">
        <f t="shared" si="84"/>
        <v>0</v>
      </c>
      <c r="AJ216" s="158">
        <f t="shared" si="84"/>
        <v>0</v>
      </c>
      <c r="AK216" s="400">
        <f t="shared" si="84"/>
        <v>0</v>
      </c>
      <c r="AL216" s="400"/>
      <c r="AM216" s="400"/>
      <c r="AN216" s="400"/>
      <c r="AO216" s="400"/>
    </row>
    <row r="217" spans="3:41">
      <c r="C217" s="121" t="s">
        <v>1197</v>
      </c>
      <c r="D217" s="320" t="s">
        <v>13</v>
      </c>
      <c r="F217" s="355" t="str">
        <f t="shared" si="70"/>
        <v>Industrial - IGC</v>
      </c>
      <c r="G217" s="158">
        <f t="shared" si="83"/>
        <v>0</v>
      </c>
      <c r="H217" s="158">
        <f t="shared" si="83"/>
        <v>0</v>
      </c>
      <c r="I217" s="158">
        <f t="shared" si="83"/>
        <v>0</v>
      </c>
      <c r="J217" s="158">
        <f t="shared" si="83"/>
        <v>0</v>
      </c>
      <c r="K217" s="158">
        <f t="shared" si="83"/>
        <v>0</v>
      </c>
      <c r="L217" s="158">
        <f t="shared" si="83"/>
        <v>0</v>
      </c>
      <c r="M217" s="158">
        <f t="shared" si="83"/>
        <v>0</v>
      </c>
      <c r="N217" s="158">
        <f t="shared" si="83"/>
        <v>0</v>
      </c>
      <c r="O217" s="158">
        <f t="shared" si="83"/>
        <v>0</v>
      </c>
      <c r="P217" s="158">
        <f t="shared" si="83"/>
        <v>0</v>
      </c>
      <c r="Q217" s="158">
        <f t="shared" si="83"/>
        <v>0</v>
      </c>
      <c r="R217" s="158">
        <f t="shared" si="83"/>
        <v>0</v>
      </c>
      <c r="S217" s="400">
        <f t="shared" si="83"/>
        <v>0</v>
      </c>
      <c r="T217" s="158">
        <f t="shared" si="83"/>
        <v>0</v>
      </c>
      <c r="U217" s="158">
        <f t="shared" si="83"/>
        <v>0</v>
      </c>
      <c r="V217" s="158">
        <f t="shared" si="83"/>
        <v>0</v>
      </c>
      <c r="W217" s="158">
        <f t="shared" si="83"/>
        <v>0</v>
      </c>
      <c r="X217" s="164"/>
      <c r="Y217" s="158">
        <f t="shared" si="84"/>
        <v>0</v>
      </c>
      <c r="Z217" s="158">
        <f t="shared" si="84"/>
        <v>0</v>
      </c>
      <c r="AA217" s="158">
        <f t="shared" si="84"/>
        <v>0</v>
      </c>
      <c r="AB217" s="158">
        <f t="shared" si="84"/>
        <v>0</v>
      </c>
      <c r="AC217" s="158">
        <f t="shared" si="84"/>
        <v>0</v>
      </c>
      <c r="AD217" s="158">
        <f t="shared" si="84"/>
        <v>0</v>
      </c>
      <c r="AE217" s="158">
        <f t="shared" si="84"/>
        <v>0</v>
      </c>
      <c r="AF217" s="158">
        <f t="shared" si="84"/>
        <v>0</v>
      </c>
      <c r="AG217" s="158">
        <f t="shared" si="84"/>
        <v>0</v>
      </c>
      <c r="AH217" s="158">
        <f t="shared" si="84"/>
        <v>0</v>
      </c>
      <c r="AI217" s="158">
        <f t="shared" si="84"/>
        <v>0</v>
      </c>
      <c r="AJ217" s="158">
        <f t="shared" si="84"/>
        <v>0</v>
      </c>
      <c r="AK217" s="400">
        <f t="shared" si="84"/>
        <v>0</v>
      </c>
      <c r="AL217" s="400"/>
      <c r="AM217" s="400"/>
      <c r="AN217" s="400"/>
      <c r="AO217" s="400"/>
    </row>
    <row r="218" spans="3:41">
      <c r="C218" s="121" t="s">
        <v>18</v>
      </c>
      <c r="D218" s="320" t="s">
        <v>13</v>
      </c>
      <c r="F218" s="355" t="str">
        <f t="shared" si="70"/>
        <v>Miscellaneous Revenues - IGC</v>
      </c>
      <c r="G218" s="158">
        <f t="shared" si="83"/>
        <v>1870</v>
      </c>
      <c r="H218" s="158">
        <f t="shared" si="83"/>
        <v>1737</v>
      </c>
      <c r="I218" s="158">
        <f t="shared" si="83"/>
        <v>1989</v>
      </c>
      <c r="J218" s="158">
        <f t="shared" si="83"/>
        <v>1537</v>
      </c>
      <c r="K218" s="158">
        <f t="shared" si="83"/>
        <v>1452</v>
      </c>
      <c r="L218" s="158">
        <f t="shared" si="83"/>
        <v>1485</v>
      </c>
      <c r="M218" s="158">
        <f t="shared" si="83"/>
        <v>1566.79</v>
      </c>
      <c r="N218" s="158">
        <f t="shared" si="83"/>
        <v>1504.85</v>
      </c>
      <c r="O218" s="158">
        <f t="shared" si="83"/>
        <v>1491.79</v>
      </c>
      <c r="P218" s="158">
        <f t="shared" si="83"/>
        <v>1429.76</v>
      </c>
      <c r="Q218" s="158">
        <f t="shared" si="83"/>
        <v>1428.73</v>
      </c>
      <c r="R218" s="158">
        <f t="shared" si="83"/>
        <v>1472.7</v>
      </c>
      <c r="S218" s="400">
        <f t="shared" ca="1" si="83"/>
        <v>18964.62</v>
      </c>
      <c r="T218" s="158">
        <f t="shared" si="83"/>
        <v>5596</v>
      </c>
      <c r="U218" s="158">
        <f t="shared" si="83"/>
        <v>4474</v>
      </c>
      <c r="V218" s="158">
        <f t="shared" si="83"/>
        <v>4563.43</v>
      </c>
      <c r="W218" s="158">
        <f t="shared" si="83"/>
        <v>4331.1899999999996</v>
      </c>
      <c r="X218" s="164"/>
      <c r="Y218" s="158">
        <f t="shared" si="84"/>
        <v>1419.76</v>
      </c>
      <c r="Z218" s="158">
        <f t="shared" si="84"/>
        <v>1610.21</v>
      </c>
      <c r="AA218" s="158">
        <f t="shared" si="84"/>
        <v>1524.79</v>
      </c>
      <c r="AB218" s="158">
        <f t="shared" si="84"/>
        <v>1590.97</v>
      </c>
      <c r="AC218" s="158">
        <f t="shared" si="84"/>
        <v>1496.91</v>
      </c>
      <c r="AD218" s="158">
        <f t="shared" si="84"/>
        <v>1498.94</v>
      </c>
      <c r="AE218" s="158">
        <f t="shared" si="84"/>
        <v>1506.03</v>
      </c>
      <c r="AF218" s="158">
        <f t="shared" si="84"/>
        <v>1462.94</v>
      </c>
      <c r="AG218" s="158">
        <f t="shared" si="84"/>
        <v>1508.94</v>
      </c>
      <c r="AH218" s="158">
        <f t="shared" si="84"/>
        <v>1591</v>
      </c>
      <c r="AI218" s="158">
        <f t="shared" si="84"/>
        <v>1813.73</v>
      </c>
      <c r="AJ218" s="158">
        <f t="shared" si="84"/>
        <v>1414.1100000000004</v>
      </c>
      <c r="AK218" s="400">
        <f t="shared" ca="1" si="84"/>
        <v>18438.330000000002</v>
      </c>
      <c r="AL218" s="400"/>
      <c r="AM218" s="400"/>
      <c r="AN218" s="400"/>
      <c r="AO218" s="400"/>
    </row>
    <row r="219" spans="3:41">
      <c r="C219" s="121" t="s">
        <v>1229</v>
      </c>
      <c r="D219" s="320" t="s">
        <v>13</v>
      </c>
      <c r="F219" s="355" t="str">
        <f t="shared" si="70"/>
        <v>COGS - IGC</v>
      </c>
      <c r="G219" s="158">
        <f t="shared" si="83"/>
        <v>115</v>
      </c>
      <c r="H219" s="158">
        <f t="shared" si="83"/>
        <v>108</v>
      </c>
      <c r="I219" s="158">
        <f t="shared" si="83"/>
        <v>110</v>
      </c>
      <c r="J219" s="158">
        <f t="shared" si="83"/>
        <v>109</v>
      </c>
      <c r="K219" s="158">
        <f t="shared" si="83"/>
        <v>107</v>
      </c>
      <c r="L219" s="158">
        <f t="shared" si="83"/>
        <v>103.99</v>
      </c>
      <c r="M219" s="158">
        <f t="shared" si="83"/>
        <v>107.73</v>
      </c>
      <c r="N219" s="158">
        <f t="shared" si="83"/>
        <v>95</v>
      </c>
      <c r="O219" s="158">
        <f t="shared" si="83"/>
        <v>104</v>
      </c>
      <c r="P219" s="158">
        <f t="shared" si="83"/>
        <v>103.04</v>
      </c>
      <c r="Q219" s="158">
        <f t="shared" si="83"/>
        <v>108.45</v>
      </c>
      <c r="R219" s="158">
        <f t="shared" si="83"/>
        <v>112</v>
      </c>
      <c r="S219" s="400">
        <f t="shared" ca="1" si="83"/>
        <v>1283.21</v>
      </c>
      <c r="T219" s="158">
        <f t="shared" si="83"/>
        <v>333</v>
      </c>
      <c r="U219" s="158">
        <f t="shared" si="83"/>
        <v>319.99</v>
      </c>
      <c r="V219" s="158">
        <f t="shared" si="83"/>
        <v>306.73</v>
      </c>
      <c r="W219" s="158">
        <f t="shared" si="83"/>
        <v>323.49</v>
      </c>
      <c r="X219" s="164"/>
      <c r="Y219" s="158">
        <f t="shared" si="84"/>
        <v>122</v>
      </c>
      <c r="Z219" s="158">
        <f t="shared" si="84"/>
        <v>11</v>
      </c>
      <c r="AA219" s="158">
        <f t="shared" si="84"/>
        <v>77</v>
      </c>
      <c r="AB219" s="158">
        <f t="shared" si="84"/>
        <v>75</v>
      </c>
      <c r="AC219" s="158">
        <f t="shared" si="84"/>
        <v>71</v>
      </c>
      <c r="AD219" s="158">
        <f t="shared" si="84"/>
        <v>73</v>
      </c>
      <c r="AE219" s="158">
        <f t="shared" si="84"/>
        <v>72</v>
      </c>
      <c r="AF219" s="158">
        <f t="shared" si="84"/>
        <v>68</v>
      </c>
      <c r="AG219" s="158">
        <f t="shared" si="84"/>
        <v>73</v>
      </c>
      <c r="AH219" s="158">
        <f t="shared" si="84"/>
        <v>69</v>
      </c>
      <c r="AI219" s="158">
        <f t="shared" si="84"/>
        <v>71</v>
      </c>
      <c r="AJ219" s="158">
        <f t="shared" si="84"/>
        <v>81.22</v>
      </c>
      <c r="AK219" s="400">
        <f t="shared" ca="1" si="84"/>
        <v>863.22</v>
      </c>
      <c r="AL219" s="400"/>
      <c r="AM219" s="400"/>
      <c r="AN219" s="400"/>
      <c r="AO219" s="400"/>
    </row>
    <row r="220" spans="3:41">
      <c r="C220" s="259" t="s">
        <v>249</v>
      </c>
      <c r="D220" s="320" t="s">
        <v>13</v>
      </c>
      <c r="F220" s="328" t="str">
        <f t="shared" si="70"/>
        <v>TOTAL - IGC</v>
      </c>
      <c r="G220" s="400">
        <f t="shared" ref="G220:W220" si="85">SUM(G213:G218)-G219</f>
        <v>20440.360000000008</v>
      </c>
      <c r="H220" s="400">
        <f t="shared" si="85"/>
        <v>19427.169999999998</v>
      </c>
      <c r="I220" s="400">
        <f t="shared" si="85"/>
        <v>19799.579999999994</v>
      </c>
      <c r="J220" s="400">
        <f t="shared" si="85"/>
        <v>19587.900000000009</v>
      </c>
      <c r="K220" s="400">
        <f t="shared" si="85"/>
        <v>19220.03</v>
      </c>
      <c r="L220" s="400">
        <f t="shared" si="85"/>
        <v>18798.000000000004</v>
      </c>
      <c r="M220" s="400">
        <f t="shared" si="85"/>
        <v>19323.599999999991</v>
      </c>
      <c r="N220" s="400">
        <f t="shared" si="85"/>
        <v>18612.920000000002</v>
      </c>
      <c r="O220" s="400">
        <f t="shared" si="85"/>
        <v>18761.749999999993</v>
      </c>
      <c r="P220" s="400">
        <f t="shared" si="85"/>
        <v>18675.949999999993</v>
      </c>
      <c r="Q220" s="400">
        <f t="shared" si="85"/>
        <v>19370.890000000007</v>
      </c>
      <c r="R220" s="400">
        <f t="shared" si="85"/>
        <v>19871.930000000008</v>
      </c>
      <c r="S220" s="400">
        <f t="shared" ca="1" si="85"/>
        <v>231890.08000000002</v>
      </c>
      <c r="T220" s="400">
        <f t="shared" si="85"/>
        <v>59667.11</v>
      </c>
      <c r="U220" s="400">
        <f t="shared" si="85"/>
        <v>57605.930000000015</v>
      </c>
      <c r="V220" s="400">
        <f t="shared" si="85"/>
        <v>56698.26999999999</v>
      </c>
      <c r="W220" s="400">
        <f t="shared" si="85"/>
        <v>57918.770000000011</v>
      </c>
      <c r="X220" s="164"/>
      <c r="Y220" s="400">
        <f t="shared" ref="Y220:AK220" si="86">SUM(Y213:Y218)-Y219</f>
        <v>19971.860000000004</v>
      </c>
      <c r="Z220" s="400">
        <f t="shared" si="86"/>
        <v>-306.45000000000891</v>
      </c>
      <c r="AA220" s="400">
        <f t="shared" si="86"/>
        <v>12501.570000000007</v>
      </c>
      <c r="AB220" s="400">
        <f t="shared" si="86"/>
        <v>12322.900000000005</v>
      </c>
      <c r="AC220" s="400">
        <f t="shared" si="86"/>
        <v>11845.999999999982</v>
      </c>
      <c r="AD220" s="400">
        <f t="shared" si="86"/>
        <v>12035.280000000017</v>
      </c>
      <c r="AE220" s="400">
        <f t="shared" si="86"/>
        <v>11892.729999999998</v>
      </c>
      <c r="AF220" s="400">
        <f t="shared" si="86"/>
        <v>11449.870000000023</v>
      </c>
      <c r="AG220" s="400">
        <f t="shared" si="86"/>
        <v>12006.429999999986</v>
      </c>
      <c r="AH220" s="400">
        <f t="shared" si="86"/>
        <v>11626.309999999994</v>
      </c>
      <c r="AI220" s="400">
        <f t="shared" si="86"/>
        <v>11768.190000000002</v>
      </c>
      <c r="AJ220" s="400">
        <f t="shared" si="86"/>
        <v>13113.449999999999</v>
      </c>
      <c r="AK220" s="400">
        <f t="shared" ca="1" si="86"/>
        <v>140228.13999999998</v>
      </c>
      <c r="AL220" s="400"/>
      <c r="AM220" s="400"/>
      <c r="AN220" s="400"/>
      <c r="AO220" s="400"/>
    </row>
    <row r="221" spans="3:41">
      <c r="X221" s="164"/>
    </row>
    <row r="222" spans="3:41">
      <c r="C222" s="121" t="s">
        <v>8</v>
      </c>
      <c r="D222" s="320" t="s">
        <v>14</v>
      </c>
      <c r="F222" s="355" t="str">
        <f>CONCATENATE(C222, " - ",D222)</f>
        <v>Residential - FT</v>
      </c>
      <c r="G222" s="158">
        <f t="shared" ref="G222:W228" si="87">SUMIFS(G$5:G$181,$C$5:$C$181,$C222,$D$5:$D$181,$D222)</f>
        <v>9517.5899999999801</v>
      </c>
      <c r="H222" s="158">
        <f t="shared" si="87"/>
        <v>8993.5599999999758</v>
      </c>
      <c r="I222" s="158">
        <f t="shared" si="87"/>
        <v>8558.5199999999732</v>
      </c>
      <c r="J222" s="158">
        <f t="shared" si="87"/>
        <v>8052.0899999999738</v>
      </c>
      <c r="K222" s="158">
        <f t="shared" si="87"/>
        <v>7626.7900000000191</v>
      </c>
      <c r="L222" s="158">
        <f t="shared" si="87"/>
        <v>7169.069999999967</v>
      </c>
      <c r="M222" s="158">
        <f t="shared" si="87"/>
        <v>7277.0299999999734</v>
      </c>
      <c r="N222" s="158">
        <f t="shared" si="87"/>
        <v>6961.639999999974</v>
      </c>
      <c r="O222" s="158">
        <f t="shared" si="87"/>
        <v>7270.8399999999692</v>
      </c>
      <c r="P222" s="158">
        <f t="shared" si="87"/>
        <v>7288.739999999977</v>
      </c>
      <c r="Q222" s="158">
        <f t="shared" si="87"/>
        <v>7577.6100000000133</v>
      </c>
      <c r="R222" s="158">
        <f t="shared" si="87"/>
        <v>9122.1999999999753</v>
      </c>
      <c r="S222" s="400">
        <f t="shared" ca="1" si="87"/>
        <v>95415.67999999976</v>
      </c>
      <c r="T222" s="158">
        <f t="shared" si="87"/>
        <v>27069.669999999933</v>
      </c>
      <c r="U222" s="158">
        <f t="shared" si="87"/>
        <v>22847.949999999961</v>
      </c>
      <c r="V222" s="158">
        <f t="shared" si="87"/>
        <v>21509.509999999915</v>
      </c>
      <c r="W222" s="158">
        <f t="shared" si="87"/>
        <v>23988.549999999967</v>
      </c>
      <c r="X222" s="164"/>
      <c r="Y222" s="158">
        <f t="shared" ref="Y222:AK228" si="88">SUMIFS(Y$5:Y$181,$C$5:$C$181,$C222,$D$5:$D$181,$D222)</f>
        <v>10172.36</v>
      </c>
      <c r="Z222" s="158">
        <f t="shared" si="88"/>
        <v>9198.1600000000235</v>
      </c>
      <c r="AA222" s="158">
        <f t="shared" si="88"/>
        <v>8147.600000000014</v>
      </c>
      <c r="AB222" s="158">
        <f t="shared" si="88"/>
        <v>8372.5300000000279</v>
      </c>
      <c r="AC222" s="158">
        <f t="shared" si="88"/>
        <v>7352.5699999999733</v>
      </c>
      <c r="AD222" s="158">
        <f t="shared" si="88"/>
        <v>7027.0899999999729</v>
      </c>
      <c r="AE222" s="158">
        <f t="shared" si="88"/>
        <v>7176.5399999999754</v>
      </c>
      <c r="AF222" s="158">
        <f t="shared" si="88"/>
        <v>6688.089999999982</v>
      </c>
      <c r="AG222" s="158">
        <f t="shared" si="88"/>
        <v>7081.370000000009</v>
      </c>
      <c r="AH222" s="158">
        <f t="shared" si="88"/>
        <v>6857.1899999999814</v>
      </c>
      <c r="AI222" s="158">
        <f t="shared" si="88"/>
        <v>7272.2099999999746</v>
      </c>
      <c r="AJ222" s="158">
        <f t="shared" si="88"/>
        <v>8436.7299999999777</v>
      </c>
      <c r="AK222" s="400">
        <f t="shared" si="88"/>
        <v>93782.43999999993</v>
      </c>
      <c r="AL222" s="400"/>
      <c r="AM222" s="400"/>
      <c r="AN222" s="400"/>
      <c r="AO222" s="400"/>
    </row>
    <row r="223" spans="3:41">
      <c r="C223" s="121" t="s">
        <v>1145</v>
      </c>
      <c r="D223" s="320" t="s">
        <v>14</v>
      </c>
      <c r="F223" s="355" t="str">
        <f t="shared" si="70"/>
        <v>Residential - Experimental - FT</v>
      </c>
      <c r="G223" s="158">
        <f t="shared" si="87"/>
        <v>0</v>
      </c>
      <c r="H223" s="158">
        <f t="shared" si="87"/>
        <v>0</v>
      </c>
      <c r="I223" s="158">
        <f t="shared" si="87"/>
        <v>0</v>
      </c>
      <c r="J223" s="158">
        <f t="shared" si="87"/>
        <v>0</v>
      </c>
      <c r="K223" s="158">
        <f t="shared" si="87"/>
        <v>0</v>
      </c>
      <c r="L223" s="158">
        <f t="shared" si="87"/>
        <v>0</v>
      </c>
      <c r="M223" s="158">
        <f t="shared" si="87"/>
        <v>0</v>
      </c>
      <c r="N223" s="158">
        <f t="shared" si="87"/>
        <v>0</v>
      </c>
      <c r="O223" s="158">
        <f t="shared" si="87"/>
        <v>0</v>
      </c>
      <c r="P223" s="158">
        <f t="shared" si="87"/>
        <v>0</v>
      </c>
      <c r="Q223" s="158">
        <f t="shared" si="87"/>
        <v>0</v>
      </c>
      <c r="R223" s="158">
        <f t="shared" si="87"/>
        <v>0</v>
      </c>
      <c r="S223" s="400">
        <f t="shared" si="87"/>
        <v>0</v>
      </c>
      <c r="T223" s="158">
        <f t="shared" si="87"/>
        <v>0</v>
      </c>
      <c r="U223" s="158">
        <f t="shared" si="87"/>
        <v>0</v>
      </c>
      <c r="V223" s="158">
        <f t="shared" si="87"/>
        <v>0</v>
      </c>
      <c r="W223" s="158">
        <f t="shared" si="87"/>
        <v>0</v>
      </c>
      <c r="X223" s="164"/>
      <c r="Y223" s="158">
        <f t="shared" si="88"/>
        <v>0</v>
      </c>
      <c r="Z223" s="158">
        <f t="shared" si="88"/>
        <v>0</v>
      </c>
      <c r="AA223" s="158">
        <f t="shared" si="88"/>
        <v>0</v>
      </c>
      <c r="AB223" s="158">
        <f t="shared" si="88"/>
        <v>0</v>
      </c>
      <c r="AC223" s="158">
        <f t="shared" si="88"/>
        <v>0</v>
      </c>
      <c r="AD223" s="158">
        <f t="shared" si="88"/>
        <v>0</v>
      </c>
      <c r="AE223" s="158">
        <f t="shared" si="88"/>
        <v>0</v>
      </c>
      <c r="AF223" s="158">
        <f t="shared" si="88"/>
        <v>0</v>
      </c>
      <c r="AG223" s="158">
        <f t="shared" si="88"/>
        <v>0</v>
      </c>
      <c r="AH223" s="158">
        <f t="shared" si="88"/>
        <v>0</v>
      </c>
      <c r="AI223" s="158">
        <f t="shared" si="88"/>
        <v>0</v>
      </c>
      <c r="AJ223" s="158">
        <f t="shared" si="88"/>
        <v>0</v>
      </c>
      <c r="AK223" s="400">
        <f t="shared" si="88"/>
        <v>0</v>
      </c>
      <c r="AL223" s="400"/>
      <c r="AM223" s="400"/>
      <c r="AN223" s="400"/>
      <c r="AO223" s="400"/>
    </row>
    <row r="224" spans="3:41">
      <c r="C224" s="121" t="s">
        <v>1153</v>
      </c>
      <c r="D224" s="320" t="s">
        <v>14</v>
      </c>
      <c r="F224" s="355" t="str">
        <f t="shared" si="70"/>
        <v>Non-Residential - FT</v>
      </c>
      <c r="G224" s="158">
        <f t="shared" si="87"/>
        <v>9856.15</v>
      </c>
      <c r="H224" s="158">
        <f t="shared" si="87"/>
        <v>10274.43</v>
      </c>
      <c r="I224" s="158">
        <f t="shared" si="87"/>
        <v>9686.94</v>
      </c>
      <c r="J224" s="158">
        <f t="shared" si="87"/>
        <v>7191.9</v>
      </c>
      <c r="K224" s="158">
        <f t="shared" si="87"/>
        <v>4777</v>
      </c>
      <c r="L224" s="158">
        <f t="shared" si="87"/>
        <v>4431.9299999999994</v>
      </c>
      <c r="M224" s="158">
        <f t="shared" si="87"/>
        <v>4537.79</v>
      </c>
      <c r="N224" s="158">
        <f t="shared" si="87"/>
        <v>4005.0499999999997</v>
      </c>
      <c r="O224" s="158">
        <f t="shared" si="87"/>
        <v>4578.2200000000012</v>
      </c>
      <c r="P224" s="158">
        <f t="shared" si="87"/>
        <v>5387.92</v>
      </c>
      <c r="Q224" s="158">
        <f t="shared" si="87"/>
        <v>7191.5300000000007</v>
      </c>
      <c r="R224" s="158">
        <f t="shared" si="87"/>
        <v>10241.779999999999</v>
      </c>
      <c r="S224" s="400">
        <f t="shared" ca="1" si="87"/>
        <v>82160.639999999999</v>
      </c>
      <c r="T224" s="158">
        <f t="shared" si="87"/>
        <v>29817.520000000004</v>
      </c>
      <c r="U224" s="158">
        <f t="shared" si="87"/>
        <v>16400.829999999998</v>
      </c>
      <c r="V224" s="158">
        <f t="shared" si="87"/>
        <v>13121.06</v>
      </c>
      <c r="W224" s="158">
        <f t="shared" si="87"/>
        <v>22821.230000000003</v>
      </c>
      <c r="X224" s="164"/>
      <c r="Y224" s="158">
        <f t="shared" si="88"/>
        <v>10770.130000000001</v>
      </c>
      <c r="Z224" s="158">
        <f t="shared" si="88"/>
        <v>10335.48</v>
      </c>
      <c r="AA224" s="158">
        <f t="shared" si="88"/>
        <v>8670.36</v>
      </c>
      <c r="AB224" s="158">
        <f t="shared" si="88"/>
        <v>8792.84</v>
      </c>
      <c r="AC224" s="158">
        <f t="shared" si="88"/>
        <v>7947.95</v>
      </c>
      <c r="AD224" s="158">
        <f t="shared" si="88"/>
        <v>6754.1299999999992</v>
      </c>
      <c r="AE224" s="158">
        <f t="shared" si="88"/>
        <v>4632.3999999999996</v>
      </c>
      <c r="AF224" s="158">
        <f t="shared" si="88"/>
        <v>6667.03</v>
      </c>
      <c r="AG224" s="158">
        <f t="shared" si="88"/>
        <v>6122.35</v>
      </c>
      <c r="AH224" s="158">
        <f t="shared" si="88"/>
        <v>6820.6900000000005</v>
      </c>
      <c r="AI224" s="158">
        <f t="shared" si="88"/>
        <v>8529.1200000000008</v>
      </c>
      <c r="AJ224" s="158">
        <f t="shared" si="88"/>
        <v>10578.25</v>
      </c>
      <c r="AK224" s="400">
        <f t="shared" si="88"/>
        <v>96620.73000000001</v>
      </c>
      <c r="AL224" s="400"/>
      <c r="AM224" s="400"/>
      <c r="AN224" s="400"/>
      <c r="AO224" s="400"/>
    </row>
    <row r="225" spans="3:41">
      <c r="C225" s="121" t="s">
        <v>1190</v>
      </c>
      <c r="D225" s="320" t="s">
        <v>14</v>
      </c>
      <c r="F225" s="355" t="str">
        <f t="shared" si="70"/>
        <v>Non-Residential-Experimental - FT</v>
      </c>
      <c r="G225" s="158">
        <f t="shared" si="87"/>
        <v>0</v>
      </c>
      <c r="H225" s="158">
        <f t="shared" si="87"/>
        <v>0</v>
      </c>
      <c r="I225" s="158">
        <f t="shared" si="87"/>
        <v>0</v>
      </c>
      <c r="J225" s="158">
        <f t="shared" si="87"/>
        <v>0</v>
      </c>
      <c r="K225" s="158">
        <f t="shared" si="87"/>
        <v>0</v>
      </c>
      <c r="L225" s="158">
        <f t="shared" si="87"/>
        <v>0</v>
      </c>
      <c r="M225" s="158">
        <f t="shared" si="87"/>
        <v>0</v>
      </c>
      <c r="N225" s="158">
        <f t="shared" si="87"/>
        <v>0</v>
      </c>
      <c r="O225" s="158">
        <f t="shared" si="87"/>
        <v>0</v>
      </c>
      <c r="P225" s="158">
        <f t="shared" si="87"/>
        <v>0</v>
      </c>
      <c r="Q225" s="158">
        <f t="shared" si="87"/>
        <v>0</v>
      </c>
      <c r="R225" s="158">
        <f t="shared" si="87"/>
        <v>0</v>
      </c>
      <c r="S225" s="400">
        <f t="shared" si="87"/>
        <v>0</v>
      </c>
      <c r="T225" s="158">
        <f t="shared" si="87"/>
        <v>0</v>
      </c>
      <c r="U225" s="158">
        <f t="shared" si="87"/>
        <v>0</v>
      </c>
      <c r="V225" s="158">
        <f t="shared" si="87"/>
        <v>0</v>
      </c>
      <c r="W225" s="158">
        <f t="shared" si="87"/>
        <v>0</v>
      </c>
      <c r="X225" s="164"/>
      <c r="Y225" s="158">
        <f t="shared" si="88"/>
        <v>0</v>
      </c>
      <c r="Z225" s="158">
        <f t="shared" si="88"/>
        <v>0</v>
      </c>
      <c r="AA225" s="158">
        <f t="shared" si="88"/>
        <v>0</v>
      </c>
      <c r="AB225" s="158">
        <f t="shared" si="88"/>
        <v>0</v>
      </c>
      <c r="AC225" s="158">
        <f t="shared" si="88"/>
        <v>0</v>
      </c>
      <c r="AD225" s="158">
        <f t="shared" si="88"/>
        <v>0</v>
      </c>
      <c r="AE225" s="158">
        <f t="shared" si="88"/>
        <v>0</v>
      </c>
      <c r="AF225" s="158">
        <f t="shared" si="88"/>
        <v>0</v>
      </c>
      <c r="AG225" s="158">
        <f t="shared" si="88"/>
        <v>0</v>
      </c>
      <c r="AH225" s="158">
        <f t="shared" si="88"/>
        <v>0</v>
      </c>
      <c r="AI225" s="158">
        <f t="shared" si="88"/>
        <v>0</v>
      </c>
      <c r="AJ225" s="158">
        <f t="shared" si="88"/>
        <v>0</v>
      </c>
      <c r="AK225" s="400">
        <f t="shared" si="88"/>
        <v>0</v>
      </c>
      <c r="AL225" s="400"/>
      <c r="AM225" s="400"/>
      <c r="AN225" s="400"/>
      <c r="AO225" s="400"/>
    </row>
    <row r="226" spans="3:41">
      <c r="C226" s="121" t="s">
        <v>1197</v>
      </c>
      <c r="D226" s="320" t="s">
        <v>14</v>
      </c>
      <c r="F226" s="355" t="str">
        <f t="shared" si="70"/>
        <v>Industrial - FT</v>
      </c>
      <c r="G226" s="158">
        <f t="shared" si="87"/>
        <v>0</v>
      </c>
      <c r="H226" s="158">
        <f t="shared" si="87"/>
        <v>0</v>
      </c>
      <c r="I226" s="158">
        <f t="shared" si="87"/>
        <v>0</v>
      </c>
      <c r="J226" s="158">
        <f t="shared" si="87"/>
        <v>0</v>
      </c>
      <c r="K226" s="158">
        <f t="shared" si="87"/>
        <v>0</v>
      </c>
      <c r="L226" s="158">
        <f t="shared" si="87"/>
        <v>0</v>
      </c>
      <c r="M226" s="158">
        <f t="shared" si="87"/>
        <v>0</v>
      </c>
      <c r="N226" s="158">
        <f t="shared" si="87"/>
        <v>0</v>
      </c>
      <c r="O226" s="158">
        <f t="shared" si="87"/>
        <v>0</v>
      </c>
      <c r="P226" s="158">
        <f t="shared" si="87"/>
        <v>0</v>
      </c>
      <c r="Q226" s="158">
        <f t="shared" si="87"/>
        <v>0</v>
      </c>
      <c r="R226" s="158">
        <f t="shared" si="87"/>
        <v>0</v>
      </c>
      <c r="S226" s="400">
        <f t="shared" si="87"/>
        <v>0</v>
      </c>
      <c r="T226" s="158">
        <f t="shared" si="87"/>
        <v>0</v>
      </c>
      <c r="U226" s="158">
        <f t="shared" si="87"/>
        <v>0</v>
      </c>
      <c r="V226" s="158">
        <f t="shared" si="87"/>
        <v>0</v>
      </c>
      <c r="W226" s="158">
        <f t="shared" si="87"/>
        <v>0</v>
      </c>
      <c r="X226" s="164"/>
      <c r="Y226" s="158">
        <f t="shared" si="88"/>
        <v>0</v>
      </c>
      <c r="Z226" s="158">
        <f t="shared" si="88"/>
        <v>0</v>
      </c>
      <c r="AA226" s="158">
        <f t="shared" si="88"/>
        <v>0</v>
      </c>
      <c r="AB226" s="158">
        <f t="shared" si="88"/>
        <v>0</v>
      </c>
      <c r="AC226" s="158">
        <f t="shared" si="88"/>
        <v>0</v>
      </c>
      <c r="AD226" s="158">
        <f t="shared" si="88"/>
        <v>0</v>
      </c>
      <c r="AE226" s="158">
        <f t="shared" si="88"/>
        <v>0</v>
      </c>
      <c r="AF226" s="158">
        <f t="shared" si="88"/>
        <v>0</v>
      </c>
      <c r="AG226" s="158">
        <f t="shared" si="88"/>
        <v>0</v>
      </c>
      <c r="AH226" s="158">
        <f t="shared" si="88"/>
        <v>0</v>
      </c>
      <c r="AI226" s="158">
        <f t="shared" si="88"/>
        <v>0</v>
      </c>
      <c r="AJ226" s="158">
        <f t="shared" si="88"/>
        <v>0</v>
      </c>
      <c r="AK226" s="400">
        <f t="shared" si="88"/>
        <v>0</v>
      </c>
      <c r="AL226" s="400"/>
      <c r="AM226" s="400"/>
      <c r="AN226" s="400"/>
      <c r="AO226" s="400"/>
    </row>
    <row r="227" spans="3:41">
      <c r="C227" s="121" t="s">
        <v>18</v>
      </c>
      <c r="D227" s="320" t="s">
        <v>14</v>
      </c>
      <c r="F227" s="355" t="str">
        <f t="shared" si="70"/>
        <v>Miscellaneous Revenues - FT</v>
      </c>
      <c r="G227" s="158">
        <f t="shared" si="87"/>
        <v>1169</v>
      </c>
      <c r="H227" s="158">
        <f t="shared" si="87"/>
        <v>3034</v>
      </c>
      <c r="I227" s="158">
        <f t="shared" si="87"/>
        <v>5046</v>
      </c>
      <c r="J227" s="158">
        <f t="shared" si="87"/>
        <v>-503</v>
      </c>
      <c r="K227" s="158">
        <f t="shared" si="87"/>
        <v>1450</v>
      </c>
      <c r="L227" s="158">
        <f t="shared" si="87"/>
        <v>2309.1899999999996</v>
      </c>
      <c r="M227" s="158">
        <f t="shared" si="87"/>
        <v>2731.0500000000006</v>
      </c>
      <c r="N227" s="158">
        <f t="shared" si="87"/>
        <v>2427.77</v>
      </c>
      <c r="O227" s="158">
        <f t="shared" si="87"/>
        <v>2469.73</v>
      </c>
      <c r="P227" s="158">
        <f t="shared" si="87"/>
        <v>4225.1899999999996</v>
      </c>
      <c r="Q227" s="158">
        <f t="shared" si="87"/>
        <v>2506.3100000000004</v>
      </c>
      <c r="R227" s="158">
        <f t="shared" si="87"/>
        <v>5090.9900000000007</v>
      </c>
      <c r="S227" s="400">
        <f t="shared" ca="1" si="87"/>
        <v>31956.229999999996</v>
      </c>
      <c r="T227" s="158">
        <f t="shared" si="87"/>
        <v>9249</v>
      </c>
      <c r="U227" s="158">
        <f t="shared" si="87"/>
        <v>3256.1899999999996</v>
      </c>
      <c r="V227" s="158">
        <f t="shared" si="87"/>
        <v>7628.55</v>
      </c>
      <c r="W227" s="158">
        <f t="shared" si="87"/>
        <v>11822.490000000002</v>
      </c>
      <c r="X227" s="164"/>
      <c r="Y227" s="158">
        <f t="shared" si="88"/>
        <v>1053.0399999999988</v>
      </c>
      <c r="Z227" s="158">
        <f t="shared" si="88"/>
        <v>5250.87</v>
      </c>
      <c r="AA227" s="158">
        <f t="shared" si="88"/>
        <v>3179.75</v>
      </c>
      <c r="AB227" s="158">
        <f t="shared" si="88"/>
        <v>1525.6800000000005</v>
      </c>
      <c r="AC227" s="158">
        <f t="shared" si="88"/>
        <v>2681.6600000000003</v>
      </c>
      <c r="AD227" s="158">
        <f t="shared" si="88"/>
        <v>2376.17</v>
      </c>
      <c r="AE227" s="158">
        <f t="shared" si="88"/>
        <v>2126.2299999999991</v>
      </c>
      <c r="AF227" s="158">
        <f t="shared" si="88"/>
        <v>4840.4899999999989</v>
      </c>
      <c r="AG227" s="158">
        <f t="shared" si="88"/>
        <v>1736.1800000000012</v>
      </c>
      <c r="AH227" s="158">
        <f t="shared" si="88"/>
        <v>4727.71</v>
      </c>
      <c r="AI227" s="158">
        <f t="shared" si="88"/>
        <v>5310.329999999999</v>
      </c>
      <c r="AJ227" s="158">
        <f t="shared" si="88"/>
        <v>4591.8100000000004</v>
      </c>
      <c r="AK227" s="400">
        <f t="shared" ca="1" si="88"/>
        <v>39399.919999999998</v>
      </c>
      <c r="AL227" s="400"/>
      <c r="AM227" s="400"/>
      <c r="AN227" s="400"/>
      <c r="AO227" s="400"/>
    </row>
    <row r="228" spans="3:41">
      <c r="C228" s="121" t="s">
        <v>1229</v>
      </c>
      <c r="D228" s="320" t="s">
        <v>14</v>
      </c>
      <c r="F228" s="355" t="str">
        <f t="shared" si="70"/>
        <v>COGS - FT</v>
      </c>
      <c r="G228" s="158">
        <f t="shared" si="87"/>
        <v>148</v>
      </c>
      <c r="H228" s="158">
        <f t="shared" si="87"/>
        <v>212</v>
      </c>
      <c r="I228" s="158">
        <f t="shared" si="87"/>
        <v>205</v>
      </c>
      <c r="J228" s="158">
        <f t="shared" si="87"/>
        <v>145</v>
      </c>
      <c r="K228" s="158">
        <f t="shared" si="87"/>
        <v>130</v>
      </c>
      <c r="L228" s="158">
        <f t="shared" si="87"/>
        <v>119.34</v>
      </c>
      <c r="M228" s="158">
        <f t="shared" si="87"/>
        <v>117</v>
      </c>
      <c r="N228" s="158">
        <f t="shared" si="87"/>
        <v>110</v>
      </c>
      <c r="O228" s="158">
        <f t="shared" si="87"/>
        <v>123</v>
      </c>
      <c r="P228" s="158">
        <f t="shared" si="87"/>
        <v>142.16</v>
      </c>
      <c r="Q228" s="158">
        <f t="shared" si="87"/>
        <v>154.66</v>
      </c>
      <c r="R228" s="158">
        <f t="shared" si="87"/>
        <v>240</v>
      </c>
      <c r="S228" s="400">
        <f t="shared" ca="1" si="87"/>
        <v>1846.1600000000003</v>
      </c>
      <c r="T228" s="158">
        <f t="shared" si="87"/>
        <v>565</v>
      </c>
      <c r="U228" s="158">
        <f t="shared" si="87"/>
        <v>394.34000000000003</v>
      </c>
      <c r="V228" s="158">
        <f t="shared" si="87"/>
        <v>350</v>
      </c>
      <c r="W228" s="158">
        <f t="shared" si="87"/>
        <v>536.81999999999994</v>
      </c>
      <c r="X228" s="164"/>
      <c r="Y228" s="158">
        <f t="shared" si="88"/>
        <v>241</v>
      </c>
      <c r="Z228" s="158">
        <f t="shared" si="88"/>
        <v>243</v>
      </c>
      <c r="AA228" s="158">
        <f t="shared" si="88"/>
        <v>193</v>
      </c>
      <c r="AB228" s="158">
        <f t="shared" si="88"/>
        <v>185</v>
      </c>
      <c r="AC228" s="158">
        <f t="shared" si="88"/>
        <v>165</v>
      </c>
      <c r="AD228" s="158">
        <f t="shared" si="88"/>
        <v>140</v>
      </c>
      <c r="AE228" s="158">
        <f t="shared" si="88"/>
        <v>116</v>
      </c>
      <c r="AF228" s="158">
        <f t="shared" si="88"/>
        <v>140</v>
      </c>
      <c r="AG228" s="158">
        <f t="shared" si="88"/>
        <v>125</v>
      </c>
      <c r="AH228" s="158">
        <f t="shared" si="88"/>
        <v>141</v>
      </c>
      <c r="AI228" s="158">
        <f t="shared" si="88"/>
        <v>171</v>
      </c>
      <c r="AJ228" s="158">
        <f t="shared" si="88"/>
        <v>215.06</v>
      </c>
      <c r="AK228" s="400">
        <f t="shared" ca="1" si="88"/>
        <v>2075.06</v>
      </c>
      <c r="AL228" s="400"/>
      <c r="AM228" s="400"/>
      <c r="AN228" s="400"/>
      <c r="AO228" s="400"/>
    </row>
    <row r="229" spans="3:41">
      <c r="C229" s="259" t="s">
        <v>249</v>
      </c>
      <c r="D229" s="320" t="s">
        <v>14</v>
      </c>
      <c r="F229" s="328" t="str">
        <f t="shared" si="70"/>
        <v>TOTAL - FT</v>
      </c>
      <c r="G229" s="400">
        <f t="shared" ref="G229:W229" si="89">SUM(G222:G227)-G228</f>
        <v>20394.73999999998</v>
      </c>
      <c r="H229" s="400">
        <f t="shared" si="89"/>
        <v>22089.989999999976</v>
      </c>
      <c r="I229" s="400">
        <f t="shared" si="89"/>
        <v>23086.459999999974</v>
      </c>
      <c r="J229" s="400">
        <f t="shared" si="89"/>
        <v>14595.989999999972</v>
      </c>
      <c r="K229" s="400">
        <f t="shared" si="89"/>
        <v>13723.790000000019</v>
      </c>
      <c r="L229" s="400">
        <f t="shared" si="89"/>
        <v>13790.849999999966</v>
      </c>
      <c r="M229" s="400">
        <f t="shared" si="89"/>
        <v>14428.869999999975</v>
      </c>
      <c r="N229" s="400">
        <f t="shared" si="89"/>
        <v>13284.459999999974</v>
      </c>
      <c r="O229" s="400">
        <f t="shared" si="89"/>
        <v>14195.78999999997</v>
      </c>
      <c r="P229" s="400">
        <f t="shared" si="89"/>
        <v>16759.689999999977</v>
      </c>
      <c r="Q229" s="400">
        <f t="shared" si="89"/>
        <v>17120.790000000015</v>
      </c>
      <c r="R229" s="400">
        <f t="shared" si="89"/>
        <v>24214.969999999976</v>
      </c>
      <c r="S229" s="400">
        <f t="shared" ca="1" si="89"/>
        <v>207686.38999999975</v>
      </c>
      <c r="T229" s="400">
        <f t="shared" si="89"/>
        <v>65571.189999999944</v>
      </c>
      <c r="U229" s="400">
        <f t="shared" si="89"/>
        <v>42110.629999999961</v>
      </c>
      <c r="V229" s="400">
        <f t="shared" si="89"/>
        <v>41909.119999999915</v>
      </c>
      <c r="W229" s="400">
        <f t="shared" si="89"/>
        <v>58095.449999999975</v>
      </c>
      <c r="X229" s="164"/>
      <c r="Y229" s="400">
        <f t="shared" ref="Y229:AK229" si="90">SUM(Y222:Y227)-Y228</f>
        <v>21754.53</v>
      </c>
      <c r="Z229" s="400">
        <f t="shared" si="90"/>
        <v>24541.51000000002</v>
      </c>
      <c r="AA229" s="400">
        <f t="shared" si="90"/>
        <v>19804.710000000014</v>
      </c>
      <c r="AB229" s="400">
        <f t="shared" si="90"/>
        <v>18506.050000000028</v>
      </c>
      <c r="AC229" s="400">
        <f t="shared" si="90"/>
        <v>17817.179999999975</v>
      </c>
      <c r="AD229" s="400">
        <f t="shared" si="90"/>
        <v>16017.389999999972</v>
      </c>
      <c r="AE229" s="400">
        <f t="shared" si="90"/>
        <v>13819.169999999975</v>
      </c>
      <c r="AF229" s="400">
        <f t="shared" si="90"/>
        <v>18055.609999999979</v>
      </c>
      <c r="AG229" s="400">
        <f t="shared" si="90"/>
        <v>14814.900000000009</v>
      </c>
      <c r="AH229" s="400">
        <f t="shared" si="90"/>
        <v>18264.589999999982</v>
      </c>
      <c r="AI229" s="400">
        <f t="shared" si="90"/>
        <v>20940.659999999974</v>
      </c>
      <c r="AJ229" s="400">
        <f t="shared" si="90"/>
        <v>23391.729999999978</v>
      </c>
      <c r="AK229" s="400">
        <f t="shared" ca="1" si="90"/>
        <v>227728.02999999991</v>
      </c>
      <c r="AL229" s="400"/>
      <c r="AM229" s="400"/>
      <c r="AN229" s="400"/>
      <c r="AO229" s="400"/>
    </row>
    <row r="230" spans="3:41">
      <c r="G230" s="394">
        <f>G193-G202-G211-G220-G229</f>
        <v>-1.2914824765175581E-9</v>
      </c>
      <c r="H230" s="394">
        <f t="shared" ref="H230:W230" si="91">H193-H202-H211-H220-H229</f>
        <v>-5.8207660913467407E-11</v>
      </c>
      <c r="I230" s="394">
        <f t="shared" si="91"/>
        <v>-3.9653968997299671E-10</v>
      </c>
      <c r="J230" s="394">
        <f t="shared" si="91"/>
        <v>-8.3673512563109398E-11</v>
      </c>
      <c r="K230" s="394">
        <f t="shared" si="91"/>
        <v>4.7293724492192268E-11</v>
      </c>
      <c r="L230" s="394">
        <f t="shared" si="91"/>
        <v>5.893525667488575E-10</v>
      </c>
      <c r="M230" s="394">
        <f t="shared" si="91"/>
        <v>2.382876118645072E-10</v>
      </c>
      <c r="N230" s="394">
        <f t="shared" si="91"/>
        <v>-1.4842953532934189E-9</v>
      </c>
      <c r="O230" s="394">
        <f t="shared" si="91"/>
        <v>-3.9108272176235914E-10</v>
      </c>
      <c r="P230" s="394">
        <f t="shared" si="91"/>
        <v>8.5856299847364426E-10</v>
      </c>
      <c r="Q230" s="394">
        <f t="shared" si="91"/>
        <v>2.0081643015146255E-9</v>
      </c>
      <c r="R230" s="394">
        <f t="shared" si="91"/>
        <v>1.0877556633204222E-9</v>
      </c>
      <c r="S230" s="394">
        <f t="shared" ca="1" si="91"/>
        <v>-4.6857167035341263E-9</v>
      </c>
      <c r="T230" s="394">
        <f t="shared" si="91"/>
        <v>2.6630004867911339E-9</v>
      </c>
      <c r="U230" s="394">
        <f t="shared" si="91"/>
        <v>4.270987119525671E-9</v>
      </c>
      <c r="V230" s="394">
        <f t="shared" si="91"/>
        <v>1.622538547962904E-9</v>
      </c>
      <c r="W230" s="394">
        <f t="shared" si="91"/>
        <v>-2.4738255888223648E-10</v>
      </c>
      <c r="X230" s="164"/>
      <c r="Y230" s="394">
        <f t="shared" ref="Y230:AK230" si="92">Y193-Y202-Y211-Y220-Y229</f>
        <v>-1.0368239600211382E-9</v>
      </c>
      <c r="Z230" s="394">
        <f t="shared" si="92"/>
        <v>1.4406396076083183E-9</v>
      </c>
      <c r="AA230" s="394">
        <f t="shared" si="92"/>
        <v>0</v>
      </c>
      <c r="AB230" s="394">
        <f t="shared" si="92"/>
        <v>-7.7852746471762657E-10</v>
      </c>
      <c r="AC230" s="394">
        <f t="shared" si="92"/>
        <v>2.1100277081131935E-10</v>
      </c>
      <c r="AD230" s="394">
        <f t="shared" si="92"/>
        <v>4.0199665818363428E-10</v>
      </c>
      <c r="AE230" s="394">
        <f t="shared" si="92"/>
        <v>6.3300831243395805E-10</v>
      </c>
      <c r="AF230" s="394">
        <f t="shared" si="92"/>
        <v>-4.8748916015028954E-10</v>
      </c>
      <c r="AG230" s="394">
        <f t="shared" si="92"/>
        <v>5.4569682106375694E-10</v>
      </c>
      <c r="AH230" s="394">
        <f t="shared" si="92"/>
        <v>-3.0195224098861217E-10</v>
      </c>
      <c r="AI230" s="394">
        <f t="shared" si="92"/>
        <v>1.0477378964424133E-9</v>
      </c>
      <c r="AJ230" s="394">
        <f t="shared" si="92"/>
        <v>-5.056790541857481E-10</v>
      </c>
      <c r="AK230" s="394">
        <f t="shared" ca="1" si="92"/>
        <v>-1.8335413187742233E-9</v>
      </c>
      <c r="AL230" s="394"/>
      <c r="AM230" s="394"/>
      <c r="AN230" s="432"/>
      <c r="AO230" s="432"/>
    </row>
    <row r="231" spans="3:41">
      <c r="G231" s="394">
        <f>G181-G193</f>
        <v>0</v>
      </c>
      <c r="H231" s="394">
        <f t="shared" ref="H231:W231" si="93">H181-H193</f>
        <v>0</v>
      </c>
      <c r="I231" s="394">
        <f t="shared" si="93"/>
        <v>0</v>
      </c>
      <c r="J231" s="394">
        <f t="shared" si="93"/>
        <v>0</v>
      </c>
      <c r="K231" s="394">
        <f t="shared" si="93"/>
        <v>0</v>
      </c>
      <c r="L231" s="394">
        <f t="shared" si="93"/>
        <v>0</v>
      </c>
      <c r="M231" s="394">
        <f t="shared" si="93"/>
        <v>0</v>
      </c>
      <c r="N231" s="394">
        <f t="shared" si="93"/>
        <v>0</v>
      </c>
      <c r="O231" s="394">
        <f t="shared" si="93"/>
        <v>0</v>
      </c>
      <c r="P231" s="394">
        <f t="shared" si="93"/>
        <v>0</v>
      </c>
      <c r="Q231" s="394">
        <f t="shared" si="93"/>
        <v>0</v>
      </c>
      <c r="R231" s="394">
        <f t="shared" si="93"/>
        <v>0</v>
      </c>
      <c r="S231" s="394">
        <f t="shared" ca="1" si="93"/>
        <v>0</v>
      </c>
      <c r="T231" s="394">
        <f t="shared" si="93"/>
        <v>0</v>
      </c>
      <c r="U231" s="394">
        <f t="shared" si="93"/>
        <v>0</v>
      </c>
      <c r="V231" s="394">
        <f t="shared" si="93"/>
        <v>0</v>
      </c>
      <c r="W231" s="394">
        <f t="shared" si="93"/>
        <v>0</v>
      </c>
      <c r="X231" s="164"/>
      <c r="Y231" s="394">
        <f>Y181-Y193</f>
        <v>0</v>
      </c>
      <c r="Z231" s="394">
        <f t="shared" ref="Z231:AK231" si="94">Z181-Z193</f>
        <v>0</v>
      </c>
      <c r="AA231" s="394">
        <f t="shared" si="94"/>
        <v>0</v>
      </c>
      <c r="AB231" s="394">
        <f t="shared" si="94"/>
        <v>0</v>
      </c>
      <c r="AC231" s="394">
        <f t="shared" si="94"/>
        <v>0</v>
      </c>
      <c r="AD231" s="394">
        <f t="shared" si="94"/>
        <v>0</v>
      </c>
      <c r="AE231" s="394">
        <f t="shared" si="94"/>
        <v>0</v>
      </c>
      <c r="AF231" s="394">
        <f t="shared" si="94"/>
        <v>0</v>
      </c>
      <c r="AG231" s="394">
        <f t="shared" si="94"/>
        <v>0</v>
      </c>
      <c r="AH231" s="394">
        <f t="shared" si="94"/>
        <v>0</v>
      </c>
      <c r="AI231" s="394">
        <f t="shared" si="94"/>
        <v>0</v>
      </c>
      <c r="AJ231" s="394">
        <f t="shared" si="94"/>
        <v>0</v>
      </c>
      <c r="AK231" s="394">
        <f t="shared" ca="1" si="94"/>
        <v>0</v>
      </c>
      <c r="AL231" s="394"/>
      <c r="AM231" s="394"/>
      <c r="AN231" s="432"/>
      <c r="AO231" s="432"/>
    </row>
    <row r="232" spans="3:41">
      <c r="X232" s="164"/>
    </row>
    <row r="233" spans="3:41">
      <c r="D233" s="320" t="s">
        <v>253</v>
      </c>
      <c r="F233" s="355" t="s">
        <v>1235</v>
      </c>
      <c r="G233" s="361">
        <f t="shared" ref="G233:W240" si="95">G195+G213+G222</f>
        <v>1601777.8999999922</v>
      </c>
      <c r="H233" s="361">
        <f t="shared" si="95"/>
        <v>1496483.3000000094</v>
      </c>
      <c r="I233" s="361">
        <f t="shared" si="95"/>
        <v>1416417.0799999787</v>
      </c>
      <c r="J233" s="361">
        <f t="shared" si="95"/>
        <v>1362096.0799999686</v>
      </c>
      <c r="K233" s="361">
        <f t="shared" si="95"/>
        <v>1316100.949999982</v>
      </c>
      <c r="L233" s="361">
        <f t="shared" si="95"/>
        <v>1159701.1499999978</v>
      </c>
      <c r="M233" s="361">
        <f t="shared" si="95"/>
        <v>1095080.9300000027</v>
      </c>
      <c r="N233" s="361">
        <f t="shared" si="95"/>
        <v>1052198.3599999985</v>
      </c>
      <c r="O233" s="361">
        <f t="shared" si="95"/>
        <v>1053439.1299999983</v>
      </c>
      <c r="P233" s="361">
        <f t="shared" si="95"/>
        <v>1089068.0500000007</v>
      </c>
      <c r="Q233" s="361">
        <f t="shared" si="95"/>
        <v>1267850.9499999853</v>
      </c>
      <c r="R233" s="361">
        <f t="shared" si="95"/>
        <v>1631301.0599999777</v>
      </c>
      <c r="S233" s="361">
        <f t="shared" ca="1" si="95"/>
        <v>15541514.939999893</v>
      </c>
      <c r="T233" s="361">
        <f t="shared" si="95"/>
        <v>4514678.2799999807</v>
      </c>
      <c r="U233" s="361">
        <f t="shared" si="95"/>
        <v>3837898.179999948</v>
      </c>
      <c r="V233" s="361">
        <f t="shared" si="95"/>
        <v>3200718.4199999985</v>
      </c>
      <c r="W233" s="361">
        <f t="shared" si="95"/>
        <v>3988220.0599999633</v>
      </c>
      <c r="X233" s="164"/>
      <c r="Y233" s="361">
        <f>Y195+Y213+Y222</f>
        <v>1936750.8599999903</v>
      </c>
      <c r="Z233" s="361">
        <f t="shared" ref="Z233:AK233" si="96">Z195+Z213+Z222</f>
        <v>1651695.4999999872</v>
      </c>
      <c r="AA233" s="361">
        <f t="shared" si="96"/>
        <v>1513452.5699999745</v>
      </c>
      <c r="AB233" s="361">
        <f t="shared" si="96"/>
        <v>1482106.679999989</v>
      </c>
      <c r="AC233" s="361">
        <f t="shared" si="96"/>
        <v>1286429.8199999961</v>
      </c>
      <c r="AD233" s="361">
        <f t="shared" si="96"/>
        <v>1174690.4599999916</v>
      </c>
      <c r="AE233" s="361">
        <f t="shared" si="96"/>
        <v>1138457.7999999984</v>
      </c>
      <c r="AF233" s="361">
        <f t="shared" si="96"/>
        <v>1076788.6199999892</v>
      </c>
      <c r="AG233" s="361">
        <f t="shared" si="96"/>
        <v>1116021.3999999932</v>
      </c>
      <c r="AH233" s="361">
        <f t="shared" si="96"/>
        <v>1136340.1199999875</v>
      </c>
      <c r="AI233" s="361">
        <f t="shared" si="96"/>
        <v>1319005.4699999951</v>
      </c>
      <c r="AJ233" s="361">
        <f t="shared" si="96"/>
        <v>1572055.9799999918</v>
      </c>
      <c r="AK233" s="361">
        <f t="shared" si="96"/>
        <v>16403795.279999882</v>
      </c>
      <c r="AL233" s="361"/>
      <c r="AM233" s="361"/>
      <c r="AN233" s="361"/>
      <c r="AO233" s="361"/>
    </row>
    <row r="234" spans="3:41">
      <c r="D234" s="320" t="s">
        <v>253</v>
      </c>
      <c r="F234" s="355" t="s">
        <v>1236</v>
      </c>
      <c r="G234" s="361">
        <f t="shared" si="95"/>
        <v>0</v>
      </c>
      <c r="H234" s="361">
        <f t="shared" si="95"/>
        <v>0</v>
      </c>
      <c r="I234" s="361">
        <f t="shared" si="95"/>
        <v>0</v>
      </c>
      <c r="J234" s="361">
        <f t="shared" si="95"/>
        <v>0</v>
      </c>
      <c r="K234" s="361">
        <f t="shared" si="95"/>
        <v>0</v>
      </c>
      <c r="L234" s="361">
        <f t="shared" si="95"/>
        <v>0</v>
      </c>
      <c r="M234" s="361">
        <f t="shared" si="95"/>
        <v>0</v>
      </c>
      <c r="N234" s="361">
        <f t="shared" si="95"/>
        <v>0</v>
      </c>
      <c r="O234" s="361">
        <f t="shared" si="95"/>
        <v>0</v>
      </c>
      <c r="P234" s="361">
        <f t="shared" si="95"/>
        <v>0</v>
      </c>
      <c r="Q234" s="361">
        <f t="shared" si="95"/>
        <v>0</v>
      </c>
      <c r="R234" s="361">
        <f t="shared" si="95"/>
        <v>0</v>
      </c>
      <c r="S234" s="361">
        <f t="shared" si="95"/>
        <v>0</v>
      </c>
      <c r="T234" s="361">
        <f t="shared" si="95"/>
        <v>0</v>
      </c>
      <c r="U234" s="361">
        <f t="shared" si="95"/>
        <v>0</v>
      </c>
      <c r="V234" s="361">
        <f t="shared" si="95"/>
        <v>0</v>
      </c>
      <c r="W234" s="361">
        <f t="shared" si="95"/>
        <v>0</v>
      </c>
      <c r="X234" s="164"/>
      <c r="Y234" s="361">
        <f t="shared" ref="Y234:AK240" si="97">Y196+Y214+Y223</f>
        <v>0</v>
      </c>
      <c r="Z234" s="361">
        <f t="shared" si="97"/>
        <v>0</v>
      </c>
      <c r="AA234" s="361">
        <f t="shared" si="97"/>
        <v>0</v>
      </c>
      <c r="AB234" s="361">
        <f t="shared" si="97"/>
        <v>0</v>
      </c>
      <c r="AC234" s="361">
        <f t="shared" si="97"/>
        <v>0</v>
      </c>
      <c r="AD234" s="361">
        <f t="shared" si="97"/>
        <v>0</v>
      </c>
      <c r="AE234" s="361">
        <f t="shared" si="97"/>
        <v>0</v>
      </c>
      <c r="AF234" s="361">
        <f t="shared" si="97"/>
        <v>0</v>
      </c>
      <c r="AG234" s="361">
        <f t="shared" si="97"/>
        <v>0</v>
      </c>
      <c r="AH234" s="361">
        <f t="shared" si="97"/>
        <v>0</v>
      </c>
      <c r="AI234" s="361">
        <f t="shared" si="97"/>
        <v>0</v>
      </c>
      <c r="AJ234" s="361">
        <f t="shared" si="97"/>
        <v>0</v>
      </c>
      <c r="AK234" s="361">
        <f t="shared" si="97"/>
        <v>0</v>
      </c>
      <c r="AL234" s="361"/>
      <c r="AM234" s="361"/>
      <c r="AN234" s="361"/>
      <c r="AO234" s="361"/>
    </row>
    <row r="235" spans="3:41">
      <c r="D235" s="320" t="s">
        <v>253</v>
      </c>
      <c r="F235" s="355" t="s">
        <v>1237</v>
      </c>
      <c r="G235" s="361">
        <f t="shared" si="95"/>
        <v>2660187.4499999997</v>
      </c>
      <c r="H235" s="361">
        <f t="shared" si="95"/>
        <v>2510910.2999999984</v>
      </c>
      <c r="I235" s="361">
        <f t="shared" si="95"/>
        <v>2389901.4399999985</v>
      </c>
      <c r="J235" s="361">
        <f t="shared" si="95"/>
        <v>1925108.3899999964</v>
      </c>
      <c r="K235" s="361">
        <f t="shared" si="95"/>
        <v>1889684.5999999978</v>
      </c>
      <c r="L235" s="361">
        <f t="shared" si="95"/>
        <v>1900491.9899999988</v>
      </c>
      <c r="M235" s="361">
        <f t="shared" si="95"/>
        <v>2006399.7300000011</v>
      </c>
      <c r="N235" s="361">
        <f t="shared" si="95"/>
        <v>1961355.7099999988</v>
      </c>
      <c r="O235" s="361">
        <f t="shared" si="95"/>
        <v>1953575.6299999973</v>
      </c>
      <c r="P235" s="361">
        <f t="shared" si="95"/>
        <v>2006922.1299999997</v>
      </c>
      <c r="Q235" s="361">
        <f t="shared" si="95"/>
        <v>2132440.0300000003</v>
      </c>
      <c r="R235" s="361">
        <f t="shared" si="95"/>
        <v>2357415.9199999995</v>
      </c>
      <c r="S235" s="361">
        <f t="shared" ca="1" si="95"/>
        <v>25694393.319999985</v>
      </c>
      <c r="T235" s="361">
        <f t="shared" si="95"/>
        <v>7560999.1899999976</v>
      </c>
      <c r="U235" s="361">
        <f t="shared" si="95"/>
        <v>5715284.979999993</v>
      </c>
      <c r="V235" s="361">
        <f t="shared" si="95"/>
        <v>5921331.0699999966</v>
      </c>
      <c r="W235" s="361">
        <f t="shared" si="95"/>
        <v>6496778.0800000001</v>
      </c>
      <c r="X235" s="164"/>
      <c r="Y235" s="361">
        <f t="shared" si="97"/>
        <v>2585999.2399999988</v>
      </c>
      <c r="Z235" s="361">
        <f t="shared" si="97"/>
        <v>2345710.4299999974</v>
      </c>
      <c r="AA235" s="361">
        <f t="shared" si="97"/>
        <v>2359839.7799999989</v>
      </c>
      <c r="AB235" s="361">
        <f t="shared" si="97"/>
        <v>2369810.6299999948</v>
      </c>
      <c r="AC235" s="361">
        <f t="shared" si="97"/>
        <v>2232746.4999999967</v>
      </c>
      <c r="AD235" s="361">
        <f t="shared" si="97"/>
        <v>2071510.4299999985</v>
      </c>
      <c r="AE235" s="361">
        <f t="shared" si="97"/>
        <v>2159303.9199999971</v>
      </c>
      <c r="AF235" s="361">
        <f t="shared" si="97"/>
        <v>2043030.4699999997</v>
      </c>
      <c r="AG235" s="361">
        <f t="shared" si="97"/>
        <v>2133409.1199999982</v>
      </c>
      <c r="AH235" s="361">
        <f t="shared" si="97"/>
        <v>2156629.3499999978</v>
      </c>
      <c r="AI235" s="361">
        <f t="shared" si="97"/>
        <v>2266294.6099999961</v>
      </c>
      <c r="AJ235" s="361">
        <f t="shared" si="97"/>
        <v>2433676.8699999996</v>
      </c>
      <c r="AK235" s="361">
        <f t="shared" si="97"/>
        <v>27157961.349999972</v>
      </c>
      <c r="AL235" s="361"/>
      <c r="AM235" s="361"/>
      <c r="AN235" s="361"/>
      <c r="AO235" s="361"/>
    </row>
    <row r="236" spans="3:41">
      <c r="D236" s="320" t="s">
        <v>253</v>
      </c>
      <c r="F236" s="355" t="s">
        <v>1238</v>
      </c>
      <c r="G236" s="361">
        <f t="shared" si="95"/>
        <v>0</v>
      </c>
      <c r="H236" s="361">
        <f t="shared" si="95"/>
        <v>0</v>
      </c>
      <c r="I236" s="361">
        <f t="shared" si="95"/>
        <v>0</v>
      </c>
      <c r="J236" s="361">
        <f t="shared" si="95"/>
        <v>0</v>
      </c>
      <c r="K236" s="361">
        <f t="shared" si="95"/>
        <v>0</v>
      </c>
      <c r="L236" s="361">
        <f t="shared" si="95"/>
        <v>0</v>
      </c>
      <c r="M236" s="361">
        <f t="shared" si="95"/>
        <v>0</v>
      </c>
      <c r="N236" s="361">
        <f t="shared" si="95"/>
        <v>0</v>
      </c>
      <c r="O236" s="361">
        <f t="shared" si="95"/>
        <v>0</v>
      </c>
      <c r="P236" s="361">
        <f t="shared" si="95"/>
        <v>0</v>
      </c>
      <c r="Q236" s="361">
        <f t="shared" si="95"/>
        <v>0</v>
      </c>
      <c r="R236" s="361">
        <f t="shared" si="95"/>
        <v>0</v>
      </c>
      <c r="S236" s="361">
        <f t="shared" si="95"/>
        <v>0</v>
      </c>
      <c r="T236" s="361">
        <f t="shared" si="95"/>
        <v>0</v>
      </c>
      <c r="U236" s="361">
        <f t="shared" si="95"/>
        <v>0</v>
      </c>
      <c r="V236" s="361">
        <f t="shared" si="95"/>
        <v>0</v>
      </c>
      <c r="W236" s="361">
        <f t="shared" si="95"/>
        <v>0</v>
      </c>
      <c r="X236" s="164"/>
      <c r="Y236" s="361">
        <f t="shared" si="97"/>
        <v>0</v>
      </c>
      <c r="Z236" s="361">
        <f t="shared" si="97"/>
        <v>0</v>
      </c>
      <c r="AA236" s="361">
        <f t="shared" si="97"/>
        <v>0</v>
      </c>
      <c r="AB236" s="361">
        <f t="shared" si="97"/>
        <v>0</v>
      </c>
      <c r="AC236" s="361">
        <f t="shared" si="97"/>
        <v>0</v>
      </c>
      <c r="AD236" s="361">
        <f t="shared" si="97"/>
        <v>0</v>
      </c>
      <c r="AE236" s="361">
        <f t="shared" si="97"/>
        <v>0</v>
      </c>
      <c r="AF236" s="361">
        <f t="shared" si="97"/>
        <v>0</v>
      </c>
      <c r="AG236" s="361">
        <f t="shared" si="97"/>
        <v>0</v>
      </c>
      <c r="AH236" s="361">
        <f t="shared" si="97"/>
        <v>0</v>
      </c>
      <c r="AI236" s="361">
        <f t="shared" si="97"/>
        <v>0</v>
      </c>
      <c r="AJ236" s="361">
        <f t="shared" si="97"/>
        <v>0</v>
      </c>
      <c r="AK236" s="361">
        <f t="shared" si="97"/>
        <v>0</v>
      </c>
      <c r="AL236" s="361"/>
      <c r="AM236" s="361"/>
      <c r="AN236" s="361"/>
      <c r="AO236" s="361"/>
    </row>
    <row r="237" spans="3:41">
      <c r="D237" s="320" t="s">
        <v>253</v>
      </c>
      <c r="F237" s="355" t="s">
        <v>1239</v>
      </c>
      <c r="G237" s="361">
        <f t="shared" si="95"/>
        <v>117734.45</v>
      </c>
      <c r="H237" s="361">
        <f t="shared" si="95"/>
        <v>101233.45</v>
      </c>
      <c r="I237" s="361">
        <f t="shared" si="95"/>
        <v>111063.45</v>
      </c>
      <c r="J237" s="361">
        <f t="shared" si="95"/>
        <v>113217.45</v>
      </c>
      <c r="K237" s="361">
        <f t="shared" si="95"/>
        <v>133798.41999999998</v>
      </c>
      <c r="L237" s="361">
        <f t="shared" si="95"/>
        <v>131705.69</v>
      </c>
      <c r="M237" s="361">
        <f t="shared" si="95"/>
        <v>134459.15999999997</v>
      </c>
      <c r="N237" s="361">
        <f t="shared" si="95"/>
        <v>109182.25</v>
      </c>
      <c r="O237" s="361">
        <f t="shared" si="95"/>
        <v>129394.29</v>
      </c>
      <c r="P237" s="361">
        <f t="shared" si="95"/>
        <v>130685.43999999999</v>
      </c>
      <c r="Q237" s="361">
        <f t="shared" si="95"/>
        <v>135941.21</v>
      </c>
      <c r="R237" s="361">
        <f t="shared" si="95"/>
        <v>242800.21</v>
      </c>
      <c r="S237" s="361">
        <f t="shared" ca="1" si="95"/>
        <v>1591215.4699999997</v>
      </c>
      <c r="T237" s="361">
        <f t="shared" si="95"/>
        <v>330031.34999999998</v>
      </c>
      <c r="U237" s="361">
        <f t="shared" si="95"/>
        <v>378721.56</v>
      </c>
      <c r="V237" s="361">
        <f t="shared" si="95"/>
        <v>373035.69999999995</v>
      </c>
      <c r="W237" s="361">
        <f t="shared" si="95"/>
        <v>509426.86</v>
      </c>
      <c r="X237" s="164"/>
      <c r="Y237" s="361">
        <f t="shared" si="97"/>
        <v>226644.40999999997</v>
      </c>
      <c r="Z237" s="361">
        <f t="shared" si="97"/>
        <v>219807.2</v>
      </c>
      <c r="AA237" s="361">
        <f t="shared" si="97"/>
        <v>228335.44</v>
      </c>
      <c r="AB237" s="361">
        <f t="shared" si="97"/>
        <v>215950.72999999998</v>
      </c>
      <c r="AC237" s="361">
        <f t="shared" si="97"/>
        <v>227612.25</v>
      </c>
      <c r="AD237" s="361">
        <f t="shared" si="97"/>
        <v>230673.13999999998</v>
      </c>
      <c r="AE237" s="361">
        <f t="shared" si="97"/>
        <v>229237.03</v>
      </c>
      <c r="AF237" s="361">
        <f t="shared" si="97"/>
        <v>231742.56</v>
      </c>
      <c r="AG237" s="361">
        <f t="shared" si="97"/>
        <v>231299.01</v>
      </c>
      <c r="AH237" s="361">
        <f t="shared" si="97"/>
        <v>240917.29</v>
      </c>
      <c r="AI237" s="361">
        <f t="shared" si="97"/>
        <v>237873.12</v>
      </c>
      <c r="AJ237" s="361">
        <f t="shared" si="97"/>
        <v>240521.74</v>
      </c>
      <c r="AK237" s="361">
        <f t="shared" ca="1" si="97"/>
        <v>2760613.92</v>
      </c>
      <c r="AL237" s="361"/>
      <c r="AM237" s="361"/>
      <c r="AN237" s="361"/>
      <c r="AO237" s="361"/>
    </row>
    <row r="238" spans="3:41">
      <c r="D238" s="320" t="s">
        <v>253</v>
      </c>
      <c r="F238" s="355" t="s">
        <v>1240</v>
      </c>
      <c r="G238" s="361">
        <f t="shared" si="95"/>
        <v>912672</v>
      </c>
      <c r="H238" s="361">
        <f t="shared" si="95"/>
        <v>986206</v>
      </c>
      <c r="I238" s="361">
        <f t="shared" si="95"/>
        <v>1149850</v>
      </c>
      <c r="J238" s="361">
        <f t="shared" si="95"/>
        <v>730042</v>
      </c>
      <c r="K238" s="361">
        <f t="shared" si="95"/>
        <v>850405</v>
      </c>
      <c r="L238" s="361">
        <f t="shared" si="95"/>
        <v>953910.2</v>
      </c>
      <c r="M238" s="361">
        <f t="shared" si="95"/>
        <v>828834.19</v>
      </c>
      <c r="N238" s="361">
        <f t="shared" si="95"/>
        <v>1005066.6799999999</v>
      </c>
      <c r="O238" s="361">
        <f t="shared" si="95"/>
        <v>1084957.56</v>
      </c>
      <c r="P238" s="361">
        <f t="shared" si="95"/>
        <v>1177478.76</v>
      </c>
      <c r="Q238" s="361">
        <f t="shared" si="95"/>
        <v>1154698.48</v>
      </c>
      <c r="R238" s="361">
        <f t="shared" si="95"/>
        <v>1298939.6099999999</v>
      </c>
      <c r="S238" s="361">
        <f t="shared" ca="1" si="95"/>
        <v>12133060.479999999</v>
      </c>
      <c r="T238" s="361">
        <f t="shared" si="95"/>
        <v>3048728</v>
      </c>
      <c r="U238" s="361">
        <f t="shared" si="95"/>
        <v>2534357.2000000002</v>
      </c>
      <c r="V238" s="361">
        <f t="shared" si="95"/>
        <v>2918858.4299999992</v>
      </c>
      <c r="W238" s="361">
        <f t="shared" si="95"/>
        <v>3631116.85</v>
      </c>
      <c r="X238" s="164"/>
      <c r="Y238" s="361">
        <f t="shared" si="97"/>
        <v>1014315.4699999997</v>
      </c>
      <c r="Z238" s="361">
        <f t="shared" si="97"/>
        <v>1133884.9100000004</v>
      </c>
      <c r="AA238" s="361">
        <f t="shared" si="97"/>
        <v>1171906.97</v>
      </c>
      <c r="AB238" s="361">
        <f t="shared" si="97"/>
        <v>1378231.54</v>
      </c>
      <c r="AC238" s="361">
        <f t="shared" si="97"/>
        <v>1150656.8899999997</v>
      </c>
      <c r="AD238" s="361">
        <f t="shared" si="97"/>
        <v>1155163.6599999999</v>
      </c>
      <c r="AE238" s="361">
        <f t="shared" si="97"/>
        <v>1167991.69</v>
      </c>
      <c r="AF238" s="361">
        <f t="shared" si="97"/>
        <v>1335003.0799999998</v>
      </c>
      <c r="AG238" s="361">
        <f t="shared" si="97"/>
        <v>1010490.4599999998</v>
      </c>
      <c r="AH238" s="361">
        <f t="shared" si="97"/>
        <v>1471669.53</v>
      </c>
      <c r="AI238" s="361">
        <f t="shared" si="97"/>
        <v>1531099.05</v>
      </c>
      <c r="AJ238" s="361">
        <f t="shared" si="97"/>
        <v>1297916.2600000049</v>
      </c>
      <c r="AK238" s="361">
        <f t="shared" ca="1" si="97"/>
        <v>14818329.510000004</v>
      </c>
      <c r="AL238" s="361"/>
      <c r="AM238" s="361"/>
      <c r="AN238" s="361"/>
      <c r="AO238" s="361"/>
    </row>
    <row r="239" spans="3:41">
      <c r="D239" s="320" t="s">
        <v>253</v>
      </c>
      <c r="F239" s="355" t="s">
        <v>1241</v>
      </c>
      <c r="G239" s="361">
        <f t="shared" si="95"/>
        <v>47733</v>
      </c>
      <c r="H239" s="361">
        <f t="shared" si="95"/>
        <v>45268</v>
      </c>
      <c r="I239" s="361">
        <f t="shared" si="95"/>
        <v>42881</v>
      </c>
      <c r="J239" s="361">
        <f t="shared" si="95"/>
        <v>34434</v>
      </c>
      <c r="K239" s="361">
        <f t="shared" si="95"/>
        <v>34124</v>
      </c>
      <c r="L239" s="361">
        <f t="shared" si="95"/>
        <v>31780.410000000003</v>
      </c>
      <c r="M239" s="361">
        <f t="shared" si="95"/>
        <v>31300.799999999999</v>
      </c>
      <c r="N239" s="361">
        <f t="shared" si="95"/>
        <v>30868</v>
      </c>
      <c r="O239" s="361">
        <f t="shared" si="95"/>
        <v>31918</v>
      </c>
      <c r="P239" s="361">
        <f t="shared" si="95"/>
        <v>33785.600000000006</v>
      </c>
      <c r="Q239" s="361">
        <f t="shared" si="95"/>
        <v>38796.89</v>
      </c>
      <c r="R239" s="361">
        <f t="shared" si="95"/>
        <v>49505</v>
      </c>
      <c r="S239" s="361">
        <f t="shared" ca="1" si="95"/>
        <v>452394.70000000007</v>
      </c>
      <c r="T239" s="361">
        <f t="shared" si="95"/>
        <v>135882</v>
      </c>
      <c r="U239" s="361">
        <f t="shared" si="95"/>
        <v>100338.41</v>
      </c>
      <c r="V239" s="361">
        <f t="shared" si="95"/>
        <v>94086.8</v>
      </c>
      <c r="W239" s="361">
        <f t="shared" si="95"/>
        <v>122087.49</v>
      </c>
      <c r="X239" s="164"/>
      <c r="Y239" s="361">
        <f t="shared" si="97"/>
        <v>56767</v>
      </c>
      <c r="Z239" s="361">
        <f t="shared" si="97"/>
        <v>49426</v>
      </c>
      <c r="AA239" s="361">
        <f t="shared" si="97"/>
        <v>47126</v>
      </c>
      <c r="AB239" s="361">
        <f t="shared" si="97"/>
        <v>48506</v>
      </c>
      <c r="AC239" s="361">
        <f t="shared" si="97"/>
        <v>42345</v>
      </c>
      <c r="AD239" s="361">
        <f t="shared" si="97"/>
        <v>37061</v>
      </c>
      <c r="AE239" s="361">
        <f t="shared" si="97"/>
        <v>36951</v>
      </c>
      <c r="AF239" s="361">
        <f t="shared" si="97"/>
        <v>35339</v>
      </c>
      <c r="AG239" s="361">
        <f t="shared" si="97"/>
        <v>36330</v>
      </c>
      <c r="AH239" s="361">
        <f t="shared" si="97"/>
        <v>37755</v>
      </c>
      <c r="AI239" s="361">
        <f t="shared" si="97"/>
        <v>41507</v>
      </c>
      <c r="AJ239" s="361">
        <f t="shared" si="97"/>
        <v>47575.63</v>
      </c>
      <c r="AK239" s="361">
        <f t="shared" ca="1" si="97"/>
        <v>516688.62999999995</v>
      </c>
      <c r="AL239" s="361"/>
      <c r="AM239" s="361"/>
      <c r="AN239" s="361"/>
      <c r="AO239" s="361"/>
    </row>
    <row r="240" spans="3:41">
      <c r="D240" s="320" t="s">
        <v>253</v>
      </c>
      <c r="F240" s="328" t="s">
        <v>1242</v>
      </c>
      <c r="G240" s="447">
        <f t="shared" si="95"/>
        <v>5244638.7999999924</v>
      </c>
      <c r="H240" s="447">
        <f t="shared" si="95"/>
        <v>5049565.0500000082</v>
      </c>
      <c r="I240" s="447">
        <f t="shared" si="95"/>
        <v>5024350.9699999774</v>
      </c>
      <c r="J240" s="447">
        <f t="shared" si="95"/>
        <v>4096029.919999965</v>
      </c>
      <c r="K240" s="447">
        <f t="shared" si="95"/>
        <v>4155864.9699999797</v>
      </c>
      <c r="L240" s="447">
        <f t="shared" si="95"/>
        <v>4114028.6199999969</v>
      </c>
      <c r="M240" s="447">
        <f t="shared" si="95"/>
        <v>4033473.2100000037</v>
      </c>
      <c r="N240" s="447">
        <f t="shared" si="95"/>
        <v>4096934.9999999972</v>
      </c>
      <c r="O240" s="447">
        <f t="shared" si="95"/>
        <v>4189448.6099999957</v>
      </c>
      <c r="P240" s="447">
        <f t="shared" si="95"/>
        <v>4370368.7800000012</v>
      </c>
      <c r="Q240" s="447">
        <f t="shared" si="95"/>
        <v>4652133.7799999854</v>
      </c>
      <c r="R240" s="447">
        <f t="shared" si="95"/>
        <v>5480951.7999999765</v>
      </c>
      <c r="S240" s="447">
        <f t="shared" ca="1" si="95"/>
        <v>54507789.509999871</v>
      </c>
      <c r="T240" s="447">
        <f t="shared" si="95"/>
        <v>15318554.819999978</v>
      </c>
      <c r="U240" s="447">
        <f t="shared" si="95"/>
        <v>12365923.509999942</v>
      </c>
      <c r="V240" s="447">
        <f t="shared" si="95"/>
        <v>12319856.819999993</v>
      </c>
      <c r="W240" s="447">
        <f t="shared" si="95"/>
        <v>14503454.35999996</v>
      </c>
      <c r="X240" s="164"/>
      <c r="Y240" s="447">
        <f t="shared" si="97"/>
        <v>5706942.9799999902</v>
      </c>
      <c r="Z240" s="447">
        <f t="shared" si="97"/>
        <v>5301672.0399999842</v>
      </c>
      <c r="AA240" s="447">
        <f t="shared" si="97"/>
        <v>5226408.7599999737</v>
      </c>
      <c r="AB240" s="447">
        <f t="shared" si="97"/>
        <v>5397593.5799999842</v>
      </c>
      <c r="AC240" s="447">
        <f t="shared" si="97"/>
        <v>4855100.4599999916</v>
      </c>
      <c r="AD240" s="447">
        <f t="shared" si="97"/>
        <v>4594976.6899999902</v>
      </c>
      <c r="AE240" s="447">
        <f t="shared" si="97"/>
        <v>4658039.4399999958</v>
      </c>
      <c r="AF240" s="447">
        <f t="shared" si="97"/>
        <v>4651225.7299999893</v>
      </c>
      <c r="AG240" s="447">
        <f t="shared" si="97"/>
        <v>4454889.9899999909</v>
      </c>
      <c r="AH240" s="447">
        <f t="shared" si="97"/>
        <v>4967801.2899999851</v>
      </c>
      <c r="AI240" s="447">
        <f t="shared" si="97"/>
        <v>5312765.2499999916</v>
      </c>
      <c r="AJ240" s="447">
        <f t="shared" si="97"/>
        <v>5496595.219999996</v>
      </c>
      <c r="AK240" s="447">
        <f t="shared" ca="1" si="97"/>
        <v>60624011.429999858</v>
      </c>
      <c r="AL240" s="447"/>
      <c r="AM240" s="447"/>
      <c r="AN240" s="447"/>
      <c r="AO240" s="447"/>
    </row>
    <row r="241" spans="3:41" s="164" customFormat="1">
      <c r="E241" s="395"/>
      <c r="F241" s="395"/>
      <c r="AK241" s="395"/>
      <c r="AL241" s="395"/>
      <c r="AM241" s="395"/>
      <c r="AN241" s="395"/>
      <c r="AO241" s="395"/>
    </row>
    <row r="242" spans="3:41" s="164" customFormat="1">
      <c r="E242" s="395"/>
      <c r="F242" s="395"/>
      <c r="AN242" s="395"/>
      <c r="AO242" s="395"/>
    </row>
    <row r="243" spans="3:41" s="164" customFormat="1">
      <c r="E243" s="395"/>
      <c r="F243" s="395"/>
      <c r="AN243" s="395"/>
      <c r="AO243" s="395"/>
    </row>
    <row r="244" spans="3:41" s="164" customFormat="1">
      <c r="E244" s="395"/>
      <c r="F244" s="395"/>
      <c r="AN244" s="395"/>
      <c r="AO244" s="395"/>
    </row>
    <row r="245" spans="3:41" s="164" customFormat="1">
      <c r="E245" s="395"/>
      <c r="F245" s="395"/>
      <c r="AN245" s="395"/>
      <c r="AO245" s="395"/>
    </row>
    <row r="246" spans="3:41" s="164" customFormat="1">
      <c r="E246" s="395"/>
      <c r="F246" s="395"/>
      <c r="AN246" s="395"/>
      <c r="AO246" s="395"/>
    </row>
    <row r="247" spans="3:41" s="164" customFormat="1">
      <c r="E247" s="395"/>
      <c r="F247" s="395"/>
      <c r="AN247" s="395"/>
      <c r="AO247" s="395"/>
    </row>
    <row r="248" spans="3:41">
      <c r="C248" s="121" t="s">
        <v>8</v>
      </c>
      <c r="D248" s="320" t="s">
        <v>16</v>
      </c>
      <c r="F248" s="355" t="str">
        <f>CONCATENATE(C248, " - ",D248)</f>
        <v>Residential - FPU</v>
      </c>
      <c r="G248" s="158">
        <f t="shared" ref="G248:W254" si="98">SUMIFS(G$5:G$181,$C$5:$C$181,$C248,$D$5:$D$181,$D248)</f>
        <v>1581631.0899999922</v>
      </c>
      <c r="H248" s="158">
        <f t="shared" si="98"/>
        <v>1477740.0100000093</v>
      </c>
      <c r="I248" s="158">
        <f t="shared" si="98"/>
        <v>1397979.6099999787</v>
      </c>
      <c r="J248" s="158">
        <f t="shared" si="98"/>
        <v>1343880.2799999686</v>
      </c>
      <c r="K248" s="158">
        <f t="shared" si="98"/>
        <v>1298610.8499999819</v>
      </c>
      <c r="L248" s="158">
        <f t="shared" si="98"/>
        <v>1143090.5699999977</v>
      </c>
      <c r="M248" s="158">
        <f t="shared" si="98"/>
        <v>1077961.2900000026</v>
      </c>
      <c r="N248" s="158">
        <f t="shared" si="98"/>
        <v>1036003.4299999984</v>
      </c>
      <c r="O248" s="158">
        <f t="shared" si="98"/>
        <v>1036807.6799999983</v>
      </c>
      <c r="P248" s="158">
        <f t="shared" si="98"/>
        <v>1072374.3700000008</v>
      </c>
      <c r="Q248" s="158">
        <f t="shared" si="98"/>
        <v>1250230.2699999851</v>
      </c>
      <c r="R248" s="158">
        <f t="shared" si="98"/>
        <v>1611668.4199999778</v>
      </c>
      <c r="S248" s="400">
        <f t="shared" ca="1" si="98"/>
        <v>15327977.869999893</v>
      </c>
      <c r="T248" s="158">
        <f t="shared" si="98"/>
        <v>4457350.7099999804</v>
      </c>
      <c r="U248" s="158">
        <f t="shared" si="98"/>
        <v>3785581.699999948</v>
      </c>
      <c r="V248" s="158">
        <f t="shared" si="98"/>
        <v>3150772.399999999</v>
      </c>
      <c r="W248" s="158">
        <f t="shared" si="98"/>
        <v>3934273.0599999633</v>
      </c>
      <c r="X248" s="164"/>
      <c r="Y248" s="158">
        <f>SUMIFS(Y$5:Y$75,$C$5:$C$75,$C248,$D$5:$D$75,$D248)</f>
        <v>1915919.4499999902</v>
      </c>
      <c r="Z248" s="158">
        <f t="shared" ref="Z248:AK254" si="99">SUMIFS(Z$5:Z$75,$C$5:$C$75,$C248,$D$5:$D$75,$D248)</f>
        <v>1632617.3999999873</v>
      </c>
      <c r="AA248" s="158">
        <f t="shared" si="99"/>
        <v>1495236.1099999743</v>
      </c>
      <c r="AB248" s="158">
        <f t="shared" si="99"/>
        <v>1463956.1099999889</v>
      </c>
      <c r="AC248" s="158">
        <f t="shared" si="99"/>
        <v>1269635.229999996</v>
      </c>
      <c r="AD248" s="158">
        <f t="shared" si="99"/>
        <v>1158071.3499999915</v>
      </c>
      <c r="AE248" s="158">
        <f t="shared" si="99"/>
        <v>1121796.4599999983</v>
      </c>
      <c r="AF248" s="158">
        <f t="shared" si="99"/>
        <v>1061004.179999989</v>
      </c>
      <c r="AG248" s="158">
        <f t="shared" si="99"/>
        <v>1099399.489999993</v>
      </c>
      <c r="AH248" s="158">
        <f t="shared" si="99"/>
        <v>1120301.6999999876</v>
      </c>
      <c r="AI248" s="158">
        <f t="shared" si="99"/>
        <v>1302733.389999995</v>
      </c>
      <c r="AJ248" s="158">
        <f t="shared" si="99"/>
        <v>1552830.4699999918</v>
      </c>
      <c r="AK248" s="158">
        <f t="shared" si="99"/>
        <v>16193501.339999883</v>
      </c>
      <c r="AL248" s="400"/>
      <c r="AM248" s="400"/>
      <c r="AN248" s="400"/>
      <c r="AO248" s="400"/>
    </row>
    <row r="249" spans="3:41">
      <c r="C249" s="121" t="s">
        <v>1145</v>
      </c>
      <c r="D249" s="320" t="s">
        <v>16</v>
      </c>
      <c r="F249" s="355" t="str">
        <f t="shared" ref="F249:F255" si="100">CONCATENATE(C249, " - ",D249)</f>
        <v>Residential - Experimental - FPU</v>
      </c>
      <c r="G249" s="158">
        <f t="shared" si="98"/>
        <v>0</v>
      </c>
      <c r="H249" s="158">
        <f t="shared" si="98"/>
        <v>0</v>
      </c>
      <c r="I249" s="158">
        <f t="shared" si="98"/>
        <v>0</v>
      </c>
      <c r="J249" s="158">
        <f t="shared" si="98"/>
        <v>0</v>
      </c>
      <c r="K249" s="158">
        <f t="shared" si="98"/>
        <v>0</v>
      </c>
      <c r="L249" s="158">
        <f t="shared" si="98"/>
        <v>0</v>
      </c>
      <c r="M249" s="158">
        <f t="shared" si="98"/>
        <v>0</v>
      </c>
      <c r="N249" s="158">
        <f t="shared" si="98"/>
        <v>0</v>
      </c>
      <c r="O249" s="158">
        <f t="shared" si="98"/>
        <v>0</v>
      </c>
      <c r="P249" s="158">
        <f t="shared" si="98"/>
        <v>0</v>
      </c>
      <c r="Q249" s="158">
        <f t="shared" si="98"/>
        <v>0</v>
      </c>
      <c r="R249" s="158">
        <f t="shared" si="98"/>
        <v>0</v>
      </c>
      <c r="S249" s="400">
        <f t="shared" si="98"/>
        <v>0</v>
      </c>
      <c r="T249" s="158">
        <f t="shared" si="98"/>
        <v>0</v>
      </c>
      <c r="U249" s="158">
        <f t="shared" si="98"/>
        <v>0</v>
      </c>
      <c r="V249" s="158">
        <f t="shared" si="98"/>
        <v>0</v>
      </c>
      <c r="W249" s="158">
        <f t="shared" si="98"/>
        <v>0</v>
      </c>
      <c r="X249" s="164"/>
      <c r="Y249" s="158">
        <f t="shared" ref="Y249:Y254" si="101">SUMIFS(Y$5:Y$75,$C$5:$C$75,$C249,$D$5:$D$75,$D249)</f>
        <v>0</v>
      </c>
      <c r="Z249" s="158">
        <f t="shared" si="99"/>
        <v>0</v>
      </c>
      <c r="AA249" s="158">
        <f t="shared" si="99"/>
        <v>0</v>
      </c>
      <c r="AB249" s="158">
        <f t="shared" si="99"/>
        <v>0</v>
      </c>
      <c r="AC249" s="158">
        <f t="shared" si="99"/>
        <v>0</v>
      </c>
      <c r="AD249" s="158">
        <f t="shared" si="99"/>
        <v>0</v>
      </c>
      <c r="AE249" s="158">
        <f t="shared" si="99"/>
        <v>0</v>
      </c>
      <c r="AF249" s="158">
        <f t="shared" si="99"/>
        <v>0</v>
      </c>
      <c r="AG249" s="158">
        <f t="shared" si="99"/>
        <v>0</v>
      </c>
      <c r="AH249" s="158">
        <f t="shared" si="99"/>
        <v>0</v>
      </c>
      <c r="AI249" s="158">
        <f t="shared" si="99"/>
        <v>0</v>
      </c>
      <c r="AJ249" s="158">
        <f t="shared" si="99"/>
        <v>0</v>
      </c>
      <c r="AK249" s="158">
        <f t="shared" si="99"/>
        <v>0</v>
      </c>
      <c r="AL249" s="400"/>
      <c r="AM249" s="400"/>
      <c r="AN249" s="400"/>
      <c r="AO249" s="400"/>
    </row>
    <row r="250" spans="3:41">
      <c r="C250" s="121" t="s">
        <v>1153</v>
      </c>
      <c r="D250" s="320" t="s">
        <v>16</v>
      </c>
      <c r="F250" s="355" t="str">
        <f t="shared" si="100"/>
        <v>Non-Residential - FPU</v>
      </c>
      <c r="G250" s="158">
        <f t="shared" si="98"/>
        <v>2642275.1599999997</v>
      </c>
      <c r="H250" s="158">
        <f t="shared" si="98"/>
        <v>2492587.4299999983</v>
      </c>
      <c r="I250" s="158">
        <f t="shared" si="98"/>
        <v>2372172.8699999987</v>
      </c>
      <c r="J250" s="158">
        <f t="shared" si="98"/>
        <v>1909920.2999999966</v>
      </c>
      <c r="K250" s="158">
        <f t="shared" si="98"/>
        <v>1876895.8799999978</v>
      </c>
      <c r="L250" s="158">
        <f t="shared" si="98"/>
        <v>1888084.5799999989</v>
      </c>
      <c r="M250" s="158">
        <f t="shared" si="98"/>
        <v>1993840.0100000012</v>
      </c>
      <c r="N250" s="158">
        <f t="shared" si="98"/>
        <v>1949380.8799999987</v>
      </c>
      <c r="O250" s="158">
        <f t="shared" si="98"/>
        <v>1940984.0599999973</v>
      </c>
      <c r="P250" s="158">
        <f t="shared" si="98"/>
        <v>1993589.9199999997</v>
      </c>
      <c r="Q250" s="158">
        <f t="shared" si="98"/>
        <v>2117240.9600000004</v>
      </c>
      <c r="R250" s="158">
        <f t="shared" si="98"/>
        <v>2339173.3499999996</v>
      </c>
      <c r="S250" s="400">
        <f t="shared" ca="1" si="98"/>
        <v>25516145.399999984</v>
      </c>
      <c r="T250" s="158">
        <f t="shared" si="98"/>
        <v>7507035.4599999981</v>
      </c>
      <c r="U250" s="158">
        <f t="shared" si="98"/>
        <v>5674900.7599999933</v>
      </c>
      <c r="V250" s="158">
        <f t="shared" si="98"/>
        <v>5884204.9499999974</v>
      </c>
      <c r="W250" s="158">
        <f t="shared" si="98"/>
        <v>6450004.2299999995</v>
      </c>
      <c r="X250" s="164"/>
      <c r="Y250" s="158">
        <f t="shared" si="101"/>
        <v>2567214.0599999991</v>
      </c>
      <c r="Z250" s="158">
        <f t="shared" si="99"/>
        <v>2347160.5499999975</v>
      </c>
      <c r="AA250" s="158">
        <f t="shared" si="99"/>
        <v>2350184.4999999991</v>
      </c>
      <c r="AB250" s="158">
        <f t="shared" si="99"/>
        <v>2359988.8999999948</v>
      </c>
      <c r="AC250" s="158">
        <f t="shared" si="99"/>
        <v>2223820.4799999967</v>
      </c>
      <c r="AD250" s="158">
        <f t="shared" si="99"/>
        <v>2063738.9799999986</v>
      </c>
      <c r="AE250" s="158">
        <f t="shared" si="99"/>
        <v>2153697.6199999973</v>
      </c>
      <c r="AF250" s="158">
        <f t="shared" si="99"/>
        <v>2035404.8599999996</v>
      </c>
      <c r="AG250" s="158">
        <f t="shared" si="99"/>
        <v>2126256.819999998</v>
      </c>
      <c r="AH250" s="158">
        <f t="shared" si="99"/>
        <v>2148885.5799999977</v>
      </c>
      <c r="AI250" s="158">
        <f t="shared" si="99"/>
        <v>2256739.8999999962</v>
      </c>
      <c r="AJ250" s="158">
        <f t="shared" si="99"/>
        <v>2422106.84</v>
      </c>
      <c r="AK250" s="158">
        <f t="shared" si="99"/>
        <v>27055199.08999997</v>
      </c>
      <c r="AL250" s="400"/>
      <c r="AM250" s="400"/>
      <c r="AN250" s="400"/>
      <c r="AO250" s="400"/>
    </row>
    <row r="251" spans="3:41">
      <c r="C251" s="121" t="s">
        <v>1190</v>
      </c>
      <c r="D251" s="320" t="s">
        <v>16</v>
      </c>
      <c r="F251" s="355" t="str">
        <f t="shared" si="100"/>
        <v>Non-Residential-Experimental - FPU</v>
      </c>
      <c r="G251" s="158">
        <f t="shared" si="98"/>
        <v>0</v>
      </c>
      <c r="H251" s="158">
        <f t="shared" si="98"/>
        <v>0</v>
      </c>
      <c r="I251" s="158">
        <f t="shared" si="98"/>
        <v>0</v>
      </c>
      <c r="J251" s="158">
        <f t="shared" si="98"/>
        <v>0</v>
      </c>
      <c r="K251" s="158">
        <f t="shared" si="98"/>
        <v>0</v>
      </c>
      <c r="L251" s="158">
        <f t="shared" si="98"/>
        <v>0</v>
      </c>
      <c r="M251" s="158">
        <f t="shared" si="98"/>
        <v>0</v>
      </c>
      <c r="N251" s="158">
        <f t="shared" si="98"/>
        <v>0</v>
      </c>
      <c r="O251" s="158">
        <f t="shared" si="98"/>
        <v>0</v>
      </c>
      <c r="P251" s="158">
        <f t="shared" si="98"/>
        <v>0</v>
      </c>
      <c r="Q251" s="158">
        <f t="shared" si="98"/>
        <v>0</v>
      </c>
      <c r="R251" s="158">
        <f t="shared" si="98"/>
        <v>0</v>
      </c>
      <c r="S251" s="400">
        <f t="shared" si="98"/>
        <v>0</v>
      </c>
      <c r="T251" s="158">
        <f t="shared" si="98"/>
        <v>0</v>
      </c>
      <c r="U251" s="158">
        <f t="shared" si="98"/>
        <v>0</v>
      </c>
      <c r="V251" s="158">
        <f t="shared" si="98"/>
        <v>0</v>
      </c>
      <c r="W251" s="158">
        <f t="shared" si="98"/>
        <v>0</v>
      </c>
      <c r="X251" s="164"/>
      <c r="Y251" s="158">
        <f t="shared" si="101"/>
        <v>0</v>
      </c>
      <c r="Z251" s="158">
        <f t="shared" si="99"/>
        <v>0</v>
      </c>
      <c r="AA251" s="158">
        <f t="shared" si="99"/>
        <v>0</v>
      </c>
      <c r="AB251" s="158">
        <f t="shared" si="99"/>
        <v>0</v>
      </c>
      <c r="AC251" s="158">
        <f t="shared" si="99"/>
        <v>0</v>
      </c>
      <c r="AD251" s="158">
        <f t="shared" si="99"/>
        <v>0</v>
      </c>
      <c r="AE251" s="158">
        <f t="shared" si="99"/>
        <v>0</v>
      </c>
      <c r="AF251" s="158">
        <f t="shared" si="99"/>
        <v>0</v>
      </c>
      <c r="AG251" s="158">
        <f t="shared" si="99"/>
        <v>0</v>
      </c>
      <c r="AH251" s="158">
        <f t="shared" si="99"/>
        <v>0</v>
      </c>
      <c r="AI251" s="158">
        <f t="shared" si="99"/>
        <v>0</v>
      </c>
      <c r="AJ251" s="158">
        <f t="shared" si="99"/>
        <v>0</v>
      </c>
      <c r="AK251" s="158">
        <f t="shared" si="99"/>
        <v>0</v>
      </c>
      <c r="AL251" s="400"/>
      <c r="AM251" s="400"/>
      <c r="AN251" s="400"/>
      <c r="AO251" s="400"/>
    </row>
    <row r="252" spans="3:41">
      <c r="C252" s="121" t="s">
        <v>1197</v>
      </c>
      <c r="D252" s="320" t="s">
        <v>16</v>
      </c>
      <c r="F252" s="355" t="str">
        <f t="shared" si="100"/>
        <v>Industrial - FPU</v>
      </c>
      <c r="G252" s="158">
        <f t="shared" si="98"/>
        <v>117734.45</v>
      </c>
      <c r="H252" s="158">
        <f t="shared" si="98"/>
        <v>101233.45</v>
      </c>
      <c r="I252" s="158">
        <f t="shared" si="98"/>
        <v>111063.45</v>
      </c>
      <c r="J252" s="158">
        <f t="shared" si="98"/>
        <v>113217.45</v>
      </c>
      <c r="K252" s="158">
        <f t="shared" si="98"/>
        <v>133798.41999999998</v>
      </c>
      <c r="L252" s="158">
        <f t="shared" si="98"/>
        <v>131705.69</v>
      </c>
      <c r="M252" s="158">
        <f t="shared" si="98"/>
        <v>134459.15999999997</v>
      </c>
      <c r="N252" s="158">
        <f t="shared" si="98"/>
        <v>109182.25</v>
      </c>
      <c r="O252" s="158">
        <f t="shared" si="98"/>
        <v>129394.29</v>
      </c>
      <c r="P252" s="158">
        <f t="shared" si="98"/>
        <v>130685.43999999999</v>
      </c>
      <c r="Q252" s="158">
        <f t="shared" si="98"/>
        <v>135941.21</v>
      </c>
      <c r="R252" s="158">
        <f t="shared" si="98"/>
        <v>242800.21</v>
      </c>
      <c r="S252" s="400">
        <f t="shared" ca="1" si="98"/>
        <v>1591215.4699999997</v>
      </c>
      <c r="T252" s="158">
        <f t="shared" si="98"/>
        <v>330031.34999999998</v>
      </c>
      <c r="U252" s="158">
        <f t="shared" si="98"/>
        <v>378721.56</v>
      </c>
      <c r="V252" s="158">
        <f t="shared" si="98"/>
        <v>373035.69999999995</v>
      </c>
      <c r="W252" s="158">
        <f t="shared" si="98"/>
        <v>509426.86</v>
      </c>
      <c r="X252" s="164"/>
      <c r="Y252" s="158">
        <f t="shared" si="101"/>
        <v>0</v>
      </c>
      <c r="Z252" s="158">
        <f t="shared" si="99"/>
        <v>0</v>
      </c>
      <c r="AA252" s="158">
        <f t="shared" si="99"/>
        <v>0</v>
      </c>
      <c r="AB252" s="158">
        <f t="shared" si="99"/>
        <v>0</v>
      </c>
      <c r="AC252" s="158">
        <f t="shared" si="99"/>
        <v>0</v>
      </c>
      <c r="AD252" s="158">
        <f t="shared" si="99"/>
        <v>0</v>
      </c>
      <c r="AE252" s="158">
        <f t="shared" si="99"/>
        <v>0</v>
      </c>
      <c r="AF252" s="158">
        <f t="shared" si="99"/>
        <v>0</v>
      </c>
      <c r="AG252" s="158">
        <f t="shared" si="99"/>
        <v>0</v>
      </c>
      <c r="AH252" s="158">
        <f t="shared" si="99"/>
        <v>0</v>
      </c>
      <c r="AI252" s="158">
        <f t="shared" si="99"/>
        <v>0</v>
      </c>
      <c r="AJ252" s="158">
        <f t="shared" si="99"/>
        <v>0</v>
      </c>
      <c r="AK252" s="158">
        <f t="shared" si="99"/>
        <v>0</v>
      </c>
      <c r="AL252" s="400">
        <f>AK248+AK250+AK252</f>
        <v>43248700.429999851</v>
      </c>
      <c r="AM252" s="400">
        <f>GETPIVOTDATA("Sum of 2021 Revenue Current Base Rate_Total",'Pivot for E-1'!$A$3,"Service Area","FPUC")+GETPIVOTDATA("Sum of 2021 Revenue Current Rate_Admin Charge",'Pivot for E-1'!$A$3,"Service Area","FPUC")</f>
        <v>43426956.902934387</v>
      </c>
      <c r="AN252" s="400"/>
      <c r="AO252" s="400"/>
    </row>
    <row r="253" spans="3:41">
      <c r="C253" s="121" t="s">
        <v>18</v>
      </c>
      <c r="D253" s="320" t="s">
        <v>16</v>
      </c>
      <c r="F253" s="355" t="str">
        <f t="shared" si="100"/>
        <v>Miscellaneous Revenues - FPU</v>
      </c>
      <c r="G253" s="158">
        <f t="shared" si="98"/>
        <v>909633</v>
      </c>
      <c r="H253" s="158">
        <f t="shared" si="98"/>
        <v>981435</v>
      </c>
      <c r="I253" s="158">
        <f t="shared" si="98"/>
        <v>1142815</v>
      </c>
      <c r="J253" s="158">
        <f t="shared" si="98"/>
        <v>729008</v>
      </c>
      <c r="K253" s="158">
        <f t="shared" si="98"/>
        <v>847503</v>
      </c>
      <c r="L253" s="158">
        <f t="shared" si="98"/>
        <v>950116.01</v>
      </c>
      <c r="M253" s="158">
        <f t="shared" si="98"/>
        <v>824536.34999999986</v>
      </c>
      <c r="N253" s="158">
        <f t="shared" si="98"/>
        <v>1001134.0599999999</v>
      </c>
      <c r="O253" s="158">
        <f t="shared" si="98"/>
        <v>1080996.04</v>
      </c>
      <c r="P253" s="158">
        <f t="shared" si="98"/>
        <v>1171823.81</v>
      </c>
      <c r="Q253" s="158">
        <f t="shared" si="98"/>
        <v>1150763.44</v>
      </c>
      <c r="R253" s="158">
        <f t="shared" si="98"/>
        <v>1292375.92</v>
      </c>
      <c r="S253" s="400">
        <f t="shared" ca="1" si="98"/>
        <v>12082139.629999999</v>
      </c>
      <c r="T253" s="158">
        <f t="shared" si="98"/>
        <v>3033883</v>
      </c>
      <c r="U253" s="158">
        <f t="shared" si="98"/>
        <v>2526627.0100000002</v>
      </c>
      <c r="V253" s="158">
        <f t="shared" si="98"/>
        <v>2906666.4499999993</v>
      </c>
      <c r="W253" s="158">
        <f t="shared" si="98"/>
        <v>3614963.17</v>
      </c>
      <c r="X253" s="164"/>
      <c r="Y253" s="158">
        <f>SUMIFS(Y$5:Y$75,$C$5:$C$75,$C253,$D$5:$D$75,$D253)</f>
        <v>0</v>
      </c>
      <c r="Z253" s="158">
        <f t="shared" si="99"/>
        <v>0</v>
      </c>
      <c r="AA253" s="158">
        <f t="shared" si="99"/>
        <v>0</v>
      </c>
      <c r="AB253" s="158">
        <f t="shared" si="99"/>
        <v>0</v>
      </c>
      <c r="AC253" s="158">
        <f t="shared" si="99"/>
        <v>0</v>
      </c>
      <c r="AD253" s="158">
        <f t="shared" si="99"/>
        <v>0</v>
      </c>
      <c r="AE253" s="158">
        <f t="shared" si="99"/>
        <v>0</v>
      </c>
      <c r="AF253" s="158">
        <f t="shared" si="99"/>
        <v>0</v>
      </c>
      <c r="AG253" s="158">
        <f t="shared" si="99"/>
        <v>0</v>
      </c>
      <c r="AH253" s="158">
        <f t="shared" si="99"/>
        <v>0</v>
      </c>
      <c r="AI253" s="158">
        <f t="shared" si="99"/>
        <v>0</v>
      </c>
      <c r="AJ253" s="158">
        <f t="shared" si="99"/>
        <v>0</v>
      </c>
      <c r="AK253" s="158">
        <f t="shared" si="99"/>
        <v>0</v>
      </c>
      <c r="AL253" s="400"/>
      <c r="AM253" s="400">
        <f>AM252-AL252</f>
        <v>178256.47293453664</v>
      </c>
      <c r="AN253" s="400"/>
      <c r="AO253" s="400"/>
    </row>
    <row r="254" spans="3:41">
      <c r="C254" s="121" t="s">
        <v>1229</v>
      </c>
      <c r="D254" s="320" t="s">
        <v>16</v>
      </c>
      <c r="F254" s="355" t="str">
        <f t="shared" si="100"/>
        <v>COGS - FPU</v>
      </c>
      <c r="G254" s="158">
        <f t="shared" si="98"/>
        <v>47470</v>
      </c>
      <c r="H254" s="158">
        <f t="shared" si="98"/>
        <v>44948</v>
      </c>
      <c r="I254" s="158">
        <f t="shared" si="98"/>
        <v>42566</v>
      </c>
      <c r="J254" s="158">
        <f t="shared" si="98"/>
        <v>34180</v>
      </c>
      <c r="K254" s="158">
        <f t="shared" si="98"/>
        <v>33887</v>
      </c>
      <c r="L254" s="158">
        <f t="shared" si="98"/>
        <v>31557.08</v>
      </c>
      <c r="M254" s="158">
        <f t="shared" si="98"/>
        <v>31076.07</v>
      </c>
      <c r="N254" s="158">
        <f t="shared" si="98"/>
        <v>30663</v>
      </c>
      <c r="O254" s="158">
        <f t="shared" si="98"/>
        <v>31691</v>
      </c>
      <c r="P254" s="158">
        <f t="shared" si="98"/>
        <v>33540.400000000001</v>
      </c>
      <c r="Q254" s="158">
        <f t="shared" si="98"/>
        <v>38533.78</v>
      </c>
      <c r="R254" s="158">
        <f t="shared" si="98"/>
        <v>49153</v>
      </c>
      <c r="S254" s="400">
        <f t="shared" ca="1" si="98"/>
        <v>449265.33000000007</v>
      </c>
      <c r="T254" s="158">
        <f t="shared" si="98"/>
        <v>134984</v>
      </c>
      <c r="U254" s="158">
        <f t="shared" si="98"/>
        <v>99624.08</v>
      </c>
      <c r="V254" s="158">
        <f t="shared" si="98"/>
        <v>93430.07</v>
      </c>
      <c r="W254" s="158">
        <f t="shared" si="98"/>
        <v>121227.18</v>
      </c>
      <c r="X254" s="164"/>
      <c r="Y254" s="158">
        <f t="shared" si="101"/>
        <v>0</v>
      </c>
      <c r="Z254" s="158">
        <f t="shared" si="99"/>
        <v>0</v>
      </c>
      <c r="AA254" s="158">
        <f t="shared" si="99"/>
        <v>0</v>
      </c>
      <c r="AB254" s="158">
        <f t="shared" si="99"/>
        <v>0</v>
      </c>
      <c r="AC254" s="158">
        <f t="shared" si="99"/>
        <v>0</v>
      </c>
      <c r="AD254" s="158">
        <f t="shared" si="99"/>
        <v>0</v>
      </c>
      <c r="AE254" s="158">
        <f t="shared" si="99"/>
        <v>0</v>
      </c>
      <c r="AF254" s="158">
        <f t="shared" si="99"/>
        <v>0</v>
      </c>
      <c r="AG254" s="158">
        <f t="shared" si="99"/>
        <v>0</v>
      </c>
      <c r="AH254" s="158">
        <f t="shared" si="99"/>
        <v>0</v>
      </c>
      <c r="AI254" s="158">
        <f t="shared" si="99"/>
        <v>0</v>
      </c>
      <c r="AJ254" s="158">
        <f t="shared" si="99"/>
        <v>0</v>
      </c>
      <c r="AK254" s="158">
        <f t="shared" si="99"/>
        <v>0</v>
      </c>
      <c r="AL254" s="400"/>
      <c r="AM254" s="400"/>
      <c r="AN254" s="400"/>
      <c r="AO254" s="400"/>
    </row>
    <row r="255" spans="3:41">
      <c r="C255" s="259" t="s">
        <v>249</v>
      </c>
      <c r="D255" s="320" t="s">
        <v>16</v>
      </c>
      <c r="F255" s="328" t="str">
        <f t="shared" si="100"/>
        <v>TOTAL - FPU</v>
      </c>
      <c r="G255" s="400">
        <f t="shared" ref="G255:W255" si="102">SUM(G248:G253)-G254</f>
        <v>5203803.6999999918</v>
      </c>
      <c r="H255" s="400">
        <f t="shared" si="102"/>
        <v>5008047.890000008</v>
      </c>
      <c r="I255" s="400">
        <f t="shared" si="102"/>
        <v>4981464.9299999774</v>
      </c>
      <c r="J255" s="400">
        <f t="shared" si="102"/>
        <v>4061846.0299999653</v>
      </c>
      <c r="K255" s="400">
        <f t="shared" si="102"/>
        <v>4122921.1499999799</v>
      </c>
      <c r="L255" s="400">
        <f t="shared" si="102"/>
        <v>4081439.7699999968</v>
      </c>
      <c r="M255" s="400">
        <f t="shared" si="102"/>
        <v>3999720.7400000035</v>
      </c>
      <c r="N255" s="400">
        <f t="shared" si="102"/>
        <v>4065037.6199999973</v>
      </c>
      <c r="O255" s="400">
        <f t="shared" si="102"/>
        <v>4156491.0699999956</v>
      </c>
      <c r="P255" s="400">
        <f t="shared" si="102"/>
        <v>4334933.1400000006</v>
      </c>
      <c r="Q255" s="400">
        <f t="shared" si="102"/>
        <v>4615642.0999999857</v>
      </c>
      <c r="R255" s="400">
        <f t="shared" si="102"/>
        <v>5436864.8999999771</v>
      </c>
      <c r="S255" s="400">
        <f t="shared" ca="1" si="102"/>
        <v>54068213.039999872</v>
      </c>
      <c r="T255" s="400">
        <f t="shared" si="102"/>
        <v>15193316.519999979</v>
      </c>
      <c r="U255" s="400">
        <f t="shared" si="102"/>
        <v>12266206.949999942</v>
      </c>
      <c r="V255" s="400">
        <f t="shared" si="102"/>
        <v>12221249.429999994</v>
      </c>
      <c r="W255" s="400">
        <f t="shared" si="102"/>
        <v>14387440.139999961</v>
      </c>
      <c r="X255" s="164"/>
      <c r="Y255" s="400">
        <f t="shared" ref="Y255:AK255" si="103">SUM(Y248:Y253)-Y254</f>
        <v>4483133.5099999895</v>
      </c>
      <c r="Z255" s="400">
        <f t="shared" si="103"/>
        <v>3979777.9499999848</v>
      </c>
      <c r="AA255" s="400">
        <f t="shared" si="103"/>
        <v>3845420.6099999733</v>
      </c>
      <c r="AB255" s="400">
        <f t="shared" si="103"/>
        <v>3823945.0099999839</v>
      </c>
      <c r="AC255" s="400">
        <f t="shared" si="103"/>
        <v>3493455.7099999925</v>
      </c>
      <c r="AD255" s="400">
        <f t="shared" si="103"/>
        <v>3221810.3299999898</v>
      </c>
      <c r="AE255" s="400">
        <f t="shared" si="103"/>
        <v>3275494.0799999954</v>
      </c>
      <c r="AF255" s="400">
        <f t="shared" si="103"/>
        <v>3096409.0399999889</v>
      </c>
      <c r="AG255" s="400">
        <f t="shared" si="103"/>
        <v>3225656.3099999912</v>
      </c>
      <c r="AH255" s="400">
        <f t="shared" si="103"/>
        <v>3269187.2799999854</v>
      </c>
      <c r="AI255" s="400">
        <f t="shared" si="103"/>
        <v>3559473.2899999912</v>
      </c>
      <c r="AJ255" s="400">
        <f t="shared" si="103"/>
        <v>3974937.3099999917</v>
      </c>
      <c r="AK255" s="400">
        <f t="shared" si="103"/>
        <v>43248700.429999851</v>
      </c>
      <c r="AL255" s="400">
        <v>58319282.020000003</v>
      </c>
      <c r="AM255" s="400"/>
      <c r="AN255" s="400"/>
      <c r="AO255" s="400"/>
    </row>
    <row r="256" spans="3:41" s="164" customFormat="1">
      <c r="E256" s="395"/>
      <c r="F256" s="395"/>
      <c r="AN256" s="395"/>
      <c r="AO256" s="395"/>
    </row>
    <row r="257" spans="5:41" s="164" customFormat="1">
      <c r="E257" s="395"/>
      <c r="F257" s="395"/>
      <c r="AN257" s="395"/>
      <c r="AO257" s="395"/>
    </row>
    <row r="258" spans="5:41" s="164" customFormat="1">
      <c r="E258" s="395"/>
      <c r="F258" s="395"/>
      <c r="AN258" s="395"/>
      <c r="AO258" s="395"/>
    </row>
    <row r="259" spans="5:41" s="164" customFormat="1">
      <c r="E259" s="395"/>
      <c r="F259" s="395"/>
      <c r="AN259" s="395"/>
      <c r="AO259" s="395"/>
    </row>
    <row r="260" spans="5:41" s="164" customFormat="1">
      <c r="E260" s="395"/>
      <c r="F260" s="395"/>
      <c r="AN260" s="395"/>
      <c r="AO260" s="395"/>
    </row>
    <row r="261" spans="5:41" s="164" customFormat="1">
      <c r="E261" s="395"/>
      <c r="F261" s="395"/>
      <c r="AN261" s="395"/>
      <c r="AO261" s="395"/>
    </row>
    <row r="262" spans="5:41" s="164" customFormat="1">
      <c r="E262" s="395"/>
      <c r="F262" s="395"/>
      <c r="AN262" s="395"/>
      <c r="AO262" s="395"/>
    </row>
    <row r="263" spans="5:41" s="164" customFormat="1">
      <c r="E263" s="395"/>
      <c r="F263" s="395"/>
      <c r="AN263" s="395"/>
      <c r="AO263" s="395"/>
    </row>
  </sheetData>
  <sheetProtection formatColumns="0"/>
  <hyperlinks>
    <hyperlink ref="F4" location="Index!A1" display="First Page" xr:uid="{5E85040E-7999-49C1-8CFC-B71D76834F5E}"/>
  </hyperlinks>
  <pageMargins left="0.17" right="0.17" top="0.24" bottom="0.23" header="0" footer="0"/>
  <pageSetup scale="65" fitToHeight="2" orientation="landscape" r:id="rId1"/>
  <headerFooter alignWithMargins="0"/>
  <rowBreaks count="1" manualBreakCount="1">
    <brk id="11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304E1-E954-4068-90F1-5A0FD79444BA}">
  <sheetPr>
    <tabColor theme="0" tint="-0.34998626667073579"/>
  </sheetPr>
  <dimension ref="A1:BJ178"/>
  <sheetViews>
    <sheetView workbookViewId="0"/>
  </sheetViews>
  <sheetFormatPr defaultColWidth="8.85546875" defaultRowHeight="12.75" outlineLevelCol="1"/>
  <cols>
    <col min="1" max="1" width="10.85546875" style="261" customWidth="1"/>
    <col min="2" max="2" width="10.42578125" style="261" bestFit="1" customWidth="1"/>
    <col min="3" max="3" width="21.42578125" style="261" bestFit="1" customWidth="1"/>
    <col min="4" max="15" width="8.42578125" style="261" customWidth="1" outlineLevel="1"/>
    <col min="16" max="16" width="10" style="191" bestFit="1" customWidth="1"/>
    <col min="17" max="17" width="8.42578125" style="261" customWidth="1"/>
    <col min="18" max="18" width="2.7109375" style="261" customWidth="1"/>
    <col min="19" max="30" width="8.42578125" style="261" customWidth="1" outlineLevel="1"/>
    <col min="31" max="31" width="8.7109375" style="191" bestFit="1" customWidth="1"/>
    <col min="32" max="32" width="8.42578125" style="261" customWidth="1"/>
    <col min="33" max="33" width="2.28515625" style="261" customWidth="1"/>
    <col min="34" max="42" width="8.42578125" style="261" customWidth="1" outlineLevel="1"/>
    <col min="43" max="43" width="11.42578125" style="261" customWidth="1" outlineLevel="1"/>
    <col min="44" max="45" width="8.42578125" style="261" customWidth="1" outlineLevel="1"/>
    <col min="46" max="46" width="11.42578125" style="191" bestFit="1" customWidth="1"/>
    <col min="47" max="47" width="8.42578125" style="261" customWidth="1"/>
    <col min="48" max="48" width="2" style="261" customWidth="1"/>
    <col min="49" max="60" width="11.42578125" style="261" customWidth="1" outlineLevel="1"/>
    <col min="61" max="61" width="11.42578125" style="191" bestFit="1" customWidth="1"/>
    <col min="62" max="62" width="11.28515625" style="261" bestFit="1" customWidth="1"/>
    <col min="63" max="63" width="3" style="261" bestFit="1" customWidth="1"/>
    <col min="64" max="16384" width="8.85546875" style="261"/>
  </cols>
  <sheetData>
    <row r="1" spans="1:62">
      <c r="D1" s="258">
        <v>2018</v>
      </c>
      <c r="E1" s="258">
        <v>2018</v>
      </c>
      <c r="F1" s="258">
        <v>2018</v>
      </c>
      <c r="G1" s="258">
        <v>2018</v>
      </c>
      <c r="H1" s="258">
        <v>2018</v>
      </c>
      <c r="I1" s="258">
        <v>2018</v>
      </c>
      <c r="J1" s="258">
        <v>2018</v>
      </c>
      <c r="K1" s="258">
        <v>2018</v>
      </c>
      <c r="L1" s="258">
        <v>2018</v>
      </c>
      <c r="M1" s="258">
        <v>2018</v>
      </c>
      <c r="N1" s="258">
        <v>2018</v>
      </c>
      <c r="O1" s="258">
        <v>2018</v>
      </c>
      <c r="P1" s="269">
        <v>2018</v>
      </c>
      <c r="Q1" s="258">
        <v>2018</v>
      </c>
      <c r="S1" s="258">
        <v>2019</v>
      </c>
      <c r="T1" s="258">
        <v>2019</v>
      </c>
      <c r="U1" s="258">
        <v>2019</v>
      </c>
      <c r="V1" s="258">
        <v>2019</v>
      </c>
      <c r="W1" s="258">
        <v>2019</v>
      </c>
      <c r="X1" s="258">
        <v>2019</v>
      </c>
      <c r="Y1" s="258">
        <v>2019</v>
      </c>
      <c r="Z1" s="258">
        <v>2019</v>
      </c>
      <c r="AA1" s="258">
        <v>2019</v>
      </c>
      <c r="AB1" s="258">
        <v>2019</v>
      </c>
      <c r="AC1" s="258">
        <v>2019</v>
      </c>
      <c r="AD1" s="258">
        <v>2019</v>
      </c>
      <c r="AE1" s="269">
        <v>2019</v>
      </c>
      <c r="AF1" s="258">
        <v>2019</v>
      </c>
      <c r="AH1" s="258">
        <v>2020</v>
      </c>
      <c r="AI1" s="258">
        <v>2020</v>
      </c>
      <c r="AJ1" s="258">
        <v>2020</v>
      </c>
      <c r="AK1" s="258">
        <v>2020</v>
      </c>
      <c r="AL1" s="258">
        <v>2020</v>
      </c>
      <c r="AM1" s="258">
        <v>2020</v>
      </c>
      <c r="AN1" s="258">
        <v>2020</v>
      </c>
      <c r="AO1" s="258">
        <v>2020</v>
      </c>
      <c r="AP1" s="258">
        <v>2020</v>
      </c>
      <c r="AQ1" s="258">
        <v>2020</v>
      </c>
      <c r="AR1" s="258">
        <v>2020</v>
      </c>
      <c r="AS1" s="258">
        <v>2020</v>
      </c>
      <c r="AT1" s="269">
        <v>2020</v>
      </c>
      <c r="AU1" s="258">
        <v>2020</v>
      </c>
      <c r="AW1" s="258">
        <f>AH1+1</f>
        <v>2021</v>
      </c>
      <c r="AX1" s="258">
        <f t="shared" ref="AX1:BI1" si="0">AI1+1</f>
        <v>2021</v>
      </c>
      <c r="AY1" s="258">
        <f t="shared" si="0"/>
        <v>2021</v>
      </c>
      <c r="AZ1" s="258">
        <f t="shared" si="0"/>
        <v>2021</v>
      </c>
      <c r="BA1" s="258">
        <f t="shared" si="0"/>
        <v>2021</v>
      </c>
      <c r="BB1" s="258">
        <f t="shared" si="0"/>
        <v>2021</v>
      </c>
      <c r="BC1" s="258">
        <f t="shared" si="0"/>
        <v>2021</v>
      </c>
      <c r="BD1" s="258">
        <f t="shared" si="0"/>
        <v>2021</v>
      </c>
      <c r="BE1" s="258">
        <f t="shared" si="0"/>
        <v>2021</v>
      </c>
      <c r="BF1" s="258">
        <f t="shared" si="0"/>
        <v>2021</v>
      </c>
      <c r="BG1" s="258">
        <f t="shared" si="0"/>
        <v>2021</v>
      </c>
      <c r="BH1" s="258">
        <f t="shared" si="0"/>
        <v>2021</v>
      </c>
      <c r="BI1" s="269">
        <f t="shared" si="0"/>
        <v>2021</v>
      </c>
      <c r="BJ1" s="258">
        <f>AU1+1</f>
        <v>2021</v>
      </c>
    </row>
    <row r="2" spans="1:62" s="266" customFormat="1" ht="25.5">
      <c r="D2" s="265">
        <v>1</v>
      </c>
      <c r="E2" s="265">
        <v>2</v>
      </c>
      <c r="F2" s="265">
        <v>3</v>
      </c>
      <c r="G2" s="265">
        <v>4</v>
      </c>
      <c r="H2" s="265">
        <v>5</v>
      </c>
      <c r="I2" s="265">
        <v>6</v>
      </c>
      <c r="J2" s="265">
        <v>7</v>
      </c>
      <c r="K2" s="265">
        <v>8</v>
      </c>
      <c r="L2" s="265">
        <v>9</v>
      </c>
      <c r="M2" s="265">
        <v>10</v>
      </c>
      <c r="N2" s="265">
        <v>11</v>
      </c>
      <c r="O2" s="265">
        <v>12</v>
      </c>
      <c r="P2" s="270" t="s">
        <v>1403</v>
      </c>
      <c r="Q2" s="266" t="s">
        <v>1404</v>
      </c>
      <c r="R2" s="266" t="s">
        <v>1246</v>
      </c>
      <c r="S2" s="265">
        <v>1</v>
      </c>
      <c r="T2" s="265">
        <v>2</v>
      </c>
      <c r="U2" s="265">
        <v>3</v>
      </c>
      <c r="V2" s="265">
        <v>4</v>
      </c>
      <c r="W2" s="265">
        <v>5</v>
      </c>
      <c r="X2" s="265">
        <v>6</v>
      </c>
      <c r="Y2" s="265">
        <v>7</v>
      </c>
      <c r="Z2" s="265">
        <v>8</v>
      </c>
      <c r="AA2" s="265">
        <v>9</v>
      </c>
      <c r="AB2" s="265">
        <v>10</v>
      </c>
      <c r="AC2" s="265">
        <v>11</v>
      </c>
      <c r="AD2" s="265">
        <v>12</v>
      </c>
      <c r="AE2" s="270" t="s">
        <v>1403</v>
      </c>
      <c r="AF2" s="266" t="s">
        <v>1404</v>
      </c>
      <c r="AG2" s="266" t="s">
        <v>1246</v>
      </c>
      <c r="AH2" s="265">
        <v>1</v>
      </c>
      <c r="AI2" s="265">
        <v>2</v>
      </c>
      <c r="AJ2" s="265">
        <v>3</v>
      </c>
      <c r="AK2" s="265">
        <v>4</v>
      </c>
      <c r="AL2" s="265">
        <v>5</v>
      </c>
      <c r="AM2" s="265">
        <v>6</v>
      </c>
      <c r="AN2" s="265">
        <v>7</v>
      </c>
      <c r="AO2" s="265">
        <v>8</v>
      </c>
      <c r="AP2" s="265">
        <v>9</v>
      </c>
      <c r="AQ2" s="265">
        <v>10</v>
      </c>
      <c r="AR2" s="265">
        <v>11</v>
      </c>
      <c r="AS2" s="265">
        <v>12</v>
      </c>
      <c r="AT2" s="270" t="s">
        <v>1403</v>
      </c>
      <c r="AU2" s="266" t="s">
        <v>1404</v>
      </c>
      <c r="AV2" s="266" t="s">
        <v>1246</v>
      </c>
      <c r="AW2" s="265">
        <v>1</v>
      </c>
      <c r="AX2" s="265">
        <v>2</v>
      </c>
      <c r="AY2" s="265">
        <v>3</v>
      </c>
      <c r="AZ2" s="265">
        <v>4</v>
      </c>
      <c r="BA2" s="265">
        <v>5</v>
      </c>
      <c r="BB2" s="265">
        <v>6</v>
      </c>
      <c r="BC2" s="265">
        <v>7</v>
      </c>
      <c r="BD2" s="265">
        <v>8</v>
      </c>
      <c r="BE2" s="265">
        <v>9</v>
      </c>
      <c r="BF2" s="265">
        <v>10</v>
      </c>
      <c r="BG2" s="265">
        <v>11</v>
      </c>
      <c r="BH2" s="265">
        <v>12</v>
      </c>
      <c r="BI2" s="270" t="s">
        <v>1403</v>
      </c>
      <c r="BJ2" s="266" t="s">
        <v>1404</v>
      </c>
    </row>
    <row r="3" spans="1:62">
      <c r="A3" s="261" t="s">
        <v>8</v>
      </c>
      <c r="B3" s="261" t="s">
        <v>12</v>
      </c>
      <c r="C3" s="256" t="s">
        <v>86</v>
      </c>
      <c r="D3" s="5">
        <f>IFERROR(INDEX('Input 16.1_2018VOL-YTD'!$C$4:$N$300, MATCH($C3,'Input 16.1_2018VOL-YTD'!$R$4:$R$300,0),MATCH(D$2,'Input 16.1_2018VOL-YTD'!$C$1:$N$1,0))/INDEX('Input 16_2018CUST-YTD'!$D$4:$O$300,MATCH($C3,'Input 16_2018CUST-YTD'!$S$4:$S$300,0),MATCH(D$2,'Input 16_2018CUST-YTD'!$C$1:$O$1,0)),0)</f>
        <v>18.706512667660231</v>
      </c>
      <c r="E3" s="5">
        <f>IFERROR(INDEX('Input 16.1_2018VOL-YTD'!$C$4:$N$300, MATCH($C3,'Input 16.1_2018VOL-YTD'!$R$4:$R$300,0),MATCH(E$2,'Input 16.1_2018VOL-YTD'!$C$1:$N$1,0))/INDEX('Input 16_2018CUST-YTD'!$D$4:$O$300,MATCH($C3,'Input 16_2018CUST-YTD'!$S$4:$S$300,0),MATCH(E$2,'Input 16_2018CUST-YTD'!$C$1:$O$1,0)),0)</f>
        <v>14.605527488855865</v>
      </c>
      <c r="F3" s="5">
        <f>IFERROR(INDEX('Input 16.1_2018VOL-YTD'!$C$4:$N$300, MATCH($C3,'Input 16.1_2018VOL-YTD'!$R$4:$R$300,0),MATCH(F$2,'Input 16.1_2018VOL-YTD'!$C$1:$N$1,0))/INDEX('Input 16_2018CUST-YTD'!$D$4:$O$300,MATCH($C3,'Input 16_2018CUST-YTD'!$S$4:$S$300,0),MATCH(F$2,'Input 16_2018CUST-YTD'!$C$1:$O$1,0)),0)</f>
        <v>15.063298507462667</v>
      </c>
      <c r="G3" s="5">
        <f>IFERROR(INDEX('Input 16.1_2018VOL-YTD'!$C$4:$N$300, MATCH($C3,'Input 16.1_2018VOL-YTD'!$R$4:$R$300,0),MATCH(G$2,'Input 16.1_2018VOL-YTD'!$C$1:$N$1,0))/INDEX('Input 16_2018CUST-YTD'!$D$4:$O$300,MATCH($C3,'Input 16_2018CUST-YTD'!$S$4:$S$300,0),MATCH(G$2,'Input 16_2018CUST-YTD'!$C$1:$O$1,0)),0)</f>
        <v>14.449776453055124</v>
      </c>
      <c r="H3" s="5">
        <f>IFERROR(INDEX('Input 16.1_2018VOL-YTD'!$C$4:$N$300, MATCH($C3,'Input 16.1_2018VOL-YTD'!$R$4:$R$300,0),MATCH(H$2,'Input 16.1_2018VOL-YTD'!$C$1:$N$1,0))/INDEX('Input 16_2018CUST-YTD'!$D$4:$O$300,MATCH($C3,'Input 16_2018CUST-YTD'!$S$4:$S$300,0),MATCH(H$2,'Input 16_2018CUST-YTD'!$C$1:$O$1,0)),0)</f>
        <v>15.08094452773612</v>
      </c>
      <c r="I3" s="5">
        <f>IFERROR(INDEX('Input 16.1_2018VOL-YTD'!$C$4:$N$300, MATCH($C3,'Input 16.1_2018VOL-YTD'!$R$4:$R$300,0),MATCH(I$2,'Input 16.1_2018VOL-YTD'!$C$1:$N$1,0))/INDEX('Input 16_2018CUST-YTD'!$D$4:$O$300,MATCH($C3,'Input 16_2018CUST-YTD'!$S$4:$S$300,0),MATCH(I$2,'Input 16_2018CUST-YTD'!$C$1:$O$1,0)),0)</f>
        <v>13.328609865470852</v>
      </c>
      <c r="J3" s="5">
        <f>IFERROR(INDEX('Input 16.1_2018VOL-YTD'!$C$4:$N$300, MATCH($C3,'Input 16.1_2018VOL-YTD'!$R$4:$R$300,0),MATCH(J$2,'Input 16.1_2018VOL-YTD'!$C$1:$N$1,0))/INDEX('Input 16_2018CUST-YTD'!$D$4:$O$300,MATCH($C3,'Input 16_2018CUST-YTD'!$S$4:$S$300,0),MATCH(J$2,'Input 16_2018CUST-YTD'!$C$1:$O$1,0)),0)</f>
        <v>12.993789004457673</v>
      </c>
      <c r="K3" s="5">
        <f>IFERROR(INDEX('Input 16.1_2018VOL-YTD'!$C$4:$N$300, MATCH($C3,'Input 16.1_2018VOL-YTD'!$R$4:$R$300,0),MATCH(K$2,'Input 16.1_2018VOL-YTD'!$C$1:$N$1,0))/INDEX('Input 16_2018CUST-YTD'!$D$4:$O$300,MATCH($C3,'Input 16_2018CUST-YTD'!$S$4:$S$300,0),MATCH(K$2,'Input 16_2018CUST-YTD'!$C$1:$O$1,0)),0)</f>
        <v>12.496497764530535</v>
      </c>
      <c r="L3" s="5">
        <f>IFERROR(INDEX('Input 16.1_2018VOL-YTD'!$C$4:$N$300, MATCH($C3,'Input 16.1_2018VOL-YTD'!$R$4:$R$300,0),MATCH(L$2,'Input 16.1_2018VOL-YTD'!$C$1:$N$1,0))/INDEX('Input 16_2018CUST-YTD'!$D$4:$O$300,MATCH($C3,'Input 16_2018CUST-YTD'!$S$4:$S$300,0),MATCH(L$2,'Input 16_2018CUST-YTD'!$C$1:$O$1,0)),0)</f>
        <v>12.559161676646724</v>
      </c>
      <c r="M3" s="5">
        <f>IFERROR(INDEX('Input 16.1_2018VOL-YTD'!$C$4:$N$300, MATCH($C3,'Input 16.1_2018VOL-YTD'!$R$4:$R$300,0),MATCH(M$2,'Input 16.1_2018VOL-YTD'!$C$1:$N$1,0))/INDEX('Input 16_2018CUST-YTD'!$D$4:$O$300,MATCH($C3,'Input 16_2018CUST-YTD'!$S$4:$S$300,0),MATCH(M$2,'Input 16_2018CUST-YTD'!$C$1:$O$1,0)),0)</f>
        <v>12.882410714285701</v>
      </c>
      <c r="N3" s="5">
        <f>IFERROR(INDEX('Input 16.1_2018VOL-YTD'!$C$4:$N$300, MATCH($C3,'Input 16.1_2018VOL-YTD'!$R$4:$R$300,0),MATCH(N$2,'Input 16.1_2018VOL-YTD'!$C$1:$N$1,0))/INDEX('Input 16_2018CUST-YTD'!$D$4:$O$300,MATCH($C3,'Input 16_2018CUST-YTD'!$S$4:$S$300,0),MATCH(N$2,'Input 16_2018CUST-YTD'!$C$1:$O$1,0)),0)</f>
        <v>14.373727544910182</v>
      </c>
      <c r="O3" s="5">
        <f>IFERROR(INDEX('Input 16.1_2018VOL-YTD'!$C$4:$N$300, MATCH($C3,'Input 16.1_2018VOL-YTD'!$R$4:$R$300,0),MATCH(O$2,'Input 16.1_2018VOL-YTD'!$C$1:$N$1,0))/INDEX('Input 16_2018CUST-YTD'!$D$4:$O$300,MATCH($C3,'Input 16_2018CUST-YTD'!$S$4:$S$300,0),MATCH(O$2,'Input 16_2018CUST-YTD'!$C$1:$O$1,0)),0)</f>
        <v>16.881198408751874</v>
      </c>
      <c r="P3" s="271">
        <f>MAX(D3:O3)</f>
        <v>18.706512667660231</v>
      </c>
      <c r="Q3" s="261">
        <f>IF(P3=0,0,INDEX($D$2:$O$2,MATCH(P3,D3:O3,0)))</f>
        <v>1</v>
      </c>
      <c r="R3" s="256"/>
      <c r="S3" s="5">
        <f>IFERROR(INDEX('Input 3.1_2019VOL-YTD'!$C$4:$N$300, MATCH($C3,'Input 3.1_2019VOL-YTD'!$R$4:$R$300,0),MATCH(S$2,'Input 3.1_2019VOL-YTD'!$C$1:$N$1,0))/INDEX('Input 3_2019CUST-YTD'!$C$4:$N$300,MATCH($C3,'Input 3_2019CUST-YTD'!$S$4:$S$300,0),MATCH(S$2,'Input 3_2019CUST-YTD'!$C$1:$N$1,0)),0)</f>
        <v>16.672690582959692</v>
      </c>
      <c r="T3" s="5">
        <f>IFERROR(INDEX('Input 3.1_2019VOL-YTD'!$C$4:$N$300, MATCH($C3,'Input 3.1_2019VOL-YTD'!$R$4:$R$300,0),MATCH(T$2,'Input 3.1_2019VOL-YTD'!$C$1:$N$1,0))/INDEX('Input 3_2019CUST-YTD'!$C$4:$N$300,MATCH($C3,'Input 3_2019CUST-YTD'!$S$4:$S$300,0),MATCH(T$2,'Input 3_2019CUST-YTD'!$C$1:$N$1,0)),0)</f>
        <v>15.008980509745136</v>
      </c>
      <c r="U3" s="5">
        <f>IFERROR(INDEX('Input 3.1_2019VOL-YTD'!$C$4:$N$300, MATCH($C3,'Input 3.1_2019VOL-YTD'!$R$4:$R$300,0),MATCH(U$2,'Input 3.1_2019VOL-YTD'!$C$1:$N$1,0))/INDEX('Input 3_2019CUST-YTD'!$C$4:$N$300,MATCH($C3,'Input 3_2019CUST-YTD'!$S$4:$S$300,0),MATCH(U$2,'Input 3_2019CUST-YTD'!$C$1:$N$1,0)),0)</f>
        <v>15.088462686567178</v>
      </c>
      <c r="V3" s="5">
        <f>IFERROR(INDEX('Input 3.1_2019VOL-YTD'!$C$4:$N$300, MATCH($C3,'Input 3.1_2019VOL-YTD'!$R$4:$R$300,0),MATCH(V$2,'Input 3.1_2019VOL-YTD'!$C$1:$N$1,0))/INDEX('Input 3_2019CUST-YTD'!$C$4:$N$300,MATCH($C3,'Input 3_2019CUST-YTD'!$S$4:$S$300,0),MATCH(V$2,'Input 3_2019CUST-YTD'!$C$1:$N$1,0)),0)</f>
        <v>14.528014925373137</v>
      </c>
      <c r="W3" s="5">
        <f>IFERROR(INDEX('Input 3.1_2019VOL-YTD'!$C$4:$N$300, MATCH($C3,'Input 3.1_2019VOL-YTD'!$R$4:$R$300,0),MATCH(W$2,'Input 3.1_2019VOL-YTD'!$C$1:$N$1,0))/INDEX('Input 3_2019CUST-YTD'!$C$4:$N$300,MATCH($C3,'Input 3_2019CUST-YTD'!$S$4:$S$300,0),MATCH(W$2,'Input 3_2019CUST-YTD'!$C$1:$N$1,0)),0)</f>
        <v>15.033871449925256</v>
      </c>
      <c r="X3" s="5">
        <f>IFERROR(INDEX('Input 3.1_2019VOL-YTD'!$C$4:$N$300, MATCH($C3,'Input 3.1_2019VOL-YTD'!$R$4:$R$300,0),MATCH(X$2,'Input 3.1_2019VOL-YTD'!$C$1:$N$1,0))/INDEX('Input 3_2019CUST-YTD'!$C$4:$N$300,MATCH($C3,'Input 3_2019CUST-YTD'!$S$4:$S$300,0),MATCH(X$2,'Input 3_2019CUST-YTD'!$C$1:$N$1,0)),0)</f>
        <v>12.561475409836033</v>
      </c>
      <c r="Y3" s="5">
        <f>IFERROR(INDEX('Input 3.1_2019VOL-YTD'!$C$4:$N$300, MATCH($C3,'Input 3.1_2019VOL-YTD'!$R$4:$R$300,0),MATCH(Y$2,'Input 3.1_2019VOL-YTD'!$C$1:$N$1,0))/INDEX('Input 3_2019CUST-YTD'!$C$4:$N$300,MATCH($C3,'Input 3_2019CUST-YTD'!$S$4:$S$300,0),MATCH(Y$2,'Input 3_2019CUST-YTD'!$C$1:$N$1,0)),0)</f>
        <v>13.096158445440944</v>
      </c>
      <c r="Z3" s="5">
        <f>IFERROR(INDEX('Input 3.1_2019VOL-YTD'!$C$4:$N$300, MATCH($C3,'Input 3.1_2019VOL-YTD'!$R$4:$R$300,0),MATCH(Z$2,'Input 3.1_2019VOL-YTD'!$C$1:$N$1,0))/INDEX('Input 3_2019CUST-YTD'!$C$4:$N$300,MATCH($C3,'Input 3_2019CUST-YTD'!$S$4:$S$300,0),MATCH(Z$2,'Input 3_2019CUST-YTD'!$C$1:$N$1,0)),0)</f>
        <v>12.725784753363239</v>
      </c>
      <c r="AA3" s="5">
        <f>IFERROR(INDEX('Input 3.1_2019VOL-YTD'!$C$4:$N$300, MATCH($C3,'Input 3.1_2019VOL-YTD'!$R$4:$R$300,0),MATCH(AA$2,'Input 3.1_2019VOL-YTD'!$C$1:$N$1,0))/INDEX('Input 3_2019CUST-YTD'!$C$4:$N$300,MATCH($C3,'Input 3_2019CUST-YTD'!$S$4:$S$300,0),MATCH(AA$2,'Input 3_2019CUST-YTD'!$C$1:$N$1,0)),0)</f>
        <v>12.849670164917541</v>
      </c>
      <c r="AB3" s="5">
        <f>IFERROR(INDEX('Input 3.1_2019VOL-YTD'!$C$4:$N$300, MATCH($C3,'Input 3.1_2019VOL-YTD'!$R$4:$R$300,0),MATCH(AB$2,'Input 3.1_2019VOL-YTD'!$C$1:$N$1,0))/INDEX('Input 3_2019CUST-YTD'!$C$4:$N$300,MATCH($C3,'Input 3_2019CUST-YTD'!$S$4:$S$300,0),MATCH(AB$2,'Input 3_2019CUST-YTD'!$C$1:$N$1,0)),0)</f>
        <v>13.968278931750749</v>
      </c>
      <c r="AC3" s="5">
        <f>IFERROR(INDEX('Input 3.1_2019VOL-YTD'!$C$4:$N$300, MATCH($C3,'Input 3.1_2019VOL-YTD'!$R$4:$R$300,0),MATCH(AC$2,'Input 3.1_2019VOL-YTD'!$C$1:$N$1,0))/INDEX('Input 3_2019CUST-YTD'!$C$4:$N$300,MATCH($C3,'Input 3_2019CUST-YTD'!$S$4:$S$300,0),MATCH(AC$2,'Input 3_2019CUST-YTD'!$C$1:$N$1,0)),0)</f>
        <v>13.753472429210134</v>
      </c>
      <c r="AD3" s="5">
        <f>IFERROR(INDEX('Input 3.1_2019VOL-YTD'!$C$4:$N$300, MATCH($C3,'Input 3.1_2019VOL-YTD'!$R$4:$R$300,0),MATCH(AD$2,'Input 3.1_2019VOL-YTD'!$C$1:$N$1,0))/INDEX('Input 3_2019CUST-YTD'!$C$4:$N$300,MATCH($C3,'Input 3_2019CUST-YTD'!$S$4:$S$300,0),MATCH(AD$2,'Input 3_2019CUST-YTD'!$C$1:$N$1,0)),0)</f>
        <v>16.004804804804813</v>
      </c>
      <c r="AE3" s="272">
        <f>MAX(S3:AD3)</f>
        <v>16.672690582959692</v>
      </c>
      <c r="AF3" s="261">
        <f>IF(AE3=0,0,INDEX($AH$2:$AS$2,MATCH(AE3,S3:AD3,0)))</f>
        <v>1</v>
      </c>
      <c r="AG3" s="256"/>
      <c r="AH3" s="262">
        <f>IFERROR(INDEX('Input 4.1_2020VOL-YTD'!$C$4:$O$300, MATCH($C3,'Input 4.1_2020VOL-YTD'!$R$4:$R$300,0),MATCH(AH$2,'Input 4.1_2020VOL-YTD'!$C$1:$O$1,0))/INDEX('Input 4_2020CUST-YTD'!$C$4:O$300,MATCH($C3,'Input 4_2020CUST-YTD'!$S$4:$S$300,0),MATCH(AH$2,'Input 4_2020CUST-YTD'!$C$1:$O$1,0)),0)</f>
        <v>17.892218934911245</v>
      </c>
      <c r="AI3" s="262">
        <f>IFERROR(INDEX('Input 4.1_2020VOL-YTD'!$C$4:$O$300, MATCH($C3,'Input 4.1_2020VOL-YTD'!$R$4:$R$300,0),MATCH(AI$2,'Input 4.1_2020VOL-YTD'!$C$1:$O$1,0))/INDEX('Input 4_2020CUST-YTD'!$C$4:P$300,MATCH($C3,'Input 4_2020CUST-YTD'!$S$4:$S$300,0),MATCH(AI$2,'Input 4_2020CUST-YTD'!$C$1:$O$1,0)),0)</f>
        <v>14.589228486646892</v>
      </c>
      <c r="AJ3" s="262">
        <f>IFERROR(INDEX('Input 4.1_2020VOL-YTD'!$C$4:$O$300, MATCH($C3,'Input 4.1_2020VOL-YTD'!$R$4:$R$300,0),MATCH(AJ$2,'Input 4.1_2020VOL-YTD'!$C$1:$O$1,0))/INDEX('Input 4_2020CUST-YTD'!$C$4:Q$300,MATCH($C3,'Input 4_2020CUST-YTD'!$S$4:$S$300,0),MATCH(AJ$2,'Input 4_2020CUST-YTD'!$C$1:$O$1,0)),0)</f>
        <v>15.085423476968799</v>
      </c>
      <c r="AK3" s="262">
        <f>IFERROR(INDEX('Input 4.1_2020VOL-YTD'!$C$4:$O$300, MATCH($C3,'Input 4.1_2020VOL-YTD'!$R$4:$R$300,0),MATCH(AK$2,'Input 4.1_2020VOL-YTD'!$C$1:$O$1,0))/INDEX('Input 4_2020CUST-YTD'!$C$4:R$300,MATCH($C3,'Input 4_2020CUST-YTD'!$S$4:$S$300,0),MATCH(AK$2,'Input 4_2020CUST-YTD'!$C$1:$O$1,0)),0)</f>
        <v>16.149242199108446</v>
      </c>
      <c r="AL3" s="262">
        <f>IFERROR(INDEX('Input 4.1_2020VOL-YTD'!$C$4:$O$300, MATCH($C3,'Input 4.1_2020VOL-YTD'!$R$4:$R$300,0),MATCH(AL$2,'Input 4.1_2020VOL-YTD'!$C$1:$O$1,0))/INDEX('Input 4_2020CUST-YTD'!$C$4:S$300,MATCH($C3,'Input 4_2020CUST-YTD'!$S$4:$S$300,0),MATCH(AL$2,'Input 4_2020CUST-YTD'!$C$1:$O$1,0)),0)</f>
        <v>14.993353115727006</v>
      </c>
      <c r="AM3" s="262">
        <f>IFERROR(INDEX('Input 4.1_2020VOL-YTD'!$C$4:$O$300, MATCH($C3,'Input 4.1_2020VOL-YTD'!$R$4:$R$300,0),MATCH(AM$2,'Input 4.1_2020VOL-YTD'!$C$1:$O$1,0))/INDEX('Input 4_2020CUST-YTD'!$C$4:T$300,MATCH($C3,'Input 4_2020CUST-YTD'!$S$4:$S$300,0),MATCH(AM$2,'Input 4_2020CUST-YTD'!$C$1:$O$1,0)),0)</f>
        <v>13.469865871833093</v>
      </c>
      <c r="AN3" s="262">
        <f>IFERROR(INDEX('Input 4.1_2020VOL-YTD'!$C$4:$O$300, MATCH($C3,'Input 4.1_2020VOL-YTD'!$R$4:$R$300,0),MATCH(AN$2,'Input 4.1_2020VOL-YTD'!$C$1:$O$1,0))/INDEX('Input 4_2020CUST-YTD'!$C$4:U$300,MATCH($C3,'Input 4_2020CUST-YTD'!$S$4:$S$300,0),MATCH(AN$2,'Input 4_2020CUST-YTD'!$C$1:$O$1,0)),0)</f>
        <v>14.900401188707269</v>
      </c>
      <c r="AO3" s="262">
        <f>IFERROR(INDEX('Input 4.1_2020VOL-YTD'!$C$4:$O$300, MATCH($C3,'Input 4.1_2020VOL-YTD'!$R$4:$R$300,0),MATCH(AO$2,'Input 4.1_2020VOL-YTD'!$C$1:$O$1,0))/INDEX('Input 4_2020CUST-YTD'!$C$4:V$300,MATCH($C3,'Input 4_2020CUST-YTD'!$S$4:$S$300,0),MATCH(AO$2,'Input 4_2020CUST-YTD'!$C$1:$O$1,0)),0)</f>
        <v>12.46127407407409</v>
      </c>
      <c r="AP3" s="262">
        <f>IFERROR(INDEX('Input 4.1_2020VOL-YTD'!$C$4:$O$300, MATCH($C3,'Input 4.1_2020VOL-YTD'!$R$4:$R$300,0),MATCH(AP$2,'Input 4.1_2020VOL-YTD'!$C$1:$O$1,0))/INDEX('Input 4_2020CUST-YTD'!$C$4:W$300,MATCH($C3,'Input 4_2020CUST-YTD'!$S$4:$S$300,0),MATCH(AP$2,'Input 4_2020CUST-YTD'!$C$1:$O$1,0)),0)</f>
        <v>13.093091715976323</v>
      </c>
      <c r="AQ3" s="262">
        <f>IFERROR(INDEX('Input 4.1_2020VOL-YTD'!$C$4:$O$300, MATCH($C3,'Input 4.1_2020VOL-YTD'!$R$4:$R$300,0),MATCH(AQ$2,'Input 4.1_2020VOL-YTD'!$C$1:$O$1,0))/INDEX('Input 4_2020CUST-YTD'!$C$4:X$300,MATCH($C3,'Input 4_2020CUST-YTD'!$S$4:$S$300,0),MATCH(AQ$2,'Input 4_2020CUST-YTD'!$C$1:$O$1,0)),0)</f>
        <v>12.936074074074069</v>
      </c>
      <c r="AR3" s="262">
        <f>IFERROR(INDEX('Input 4.1_2020VOL-YTD'!$C$4:$O$300, MATCH($C3,'Input 4.1_2020VOL-YTD'!$R$4:$R$300,0),MATCH(AR$2,'Input 4.1_2020VOL-YTD'!$C$1:$O$1,0))/INDEX('Input 4_2020CUST-YTD'!$C$4:Y$300,MATCH($C3,'Input 4_2020CUST-YTD'!$S$4:$S$300,0),MATCH(AR$2,'Input 4_2020CUST-YTD'!$C$1:$O$1,0)),0)</f>
        <v>15.666602373887228</v>
      </c>
      <c r="AS3" s="262">
        <f>IFERROR(INDEX('Input 4.1_2020VOL-YTD'!$C$4:$O$300, MATCH($C3,'Input 4.1_2020VOL-YTD'!$R$4:$R$300,0),MATCH(AS$2,'Input 4.1_2020VOL-YTD'!$C$1:$O$1,0))/INDEX('Input 4_2020CUST-YTD'!$C$4:Z$300,MATCH($C3,'Input 4_2020CUST-YTD'!$S$4:$S$300,0),MATCH(AS$2,'Input 4_2020CUST-YTD'!$C$1:$O$1,0)),0)</f>
        <v>17.636398809523818</v>
      </c>
      <c r="AT3" s="190">
        <f>MAX(AH3:AS3)</f>
        <v>17.892218934911245</v>
      </c>
      <c r="AU3" s="261">
        <f>INDEX($AH$2:$AS$2,MATCH(AT3,AH3:AS3,0))</f>
        <v>1</v>
      </c>
      <c r="AW3" s="1">
        <f>IFERROR(INDEX('Input 5.1_2021VOL-YTD'!$C$3:$N$150, MATCH($C3,'Input 5.1_2021VOL-YTD'!$R$3:$R$150,0),MATCH(AW$2,'Input 5.1_2021VOL-YTD'!$C$1:$N$1,0))/INDEX('Input 5_2021CUST-YTD'!$C$3:$N$150,MATCH($C3,'Input 5_2021CUST-YTD'!$S$3:$S$150,0),MATCH(AW$2,'Input 5_2021CUST-YTD'!$C$1:$N$1,0)),0)</f>
        <v>17.51724444444443</v>
      </c>
      <c r="AX3" s="1">
        <f>IFERROR(INDEX('Input 5.1_2021VOL-YTD'!$C$3:$N$150, MATCH($C3,'Input 5.1_2021VOL-YTD'!$R$3:$R$150,0),MATCH(AX$2,'Input 5.1_2021VOL-YTD'!$C$1:$N$1,0))/INDEX('Input 5_2021CUST-YTD'!$C$3:$N$150,MATCH($C3,'Input 5_2021CUST-YTD'!$S$3:$S$150,0),MATCH(AX$2,'Input 5_2021CUST-YTD'!$C$1:$N$1,0)),0)</f>
        <v>14.944218289085514</v>
      </c>
      <c r="AY3" s="1">
        <f>IFERROR(INDEX('Input 5.1_2021VOL-YTD'!$C$3:$N$150, MATCH($C3,'Input 5.1_2021VOL-YTD'!$R$3:$R$150,0),MATCH(AY$2,'Input 5.1_2021VOL-YTD'!$C$1:$N$1,0))/INDEX('Input 5_2021CUST-YTD'!$C$3:$N$150,MATCH($C3,'Input 5_2021CUST-YTD'!$S$3:$S$150,0),MATCH(AY$2,'Input 5_2021CUST-YTD'!$C$1:$N$1,0)),0)</f>
        <v>15.724451038575674</v>
      </c>
      <c r="AZ3" s="1">
        <f>IFERROR(INDEX('Input 5.1_2021VOL-YTD'!$C$3:$N$150, MATCH($C3,'Input 5.1_2021VOL-YTD'!$R$3:$R$150,0),MATCH(AZ$2,'Input 5.1_2021VOL-YTD'!$C$1:$N$1,0))/INDEX('Input 5_2021CUST-YTD'!$C$3:$N$150,MATCH($C3,'Input 5_2021CUST-YTD'!$S$3:$S$150,0),MATCH(AZ$2,'Input 5_2021CUST-YTD'!$C$1:$N$1,0)),0)</f>
        <v>14.542359882005883</v>
      </c>
      <c r="BA3" s="1">
        <f>IFERROR(INDEX('Input 5.1_2021VOL-YTD'!$C$3:$N$150, MATCH($C3,'Input 5.1_2021VOL-YTD'!$R$3:$R$150,0),MATCH(BA$2,'Input 5.1_2021VOL-YTD'!$C$1:$N$1,0))/INDEX('Input 5_2021CUST-YTD'!$C$3:$N$150,MATCH($C3,'Input 5_2021CUST-YTD'!$S$3:$S$150,0),MATCH(BA$2,'Input 5_2021CUST-YTD'!$C$1:$N$1,0)),0)</f>
        <v>13.266038575667647</v>
      </c>
      <c r="BB3" s="1">
        <f>IFERROR(INDEX('Input 5.1_2021VOL-YTD'!$C$3:$N$150, MATCH($C3,'Input 5.1_2021VOL-YTD'!$R$3:$R$150,0),MATCH(BB$2,'Input 5.1_2021VOL-YTD'!$C$1:$N$1,0))/INDEX('Input 5_2021CUST-YTD'!$C$3:$N$150,MATCH($C3,'Input 5_2021CUST-YTD'!$S$3:$S$150,0),MATCH(BB$2,'Input 5_2021CUST-YTD'!$C$1:$N$1,0)),0)</f>
        <v>13.813367952522229</v>
      </c>
      <c r="BC3" s="1">
        <f>IFERROR(INDEX('Input 5.1_2021VOL-YTD'!$C$3:$N$150, MATCH($C3,'Input 5.1_2021VOL-YTD'!$R$3:$R$150,0),MATCH(BC$2,'Input 5.1_2021VOL-YTD'!$C$1:$N$1,0))/INDEX('Input 5_2021CUST-YTD'!$C$3:$N$150,MATCH($C3,'Input 5_2021CUST-YTD'!$S$3:$S$150,0),MATCH(BC$2,'Input 5_2021CUST-YTD'!$C$1:$N$1,0)),0)</f>
        <v>13.347278106508881</v>
      </c>
      <c r="BD3" s="1">
        <f>IFERROR(INDEX('Input 5.1_2021VOL-YTD'!$C$3:$N$150, MATCH($C3,'Input 5.1_2021VOL-YTD'!$R$3:$R$150,0),MATCH(BD$2,'Input 5.1_2021VOL-YTD'!$C$1:$N$1,0))/INDEX('Input 5_2021CUST-YTD'!$C$3:$N$150,MATCH($C3,'Input 5_2021CUST-YTD'!$S$3:$S$150,0),MATCH(BD$2,'Input 5_2021CUST-YTD'!$C$1:$N$1,0)),0)</f>
        <v>11.896296296296308</v>
      </c>
      <c r="BE3" s="1">
        <f>IFERROR(INDEX('Input 5.1_2021VOL-YTD'!$C$3:$N$150, MATCH($C3,'Input 5.1_2021VOL-YTD'!$R$3:$R$150,0),MATCH(BE$2,'Input 5.1_2021VOL-YTD'!$C$1:$N$1,0))/INDEX('Input 5_2021CUST-YTD'!$C$3:$N$150,MATCH($C3,'Input 5_2021CUST-YTD'!$S$3:$S$150,0),MATCH(BE$2,'Input 5_2021CUST-YTD'!$C$1:$N$1,0)),0)</f>
        <v>13.567282127031016</v>
      </c>
      <c r="BF3" s="1">
        <f>IFERROR(INDEX('Input 5.1_2021VOL-YTD'!$C$3:$N$150, MATCH($C3,'Input 5.1_2021VOL-YTD'!$R$3:$R$150,0),MATCH(BF$2,'Input 5.1_2021VOL-YTD'!$C$1:$N$1,0))/INDEX('Input 5_2021CUST-YTD'!$C$3:$N$150,MATCH($C3,'Input 5_2021CUST-YTD'!$S$3:$S$150,0),MATCH(BF$2,'Input 5_2021CUST-YTD'!$C$1:$N$1,0)),0)</f>
        <v>12.286235294117649</v>
      </c>
      <c r="BG3" s="1">
        <f>IFERROR(INDEX('Input 5.1_2021VOL-YTD'!$C$3:$N$150, MATCH($C3,'Input 5.1_2021VOL-YTD'!$R$3:$R$150,0),MATCH(BG$2,'Input 5.1_2021VOL-YTD'!$C$1:$N$1,0))/INDEX('Input 5_2021CUST-YTD'!$C$3:$N$150,MATCH($C3,'Input 5_2021CUST-YTD'!$S$3:$S$150,0),MATCH(BG$2,'Input 5_2021CUST-YTD'!$C$1:$N$1,0)),0)</f>
        <v>11.906571856287417</v>
      </c>
      <c r="BH3" s="1">
        <f>IFERROR(INDEX('Input 5.1_2021VOL-YTD'!$C$3:$N$150, MATCH($C3,'Input 5.1_2021VOL-YTD'!$R$3:$R$150,0),MATCH(BH$2,'Input 5.1_2021VOL-YTD'!$C$1:$N$1,0))/INDEX('Input 5_2021CUST-YTD'!$C$3:$N$150,MATCH($C3,'Input 5_2021CUST-YTD'!$S$3:$S$150,0),MATCH(BH$2,'Input 5_2021CUST-YTD'!$C$1:$N$1,0)),0)</f>
        <v>18.962032884902829</v>
      </c>
      <c r="BI3" s="190">
        <f>MAX(AW3:BH3)</f>
        <v>18.962032884902829</v>
      </c>
      <c r="BJ3" s="261">
        <f>INDEX($AW$2:$BH$2,MATCH(BI3,AW3:BH3,0))</f>
        <v>12</v>
      </c>
    </row>
    <row r="4" spans="1:62">
      <c r="A4" s="261" t="s">
        <v>8</v>
      </c>
      <c r="B4" s="261" t="s">
        <v>996</v>
      </c>
      <c r="C4" s="257" t="s">
        <v>95</v>
      </c>
      <c r="D4" s="5">
        <f>IFERROR(INDEX('Input 16.1_2018VOL-YTD'!$C$4:$N$300, MATCH($C4,'Input 16.1_2018VOL-YTD'!$R$4:$R$300,0),MATCH(D$2,'Input 16.1_2018VOL-YTD'!$C$1:$N$1,0))/INDEX('Input 16_2018CUST-YTD'!$D$4:$O$300,MATCH($C4,'Input 16_2018CUST-YTD'!$S$4:$S$300,0),MATCH(D$2,'Input 16_2018CUST-YTD'!$C$1:$O$1,0)),0)</f>
        <v>21.642857142857221</v>
      </c>
      <c r="E4" s="5">
        <f>IFERROR(INDEX('Input 16.1_2018VOL-YTD'!$C$4:$N$300, MATCH($C4,'Input 16.1_2018VOL-YTD'!$R$4:$R$300,0),MATCH(E$2,'Input 16.1_2018VOL-YTD'!$C$1:$N$1,0))/INDEX('Input 16_2018CUST-YTD'!$D$4:$O$300,MATCH($C4,'Input 16_2018CUST-YTD'!$S$4:$S$300,0),MATCH(E$2,'Input 16_2018CUST-YTD'!$C$1:$O$1,0)),0)</f>
        <v>14.293955479452007</v>
      </c>
      <c r="F4" s="5">
        <f>IFERROR(INDEX('Input 16.1_2018VOL-YTD'!$C$4:$N$300, MATCH($C4,'Input 16.1_2018VOL-YTD'!$R$4:$R$300,0),MATCH(F$2,'Input 16.1_2018VOL-YTD'!$C$1:$N$1,0))/INDEX('Input 16_2018CUST-YTD'!$D$4:$O$300,MATCH($C4,'Input 16_2018CUST-YTD'!$S$4:$S$300,0),MATCH(F$2,'Input 16_2018CUST-YTD'!$C$1:$O$1,0)),0)</f>
        <v>10.15438474870011</v>
      </c>
      <c r="G4" s="5">
        <f>IFERROR(INDEX('Input 16.1_2018VOL-YTD'!$C$4:$N$300, MATCH($C4,'Input 16.1_2018VOL-YTD'!$R$4:$R$300,0),MATCH(G$2,'Input 16.1_2018VOL-YTD'!$C$1:$N$1,0))/INDEX('Input 16_2018CUST-YTD'!$D$4:$O$300,MATCH($C4,'Input 16_2018CUST-YTD'!$S$4:$S$300,0),MATCH(G$2,'Input 16_2018CUST-YTD'!$C$1:$O$1,0)),0)</f>
        <v>11.349132743362755</v>
      </c>
      <c r="H4" s="5">
        <f>IFERROR(INDEX('Input 16.1_2018VOL-YTD'!$C$4:$N$300, MATCH($C4,'Input 16.1_2018VOL-YTD'!$R$4:$R$300,0),MATCH(H$2,'Input 16.1_2018VOL-YTD'!$C$1:$N$1,0))/INDEX('Input 16_2018CUST-YTD'!$D$4:$O$300,MATCH($C4,'Input 16_2018CUST-YTD'!$S$4:$S$300,0),MATCH(H$2,'Input 16_2018CUST-YTD'!$C$1:$O$1,0)),0)</f>
        <v>8.4577540106951794</v>
      </c>
      <c r="I4" s="5">
        <f>IFERROR(INDEX('Input 16.1_2018VOL-YTD'!$C$4:$N$300, MATCH($C4,'Input 16.1_2018VOL-YTD'!$R$4:$R$300,0),MATCH(I$2,'Input 16.1_2018VOL-YTD'!$C$1:$N$1,0))/INDEX('Input 16_2018CUST-YTD'!$D$4:$O$300,MATCH($C4,'Input 16_2018CUST-YTD'!$S$4:$S$300,0),MATCH(I$2,'Input 16_2018CUST-YTD'!$C$1:$O$1,0)),0)</f>
        <v>9.5020499108733869</v>
      </c>
      <c r="J4" s="5">
        <f>IFERROR(INDEX('Input 16.1_2018VOL-YTD'!$C$4:$N$300, MATCH($C4,'Input 16.1_2018VOL-YTD'!$R$4:$R$300,0),MATCH(J$2,'Input 16.1_2018VOL-YTD'!$C$1:$N$1,0))/INDEX('Input 16_2018CUST-YTD'!$D$4:$O$300,MATCH($C4,'Input 16_2018CUST-YTD'!$S$4:$S$300,0),MATCH(J$2,'Input 16_2018CUST-YTD'!$C$1:$O$1,0)),0)</f>
        <v>7.4595870736086223</v>
      </c>
      <c r="K4" s="5">
        <f>IFERROR(INDEX('Input 16.1_2018VOL-YTD'!$C$4:$N$300, MATCH($C4,'Input 16.1_2018VOL-YTD'!$R$4:$R$300,0),MATCH(K$2,'Input 16.1_2018VOL-YTD'!$C$1:$N$1,0))/INDEX('Input 16_2018CUST-YTD'!$D$4:$O$300,MATCH($C4,'Input 16_2018CUST-YTD'!$S$4:$S$300,0),MATCH(K$2,'Input 16_2018CUST-YTD'!$C$1:$O$1,0)),0)</f>
        <v>7.9267857142857139</v>
      </c>
      <c r="L4" s="5">
        <f>IFERROR(INDEX('Input 16.1_2018VOL-YTD'!$C$4:$N$300, MATCH($C4,'Input 16.1_2018VOL-YTD'!$R$4:$R$300,0),MATCH(L$2,'Input 16.1_2018VOL-YTD'!$C$1:$N$1,0))/INDEX('Input 16_2018CUST-YTD'!$D$4:$O$300,MATCH($C4,'Input 16_2018CUST-YTD'!$S$4:$S$300,0),MATCH(L$2,'Input 16_2018CUST-YTD'!$C$1:$O$1,0)),0)</f>
        <v>8.059103942652321</v>
      </c>
      <c r="M4" s="5">
        <f>IFERROR(INDEX('Input 16.1_2018VOL-YTD'!$C$4:$N$300, MATCH($C4,'Input 16.1_2018VOL-YTD'!$R$4:$R$300,0),MATCH(M$2,'Input 16.1_2018VOL-YTD'!$C$1:$N$1,0))/INDEX('Input 16_2018CUST-YTD'!$D$4:$O$300,MATCH($C4,'Input 16_2018CUST-YTD'!$S$4:$S$300,0),MATCH(M$2,'Input 16_2018CUST-YTD'!$C$1:$O$1,0)),0)</f>
        <v>7.0162678571428652</v>
      </c>
      <c r="N4" s="5">
        <f>IFERROR(INDEX('Input 16.1_2018VOL-YTD'!$C$4:$N$300, MATCH($C4,'Input 16.1_2018VOL-YTD'!$R$4:$R$300,0),MATCH(N$2,'Input 16.1_2018VOL-YTD'!$C$1:$N$1,0))/INDEX('Input 16_2018CUST-YTD'!$D$4:$O$300,MATCH($C4,'Input 16_2018CUST-YTD'!$S$4:$S$300,0),MATCH(N$2,'Input 16_2018CUST-YTD'!$C$1:$O$1,0)),0)</f>
        <v>8.6823035714285535</v>
      </c>
      <c r="O4" s="5">
        <f>IFERROR(INDEX('Input 16.1_2018VOL-YTD'!$C$4:$N$300, MATCH($C4,'Input 16.1_2018VOL-YTD'!$R$4:$R$300,0),MATCH(O$2,'Input 16.1_2018VOL-YTD'!$C$1:$N$1,0))/INDEX('Input 16_2018CUST-YTD'!$D$4:$O$300,MATCH($C4,'Input 16_2018CUST-YTD'!$S$4:$S$300,0),MATCH(O$2,'Input 16_2018CUST-YTD'!$C$1:$O$1,0)),0)</f>
        <v>12.885013223626165</v>
      </c>
      <c r="P4" s="271">
        <f t="shared" ref="P4:P66" si="1">MAX(D4:O4)</f>
        <v>21.642857142857221</v>
      </c>
      <c r="Q4" s="261">
        <f t="shared" ref="Q4:Q66" si="2">IF(P4=0,0,INDEX($D$2:$O$2,MATCH(P4,D4:O4,0)))</f>
        <v>1</v>
      </c>
      <c r="R4" s="257"/>
      <c r="S4" s="5">
        <f>IFERROR(INDEX('Input 3.1_2019VOL-YTD'!$C$4:$N$300, MATCH($C4,'Input 3.1_2019VOL-YTD'!$R$4:$R$300,0),MATCH(S$2,'Input 3.1_2019VOL-YTD'!$C$1:$N$1,0))/INDEX('Input 3_2019CUST-YTD'!$C$4:$N$300,MATCH($C4,'Input 3_2019CUST-YTD'!$S$4:$S$300,0),MATCH(S$2,'Input 3_2019CUST-YTD'!$C$1:$N$1,0)),0)</f>
        <v>16.963439716312099</v>
      </c>
      <c r="T4" s="5">
        <f>IFERROR(INDEX('Input 3.1_2019VOL-YTD'!$C$4:$N$300, MATCH($C4,'Input 3.1_2019VOL-YTD'!$R$4:$R$300,0),MATCH(T$2,'Input 3.1_2019VOL-YTD'!$C$1:$N$1,0))/INDEX('Input 3_2019CUST-YTD'!$C$4:$N$300,MATCH($C4,'Input 3_2019CUST-YTD'!$S$4:$S$300,0),MATCH(T$2,'Input 3_2019CUST-YTD'!$C$1:$N$1,0)),0)</f>
        <v>15.957816901408471</v>
      </c>
      <c r="U4" s="5">
        <f>IFERROR(INDEX('Input 3.1_2019VOL-YTD'!$C$4:$N$300, MATCH($C4,'Input 3.1_2019VOL-YTD'!$R$4:$R$300,0),MATCH(U$2,'Input 3.1_2019VOL-YTD'!$C$1:$N$1,0))/INDEX('Input 3_2019CUST-YTD'!$C$4:$N$300,MATCH($C4,'Input 3_2019CUST-YTD'!$S$4:$S$300,0),MATCH(U$2,'Input 3_2019CUST-YTD'!$C$1:$N$1,0)),0)</f>
        <v>10.375026455026397</v>
      </c>
      <c r="V4" s="5">
        <f>IFERROR(INDEX('Input 3.1_2019VOL-YTD'!$C$4:$N$300, MATCH($C4,'Input 3.1_2019VOL-YTD'!$R$4:$R$300,0),MATCH(V$2,'Input 3.1_2019VOL-YTD'!$C$1:$N$1,0))/INDEX('Input 3_2019CUST-YTD'!$C$4:$N$300,MATCH($C4,'Input 3_2019CUST-YTD'!$S$4:$S$300,0),MATCH(V$2,'Input 3_2019CUST-YTD'!$C$1:$N$1,0)),0)</f>
        <v>10.187350877192927</v>
      </c>
      <c r="W4" s="5">
        <f>IFERROR(INDEX('Input 3.1_2019VOL-YTD'!$C$4:$N$300, MATCH($C4,'Input 3.1_2019VOL-YTD'!$R$4:$R$300,0),MATCH(W$2,'Input 3.1_2019VOL-YTD'!$C$1:$N$1,0))/INDEX('Input 3_2019CUST-YTD'!$C$4:$N$300,MATCH($C4,'Input 3_2019CUST-YTD'!$S$4:$S$300,0),MATCH(W$2,'Input 3_2019CUST-YTD'!$C$1:$N$1,0)),0)</f>
        <v>9.2674688057040715</v>
      </c>
      <c r="X4" s="5">
        <f>IFERROR(INDEX('Input 3.1_2019VOL-YTD'!$C$4:$N$300, MATCH($C4,'Input 3.1_2019VOL-YTD'!$R$4:$R$300,0),MATCH(X$2,'Input 3.1_2019VOL-YTD'!$C$1:$N$1,0))/INDEX('Input 3_2019CUST-YTD'!$C$4:$N$300,MATCH($C4,'Input 3_2019CUST-YTD'!$S$4:$S$300,0),MATCH(X$2,'Input 3_2019CUST-YTD'!$C$1:$N$1,0)),0)</f>
        <v>8.2666666666666657</v>
      </c>
      <c r="Y4" s="5">
        <f>IFERROR(INDEX('Input 3.1_2019VOL-YTD'!$C$4:$N$300, MATCH($C4,'Input 3.1_2019VOL-YTD'!$R$4:$R$300,0),MATCH(Y$2,'Input 3.1_2019VOL-YTD'!$C$1:$N$1,0))/INDEX('Input 3_2019CUST-YTD'!$C$4:$N$300,MATCH($C4,'Input 3_2019CUST-YTD'!$S$4:$S$300,0),MATCH(Y$2,'Input 3_2019CUST-YTD'!$C$1:$N$1,0)),0)</f>
        <v>7.1314440433213111</v>
      </c>
      <c r="Z4" s="5">
        <f>IFERROR(INDEX('Input 3.1_2019VOL-YTD'!$C$4:$N$300, MATCH($C4,'Input 3.1_2019VOL-YTD'!$R$4:$R$300,0),MATCH(Z$2,'Input 3.1_2019VOL-YTD'!$C$1:$N$1,0))/INDEX('Input 3_2019CUST-YTD'!$C$4:$N$300,MATCH($C4,'Input 3_2019CUST-YTD'!$S$4:$S$300,0),MATCH(Z$2,'Input 3_2019CUST-YTD'!$C$1:$N$1,0)),0)</f>
        <v>7.741245487364627</v>
      </c>
      <c r="AA4" s="5">
        <f>IFERROR(INDEX('Input 3.1_2019VOL-YTD'!$C$4:$N$300, MATCH($C4,'Input 3.1_2019VOL-YTD'!$R$4:$R$300,0),MATCH(AA$2,'Input 3.1_2019VOL-YTD'!$C$1:$N$1,0))/INDEX('Input 3_2019CUST-YTD'!$C$4:$N$300,MATCH($C4,'Input 3_2019CUST-YTD'!$S$4:$S$300,0),MATCH(AA$2,'Input 3_2019CUST-YTD'!$C$1:$N$1,0)),0)</f>
        <v>7.5763110307414099</v>
      </c>
      <c r="AB4" s="5">
        <f>IFERROR(INDEX('Input 3.1_2019VOL-YTD'!$C$4:$N$300, MATCH($C4,'Input 3.1_2019VOL-YTD'!$R$4:$R$300,0),MATCH(AB$2,'Input 3.1_2019VOL-YTD'!$C$1:$N$1,0))/INDEX('Input 3_2019CUST-YTD'!$C$4:$N$300,MATCH($C4,'Input 3_2019CUST-YTD'!$S$4:$S$300,0),MATCH(AB$2,'Input 3_2019CUST-YTD'!$C$1:$N$1,0)),0)</f>
        <v>7.8651079136690649</v>
      </c>
      <c r="AC4" s="5">
        <f>IFERROR(INDEX('Input 3.1_2019VOL-YTD'!$C$4:$N$300, MATCH($C4,'Input 3.1_2019VOL-YTD'!$R$4:$R$300,0),MATCH(AC$2,'Input 3.1_2019VOL-YTD'!$C$1:$N$1,0))/INDEX('Input 3_2019CUST-YTD'!$C$4:$N$300,MATCH($C4,'Input 3_2019CUST-YTD'!$S$4:$S$300,0),MATCH(AC$2,'Input 3_2019CUST-YTD'!$C$1:$N$1,0)),0)</f>
        <v>8.7423646209386057</v>
      </c>
      <c r="AD4" s="5">
        <f>IFERROR(INDEX('Input 3.1_2019VOL-YTD'!$C$4:$N$300, MATCH($C4,'Input 3.1_2019VOL-YTD'!$R$4:$R$300,0),MATCH(AD$2,'Input 3.1_2019VOL-YTD'!$C$1:$N$1,0))/INDEX('Input 3_2019CUST-YTD'!$C$4:$N$300,MATCH($C4,'Input 3_2019CUST-YTD'!$S$4:$S$300,0),MATCH(AD$2,'Input 3_2019CUST-YTD'!$C$1:$N$1,0)),0)</f>
        <v>13.777344028520499</v>
      </c>
      <c r="AE4" s="272">
        <f t="shared" ref="AE4:AE30" si="3">MAX(S4:AD4)</f>
        <v>16.963439716312099</v>
      </c>
      <c r="AF4" s="261">
        <f t="shared" ref="AF4:AF30" si="4">INDEX($AH$2:$AS$2,MATCH(AE4,S4:AD4,0))</f>
        <v>1</v>
      </c>
      <c r="AG4" s="257"/>
      <c r="AH4" s="262">
        <f>IFERROR(INDEX('Input 4.1_2020VOL-YTD'!$C$4:$O$300, MATCH($C4,'Input 4.1_2020VOL-YTD'!$R$4:$R$300,0),MATCH(AH$2,'Input 4.1_2020VOL-YTD'!$C$1:$O$1,0))/INDEX('Input 4_2020CUST-YTD'!$C$4:O$300,MATCH($C4,'Input 4_2020CUST-YTD'!$S$4:$S$300,0),MATCH(AH$2,'Input 4_2020CUST-YTD'!$C$1:$O$1,0)),0)</f>
        <v>14.428053097345094</v>
      </c>
      <c r="AI4" s="262">
        <f>IFERROR(INDEX('Input 4.1_2020VOL-YTD'!$C$4:$O$300, MATCH($C4,'Input 4.1_2020VOL-YTD'!$R$4:$R$300,0),MATCH(AI$2,'Input 4.1_2020VOL-YTD'!$C$1:$O$1,0))/INDEX('Input 4_2020CUST-YTD'!$C$4:P$300,MATCH($C4,'Input 4_2020CUST-YTD'!$S$4:$S$300,0),MATCH(AI$2,'Input 4_2020CUST-YTD'!$C$1:$O$1,0)),0)</f>
        <v>13.385567375886467</v>
      </c>
      <c r="AJ4" s="262">
        <f>IFERROR(INDEX('Input 4.1_2020VOL-YTD'!$C$4:$O$300, MATCH($C4,'Input 4.1_2020VOL-YTD'!$R$4:$R$300,0),MATCH(AJ$2,'Input 4.1_2020VOL-YTD'!$C$1:$O$1,0))/INDEX('Input 4_2020CUST-YTD'!$C$4:Q$300,MATCH($C4,'Input 4_2020CUST-YTD'!$S$4:$S$300,0),MATCH(AJ$2,'Input 4_2020CUST-YTD'!$C$1:$O$1,0)),0)</f>
        <v>12.074316163410247</v>
      </c>
      <c r="AK4" s="262">
        <f>IFERROR(INDEX('Input 4.1_2020VOL-YTD'!$C$4:$O$300, MATCH($C4,'Input 4.1_2020VOL-YTD'!$R$4:$R$300,0),MATCH(AK$2,'Input 4.1_2020VOL-YTD'!$C$1:$O$1,0))/INDEX('Input 4_2020CUST-YTD'!$C$4:R$300,MATCH($C4,'Input 4_2020CUST-YTD'!$S$4:$S$300,0),MATCH(AK$2,'Input 4_2020CUST-YTD'!$C$1:$O$1,0)),0)</f>
        <v>10.807823741007146</v>
      </c>
      <c r="AL4" s="262">
        <f>IFERROR(INDEX('Input 4.1_2020VOL-YTD'!$C$4:$O$300, MATCH($C4,'Input 4.1_2020VOL-YTD'!$R$4:$R$300,0),MATCH(AL$2,'Input 4.1_2020VOL-YTD'!$C$1:$O$1,0))/INDEX('Input 4_2020CUST-YTD'!$C$4:S$300,MATCH($C4,'Input 4_2020CUST-YTD'!$S$4:$S$300,0),MATCH(AL$2,'Input 4_2020CUST-YTD'!$C$1:$O$1,0)),0)</f>
        <v>9.6962477231329842</v>
      </c>
      <c r="AM4" s="262">
        <f>IFERROR(INDEX('Input 4.1_2020VOL-YTD'!$C$4:$O$300, MATCH($C4,'Input 4.1_2020VOL-YTD'!$R$4:$R$300,0),MATCH(AM$2,'Input 4.1_2020VOL-YTD'!$C$1:$O$1,0))/INDEX('Input 4_2020CUST-YTD'!$C$4:T$300,MATCH($C4,'Input 4_2020CUST-YTD'!$S$4:$S$300,0),MATCH(AM$2,'Input 4_2020CUST-YTD'!$C$1:$O$1,0)),0)</f>
        <v>8.396018348623846</v>
      </c>
      <c r="AN4" s="262">
        <f>IFERROR(INDEX('Input 4.1_2020VOL-YTD'!$C$4:$O$300, MATCH($C4,'Input 4.1_2020VOL-YTD'!$R$4:$R$300,0),MATCH(AN$2,'Input 4.1_2020VOL-YTD'!$C$1:$O$1,0))/INDEX('Input 4_2020CUST-YTD'!$C$4:U$300,MATCH($C4,'Input 4_2020CUST-YTD'!$S$4:$S$300,0),MATCH(AN$2,'Input 4_2020CUST-YTD'!$C$1:$O$1,0)),0)</f>
        <v>8.5610382513661101</v>
      </c>
      <c r="AO4" s="262">
        <f>IFERROR(INDEX('Input 4.1_2020VOL-YTD'!$C$4:$O$300, MATCH($C4,'Input 4.1_2020VOL-YTD'!$R$4:$R$300,0),MATCH(AO$2,'Input 4.1_2020VOL-YTD'!$C$1:$O$1,0))/INDEX('Input 4_2020CUST-YTD'!$C$4:V$300,MATCH($C4,'Input 4_2020CUST-YTD'!$S$4:$S$300,0),MATCH(AO$2,'Input 4_2020CUST-YTD'!$C$1:$O$1,0)),0)</f>
        <v>7.4769581056466476</v>
      </c>
      <c r="AP4" s="262">
        <f>IFERROR(INDEX('Input 4.1_2020VOL-YTD'!$C$4:$O$300, MATCH($C4,'Input 4.1_2020VOL-YTD'!$R$4:$R$300,0),MATCH(AP$2,'Input 4.1_2020VOL-YTD'!$C$1:$O$1,0))/INDEX('Input 4_2020CUST-YTD'!$C$4:W$300,MATCH($C4,'Input 4_2020CUST-YTD'!$S$4:$S$300,0),MATCH(AP$2,'Input 4_2020CUST-YTD'!$C$1:$O$1,0)),0)</f>
        <v>8.4433212341197788</v>
      </c>
      <c r="AQ4" s="262">
        <f>IFERROR(INDEX('Input 4.1_2020VOL-YTD'!$C$4:$O$300, MATCH($C4,'Input 4.1_2020VOL-YTD'!$R$4:$R$300,0),MATCH(AQ$2,'Input 4.1_2020VOL-YTD'!$C$1:$O$1,0))/INDEX('Input 4_2020CUST-YTD'!$C$4:X$300,MATCH($C4,'Input 4_2020CUST-YTD'!$S$4:$S$300,0),MATCH(AQ$2,'Input 4_2020CUST-YTD'!$C$1:$O$1,0)),0)</f>
        <v>8.4270577617328435</v>
      </c>
      <c r="AR4" s="262">
        <f>IFERROR(INDEX('Input 4.1_2020VOL-YTD'!$C$4:$O$300, MATCH($C4,'Input 4.1_2020VOL-YTD'!$R$4:$R$300,0),MATCH(AR$2,'Input 4.1_2020VOL-YTD'!$C$1:$O$1,0))/INDEX('Input 4_2020CUST-YTD'!$C$4:Y$300,MATCH($C4,'Input 4_2020CUST-YTD'!$S$4:$S$300,0),MATCH(AR$2,'Input 4_2020CUST-YTD'!$C$1:$O$1,0)),0)</f>
        <v>9.4188788426763548</v>
      </c>
      <c r="AS4" s="262">
        <f>IFERROR(INDEX('Input 4.1_2020VOL-YTD'!$C$4:$O$300, MATCH($C4,'Input 4.1_2020VOL-YTD'!$R$4:$R$300,0),MATCH(AS$2,'Input 4.1_2020VOL-YTD'!$C$1:$O$1,0))/INDEX('Input 4_2020CUST-YTD'!$C$4:Z$300,MATCH($C4,'Input 4_2020CUST-YTD'!$S$4:$S$300,0),MATCH(AS$2,'Input 4_2020CUST-YTD'!$C$1:$O$1,0)),0)</f>
        <v>14.303574007220172</v>
      </c>
      <c r="AT4" s="190">
        <f t="shared" ref="AT4:AT13" si="5">MAX(AH4:AS4)</f>
        <v>14.428053097345094</v>
      </c>
      <c r="AU4" s="261">
        <f t="shared" ref="AU4:AU30" si="6">INDEX($AH$2:$AS$2,MATCH(AT4,AH4:AS4,0))</f>
        <v>1</v>
      </c>
      <c r="AW4" s="1">
        <f>IFERROR(INDEX('Input 5.1_2021VOL-YTD'!$C$3:$N$150, MATCH($C4,'Input 5.1_2021VOL-YTD'!$R$3:$R$150,0),MATCH(AW$2,'Input 5.1_2021VOL-YTD'!$C$1:$N$1,0))/INDEX('Input 5_2021CUST-YTD'!$C$3:$N$150,MATCH($C4,'Input 5_2021CUST-YTD'!$S$3:$S$150,0),MATCH(AW$2,'Input 5_2021CUST-YTD'!$C$1:$N$1,0)),0)</f>
        <v>17.402196428571411</v>
      </c>
      <c r="AX4" s="1">
        <f>IFERROR(INDEX('Input 5.1_2021VOL-YTD'!$C$3:$N$150, MATCH($C4,'Input 5.1_2021VOL-YTD'!$R$3:$R$150,0),MATCH(AX$2,'Input 5.1_2021VOL-YTD'!$C$1:$N$1,0))/INDEX('Input 5_2021CUST-YTD'!$C$3:$N$150,MATCH($C4,'Input 5_2021CUST-YTD'!$S$3:$S$150,0),MATCH(AX$2,'Input 5_2021CUST-YTD'!$C$1:$N$1,0)),0)</f>
        <v>14.013203539823051</v>
      </c>
      <c r="AY4" s="1">
        <f>IFERROR(INDEX('Input 5.1_2021VOL-YTD'!$C$3:$N$150, MATCH($C4,'Input 5.1_2021VOL-YTD'!$R$3:$R$150,0),MATCH(AY$2,'Input 5.1_2021VOL-YTD'!$C$1:$N$1,0))/INDEX('Input 5_2021CUST-YTD'!$C$3:$N$150,MATCH($C4,'Input 5_2021CUST-YTD'!$S$3:$S$150,0),MATCH(AY$2,'Input 5_2021CUST-YTD'!$C$1:$N$1,0)),0)</f>
        <v>10.79971580817053</v>
      </c>
      <c r="AZ4" s="1">
        <f>IFERROR(INDEX('Input 5.1_2021VOL-YTD'!$C$3:$N$150, MATCH($C4,'Input 5.1_2021VOL-YTD'!$R$3:$R$150,0),MATCH(AZ$2,'Input 5.1_2021VOL-YTD'!$C$1:$N$1,0))/INDEX('Input 5_2021CUST-YTD'!$C$3:$N$150,MATCH($C4,'Input 5_2021CUST-YTD'!$S$3:$S$150,0),MATCH(AZ$2,'Input 5_2021CUST-YTD'!$C$1:$N$1,0)),0)</f>
        <v>11.483818827708715</v>
      </c>
      <c r="BA4" s="1">
        <f>IFERROR(INDEX('Input 5.1_2021VOL-YTD'!$C$3:$N$150, MATCH($C4,'Input 5.1_2021VOL-YTD'!$R$3:$R$150,0),MATCH(BA$2,'Input 5.1_2021VOL-YTD'!$C$1:$N$1,0))/INDEX('Input 5_2021CUST-YTD'!$C$3:$N$150,MATCH($C4,'Input 5_2021CUST-YTD'!$S$3:$S$150,0),MATCH(BA$2,'Input 5_2021CUST-YTD'!$C$1:$N$1,0)),0)</f>
        <v>8.8077818181818017</v>
      </c>
      <c r="BB4" s="1">
        <f>IFERROR(INDEX('Input 5.1_2021VOL-YTD'!$C$3:$N$150, MATCH($C4,'Input 5.1_2021VOL-YTD'!$R$3:$R$150,0),MATCH(BB$2,'Input 5.1_2021VOL-YTD'!$C$1:$N$1,0))/INDEX('Input 5_2021CUST-YTD'!$C$3:$N$150,MATCH($C4,'Input 5_2021CUST-YTD'!$S$3:$S$150,0),MATCH(BB$2,'Input 5_2021CUST-YTD'!$C$1:$N$1,0)),0)</f>
        <v>7.7808759124087574</v>
      </c>
      <c r="BC4" s="1">
        <f>IFERROR(INDEX('Input 5.1_2021VOL-YTD'!$C$3:$N$150, MATCH($C4,'Input 5.1_2021VOL-YTD'!$R$3:$R$150,0),MATCH(BC$2,'Input 5.1_2021VOL-YTD'!$C$1:$N$1,0))/INDEX('Input 5_2021CUST-YTD'!$C$3:$N$150,MATCH($C4,'Input 5_2021CUST-YTD'!$S$3:$S$150,0),MATCH(BC$2,'Input 5_2021CUST-YTD'!$C$1:$N$1,0)),0)</f>
        <v>8.089184782608692</v>
      </c>
      <c r="BD4" s="1">
        <f>IFERROR(INDEX('Input 5.1_2021VOL-YTD'!$C$3:$N$150, MATCH($C4,'Input 5.1_2021VOL-YTD'!$R$3:$R$150,0),MATCH(BD$2,'Input 5.1_2021VOL-YTD'!$C$1:$N$1,0))/INDEX('Input 5_2021CUST-YTD'!$C$3:$N$150,MATCH($C4,'Input 5_2021CUST-YTD'!$S$3:$S$150,0),MATCH(BD$2,'Input 5_2021CUST-YTD'!$C$1:$N$1,0)),0)</f>
        <v>6.6936928702011045</v>
      </c>
      <c r="BE4" s="1">
        <f>IFERROR(INDEX('Input 5.1_2021VOL-YTD'!$C$3:$N$150, MATCH($C4,'Input 5.1_2021VOL-YTD'!$R$3:$R$150,0),MATCH(BE$2,'Input 5.1_2021VOL-YTD'!$C$1:$N$1,0))/INDEX('Input 5_2021CUST-YTD'!$C$3:$N$150,MATCH($C4,'Input 5_2021CUST-YTD'!$S$3:$S$150,0),MATCH(BE$2,'Input 5_2021CUST-YTD'!$C$1:$N$1,0)),0)</f>
        <v>8.0308576642335936</v>
      </c>
      <c r="BF4" s="1">
        <f>IFERROR(INDEX('Input 5.1_2021VOL-YTD'!$C$3:$N$150, MATCH($C4,'Input 5.1_2021VOL-YTD'!$R$3:$R$150,0),MATCH(BF$2,'Input 5.1_2021VOL-YTD'!$C$1:$N$1,0))/INDEX('Input 5_2021CUST-YTD'!$C$3:$N$150,MATCH($C4,'Input 5_2021CUST-YTD'!$S$3:$S$150,0),MATCH(BF$2,'Input 5_2021CUST-YTD'!$C$1:$N$1,0)),0)</f>
        <v>7.3314495412844218</v>
      </c>
      <c r="BG4" s="1">
        <f>IFERROR(INDEX('Input 5.1_2021VOL-YTD'!$C$3:$N$150, MATCH($C4,'Input 5.1_2021VOL-YTD'!$R$3:$R$150,0),MATCH(BG$2,'Input 5.1_2021VOL-YTD'!$C$1:$N$1,0))/INDEX('Input 5_2021CUST-YTD'!$C$3:$N$150,MATCH($C4,'Input 5_2021CUST-YTD'!$S$3:$S$150,0),MATCH(BG$2,'Input 5_2021CUST-YTD'!$C$1:$N$1,0)),0)</f>
        <v>8.762426470588224</v>
      </c>
      <c r="BH4" s="1">
        <f>IFERROR(INDEX('Input 5.1_2021VOL-YTD'!$C$3:$N$150, MATCH($C4,'Input 5.1_2021VOL-YTD'!$R$3:$R$150,0),MATCH(BH$2,'Input 5.1_2021VOL-YTD'!$C$1:$N$1,0))/INDEX('Input 5_2021CUST-YTD'!$C$3:$N$150,MATCH($C4,'Input 5_2021CUST-YTD'!$S$3:$S$150,0),MATCH(BH$2,'Input 5_2021CUST-YTD'!$C$1:$N$1,0)),0)</f>
        <v>12.482051282051216</v>
      </c>
      <c r="BI4" s="190">
        <f t="shared" ref="BI4:BI66" si="7">MAX(AW4:BH4)</f>
        <v>17.402196428571411</v>
      </c>
      <c r="BJ4" s="261">
        <f t="shared" ref="BJ4:BJ66" si="8">INDEX($AW$2:$BH$2,MATCH(BI4,AW4:BH4,0))</f>
        <v>1</v>
      </c>
    </row>
    <row r="5" spans="1:62">
      <c r="A5" s="261" t="s">
        <v>8</v>
      </c>
      <c r="B5" s="261" t="s">
        <v>996</v>
      </c>
      <c r="C5" s="261" t="s">
        <v>741</v>
      </c>
      <c r="D5" s="5">
        <f>IFERROR(INDEX('Input 16.1_2018VOL-YTD'!$C$4:$N$300, MATCH($C5,'Input 16.1_2018VOL-YTD'!$R$4:$R$300,0),MATCH(D$2,'Input 16.1_2018VOL-YTD'!$C$1:$N$1,0))/INDEX('Input 16_2018CUST-YTD'!$D$4:$O$300,MATCH($C5,'Input 16_2018CUST-YTD'!$S$4:$S$300,0),MATCH(D$2,'Input 16_2018CUST-YTD'!$C$1:$O$1,0)),0)</f>
        <v>0</v>
      </c>
      <c r="E5" s="5">
        <f>IFERROR(INDEX('Input 16.1_2018VOL-YTD'!$C$4:$N$300, MATCH($C5,'Input 16.1_2018VOL-YTD'!$R$4:$R$300,0),MATCH(E$2,'Input 16.1_2018VOL-YTD'!$C$1:$N$1,0))/INDEX('Input 16_2018CUST-YTD'!$D$4:$O$300,MATCH($C5,'Input 16_2018CUST-YTD'!$S$4:$S$300,0),MATCH(E$2,'Input 16_2018CUST-YTD'!$C$1:$O$1,0)),0)</f>
        <v>0</v>
      </c>
      <c r="F5" s="5">
        <f>IFERROR(INDEX('Input 16.1_2018VOL-YTD'!$C$4:$N$300, MATCH($C5,'Input 16.1_2018VOL-YTD'!$R$4:$R$300,0),MATCH(F$2,'Input 16.1_2018VOL-YTD'!$C$1:$N$1,0))/INDEX('Input 16_2018CUST-YTD'!$D$4:$O$300,MATCH($C5,'Input 16_2018CUST-YTD'!$S$4:$S$300,0),MATCH(F$2,'Input 16_2018CUST-YTD'!$C$1:$O$1,0)),0)</f>
        <v>0</v>
      </c>
      <c r="G5" s="5">
        <f>IFERROR(INDEX('Input 16.1_2018VOL-YTD'!$C$4:$N$300, MATCH($C5,'Input 16.1_2018VOL-YTD'!$R$4:$R$300,0),MATCH(G$2,'Input 16.1_2018VOL-YTD'!$C$1:$N$1,0))/INDEX('Input 16_2018CUST-YTD'!$D$4:$O$300,MATCH($C5,'Input 16_2018CUST-YTD'!$S$4:$S$300,0),MATCH(G$2,'Input 16_2018CUST-YTD'!$C$1:$O$1,0)),0)</f>
        <v>0</v>
      </c>
      <c r="H5" s="5">
        <f>IFERROR(INDEX('Input 16.1_2018VOL-YTD'!$C$4:$N$300, MATCH($C5,'Input 16.1_2018VOL-YTD'!$R$4:$R$300,0),MATCH(H$2,'Input 16.1_2018VOL-YTD'!$C$1:$N$1,0))/INDEX('Input 16_2018CUST-YTD'!$D$4:$O$300,MATCH($C5,'Input 16_2018CUST-YTD'!$S$4:$S$300,0),MATCH(H$2,'Input 16_2018CUST-YTD'!$C$1:$O$1,0)),0)</f>
        <v>0</v>
      </c>
      <c r="I5" s="5">
        <f>IFERROR(INDEX('Input 16.1_2018VOL-YTD'!$C$4:$N$300, MATCH($C5,'Input 16.1_2018VOL-YTD'!$R$4:$R$300,0),MATCH(I$2,'Input 16.1_2018VOL-YTD'!$C$1:$N$1,0))/INDEX('Input 16_2018CUST-YTD'!$D$4:$O$300,MATCH($C5,'Input 16_2018CUST-YTD'!$S$4:$S$300,0),MATCH(I$2,'Input 16_2018CUST-YTD'!$C$1:$O$1,0)),0)</f>
        <v>0</v>
      </c>
      <c r="J5" s="5">
        <f>IFERROR(INDEX('Input 16.1_2018VOL-YTD'!$C$4:$N$300, MATCH($C5,'Input 16.1_2018VOL-YTD'!$R$4:$R$300,0),MATCH(J$2,'Input 16.1_2018VOL-YTD'!$C$1:$N$1,0))/INDEX('Input 16_2018CUST-YTD'!$D$4:$O$300,MATCH($C5,'Input 16_2018CUST-YTD'!$S$4:$S$300,0),MATCH(J$2,'Input 16_2018CUST-YTD'!$C$1:$O$1,0)),0)</f>
        <v>0</v>
      </c>
      <c r="K5" s="5">
        <f>IFERROR(INDEX('Input 16.1_2018VOL-YTD'!$C$4:$N$300, MATCH($C5,'Input 16.1_2018VOL-YTD'!$R$4:$R$300,0),MATCH(K$2,'Input 16.1_2018VOL-YTD'!$C$1:$N$1,0))/INDEX('Input 16_2018CUST-YTD'!$D$4:$O$300,MATCH($C5,'Input 16_2018CUST-YTD'!$S$4:$S$300,0),MATCH(K$2,'Input 16_2018CUST-YTD'!$C$1:$O$1,0)),0)</f>
        <v>0</v>
      </c>
      <c r="L5" s="5">
        <f>IFERROR(INDEX('Input 16.1_2018VOL-YTD'!$C$4:$N$300, MATCH($C5,'Input 16.1_2018VOL-YTD'!$R$4:$R$300,0),MATCH(L$2,'Input 16.1_2018VOL-YTD'!$C$1:$N$1,0))/INDEX('Input 16_2018CUST-YTD'!$D$4:$O$300,MATCH($C5,'Input 16_2018CUST-YTD'!$S$4:$S$300,0),MATCH(L$2,'Input 16_2018CUST-YTD'!$C$1:$O$1,0)),0)</f>
        <v>0</v>
      </c>
      <c r="M5" s="5">
        <f>IFERROR(INDEX('Input 16.1_2018VOL-YTD'!$C$4:$N$300, MATCH($C5,'Input 16.1_2018VOL-YTD'!$R$4:$R$300,0),MATCH(M$2,'Input 16.1_2018VOL-YTD'!$C$1:$N$1,0))/INDEX('Input 16_2018CUST-YTD'!$D$4:$O$300,MATCH($C5,'Input 16_2018CUST-YTD'!$S$4:$S$300,0),MATCH(M$2,'Input 16_2018CUST-YTD'!$C$1:$O$1,0)),0)</f>
        <v>0</v>
      </c>
      <c r="N5" s="5">
        <f>IFERROR(INDEX('Input 16.1_2018VOL-YTD'!$C$4:$N$300, MATCH($C5,'Input 16.1_2018VOL-YTD'!$R$4:$R$300,0),MATCH(N$2,'Input 16.1_2018VOL-YTD'!$C$1:$N$1,0))/INDEX('Input 16_2018CUST-YTD'!$D$4:$O$300,MATCH($C5,'Input 16_2018CUST-YTD'!$S$4:$S$300,0),MATCH(N$2,'Input 16_2018CUST-YTD'!$C$1:$O$1,0)),0)</f>
        <v>0</v>
      </c>
      <c r="O5" s="5">
        <f>IFERROR(INDEX('Input 16.1_2018VOL-YTD'!$C$4:$N$300, MATCH($C5,'Input 16.1_2018VOL-YTD'!$R$4:$R$300,0),MATCH(O$2,'Input 16.1_2018VOL-YTD'!$C$1:$N$1,0))/INDEX('Input 16_2018CUST-YTD'!$D$4:$O$300,MATCH($C5,'Input 16_2018CUST-YTD'!$S$4:$S$300,0),MATCH(O$2,'Input 16_2018CUST-YTD'!$C$1:$O$1,0)),0)</f>
        <v>0</v>
      </c>
      <c r="P5" s="271">
        <f t="shared" si="1"/>
        <v>0</v>
      </c>
      <c r="Q5" s="261">
        <f t="shared" si="2"/>
        <v>0</v>
      </c>
      <c r="S5" s="5">
        <f>IFERROR(INDEX('Input 3.1_2019VOL-YTD'!$C$4:$N$300, MATCH($C5,'Input 3.1_2019VOL-YTD'!$R$4:$R$300,0),MATCH(S$2,'Input 3.1_2019VOL-YTD'!$C$1:$N$1,0))/INDEX('Input 3_2019CUST-YTD'!$C$4:$N$300,MATCH($C5,'Input 3_2019CUST-YTD'!$S$4:$S$300,0),MATCH(S$2,'Input 3_2019CUST-YTD'!$C$1:$N$1,0)),0)</f>
        <v>0</v>
      </c>
      <c r="T5" s="5">
        <f>IFERROR(INDEX('Input 3.1_2019VOL-YTD'!$C$4:$N$300, MATCH($C5,'Input 3.1_2019VOL-YTD'!$R$4:$R$300,0),MATCH(T$2,'Input 3.1_2019VOL-YTD'!$C$1:$N$1,0))/INDEX('Input 3_2019CUST-YTD'!$C$4:$N$300,MATCH($C5,'Input 3_2019CUST-YTD'!$S$4:$S$300,0),MATCH(T$2,'Input 3_2019CUST-YTD'!$C$1:$N$1,0)),0)</f>
        <v>0</v>
      </c>
      <c r="U5" s="5">
        <f>IFERROR(INDEX('Input 3.1_2019VOL-YTD'!$C$4:$N$300, MATCH($C5,'Input 3.1_2019VOL-YTD'!$R$4:$R$300,0),MATCH(U$2,'Input 3.1_2019VOL-YTD'!$C$1:$N$1,0))/INDEX('Input 3_2019CUST-YTD'!$C$4:$N$300,MATCH($C5,'Input 3_2019CUST-YTD'!$S$4:$S$300,0),MATCH(U$2,'Input 3_2019CUST-YTD'!$C$1:$N$1,0)),0)</f>
        <v>0</v>
      </c>
      <c r="V5" s="5">
        <f>IFERROR(INDEX('Input 3.1_2019VOL-YTD'!$C$4:$N$300, MATCH($C5,'Input 3.1_2019VOL-YTD'!$R$4:$R$300,0),MATCH(V$2,'Input 3.1_2019VOL-YTD'!$C$1:$N$1,0))/INDEX('Input 3_2019CUST-YTD'!$C$4:$N$300,MATCH($C5,'Input 3_2019CUST-YTD'!$S$4:$S$300,0),MATCH(V$2,'Input 3_2019CUST-YTD'!$C$1:$N$1,0)),0)</f>
        <v>0</v>
      </c>
      <c r="W5" s="5">
        <f>IFERROR(INDEX('Input 3.1_2019VOL-YTD'!$C$4:$N$300, MATCH($C5,'Input 3.1_2019VOL-YTD'!$R$4:$R$300,0),MATCH(W$2,'Input 3.1_2019VOL-YTD'!$C$1:$N$1,0))/INDEX('Input 3_2019CUST-YTD'!$C$4:$N$300,MATCH($C5,'Input 3_2019CUST-YTD'!$S$4:$S$300,0),MATCH(W$2,'Input 3_2019CUST-YTD'!$C$1:$N$1,0)),0)</f>
        <v>0</v>
      </c>
      <c r="X5" s="5">
        <f>IFERROR(INDEX('Input 3.1_2019VOL-YTD'!$C$4:$N$300, MATCH($C5,'Input 3.1_2019VOL-YTD'!$R$4:$R$300,0),MATCH(X$2,'Input 3.1_2019VOL-YTD'!$C$1:$N$1,0))/INDEX('Input 3_2019CUST-YTD'!$C$4:$N$300,MATCH($C5,'Input 3_2019CUST-YTD'!$S$4:$S$300,0),MATCH(X$2,'Input 3_2019CUST-YTD'!$C$1:$N$1,0)),0)</f>
        <v>0</v>
      </c>
      <c r="Y5" s="5">
        <f>IFERROR(INDEX('Input 3.1_2019VOL-YTD'!$C$4:$N$300, MATCH($C5,'Input 3.1_2019VOL-YTD'!$R$4:$R$300,0),MATCH(Y$2,'Input 3.1_2019VOL-YTD'!$C$1:$N$1,0))/INDEX('Input 3_2019CUST-YTD'!$C$4:$N$300,MATCH($C5,'Input 3_2019CUST-YTD'!$S$4:$S$300,0),MATCH(Y$2,'Input 3_2019CUST-YTD'!$C$1:$N$1,0)),0)</f>
        <v>0</v>
      </c>
      <c r="Z5" s="5">
        <f>IFERROR(INDEX('Input 3.1_2019VOL-YTD'!$C$4:$N$300, MATCH($C5,'Input 3.1_2019VOL-YTD'!$R$4:$R$300,0),MATCH(Z$2,'Input 3.1_2019VOL-YTD'!$C$1:$N$1,0))/INDEX('Input 3_2019CUST-YTD'!$C$4:$N$300,MATCH($C5,'Input 3_2019CUST-YTD'!$S$4:$S$300,0),MATCH(Z$2,'Input 3_2019CUST-YTD'!$C$1:$N$1,0)),0)</f>
        <v>0</v>
      </c>
      <c r="AA5" s="5">
        <f>IFERROR(INDEX('Input 3.1_2019VOL-YTD'!$C$4:$N$300, MATCH($C5,'Input 3.1_2019VOL-YTD'!$R$4:$R$300,0),MATCH(AA$2,'Input 3.1_2019VOL-YTD'!$C$1:$N$1,0))/INDEX('Input 3_2019CUST-YTD'!$C$4:$N$300,MATCH($C5,'Input 3_2019CUST-YTD'!$S$4:$S$300,0),MATCH(AA$2,'Input 3_2019CUST-YTD'!$C$1:$N$1,0)),0)</f>
        <v>0</v>
      </c>
      <c r="AB5" s="5">
        <f>IFERROR(INDEX('Input 3.1_2019VOL-YTD'!$C$4:$N$300, MATCH($C5,'Input 3.1_2019VOL-YTD'!$R$4:$R$300,0),MATCH(AB$2,'Input 3.1_2019VOL-YTD'!$C$1:$N$1,0))/INDEX('Input 3_2019CUST-YTD'!$C$4:$N$300,MATCH($C5,'Input 3_2019CUST-YTD'!$S$4:$S$300,0),MATCH(AB$2,'Input 3_2019CUST-YTD'!$C$1:$N$1,0)),0)</f>
        <v>0</v>
      </c>
      <c r="AC5" s="5">
        <f>IFERROR(INDEX('Input 3.1_2019VOL-YTD'!$C$4:$N$300, MATCH($C5,'Input 3.1_2019VOL-YTD'!$R$4:$R$300,0),MATCH(AC$2,'Input 3.1_2019VOL-YTD'!$C$1:$N$1,0))/INDEX('Input 3_2019CUST-YTD'!$C$4:$N$300,MATCH($C5,'Input 3_2019CUST-YTD'!$S$4:$S$300,0),MATCH(AC$2,'Input 3_2019CUST-YTD'!$C$1:$N$1,0)),0)</f>
        <v>0</v>
      </c>
      <c r="AD5" s="5">
        <f>IFERROR(INDEX('Input 3.1_2019VOL-YTD'!$C$4:$N$300, MATCH($C5,'Input 3.1_2019VOL-YTD'!$R$4:$R$300,0),MATCH(AD$2,'Input 3.1_2019VOL-YTD'!$C$1:$N$1,0))/INDEX('Input 3_2019CUST-YTD'!$C$4:$N$300,MATCH($C5,'Input 3_2019CUST-YTD'!$S$4:$S$300,0),MATCH(AD$2,'Input 3_2019CUST-YTD'!$C$1:$N$1,0)),0)</f>
        <v>0</v>
      </c>
      <c r="AE5" s="272">
        <f t="shared" si="3"/>
        <v>0</v>
      </c>
      <c r="AF5" s="261">
        <f t="shared" si="4"/>
        <v>1</v>
      </c>
      <c r="AH5" s="262">
        <f>IFERROR(INDEX('Input 4.1_2020VOL-YTD'!$C$4:$O$300, MATCH($C5,'Input 4.1_2020VOL-YTD'!$R$4:$R$300,0),MATCH(AH$2,'Input 4.1_2020VOL-YTD'!$C$1:$O$1,0))/INDEX('Input 4_2020CUST-YTD'!$C$4:O$300,MATCH($C5,'Input 4_2020CUST-YTD'!$S$4:$S$300,0),MATCH(AH$2,'Input 4_2020CUST-YTD'!$C$1:$O$1,0)),0)</f>
        <v>0</v>
      </c>
      <c r="AI5" s="262">
        <f>IFERROR(INDEX('Input 4.1_2020VOL-YTD'!$C$4:$O$300, MATCH($C5,'Input 4.1_2020VOL-YTD'!$R$4:$R$300,0),MATCH(AI$2,'Input 4.1_2020VOL-YTD'!$C$1:$O$1,0))/INDEX('Input 4_2020CUST-YTD'!$C$4:P$300,MATCH($C5,'Input 4_2020CUST-YTD'!$S$4:$S$300,0),MATCH(AI$2,'Input 4_2020CUST-YTD'!$C$1:$O$1,0)),0)</f>
        <v>0</v>
      </c>
      <c r="AJ5" s="262">
        <f>IFERROR(INDEX('Input 4.1_2020VOL-YTD'!$C$4:$O$300, MATCH($C5,'Input 4.1_2020VOL-YTD'!$R$4:$R$300,0),MATCH(AJ$2,'Input 4.1_2020VOL-YTD'!$C$1:$O$1,0))/INDEX('Input 4_2020CUST-YTD'!$C$4:Q$300,MATCH($C5,'Input 4_2020CUST-YTD'!$S$4:$S$300,0),MATCH(AJ$2,'Input 4_2020CUST-YTD'!$C$1:$O$1,0)),0)</f>
        <v>0</v>
      </c>
      <c r="AK5" s="262">
        <f>IFERROR(INDEX('Input 4.1_2020VOL-YTD'!$C$4:$O$300, MATCH($C5,'Input 4.1_2020VOL-YTD'!$R$4:$R$300,0),MATCH(AK$2,'Input 4.1_2020VOL-YTD'!$C$1:$O$1,0))/INDEX('Input 4_2020CUST-YTD'!$C$4:R$300,MATCH($C5,'Input 4_2020CUST-YTD'!$S$4:$S$300,0),MATCH(AK$2,'Input 4_2020CUST-YTD'!$C$1:$O$1,0)),0)</f>
        <v>0</v>
      </c>
      <c r="AL5" s="262">
        <f>IFERROR(INDEX('Input 4.1_2020VOL-YTD'!$C$4:$O$300, MATCH($C5,'Input 4.1_2020VOL-YTD'!$R$4:$R$300,0),MATCH(AL$2,'Input 4.1_2020VOL-YTD'!$C$1:$O$1,0))/INDEX('Input 4_2020CUST-YTD'!$C$4:S$300,MATCH($C5,'Input 4_2020CUST-YTD'!$S$4:$S$300,0),MATCH(AL$2,'Input 4_2020CUST-YTD'!$C$1:$O$1,0)),0)</f>
        <v>0</v>
      </c>
      <c r="AM5" s="262">
        <f>IFERROR(INDEX('Input 4.1_2020VOL-YTD'!$C$4:$O$300, MATCH($C5,'Input 4.1_2020VOL-YTD'!$R$4:$R$300,0),MATCH(AM$2,'Input 4.1_2020VOL-YTD'!$C$1:$O$1,0))/INDEX('Input 4_2020CUST-YTD'!$C$4:T$300,MATCH($C5,'Input 4_2020CUST-YTD'!$S$4:$S$300,0),MATCH(AM$2,'Input 4_2020CUST-YTD'!$C$1:$O$1,0)),0)</f>
        <v>0</v>
      </c>
      <c r="AN5" s="262">
        <f>IFERROR(INDEX('Input 4.1_2020VOL-YTD'!$C$4:$O$300, MATCH($C5,'Input 4.1_2020VOL-YTD'!$R$4:$R$300,0),MATCH(AN$2,'Input 4.1_2020VOL-YTD'!$C$1:$O$1,0))/INDEX('Input 4_2020CUST-YTD'!$C$4:U$300,MATCH($C5,'Input 4_2020CUST-YTD'!$S$4:$S$300,0),MATCH(AN$2,'Input 4_2020CUST-YTD'!$C$1:$O$1,0)),0)</f>
        <v>0</v>
      </c>
      <c r="AO5" s="262">
        <f>IFERROR(INDEX('Input 4.1_2020VOL-YTD'!$C$4:$O$300, MATCH($C5,'Input 4.1_2020VOL-YTD'!$R$4:$R$300,0),MATCH(AO$2,'Input 4.1_2020VOL-YTD'!$C$1:$O$1,0))/INDEX('Input 4_2020CUST-YTD'!$C$4:V$300,MATCH($C5,'Input 4_2020CUST-YTD'!$S$4:$S$300,0),MATCH(AO$2,'Input 4_2020CUST-YTD'!$C$1:$O$1,0)),0)</f>
        <v>0</v>
      </c>
      <c r="AP5" s="262">
        <f>IFERROR(INDEX('Input 4.1_2020VOL-YTD'!$C$4:$O$300, MATCH($C5,'Input 4.1_2020VOL-YTD'!$R$4:$R$300,0),MATCH(AP$2,'Input 4.1_2020VOL-YTD'!$C$1:$O$1,0))/INDEX('Input 4_2020CUST-YTD'!$C$4:W$300,MATCH($C5,'Input 4_2020CUST-YTD'!$S$4:$S$300,0),MATCH(AP$2,'Input 4_2020CUST-YTD'!$C$1:$O$1,0)),0)</f>
        <v>0</v>
      </c>
      <c r="AQ5" s="262">
        <f>IFERROR(INDEX('Input 4.1_2020VOL-YTD'!$C$4:$O$300, MATCH($C5,'Input 4.1_2020VOL-YTD'!$R$4:$R$300,0),MATCH(AQ$2,'Input 4.1_2020VOL-YTD'!$C$1:$O$1,0))/INDEX('Input 4_2020CUST-YTD'!$C$4:X$300,MATCH($C5,'Input 4_2020CUST-YTD'!$S$4:$S$300,0),MATCH(AQ$2,'Input 4_2020CUST-YTD'!$C$1:$O$1,0)),0)</f>
        <v>0</v>
      </c>
      <c r="AR5" s="262">
        <f>IFERROR(INDEX('Input 4.1_2020VOL-YTD'!$C$4:$O$300, MATCH($C5,'Input 4.1_2020VOL-YTD'!$R$4:$R$300,0),MATCH(AR$2,'Input 4.1_2020VOL-YTD'!$C$1:$O$1,0))/INDEX('Input 4_2020CUST-YTD'!$C$4:Y$300,MATCH($C5,'Input 4_2020CUST-YTD'!$S$4:$S$300,0),MATCH(AR$2,'Input 4_2020CUST-YTD'!$C$1:$O$1,0)),0)</f>
        <v>0</v>
      </c>
      <c r="AS5" s="262">
        <f>IFERROR(INDEX('Input 4.1_2020VOL-YTD'!$C$4:$O$300, MATCH($C5,'Input 4.1_2020VOL-YTD'!$R$4:$R$300,0),MATCH(AS$2,'Input 4.1_2020VOL-YTD'!$C$1:$O$1,0))/INDEX('Input 4_2020CUST-YTD'!$C$4:Z$300,MATCH($C5,'Input 4_2020CUST-YTD'!$S$4:$S$300,0),MATCH(AS$2,'Input 4_2020CUST-YTD'!$C$1:$O$1,0)),0)</f>
        <v>0</v>
      </c>
      <c r="AT5" s="190">
        <f t="shared" si="5"/>
        <v>0</v>
      </c>
      <c r="AU5" s="261">
        <f t="shared" si="6"/>
        <v>1</v>
      </c>
      <c r="AW5" s="1">
        <f>IFERROR(INDEX('Input 5.1_2021VOL-YTD'!$C$3:$N$150, MATCH($C5,'Input 5.1_2021VOL-YTD'!$R$3:$R$150,0),MATCH(AW$2,'Input 5.1_2021VOL-YTD'!$C$1:$N$1,0))/INDEX('Input 5_2021CUST-YTD'!$C$3:$N$150,MATCH($C5,'Input 5_2021CUST-YTD'!$S$3:$S$150,0),MATCH(AW$2,'Input 5_2021CUST-YTD'!$C$1:$N$1,0)),0)</f>
        <v>0</v>
      </c>
      <c r="AX5" s="1">
        <f>IFERROR(INDEX('Input 5.1_2021VOL-YTD'!$C$3:$N$150, MATCH($C5,'Input 5.1_2021VOL-YTD'!$R$3:$R$150,0),MATCH(AX$2,'Input 5.1_2021VOL-YTD'!$C$1:$N$1,0))/INDEX('Input 5_2021CUST-YTD'!$C$3:$N$150,MATCH($C5,'Input 5_2021CUST-YTD'!$S$3:$S$150,0),MATCH(AX$2,'Input 5_2021CUST-YTD'!$C$1:$N$1,0)),0)</f>
        <v>0</v>
      </c>
      <c r="AY5" s="1">
        <f>IFERROR(INDEX('Input 5.1_2021VOL-YTD'!$C$3:$N$150, MATCH($C5,'Input 5.1_2021VOL-YTD'!$R$3:$R$150,0),MATCH(AY$2,'Input 5.1_2021VOL-YTD'!$C$1:$N$1,0))/INDEX('Input 5_2021CUST-YTD'!$C$3:$N$150,MATCH($C5,'Input 5_2021CUST-YTD'!$S$3:$S$150,0),MATCH(AY$2,'Input 5_2021CUST-YTD'!$C$1:$N$1,0)),0)</f>
        <v>0</v>
      </c>
      <c r="AZ5" s="1">
        <f>IFERROR(INDEX('Input 5.1_2021VOL-YTD'!$C$3:$N$150, MATCH($C5,'Input 5.1_2021VOL-YTD'!$R$3:$R$150,0),MATCH(AZ$2,'Input 5.1_2021VOL-YTD'!$C$1:$N$1,0))/INDEX('Input 5_2021CUST-YTD'!$C$3:$N$150,MATCH($C5,'Input 5_2021CUST-YTD'!$S$3:$S$150,0),MATCH(AZ$2,'Input 5_2021CUST-YTD'!$C$1:$N$1,0)),0)</f>
        <v>0</v>
      </c>
      <c r="BA5" s="1">
        <f>IFERROR(INDEX('Input 5.1_2021VOL-YTD'!$C$3:$N$150, MATCH($C5,'Input 5.1_2021VOL-YTD'!$R$3:$R$150,0),MATCH(BA$2,'Input 5.1_2021VOL-YTD'!$C$1:$N$1,0))/INDEX('Input 5_2021CUST-YTD'!$C$3:$N$150,MATCH($C5,'Input 5_2021CUST-YTD'!$S$3:$S$150,0),MATCH(BA$2,'Input 5_2021CUST-YTD'!$C$1:$N$1,0)),0)</f>
        <v>0</v>
      </c>
      <c r="BB5" s="1">
        <f>IFERROR(INDEX('Input 5.1_2021VOL-YTD'!$C$3:$N$150, MATCH($C5,'Input 5.1_2021VOL-YTD'!$R$3:$R$150,0),MATCH(BB$2,'Input 5.1_2021VOL-YTD'!$C$1:$N$1,0))/INDEX('Input 5_2021CUST-YTD'!$C$3:$N$150,MATCH($C5,'Input 5_2021CUST-YTD'!$S$3:$S$150,0),MATCH(BB$2,'Input 5_2021CUST-YTD'!$C$1:$N$1,0)),0)</f>
        <v>0</v>
      </c>
      <c r="BC5" s="1">
        <f>IFERROR(INDEX('Input 5.1_2021VOL-YTD'!$C$3:$N$150, MATCH($C5,'Input 5.1_2021VOL-YTD'!$R$3:$R$150,0),MATCH(BC$2,'Input 5.1_2021VOL-YTD'!$C$1:$N$1,0))/INDEX('Input 5_2021CUST-YTD'!$C$3:$N$150,MATCH($C5,'Input 5_2021CUST-YTD'!$S$3:$S$150,0),MATCH(BC$2,'Input 5_2021CUST-YTD'!$C$1:$N$1,0)),0)</f>
        <v>0</v>
      </c>
      <c r="BD5" s="1">
        <f>IFERROR(INDEX('Input 5.1_2021VOL-YTD'!$C$3:$N$150, MATCH($C5,'Input 5.1_2021VOL-YTD'!$R$3:$R$150,0),MATCH(BD$2,'Input 5.1_2021VOL-YTD'!$C$1:$N$1,0))/INDEX('Input 5_2021CUST-YTD'!$C$3:$N$150,MATCH($C5,'Input 5_2021CUST-YTD'!$S$3:$S$150,0),MATCH(BD$2,'Input 5_2021CUST-YTD'!$C$1:$N$1,0)),0)</f>
        <v>0</v>
      </c>
      <c r="BE5" s="1">
        <f>IFERROR(INDEX('Input 5.1_2021VOL-YTD'!$C$3:$N$150, MATCH($C5,'Input 5.1_2021VOL-YTD'!$R$3:$R$150,0),MATCH(BE$2,'Input 5.1_2021VOL-YTD'!$C$1:$N$1,0))/INDEX('Input 5_2021CUST-YTD'!$C$3:$N$150,MATCH($C5,'Input 5_2021CUST-YTD'!$S$3:$S$150,0),MATCH(BE$2,'Input 5_2021CUST-YTD'!$C$1:$N$1,0)),0)</f>
        <v>0</v>
      </c>
      <c r="BF5" s="1">
        <f>IFERROR(INDEX('Input 5.1_2021VOL-YTD'!$C$3:$N$150, MATCH($C5,'Input 5.1_2021VOL-YTD'!$R$3:$R$150,0),MATCH(BF$2,'Input 5.1_2021VOL-YTD'!$C$1:$N$1,0))/INDEX('Input 5_2021CUST-YTD'!$C$3:$N$150,MATCH($C5,'Input 5_2021CUST-YTD'!$S$3:$S$150,0),MATCH(BF$2,'Input 5_2021CUST-YTD'!$C$1:$N$1,0)),0)</f>
        <v>0</v>
      </c>
      <c r="BG5" s="1">
        <f>IFERROR(INDEX('Input 5.1_2021VOL-YTD'!$C$3:$N$150, MATCH($C5,'Input 5.1_2021VOL-YTD'!$R$3:$R$150,0),MATCH(BG$2,'Input 5.1_2021VOL-YTD'!$C$1:$N$1,0))/INDEX('Input 5_2021CUST-YTD'!$C$3:$N$150,MATCH($C5,'Input 5_2021CUST-YTD'!$S$3:$S$150,0),MATCH(BG$2,'Input 5_2021CUST-YTD'!$C$1:$N$1,0)),0)</f>
        <v>0</v>
      </c>
      <c r="BH5" s="1">
        <f>IFERROR(INDEX('Input 5.1_2021VOL-YTD'!$C$3:$N$150, MATCH($C5,'Input 5.1_2021VOL-YTD'!$R$3:$R$150,0),MATCH(BH$2,'Input 5.1_2021VOL-YTD'!$C$1:$N$1,0))/INDEX('Input 5_2021CUST-YTD'!$C$3:$N$150,MATCH($C5,'Input 5_2021CUST-YTD'!$S$3:$S$150,0),MATCH(BH$2,'Input 5_2021CUST-YTD'!$C$1:$N$1,0)),0)</f>
        <v>0</v>
      </c>
      <c r="BI5" s="190">
        <f t="shared" si="7"/>
        <v>0</v>
      </c>
      <c r="BJ5" s="261">
        <f t="shared" si="8"/>
        <v>1</v>
      </c>
    </row>
    <row r="6" spans="1:62">
      <c r="A6" s="261" t="s">
        <v>8</v>
      </c>
      <c r="B6" s="261" t="s">
        <v>15</v>
      </c>
      <c r="C6" s="261" t="s">
        <v>30</v>
      </c>
      <c r="D6" s="5">
        <f>IFERROR(INDEX('Input 16.1_2018VOL-YTD'!$C$4:$N$300, MATCH($C6,'Input 16.1_2018VOL-YTD'!$R$4:$R$300,0),MATCH(D$2,'Input 16.1_2018VOL-YTD'!$C$1:$N$1,0))/INDEX('Input 16_2018CUST-YTD'!$D$4:$O$300,MATCH($C6,'Input 16_2018CUST-YTD'!$S$4:$S$300,0),MATCH(D$2,'Input 16_2018CUST-YTD'!$C$1:$O$1,0)),0)</f>
        <v>40.972475051392585</v>
      </c>
      <c r="E6" s="5">
        <f>IFERROR(INDEX('Input 16.1_2018VOL-YTD'!$C$4:$N$300, MATCH($C6,'Input 16.1_2018VOL-YTD'!$R$4:$R$300,0),MATCH(E$2,'Input 16.1_2018VOL-YTD'!$C$1:$N$1,0))/INDEX('Input 16_2018CUST-YTD'!$D$4:$O$300,MATCH($C6,'Input 16_2018CUST-YTD'!$S$4:$S$300,0),MATCH(E$2,'Input 16_2018CUST-YTD'!$C$1:$O$1,0)),0)</f>
        <v>28.786216497722137</v>
      </c>
      <c r="F6" s="5">
        <f>IFERROR(INDEX('Input 16.1_2018VOL-YTD'!$C$4:$N$300, MATCH($C6,'Input 16.1_2018VOL-YTD'!$R$4:$R$300,0),MATCH(F$2,'Input 16.1_2018VOL-YTD'!$C$1:$N$1,0))/INDEX('Input 16_2018CUST-YTD'!$D$4:$O$300,MATCH($C6,'Input 16_2018CUST-YTD'!$S$4:$S$300,0),MATCH(F$2,'Input 16_2018CUST-YTD'!$C$1:$O$1,0)),0)</f>
        <v>26.233502916156226</v>
      </c>
      <c r="G6" s="5">
        <f>IFERROR(INDEX('Input 16.1_2018VOL-YTD'!$C$4:$N$300, MATCH($C6,'Input 16.1_2018VOL-YTD'!$R$4:$R$300,0),MATCH(G$2,'Input 16.1_2018VOL-YTD'!$C$1:$N$1,0))/INDEX('Input 16_2018CUST-YTD'!$D$4:$O$300,MATCH($C6,'Input 16_2018CUST-YTD'!$S$4:$S$300,0),MATCH(G$2,'Input 16_2018CUST-YTD'!$C$1:$O$1,0)),0)</f>
        <v>25.538111872527971</v>
      </c>
      <c r="H6" s="5">
        <f>IFERROR(INDEX('Input 16.1_2018VOL-YTD'!$C$4:$N$300, MATCH($C6,'Input 16.1_2018VOL-YTD'!$R$4:$R$300,0),MATCH(H$2,'Input 16.1_2018VOL-YTD'!$C$1:$N$1,0))/INDEX('Input 16_2018CUST-YTD'!$D$4:$O$300,MATCH($C6,'Input 16_2018CUST-YTD'!$S$4:$S$300,0),MATCH(H$2,'Input 16_2018CUST-YTD'!$C$1:$O$1,0)),0)</f>
        <v>18.348080946474024</v>
      </c>
      <c r="I6" s="5">
        <f>IFERROR(INDEX('Input 16.1_2018VOL-YTD'!$C$4:$N$300, MATCH($C6,'Input 16.1_2018VOL-YTD'!$R$4:$R$300,0),MATCH(I$2,'Input 16.1_2018VOL-YTD'!$C$1:$N$1,0))/INDEX('Input 16_2018CUST-YTD'!$D$4:$O$300,MATCH($C6,'Input 16_2018CUST-YTD'!$S$4:$S$300,0),MATCH(I$2,'Input 16_2018CUST-YTD'!$C$1:$O$1,0)),0)</f>
        <v>16.117511028730846</v>
      </c>
      <c r="J6" s="5">
        <f>IFERROR(INDEX('Input 16.1_2018VOL-YTD'!$C$4:$N$300, MATCH($C6,'Input 16.1_2018VOL-YTD'!$R$4:$R$300,0),MATCH(J$2,'Input 16.1_2018VOL-YTD'!$C$1:$N$1,0))/INDEX('Input 16_2018CUST-YTD'!$D$4:$O$300,MATCH($C6,'Input 16_2018CUST-YTD'!$S$4:$S$300,0),MATCH(J$2,'Input 16_2018CUST-YTD'!$C$1:$O$1,0)),0)</f>
        <v>12.958482753521388</v>
      </c>
      <c r="K6" s="5">
        <f>IFERROR(INDEX('Input 16.1_2018VOL-YTD'!$C$4:$N$300, MATCH($C6,'Input 16.1_2018VOL-YTD'!$R$4:$R$300,0),MATCH(K$2,'Input 16.1_2018VOL-YTD'!$C$1:$N$1,0))/INDEX('Input 16_2018CUST-YTD'!$D$4:$O$300,MATCH($C6,'Input 16_2018CUST-YTD'!$S$4:$S$300,0),MATCH(K$2,'Input 16_2018CUST-YTD'!$C$1:$O$1,0)),0)</f>
        <v>12.314603297697978</v>
      </c>
      <c r="L6" s="5">
        <f>IFERROR(INDEX('Input 16.1_2018VOL-YTD'!$C$4:$N$300, MATCH($C6,'Input 16.1_2018VOL-YTD'!$R$4:$R$300,0),MATCH(L$2,'Input 16.1_2018VOL-YTD'!$C$1:$N$1,0))/INDEX('Input 16_2018CUST-YTD'!$D$4:$O$300,MATCH($C6,'Input 16_2018CUST-YTD'!$S$4:$S$300,0),MATCH(L$2,'Input 16_2018CUST-YTD'!$C$1:$O$1,0)),0)</f>
        <v>13.428492996475454</v>
      </c>
      <c r="M6" s="5">
        <f>IFERROR(INDEX('Input 16.1_2018VOL-YTD'!$C$4:$N$300, MATCH($C6,'Input 16.1_2018VOL-YTD'!$R$4:$R$300,0),MATCH(M$2,'Input 16.1_2018VOL-YTD'!$C$1:$N$1,0))/INDEX('Input 16_2018CUST-YTD'!$D$4:$O$300,MATCH($C6,'Input 16_2018CUST-YTD'!$S$4:$S$300,0),MATCH(M$2,'Input 16_2018CUST-YTD'!$C$1:$O$1,0)),0)</f>
        <v>12.320806055046253</v>
      </c>
      <c r="N6" s="5">
        <f>IFERROR(INDEX('Input 16.1_2018VOL-YTD'!$C$4:$N$300, MATCH($C6,'Input 16.1_2018VOL-YTD'!$R$4:$R$300,0),MATCH(N$2,'Input 16.1_2018VOL-YTD'!$C$1:$N$1,0))/INDEX('Input 16_2018CUST-YTD'!$D$4:$O$300,MATCH($C6,'Input 16_2018CUST-YTD'!$S$4:$S$300,0),MATCH(N$2,'Input 16_2018CUST-YTD'!$C$1:$O$1,0)),0)</f>
        <v>18.296359613028667</v>
      </c>
      <c r="O6" s="5">
        <f>IFERROR(INDEX('Input 16.1_2018VOL-YTD'!$C$4:$N$300, MATCH($C6,'Input 16.1_2018VOL-YTD'!$R$4:$R$300,0),MATCH(O$2,'Input 16.1_2018VOL-YTD'!$C$1:$N$1,0))/INDEX('Input 16_2018CUST-YTD'!$D$4:$O$300,MATCH($C6,'Input 16_2018CUST-YTD'!$S$4:$S$300,0),MATCH(O$2,'Input 16_2018CUST-YTD'!$C$1:$O$1,0)),0)</f>
        <v>28.549972918548296</v>
      </c>
      <c r="P6" s="271">
        <f t="shared" si="1"/>
        <v>40.972475051392585</v>
      </c>
      <c r="Q6" s="261">
        <f t="shared" si="2"/>
        <v>1</v>
      </c>
      <c r="S6" s="5">
        <f>IFERROR(INDEX('Input 3.1_2019VOL-YTD'!$C$4:$N$300, MATCH($C6,'Input 3.1_2019VOL-YTD'!$R$4:$R$300,0),MATCH(S$2,'Input 3.1_2019VOL-YTD'!$C$1:$N$1,0))/INDEX('Input 3_2019CUST-YTD'!$C$4:$N$300,MATCH($C6,'Input 3_2019CUST-YTD'!$S$4:$S$300,0),MATCH(S$2,'Input 3_2019CUST-YTD'!$C$1:$N$1,0)),0)</f>
        <v>35.310483947206386</v>
      </c>
      <c r="T6" s="5">
        <f>IFERROR(INDEX('Input 3.1_2019VOL-YTD'!$C$4:$N$300, MATCH($C6,'Input 3.1_2019VOL-YTD'!$R$4:$R$300,0),MATCH(T$2,'Input 3.1_2019VOL-YTD'!$C$1:$N$1,0))/INDEX('Input 3_2019CUST-YTD'!$C$4:$N$300,MATCH($C6,'Input 3_2019CUST-YTD'!$S$4:$S$300,0),MATCH(T$2,'Input 3_2019CUST-YTD'!$C$1:$N$1,0)),0)</f>
        <v>30.60797376834773</v>
      </c>
      <c r="U6" s="5">
        <f>IFERROR(INDEX('Input 3.1_2019VOL-YTD'!$C$4:$N$300, MATCH($C6,'Input 3.1_2019VOL-YTD'!$R$4:$R$300,0),MATCH(U$2,'Input 3.1_2019VOL-YTD'!$C$1:$N$1,0))/INDEX('Input 3_2019CUST-YTD'!$C$4:$N$300,MATCH($C6,'Input 3_2019CUST-YTD'!$S$4:$S$300,0),MATCH(U$2,'Input 3_2019CUST-YTD'!$C$1:$N$1,0)),0)</f>
        <v>24.428681039949513</v>
      </c>
      <c r="V6" s="5">
        <f>IFERROR(INDEX('Input 3.1_2019VOL-YTD'!$C$4:$N$300, MATCH($C6,'Input 3.1_2019VOL-YTD'!$R$4:$R$300,0),MATCH(V$2,'Input 3.1_2019VOL-YTD'!$C$1:$N$1,0))/INDEX('Input 3_2019CUST-YTD'!$C$4:$N$300,MATCH($C6,'Input 3_2019CUST-YTD'!$S$4:$S$300,0),MATCH(V$2,'Input 3_2019CUST-YTD'!$C$1:$N$1,0)),0)</f>
        <v>22.968566834351833</v>
      </c>
      <c r="W6" s="5">
        <f>IFERROR(INDEX('Input 3.1_2019VOL-YTD'!$C$4:$N$300, MATCH($C6,'Input 3.1_2019VOL-YTD'!$R$4:$R$300,0),MATCH(W$2,'Input 3.1_2019VOL-YTD'!$C$1:$N$1,0))/INDEX('Input 3_2019CUST-YTD'!$C$4:$N$300,MATCH($C6,'Input 3_2019CUST-YTD'!$S$4:$S$300,0),MATCH(W$2,'Input 3_2019CUST-YTD'!$C$1:$N$1,0)),0)</f>
        <v>18.40351031383744</v>
      </c>
      <c r="X6" s="5">
        <f>IFERROR(INDEX('Input 3.1_2019VOL-YTD'!$C$4:$N$300, MATCH($C6,'Input 3.1_2019VOL-YTD'!$R$4:$R$300,0),MATCH(X$2,'Input 3.1_2019VOL-YTD'!$C$1:$N$1,0))/INDEX('Input 3_2019CUST-YTD'!$C$4:$N$300,MATCH($C6,'Input 3_2019CUST-YTD'!$S$4:$S$300,0),MATCH(X$2,'Input 3_2019CUST-YTD'!$C$1:$N$1,0)),0)</f>
        <v>14.543945503990285</v>
      </c>
      <c r="Y6" s="5">
        <f>IFERROR(INDEX('Input 3.1_2019VOL-YTD'!$C$4:$N$300, MATCH($C6,'Input 3.1_2019VOL-YTD'!$R$4:$R$300,0),MATCH(Y$2,'Input 3.1_2019VOL-YTD'!$C$1:$N$1,0))/INDEX('Input 3_2019CUST-YTD'!$C$4:$N$300,MATCH($C6,'Input 3_2019CUST-YTD'!$S$4:$S$300,0),MATCH(Y$2,'Input 3_2019CUST-YTD'!$C$1:$N$1,0)),0)</f>
        <v>11.821299326105374</v>
      </c>
      <c r="Z6" s="5">
        <f>IFERROR(INDEX('Input 3.1_2019VOL-YTD'!$C$4:$N$300, MATCH($C6,'Input 3.1_2019VOL-YTD'!$R$4:$R$300,0),MATCH(Z$2,'Input 3.1_2019VOL-YTD'!$C$1:$N$1,0))/INDEX('Input 3_2019CUST-YTD'!$C$4:$N$300,MATCH($C6,'Input 3_2019CUST-YTD'!$S$4:$S$300,0),MATCH(Z$2,'Input 3_2019CUST-YTD'!$C$1:$N$1,0)),0)</f>
        <v>12.248504400921616</v>
      </c>
      <c r="AA6" s="5">
        <f>IFERROR(INDEX('Input 3.1_2019VOL-YTD'!$C$4:$N$300, MATCH($C6,'Input 3.1_2019VOL-YTD'!$R$4:$R$300,0),MATCH(AA$2,'Input 3.1_2019VOL-YTD'!$C$1:$N$1,0))/INDEX('Input 3_2019CUST-YTD'!$C$4:$N$300,MATCH($C6,'Input 3_2019CUST-YTD'!$S$4:$S$300,0),MATCH(AA$2,'Input 3_2019CUST-YTD'!$C$1:$N$1,0)),0)</f>
        <v>13.270916945771233</v>
      </c>
      <c r="AB6" s="5">
        <f>IFERROR(INDEX('Input 3.1_2019VOL-YTD'!$C$4:$N$300, MATCH($C6,'Input 3.1_2019VOL-YTD'!$R$4:$R$300,0),MATCH(AB$2,'Input 3.1_2019VOL-YTD'!$C$1:$N$1,0))/INDEX('Input 3_2019CUST-YTD'!$C$4:$N$300,MATCH($C6,'Input 3_2019CUST-YTD'!$S$4:$S$300,0),MATCH(AB$2,'Input 3_2019CUST-YTD'!$C$1:$N$1,0)),0)</f>
        <v>13.898740353941827</v>
      </c>
      <c r="AC6" s="5">
        <f>IFERROR(INDEX('Input 3.1_2019VOL-YTD'!$C$4:$N$300, MATCH($C6,'Input 3.1_2019VOL-YTD'!$R$4:$R$300,0),MATCH(AC$2,'Input 3.1_2019VOL-YTD'!$C$1:$N$1,0))/INDEX('Input 3_2019CUST-YTD'!$C$4:$N$300,MATCH($C6,'Input 3_2019CUST-YTD'!$S$4:$S$300,0),MATCH(AC$2,'Input 3_2019CUST-YTD'!$C$1:$N$1,0)),0)</f>
        <v>18.568282152092131</v>
      </c>
      <c r="AD6" s="5">
        <f>IFERROR(INDEX('Input 3.1_2019VOL-YTD'!$C$4:$N$300, MATCH($C6,'Input 3.1_2019VOL-YTD'!$R$4:$R$300,0),MATCH(AD$2,'Input 3.1_2019VOL-YTD'!$C$1:$N$1,0))/INDEX('Input 3_2019CUST-YTD'!$C$4:$N$300,MATCH($C6,'Input 3_2019CUST-YTD'!$S$4:$S$300,0),MATCH(AD$2,'Input 3_2019CUST-YTD'!$C$1:$N$1,0)),0)</f>
        <v>29.316491150832746</v>
      </c>
      <c r="AE6" s="272">
        <f t="shared" si="3"/>
        <v>35.310483947206386</v>
      </c>
      <c r="AF6" s="261">
        <f t="shared" si="4"/>
        <v>1</v>
      </c>
      <c r="AH6" s="262">
        <f>IFERROR(INDEX('Input 4.1_2020VOL-YTD'!$C$4:$O$300, MATCH($C6,'Input 4.1_2020VOL-YTD'!$R$4:$R$300,0),MATCH(AH$2,'Input 4.1_2020VOL-YTD'!$C$1:$O$1,0))/INDEX('Input 4_2020CUST-YTD'!$C$4:O$300,MATCH($C6,'Input 4_2020CUST-YTD'!$S$4:$S$300,0),MATCH(AH$2,'Input 4_2020CUST-YTD'!$C$1:$O$1,0)),0)</f>
        <v>33.202974894663456</v>
      </c>
      <c r="AI6" s="262">
        <f>IFERROR(INDEX('Input 4.1_2020VOL-YTD'!$C$4:$O$300, MATCH($C6,'Input 4.1_2020VOL-YTD'!$R$4:$R$300,0),MATCH(AI$2,'Input 4.1_2020VOL-YTD'!$C$1:$O$1,0))/INDEX('Input 4_2020CUST-YTD'!$C$4:P$300,MATCH($C6,'Input 4_2020CUST-YTD'!$S$4:$S$300,0),MATCH(AI$2,'Input 4_2020CUST-YTD'!$C$1:$O$1,0)),0)</f>
        <v>29.376598501296169</v>
      </c>
      <c r="AJ6" s="262">
        <f>IFERROR(INDEX('Input 4.1_2020VOL-YTD'!$C$4:$O$300, MATCH($C6,'Input 4.1_2020VOL-YTD'!$R$4:$R$300,0),MATCH(AJ$2,'Input 4.1_2020VOL-YTD'!$C$1:$O$1,0))/INDEX('Input 4_2020CUST-YTD'!$C$4:Q$300,MATCH($C6,'Input 4_2020CUST-YTD'!$S$4:$S$300,0),MATCH(AJ$2,'Input 4_2020CUST-YTD'!$C$1:$O$1,0)),0)</f>
        <v>26.543987788922937</v>
      </c>
      <c r="AK6" s="262">
        <f>IFERROR(INDEX('Input 4.1_2020VOL-YTD'!$C$4:$O$300, MATCH($C6,'Input 4.1_2020VOL-YTD'!$R$4:$R$300,0),MATCH(AK$2,'Input 4.1_2020VOL-YTD'!$C$1:$O$1,0))/INDEX('Input 4_2020CUST-YTD'!$C$4:R$300,MATCH($C6,'Input 4_2020CUST-YTD'!$S$4:$S$300,0),MATCH(AK$2,'Input 4_2020CUST-YTD'!$C$1:$O$1,0)),0)</f>
        <v>24.274547865426111</v>
      </c>
      <c r="AL6" s="262">
        <f>IFERROR(INDEX('Input 4.1_2020VOL-YTD'!$C$4:$O$300, MATCH($C6,'Input 4.1_2020VOL-YTD'!$R$4:$R$300,0),MATCH(AL$2,'Input 4.1_2020VOL-YTD'!$C$1:$O$1,0))/INDEX('Input 4_2020CUST-YTD'!$C$4:S$300,MATCH($C6,'Input 4_2020CUST-YTD'!$S$4:$S$300,0),MATCH(AL$2,'Input 4_2020CUST-YTD'!$C$1:$O$1,0)),0)</f>
        <v>22.621140463248803</v>
      </c>
      <c r="AM6" s="262">
        <f>IFERROR(INDEX('Input 4.1_2020VOL-YTD'!$C$4:$O$300, MATCH($C6,'Input 4.1_2020VOL-YTD'!$R$4:$R$300,0),MATCH(AM$2,'Input 4.1_2020VOL-YTD'!$C$1:$O$1,0))/INDEX('Input 4_2020CUST-YTD'!$C$4:T$300,MATCH($C6,'Input 4_2020CUST-YTD'!$S$4:$S$300,0),MATCH(AM$2,'Input 4_2020CUST-YTD'!$C$1:$O$1,0)),0)</f>
        <v>17.123476199507781</v>
      </c>
      <c r="AN6" s="262">
        <f>IFERROR(INDEX('Input 4.1_2020VOL-YTD'!$C$4:$O$300, MATCH($C6,'Input 4.1_2020VOL-YTD'!$R$4:$R$300,0),MATCH(AN$2,'Input 4.1_2020VOL-YTD'!$C$1:$O$1,0))/INDEX('Input 4_2020CUST-YTD'!$C$4:U$300,MATCH($C6,'Input 4_2020CUST-YTD'!$S$4:$S$300,0),MATCH(AN$2,'Input 4_2020CUST-YTD'!$C$1:$O$1,0)),0)</f>
        <v>14.617715900334394</v>
      </c>
      <c r="AO6" s="262">
        <f>IFERROR(INDEX('Input 4.1_2020VOL-YTD'!$C$4:$O$300, MATCH($C6,'Input 4.1_2020VOL-YTD'!$R$4:$R$300,0),MATCH(AO$2,'Input 4.1_2020VOL-YTD'!$C$1:$O$1,0))/INDEX('Input 4_2020CUST-YTD'!$C$4:V$300,MATCH($C6,'Input 4_2020CUST-YTD'!$S$4:$S$300,0),MATCH(AO$2,'Input 4_2020CUST-YTD'!$C$1:$O$1,0)),0)</f>
        <v>13.11551365765334</v>
      </c>
      <c r="AP6" s="262">
        <f>IFERROR(INDEX('Input 4.1_2020VOL-YTD'!$C$4:$O$300, MATCH($C6,'Input 4.1_2020VOL-YTD'!$R$4:$R$300,0),MATCH(AP$2,'Input 4.1_2020VOL-YTD'!$C$1:$O$1,0))/INDEX('Input 4_2020CUST-YTD'!$C$4:W$300,MATCH($C6,'Input 4_2020CUST-YTD'!$S$4:$S$300,0),MATCH(AP$2,'Input 4_2020CUST-YTD'!$C$1:$O$1,0)),0)</f>
        <v>13.006196585565748</v>
      </c>
      <c r="AQ6" s="262">
        <f>IFERROR(INDEX('Input 4.1_2020VOL-YTD'!$C$4:$O$300, MATCH($C6,'Input 4.1_2020VOL-YTD'!$R$4:$R$300,0),MATCH(AQ$2,'Input 4.1_2020VOL-YTD'!$C$1:$O$1,0))/INDEX('Input 4_2020CUST-YTD'!$C$4:X$300,MATCH($C6,'Input 4_2020CUST-YTD'!$S$4:$S$300,0),MATCH(AQ$2,'Input 4_2020CUST-YTD'!$C$1:$O$1,0)),0)</f>
        <v>14.097863485393717</v>
      </c>
      <c r="AR6" s="262">
        <f>IFERROR(INDEX('Input 4.1_2020VOL-YTD'!$C$4:$O$300, MATCH($C6,'Input 4.1_2020VOL-YTD'!$R$4:$R$300,0),MATCH(AR$2,'Input 4.1_2020VOL-YTD'!$C$1:$O$1,0))/INDEX('Input 4_2020CUST-YTD'!$C$4:Y$300,MATCH($C6,'Input 4_2020CUST-YTD'!$S$4:$S$300,0),MATCH(AR$2,'Input 4_2020CUST-YTD'!$C$1:$O$1,0)),0)</f>
        <v>19.823812245036226</v>
      </c>
      <c r="AS6" s="262">
        <f>IFERROR(INDEX('Input 4.1_2020VOL-YTD'!$C$4:$O$300, MATCH($C6,'Input 4.1_2020VOL-YTD'!$R$4:$R$300,0),MATCH(AS$2,'Input 4.1_2020VOL-YTD'!$C$1:$O$1,0))/INDEX('Input 4_2020CUST-YTD'!$C$4:Z$300,MATCH($C6,'Input 4_2020CUST-YTD'!$S$4:$S$300,0),MATCH(AS$2,'Input 4_2020CUST-YTD'!$C$1:$O$1,0)),0)</f>
        <v>31.796948374953882</v>
      </c>
      <c r="AT6" s="190">
        <f t="shared" si="5"/>
        <v>33.202974894663456</v>
      </c>
      <c r="AU6" s="261">
        <f t="shared" si="6"/>
        <v>1</v>
      </c>
      <c r="AW6" s="1">
        <f>IFERROR(INDEX('Input 5.1_2021VOL-YTD'!$C$3:$N$150, MATCH($C6,'Input 5.1_2021VOL-YTD'!$R$3:$R$150,0),MATCH(AW$2,'Input 5.1_2021VOL-YTD'!$C$1:$N$1,0))/INDEX('Input 5_2021CUST-YTD'!$C$3:$N$150,MATCH($C6,'Input 5_2021CUST-YTD'!$S$3:$S$150,0),MATCH(AW$2,'Input 5_2021CUST-YTD'!$C$1:$N$1,0)),0)</f>
        <v>41.778947870630972</v>
      </c>
      <c r="AX6" s="1">
        <f>IFERROR(INDEX('Input 5.1_2021VOL-YTD'!$C$3:$N$150, MATCH($C6,'Input 5.1_2021VOL-YTD'!$R$3:$R$150,0),MATCH(AX$2,'Input 5.1_2021VOL-YTD'!$C$1:$N$1,0))/INDEX('Input 5_2021CUST-YTD'!$C$3:$N$150,MATCH($C6,'Input 5_2021CUST-YTD'!$S$3:$S$150,0),MATCH(AX$2,'Input 5_2021CUST-YTD'!$C$1:$N$1,0)),0)</f>
        <v>32.03679367409557</v>
      </c>
      <c r="AY6" s="1">
        <f>IFERROR(INDEX('Input 5.1_2021VOL-YTD'!$C$3:$N$150, MATCH($C6,'Input 5.1_2021VOL-YTD'!$R$3:$R$150,0),MATCH(AY$2,'Input 5.1_2021VOL-YTD'!$C$1:$N$1,0))/INDEX('Input 5_2021CUST-YTD'!$C$3:$N$150,MATCH($C6,'Input 5_2021CUST-YTD'!$S$3:$S$150,0),MATCH(AY$2,'Input 5_2021CUST-YTD'!$C$1:$N$1,0)),0)</f>
        <v>27.363505305282228</v>
      </c>
      <c r="AZ6" s="1">
        <f>IFERROR(INDEX('Input 5.1_2021VOL-YTD'!$C$3:$N$150, MATCH($C6,'Input 5.1_2021VOL-YTD'!$R$3:$R$150,0),MATCH(AZ$2,'Input 5.1_2021VOL-YTD'!$C$1:$N$1,0))/INDEX('Input 5_2021CUST-YTD'!$C$3:$N$150,MATCH($C6,'Input 5_2021CUST-YTD'!$S$3:$S$150,0),MATCH(AZ$2,'Input 5_2021CUST-YTD'!$C$1:$N$1,0)),0)</f>
        <v>25.962221709082943</v>
      </c>
      <c r="BA6" s="1">
        <f>IFERROR(INDEX('Input 5.1_2021VOL-YTD'!$C$3:$N$150, MATCH($C6,'Input 5.1_2021VOL-YTD'!$R$3:$R$150,0),MATCH(BA$2,'Input 5.1_2021VOL-YTD'!$C$1:$N$1,0))/INDEX('Input 5_2021CUST-YTD'!$C$3:$N$150,MATCH($C6,'Input 5_2021CUST-YTD'!$S$3:$S$150,0),MATCH(BA$2,'Input 5_2021CUST-YTD'!$C$1:$N$1,0)),0)</f>
        <v>19.667431508542034</v>
      </c>
      <c r="BB6" s="1">
        <f>IFERROR(INDEX('Input 5.1_2021VOL-YTD'!$C$3:$N$150, MATCH($C6,'Input 5.1_2021VOL-YTD'!$R$3:$R$150,0),MATCH(BB$2,'Input 5.1_2021VOL-YTD'!$C$1:$N$1,0))/INDEX('Input 5_2021CUST-YTD'!$C$3:$N$150,MATCH($C6,'Input 5_2021CUST-YTD'!$S$3:$S$150,0),MATCH(BB$2,'Input 5_2021CUST-YTD'!$C$1:$N$1,0)),0)</f>
        <v>15.57852119365876</v>
      </c>
      <c r="BC6" s="1">
        <f>IFERROR(INDEX('Input 5.1_2021VOL-YTD'!$C$3:$N$150, MATCH($C6,'Input 5.1_2021VOL-YTD'!$R$3:$R$150,0),MATCH(BC$2,'Input 5.1_2021VOL-YTD'!$C$1:$N$1,0))/INDEX('Input 5_2021CUST-YTD'!$C$3:$N$150,MATCH($C6,'Input 5_2021CUST-YTD'!$S$3:$S$150,0),MATCH(BC$2,'Input 5_2021CUST-YTD'!$C$1:$N$1,0)),0)</f>
        <v>14.302660613385273</v>
      </c>
      <c r="BD6" s="1">
        <f>IFERROR(INDEX('Input 5.1_2021VOL-YTD'!$C$3:$N$150, MATCH($C6,'Input 5.1_2021VOL-YTD'!$R$3:$R$150,0),MATCH(BD$2,'Input 5.1_2021VOL-YTD'!$C$1:$N$1,0))/INDEX('Input 5_2021CUST-YTD'!$C$3:$N$150,MATCH($C6,'Input 5_2021CUST-YTD'!$S$3:$S$150,0),MATCH(BD$2,'Input 5_2021CUST-YTD'!$C$1:$N$1,0)),0)</f>
        <v>12.266667481942191</v>
      </c>
      <c r="BE6" s="1">
        <f>IFERROR(INDEX('Input 5.1_2021VOL-YTD'!$C$3:$N$150, MATCH($C6,'Input 5.1_2021VOL-YTD'!$R$3:$R$150,0),MATCH(BE$2,'Input 5.1_2021VOL-YTD'!$C$1:$N$1,0))/INDEX('Input 5_2021CUST-YTD'!$C$3:$N$150,MATCH($C6,'Input 5_2021CUST-YTD'!$S$3:$S$150,0),MATCH(BE$2,'Input 5_2021CUST-YTD'!$C$1:$N$1,0)),0)</f>
        <v>13.378750995854572</v>
      </c>
      <c r="BF6" s="1">
        <f>IFERROR(INDEX('Input 5.1_2021VOL-YTD'!$C$3:$N$150, MATCH($C6,'Input 5.1_2021VOL-YTD'!$R$3:$R$150,0),MATCH(BF$2,'Input 5.1_2021VOL-YTD'!$C$1:$N$1,0))/INDEX('Input 5_2021CUST-YTD'!$C$3:$N$150,MATCH($C6,'Input 5_2021CUST-YTD'!$S$3:$S$150,0),MATCH(BF$2,'Input 5_2021CUST-YTD'!$C$1:$N$1,0)),0)</f>
        <v>13.871538187760301</v>
      </c>
      <c r="BG6" s="1">
        <f>IFERROR(INDEX('Input 5.1_2021VOL-YTD'!$C$3:$N$150, MATCH($C6,'Input 5.1_2021VOL-YTD'!$R$3:$R$150,0),MATCH(BG$2,'Input 5.1_2021VOL-YTD'!$C$1:$N$1,0))/INDEX('Input 5_2021CUST-YTD'!$C$3:$N$150,MATCH($C6,'Input 5_2021CUST-YTD'!$S$3:$S$150,0),MATCH(BG$2,'Input 5_2021CUST-YTD'!$C$1:$N$1,0)),0)</f>
        <v>19.491983367381675</v>
      </c>
      <c r="BH6" s="1">
        <f>IFERROR(INDEX('Input 5.1_2021VOL-YTD'!$C$3:$N$150, MATCH($C6,'Input 5.1_2021VOL-YTD'!$R$3:$R$150,0),MATCH(BH$2,'Input 5.1_2021VOL-YTD'!$C$1:$N$1,0))/INDEX('Input 5_2021CUST-YTD'!$C$3:$N$150,MATCH($C6,'Input 5_2021CUST-YTD'!$S$3:$S$150,0),MATCH(BH$2,'Input 5_2021CUST-YTD'!$C$1:$N$1,0)),0)</f>
        <v>27.349357102796112</v>
      </c>
      <c r="BI6" s="190">
        <f t="shared" si="7"/>
        <v>41.778947870630972</v>
      </c>
      <c r="BJ6" s="261">
        <f t="shared" si="8"/>
        <v>1</v>
      </c>
    </row>
    <row r="7" spans="1:62">
      <c r="A7" s="261" t="s">
        <v>8</v>
      </c>
      <c r="B7" s="261" t="s">
        <v>15</v>
      </c>
      <c r="C7" s="261" t="s">
        <v>33</v>
      </c>
      <c r="D7" s="5">
        <f>IFERROR(INDEX('Input 16.1_2018VOL-YTD'!$C$4:$N$300, MATCH($C7,'Input 16.1_2018VOL-YTD'!$R$4:$R$300,0),MATCH(D$2,'Input 16.1_2018VOL-YTD'!$C$1:$N$1,0))/INDEX('Input 16_2018CUST-YTD'!$D$4:$O$300,MATCH($C7,'Input 16_2018CUST-YTD'!$S$4:$S$300,0),MATCH(D$2,'Input 16_2018CUST-YTD'!$C$1:$O$1,0)),0)</f>
        <v>19.333248259860795</v>
      </c>
      <c r="E7" s="5">
        <f>IFERROR(INDEX('Input 16.1_2018VOL-YTD'!$C$4:$N$300, MATCH($C7,'Input 16.1_2018VOL-YTD'!$R$4:$R$300,0),MATCH(E$2,'Input 16.1_2018VOL-YTD'!$C$1:$N$1,0))/INDEX('Input 16_2018CUST-YTD'!$D$4:$O$300,MATCH($C7,'Input 16_2018CUST-YTD'!$S$4:$S$300,0),MATCH(E$2,'Input 16_2018CUST-YTD'!$C$1:$O$1,0)),0)</f>
        <v>10.775704545454539</v>
      </c>
      <c r="F7" s="5">
        <f>IFERROR(INDEX('Input 16.1_2018VOL-YTD'!$C$4:$N$300, MATCH($C7,'Input 16.1_2018VOL-YTD'!$R$4:$R$300,0),MATCH(F$2,'Input 16.1_2018VOL-YTD'!$C$1:$N$1,0))/INDEX('Input 16_2018CUST-YTD'!$D$4:$O$300,MATCH($C7,'Input 16_2018CUST-YTD'!$S$4:$S$300,0),MATCH(F$2,'Input 16_2018CUST-YTD'!$C$1:$O$1,0)),0)</f>
        <v>13.063806306306295</v>
      </c>
      <c r="G7" s="5">
        <f>IFERROR(INDEX('Input 16.1_2018VOL-YTD'!$C$4:$N$300, MATCH($C7,'Input 16.1_2018VOL-YTD'!$R$4:$R$300,0),MATCH(G$2,'Input 16.1_2018VOL-YTD'!$C$1:$N$1,0))/INDEX('Input 16_2018CUST-YTD'!$D$4:$O$300,MATCH($C7,'Input 16_2018CUST-YTD'!$S$4:$S$300,0),MATCH(G$2,'Input 16_2018CUST-YTD'!$C$1:$O$1,0)),0)</f>
        <v>12.07875283446713</v>
      </c>
      <c r="H7" s="5">
        <f>IFERROR(INDEX('Input 16.1_2018VOL-YTD'!$C$4:$N$300, MATCH($C7,'Input 16.1_2018VOL-YTD'!$R$4:$R$300,0),MATCH(H$2,'Input 16.1_2018VOL-YTD'!$C$1:$N$1,0))/INDEX('Input 16_2018CUST-YTD'!$D$4:$O$300,MATCH($C7,'Input 16_2018CUST-YTD'!$S$4:$S$300,0),MATCH(H$2,'Input 16_2018CUST-YTD'!$C$1:$O$1,0)),0)</f>
        <v>8.0058258928571444</v>
      </c>
      <c r="I7" s="5">
        <f>IFERROR(INDEX('Input 16.1_2018VOL-YTD'!$C$4:$N$300, MATCH($C7,'Input 16.1_2018VOL-YTD'!$R$4:$R$300,0),MATCH(I$2,'Input 16.1_2018VOL-YTD'!$C$1:$N$1,0))/INDEX('Input 16_2018CUST-YTD'!$D$4:$O$300,MATCH($C7,'Input 16_2018CUST-YTD'!$S$4:$S$300,0),MATCH(I$2,'Input 16_2018CUST-YTD'!$C$1:$O$1,0)),0)</f>
        <v>6.7910154525386268</v>
      </c>
      <c r="J7" s="5">
        <f>IFERROR(INDEX('Input 16.1_2018VOL-YTD'!$C$4:$N$300, MATCH($C7,'Input 16.1_2018VOL-YTD'!$R$4:$R$300,0),MATCH(J$2,'Input 16.1_2018VOL-YTD'!$C$1:$N$1,0))/INDEX('Input 16_2018CUST-YTD'!$D$4:$O$300,MATCH($C7,'Input 16_2018CUST-YTD'!$S$4:$S$300,0),MATCH(J$2,'Input 16_2018CUST-YTD'!$C$1:$O$1,0)),0)</f>
        <v>4.5425490196078417</v>
      </c>
      <c r="K7" s="5">
        <f>IFERROR(INDEX('Input 16.1_2018VOL-YTD'!$C$4:$N$300, MATCH($C7,'Input 16.1_2018VOL-YTD'!$R$4:$R$300,0),MATCH(K$2,'Input 16.1_2018VOL-YTD'!$C$1:$N$1,0))/INDEX('Input 16_2018CUST-YTD'!$D$4:$O$300,MATCH($C7,'Input 16_2018CUST-YTD'!$S$4:$S$300,0),MATCH(K$2,'Input 16_2018CUST-YTD'!$C$1:$O$1,0)),0)</f>
        <v>3.9735146443514591</v>
      </c>
      <c r="L7" s="5">
        <f>IFERROR(INDEX('Input 16.1_2018VOL-YTD'!$C$4:$N$300, MATCH($C7,'Input 16.1_2018VOL-YTD'!$R$4:$R$300,0),MATCH(L$2,'Input 16.1_2018VOL-YTD'!$C$1:$N$1,0))/INDEX('Input 16_2018CUST-YTD'!$D$4:$O$300,MATCH($C7,'Input 16_2018CUST-YTD'!$S$4:$S$300,0),MATCH(L$2,'Input 16_2018CUST-YTD'!$C$1:$O$1,0)),0)</f>
        <v>7.9751632653061231</v>
      </c>
      <c r="M7" s="5">
        <f>IFERROR(INDEX('Input 16.1_2018VOL-YTD'!$C$4:$N$300, MATCH($C7,'Input 16.1_2018VOL-YTD'!$R$4:$R$300,0),MATCH(M$2,'Input 16.1_2018VOL-YTD'!$C$1:$N$1,0))/INDEX('Input 16_2018CUST-YTD'!$D$4:$O$300,MATCH($C7,'Input 16_2018CUST-YTD'!$S$4:$S$300,0),MATCH(M$2,'Input 16_2018CUST-YTD'!$C$1:$O$1,0)),0)</f>
        <v>3.5644040404040398</v>
      </c>
      <c r="N7" s="5">
        <f>IFERROR(INDEX('Input 16.1_2018VOL-YTD'!$C$4:$N$300, MATCH($C7,'Input 16.1_2018VOL-YTD'!$R$4:$R$300,0),MATCH(N$2,'Input 16.1_2018VOL-YTD'!$C$1:$N$1,0))/INDEX('Input 16_2018CUST-YTD'!$D$4:$O$300,MATCH($C7,'Input 16_2018CUST-YTD'!$S$4:$S$300,0),MATCH(N$2,'Input 16_2018CUST-YTD'!$C$1:$O$1,0)),0)</f>
        <v>7.7288514851485175</v>
      </c>
      <c r="O7" s="5">
        <f>IFERROR(INDEX('Input 16.1_2018VOL-YTD'!$C$4:$N$300, MATCH($C7,'Input 16.1_2018VOL-YTD'!$R$4:$R$300,0),MATCH(O$2,'Input 16.1_2018VOL-YTD'!$C$1:$N$1,0))/INDEX('Input 16_2018CUST-YTD'!$D$4:$O$300,MATCH($C7,'Input 16_2018CUST-YTD'!$S$4:$S$300,0),MATCH(O$2,'Input 16_2018CUST-YTD'!$C$1:$O$1,0)),0)</f>
        <v>15.585864443639011</v>
      </c>
      <c r="P7" s="271">
        <f t="shared" si="1"/>
        <v>19.333248259860795</v>
      </c>
      <c r="Q7" s="261">
        <f t="shared" si="2"/>
        <v>1</v>
      </c>
      <c r="S7" s="5">
        <f>IFERROR(INDEX('Input 3.1_2019VOL-YTD'!$C$4:$N$300, MATCH($C7,'Input 3.1_2019VOL-YTD'!$R$4:$R$300,0),MATCH(S$2,'Input 3.1_2019VOL-YTD'!$C$1:$N$1,0))/INDEX('Input 3_2019CUST-YTD'!$C$4:$N$300,MATCH($C7,'Input 3_2019CUST-YTD'!$S$4:$S$300,0),MATCH(S$2,'Input 3_2019CUST-YTD'!$C$1:$N$1,0)),0)</f>
        <v>18.588472222222229</v>
      </c>
      <c r="T7" s="5">
        <f>IFERROR(INDEX('Input 3.1_2019VOL-YTD'!$C$4:$N$300, MATCH($C7,'Input 3.1_2019VOL-YTD'!$R$4:$R$300,0),MATCH(T$2,'Input 3.1_2019VOL-YTD'!$C$1:$N$1,0))/INDEX('Input 3_2019CUST-YTD'!$C$4:$N$300,MATCH($C7,'Input 3_2019CUST-YTD'!$S$4:$S$300,0),MATCH(T$2,'Input 3_2019CUST-YTD'!$C$1:$N$1,0)),0)</f>
        <v>12.698657587548649</v>
      </c>
      <c r="U7" s="5">
        <f>IFERROR(INDEX('Input 3.1_2019VOL-YTD'!$C$4:$N$300, MATCH($C7,'Input 3.1_2019VOL-YTD'!$R$4:$R$300,0),MATCH(U$2,'Input 3.1_2019VOL-YTD'!$C$1:$N$1,0))/INDEX('Input 3_2019CUST-YTD'!$C$4:$N$300,MATCH($C7,'Input 3_2019CUST-YTD'!$S$4:$S$300,0),MATCH(U$2,'Input 3_2019CUST-YTD'!$C$1:$N$1,0)),0)</f>
        <v>11.719689320388344</v>
      </c>
      <c r="V7" s="5">
        <f>IFERROR(INDEX('Input 3.1_2019VOL-YTD'!$C$4:$N$300, MATCH($C7,'Input 3.1_2019VOL-YTD'!$R$4:$R$300,0),MATCH(V$2,'Input 3.1_2019VOL-YTD'!$C$1:$N$1,0))/INDEX('Input 3_2019CUST-YTD'!$C$4:$N$300,MATCH($C7,'Input 3_2019CUST-YTD'!$S$4:$S$300,0),MATCH(V$2,'Input 3_2019CUST-YTD'!$C$1:$N$1,0)),0)</f>
        <v>12.475234521575992</v>
      </c>
      <c r="W7" s="5">
        <f>IFERROR(INDEX('Input 3.1_2019VOL-YTD'!$C$4:$N$300, MATCH($C7,'Input 3.1_2019VOL-YTD'!$R$4:$R$300,0),MATCH(W$2,'Input 3.1_2019VOL-YTD'!$C$1:$N$1,0))/INDEX('Input 3_2019CUST-YTD'!$C$4:$N$300,MATCH($C7,'Input 3_2019CUST-YTD'!$S$4:$S$300,0),MATCH(W$2,'Input 3_2019CUST-YTD'!$C$1:$N$1,0)),0)</f>
        <v>6.7674840357599173</v>
      </c>
      <c r="X7" s="5">
        <f>IFERROR(INDEX('Input 3.1_2019VOL-YTD'!$C$4:$N$300, MATCH($C7,'Input 3.1_2019VOL-YTD'!$R$4:$R$300,0),MATCH(X$2,'Input 3.1_2019VOL-YTD'!$C$1:$N$1,0))/INDEX('Input 3_2019CUST-YTD'!$C$4:$N$300,MATCH($C7,'Input 3_2019CUST-YTD'!$S$4:$S$300,0),MATCH(X$2,'Input 3_2019CUST-YTD'!$C$1:$N$1,0)),0)</f>
        <v>6.3289265536723187</v>
      </c>
      <c r="Y7" s="5">
        <f>IFERROR(INDEX('Input 3.1_2019VOL-YTD'!$C$4:$N$300, MATCH($C7,'Input 3.1_2019VOL-YTD'!$R$4:$R$300,0),MATCH(Y$2,'Input 3.1_2019VOL-YTD'!$C$1:$N$1,0))/INDEX('Input 3_2019CUST-YTD'!$C$4:$N$300,MATCH($C7,'Input 3_2019CUST-YTD'!$S$4:$S$300,0),MATCH(Y$2,'Input 3_2019CUST-YTD'!$C$1:$N$1,0)),0)</f>
        <v>3.8956746765249521</v>
      </c>
      <c r="Z7" s="5">
        <f>IFERROR(INDEX('Input 3.1_2019VOL-YTD'!$C$4:$N$300, MATCH($C7,'Input 3.1_2019VOL-YTD'!$R$4:$R$300,0),MATCH(Z$2,'Input 3.1_2019VOL-YTD'!$C$1:$N$1,0))/INDEX('Input 3_2019CUST-YTD'!$C$4:$N$300,MATCH($C7,'Input 3_2019CUST-YTD'!$S$4:$S$300,0),MATCH(Z$2,'Input 3_2019CUST-YTD'!$C$1:$N$1,0)),0)</f>
        <v>4.2421778584391978</v>
      </c>
      <c r="AA7" s="5">
        <f>IFERROR(INDEX('Input 3.1_2019VOL-YTD'!$C$4:$N$300, MATCH($C7,'Input 3.1_2019VOL-YTD'!$R$4:$R$300,0),MATCH(AA$2,'Input 3.1_2019VOL-YTD'!$C$1:$N$1,0))/INDEX('Input 3_2019CUST-YTD'!$C$4:$N$300,MATCH($C7,'Input 3_2019CUST-YTD'!$S$4:$S$300,0),MATCH(AA$2,'Input 3_2019CUST-YTD'!$C$1:$N$1,0)),0)</f>
        <v>5.6997670250896011</v>
      </c>
      <c r="AB7" s="5">
        <f>IFERROR(INDEX('Input 3.1_2019VOL-YTD'!$C$4:$N$300, MATCH($C7,'Input 3.1_2019VOL-YTD'!$R$4:$R$300,0),MATCH(AB$2,'Input 3.1_2019VOL-YTD'!$C$1:$N$1,0))/INDEX('Input 3_2019CUST-YTD'!$C$4:$N$300,MATCH($C7,'Input 3_2019CUST-YTD'!$S$4:$S$300,0),MATCH(AB$2,'Input 3_2019CUST-YTD'!$C$1:$N$1,0)),0)</f>
        <v>4.6471005917159758</v>
      </c>
      <c r="AC7" s="5">
        <f>IFERROR(INDEX('Input 3.1_2019VOL-YTD'!$C$4:$N$300, MATCH($C7,'Input 3.1_2019VOL-YTD'!$R$4:$R$300,0),MATCH(AC$2,'Input 3.1_2019VOL-YTD'!$C$1:$N$1,0))/INDEX('Input 3_2019CUST-YTD'!$C$4:$N$300,MATCH($C7,'Input 3_2019CUST-YTD'!$S$4:$S$300,0),MATCH(AC$2,'Input 3_2019CUST-YTD'!$C$1:$N$1,0)),0)</f>
        <v>8.8361032028469797</v>
      </c>
      <c r="AD7" s="5">
        <f>IFERROR(INDEX('Input 3.1_2019VOL-YTD'!$C$4:$N$300, MATCH($C7,'Input 3.1_2019VOL-YTD'!$R$4:$R$300,0),MATCH(AD$2,'Input 3.1_2019VOL-YTD'!$C$1:$N$1,0))/INDEX('Input 3_2019CUST-YTD'!$C$4:$N$300,MATCH($C7,'Input 3_2019CUST-YTD'!$S$4:$S$300,0),MATCH(AD$2,'Input 3_2019CUST-YTD'!$C$1:$N$1,0)),0)</f>
        <v>13.717638640429339</v>
      </c>
      <c r="AE7" s="272">
        <f t="shared" si="3"/>
        <v>18.588472222222229</v>
      </c>
      <c r="AF7" s="261">
        <f t="shared" si="4"/>
        <v>1</v>
      </c>
      <c r="AH7" s="262">
        <f>IFERROR(INDEX('Input 4.1_2020VOL-YTD'!$C$4:$O$300, MATCH($C7,'Input 4.1_2020VOL-YTD'!$R$4:$R$300,0),MATCH(AH$2,'Input 4.1_2020VOL-YTD'!$C$1:$O$1,0))/INDEX('Input 4_2020CUST-YTD'!$C$4:O$300,MATCH($C7,'Input 4_2020CUST-YTD'!$S$4:$S$300,0),MATCH(AH$2,'Input 4_2020CUST-YTD'!$C$1:$O$1,0)),0)</f>
        <v>15.744042553191498</v>
      </c>
      <c r="AI7" s="262">
        <f>IFERROR(INDEX('Input 4.1_2020VOL-YTD'!$C$4:$O$300, MATCH($C7,'Input 4.1_2020VOL-YTD'!$R$4:$R$300,0),MATCH(AI$2,'Input 4.1_2020VOL-YTD'!$C$1:$O$1,0))/INDEX('Input 4_2020CUST-YTD'!$C$4:P$300,MATCH($C7,'Input 4_2020CUST-YTD'!$S$4:$S$300,0),MATCH(AI$2,'Input 4_2020CUST-YTD'!$C$1:$O$1,0)),0)</f>
        <v>14.544920071047953</v>
      </c>
      <c r="AJ7" s="262">
        <f>IFERROR(INDEX('Input 4.1_2020VOL-YTD'!$C$4:$O$300, MATCH($C7,'Input 4.1_2020VOL-YTD'!$R$4:$R$300,0),MATCH(AJ$2,'Input 4.1_2020VOL-YTD'!$C$1:$O$1,0))/INDEX('Input 4_2020CUST-YTD'!$C$4:Q$300,MATCH($C7,'Input 4_2020CUST-YTD'!$S$4:$S$300,0),MATCH(AJ$2,'Input 4_2020CUST-YTD'!$C$1:$O$1,0)),0)</f>
        <v>12.197640845070421</v>
      </c>
      <c r="AK7" s="262">
        <f>IFERROR(INDEX('Input 4.1_2020VOL-YTD'!$C$4:$O$300, MATCH($C7,'Input 4.1_2020VOL-YTD'!$R$4:$R$300,0),MATCH(AK$2,'Input 4.1_2020VOL-YTD'!$C$1:$O$1,0))/INDEX('Input 4_2020CUST-YTD'!$C$4:R$300,MATCH($C7,'Input 4_2020CUST-YTD'!$S$4:$S$300,0),MATCH(AK$2,'Input 4_2020CUST-YTD'!$C$1:$O$1,0)),0)</f>
        <v>11.811712802768172</v>
      </c>
      <c r="AL7" s="262">
        <f>IFERROR(INDEX('Input 4.1_2020VOL-YTD'!$C$4:$O$300, MATCH($C7,'Input 4.1_2020VOL-YTD'!$R$4:$R$300,0),MATCH(AL$2,'Input 4.1_2020VOL-YTD'!$C$1:$O$1,0))/INDEX('Input 4_2020CUST-YTD'!$C$4:S$300,MATCH($C7,'Input 4_2020CUST-YTD'!$S$4:$S$300,0),MATCH(AL$2,'Input 4_2020CUST-YTD'!$C$1:$O$1,0)),0)</f>
        <v>10.85744347826086</v>
      </c>
      <c r="AM7" s="262">
        <f>IFERROR(INDEX('Input 4.1_2020VOL-YTD'!$C$4:$O$300, MATCH($C7,'Input 4.1_2020VOL-YTD'!$R$4:$R$300,0),MATCH(AM$2,'Input 4.1_2020VOL-YTD'!$C$1:$O$1,0))/INDEX('Input 4_2020CUST-YTD'!$C$4:T$300,MATCH($C7,'Input 4_2020CUST-YTD'!$S$4:$S$300,0),MATCH(AM$2,'Input 4_2020CUST-YTD'!$C$1:$O$1,0)),0)</f>
        <v>7.0076068376068292</v>
      </c>
      <c r="AN7" s="262">
        <f>IFERROR(INDEX('Input 4.1_2020VOL-YTD'!$C$4:$O$300, MATCH($C7,'Input 4.1_2020VOL-YTD'!$R$4:$R$300,0),MATCH(AN$2,'Input 4.1_2020VOL-YTD'!$C$1:$O$1,0))/INDEX('Input 4_2020CUST-YTD'!$C$4:U$300,MATCH($C7,'Input 4_2020CUST-YTD'!$S$4:$S$300,0),MATCH(AN$2,'Input 4_2020CUST-YTD'!$C$1:$O$1,0)),0)</f>
        <v>4.4203204047217488</v>
      </c>
      <c r="AO7" s="262">
        <f>IFERROR(INDEX('Input 4.1_2020VOL-YTD'!$C$4:$O$300, MATCH($C7,'Input 4.1_2020VOL-YTD'!$R$4:$R$300,0),MATCH(AO$2,'Input 4.1_2020VOL-YTD'!$C$1:$O$1,0))/INDEX('Input 4_2020CUST-YTD'!$C$4:V$300,MATCH($C7,'Input 4_2020CUST-YTD'!$S$4:$S$300,0),MATCH(AO$2,'Input 4_2020CUST-YTD'!$C$1:$O$1,0)),0)</f>
        <v>4.1018686868686816</v>
      </c>
      <c r="AP7" s="262">
        <f>IFERROR(INDEX('Input 4.1_2020VOL-YTD'!$C$4:$O$300, MATCH($C7,'Input 4.1_2020VOL-YTD'!$R$4:$R$300,0),MATCH(AP$2,'Input 4.1_2020VOL-YTD'!$C$1:$O$1,0))/INDEX('Input 4_2020CUST-YTD'!$C$4:W$300,MATCH($C7,'Input 4_2020CUST-YTD'!$S$4:$S$300,0),MATCH(AP$2,'Input 4_2020CUST-YTD'!$C$1:$O$1,0)),0)</f>
        <v>4.079132569558098</v>
      </c>
      <c r="AQ7" s="262">
        <f>IFERROR(INDEX('Input 4.1_2020VOL-YTD'!$C$4:$O$300, MATCH($C7,'Input 4.1_2020VOL-YTD'!$R$4:$R$300,0),MATCH(AQ$2,'Input 4.1_2020VOL-YTD'!$C$1:$O$1,0))/INDEX('Input 4_2020CUST-YTD'!$C$4:X$300,MATCH($C7,'Input 4_2020CUST-YTD'!$S$4:$S$300,0),MATCH(AQ$2,'Input 4_2020CUST-YTD'!$C$1:$O$1,0)),0)</f>
        <v>4.8962639109697914</v>
      </c>
      <c r="AR7" s="262">
        <f>IFERROR(INDEX('Input 4.1_2020VOL-YTD'!$C$4:$O$300, MATCH($C7,'Input 4.1_2020VOL-YTD'!$R$4:$R$300,0),MATCH(AR$2,'Input 4.1_2020VOL-YTD'!$C$1:$O$1,0))/INDEX('Input 4_2020CUST-YTD'!$C$4:Y$300,MATCH($C7,'Input 4_2020CUST-YTD'!$S$4:$S$300,0),MATCH(AR$2,'Input 4_2020CUST-YTD'!$C$1:$O$1,0)),0)</f>
        <v>10.811728395061728</v>
      </c>
      <c r="AS7" s="262">
        <f>IFERROR(INDEX('Input 4.1_2020VOL-YTD'!$C$4:$O$300, MATCH($C7,'Input 4.1_2020VOL-YTD'!$R$4:$R$300,0),MATCH(AS$2,'Input 4.1_2020VOL-YTD'!$C$1:$O$1,0))/INDEX('Input 4_2020CUST-YTD'!$C$4:Z$300,MATCH($C7,'Input 4_2020CUST-YTD'!$S$4:$S$300,0),MATCH(AS$2,'Input 4_2020CUST-YTD'!$C$1:$O$1,0)),0)</f>
        <v>13.325375191424198</v>
      </c>
      <c r="AT7" s="190">
        <f t="shared" si="5"/>
        <v>15.744042553191498</v>
      </c>
      <c r="AU7" s="261">
        <f t="shared" si="6"/>
        <v>1</v>
      </c>
      <c r="AW7" s="1">
        <f>IFERROR(INDEX('Input 5.1_2021VOL-YTD'!$C$3:$N$150, MATCH($C7,'Input 5.1_2021VOL-YTD'!$R$3:$R$150,0),MATCH(AW$2,'Input 5.1_2021VOL-YTD'!$C$1:$N$1,0))/INDEX('Input 5_2021CUST-YTD'!$C$3:$N$150,MATCH($C7,'Input 5_2021CUST-YTD'!$S$3:$S$150,0),MATCH(AW$2,'Input 5_2021CUST-YTD'!$C$1:$N$1,0)),0)</f>
        <v>15.235575757575763</v>
      </c>
      <c r="AX7" s="1">
        <f>IFERROR(INDEX('Input 5.1_2021VOL-YTD'!$C$3:$N$150, MATCH($C7,'Input 5.1_2021VOL-YTD'!$R$3:$R$150,0),MATCH(AX$2,'Input 5.1_2021VOL-YTD'!$C$1:$N$1,0))/INDEX('Input 5_2021CUST-YTD'!$C$3:$N$150,MATCH($C7,'Input 5_2021CUST-YTD'!$S$3:$S$150,0),MATCH(AX$2,'Input 5_2021CUST-YTD'!$C$1:$N$1,0)),0)</f>
        <v>17.888965517241392</v>
      </c>
      <c r="AY7" s="1">
        <f>IFERROR(INDEX('Input 5.1_2021VOL-YTD'!$C$3:$N$150, MATCH($C7,'Input 5.1_2021VOL-YTD'!$R$3:$R$150,0),MATCH(AY$2,'Input 5.1_2021VOL-YTD'!$C$1:$N$1,0))/INDEX('Input 5_2021CUST-YTD'!$C$3:$N$150,MATCH($C7,'Input 5_2021CUST-YTD'!$S$3:$S$150,0),MATCH(AY$2,'Input 5_2021CUST-YTD'!$C$1:$N$1,0)),0)</f>
        <v>13.131815476190473</v>
      </c>
      <c r="AZ7" s="1">
        <f>IFERROR(INDEX('Input 5.1_2021VOL-YTD'!$C$3:$N$150, MATCH($C7,'Input 5.1_2021VOL-YTD'!$R$3:$R$150,0),MATCH(AZ$2,'Input 5.1_2021VOL-YTD'!$C$1:$N$1,0))/INDEX('Input 5_2021CUST-YTD'!$C$3:$N$150,MATCH($C7,'Input 5_2021CUST-YTD'!$S$3:$S$150,0),MATCH(AZ$2,'Input 5_2021CUST-YTD'!$C$1:$N$1,0)),0)</f>
        <v>10.891020408163264</v>
      </c>
      <c r="BA7" s="1">
        <f>IFERROR(INDEX('Input 5.1_2021VOL-YTD'!$C$3:$N$150, MATCH($C7,'Input 5.1_2021VOL-YTD'!$R$3:$R$150,0),MATCH(BA$2,'Input 5.1_2021VOL-YTD'!$C$1:$N$1,0))/INDEX('Input 5_2021CUST-YTD'!$C$3:$N$150,MATCH($C7,'Input 5_2021CUST-YTD'!$S$3:$S$150,0),MATCH(BA$2,'Input 5_2021CUST-YTD'!$C$1:$N$1,0)),0)</f>
        <v>8.7166666666666632</v>
      </c>
      <c r="BB7" s="1">
        <f>IFERROR(INDEX('Input 5.1_2021VOL-YTD'!$C$3:$N$150, MATCH($C7,'Input 5.1_2021VOL-YTD'!$R$3:$R$150,0),MATCH(BB$2,'Input 5.1_2021VOL-YTD'!$C$1:$N$1,0))/INDEX('Input 5_2021CUST-YTD'!$C$3:$N$150,MATCH($C7,'Input 5_2021CUST-YTD'!$S$3:$S$150,0),MATCH(BB$2,'Input 5_2021CUST-YTD'!$C$1:$N$1,0)),0)</f>
        <v>4.141703910614523</v>
      </c>
      <c r="BC7" s="1">
        <f>IFERROR(INDEX('Input 5.1_2021VOL-YTD'!$C$3:$N$150, MATCH($C7,'Input 5.1_2021VOL-YTD'!$R$3:$R$150,0),MATCH(BC$2,'Input 5.1_2021VOL-YTD'!$C$1:$N$1,0))/INDEX('Input 5_2021CUST-YTD'!$C$3:$N$150,MATCH($C7,'Input 5_2021CUST-YTD'!$S$3:$S$150,0),MATCH(BC$2,'Input 5_2021CUST-YTD'!$C$1:$N$1,0)),0)</f>
        <v>4.2327884615384592</v>
      </c>
      <c r="BD7" s="1">
        <f>IFERROR(INDEX('Input 5.1_2021VOL-YTD'!$C$3:$N$150, MATCH($C7,'Input 5.1_2021VOL-YTD'!$R$3:$R$150,0),MATCH(BD$2,'Input 5.1_2021VOL-YTD'!$C$1:$N$1,0))/INDEX('Input 5_2021CUST-YTD'!$C$3:$N$150,MATCH($C7,'Input 5_2021CUST-YTD'!$S$3:$S$150,0),MATCH(BD$2,'Input 5_2021CUST-YTD'!$C$1:$N$1,0)),0)</f>
        <v>3.2132536520584312</v>
      </c>
      <c r="BE7" s="1">
        <f>IFERROR(INDEX('Input 5.1_2021VOL-YTD'!$C$3:$N$150, MATCH($C7,'Input 5.1_2021VOL-YTD'!$R$3:$R$150,0),MATCH(BE$2,'Input 5.1_2021VOL-YTD'!$C$1:$N$1,0))/INDEX('Input 5_2021CUST-YTD'!$C$3:$N$150,MATCH($C7,'Input 5_2021CUST-YTD'!$S$3:$S$150,0),MATCH(BE$2,'Input 5_2021CUST-YTD'!$C$1:$N$1,0)),0)</f>
        <v>4.1036144578313234</v>
      </c>
      <c r="BF7" s="1">
        <f>IFERROR(INDEX('Input 5.1_2021VOL-YTD'!$C$3:$N$150, MATCH($C7,'Input 5.1_2021VOL-YTD'!$R$3:$R$150,0),MATCH(BF$2,'Input 5.1_2021VOL-YTD'!$C$1:$N$1,0))/INDEX('Input 5_2021CUST-YTD'!$C$3:$N$150,MATCH($C7,'Input 5_2021CUST-YTD'!$S$3:$S$150,0),MATCH(BF$2,'Input 5_2021CUST-YTD'!$C$1:$N$1,0)),0)</f>
        <v>5.7204359313077866</v>
      </c>
      <c r="BG7" s="1">
        <f>IFERROR(INDEX('Input 5.1_2021VOL-YTD'!$C$3:$N$150, MATCH($C7,'Input 5.1_2021VOL-YTD'!$R$3:$R$150,0),MATCH(BG$2,'Input 5.1_2021VOL-YTD'!$C$1:$N$1,0))/INDEX('Input 5_2021CUST-YTD'!$C$3:$N$150,MATCH($C7,'Input 5_2021CUST-YTD'!$S$3:$S$150,0),MATCH(BG$2,'Input 5_2021CUST-YTD'!$C$1:$N$1,0)),0)</f>
        <v>9.6386996098829698</v>
      </c>
      <c r="BH7" s="1">
        <f>IFERROR(INDEX('Input 5.1_2021VOL-YTD'!$C$3:$N$150, MATCH($C7,'Input 5.1_2021VOL-YTD'!$R$3:$R$150,0),MATCH(BH$2,'Input 5.1_2021VOL-YTD'!$C$1:$N$1,0))/INDEX('Input 5_2021CUST-YTD'!$C$3:$N$150,MATCH($C7,'Input 5_2021CUST-YTD'!$S$3:$S$150,0),MATCH(BH$2,'Input 5_2021CUST-YTD'!$C$1:$N$1,0)),0)</f>
        <v>12.001976744186043</v>
      </c>
      <c r="BI7" s="190">
        <f t="shared" si="7"/>
        <v>17.888965517241392</v>
      </c>
      <c r="BJ7" s="261">
        <f t="shared" si="8"/>
        <v>2</v>
      </c>
    </row>
    <row r="8" spans="1:62">
      <c r="A8" s="261" t="s">
        <v>8</v>
      </c>
      <c r="B8" s="261" t="s">
        <v>17</v>
      </c>
      <c r="C8" s="261" t="s">
        <v>59</v>
      </c>
      <c r="D8" s="5">
        <f>IFERROR(INDEX('Input 16.1_2018VOL-YTD'!$C$4:$N$300, MATCH($C8,'Input 16.1_2018VOL-YTD'!$R$4:$R$300,0),MATCH(D$2,'Input 16.1_2018VOL-YTD'!$C$1:$N$1,0))/INDEX('Input 16_2018CUST-YTD'!$D$4:$O$300,MATCH($C8,'Input 16_2018CUST-YTD'!$S$4:$S$300,0),MATCH(D$2,'Input 16_2018CUST-YTD'!$C$1:$O$1,0)),0)</f>
        <v>36.838816568047342</v>
      </c>
      <c r="E8" s="5">
        <f>IFERROR(INDEX('Input 16.1_2018VOL-YTD'!$C$4:$N$300, MATCH($C8,'Input 16.1_2018VOL-YTD'!$R$4:$R$300,0),MATCH(E$2,'Input 16.1_2018VOL-YTD'!$C$1:$N$1,0))/INDEX('Input 16_2018CUST-YTD'!$D$4:$O$300,MATCH($C8,'Input 16_2018CUST-YTD'!$S$4:$S$300,0),MATCH(E$2,'Input 16_2018CUST-YTD'!$C$1:$O$1,0)),0)</f>
        <v>21.3</v>
      </c>
      <c r="F8" s="5">
        <f>IFERROR(INDEX('Input 16.1_2018VOL-YTD'!$C$4:$N$300, MATCH($C8,'Input 16.1_2018VOL-YTD'!$R$4:$R$300,0),MATCH(F$2,'Input 16.1_2018VOL-YTD'!$C$1:$N$1,0))/INDEX('Input 16_2018CUST-YTD'!$D$4:$O$300,MATCH($C8,'Input 16_2018CUST-YTD'!$S$4:$S$300,0),MATCH(F$2,'Input 16_2018CUST-YTD'!$C$1:$O$1,0)),0)</f>
        <v>20.005688622754491</v>
      </c>
      <c r="G8" s="5">
        <f>IFERROR(INDEX('Input 16.1_2018VOL-YTD'!$C$4:$N$300, MATCH($C8,'Input 16.1_2018VOL-YTD'!$R$4:$R$300,0),MATCH(G$2,'Input 16.1_2018VOL-YTD'!$C$1:$N$1,0))/INDEX('Input 16_2018CUST-YTD'!$D$4:$O$300,MATCH($C8,'Input 16_2018CUST-YTD'!$S$4:$S$300,0),MATCH(G$2,'Input 16_2018CUST-YTD'!$C$1:$O$1,0)),0)</f>
        <v>16.964464285714286</v>
      </c>
      <c r="H8" s="5">
        <f>IFERROR(INDEX('Input 16.1_2018VOL-YTD'!$C$4:$N$300, MATCH($C8,'Input 16.1_2018VOL-YTD'!$R$4:$R$300,0),MATCH(H$2,'Input 16.1_2018VOL-YTD'!$C$1:$N$1,0))/INDEX('Input 16_2018CUST-YTD'!$D$4:$O$300,MATCH($C8,'Input 16_2018CUST-YTD'!$S$4:$S$300,0),MATCH(H$2,'Input 16_2018CUST-YTD'!$C$1:$O$1,0)),0)</f>
        <v>13.195269461077846</v>
      </c>
      <c r="I8" s="5">
        <f>IFERROR(INDEX('Input 16.1_2018VOL-YTD'!$C$4:$N$300, MATCH($C8,'Input 16.1_2018VOL-YTD'!$R$4:$R$300,0),MATCH(I$2,'Input 16.1_2018VOL-YTD'!$C$1:$N$1,0))/INDEX('Input 16_2018CUST-YTD'!$D$4:$O$300,MATCH($C8,'Input 16_2018CUST-YTD'!$S$4:$S$300,0),MATCH(I$2,'Input 16_2018CUST-YTD'!$C$1:$O$1,0)),0)</f>
        <v>12.720178571428571</v>
      </c>
      <c r="J8" s="5">
        <f>IFERROR(INDEX('Input 16.1_2018VOL-YTD'!$C$4:$N$300, MATCH($C8,'Input 16.1_2018VOL-YTD'!$R$4:$R$300,0),MATCH(J$2,'Input 16.1_2018VOL-YTD'!$C$1:$N$1,0))/INDEX('Input 16_2018CUST-YTD'!$D$4:$O$300,MATCH($C8,'Input 16_2018CUST-YTD'!$S$4:$S$300,0),MATCH(J$2,'Input 16_2018CUST-YTD'!$C$1:$O$1,0)),0)</f>
        <v>10.454545454545455</v>
      </c>
      <c r="K8" s="5">
        <f>IFERROR(INDEX('Input 16.1_2018VOL-YTD'!$C$4:$N$300, MATCH($C8,'Input 16.1_2018VOL-YTD'!$R$4:$R$300,0),MATCH(K$2,'Input 16.1_2018VOL-YTD'!$C$1:$N$1,0))/INDEX('Input 16_2018CUST-YTD'!$D$4:$O$300,MATCH($C8,'Input 16_2018CUST-YTD'!$S$4:$S$300,0),MATCH(K$2,'Input 16_2018CUST-YTD'!$C$1:$O$1,0)),0)</f>
        <v>10.576646341463414</v>
      </c>
      <c r="L8" s="5">
        <f>IFERROR(INDEX('Input 16.1_2018VOL-YTD'!$C$4:$N$300, MATCH($C8,'Input 16.1_2018VOL-YTD'!$R$4:$R$300,0),MATCH(L$2,'Input 16.1_2018VOL-YTD'!$C$1:$N$1,0))/INDEX('Input 16_2018CUST-YTD'!$D$4:$O$300,MATCH($C8,'Input 16_2018CUST-YTD'!$S$4:$S$300,0),MATCH(L$2,'Input 16_2018CUST-YTD'!$C$1:$O$1,0)),0)</f>
        <v>11.334171779141105</v>
      </c>
      <c r="M8" s="5">
        <f>IFERROR(INDEX('Input 16.1_2018VOL-YTD'!$C$4:$N$300, MATCH($C8,'Input 16.1_2018VOL-YTD'!$R$4:$R$300,0),MATCH(M$2,'Input 16.1_2018VOL-YTD'!$C$1:$N$1,0))/INDEX('Input 16_2018CUST-YTD'!$D$4:$O$300,MATCH($C8,'Input 16_2018CUST-YTD'!$S$4:$S$300,0),MATCH(M$2,'Input 16_2018CUST-YTD'!$C$1:$O$1,0)),0)</f>
        <v>9.9066463414634143</v>
      </c>
      <c r="N8" s="5">
        <f>IFERROR(INDEX('Input 16.1_2018VOL-YTD'!$C$4:$N$300, MATCH($C8,'Input 16.1_2018VOL-YTD'!$R$4:$R$300,0),MATCH(N$2,'Input 16.1_2018VOL-YTD'!$C$1:$N$1,0))/INDEX('Input 16_2018CUST-YTD'!$D$4:$O$300,MATCH($C8,'Input 16_2018CUST-YTD'!$S$4:$S$300,0),MATCH(N$2,'Input 16_2018CUST-YTD'!$C$1:$O$1,0)),0)</f>
        <v>14.477987804878047</v>
      </c>
      <c r="O8" s="5">
        <f>IFERROR(INDEX('Input 16.1_2018VOL-YTD'!$C$4:$N$300, MATCH($C8,'Input 16.1_2018VOL-YTD'!$R$4:$R$300,0),MATCH(O$2,'Input 16.1_2018VOL-YTD'!$C$1:$N$1,0))/INDEX('Input 16_2018CUST-YTD'!$D$4:$O$300,MATCH($C8,'Input 16_2018CUST-YTD'!$S$4:$S$300,0),MATCH(O$2,'Input 16_2018CUST-YTD'!$C$1:$O$1,0)),0)</f>
        <v>22.835993990986481</v>
      </c>
      <c r="P8" s="271">
        <f t="shared" si="1"/>
        <v>36.838816568047342</v>
      </c>
      <c r="Q8" s="261">
        <f t="shared" si="2"/>
        <v>1</v>
      </c>
      <c r="S8" s="5">
        <f>IFERROR(INDEX('Input 3.1_2019VOL-YTD'!$C$4:$N$300, MATCH($C8,'Input 3.1_2019VOL-YTD'!$R$4:$R$300,0),MATCH(S$2,'Input 3.1_2019VOL-YTD'!$C$1:$N$1,0))/INDEX('Input 3_2019CUST-YTD'!$C$4:$N$300,MATCH($C8,'Input 3_2019CUST-YTD'!$S$4:$S$300,0),MATCH(S$2,'Input 3_2019CUST-YTD'!$C$1:$N$1,0)),0)</f>
        <v>24.832048192771083</v>
      </c>
      <c r="T8" s="5">
        <f>IFERROR(INDEX('Input 3.1_2019VOL-YTD'!$C$4:$N$300, MATCH($C8,'Input 3.1_2019VOL-YTD'!$R$4:$R$300,0),MATCH(T$2,'Input 3.1_2019VOL-YTD'!$C$1:$N$1,0))/INDEX('Input 3_2019CUST-YTD'!$C$4:$N$300,MATCH($C8,'Input 3_2019CUST-YTD'!$S$4:$S$300,0),MATCH(T$2,'Input 3_2019CUST-YTD'!$C$1:$N$1,0)),0)</f>
        <v>22.802469879518071</v>
      </c>
      <c r="U8" s="5">
        <f>IFERROR(INDEX('Input 3.1_2019VOL-YTD'!$C$4:$N$300, MATCH($C8,'Input 3.1_2019VOL-YTD'!$R$4:$R$300,0),MATCH(U$2,'Input 3.1_2019VOL-YTD'!$C$1:$N$1,0))/INDEX('Input 3_2019CUST-YTD'!$C$4:$N$300,MATCH($C8,'Input 3_2019CUST-YTD'!$S$4:$S$300,0),MATCH(U$2,'Input 3_2019CUST-YTD'!$C$1:$N$1,0)),0)</f>
        <v>15.875939393939396</v>
      </c>
      <c r="V8" s="5">
        <f>IFERROR(INDEX('Input 3.1_2019VOL-YTD'!$C$4:$N$300, MATCH($C8,'Input 3.1_2019VOL-YTD'!$R$4:$R$300,0),MATCH(V$2,'Input 3.1_2019VOL-YTD'!$C$1:$N$1,0))/INDEX('Input 3_2019CUST-YTD'!$C$4:$N$300,MATCH($C8,'Input 3_2019CUST-YTD'!$S$4:$S$300,0),MATCH(V$2,'Input 3_2019CUST-YTD'!$C$1:$N$1,0)),0)</f>
        <v>16.054268292682927</v>
      </c>
      <c r="W8" s="5">
        <f>IFERROR(INDEX('Input 3.1_2019VOL-YTD'!$C$4:$N$300, MATCH($C8,'Input 3.1_2019VOL-YTD'!$R$4:$R$300,0),MATCH(W$2,'Input 3.1_2019VOL-YTD'!$C$1:$N$1,0))/INDEX('Input 3_2019CUST-YTD'!$C$4:$N$300,MATCH($C8,'Input 3_2019CUST-YTD'!$S$4:$S$300,0),MATCH(W$2,'Input 3_2019CUST-YTD'!$C$1:$N$1,0)),0)</f>
        <v>13.380909090909091</v>
      </c>
      <c r="X8" s="5">
        <f>IFERROR(INDEX('Input 3.1_2019VOL-YTD'!$C$4:$N$300, MATCH($C8,'Input 3.1_2019VOL-YTD'!$R$4:$R$300,0),MATCH(X$2,'Input 3.1_2019VOL-YTD'!$C$1:$N$1,0))/INDEX('Input 3_2019CUST-YTD'!$C$4:$N$300,MATCH($C8,'Input 3_2019CUST-YTD'!$S$4:$S$300,0),MATCH(X$2,'Input 3_2019CUST-YTD'!$C$1:$N$1,0)),0)</f>
        <v>13.067831325301206</v>
      </c>
      <c r="Y8" s="5">
        <f>IFERROR(INDEX('Input 3.1_2019VOL-YTD'!$C$4:$N$300, MATCH($C8,'Input 3.1_2019VOL-YTD'!$R$4:$R$300,0),MATCH(Y$2,'Input 3.1_2019VOL-YTD'!$C$1:$N$1,0))/INDEX('Input 3_2019CUST-YTD'!$C$4:$N$300,MATCH($C8,'Input 3_2019CUST-YTD'!$S$4:$S$300,0),MATCH(Y$2,'Input 3_2019CUST-YTD'!$C$1:$N$1,0)),0)</f>
        <v>9.379999999999999</v>
      </c>
      <c r="Z8" s="5">
        <f>IFERROR(INDEX('Input 3.1_2019VOL-YTD'!$C$4:$N$300, MATCH($C8,'Input 3.1_2019VOL-YTD'!$R$4:$R$300,0),MATCH(Z$2,'Input 3.1_2019VOL-YTD'!$C$1:$N$1,0))/INDEX('Input 3_2019CUST-YTD'!$C$4:$N$300,MATCH($C8,'Input 3_2019CUST-YTD'!$S$4:$S$300,0),MATCH(Z$2,'Input 3_2019CUST-YTD'!$C$1:$N$1,0)),0)</f>
        <v>10.434642857142856</v>
      </c>
      <c r="AA8" s="5">
        <f>IFERROR(INDEX('Input 3.1_2019VOL-YTD'!$C$4:$N$300, MATCH($C8,'Input 3.1_2019VOL-YTD'!$R$4:$R$300,0),MATCH(AA$2,'Input 3.1_2019VOL-YTD'!$C$1:$N$1,0))/INDEX('Input 3_2019CUST-YTD'!$C$4:$N$300,MATCH($C8,'Input 3_2019CUST-YTD'!$S$4:$S$300,0),MATCH(AA$2,'Input 3_2019CUST-YTD'!$C$1:$N$1,0)),0)</f>
        <v>10.899281437125749</v>
      </c>
      <c r="AB8" s="5">
        <f>IFERROR(INDEX('Input 3.1_2019VOL-YTD'!$C$4:$N$300, MATCH($C8,'Input 3.1_2019VOL-YTD'!$R$4:$R$300,0),MATCH(AB$2,'Input 3.1_2019VOL-YTD'!$C$1:$N$1,0))/INDEX('Input 3_2019CUST-YTD'!$C$4:$N$300,MATCH($C8,'Input 3_2019CUST-YTD'!$S$4:$S$300,0),MATCH(AB$2,'Input 3_2019CUST-YTD'!$C$1:$N$1,0)),0)</f>
        <v>11.291377245508983</v>
      </c>
      <c r="AC8" s="5">
        <f>IFERROR(INDEX('Input 3.1_2019VOL-YTD'!$C$4:$N$300, MATCH($C8,'Input 3.1_2019VOL-YTD'!$R$4:$R$300,0),MATCH(AC$2,'Input 3.1_2019VOL-YTD'!$C$1:$N$1,0))/INDEX('Input 3_2019CUST-YTD'!$C$4:$N$300,MATCH($C8,'Input 3_2019CUST-YTD'!$S$4:$S$300,0),MATCH(AC$2,'Input 3_2019CUST-YTD'!$C$1:$N$1,0)),0)</f>
        <v>14.855568862275449</v>
      </c>
      <c r="AD8" s="5">
        <f>IFERROR(INDEX('Input 3.1_2019VOL-YTD'!$C$4:$N$300, MATCH($C8,'Input 3.1_2019VOL-YTD'!$R$4:$R$300,0),MATCH(AD$2,'Input 3.1_2019VOL-YTD'!$C$1:$N$1,0))/INDEX('Input 3_2019CUST-YTD'!$C$4:$N$300,MATCH($C8,'Input 3_2019CUST-YTD'!$S$4:$S$300,0),MATCH(AD$2,'Input 3_2019CUST-YTD'!$C$1:$N$1,0)),0)</f>
        <v>20.858982035928143</v>
      </c>
      <c r="AE8" s="272">
        <f t="shared" si="3"/>
        <v>24.832048192771083</v>
      </c>
      <c r="AF8" s="261">
        <f t="shared" si="4"/>
        <v>1</v>
      </c>
      <c r="AH8" s="262">
        <f>IFERROR(INDEX('Input 4.1_2020VOL-YTD'!$C$4:$O$300, MATCH($C8,'Input 4.1_2020VOL-YTD'!$R$4:$R$300,0),MATCH(AH$2,'Input 4.1_2020VOL-YTD'!$C$1:$O$1,0))/INDEX('Input 4_2020CUST-YTD'!$C$4:O$300,MATCH($C8,'Input 4_2020CUST-YTD'!$S$4:$S$300,0),MATCH(AH$2,'Input 4_2020CUST-YTD'!$C$1:$O$1,0)),0)</f>
        <v>22.674311377245509</v>
      </c>
      <c r="AI8" s="262">
        <f>IFERROR(INDEX('Input 4.1_2020VOL-YTD'!$C$4:$O$300, MATCH($C8,'Input 4.1_2020VOL-YTD'!$R$4:$R$300,0),MATCH(AI$2,'Input 4.1_2020VOL-YTD'!$C$1:$O$1,0))/INDEX('Input 4_2020CUST-YTD'!$C$4:P$300,MATCH($C8,'Input 4_2020CUST-YTD'!$S$4:$S$300,0),MATCH(AI$2,'Input 4_2020CUST-YTD'!$C$1:$O$1,0)),0)</f>
        <v>20.17562874251497</v>
      </c>
      <c r="AJ8" s="262">
        <f>IFERROR(INDEX('Input 4.1_2020VOL-YTD'!$C$4:$O$300, MATCH($C8,'Input 4.1_2020VOL-YTD'!$R$4:$R$300,0),MATCH(AJ$2,'Input 4.1_2020VOL-YTD'!$C$1:$O$1,0))/INDEX('Input 4_2020CUST-YTD'!$C$4:Q$300,MATCH($C8,'Input 4_2020CUST-YTD'!$S$4:$S$300,0),MATCH(AJ$2,'Input 4_2020CUST-YTD'!$C$1:$O$1,0)),0)</f>
        <v>17.228749999999998</v>
      </c>
      <c r="AK8" s="262">
        <f>IFERROR(INDEX('Input 4.1_2020VOL-YTD'!$C$4:$O$300, MATCH($C8,'Input 4.1_2020VOL-YTD'!$R$4:$R$300,0),MATCH(AK$2,'Input 4.1_2020VOL-YTD'!$C$1:$O$1,0))/INDEX('Input 4_2020CUST-YTD'!$C$4:R$300,MATCH($C8,'Input 4_2020CUST-YTD'!$S$4:$S$300,0),MATCH(AK$2,'Input 4_2020CUST-YTD'!$C$1:$O$1,0)),0)</f>
        <v>16.066946107784432</v>
      </c>
      <c r="AL8" s="262">
        <f>IFERROR(INDEX('Input 4.1_2020VOL-YTD'!$C$4:$O$300, MATCH($C8,'Input 4.1_2020VOL-YTD'!$R$4:$R$300,0),MATCH(AL$2,'Input 4.1_2020VOL-YTD'!$C$1:$O$1,0))/INDEX('Input 4_2020CUST-YTD'!$C$4:S$300,MATCH($C8,'Input 4_2020CUST-YTD'!$S$4:$S$300,0),MATCH(AL$2,'Input 4_2020CUST-YTD'!$C$1:$O$1,0)),0)</f>
        <v>14.490670731707317</v>
      </c>
      <c r="AM8" s="262">
        <f>IFERROR(INDEX('Input 4.1_2020VOL-YTD'!$C$4:$O$300, MATCH($C8,'Input 4.1_2020VOL-YTD'!$R$4:$R$300,0),MATCH(AM$2,'Input 4.1_2020VOL-YTD'!$C$1:$O$1,0))/INDEX('Input 4_2020CUST-YTD'!$C$4:T$300,MATCH($C8,'Input 4_2020CUST-YTD'!$S$4:$S$300,0),MATCH(AM$2,'Input 4_2020CUST-YTD'!$C$1:$O$1,0)),0)</f>
        <v>12.879451219512195</v>
      </c>
      <c r="AN8" s="262">
        <f>IFERROR(INDEX('Input 4.1_2020VOL-YTD'!$C$4:$O$300, MATCH($C8,'Input 4.1_2020VOL-YTD'!$R$4:$R$300,0),MATCH(AN$2,'Input 4.1_2020VOL-YTD'!$C$1:$O$1,0))/INDEX('Input 4_2020CUST-YTD'!$C$4:U$300,MATCH($C8,'Input 4_2020CUST-YTD'!$S$4:$S$300,0),MATCH(AN$2,'Input 4_2020CUST-YTD'!$C$1:$O$1,0)),0)</f>
        <v>12.734999999999999</v>
      </c>
      <c r="AO8" s="262">
        <f>IFERROR(INDEX('Input 4.1_2020VOL-YTD'!$C$4:$O$300, MATCH($C8,'Input 4.1_2020VOL-YTD'!$R$4:$R$300,0),MATCH(AO$2,'Input 4.1_2020VOL-YTD'!$C$1:$O$1,0))/INDEX('Input 4_2020CUST-YTD'!$C$4:V$300,MATCH($C8,'Input 4_2020CUST-YTD'!$S$4:$S$300,0),MATCH(AO$2,'Input 4_2020CUST-YTD'!$C$1:$O$1,0)),0)</f>
        <v>10.627515151515151</v>
      </c>
      <c r="AP8" s="262">
        <f>IFERROR(INDEX('Input 4.1_2020VOL-YTD'!$C$4:$O$300, MATCH($C8,'Input 4.1_2020VOL-YTD'!$R$4:$R$300,0),MATCH(AP$2,'Input 4.1_2020VOL-YTD'!$C$1:$O$1,0))/INDEX('Input 4_2020CUST-YTD'!$C$4:W$300,MATCH($C8,'Input 4_2020CUST-YTD'!$S$4:$S$300,0),MATCH(AP$2,'Input 4_2020CUST-YTD'!$C$1:$O$1,0)),0)</f>
        <v>11.644756097560975</v>
      </c>
      <c r="AQ8" s="262">
        <f>IFERROR(INDEX('Input 4.1_2020VOL-YTD'!$C$4:$O$300, MATCH($C8,'Input 4.1_2020VOL-YTD'!$R$4:$R$300,0),MATCH(AQ$2,'Input 4.1_2020VOL-YTD'!$C$1:$O$1,0))/INDEX('Input 4_2020CUST-YTD'!$C$4:X$300,MATCH($C8,'Input 4_2020CUST-YTD'!$S$4:$S$300,0),MATCH(AQ$2,'Input 4_2020CUST-YTD'!$C$1:$O$1,0)),0)</f>
        <v>11.683090909090909</v>
      </c>
      <c r="AR8" s="262">
        <f>IFERROR(INDEX('Input 4.1_2020VOL-YTD'!$C$4:$O$300, MATCH($C8,'Input 4.1_2020VOL-YTD'!$R$4:$R$300,0),MATCH(AR$2,'Input 4.1_2020VOL-YTD'!$C$1:$O$1,0))/INDEX('Input 4_2020CUST-YTD'!$C$4:Y$300,MATCH($C8,'Input 4_2020CUST-YTD'!$S$4:$S$300,0),MATCH(AR$2,'Input 4_2020CUST-YTD'!$C$1:$O$1,0)),0)</f>
        <v>13.394424242424241</v>
      </c>
      <c r="AS8" s="262">
        <f>IFERROR(INDEX('Input 4.1_2020VOL-YTD'!$C$4:$O$300, MATCH($C8,'Input 4.1_2020VOL-YTD'!$R$4:$R$300,0),MATCH(AS$2,'Input 4.1_2020VOL-YTD'!$C$1:$O$1,0))/INDEX('Input 4_2020CUST-YTD'!$C$4:Z$300,MATCH($C8,'Input 4_2020CUST-YTD'!$S$4:$S$300,0),MATCH(AS$2,'Input 4_2020CUST-YTD'!$C$1:$O$1,0)),0)</f>
        <v>24.451696969696972</v>
      </c>
      <c r="AT8" s="190">
        <f t="shared" si="5"/>
        <v>24.451696969696972</v>
      </c>
      <c r="AU8" s="261">
        <f t="shared" si="6"/>
        <v>12</v>
      </c>
      <c r="AW8" s="1">
        <f>IFERROR(INDEX('Input 5.1_2021VOL-YTD'!$C$3:$N$150, MATCH($C8,'Input 5.1_2021VOL-YTD'!$R$3:$R$150,0),MATCH(AW$2,'Input 5.1_2021VOL-YTD'!$C$1:$N$1,0))/INDEX('Input 5_2021CUST-YTD'!$C$3:$N$150,MATCH($C8,'Input 5_2021CUST-YTD'!$S$3:$S$150,0),MATCH(AW$2,'Input 5_2021CUST-YTD'!$C$1:$N$1,0)),0)</f>
        <v>29.85668674698795</v>
      </c>
      <c r="AX8" s="1">
        <f>IFERROR(INDEX('Input 5.1_2021VOL-YTD'!$C$3:$N$150, MATCH($C8,'Input 5.1_2021VOL-YTD'!$R$3:$R$150,0),MATCH(AX$2,'Input 5.1_2021VOL-YTD'!$C$1:$N$1,0))/INDEX('Input 5_2021CUST-YTD'!$C$3:$N$150,MATCH($C8,'Input 5_2021CUST-YTD'!$S$3:$S$150,0),MATCH(AX$2,'Input 5_2021CUST-YTD'!$C$1:$N$1,0)),0)</f>
        <v>20.82951515151515</v>
      </c>
      <c r="AY8" s="1">
        <f>IFERROR(INDEX('Input 5.1_2021VOL-YTD'!$C$3:$N$150, MATCH($C8,'Input 5.1_2021VOL-YTD'!$R$3:$R$150,0),MATCH(AY$2,'Input 5.1_2021VOL-YTD'!$C$1:$N$1,0))/INDEX('Input 5_2021CUST-YTD'!$C$3:$N$150,MATCH($C8,'Input 5_2021CUST-YTD'!$S$3:$S$150,0),MATCH(AY$2,'Input 5_2021CUST-YTD'!$C$1:$N$1,0)),0)</f>
        <v>17.769573170731707</v>
      </c>
      <c r="AZ8" s="1">
        <f>IFERROR(INDEX('Input 5.1_2021VOL-YTD'!$C$3:$N$150, MATCH($C8,'Input 5.1_2021VOL-YTD'!$R$3:$R$150,0),MATCH(AZ$2,'Input 5.1_2021VOL-YTD'!$C$1:$N$1,0))/INDEX('Input 5_2021CUST-YTD'!$C$3:$N$150,MATCH($C8,'Input 5_2021CUST-YTD'!$S$3:$S$150,0),MATCH(AZ$2,'Input 5_2021CUST-YTD'!$C$1:$N$1,0)),0)</f>
        <v>22.185636363636366</v>
      </c>
      <c r="BA8" s="1">
        <f>IFERROR(INDEX('Input 5.1_2021VOL-YTD'!$C$3:$N$150, MATCH($C8,'Input 5.1_2021VOL-YTD'!$R$3:$R$150,0),MATCH(BA$2,'Input 5.1_2021VOL-YTD'!$C$1:$N$1,0))/INDEX('Input 5_2021CUST-YTD'!$C$3:$N$150,MATCH($C8,'Input 5_2021CUST-YTD'!$S$3:$S$150,0),MATCH(BA$2,'Input 5_2021CUST-YTD'!$C$1:$N$1,0)),0)</f>
        <v>13.268170731707317</v>
      </c>
      <c r="BB8" s="1">
        <f>IFERROR(INDEX('Input 5.1_2021VOL-YTD'!$C$3:$N$150, MATCH($C8,'Input 5.1_2021VOL-YTD'!$R$3:$R$150,0),MATCH(BB$2,'Input 5.1_2021VOL-YTD'!$C$1:$N$1,0))/INDEX('Input 5_2021CUST-YTD'!$C$3:$N$150,MATCH($C8,'Input 5_2021CUST-YTD'!$S$3:$S$150,0),MATCH(BB$2,'Input 5_2021CUST-YTD'!$C$1:$N$1,0)),0)</f>
        <v>12.46920731707317</v>
      </c>
      <c r="BC8" s="1">
        <f>IFERROR(INDEX('Input 5.1_2021VOL-YTD'!$C$3:$N$150, MATCH($C8,'Input 5.1_2021VOL-YTD'!$R$3:$R$150,0),MATCH(BC$2,'Input 5.1_2021VOL-YTD'!$C$1:$N$1,0))/INDEX('Input 5_2021CUST-YTD'!$C$3:$N$150,MATCH($C8,'Input 5_2021CUST-YTD'!$S$3:$S$150,0),MATCH(BC$2,'Input 5_2021CUST-YTD'!$C$1:$N$1,0)),0)</f>
        <v>12.562147239263805</v>
      </c>
      <c r="BD8" s="1">
        <f>IFERROR(INDEX('Input 5.1_2021VOL-YTD'!$C$3:$N$150, MATCH($C8,'Input 5.1_2021VOL-YTD'!$R$3:$R$150,0),MATCH(BD$2,'Input 5.1_2021VOL-YTD'!$C$1:$N$1,0))/INDEX('Input 5_2021CUST-YTD'!$C$3:$N$150,MATCH($C8,'Input 5_2021CUST-YTD'!$S$3:$S$150,0),MATCH(BD$2,'Input 5_2021CUST-YTD'!$C$1:$N$1,0)),0)</f>
        <v>12.29170731707317</v>
      </c>
      <c r="BE8" s="1">
        <f>IFERROR(INDEX('Input 5.1_2021VOL-YTD'!$C$3:$N$150, MATCH($C8,'Input 5.1_2021VOL-YTD'!$R$3:$R$150,0),MATCH(BE$2,'Input 5.1_2021VOL-YTD'!$C$1:$N$1,0))/INDEX('Input 5_2021CUST-YTD'!$C$3:$N$150,MATCH($C8,'Input 5_2021CUST-YTD'!$S$3:$S$150,0),MATCH(BE$2,'Input 5_2021CUST-YTD'!$C$1:$N$1,0)),0)</f>
        <v>11.180617283950617</v>
      </c>
      <c r="BF8" s="1">
        <f>IFERROR(INDEX('Input 5.1_2021VOL-YTD'!$C$3:$N$150, MATCH($C8,'Input 5.1_2021VOL-YTD'!$R$3:$R$150,0),MATCH(BF$2,'Input 5.1_2021VOL-YTD'!$C$1:$N$1,0))/INDEX('Input 5_2021CUST-YTD'!$C$3:$N$150,MATCH($C8,'Input 5_2021CUST-YTD'!$S$3:$S$150,0),MATCH(BF$2,'Input 5_2021CUST-YTD'!$C$1:$N$1,0)),0)</f>
        <v>11.405766871165644</v>
      </c>
      <c r="BG8" s="1">
        <f>IFERROR(INDEX('Input 5.1_2021VOL-YTD'!$C$3:$N$150, MATCH($C8,'Input 5.1_2021VOL-YTD'!$R$3:$R$150,0),MATCH(BG$2,'Input 5.1_2021VOL-YTD'!$C$1:$N$1,0))/INDEX('Input 5_2021CUST-YTD'!$C$3:$N$150,MATCH($C8,'Input 5_2021CUST-YTD'!$S$3:$S$150,0),MATCH(BG$2,'Input 5_2021CUST-YTD'!$C$1:$N$1,0)),0)</f>
        <v>18.01396226415094</v>
      </c>
      <c r="BH8" s="1">
        <f>IFERROR(INDEX('Input 5.1_2021VOL-YTD'!$C$3:$N$150, MATCH($C8,'Input 5.1_2021VOL-YTD'!$R$3:$R$150,0),MATCH(BH$2,'Input 5.1_2021VOL-YTD'!$C$1:$N$1,0))/INDEX('Input 5_2021CUST-YTD'!$C$3:$N$150,MATCH($C8,'Input 5_2021CUST-YTD'!$S$3:$S$150,0),MATCH(BH$2,'Input 5_2021CUST-YTD'!$C$1:$N$1,0)),0)</f>
        <v>25.173625000000001</v>
      </c>
      <c r="BI8" s="190">
        <f t="shared" si="7"/>
        <v>29.85668674698795</v>
      </c>
      <c r="BJ8" s="261">
        <f t="shared" si="8"/>
        <v>1</v>
      </c>
    </row>
    <row r="9" spans="1:62">
      <c r="A9" s="261" t="s">
        <v>8</v>
      </c>
      <c r="B9" s="261" t="s">
        <v>17</v>
      </c>
      <c r="C9" s="261" t="s">
        <v>1387</v>
      </c>
      <c r="D9" s="5">
        <f>IFERROR(INDEX('Input 16.1_2018VOL-YTD'!$C$4:$N$300, MATCH($C9,'Input 16.1_2018VOL-YTD'!$R$4:$R$300,0),MATCH(D$2,'Input 16.1_2018VOL-YTD'!$C$1:$N$1,0))/INDEX('Input 16_2018CUST-YTD'!$D$4:$O$300,MATCH($C9,'Input 16_2018CUST-YTD'!$S$4:$S$300,0),MATCH(D$2,'Input 16_2018CUST-YTD'!$C$1:$O$1,0)),0)</f>
        <v>30.194740833258898</v>
      </c>
      <c r="E9" s="5">
        <f>IFERROR(INDEX('Input 16.1_2018VOL-YTD'!$C$4:$N$300, MATCH($C9,'Input 16.1_2018VOL-YTD'!$R$4:$R$300,0),MATCH(E$2,'Input 16.1_2018VOL-YTD'!$C$1:$N$1,0))/INDEX('Input 16_2018CUST-YTD'!$D$4:$O$300,MATCH($C9,'Input 16_2018CUST-YTD'!$S$4:$S$300,0),MATCH(E$2,'Input 16_2018CUST-YTD'!$C$1:$O$1,0)),0)</f>
        <v>18.34136524508919</v>
      </c>
      <c r="F9" s="5">
        <f>IFERROR(INDEX('Input 16.1_2018VOL-YTD'!$C$4:$N$300, MATCH($C9,'Input 16.1_2018VOL-YTD'!$R$4:$R$300,0),MATCH(F$2,'Input 16.1_2018VOL-YTD'!$C$1:$N$1,0))/INDEX('Input 16_2018CUST-YTD'!$D$4:$O$300,MATCH($C9,'Input 16_2018CUST-YTD'!$S$4:$S$300,0),MATCH(F$2,'Input 16_2018CUST-YTD'!$C$1:$O$1,0)),0)</f>
        <v>18.30920245398773</v>
      </c>
      <c r="G9" s="5">
        <f>IFERROR(INDEX('Input 16.1_2018VOL-YTD'!$C$4:$N$300, MATCH($C9,'Input 16.1_2018VOL-YTD'!$R$4:$R$300,0),MATCH(G$2,'Input 16.1_2018VOL-YTD'!$C$1:$N$1,0))/INDEX('Input 16_2018CUST-YTD'!$D$4:$O$300,MATCH($C9,'Input 16_2018CUST-YTD'!$S$4:$S$300,0),MATCH(G$2,'Input 16_2018CUST-YTD'!$C$1:$O$1,0)),0)</f>
        <v>16.735351460045376</v>
      </c>
      <c r="H9" s="5">
        <f>IFERROR(INDEX('Input 16.1_2018VOL-YTD'!$C$4:$N$300, MATCH($C9,'Input 16.1_2018VOL-YTD'!$R$4:$R$300,0),MATCH(H$2,'Input 16.1_2018VOL-YTD'!$C$1:$N$1,0))/INDEX('Input 16_2018CUST-YTD'!$D$4:$O$300,MATCH($C9,'Input 16_2018CUST-YTD'!$S$4:$S$300,0),MATCH(H$2,'Input 16_2018CUST-YTD'!$C$1:$O$1,0)),0)</f>
        <v>12.275610032221893</v>
      </c>
      <c r="I9" s="5">
        <f>IFERROR(INDEX('Input 16.1_2018VOL-YTD'!$C$4:$N$300, MATCH($C9,'Input 16.1_2018VOL-YTD'!$R$4:$R$300,0),MATCH(I$2,'Input 16.1_2018VOL-YTD'!$C$1:$N$1,0))/INDEX('Input 16_2018CUST-YTD'!$D$4:$O$300,MATCH($C9,'Input 16_2018CUST-YTD'!$S$4:$S$300,0),MATCH(I$2,'Input 16_2018CUST-YTD'!$C$1:$O$1,0)),0)</f>
        <v>11.995355841000086</v>
      </c>
      <c r="J9" s="5">
        <f>IFERROR(INDEX('Input 16.1_2018VOL-YTD'!$C$4:$N$300, MATCH($C9,'Input 16.1_2018VOL-YTD'!$R$4:$R$300,0),MATCH(J$2,'Input 16.1_2018VOL-YTD'!$C$1:$N$1,0))/INDEX('Input 16_2018CUST-YTD'!$D$4:$O$300,MATCH($C9,'Input 16_2018CUST-YTD'!$S$4:$S$300,0),MATCH(J$2,'Input 16_2018CUST-YTD'!$C$1:$O$1,0)),0)</f>
        <v>10.140112505408913</v>
      </c>
      <c r="K9" s="5">
        <f>IFERROR(INDEX('Input 16.1_2018VOL-YTD'!$C$4:$N$300, MATCH($C9,'Input 16.1_2018VOL-YTD'!$R$4:$R$300,0),MATCH(K$2,'Input 16.1_2018VOL-YTD'!$C$1:$N$1,0))/INDEX('Input 16_2018CUST-YTD'!$D$4:$O$300,MATCH($C9,'Input 16_2018CUST-YTD'!$S$4:$S$300,0),MATCH(K$2,'Input 16_2018CUST-YTD'!$C$1:$O$1,0)),0)</f>
        <v>10.051961981765182</v>
      </c>
      <c r="L9" s="5">
        <f>IFERROR(INDEX('Input 16.1_2018VOL-YTD'!$C$4:$N$300, MATCH($C9,'Input 16.1_2018VOL-YTD'!$R$4:$R$300,0),MATCH(L$2,'Input 16.1_2018VOL-YTD'!$C$1:$N$1,0))/INDEX('Input 16_2018CUST-YTD'!$D$4:$O$300,MATCH($C9,'Input 16_2018CUST-YTD'!$S$4:$S$300,0),MATCH(L$2,'Input 16_2018CUST-YTD'!$C$1:$O$1,0)),0)</f>
        <v>10.101022104181203</v>
      </c>
      <c r="M9" s="5">
        <f>IFERROR(INDEX('Input 16.1_2018VOL-YTD'!$C$4:$N$300, MATCH($C9,'Input 16.1_2018VOL-YTD'!$R$4:$R$300,0),MATCH(M$2,'Input 16.1_2018VOL-YTD'!$C$1:$N$1,0))/INDEX('Input 16_2018CUST-YTD'!$D$4:$O$300,MATCH($C9,'Input 16_2018CUST-YTD'!$S$4:$S$300,0),MATCH(M$2,'Input 16_2018CUST-YTD'!$C$1:$O$1,0)),0)</f>
        <v>9.30960254237322</v>
      </c>
      <c r="N9" s="5">
        <f>IFERROR(INDEX('Input 16.1_2018VOL-YTD'!$C$4:$N$300, MATCH($C9,'Input 16.1_2018VOL-YTD'!$R$4:$R$300,0),MATCH(N$2,'Input 16.1_2018VOL-YTD'!$C$1:$N$1,0))/INDEX('Input 16_2018CUST-YTD'!$D$4:$O$300,MATCH($C9,'Input 16_2018CUST-YTD'!$S$4:$S$300,0),MATCH(N$2,'Input 16_2018CUST-YTD'!$C$1:$O$1,0)),0)</f>
        <v>13.981661478926725</v>
      </c>
      <c r="O9" s="5">
        <f>IFERROR(INDEX('Input 16.1_2018VOL-YTD'!$C$4:$N$300, MATCH($C9,'Input 16.1_2018VOL-YTD'!$R$4:$R$300,0),MATCH(O$2,'Input 16.1_2018VOL-YTD'!$C$1:$N$1,0))/INDEX('Input 16_2018CUST-YTD'!$D$4:$O$300,MATCH($C9,'Input 16_2018CUST-YTD'!$S$4:$S$300,0),MATCH(O$2,'Input 16_2018CUST-YTD'!$C$1:$O$1,0)),0)</f>
        <v>21.023684988265117</v>
      </c>
      <c r="P9" s="271">
        <f t="shared" si="1"/>
        <v>30.194740833258898</v>
      </c>
      <c r="Q9" s="261">
        <f t="shared" si="2"/>
        <v>1</v>
      </c>
      <c r="S9" s="5">
        <f>IFERROR(INDEX('Input 3.1_2019VOL-YTD'!$C$4:$N$300, MATCH($C9,'Input 3.1_2019VOL-YTD'!$R$4:$R$300,0),MATCH(S$2,'Input 3.1_2019VOL-YTD'!$C$1:$N$1,0))/INDEX('Input 3_2019CUST-YTD'!$C$4:$N$300,MATCH($C9,'Input 3_2019CUST-YTD'!$S$4:$S$300,0),MATCH(S$2,'Input 3_2019CUST-YTD'!$C$1:$N$1,0)),0)</f>
        <v>22.583110608724777</v>
      </c>
      <c r="T9" s="5">
        <f>IFERROR(INDEX('Input 3.1_2019VOL-YTD'!$C$4:$N$300, MATCH($C9,'Input 3.1_2019VOL-YTD'!$R$4:$R$300,0),MATCH(T$2,'Input 3.1_2019VOL-YTD'!$C$1:$N$1,0))/INDEX('Input 3_2019CUST-YTD'!$C$4:$N$300,MATCH($C9,'Input 3_2019CUST-YTD'!$S$4:$S$300,0),MATCH(T$2,'Input 3_2019CUST-YTD'!$C$1:$N$1,0)),0)</f>
        <v>21.010966589095663</v>
      </c>
      <c r="U9" s="5">
        <f>IFERROR(INDEX('Input 3.1_2019VOL-YTD'!$C$4:$N$300, MATCH($C9,'Input 3.1_2019VOL-YTD'!$R$4:$R$300,0),MATCH(U$2,'Input 3.1_2019VOL-YTD'!$C$1:$N$1,0))/INDEX('Input 3_2019CUST-YTD'!$C$4:$N$300,MATCH($C9,'Input 3_2019CUST-YTD'!$S$4:$S$300,0),MATCH(U$2,'Input 3_2019CUST-YTD'!$C$1:$N$1,0)),0)</f>
        <v>16.435767104069079</v>
      </c>
      <c r="V9" s="5">
        <f>IFERROR(INDEX('Input 3.1_2019VOL-YTD'!$C$4:$N$300, MATCH($C9,'Input 3.1_2019VOL-YTD'!$R$4:$R$300,0),MATCH(V$2,'Input 3.1_2019VOL-YTD'!$C$1:$N$1,0))/INDEX('Input 3_2019CUST-YTD'!$C$4:$N$300,MATCH($C9,'Input 3_2019CUST-YTD'!$S$4:$S$300,0),MATCH(V$2,'Input 3_2019CUST-YTD'!$C$1:$N$1,0)),0)</f>
        <v>15.943749388153858</v>
      </c>
      <c r="W9" s="5">
        <f>IFERROR(INDEX('Input 3.1_2019VOL-YTD'!$C$4:$N$300, MATCH($C9,'Input 3.1_2019VOL-YTD'!$R$4:$R$300,0),MATCH(W$2,'Input 3.1_2019VOL-YTD'!$C$1:$N$1,0))/INDEX('Input 3_2019CUST-YTD'!$C$4:$N$300,MATCH($C9,'Input 3_2019CUST-YTD'!$S$4:$S$300,0),MATCH(W$2,'Input 3_2019CUST-YTD'!$C$1:$N$1,0)),0)</f>
        <v>12.91632180156609</v>
      </c>
      <c r="X9" s="5">
        <f>IFERROR(INDEX('Input 3.1_2019VOL-YTD'!$C$4:$N$300, MATCH($C9,'Input 3.1_2019VOL-YTD'!$R$4:$R$300,0),MATCH(X$2,'Input 3.1_2019VOL-YTD'!$C$1:$N$1,0))/INDEX('Input 3_2019CUST-YTD'!$C$4:$N$300,MATCH($C9,'Input 3_2019CUST-YTD'!$S$4:$S$300,0),MATCH(X$2,'Input 3_2019CUST-YTD'!$C$1:$N$1,0)),0)</f>
        <v>10.852950353457626</v>
      </c>
      <c r="Y9" s="5">
        <f>IFERROR(INDEX('Input 3.1_2019VOL-YTD'!$C$4:$N$300, MATCH($C9,'Input 3.1_2019VOL-YTD'!$R$4:$R$300,0),MATCH(Y$2,'Input 3.1_2019VOL-YTD'!$C$1:$N$1,0))/INDEX('Input 3_2019CUST-YTD'!$C$4:$N$300,MATCH($C9,'Input 3_2019CUST-YTD'!$S$4:$S$300,0),MATCH(Y$2,'Input 3_2019CUST-YTD'!$C$1:$N$1,0)),0)</f>
        <v>9.1103336032389475</v>
      </c>
      <c r="Z9" s="5">
        <f>IFERROR(INDEX('Input 3.1_2019VOL-YTD'!$C$4:$N$300, MATCH($C9,'Input 3.1_2019VOL-YTD'!$R$4:$R$300,0),MATCH(Z$2,'Input 3.1_2019VOL-YTD'!$C$1:$N$1,0))/INDEX('Input 3_2019CUST-YTD'!$C$4:$N$300,MATCH($C9,'Input 3_2019CUST-YTD'!$S$4:$S$300,0),MATCH(Z$2,'Input 3_2019CUST-YTD'!$C$1:$N$1,0)),0)</f>
        <v>10.197452678857957</v>
      </c>
      <c r="AA9" s="5">
        <f>IFERROR(INDEX('Input 3.1_2019VOL-YTD'!$C$4:$N$300, MATCH($C9,'Input 3.1_2019VOL-YTD'!$R$4:$R$300,0),MATCH(AA$2,'Input 3.1_2019VOL-YTD'!$C$1:$N$1,0))/INDEX('Input 3_2019CUST-YTD'!$C$4:$N$300,MATCH($C9,'Input 3_2019CUST-YTD'!$S$4:$S$300,0),MATCH(AA$2,'Input 3_2019CUST-YTD'!$C$1:$N$1,0)),0)</f>
        <v>9.7815357542785151</v>
      </c>
      <c r="AB9" s="5">
        <f>IFERROR(INDEX('Input 3.1_2019VOL-YTD'!$C$4:$N$300, MATCH($C9,'Input 3.1_2019VOL-YTD'!$R$4:$R$300,0),MATCH(AB$2,'Input 3.1_2019VOL-YTD'!$C$1:$N$1,0))/INDEX('Input 3_2019CUST-YTD'!$C$4:$N$300,MATCH($C9,'Input 3_2019CUST-YTD'!$S$4:$S$300,0),MATCH(AB$2,'Input 3_2019CUST-YTD'!$C$1:$N$1,0)),0)</f>
        <v>10.621682489030794</v>
      </c>
      <c r="AC9" s="5">
        <f>IFERROR(INDEX('Input 3.1_2019VOL-YTD'!$C$4:$N$300, MATCH($C9,'Input 3.1_2019VOL-YTD'!$R$4:$R$300,0),MATCH(AC$2,'Input 3.1_2019VOL-YTD'!$C$1:$N$1,0))/INDEX('Input 3_2019CUST-YTD'!$C$4:$N$300,MATCH($C9,'Input 3_2019CUST-YTD'!$S$4:$S$300,0),MATCH(AC$2,'Input 3_2019CUST-YTD'!$C$1:$N$1,0)),0)</f>
        <v>13.610027698638651</v>
      </c>
      <c r="AD9" s="5">
        <f>IFERROR(INDEX('Input 3.1_2019VOL-YTD'!$C$4:$N$300, MATCH($C9,'Input 3.1_2019VOL-YTD'!$R$4:$R$300,0),MATCH(AD$2,'Input 3.1_2019VOL-YTD'!$C$1:$N$1,0))/INDEX('Input 3_2019CUST-YTD'!$C$4:$N$300,MATCH($C9,'Input 3_2019CUST-YTD'!$S$4:$S$300,0),MATCH(AD$2,'Input 3_2019CUST-YTD'!$C$1:$N$1,0)),0)</f>
        <v>19.812726700251968</v>
      </c>
      <c r="AE9" s="272">
        <f t="shared" si="3"/>
        <v>22.583110608724777</v>
      </c>
      <c r="AF9" s="261">
        <f t="shared" si="4"/>
        <v>1</v>
      </c>
      <c r="AH9" s="262">
        <f>IFERROR(INDEX('Input 4.1_2020VOL-YTD'!$C$4:$O$300, MATCH($C9,'Input 4.1_2020VOL-YTD'!$R$4:$R$300,0),MATCH(AH$2,'Input 4.1_2020VOL-YTD'!$C$1:$O$1,0))/INDEX('Input 4_2020CUST-YTD'!$C$4:O$300,MATCH($C9,'Input 4_2020CUST-YTD'!$S$4:$S$300,0),MATCH(AH$2,'Input 4_2020CUST-YTD'!$C$1:$O$1,0)),0)</f>
        <v>22.2101967884131</v>
      </c>
      <c r="AI9" s="262">
        <f>IFERROR(INDEX('Input 4.1_2020VOL-YTD'!$C$4:$O$300, MATCH($C9,'Input 4.1_2020VOL-YTD'!$R$4:$R$300,0),MATCH(AI$2,'Input 4.1_2020VOL-YTD'!$C$1:$O$1,0))/INDEX('Input 4_2020CUST-YTD'!$C$4:P$300,MATCH($C9,'Input 4_2020CUST-YTD'!$S$4:$S$300,0),MATCH(AI$2,'Input 4_2020CUST-YTD'!$C$1:$O$1,0)),0)</f>
        <v>20.194769713613731</v>
      </c>
      <c r="AJ9" s="262">
        <f>IFERROR(INDEX('Input 4.1_2020VOL-YTD'!$C$4:$O$300, MATCH($C9,'Input 4.1_2020VOL-YTD'!$R$4:$R$300,0),MATCH(AJ$2,'Input 4.1_2020VOL-YTD'!$C$1:$O$1,0))/INDEX('Input 4_2020CUST-YTD'!$C$4:Q$300,MATCH($C9,'Input 4_2020CUST-YTD'!$S$4:$S$300,0),MATCH(AJ$2,'Input 4_2020CUST-YTD'!$C$1:$O$1,0)),0)</f>
        <v>19.428040640875889</v>
      </c>
      <c r="AK9" s="262">
        <f>IFERROR(INDEX('Input 4.1_2020VOL-YTD'!$C$4:$O$300, MATCH($C9,'Input 4.1_2020VOL-YTD'!$R$4:$R$300,0),MATCH(AK$2,'Input 4.1_2020VOL-YTD'!$C$1:$O$1,0))/INDEX('Input 4_2020CUST-YTD'!$C$4:R$300,MATCH($C9,'Input 4_2020CUST-YTD'!$S$4:$S$300,0),MATCH(AK$2,'Input 4_2020CUST-YTD'!$C$1:$O$1,0)),0)</f>
        <v>14.990083417791144</v>
      </c>
      <c r="AL9" s="262">
        <f>IFERROR(INDEX('Input 4.1_2020VOL-YTD'!$C$4:$O$300, MATCH($C9,'Input 4.1_2020VOL-YTD'!$R$4:$R$300,0),MATCH(AL$2,'Input 4.1_2020VOL-YTD'!$C$1:$O$1,0))/INDEX('Input 4_2020CUST-YTD'!$C$4:S$300,MATCH($C9,'Input 4_2020CUST-YTD'!$S$4:$S$300,0),MATCH(AL$2,'Input 4_2020CUST-YTD'!$C$1:$O$1,0)),0)</f>
        <v>13.410069886628669</v>
      </c>
      <c r="AM9" s="262">
        <f>IFERROR(INDEX('Input 4.1_2020VOL-YTD'!$C$4:$O$300, MATCH($C9,'Input 4.1_2020VOL-YTD'!$R$4:$R$300,0),MATCH(AM$2,'Input 4.1_2020VOL-YTD'!$C$1:$O$1,0))/INDEX('Input 4_2020CUST-YTD'!$C$4:T$300,MATCH($C9,'Input 4_2020CUST-YTD'!$S$4:$S$300,0),MATCH(AM$2,'Input 4_2020CUST-YTD'!$C$1:$O$1,0)),0)</f>
        <v>11.027721254355631</v>
      </c>
      <c r="AN9" s="262">
        <f>IFERROR(INDEX('Input 4.1_2020VOL-YTD'!$C$4:$O$300, MATCH($C9,'Input 4.1_2020VOL-YTD'!$R$4:$R$300,0),MATCH(AN$2,'Input 4.1_2020VOL-YTD'!$C$1:$O$1,0))/INDEX('Input 4_2020CUST-YTD'!$C$4:U$300,MATCH($C9,'Input 4_2020CUST-YTD'!$S$4:$S$300,0),MATCH(AN$2,'Input 4_2020CUST-YTD'!$C$1:$O$1,0)),0)</f>
        <v>11.232733857297349</v>
      </c>
      <c r="AO9" s="262">
        <f>IFERROR(INDEX('Input 4.1_2020VOL-YTD'!$C$4:$O$300, MATCH($C9,'Input 4.1_2020VOL-YTD'!$R$4:$R$300,0),MATCH(AO$2,'Input 4.1_2020VOL-YTD'!$C$1:$O$1,0))/INDEX('Input 4_2020CUST-YTD'!$C$4:V$300,MATCH($C9,'Input 4_2020CUST-YTD'!$S$4:$S$300,0),MATCH(AO$2,'Input 4_2020CUST-YTD'!$C$1:$O$1,0)),0)</f>
        <v>9.8432540108996687</v>
      </c>
      <c r="AP9" s="262">
        <f>IFERROR(INDEX('Input 4.1_2020VOL-YTD'!$C$4:$O$300, MATCH($C9,'Input 4.1_2020VOL-YTD'!$R$4:$R$300,0),MATCH(AP$2,'Input 4.1_2020VOL-YTD'!$C$1:$O$1,0))/INDEX('Input 4_2020CUST-YTD'!$C$4:W$300,MATCH($C9,'Input 4_2020CUST-YTD'!$S$4:$S$300,0),MATCH(AP$2,'Input 4_2020CUST-YTD'!$C$1:$O$1,0)),0)</f>
        <v>10.224344549329627</v>
      </c>
      <c r="AQ9" s="262">
        <f>IFERROR(INDEX('Input 4.1_2020VOL-YTD'!$C$4:$O$300, MATCH($C9,'Input 4.1_2020VOL-YTD'!$R$4:$R$300,0),MATCH(AQ$2,'Input 4.1_2020VOL-YTD'!$C$1:$O$1,0))/INDEX('Input 4_2020CUST-YTD'!$C$4:X$300,MATCH($C9,'Input 4_2020CUST-YTD'!$S$4:$S$300,0),MATCH(AQ$2,'Input 4_2020CUST-YTD'!$C$1:$O$1,0)),0)</f>
        <v>10.836746596066869</v>
      </c>
      <c r="AR9" s="262">
        <f>IFERROR(INDEX('Input 4.1_2020VOL-YTD'!$C$4:$O$300, MATCH($C9,'Input 4.1_2020VOL-YTD'!$R$4:$R$300,0),MATCH(AR$2,'Input 4.1_2020VOL-YTD'!$C$1:$O$1,0))/INDEX('Input 4_2020CUST-YTD'!$C$4:Y$300,MATCH($C9,'Input 4_2020CUST-YTD'!$S$4:$S$300,0),MATCH(AR$2,'Input 4_2020CUST-YTD'!$C$1:$O$1,0)),0)</f>
        <v>13.131275347248756</v>
      </c>
      <c r="AS9" s="262">
        <f>IFERROR(INDEX('Input 4.1_2020VOL-YTD'!$C$4:$O$300, MATCH($C9,'Input 4.1_2020VOL-YTD'!$R$4:$R$300,0),MATCH(AS$2,'Input 4.1_2020VOL-YTD'!$C$1:$O$1,0))/INDEX('Input 4_2020CUST-YTD'!$C$4:Z$300,MATCH($C9,'Input 4_2020CUST-YTD'!$S$4:$S$300,0),MATCH(AS$2,'Input 4_2020CUST-YTD'!$C$1:$O$1,0)),0)</f>
        <v>22.951196965233649</v>
      </c>
      <c r="AT9" s="190">
        <f t="shared" si="5"/>
        <v>22.951196965233649</v>
      </c>
      <c r="AU9" s="261">
        <f t="shared" si="6"/>
        <v>12</v>
      </c>
      <c r="AW9" s="1">
        <f>IFERROR(INDEX('Input 5.1_2021VOL-YTD'!$C$3:$N$150, MATCH($C9,'Input 5.1_2021VOL-YTD'!$R$3:$R$150,0),MATCH(AW$2,'Input 5.1_2021VOL-YTD'!$C$1:$N$1,0))/INDEX('Input 5_2021CUST-YTD'!$C$3:$N$150,MATCH($C9,'Input 5_2021CUST-YTD'!$S$3:$S$150,0),MATCH(AW$2,'Input 5_2021CUST-YTD'!$C$1:$N$1,0)),0)</f>
        <v>27.068042553191489</v>
      </c>
      <c r="AX9" s="1">
        <f>IFERROR(INDEX('Input 5.1_2021VOL-YTD'!$C$3:$N$150, MATCH($C9,'Input 5.1_2021VOL-YTD'!$R$3:$R$150,0),MATCH(AX$2,'Input 5.1_2021VOL-YTD'!$C$1:$N$1,0))/INDEX('Input 5_2021CUST-YTD'!$C$3:$N$150,MATCH($C9,'Input 5_2021CUST-YTD'!$S$3:$S$150,0),MATCH(AX$2,'Input 5_2021CUST-YTD'!$C$1:$N$1,0)),0)</f>
        <v>19.405029698614722</v>
      </c>
      <c r="AY9" s="1">
        <f>IFERROR(INDEX('Input 5.1_2021VOL-YTD'!$C$3:$N$150, MATCH($C9,'Input 5.1_2021VOL-YTD'!$R$3:$R$150,0),MATCH(AY$2,'Input 5.1_2021VOL-YTD'!$C$1:$N$1,0))/INDEX('Input 5_2021CUST-YTD'!$C$3:$N$150,MATCH($C9,'Input 5_2021CUST-YTD'!$S$3:$S$150,0),MATCH(AY$2,'Input 5_2021CUST-YTD'!$C$1:$N$1,0)),0)</f>
        <v>17.442378311318034</v>
      </c>
      <c r="AZ9" s="1">
        <f>IFERROR(INDEX('Input 5.1_2021VOL-YTD'!$C$3:$N$150, MATCH($C9,'Input 5.1_2021VOL-YTD'!$R$3:$R$150,0),MATCH(AZ$2,'Input 5.1_2021VOL-YTD'!$C$1:$N$1,0))/INDEX('Input 5_2021CUST-YTD'!$C$3:$N$150,MATCH($C9,'Input 5_2021CUST-YTD'!$S$3:$S$150,0),MATCH(AZ$2,'Input 5_2021CUST-YTD'!$C$1:$N$1,0)),0)</f>
        <v>18.708737934538426</v>
      </c>
      <c r="BA9" s="1">
        <f>IFERROR(INDEX('Input 5.1_2021VOL-YTD'!$C$3:$N$150, MATCH($C9,'Input 5.1_2021VOL-YTD'!$R$3:$R$150,0),MATCH(BA$2,'Input 5.1_2021VOL-YTD'!$C$1:$N$1,0))/INDEX('Input 5_2021CUST-YTD'!$C$3:$N$150,MATCH($C9,'Input 5_2021CUST-YTD'!$S$3:$S$150,0),MATCH(BA$2,'Input 5_2021CUST-YTD'!$C$1:$N$1,0)),0)</f>
        <v>12.852087038242971</v>
      </c>
      <c r="BB9" s="1">
        <f>IFERROR(INDEX('Input 5.1_2021VOL-YTD'!$C$3:$N$150, MATCH($C9,'Input 5.1_2021VOL-YTD'!$R$3:$R$150,0),MATCH(BB$2,'Input 5.1_2021VOL-YTD'!$C$1:$N$1,0))/INDEX('Input 5_2021CUST-YTD'!$C$3:$N$150,MATCH($C9,'Input 5_2021CUST-YTD'!$S$3:$S$150,0),MATCH(BB$2,'Input 5_2021CUST-YTD'!$C$1:$N$1,0)),0)</f>
        <v>12.03313244263709</v>
      </c>
      <c r="BC9" s="1">
        <f>IFERROR(INDEX('Input 5.1_2021VOL-YTD'!$C$3:$N$150, MATCH($C9,'Input 5.1_2021VOL-YTD'!$R$3:$R$150,0),MATCH(BC$2,'Input 5.1_2021VOL-YTD'!$C$1:$N$1,0))/INDEX('Input 5_2021CUST-YTD'!$C$3:$N$150,MATCH($C9,'Input 5_2021CUST-YTD'!$S$3:$S$150,0),MATCH(BC$2,'Input 5_2021CUST-YTD'!$C$1:$N$1,0)),0)</f>
        <v>11.618942286751217</v>
      </c>
      <c r="BD9" s="1">
        <f>IFERROR(INDEX('Input 5.1_2021VOL-YTD'!$C$3:$N$150, MATCH($C9,'Input 5.1_2021VOL-YTD'!$R$3:$R$150,0),MATCH(BD$2,'Input 5.1_2021VOL-YTD'!$C$1:$N$1,0))/INDEX('Input 5_2021CUST-YTD'!$C$3:$N$150,MATCH($C9,'Input 5_2021CUST-YTD'!$S$3:$S$150,0),MATCH(BD$2,'Input 5_2021CUST-YTD'!$C$1:$N$1,0)),0)</f>
        <v>10.188313839448529</v>
      </c>
      <c r="BE9" s="1">
        <f>IFERROR(INDEX('Input 5.1_2021VOL-YTD'!$C$3:$N$150, MATCH($C9,'Input 5.1_2021VOL-YTD'!$R$3:$R$150,0),MATCH(BE$2,'Input 5.1_2021VOL-YTD'!$C$1:$N$1,0))/INDEX('Input 5_2021CUST-YTD'!$C$3:$N$150,MATCH($C9,'Input 5_2021CUST-YTD'!$S$3:$S$150,0),MATCH(BE$2,'Input 5_2021CUST-YTD'!$C$1:$N$1,0)),0)</f>
        <v>10.754965192167804</v>
      </c>
      <c r="BF9" s="1">
        <f>IFERROR(INDEX('Input 5.1_2021VOL-YTD'!$C$3:$N$150, MATCH($C9,'Input 5.1_2021VOL-YTD'!$R$3:$R$150,0),MATCH(BF$2,'Input 5.1_2021VOL-YTD'!$C$1:$N$1,0))/INDEX('Input 5_2021CUST-YTD'!$C$3:$N$150,MATCH($C9,'Input 5_2021CUST-YTD'!$S$3:$S$150,0),MATCH(BF$2,'Input 5_2021CUST-YTD'!$C$1:$N$1,0)),0)</f>
        <v>11.19648004071839</v>
      </c>
      <c r="BG9" s="1">
        <f>IFERROR(INDEX('Input 5.1_2021VOL-YTD'!$C$3:$N$150, MATCH($C9,'Input 5.1_2021VOL-YTD'!$R$3:$R$150,0),MATCH(BG$2,'Input 5.1_2021VOL-YTD'!$C$1:$N$1,0))/INDEX('Input 5_2021CUST-YTD'!$C$3:$N$150,MATCH($C9,'Input 5_2021CUST-YTD'!$S$3:$S$150,0),MATCH(BG$2,'Input 5_2021CUST-YTD'!$C$1:$N$1,0)),0)</f>
        <v>13.777306716903919</v>
      </c>
      <c r="BH9" s="1">
        <f>IFERROR(INDEX('Input 5.1_2021VOL-YTD'!$C$3:$N$150, MATCH($C9,'Input 5.1_2021VOL-YTD'!$R$3:$R$150,0),MATCH(BH$2,'Input 5.1_2021VOL-YTD'!$C$1:$N$1,0))/INDEX('Input 5_2021CUST-YTD'!$C$3:$N$150,MATCH($C9,'Input 5_2021CUST-YTD'!$S$3:$S$150,0),MATCH(BH$2,'Input 5_2021CUST-YTD'!$C$1:$N$1,0)),0)</f>
        <v>21.442271547996395</v>
      </c>
      <c r="BI9" s="190">
        <f t="shared" si="7"/>
        <v>27.068042553191489</v>
      </c>
      <c r="BJ9" s="261">
        <f t="shared" si="8"/>
        <v>1</v>
      </c>
    </row>
    <row r="10" spans="1:62">
      <c r="A10" s="261" t="s">
        <v>8</v>
      </c>
      <c r="B10" s="261" t="s">
        <v>17</v>
      </c>
      <c r="C10" s="261" t="s">
        <v>61</v>
      </c>
      <c r="D10" s="5">
        <f>IFERROR(INDEX('Input 16.1_2018VOL-YTD'!$C$4:$N$300, MATCH($C10,'Input 16.1_2018VOL-YTD'!$R$4:$R$300,0),MATCH(D$2,'Input 16.1_2018VOL-YTD'!$C$1:$N$1,0))/INDEX('Input 16_2018CUST-YTD'!$D$4:$O$300,MATCH($C10,'Input 16_2018CUST-YTD'!$S$4:$S$300,0),MATCH(D$2,'Input 16_2018CUST-YTD'!$C$1:$O$1,0)),0)</f>
        <v>75.201875000000001</v>
      </c>
      <c r="E10" s="5">
        <f>IFERROR(INDEX('Input 16.1_2018VOL-YTD'!$C$4:$N$300, MATCH($C10,'Input 16.1_2018VOL-YTD'!$R$4:$R$300,0),MATCH(E$2,'Input 16.1_2018VOL-YTD'!$C$1:$N$1,0))/INDEX('Input 16_2018CUST-YTD'!$D$4:$O$300,MATCH($C10,'Input 16_2018CUST-YTD'!$S$4:$S$300,0),MATCH(E$2,'Input 16_2018CUST-YTD'!$C$1:$O$1,0)),0)</f>
        <v>67.678124999999994</v>
      </c>
      <c r="F10" s="5">
        <f>IFERROR(INDEX('Input 16.1_2018VOL-YTD'!$C$4:$N$300, MATCH($C10,'Input 16.1_2018VOL-YTD'!$R$4:$R$300,0),MATCH(F$2,'Input 16.1_2018VOL-YTD'!$C$1:$N$1,0))/INDEX('Input 16_2018CUST-YTD'!$D$4:$O$300,MATCH($C10,'Input 16_2018CUST-YTD'!$S$4:$S$300,0),MATCH(F$2,'Input 16_2018CUST-YTD'!$C$1:$O$1,0)),0)</f>
        <v>60.779499999999999</v>
      </c>
      <c r="G10" s="5">
        <f>IFERROR(INDEX('Input 16.1_2018VOL-YTD'!$C$4:$N$300, MATCH($C10,'Input 16.1_2018VOL-YTD'!$R$4:$R$300,0),MATCH(G$2,'Input 16.1_2018VOL-YTD'!$C$1:$N$1,0))/INDEX('Input 16_2018CUST-YTD'!$D$4:$O$300,MATCH($C10,'Input 16_2018CUST-YTD'!$S$4:$S$300,0),MATCH(G$2,'Input 16_2018CUST-YTD'!$C$1:$O$1,0)),0)</f>
        <v>91.512</v>
      </c>
      <c r="H10" s="5">
        <f>IFERROR(INDEX('Input 16.1_2018VOL-YTD'!$C$4:$N$300, MATCH($C10,'Input 16.1_2018VOL-YTD'!$R$4:$R$300,0),MATCH(H$2,'Input 16.1_2018VOL-YTD'!$C$1:$N$1,0))/INDEX('Input 16_2018CUST-YTD'!$D$4:$O$300,MATCH($C10,'Input 16_2018CUST-YTD'!$S$4:$S$300,0),MATCH(H$2,'Input 16_2018CUST-YTD'!$C$1:$O$1,0)),0)</f>
        <v>35.140526315789472</v>
      </c>
      <c r="I10" s="5">
        <f>IFERROR(INDEX('Input 16.1_2018VOL-YTD'!$C$4:$N$300, MATCH($C10,'Input 16.1_2018VOL-YTD'!$R$4:$R$300,0),MATCH(I$2,'Input 16.1_2018VOL-YTD'!$C$1:$N$1,0))/INDEX('Input 16_2018CUST-YTD'!$D$4:$O$300,MATCH($C10,'Input 16_2018CUST-YTD'!$S$4:$S$300,0),MATCH(I$2,'Input 16_2018CUST-YTD'!$C$1:$O$1,0)),0)</f>
        <v>30.781052631578948</v>
      </c>
      <c r="J10" s="5">
        <f>IFERROR(INDEX('Input 16.1_2018VOL-YTD'!$C$4:$N$300, MATCH($C10,'Input 16.1_2018VOL-YTD'!$R$4:$R$300,0),MATCH(J$2,'Input 16.1_2018VOL-YTD'!$C$1:$N$1,0))/INDEX('Input 16_2018CUST-YTD'!$D$4:$O$300,MATCH($C10,'Input 16_2018CUST-YTD'!$S$4:$S$300,0),MATCH(J$2,'Input 16_2018CUST-YTD'!$C$1:$O$1,0)),0)</f>
        <v>28.684210526315791</v>
      </c>
      <c r="K10" s="5">
        <f>IFERROR(INDEX('Input 16.1_2018VOL-YTD'!$C$4:$N$300, MATCH($C10,'Input 16.1_2018VOL-YTD'!$R$4:$R$300,0),MATCH(K$2,'Input 16.1_2018VOL-YTD'!$C$1:$N$1,0))/INDEX('Input 16_2018CUST-YTD'!$D$4:$O$300,MATCH($C10,'Input 16_2018CUST-YTD'!$S$4:$S$300,0),MATCH(K$2,'Input 16_2018CUST-YTD'!$C$1:$O$1,0)),0)</f>
        <v>26.049473684210525</v>
      </c>
      <c r="L10" s="5">
        <f>IFERROR(INDEX('Input 16.1_2018VOL-YTD'!$C$4:$N$300, MATCH($C10,'Input 16.1_2018VOL-YTD'!$R$4:$R$300,0),MATCH(L$2,'Input 16.1_2018VOL-YTD'!$C$1:$N$1,0))/INDEX('Input 16_2018CUST-YTD'!$D$4:$O$300,MATCH($C10,'Input 16_2018CUST-YTD'!$S$4:$S$300,0),MATCH(L$2,'Input 16_2018CUST-YTD'!$C$1:$O$1,0)),0)</f>
        <v>17.756315789473685</v>
      </c>
      <c r="M10" s="5">
        <f>IFERROR(INDEX('Input 16.1_2018VOL-YTD'!$C$4:$N$300, MATCH($C10,'Input 16.1_2018VOL-YTD'!$R$4:$R$300,0),MATCH(M$2,'Input 16.1_2018VOL-YTD'!$C$1:$N$1,0))/INDEX('Input 16_2018CUST-YTD'!$D$4:$O$300,MATCH($C10,'Input 16_2018CUST-YTD'!$S$4:$S$300,0),MATCH(M$2,'Input 16_2018CUST-YTD'!$C$1:$O$1,0)),0)</f>
        <v>18.233499999999999</v>
      </c>
      <c r="N10" s="5">
        <f>IFERROR(INDEX('Input 16.1_2018VOL-YTD'!$C$4:$N$300, MATCH($C10,'Input 16.1_2018VOL-YTD'!$R$4:$R$300,0),MATCH(N$2,'Input 16.1_2018VOL-YTD'!$C$1:$N$1,0))/INDEX('Input 16_2018CUST-YTD'!$D$4:$O$300,MATCH($C10,'Input 16_2018CUST-YTD'!$S$4:$S$300,0),MATCH(N$2,'Input 16_2018CUST-YTD'!$C$1:$O$1,0)),0)</f>
        <v>34.69</v>
      </c>
      <c r="O10" s="5">
        <f>IFERROR(INDEX('Input 16.1_2018VOL-YTD'!$C$4:$N$300, MATCH($C10,'Input 16.1_2018VOL-YTD'!$R$4:$R$300,0),MATCH(O$2,'Input 16.1_2018VOL-YTD'!$C$1:$N$1,0))/INDEX('Input 16_2018CUST-YTD'!$D$4:$O$300,MATCH($C10,'Input 16_2018CUST-YTD'!$S$4:$S$300,0),MATCH(O$2,'Input 16_2018CUST-YTD'!$C$1:$O$1,0)),0)</f>
        <v>57.524999999999991</v>
      </c>
      <c r="P10" s="271">
        <f t="shared" si="1"/>
        <v>91.512</v>
      </c>
      <c r="Q10" s="261">
        <f t="shared" si="2"/>
        <v>4</v>
      </c>
      <c r="S10" s="5">
        <f>IFERROR(INDEX('Input 3.1_2019VOL-YTD'!$C$4:$N$300, MATCH($C10,'Input 3.1_2019VOL-YTD'!$R$4:$R$300,0),MATCH(S$2,'Input 3.1_2019VOL-YTD'!$C$1:$N$1,0))/INDEX('Input 3_2019CUST-YTD'!$C$4:$N$300,MATCH($C10,'Input 3_2019CUST-YTD'!$S$4:$S$300,0),MATCH(S$2,'Input 3_2019CUST-YTD'!$C$1:$N$1,0)),0)</f>
        <v>83.416842105263157</v>
      </c>
      <c r="T10" s="5">
        <f>IFERROR(INDEX('Input 3.1_2019VOL-YTD'!$C$4:$N$300, MATCH($C10,'Input 3.1_2019VOL-YTD'!$R$4:$R$300,0),MATCH(T$2,'Input 3.1_2019VOL-YTD'!$C$1:$N$1,0))/INDEX('Input 3_2019CUST-YTD'!$C$4:$N$300,MATCH($C10,'Input 3_2019CUST-YTD'!$S$4:$S$300,0),MATCH(T$2,'Input 3_2019CUST-YTD'!$C$1:$N$1,0)),0)</f>
        <v>65.319999999999993</v>
      </c>
      <c r="U10" s="5">
        <f>IFERROR(INDEX('Input 3.1_2019VOL-YTD'!$C$4:$N$300, MATCH($C10,'Input 3.1_2019VOL-YTD'!$R$4:$R$300,0),MATCH(U$2,'Input 3.1_2019VOL-YTD'!$C$1:$N$1,0))/INDEX('Input 3_2019CUST-YTD'!$C$4:$N$300,MATCH($C10,'Input 3_2019CUST-YTD'!$S$4:$S$300,0),MATCH(U$2,'Input 3_2019CUST-YTD'!$C$1:$N$1,0)),0)</f>
        <v>70.897894736842105</v>
      </c>
      <c r="V10" s="5">
        <f>IFERROR(INDEX('Input 3.1_2019VOL-YTD'!$C$4:$N$300, MATCH($C10,'Input 3.1_2019VOL-YTD'!$R$4:$R$300,0),MATCH(V$2,'Input 3.1_2019VOL-YTD'!$C$1:$N$1,0))/INDEX('Input 3_2019CUST-YTD'!$C$4:$N$300,MATCH($C10,'Input 3_2019CUST-YTD'!$S$4:$S$300,0),MATCH(V$2,'Input 3_2019CUST-YTD'!$C$1:$N$1,0)),0)</f>
        <v>85.42263157894736</v>
      </c>
      <c r="W10" s="5">
        <f>IFERROR(INDEX('Input 3.1_2019VOL-YTD'!$C$4:$N$300, MATCH($C10,'Input 3.1_2019VOL-YTD'!$R$4:$R$300,0),MATCH(W$2,'Input 3.1_2019VOL-YTD'!$C$1:$N$1,0))/INDEX('Input 3_2019CUST-YTD'!$C$4:$N$300,MATCH($C10,'Input 3_2019CUST-YTD'!$S$4:$S$300,0),MATCH(W$2,'Input 3_2019CUST-YTD'!$C$1:$N$1,0)),0)</f>
        <v>34.869999999999997</v>
      </c>
      <c r="X10" s="5">
        <f>IFERROR(INDEX('Input 3.1_2019VOL-YTD'!$C$4:$N$300, MATCH($C10,'Input 3.1_2019VOL-YTD'!$R$4:$R$300,0),MATCH(X$2,'Input 3.1_2019VOL-YTD'!$C$1:$N$1,0))/INDEX('Input 3_2019CUST-YTD'!$C$4:$N$300,MATCH($C10,'Input 3_2019CUST-YTD'!$S$4:$S$300,0),MATCH(X$2,'Input 3_2019CUST-YTD'!$C$1:$N$1,0)),0)</f>
        <v>22.190555555555555</v>
      </c>
      <c r="Y10" s="5">
        <f>IFERROR(INDEX('Input 3.1_2019VOL-YTD'!$C$4:$N$300, MATCH($C10,'Input 3.1_2019VOL-YTD'!$R$4:$R$300,0),MATCH(Y$2,'Input 3.1_2019VOL-YTD'!$C$1:$N$1,0))/INDEX('Input 3_2019CUST-YTD'!$C$4:$N$300,MATCH($C10,'Input 3_2019CUST-YTD'!$S$4:$S$300,0),MATCH(Y$2,'Input 3_2019CUST-YTD'!$C$1:$N$1,0)),0)</f>
        <v>17.943333333333335</v>
      </c>
      <c r="Z10" s="5">
        <f>IFERROR(INDEX('Input 3.1_2019VOL-YTD'!$C$4:$N$300, MATCH($C10,'Input 3.1_2019VOL-YTD'!$R$4:$R$300,0),MATCH(Z$2,'Input 3.1_2019VOL-YTD'!$C$1:$N$1,0))/INDEX('Input 3_2019CUST-YTD'!$C$4:$N$300,MATCH($C10,'Input 3_2019CUST-YTD'!$S$4:$S$300,0),MATCH(Z$2,'Input 3_2019CUST-YTD'!$C$1:$N$1,0)),0)</f>
        <v>22.335555555555558</v>
      </c>
      <c r="AA10" s="5">
        <f>IFERROR(INDEX('Input 3.1_2019VOL-YTD'!$C$4:$N$300, MATCH($C10,'Input 3.1_2019VOL-YTD'!$R$4:$R$300,0),MATCH(AA$2,'Input 3.1_2019VOL-YTD'!$C$1:$N$1,0))/INDEX('Input 3_2019CUST-YTD'!$C$4:$N$300,MATCH($C10,'Input 3_2019CUST-YTD'!$S$4:$S$300,0),MATCH(AA$2,'Input 3_2019CUST-YTD'!$C$1:$N$1,0)),0)</f>
        <v>16.750555555555554</v>
      </c>
      <c r="AB10" s="5">
        <f>IFERROR(INDEX('Input 3.1_2019VOL-YTD'!$C$4:$N$300, MATCH($C10,'Input 3.1_2019VOL-YTD'!$R$4:$R$300,0),MATCH(AB$2,'Input 3.1_2019VOL-YTD'!$C$1:$N$1,0))/INDEX('Input 3_2019CUST-YTD'!$C$4:$N$300,MATCH($C10,'Input 3_2019CUST-YTD'!$S$4:$S$300,0),MATCH(AB$2,'Input 3_2019CUST-YTD'!$C$1:$N$1,0)),0)</f>
        <v>21.232777777777777</v>
      </c>
      <c r="AC10" s="5">
        <f>IFERROR(INDEX('Input 3.1_2019VOL-YTD'!$C$4:$N$300, MATCH($C10,'Input 3.1_2019VOL-YTD'!$R$4:$R$300,0),MATCH(AC$2,'Input 3.1_2019VOL-YTD'!$C$1:$N$1,0))/INDEX('Input 3_2019CUST-YTD'!$C$4:$N$300,MATCH($C10,'Input 3_2019CUST-YTD'!$S$4:$S$300,0),MATCH(AC$2,'Input 3_2019CUST-YTD'!$C$1:$N$1,0)),0)</f>
        <v>41.73842105263158</v>
      </c>
      <c r="AD10" s="5">
        <f>IFERROR(INDEX('Input 3.1_2019VOL-YTD'!$C$4:$N$300, MATCH($C10,'Input 3.1_2019VOL-YTD'!$R$4:$R$300,0),MATCH(AD$2,'Input 3.1_2019VOL-YTD'!$C$1:$N$1,0))/INDEX('Input 3_2019CUST-YTD'!$C$4:$N$300,MATCH($C10,'Input 3_2019CUST-YTD'!$S$4:$S$300,0),MATCH(AD$2,'Input 3_2019CUST-YTD'!$C$1:$N$1,0)),0)</f>
        <v>93.64473684210526</v>
      </c>
      <c r="AE10" s="272">
        <f t="shared" si="3"/>
        <v>93.64473684210526</v>
      </c>
      <c r="AF10" s="261">
        <f t="shared" si="4"/>
        <v>12</v>
      </c>
      <c r="AH10" s="262">
        <f>IFERROR(INDEX('Input 4.1_2020VOL-YTD'!$C$4:$O$300, MATCH($C10,'Input 4.1_2020VOL-YTD'!$R$4:$R$300,0),MATCH(AH$2,'Input 4.1_2020VOL-YTD'!$C$1:$O$1,0))/INDEX('Input 4_2020CUST-YTD'!$C$4:O$300,MATCH($C10,'Input 4_2020CUST-YTD'!$S$4:$S$300,0),MATCH(AH$2,'Input 4_2020CUST-YTD'!$C$1:$O$1,0)),0)</f>
        <v>94.939473684210526</v>
      </c>
      <c r="AI10" s="262">
        <f>IFERROR(INDEX('Input 4.1_2020VOL-YTD'!$C$4:$O$300, MATCH($C10,'Input 4.1_2020VOL-YTD'!$R$4:$R$300,0),MATCH(AI$2,'Input 4.1_2020VOL-YTD'!$C$1:$O$1,0))/INDEX('Input 4_2020CUST-YTD'!$C$4:P$300,MATCH($C10,'Input 4_2020CUST-YTD'!$S$4:$S$300,0),MATCH(AI$2,'Input 4_2020CUST-YTD'!$C$1:$O$1,0)),0)</f>
        <v>90.7221052631579</v>
      </c>
      <c r="AJ10" s="262">
        <f>IFERROR(INDEX('Input 4.1_2020VOL-YTD'!$C$4:$O$300, MATCH($C10,'Input 4.1_2020VOL-YTD'!$R$4:$R$300,0),MATCH(AJ$2,'Input 4.1_2020VOL-YTD'!$C$1:$O$1,0))/INDEX('Input 4_2020CUST-YTD'!$C$4:Q$300,MATCH($C10,'Input 4_2020CUST-YTD'!$S$4:$S$300,0),MATCH(AJ$2,'Input 4_2020CUST-YTD'!$C$1:$O$1,0)),0)</f>
        <v>73.398499999999999</v>
      </c>
      <c r="AK10" s="262">
        <f>IFERROR(INDEX('Input 4.1_2020VOL-YTD'!$C$4:$O$300, MATCH($C10,'Input 4.1_2020VOL-YTD'!$R$4:$R$300,0),MATCH(AK$2,'Input 4.1_2020VOL-YTD'!$C$1:$O$1,0))/INDEX('Input 4_2020CUST-YTD'!$C$4:R$300,MATCH($C10,'Input 4_2020CUST-YTD'!$S$4:$S$300,0),MATCH(AK$2,'Input 4_2020CUST-YTD'!$C$1:$O$1,0)),0)</f>
        <v>38.43</v>
      </c>
      <c r="AL10" s="262">
        <f>IFERROR(INDEX('Input 4.1_2020VOL-YTD'!$C$4:$O$300, MATCH($C10,'Input 4.1_2020VOL-YTD'!$R$4:$R$300,0),MATCH(AL$2,'Input 4.1_2020VOL-YTD'!$C$1:$O$1,0))/INDEX('Input 4_2020CUST-YTD'!$C$4:S$300,MATCH($C10,'Input 4_2020CUST-YTD'!$S$4:$S$300,0),MATCH(AL$2,'Input 4_2020CUST-YTD'!$C$1:$O$1,0)),0)</f>
        <v>10.439499999999999</v>
      </c>
      <c r="AM10" s="262">
        <f>IFERROR(INDEX('Input 4.1_2020VOL-YTD'!$C$4:$O$300, MATCH($C10,'Input 4.1_2020VOL-YTD'!$R$4:$R$300,0),MATCH(AM$2,'Input 4.1_2020VOL-YTD'!$C$1:$O$1,0))/INDEX('Input 4_2020CUST-YTD'!$C$4:T$300,MATCH($C10,'Input 4_2020CUST-YTD'!$S$4:$S$300,0),MATCH(AM$2,'Input 4_2020CUST-YTD'!$C$1:$O$1,0)),0)</f>
        <v>17.427</v>
      </c>
      <c r="AN10" s="262">
        <f>IFERROR(INDEX('Input 4.1_2020VOL-YTD'!$C$4:$O$300, MATCH($C10,'Input 4.1_2020VOL-YTD'!$R$4:$R$300,0),MATCH(AN$2,'Input 4.1_2020VOL-YTD'!$C$1:$O$1,0))/INDEX('Input 4_2020CUST-YTD'!$C$4:U$300,MATCH($C10,'Input 4_2020CUST-YTD'!$S$4:$S$300,0),MATCH(AN$2,'Input 4_2020CUST-YTD'!$C$1:$O$1,0)),0)</f>
        <v>20.189</v>
      </c>
      <c r="AO10" s="262">
        <f>IFERROR(INDEX('Input 4.1_2020VOL-YTD'!$C$4:$O$300, MATCH($C10,'Input 4.1_2020VOL-YTD'!$R$4:$R$300,0),MATCH(AO$2,'Input 4.1_2020VOL-YTD'!$C$1:$O$1,0))/INDEX('Input 4_2020CUST-YTD'!$C$4:V$300,MATCH($C10,'Input 4_2020CUST-YTD'!$S$4:$S$300,0),MATCH(AO$2,'Input 4_2020CUST-YTD'!$C$1:$O$1,0)),0)</f>
        <v>17.762</v>
      </c>
      <c r="AP10" s="262">
        <f>IFERROR(INDEX('Input 4.1_2020VOL-YTD'!$C$4:$O$300, MATCH($C10,'Input 4.1_2020VOL-YTD'!$R$4:$R$300,0),MATCH(AP$2,'Input 4.1_2020VOL-YTD'!$C$1:$O$1,0))/INDEX('Input 4_2020CUST-YTD'!$C$4:W$300,MATCH($C10,'Input 4_2020CUST-YTD'!$S$4:$S$300,0),MATCH(AP$2,'Input 4_2020CUST-YTD'!$C$1:$O$1,0)),0)</f>
        <v>19.6235</v>
      </c>
      <c r="AQ10" s="262">
        <f>IFERROR(INDEX('Input 4.1_2020VOL-YTD'!$C$4:$O$300, MATCH($C10,'Input 4.1_2020VOL-YTD'!$R$4:$R$300,0),MATCH(AQ$2,'Input 4.1_2020VOL-YTD'!$C$1:$O$1,0))/INDEX('Input 4_2020CUST-YTD'!$C$4:X$300,MATCH($C10,'Input 4_2020CUST-YTD'!$S$4:$S$300,0),MATCH(AQ$2,'Input 4_2020CUST-YTD'!$C$1:$O$1,0)),0)</f>
        <v>27.012857142857143</v>
      </c>
      <c r="AR10" s="262">
        <f>IFERROR(INDEX('Input 4.1_2020VOL-YTD'!$C$4:$O$300, MATCH($C10,'Input 4.1_2020VOL-YTD'!$R$4:$R$300,0),MATCH(AR$2,'Input 4.1_2020VOL-YTD'!$C$1:$O$1,0))/INDEX('Input 4_2020CUST-YTD'!$C$4:Y$300,MATCH($C10,'Input 4_2020CUST-YTD'!$S$4:$S$300,0),MATCH(AR$2,'Input 4_2020CUST-YTD'!$C$1:$O$1,0)),0)</f>
        <v>40.481000000000002</v>
      </c>
      <c r="AS10" s="262">
        <f>IFERROR(INDEX('Input 4.1_2020VOL-YTD'!$C$4:$O$300, MATCH($C10,'Input 4.1_2020VOL-YTD'!$R$4:$R$300,0),MATCH(AS$2,'Input 4.1_2020VOL-YTD'!$C$1:$O$1,0))/INDEX('Input 4_2020CUST-YTD'!$C$4:Z$300,MATCH($C10,'Input 4_2020CUST-YTD'!$S$4:$S$300,0),MATCH(AS$2,'Input 4_2020CUST-YTD'!$C$1:$O$1,0)),0)</f>
        <v>70.575999999999993</v>
      </c>
      <c r="AT10" s="190">
        <f t="shared" si="5"/>
        <v>94.939473684210526</v>
      </c>
      <c r="AU10" s="261">
        <f t="shared" si="6"/>
        <v>1</v>
      </c>
      <c r="AW10" s="1">
        <f>IFERROR(INDEX('Input 5.1_2021VOL-YTD'!$C$3:$N$150, MATCH($C10,'Input 5.1_2021VOL-YTD'!$R$3:$R$150,0),MATCH(AW$2,'Input 5.1_2021VOL-YTD'!$C$1:$N$1,0))/INDEX('Input 5_2021CUST-YTD'!$C$3:$N$150,MATCH($C10,'Input 5_2021CUST-YTD'!$S$3:$S$150,0),MATCH(AW$2,'Input 5_2021CUST-YTD'!$C$1:$N$1,0)),0)</f>
        <v>68.594000000000008</v>
      </c>
      <c r="AX10" s="1">
        <f>IFERROR(INDEX('Input 5.1_2021VOL-YTD'!$C$3:$N$150, MATCH($C10,'Input 5.1_2021VOL-YTD'!$R$3:$R$150,0),MATCH(AX$2,'Input 5.1_2021VOL-YTD'!$C$1:$N$1,0))/INDEX('Input 5_2021CUST-YTD'!$C$3:$N$150,MATCH($C10,'Input 5_2021CUST-YTD'!$S$3:$S$150,0),MATCH(AX$2,'Input 5_2021CUST-YTD'!$C$1:$N$1,0)),0)</f>
        <v>52.495000000000005</v>
      </c>
      <c r="AY10" s="1">
        <f>IFERROR(INDEX('Input 5.1_2021VOL-YTD'!$C$3:$N$150, MATCH($C10,'Input 5.1_2021VOL-YTD'!$R$3:$R$150,0),MATCH(AY$2,'Input 5.1_2021VOL-YTD'!$C$1:$N$1,0))/INDEX('Input 5_2021CUST-YTD'!$C$3:$N$150,MATCH($C10,'Input 5_2021CUST-YTD'!$S$3:$S$150,0),MATCH(AY$2,'Input 5_2021CUST-YTD'!$C$1:$N$1,0)),0)</f>
        <v>70.200999999999993</v>
      </c>
      <c r="AZ10" s="1">
        <f>IFERROR(INDEX('Input 5.1_2021VOL-YTD'!$C$3:$N$150, MATCH($C10,'Input 5.1_2021VOL-YTD'!$R$3:$R$150,0),MATCH(AZ$2,'Input 5.1_2021VOL-YTD'!$C$1:$N$1,0))/INDEX('Input 5_2021CUST-YTD'!$C$3:$N$150,MATCH($C10,'Input 5_2021CUST-YTD'!$S$3:$S$150,0),MATCH(AZ$2,'Input 5_2021CUST-YTD'!$C$1:$N$1,0)),0)</f>
        <v>75.596000000000004</v>
      </c>
      <c r="BA10" s="1">
        <f>IFERROR(INDEX('Input 5.1_2021VOL-YTD'!$C$3:$N$150, MATCH($C10,'Input 5.1_2021VOL-YTD'!$R$3:$R$150,0),MATCH(BA$2,'Input 5.1_2021VOL-YTD'!$C$1:$N$1,0))/INDEX('Input 5_2021CUST-YTD'!$C$3:$N$150,MATCH($C10,'Input 5_2021CUST-YTD'!$S$3:$S$150,0),MATCH(BA$2,'Input 5_2021CUST-YTD'!$C$1:$N$1,0)),0)</f>
        <v>39.891000000000005</v>
      </c>
      <c r="BB10" s="1">
        <f>IFERROR(INDEX('Input 5.1_2021VOL-YTD'!$C$3:$N$150, MATCH($C10,'Input 5.1_2021VOL-YTD'!$R$3:$R$150,0),MATCH(BB$2,'Input 5.1_2021VOL-YTD'!$C$1:$N$1,0))/INDEX('Input 5_2021CUST-YTD'!$C$3:$N$150,MATCH($C10,'Input 5_2021CUST-YTD'!$S$3:$S$150,0),MATCH(BB$2,'Input 5_2021CUST-YTD'!$C$1:$N$1,0)),0)</f>
        <v>30.926842105263159</v>
      </c>
      <c r="BC10" s="1">
        <f>IFERROR(INDEX('Input 5.1_2021VOL-YTD'!$C$3:$N$150, MATCH($C10,'Input 5.1_2021VOL-YTD'!$R$3:$R$150,0),MATCH(BC$2,'Input 5.1_2021VOL-YTD'!$C$1:$N$1,0))/INDEX('Input 5_2021CUST-YTD'!$C$3:$N$150,MATCH($C10,'Input 5_2021CUST-YTD'!$S$3:$S$150,0),MATCH(BC$2,'Input 5_2021CUST-YTD'!$C$1:$N$1,0)),0)</f>
        <v>23.266500000000001</v>
      </c>
      <c r="BD10" s="1">
        <f>IFERROR(INDEX('Input 5.1_2021VOL-YTD'!$C$3:$N$150, MATCH($C10,'Input 5.1_2021VOL-YTD'!$R$3:$R$150,0),MATCH(BD$2,'Input 5.1_2021VOL-YTD'!$C$1:$N$1,0))/INDEX('Input 5_2021CUST-YTD'!$C$3:$N$150,MATCH($C10,'Input 5_2021CUST-YTD'!$S$3:$S$150,0),MATCH(BD$2,'Input 5_2021CUST-YTD'!$C$1:$N$1,0)),0)</f>
        <v>22.333684210526314</v>
      </c>
      <c r="BE10" s="1">
        <f>IFERROR(INDEX('Input 5.1_2021VOL-YTD'!$C$3:$N$150, MATCH($C10,'Input 5.1_2021VOL-YTD'!$R$3:$R$150,0),MATCH(BE$2,'Input 5.1_2021VOL-YTD'!$C$1:$N$1,0))/INDEX('Input 5_2021CUST-YTD'!$C$3:$N$150,MATCH($C10,'Input 5_2021CUST-YTD'!$S$3:$S$150,0),MATCH(BE$2,'Input 5_2021CUST-YTD'!$C$1:$N$1,0)),0)</f>
        <v>21.216315789473686</v>
      </c>
      <c r="BF10" s="1">
        <f>IFERROR(INDEX('Input 5.1_2021VOL-YTD'!$C$3:$N$150, MATCH($C10,'Input 5.1_2021VOL-YTD'!$R$3:$R$150,0),MATCH(BF$2,'Input 5.1_2021VOL-YTD'!$C$1:$N$1,0))/INDEX('Input 5_2021CUST-YTD'!$C$3:$N$150,MATCH($C10,'Input 5_2021CUST-YTD'!$S$3:$S$150,0),MATCH(BF$2,'Input 5_2021CUST-YTD'!$C$1:$N$1,0)),0)</f>
        <v>31.949473684210524</v>
      </c>
      <c r="BG10" s="1">
        <f>IFERROR(INDEX('Input 5.1_2021VOL-YTD'!$C$3:$N$150, MATCH($C10,'Input 5.1_2021VOL-YTD'!$R$3:$R$150,0),MATCH(BG$2,'Input 5.1_2021VOL-YTD'!$C$1:$N$1,0))/INDEX('Input 5_2021CUST-YTD'!$C$3:$N$150,MATCH($C10,'Input 5_2021CUST-YTD'!$S$3:$S$150,0),MATCH(BG$2,'Input 5_2021CUST-YTD'!$C$1:$N$1,0)),0)</f>
        <v>49.68</v>
      </c>
      <c r="BH10" s="1">
        <f>IFERROR(INDEX('Input 5.1_2021VOL-YTD'!$C$3:$N$150, MATCH($C10,'Input 5.1_2021VOL-YTD'!$R$3:$R$150,0),MATCH(BH$2,'Input 5.1_2021VOL-YTD'!$C$1:$N$1,0))/INDEX('Input 5_2021CUST-YTD'!$C$3:$N$150,MATCH($C10,'Input 5_2021CUST-YTD'!$S$3:$S$150,0),MATCH(BH$2,'Input 5_2021CUST-YTD'!$C$1:$N$1,0)),0)</f>
        <v>69.9495</v>
      </c>
      <c r="BI10" s="190">
        <f t="shared" si="7"/>
        <v>75.596000000000004</v>
      </c>
      <c r="BJ10" s="261">
        <f t="shared" si="8"/>
        <v>4</v>
      </c>
    </row>
    <row r="11" spans="1:62">
      <c r="A11" s="261" t="s">
        <v>8</v>
      </c>
      <c r="B11" s="261" t="s">
        <v>17</v>
      </c>
      <c r="C11" s="261" t="s">
        <v>1389</v>
      </c>
      <c r="D11" s="5">
        <f>IFERROR(INDEX('Input 16.1_2018VOL-YTD'!$C$4:$N$300, MATCH($C11,'Input 16.1_2018VOL-YTD'!$R$4:$R$300,0),MATCH(D$2,'Input 16.1_2018VOL-YTD'!$C$1:$N$1,0))/INDEX('Input 16_2018CUST-YTD'!$D$4:$O$300,MATCH($C11,'Input 16_2018CUST-YTD'!$S$4:$S$300,0),MATCH(D$2,'Input 16_2018CUST-YTD'!$C$1:$O$1,0)),0)</f>
        <v>126.13469476744172</v>
      </c>
      <c r="E11" s="5">
        <f>IFERROR(INDEX('Input 16.1_2018VOL-YTD'!$C$4:$N$300, MATCH($C11,'Input 16.1_2018VOL-YTD'!$R$4:$R$300,0),MATCH(E$2,'Input 16.1_2018VOL-YTD'!$C$1:$N$1,0))/INDEX('Input 16_2018CUST-YTD'!$D$4:$O$300,MATCH($C11,'Input 16_2018CUST-YTD'!$S$4:$S$300,0),MATCH(E$2,'Input 16_2018CUST-YTD'!$C$1:$O$1,0)),0)</f>
        <v>88.090116110304933</v>
      </c>
      <c r="F11" s="5">
        <f>IFERROR(INDEX('Input 16.1_2018VOL-YTD'!$C$4:$N$300, MATCH($C11,'Input 16.1_2018VOL-YTD'!$R$4:$R$300,0),MATCH(F$2,'Input 16.1_2018VOL-YTD'!$C$1:$N$1,0))/INDEX('Input 16_2018CUST-YTD'!$D$4:$O$300,MATCH($C11,'Input 16_2018CUST-YTD'!$S$4:$S$300,0),MATCH(F$2,'Input 16_2018CUST-YTD'!$C$1:$O$1,0)),0)</f>
        <v>98.468406593406598</v>
      </c>
      <c r="G11" s="5">
        <f>IFERROR(INDEX('Input 16.1_2018VOL-YTD'!$C$4:$N$300, MATCH($C11,'Input 16.1_2018VOL-YTD'!$R$4:$R$300,0),MATCH(G$2,'Input 16.1_2018VOL-YTD'!$C$1:$N$1,0))/INDEX('Input 16_2018CUST-YTD'!$D$4:$O$300,MATCH($C11,'Input 16_2018CUST-YTD'!$S$4:$S$300,0),MATCH(G$2,'Input 16_2018CUST-YTD'!$C$1:$O$1,0)),0)</f>
        <v>100.10567267683787</v>
      </c>
      <c r="H11" s="5">
        <f>IFERROR(INDEX('Input 16.1_2018VOL-YTD'!$C$4:$N$300, MATCH($C11,'Input 16.1_2018VOL-YTD'!$R$4:$R$300,0),MATCH(H$2,'Input 16.1_2018VOL-YTD'!$C$1:$N$1,0))/INDEX('Input 16_2018CUST-YTD'!$D$4:$O$300,MATCH($C11,'Input 16_2018CUST-YTD'!$S$4:$S$300,0),MATCH(H$2,'Input 16_2018CUST-YTD'!$C$1:$O$1,0)),0)</f>
        <v>47.694590846047163</v>
      </c>
      <c r="I11" s="5">
        <f>IFERROR(INDEX('Input 16.1_2018VOL-YTD'!$C$4:$N$300, MATCH($C11,'Input 16.1_2018VOL-YTD'!$R$4:$R$300,0),MATCH(I$2,'Input 16.1_2018VOL-YTD'!$C$1:$N$1,0))/INDEX('Input 16_2018CUST-YTD'!$D$4:$O$300,MATCH($C11,'Input 16_2018CUST-YTD'!$S$4:$S$300,0),MATCH(I$2,'Input 16_2018CUST-YTD'!$C$1:$O$1,0)),0)</f>
        <v>32.845810439560438</v>
      </c>
      <c r="J11" s="5">
        <f>IFERROR(INDEX('Input 16.1_2018VOL-YTD'!$C$4:$N$300, MATCH($C11,'Input 16.1_2018VOL-YTD'!$R$4:$R$300,0),MATCH(J$2,'Input 16.1_2018VOL-YTD'!$C$1:$N$1,0))/INDEX('Input 16_2018CUST-YTD'!$D$4:$O$300,MATCH($C11,'Input 16_2018CUST-YTD'!$S$4:$S$300,0),MATCH(J$2,'Input 16_2018CUST-YTD'!$C$1:$O$1,0)),0)</f>
        <v>24.739191073919109</v>
      </c>
      <c r="K11" s="5">
        <f>IFERROR(INDEX('Input 16.1_2018VOL-YTD'!$C$4:$N$300, MATCH($C11,'Input 16.1_2018VOL-YTD'!$R$4:$R$300,0),MATCH(K$2,'Input 16.1_2018VOL-YTD'!$C$1:$N$1,0))/INDEX('Input 16_2018CUST-YTD'!$D$4:$O$300,MATCH($C11,'Input 16_2018CUST-YTD'!$S$4:$S$300,0),MATCH(K$2,'Input 16_2018CUST-YTD'!$C$1:$O$1,0)),0)</f>
        <v>22.862732316227461</v>
      </c>
      <c r="L11" s="5">
        <f>IFERROR(INDEX('Input 16.1_2018VOL-YTD'!$C$4:$N$300, MATCH($C11,'Input 16.1_2018VOL-YTD'!$R$4:$R$300,0),MATCH(L$2,'Input 16.1_2018VOL-YTD'!$C$1:$N$1,0))/INDEX('Input 16_2018CUST-YTD'!$D$4:$O$300,MATCH($C11,'Input 16_2018CUST-YTD'!$S$4:$S$300,0),MATCH(L$2,'Input 16_2018CUST-YTD'!$C$1:$O$1,0)),0)</f>
        <v>21.194033379694019</v>
      </c>
      <c r="M11" s="5">
        <f>IFERROR(INDEX('Input 16.1_2018VOL-YTD'!$C$4:$N$300, MATCH($C11,'Input 16.1_2018VOL-YTD'!$R$4:$R$300,0),MATCH(M$2,'Input 16.1_2018VOL-YTD'!$C$1:$N$1,0))/INDEX('Input 16_2018CUST-YTD'!$D$4:$O$300,MATCH($C11,'Input 16_2018CUST-YTD'!$S$4:$S$300,0),MATCH(M$2,'Input 16_2018CUST-YTD'!$C$1:$O$1,0)),0)</f>
        <v>25.133911845730029</v>
      </c>
      <c r="N11" s="5">
        <f>IFERROR(INDEX('Input 16.1_2018VOL-YTD'!$C$4:$N$300, MATCH($C11,'Input 16.1_2018VOL-YTD'!$R$4:$R$300,0),MATCH(N$2,'Input 16.1_2018VOL-YTD'!$C$1:$N$1,0))/INDEX('Input 16_2018CUST-YTD'!$D$4:$O$300,MATCH($C11,'Input 16_2018CUST-YTD'!$S$4:$S$300,0),MATCH(N$2,'Input 16_2018CUST-YTD'!$C$1:$O$1,0)),0)</f>
        <v>61.427527624309391</v>
      </c>
      <c r="O11" s="5">
        <f>IFERROR(INDEX('Input 16.1_2018VOL-YTD'!$C$4:$N$300, MATCH($C11,'Input 16.1_2018VOL-YTD'!$R$4:$R$300,0),MATCH(O$2,'Input 16.1_2018VOL-YTD'!$C$1:$N$1,0))/INDEX('Input 16_2018CUST-YTD'!$D$4:$O$300,MATCH($C11,'Input 16_2018CUST-YTD'!$S$4:$S$300,0),MATCH(O$2,'Input 16_2018CUST-YTD'!$C$1:$O$1,0)),0)</f>
        <v>85.847476373818694</v>
      </c>
      <c r="P11" s="271">
        <f t="shared" si="1"/>
        <v>126.13469476744172</v>
      </c>
      <c r="Q11" s="261">
        <f t="shared" si="2"/>
        <v>1</v>
      </c>
      <c r="S11" s="5">
        <f>IFERROR(INDEX('Input 3.1_2019VOL-YTD'!$C$4:$N$300, MATCH($C11,'Input 3.1_2019VOL-YTD'!$R$4:$R$300,0),MATCH(S$2,'Input 3.1_2019VOL-YTD'!$C$1:$N$1,0))/INDEX('Input 3_2019CUST-YTD'!$C$4:$N$300,MATCH($C11,'Input 3_2019CUST-YTD'!$S$4:$S$300,0),MATCH(S$2,'Input 3_2019CUST-YTD'!$C$1:$N$1,0)),0)</f>
        <v>107.49203830369356</v>
      </c>
      <c r="T11" s="5">
        <f>IFERROR(INDEX('Input 3.1_2019VOL-YTD'!$C$4:$N$300, MATCH($C11,'Input 3.1_2019VOL-YTD'!$R$4:$R$300,0),MATCH(T$2,'Input 3.1_2019VOL-YTD'!$C$1:$N$1,0))/INDEX('Input 3_2019CUST-YTD'!$C$4:$N$300,MATCH($C11,'Input 3_2019CUST-YTD'!$S$4:$S$300,0),MATCH(T$2,'Input 3_2019CUST-YTD'!$C$1:$N$1,0)),0)</f>
        <v>92.044876373626366</v>
      </c>
      <c r="U11" s="5">
        <f>IFERROR(INDEX('Input 3.1_2019VOL-YTD'!$C$4:$N$300, MATCH($C11,'Input 3.1_2019VOL-YTD'!$R$4:$R$300,0),MATCH(U$2,'Input 3.1_2019VOL-YTD'!$C$1:$N$1,0))/INDEX('Input 3_2019CUST-YTD'!$C$4:$N$300,MATCH($C11,'Input 3_2019CUST-YTD'!$S$4:$S$300,0),MATCH(U$2,'Input 3_2019CUST-YTD'!$C$1:$N$1,0)),0)</f>
        <v>90.44165745856354</v>
      </c>
      <c r="V11" s="5">
        <f>IFERROR(INDEX('Input 3.1_2019VOL-YTD'!$C$4:$N$300, MATCH($C11,'Input 3.1_2019VOL-YTD'!$R$4:$R$300,0),MATCH(V$2,'Input 3.1_2019VOL-YTD'!$C$1:$N$1,0))/INDEX('Input 3_2019CUST-YTD'!$C$4:$N$300,MATCH($C11,'Input 3_2019CUST-YTD'!$S$4:$S$300,0),MATCH(V$2,'Input 3_2019CUST-YTD'!$C$1:$N$1,0)),0)</f>
        <v>85.584705882352935</v>
      </c>
      <c r="W11" s="5">
        <f>IFERROR(INDEX('Input 3.1_2019VOL-YTD'!$C$4:$N$300, MATCH($C11,'Input 3.1_2019VOL-YTD'!$R$4:$R$300,0),MATCH(W$2,'Input 3.1_2019VOL-YTD'!$C$1:$N$1,0))/INDEX('Input 3_2019CUST-YTD'!$C$4:$N$300,MATCH($C11,'Input 3_2019CUST-YTD'!$S$4:$S$300,0),MATCH(W$2,'Input 3_2019CUST-YTD'!$C$1:$N$1,0)),0)</f>
        <v>45.699398084815321</v>
      </c>
      <c r="X11" s="5">
        <f>IFERROR(INDEX('Input 3.1_2019VOL-YTD'!$C$4:$N$300, MATCH($C11,'Input 3.1_2019VOL-YTD'!$R$4:$R$300,0),MATCH(X$2,'Input 3.1_2019VOL-YTD'!$C$1:$N$1,0))/INDEX('Input 3_2019CUST-YTD'!$C$4:$N$300,MATCH($C11,'Input 3_2019CUST-YTD'!$S$4:$S$300,0),MATCH(X$2,'Input 3_2019CUST-YTD'!$C$1:$N$1,0)),0)</f>
        <v>24.833936899862824</v>
      </c>
      <c r="Y11" s="5">
        <f>IFERROR(INDEX('Input 3.1_2019VOL-YTD'!$C$4:$N$300, MATCH($C11,'Input 3.1_2019VOL-YTD'!$R$4:$R$300,0),MATCH(Y$2,'Input 3.1_2019VOL-YTD'!$C$1:$N$1,0))/INDEX('Input 3_2019CUST-YTD'!$C$4:$N$300,MATCH($C11,'Input 3_2019CUST-YTD'!$S$4:$S$300,0),MATCH(Y$2,'Input 3_2019CUST-YTD'!$C$1:$N$1,0)),0)</f>
        <v>20.818464730290458</v>
      </c>
      <c r="Z11" s="5">
        <f>IFERROR(INDEX('Input 3.1_2019VOL-YTD'!$C$4:$N$300, MATCH($C11,'Input 3.1_2019VOL-YTD'!$R$4:$R$300,0),MATCH(Z$2,'Input 3.1_2019VOL-YTD'!$C$1:$N$1,0))/INDEX('Input 3_2019CUST-YTD'!$C$4:$N$300,MATCH($C11,'Input 3_2019CUST-YTD'!$S$4:$S$300,0),MATCH(Z$2,'Input 3_2019CUST-YTD'!$C$1:$N$1,0)),0)</f>
        <v>21.532874828060521</v>
      </c>
      <c r="AA11" s="5">
        <f>IFERROR(INDEX('Input 3.1_2019VOL-YTD'!$C$4:$N$300, MATCH($C11,'Input 3.1_2019VOL-YTD'!$R$4:$R$300,0),MATCH(AA$2,'Input 3.1_2019VOL-YTD'!$C$1:$N$1,0))/INDEX('Input 3_2019CUST-YTD'!$C$4:$N$300,MATCH($C11,'Input 3_2019CUST-YTD'!$S$4:$S$300,0),MATCH(AA$2,'Input 3_2019CUST-YTD'!$C$1:$N$1,0)),0)</f>
        <v>19.100013736263737</v>
      </c>
      <c r="AB11" s="5">
        <f>IFERROR(INDEX('Input 3.1_2019VOL-YTD'!$C$4:$N$300, MATCH($C11,'Input 3.1_2019VOL-YTD'!$R$4:$R$300,0),MATCH(AB$2,'Input 3.1_2019VOL-YTD'!$C$1:$N$1,0))/INDEX('Input 3_2019CUST-YTD'!$C$4:$N$300,MATCH($C11,'Input 3_2019CUST-YTD'!$S$4:$S$300,0),MATCH(AB$2,'Input 3_2019CUST-YTD'!$C$1:$N$1,0)),0)</f>
        <v>27.906260273972602</v>
      </c>
      <c r="AC11" s="5">
        <f>IFERROR(INDEX('Input 3.1_2019VOL-YTD'!$C$4:$N$300, MATCH($C11,'Input 3.1_2019VOL-YTD'!$R$4:$R$300,0),MATCH(AC$2,'Input 3.1_2019VOL-YTD'!$C$1:$N$1,0))/INDEX('Input 3_2019CUST-YTD'!$C$4:$N$300,MATCH($C11,'Input 3_2019CUST-YTD'!$S$4:$S$300,0),MATCH(AC$2,'Input 3_2019CUST-YTD'!$C$1:$N$1,0)),0)</f>
        <v>50.868491083676268</v>
      </c>
      <c r="AD11" s="5">
        <f>IFERROR(INDEX('Input 3.1_2019VOL-YTD'!$C$4:$N$300, MATCH($C11,'Input 3.1_2019VOL-YTD'!$R$4:$R$300,0),MATCH(AD$2,'Input 3.1_2019VOL-YTD'!$C$1:$N$1,0))/INDEX('Input 3_2019CUST-YTD'!$C$4:$N$300,MATCH($C11,'Input 3_2019CUST-YTD'!$S$4:$S$300,0),MATCH(AD$2,'Input 3_2019CUST-YTD'!$C$1:$N$1,0)),0)</f>
        <v>83.537236662106707</v>
      </c>
      <c r="AE11" s="272">
        <f t="shared" si="3"/>
        <v>107.49203830369356</v>
      </c>
      <c r="AF11" s="261">
        <f t="shared" si="4"/>
        <v>1</v>
      </c>
      <c r="AH11" s="262">
        <f>IFERROR(INDEX('Input 4.1_2020VOL-YTD'!$C$4:$O$300, MATCH($C11,'Input 4.1_2020VOL-YTD'!$R$4:$R$300,0),MATCH(AH$2,'Input 4.1_2020VOL-YTD'!$C$1:$O$1,0))/INDEX('Input 4_2020CUST-YTD'!$C$4:O$300,MATCH($C11,'Input 4_2020CUST-YTD'!$S$4:$S$300,0),MATCH(AH$2,'Input 4_2020CUST-YTD'!$C$1:$O$1,0)),0)</f>
        <v>106.31153005464481</v>
      </c>
      <c r="AI11" s="262">
        <f>IFERROR(INDEX('Input 4.1_2020VOL-YTD'!$C$4:$O$300, MATCH($C11,'Input 4.1_2020VOL-YTD'!$R$4:$R$300,0),MATCH(AI$2,'Input 4.1_2020VOL-YTD'!$C$1:$O$1,0))/INDEX('Input 4_2020CUST-YTD'!$C$4:P$300,MATCH($C11,'Input 4_2020CUST-YTD'!$S$4:$S$300,0),MATCH(AI$2,'Input 4_2020CUST-YTD'!$C$1:$O$1,0)),0)</f>
        <v>95.128101788170568</v>
      </c>
      <c r="AJ11" s="262">
        <f>IFERROR(INDEX('Input 4.1_2020VOL-YTD'!$C$4:$O$300, MATCH($C11,'Input 4.1_2020VOL-YTD'!$R$4:$R$300,0),MATCH(AJ$2,'Input 4.1_2020VOL-YTD'!$C$1:$O$1,0))/INDEX('Input 4_2020CUST-YTD'!$C$4:Q$300,MATCH($C11,'Input 4_2020CUST-YTD'!$S$4:$S$300,0),MATCH(AJ$2,'Input 4_2020CUST-YTD'!$C$1:$O$1,0)),0)</f>
        <v>99.41716826265376</v>
      </c>
      <c r="AK11" s="262">
        <f>IFERROR(INDEX('Input 4.1_2020VOL-YTD'!$C$4:$O$300, MATCH($C11,'Input 4.1_2020VOL-YTD'!$R$4:$R$300,0),MATCH(AK$2,'Input 4.1_2020VOL-YTD'!$C$1:$O$1,0))/INDEX('Input 4_2020CUST-YTD'!$C$4:R$300,MATCH($C11,'Input 4_2020CUST-YTD'!$S$4:$S$300,0),MATCH(AK$2,'Input 4_2020CUST-YTD'!$C$1:$O$1,0)),0)</f>
        <v>43.375266030013641</v>
      </c>
      <c r="AL11" s="262">
        <f>IFERROR(INDEX('Input 4.1_2020VOL-YTD'!$C$4:$O$300, MATCH($C11,'Input 4.1_2020VOL-YTD'!$R$4:$R$300,0),MATCH(AL$2,'Input 4.1_2020VOL-YTD'!$C$1:$O$1,0))/INDEX('Input 4_2020CUST-YTD'!$C$4:S$300,MATCH($C11,'Input 4_2020CUST-YTD'!$S$4:$S$300,0),MATCH(AL$2,'Input 4_2020CUST-YTD'!$C$1:$O$1,0)),0)</f>
        <v>32.460096021947876</v>
      </c>
      <c r="AM11" s="262">
        <f>IFERROR(INDEX('Input 4.1_2020VOL-YTD'!$C$4:$O$300, MATCH($C11,'Input 4.1_2020VOL-YTD'!$R$4:$R$300,0),MATCH(AM$2,'Input 4.1_2020VOL-YTD'!$C$1:$O$1,0))/INDEX('Input 4_2020CUST-YTD'!$C$4:T$300,MATCH($C11,'Input 4_2020CUST-YTD'!$S$4:$S$300,0),MATCH(AM$2,'Input 4_2020CUST-YTD'!$C$1:$O$1,0)),0)</f>
        <v>21.607308743169398</v>
      </c>
      <c r="AN11" s="262">
        <f>IFERROR(INDEX('Input 4.1_2020VOL-YTD'!$C$4:$O$300, MATCH($C11,'Input 4.1_2020VOL-YTD'!$R$4:$R$300,0),MATCH(AN$2,'Input 4.1_2020VOL-YTD'!$C$1:$O$1,0))/INDEX('Input 4_2020CUST-YTD'!$C$4:U$300,MATCH($C11,'Input 4_2020CUST-YTD'!$S$4:$S$300,0),MATCH(AN$2,'Input 4_2020CUST-YTD'!$C$1:$O$1,0)),0)</f>
        <v>20.698422496570643</v>
      </c>
      <c r="AO11" s="262">
        <f>IFERROR(INDEX('Input 4.1_2020VOL-YTD'!$C$4:$O$300, MATCH($C11,'Input 4.1_2020VOL-YTD'!$R$4:$R$300,0),MATCH(AO$2,'Input 4.1_2020VOL-YTD'!$C$1:$O$1,0))/INDEX('Input 4_2020CUST-YTD'!$C$4:V$300,MATCH($C11,'Input 4_2020CUST-YTD'!$S$4:$S$300,0),MATCH(AO$2,'Input 4_2020CUST-YTD'!$C$1:$O$1,0)),0)</f>
        <v>16.718465753424656</v>
      </c>
      <c r="AP11" s="262">
        <f>IFERROR(INDEX('Input 4.1_2020VOL-YTD'!$C$4:$O$300, MATCH($C11,'Input 4.1_2020VOL-YTD'!$R$4:$R$300,0),MATCH(AP$2,'Input 4.1_2020VOL-YTD'!$C$1:$O$1,0))/INDEX('Input 4_2020CUST-YTD'!$C$4:W$300,MATCH($C11,'Input 4_2020CUST-YTD'!$S$4:$S$300,0),MATCH(AP$2,'Input 4_2020CUST-YTD'!$C$1:$O$1,0)),0)</f>
        <v>17.3908174386921</v>
      </c>
      <c r="AQ11" s="262">
        <f>IFERROR(INDEX('Input 4.1_2020VOL-YTD'!$C$4:$O$300, MATCH($C11,'Input 4.1_2020VOL-YTD'!$R$4:$R$300,0),MATCH(AQ$2,'Input 4.1_2020VOL-YTD'!$C$1:$O$1,0))/INDEX('Input 4_2020CUST-YTD'!$C$4:X$300,MATCH($C11,'Input 4_2020CUST-YTD'!$S$4:$S$300,0),MATCH(AQ$2,'Input 4_2020CUST-YTD'!$C$1:$O$1,0)),0)</f>
        <v>22.201569688768604</v>
      </c>
      <c r="AR11" s="262">
        <f>IFERROR(INDEX('Input 4.1_2020VOL-YTD'!$C$4:$O$300, MATCH($C11,'Input 4.1_2020VOL-YTD'!$R$4:$R$300,0),MATCH(AR$2,'Input 4.1_2020VOL-YTD'!$C$1:$O$1,0))/INDEX('Input 4_2020CUST-YTD'!$C$4:Y$300,MATCH($C11,'Input 4_2020CUST-YTD'!$S$4:$S$300,0),MATCH(AR$2,'Input 4_2020CUST-YTD'!$C$1:$O$1,0)),0)</f>
        <v>33.471872455902172</v>
      </c>
      <c r="AS11" s="262">
        <f>IFERROR(INDEX('Input 4.1_2020VOL-YTD'!$C$4:$O$300, MATCH($C11,'Input 4.1_2020VOL-YTD'!$R$4:$R$300,0),MATCH(AS$2,'Input 4.1_2020VOL-YTD'!$C$1:$O$1,0))/INDEX('Input 4_2020CUST-YTD'!$C$4:Z$300,MATCH($C11,'Input 4_2020CUST-YTD'!$S$4:$S$300,0),MATCH(AS$2,'Input 4_2020CUST-YTD'!$C$1:$O$1,0)),0)</f>
        <v>73.455986486486481</v>
      </c>
      <c r="AT11" s="190">
        <f t="shared" si="5"/>
        <v>106.31153005464481</v>
      </c>
      <c r="AU11" s="261">
        <f t="shared" si="6"/>
        <v>1</v>
      </c>
      <c r="AW11" s="1">
        <f>IFERROR(INDEX('Input 5.1_2021VOL-YTD'!$C$3:$N$150, MATCH($C11,'Input 5.1_2021VOL-YTD'!$R$3:$R$150,0),MATCH(AW$2,'Input 5.1_2021VOL-YTD'!$C$1:$N$1,0))/INDEX('Input 5_2021CUST-YTD'!$C$3:$N$150,MATCH($C11,'Input 5_2021CUST-YTD'!$S$3:$S$150,0),MATCH(AW$2,'Input 5_2021CUST-YTD'!$C$1:$N$1,0)),0)</f>
        <v>93.689783491204466</v>
      </c>
      <c r="AX11" s="1">
        <f>IFERROR(INDEX('Input 5.1_2021VOL-YTD'!$C$3:$N$150, MATCH($C11,'Input 5.1_2021VOL-YTD'!$R$3:$R$150,0),MATCH(AX$2,'Input 5.1_2021VOL-YTD'!$C$1:$N$1,0))/INDEX('Input 5_2021CUST-YTD'!$C$3:$N$150,MATCH($C11,'Input 5_2021CUST-YTD'!$S$3:$S$150,0),MATCH(AX$2,'Input 5_2021CUST-YTD'!$C$1:$N$1,0)),0)</f>
        <v>68.065706521739131</v>
      </c>
      <c r="AY11" s="1">
        <f>IFERROR(INDEX('Input 5.1_2021VOL-YTD'!$C$3:$N$150, MATCH($C11,'Input 5.1_2021VOL-YTD'!$R$3:$R$150,0),MATCH(AY$2,'Input 5.1_2021VOL-YTD'!$C$1:$N$1,0))/INDEX('Input 5_2021CUST-YTD'!$C$3:$N$150,MATCH($C11,'Input 5_2021CUST-YTD'!$S$3:$S$150,0),MATCH(AY$2,'Input 5_2021CUST-YTD'!$C$1:$N$1,0)),0)</f>
        <v>72.74521798365123</v>
      </c>
      <c r="AZ11" s="1">
        <f>IFERROR(INDEX('Input 5.1_2021VOL-YTD'!$C$3:$N$150, MATCH($C11,'Input 5.1_2021VOL-YTD'!$R$3:$R$150,0),MATCH(AZ$2,'Input 5.1_2021VOL-YTD'!$C$1:$N$1,0))/INDEX('Input 5_2021CUST-YTD'!$C$3:$N$150,MATCH($C11,'Input 5_2021CUST-YTD'!$S$3:$S$150,0),MATCH(AZ$2,'Input 5_2021CUST-YTD'!$C$1:$N$1,0)),0)</f>
        <v>74.695115961800951</v>
      </c>
      <c r="BA11" s="1">
        <f>IFERROR(INDEX('Input 5.1_2021VOL-YTD'!$C$3:$N$150, MATCH($C11,'Input 5.1_2021VOL-YTD'!$R$3:$R$150,0),MATCH(BA$2,'Input 5.1_2021VOL-YTD'!$C$1:$N$1,0))/INDEX('Input 5_2021CUST-YTD'!$C$3:$N$150,MATCH($C11,'Input 5_2021CUST-YTD'!$S$3:$S$150,0),MATCH(BA$2,'Input 5_2021CUST-YTD'!$C$1:$N$1,0)),0)</f>
        <v>37.886295793758343</v>
      </c>
      <c r="BB11" s="1">
        <f>IFERROR(INDEX('Input 5.1_2021VOL-YTD'!$C$3:$N$150, MATCH($C11,'Input 5.1_2021VOL-YTD'!$R$3:$R$150,0),MATCH(BB$2,'Input 5.1_2021VOL-YTD'!$C$1:$N$1,0))/INDEX('Input 5_2021CUST-YTD'!$C$3:$N$150,MATCH($C11,'Input 5_2021CUST-YTD'!$S$3:$S$150,0),MATCH(BB$2,'Input 5_2021CUST-YTD'!$C$1:$N$1,0)),0)</f>
        <v>30.171424694708278</v>
      </c>
      <c r="BC11" s="1">
        <f>IFERROR(INDEX('Input 5.1_2021VOL-YTD'!$C$3:$N$150, MATCH($C11,'Input 5.1_2021VOL-YTD'!$R$3:$R$150,0),MATCH(BC$2,'Input 5.1_2021VOL-YTD'!$C$1:$N$1,0))/INDEX('Input 5_2021CUST-YTD'!$C$3:$N$150,MATCH($C11,'Input 5_2021CUST-YTD'!$S$3:$S$150,0),MATCH(BC$2,'Input 5_2021CUST-YTD'!$C$1:$N$1,0)),0)</f>
        <v>29.040135685210313</v>
      </c>
      <c r="BD11" s="1">
        <f>IFERROR(INDEX('Input 5.1_2021VOL-YTD'!$C$3:$N$150, MATCH($C11,'Input 5.1_2021VOL-YTD'!$R$3:$R$150,0),MATCH(BD$2,'Input 5.1_2021VOL-YTD'!$C$1:$N$1,0))/INDEX('Input 5_2021CUST-YTD'!$C$3:$N$150,MATCH($C11,'Input 5_2021CUST-YTD'!$S$3:$S$150,0),MATCH(BD$2,'Input 5_2021CUST-YTD'!$C$1:$N$1,0)),0)</f>
        <v>20.822401091405183</v>
      </c>
      <c r="BE11" s="1">
        <f>IFERROR(INDEX('Input 5.1_2021VOL-YTD'!$C$3:$N$150, MATCH($C11,'Input 5.1_2021VOL-YTD'!$R$3:$R$150,0),MATCH(BE$2,'Input 5.1_2021VOL-YTD'!$C$1:$N$1,0))/INDEX('Input 5_2021CUST-YTD'!$C$3:$N$150,MATCH($C11,'Input 5_2021CUST-YTD'!$S$3:$S$150,0),MATCH(BE$2,'Input 5_2021CUST-YTD'!$C$1:$N$1,0)),0)</f>
        <v>19.694264305177111</v>
      </c>
      <c r="BF11" s="1">
        <f>IFERROR(INDEX('Input 5.1_2021VOL-YTD'!$C$3:$N$150, MATCH($C11,'Input 5.1_2021VOL-YTD'!$R$3:$R$150,0),MATCH(BF$2,'Input 5.1_2021VOL-YTD'!$C$1:$N$1,0))/INDEX('Input 5_2021CUST-YTD'!$C$3:$N$150,MATCH($C11,'Input 5_2021CUST-YTD'!$S$3:$S$150,0),MATCH(BF$2,'Input 5_2021CUST-YTD'!$C$1:$N$1,0)),0)</f>
        <v>28.428250688705234</v>
      </c>
      <c r="BG11" s="1">
        <f>IFERROR(INDEX('Input 5.1_2021VOL-YTD'!$C$3:$N$150, MATCH($C11,'Input 5.1_2021VOL-YTD'!$R$3:$R$150,0),MATCH(BG$2,'Input 5.1_2021VOL-YTD'!$C$1:$N$1,0))/INDEX('Input 5_2021CUST-YTD'!$C$3:$N$150,MATCH($C11,'Input 5_2021CUST-YTD'!$S$3:$S$150,0),MATCH(BG$2,'Input 5_2021CUST-YTD'!$C$1:$N$1,0)),0)</f>
        <v>49.8535812672175</v>
      </c>
      <c r="BH11" s="1">
        <f>IFERROR(INDEX('Input 5.1_2021VOL-YTD'!$C$3:$N$150, MATCH($C11,'Input 5.1_2021VOL-YTD'!$R$3:$R$150,0),MATCH(BH$2,'Input 5.1_2021VOL-YTD'!$C$1:$N$1,0))/INDEX('Input 5_2021CUST-YTD'!$C$3:$N$150,MATCH($C11,'Input 5_2021CUST-YTD'!$S$3:$S$150,0),MATCH(BH$2,'Input 5_2021CUST-YTD'!$C$1:$N$1,0)),0)</f>
        <v>92.075369863013705</v>
      </c>
      <c r="BI11" s="190">
        <f t="shared" si="7"/>
        <v>93.689783491204466</v>
      </c>
      <c r="BJ11" s="261">
        <f t="shared" si="8"/>
        <v>1</v>
      </c>
    </row>
    <row r="12" spans="1:62">
      <c r="A12" s="261" t="s">
        <v>8</v>
      </c>
      <c r="B12" s="261" t="s">
        <v>17</v>
      </c>
      <c r="C12" s="261" t="s">
        <v>63</v>
      </c>
      <c r="D12" s="5">
        <f>IFERROR(INDEX('Input 16.1_2018VOL-YTD'!$C$4:$N$300, MATCH($C12,'Input 16.1_2018VOL-YTD'!$R$4:$R$300,0),MATCH(D$2,'Input 16.1_2018VOL-YTD'!$C$1:$N$1,0))/INDEX('Input 16_2018CUST-YTD'!$D$4:$O$300,MATCH($C12,'Input 16_2018CUST-YTD'!$S$4:$S$300,0),MATCH(D$2,'Input 16_2018CUST-YTD'!$C$1:$O$1,0)),0)</f>
        <v>253.39750000000001</v>
      </c>
      <c r="E12" s="5">
        <f>IFERROR(INDEX('Input 16.1_2018VOL-YTD'!$C$4:$N$300, MATCH($C12,'Input 16.1_2018VOL-YTD'!$R$4:$R$300,0),MATCH(E$2,'Input 16.1_2018VOL-YTD'!$C$1:$N$1,0))/INDEX('Input 16_2018CUST-YTD'!$D$4:$O$300,MATCH($C12,'Input 16_2018CUST-YTD'!$S$4:$S$300,0),MATCH(E$2,'Input 16_2018CUST-YTD'!$C$1:$O$1,0)),0)</f>
        <v>178.00874999999999</v>
      </c>
      <c r="F12" s="5">
        <f>IFERROR(INDEX('Input 16.1_2018VOL-YTD'!$C$4:$N$300, MATCH($C12,'Input 16.1_2018VOL-YTD'!$R$4:$R$300,0),MATCH(F$2,'Input 16.1_2018VOL-YTD'!$C$1:$N$1,0))/INDEX('Input 16_2018CUST-YTD'!$D$4:$O$300,MATCH($C12,'Input 16_2018CUST-YTD'!$S$4:$S$300,0),MATCH(F$2,'Input 16_2018CUST-YTD'!$C$1:$O$1,0)),0)</f>
        <v>177.79888888888888</v>
      </c>
      <c r="G12" s="5">
        <f>IFERROR(INDEX('Input 16.1_2018VOL-YTD'!$C$4:$N$300, MATCH($C12,'Input 16.1_2018VOL-YTD'!$R$4:$R$300,0),MATCH(G$2,'Input 16.1_2018VOL-YTD'!$C$1:$N$1,0))/INDEX('Input 16_2018CUST-YTD'!$D$4:$O$300,MATCH($C12,'Input 16_2018CUST-YTD'!$S$4:$S$300,0),MATCH(G$2,'Input 16_2018CUST-YTD'!$C$1:$O$1,0)),0)</f>
        <v>182.08111111111111</v>
      </c>
      <c r="H12" s="5">
        <f>IFERROR(INDEX('Input 16.1_2018VOL-YTD'!$C$4:$N$300, MATCH($C12,'Input 16.1_2018VOL-YTD'!$R$4:$R$300,0),MATCH(H$2,'Input 16.1_2018VOL-YTD'!$C$1:$N$1,0))/INDEX('Input 16_2018CUST-YTD'!$D$4:$O$300,MATCH($C12,'Input 16_2018CUST-YTD'!$S$4:$S$300,0),MATCH(H$2,'Input 16_2018CUST-YTD'!$C$1:$O$1,0)),0)</f>
        <v>118.80222222222223</v>
      </c>
      <c r="I12" s="5">
        <f>IFERROR(INDEX('Input 16.1_2018VOL-YTD'!$C$4:$N$300, MATCH($C12,'Input 16.1_2018VOL-YTD'!$R$4:$R$300,0),MATCH(I$2,'Input 16.1_2018VOL-YTD'!$C$1:$N$1,0))/INDEX('Input 16_2018CUST-YTD'!$D$4:$O$300,MATCH($C12,'Input 16_2018CUST-YTD'!$S$4:$S$300,0),MATCH(I$2,'Input 16_2018CUST-YTD'!$C$1:$O$1,0)),0)</f>
        <v>45.45</v>
      </c>
      <c r="J12" s="5">
        <f>IFERROR(INDEX('Input 16.1_2018VOL-YTD'!$C$4:$N$300, MATCH($C12,'Input 16.1_2018VOL-YTD'!$R$4:$R$300,0),MATCH(J$2,'Input 16.1_2018VOL-YTD'!$C$1:$N$1,0))/INDEX('Input 16_2018CUST-YTD'!$D$4:$O$300,MATCH($C12,'Input 16_2018CUST-YTD'!$S$4:$S$300,0),MATCH(J$2,'Input 16_2018CUST-YTD'!$C$1:$O$1,0)),0)</f>
        <v>39.222222222222221</v>
      </c>
      <c r="K12" s="5">
        <f>IFERROR(INDEX('Input 16.1_2018VOL-YTD'!$C$4:$N$300, MATCH($C12,'Input 16.1_2018VOL-YTD'!$R$4:$R$300,0),MATCH(K$2,'Input 16.1_2018VOL-YTD'!$C$1:$N$1,0))/INDEX('Input 16_2018CUST-YTD'!$D$4:$O$300,MATCH($C12,'Input 16_2018CUST-YTD'!$S$4:$S$300,0),MATCH(K$2,'Input 16_2018CUST-YTD'!$C$1:$O$1,0)),0)</f>
        <v>19.845555555555556</v>
      </c>
      <c r="L12" s="5">
        <f>IFERROR(INDEX('Input 16.1_2018VOL-YTD'!$C$4:$N$300, MATCH($C12,'Input 16.1_2018VOL-YTD'!$R$4:$R$300,0),MATCH(L$2,'Input 16.1_2018VOL-YTD'!$C$1:$N$1,0))/INDEX('Input 16_2018CUST-YTD'!$D$4:$O$300,MATCH($C12,'Input 16_2018CUST-YTD'!$S$4:$S$300,0),MATCH(L$2,'Input 16_2018CUST-YTD'!$C$1:$O$1,0)),0)</f>
        <v>32.265000000000001</v>
      </c>
      <c r="M12" s="5">
        <f>IFERROR(INDEX('Input 16.1_2018VOL-YTD'!$C$4:$N$300, MATCH($C12,'Input 16.1_2018VOL-YTD'!$R$4:$R$300,0),MATCH(M$2,'Input 16.1_2018VOL-YTD'!$C$1:$N$1,0))/INDEX('Input 16_2018CUST-YTD'!$D$4:$O$300,MATCH($C12,'Input 16_2018CUST-YTD'!$S$4:$S$300,0),MATCH(M$2,'Input 16_2018CUST-YTD'!$C$1:$O$1,0)),0)</f>
        <v>18.363333333333333</v>
      </c>
      <c r="N12" s="5">
        <f>IFERROR(INDEX('Input 16.1_2018VOL-YTD'!$C$4:$N$300, MATCH($C12,'Input 16.1_2018VOL-YTD'!$R$4:$R$300,0),MATCH(N$2,'Input 16.1_2018VOL-YTD'!$C$1:$N$1,0))/INDEX('Input 16_2018CUST-YTD'!$D$4:$O$300,MATCH($C12,'Input 16_2018CUST-YTD'!$S$4:$S$300,0),MATCH(N$2,'Input 16_2018CUST-YTD'!$C$1:$O$1,0)),0)</f>
        <v>105.50888888888889</v>
      </c>
      <c r="O12" s="5">
        <f>IFERROR(INDEX('Input 16.1_2018VOL-YTD'!$C$4:$N$300, MATCH($C12,'Input 16.1_2018VOL-YTD'!$R$4:$R$300,0),MATCH(O$2,'Input 16.1_2018VOL-YTD'!$C$1:$N$1,0))/INDEX('Input 16_2018CUST-YTD'!$D$4:$O$300,MATCH($C12,'Input 16_2018CUST-YTD'!$S$4:$S$300,0),MATCH(O$2,'Input 16_2018CUST-YTD'!$C$1:$O$1,0)),0)</f>
        <v>143.60037735849056</v>
      </c>
      <c r="P12" s="271">
        <f t="shared" si="1"/>
        <v>253.39750000000001</v>
      </c>
      <c r="Q12" s="261">
        <f t="shared" si="2"/>
        <v>1</v>
      </c>
      <c r="S12" s="5">
        <f>IFERROR(INDEX('Input 3.1_2019VOL-YTD'!$C$4:$N$300, MATCH($C12,'Input 3.1_2019VOL-YTD'!$R$4:$R$300,0),MATCH(S$2,'Input 3.1_2019VOL-YTD'!$C$1:$N$1,0))/INDEX('Input 3_2019CUST-YTD'!$C$4:$N$300,MATCH($C12,'Input 3_2019CUST-YTD'!$S$4:$S$300,0),MATCH(S$2,'Input 3_2019CUST-YTD'!$C$1:$N$1,0)),0)</f>
        <v>193.32888888888888</v>
      </c>
      <c r="T12" s="5">
        <f>IFERROR(INDEX('Input 3.1_2019VOL-YTD'!$C$4:$N$300, MATCH($C12,'Input 3.1_2019VOL-YTD'!$R$4:$R$300,0),MATCH(T$2,'Input 3.1_2019VOL-YTD'!$C$1:$N$1,0))/INDEX('Input 3_2019CUST-YTD'!$C$4:$N$300,MATCH($C12,'Input 3_2019CUST-YTD'!$S$4:$S$300,0),MATCH(T$2,'Input 3_2019CUST-YTD'!$C$1:$N$1,0)),0)</f>
        <v>137.48111111111109</v>
      </c>
      <c r="U12" s="5">
        <f>IFERROR(INDEX('Input 3.1_2019VOL-YTD'!$C$4:$N$300, MATCH($C12,'Input 3.1_2019VOL-YTD'!$R$4:$R$300,0),MATCH(U$2,'Input 3.1_2019VOL-YTD'!$C$1:$N$1,0))/INDEX('Input 3_2019CUST-YTD'!$C$4:$N$300,MATCH($C12,'Input 3_2019CUST-YTD'!$S$4:$S$300,0),MATCH(U$2,'Input 3_2019CUST-YTD'!$C$1:$N$1,0)),0)</f>
        <v>127.06555555555555</v>
      </c>
      <c r="V12" s="5">
        <f>IFERROR(INDEX('Input 3.1_2019VOL-YTD'!$C$4:$N$300, MATCH($C12,'Input 3.1_2019VOL-YTD'!$R$4:$R$300,0),MATCH(V$2,'Input 3.1_2019VOL-YTD'!$C$1:$N$1,0))/INDEX('Input 3_2019CUST-YTD'!$C$4:$N$300,MATCH($C12,'Input 3_2019CUST-YTD'!$S$4:$S$300,0),MATCH(V$2,'Input 3_2019CUST-YTD'!$C$1:$N$1,0)),0)</f>
        <v>122.88444444444445</v>
      </c>
      <c r="W12" s="5">
        <f>IFERROR(INDEX('Input 3.1_2019VOL-YTD'!$C$4:$N$300, MATCH($C12,'Input 3.1_2019VOL-YTD'!$R$4:$R$300,0),MATCH(W$2,'Input 3.1_2019VOL-YTD'!$C$1:$N$1,0))/INDEX('Input 3_2019CUST-YTD'!$C$4:$N$300,MATCH($C12,'Input 3_2019CUST-YTD'!$S$4:$S$300,0),MATCH(W$2,'Input 3_2019CUST-YTD'!$C$1:$N$1,0)),0)</f>
        <v>56.696666666666665</v>
      </c>
      <c r="X12" s="5">
        <f>IFERROR(INDEX('Input 3.1_2019VOL-YTD'!$C$4:$N$300, MATCH($C12,'Input 3.1_2019VOL-YTD'!$R$4:$R$300,0),MATCH(X$2,'Input 3.1_2019VOL-YTD'!$C$1:$N$1,0))/INDEX('Input 3_2019CUST-YTD'!$C$4:$N$300,MATCH($C12,'Input 3_2019CUST-YTD'!$S$4:$S$300,0),MATCH(X$2,'Input 3_2019CUST-YTD'!$C$1:$N$1,0)),0)</f>
        <v>27.446666666666669</v>
      </c>
      <c r="Y12" s="5">
        <f>IFERROR(INDEX('Input 3.1_2019VOL-YTD'!$C$4:$N$300, MATCH($C12,'Input 3.1_2019VOL-YTD'!$R$4:$R$300,0),MATCH(Y$2,'Input 3.1_2019VOL-YTD'!$C$1:$N$1,0))/INDEX('Input 3_2019CUST-YTD'!$C$4:$N$300,MATCH($C12,'Input 3_2019CUST-YTD'!$S$4:$S$300,0),MATCH(Y$2,'Input 3_2019CUST-YTD'!$C$1:$N$1,0)),0)</f>
        <v>19.29111111111111</v>
      </c>
      <c r="Z12" s="5">
        <f>IFERROR(INDEX('Input 3.1_2019VOL-YTD'!$C$4:$N$300, MATCH($C12,'Input 3.1_2019VOL-YTD'!$R$4:$R$300,0),MATCH(Z$2,'Input 3.1_2019VOL-YTD'!$C$1:$N$1,0))/INDEX('Input 3_2019CUST-YTD'!$C$4:$N$300,MATCH($C12,'Input 3_2019CUST-YTD'!$S$4:$S$300,0),MATCH(Z$2,'Input 3_2019CUST-YTD'!$C$1:$N$1,0)),0)</f>
        <v>22.19</v>
      </c>
      <c r="AA12" s="5">
        <f>IFERROR(INDEX('Input 3.1_2019VOL-YTD'!$C$4:$N$300, MATCH($C12,'Input 3.1_2019VOL-YTD'!$R$4:$R$300,0),MATCH(AA$2,'Input 3.1_2019VOL-YTD'!$C$1:$N$1,0))/INDEX('Input 3_2019CUST-YTD'!$C$4:$N$300,MATCH($C12,'Input 3_2019CUST-YTD'!$S$4:$S$300,0),MATCH(AA$2,'Input 3_2019CUST-YTD'!$C$1:$N$1,0)),0)</f>
        <v>10.324999999999999</v>
      </c>
      <c r="AB12" s="5">
        <f>IFERROR(INDEX('Input 3.1_2019VOL-YTD'!$C$4:$N$300, MATCH($C12,'Input 3.1_2019VOL-YTD'!$R$4:$R$300,0),MATCH(AB$2,'Input 3.1_2019VOL-YTD'!$C$1:$N$1,0))/INDEX('Input 3_2019CUST-YTD'!$C$4:$N$300,MATCH($C12,'Input 3_2019CUST-YTD'!$S$4:$S$300,0),MATCH(AB$2,'Input 3_2019CUST-YTD'!$C$1:$N$1,0)),0)</f>
        <v>44.125</v>
      </c>
      <c r="AC12" s="5">
        <f>IFERROR(INDEX('Input 3.1_2019VOL-YTD'!$C$4:$N$300, MATCH($C12,'Input 3.1_2019VOL-YTD'!$R$4:$R$300,0),MATCH(AC$2,'Input 3.1_2019VOL-YTD'!$C$1:$N$1,0))/INDEX('Input 3_2019CUST-YTD'!$C$4:$N$300,MATCH($C12,'Input 3_2019CUST-YTD'!$S$4:$S$300,0),MATCH(AC$2,'Input 3_2019CUST-YTD'!$C$1:$N$1,0)),0)</f>
        <v>140.34875</v>
      </c>
      <c r="AD12" s="5">
        <f>IFERROR(INDEX('Input 3.1_2019VOL-YTD'!$C$4:$N$300, MATCH($C12,'Input 3.1_2019VOL-YTD'!$R$4:$R$300,0),MATCH(AD$2,'Input 3.1_2019VOL-YTD'!$C$1:$N$1,0))/INDEX('Input 3_2019CUST-YTD'!$C$4:$N$300,MATCH($C12,'Input 3_2019CUST-YTD'!$S$4:$S$300,0),MATCH(AD$2,'Input 3_2019CUST-YTD'!$C$1:$N$1,0)),0)</f>
        <v>223.01750000000001</v>
      </c>
      <c r="AE12" s="272">
        <f t="shared" si="3"/>
        <v>223.01750000000001</v>
      </c>
      <c r="AF12" s="261">
        <f t="shared" si="4"/>
        <v>12</v>
      </c>
      <c r="AH12" s="262">
        <f>IFERROR(INDEX('Input 4.1_2020VOL-YTD'!$C$4:$O$300, MATCH($C12,'Input 4.1_2020VOL-YTD'!$R$4:$R$300,0),MATCH(AH$2,'Input 4.1_2020VOL-YTD'!$C$1:$O$1,0))/INDEX('Input 4_2020CUST-YTD'!$C$4:O$300,MATCH($C12,'Input 4_2020CUST-YTD'!$S$4:$S$300,0),MATCH(AH$2,'Input 4_2020CUST-YTD'!$C$1:$O$1,0)),0)</f>
        <v>213.215</v>
      </c>
      <c r="AI12" s="262">
        <f>IFERROR(INDEX('Input 4.1_2020VOL-YTD'!$C$4:$O$300, MATCH($C12,'Input 4.1_2020VOL-YTD'!$R$4:$R$300,0),MATCH(AI$2,'Input 4.1_2020VOL-YTD'!$C$1:$O$1,0))/INDEX('Input 4_2020CUST-YTD'!$C$4:P$300,MATCH($C12,'Input 4_2020CUST-YTD'!$S$4:$S$300,0),MATCH(AI$2,'Input 4_2020CUST-YTD'!$C$1:$O$1,0)),0)</f>
        <v>220.54374999999999</v>
      </c>
      <c r="AJ12" s="262">
        <f>IFERROR(INDEX('Input 4.1_2020VOL-YTD'!$C$4:$O$300, MATCH($C12,'Input 4.1_2020VOL-YTD'!$R$4:$R$300,0),MATCH(AJ$2,'Input 4.1_2020VOL-YTD'!$C$1:$O$1,0))/INDEX('Input 4_2020CUST-YTD'!$C$4:Q$300,MATCH($C12,'Input 4_2020CUST-YTD'!$S$4:$S$300,0),MATCH(AJ$2,'Input 4_2020CUST-YTD'!$C$1:$O$1,0)),0)</f>
        <v>181.47749999999999</v>
      </c>
      <c r="AK12" s="262">
        <f>IFERROR(INDEX('Input 4.1_2020VOL-YTD'!$C$4:$O$300, MATCH($C12,'Input 4.1_2020VOL-YTD'!$R$4:$R$300,0),MATCH(AK$2,'Input 4.1_2020VOL-YTD'!$C$1:$O$1,0))/INDEX('Input 4_2020CUST-YTD'!$C$4:R$300,MATCH($C12,'Input 4_2020CUST-YTD'!$S$4:$S$300,0),MATCH(AK$2,'Input 4_2020CUST-YTD'!$C$1:$O$1,0)),0)</f>
        <v>68.582499999999996</v>
      </c>
      <c r="AL12" s="262">
        <f>IFERROR(INDEX('Input 4.1_2020VOL-YTD'!$C$4:$O$300, MATCH($C12,'Input 4.1_2020VOL-YTD'!$R$4:$R$300,0),MATCH(AL$2,'Input 4.1_2020VOL-YTD'!$C$1:$O$1,0))/INDEX('Input 4_2020CUST-YTD'!$C$4:S$300,MATCH($C12,'Input 4_2020CUST-YTD'!$S$4:$S$300,0),MATCH(AL$2,'Input 4_2020CUST-YTD'!$C$1:$O$1,0)),0)</f>
        <v>46.43</v>
      </c>
      <c r="AM12" s="262">
        <f>IFERROR(INDEX('Input 4.1_2020VOL-YTD'!$C$4:$O$300, MATCH($C12,'Input 4.1_2020VOL-YTD'!$R$4:$R$300,0),MATCH(AM$2,'Input 4.1_2020VOL-YTD'!$C$1:$O$1,0))/INDEX('Input 4_2020CUST-YTD'!$C$4:T$300,MATCH($C12,'Input 4_2020CUST-YTD'!$S$4:$S$300,0),MATCH(AM$2,'Input 4_2020CUST-YTD'!$C$1:$O$1,0)),0)</f>
        <v>17.73</v>
      </c>
      <c r="AN12" s="262">
        <f>IFERROR(INDEX('Input 4.1_2020VOL-YTD'!$C$4:$O$300, MATCH($C12,'Input 4.1_2020VOL-YTD'!$R$4:$R$300,0),MATCH(AN$2,'Input 4.1_2020VOL-YTD'!$C$1:$O$1,0))/INDEX('Input 4_2020CUST-YTD'!$C$4:U$300,MATCH($C12,'Input 4_2020CUST-YTD'!$S$4:$S$300,0),MATCH(AN$2,'Input 4_2020CUST-YTD'!$C$1:$O$1,0)),0)</f>
        <v>20.512499999999999</v>
      </c>
      <c r="AO12" s="262">
        <f>IFERROR(INDEX('Input 4.1_2020VOL-YTD'!$C$4:$O$300, MATCH($C12,'Input 4.1_2020VOL-YTD'!$R$4:$R$300,0),MATCH(AO$2,'Input 4.1_2020VOL-YTD'!$C$1:$O$1,0))/INDEX('Input 4_2020CUST-YTD'!$C$4:V$300,MATCH($C12,'Input 4_2020CUST-YTD'!$S$4:$S$300,0),MATCH(AO$2,'Input 4_2020CUST-YTD'!$C$1:$O$1,0)),0)</f>
        <v>13.07</v>
      </c>
      <c r="AP12" s="262">
        <f>IFERROR(INDEX('Input 4.1_2020VOL-YTD'!$C$4:$O$300, MATCH($C12,'Input 4.1_2020VOL-YTD'!$R$4:$R$300,0),MATCH(AP$2,'Input 4.1_2020VOL-YTD'!$C$1:$O$1,0))/INDEX('Input 4_2020CUST-YTD'!$C$4:W$300,MATCH($C12,'Input 4_2020CUST-YTD'!$S$4:$S$300,0),MATCH(AP$2,'Input 4_2020CUST-YTD'!$C$1:$O$1,0)),0)</f>
        <v>18.510000000000002</v>
      </c>
      <c r="AQ12" s="262">
        <f>IFERROR(INDEX('Input 4.1_2020VOL-YTD'!$C$4:$O$300, MATCH($C12,'Input 4.1_2020VOL-YTD'!$R$4:$R$300,0),MATCH(AQ$2,'Input 4.1_2020VOL-YTD'!$C$1:$O$1,0))/INDEX('Input 4_2020CUST-YTD'!$C$4:X$300,MATCH($C12,'Input 4_2020CUST-YTD'!$S$4:$S$300,0),MATCH(AQ$2,'Input 4_2020CUST-YTD'!$C$1:$O$1,0)),0)</f>
        <v>6.8112500000000002</v>
      </c>
      <c r="AR12" s="262">
        <f>IFERROR(INDEX('Input 4.1_2020VOL-YTD'!$C$4:$O$300, MATCH($C12,'Input 4.1_2020VOL-YTD'!$R$4:$R$300,0),MATCH(AR$2,'Input 4.1_2020VOL-YTD'!$C$1:$O$1,0))/INDEX('Input 4_2020CUST-YTD'!$C$4:Y$300,MATCH($C12,'Input 4_2020CUST-YTD'!$S$4:$S$300,0),MATCH(AR$2,'Input 4_2020CUST-YTD'!$C$1:$O$1,0)),0)</f>
        <v>43.183750000000003</v>
      </c>
      <c r="AS12" s="262">
        <f>IFERROR(INDEX('Input 4.1_2020VOL-YTD'!$C$4:$O$300, MATCH($C12,'Input 4.1_2020VOL-YTD'!$R$4:$R$300,0),MATCH(AS$2,'Input 4.1_2020VOL-YTD'!$C$1:$O$1,0))/INDEX('Input 4_2020CUST-YTD'!$C$4:Z$300,MATCH($C12,'Input 4_2020CUST-YTD'!$S$4:$S$300,0),MATCH(AS$2,'Input 4_2020CUST-YTD'!$C$1:$O$1,0)),0)</f>
        <v>137.0975</v>
      </c>
      <c r="AT12" s="190">
        <f t="shared" si="5"/>
        <v>220.54374999999999</v>
      </c>
      <c r="AU12" s="261">
        <f t="shared" si="6"/>
        <v>2</v>
      </c>
      <c r="AW12" s="1">
        <f>IFERROR(INDEX('Input 5.1_2021VOL-YTD'!$C$3:$N$150, MATCH($C12,'Input 5.1_2021VOL-YTD'!$R$3:$R$150,0),MATCH(AW$2,'Input 5.1_2021VOL-YTD'!$C$1:$N$1,0))/INDEX('Input 5_2021CUST-YTD'!$C$3:$N$150,MATCH($C12,'Input 5_2021CUST-YTD'!$S$3:$S$150,0),MATCH(AW$2,'Input 5_2021CUST-YTD'!$C$1:$N$1,0)),0)</f>
        <v>218.8942857142857</v>
      </c>
      <c r="AX12" s="1">
        <f>IFERROR(INDEX('Input 5.1_2021VOL-YTD'!$C$3:$N$150, MATCH($C12,'Input 5.1_2021VOL-YTD'!$R$3:$R$150,0),MATCH(AX$2,'Input 5.1_2021VOL-YTD'!$C$1:$N$1,0))/INDEX('Input 5_2021CUST-YTD'!$C$3:$N$150,MATCH($C12,'Input 5_2021CUST-YTD'!$S$3:$S$150,0),MATCH(AX$2,'Input 5_2021CUST-YTD'!$C$1:$N$1,0)),0)</f>
        <v>140.58750000000001</v>
      </c>
      <c r="AY12" s="1">
        <f>IFERROR(INDEX('Input 5.1_2021VOL-YTD'!$C$3:$N$150, MATCH($C12,'Input 5.1_2021VOL-YTD'!$R$3:$R$150,0),MATCH(AY$2,'Input 5.1_2021VOL-YTD'!$C$1:$N$1,0))/INDEX('Input 5_2021CUST-YTD'!$C$3:$N$150,MATCH($C12,'Input 5_2021CUST-YTD'!$S$3:$S$150,0),MATCH(AY$2,'Input 5_2021CUST-YTD'!$C$1:$N$1,0)),0)</f>
        <v>215.28571428571428</v>
      </c>
      <c r="AZ12" s="1">
        <f>IFERROR(INDEX('Input 5.1_2021VOL-YTD'!$C$3:$N$150, MATCH($C12,'Input 5.1_2021VOL-YTD'!$R$3:$R$150,0),MATCH(AZ$2,'Input 5.1_2021VOL-YTD'!$C$1:$N$1,0))/INDEX('Input 5_2021CUST-YTD'!$C$3:$N$150,MATCH($C12,'Input 5_2021CUST-YTD'!$S$3:$S$150,0),MATCH(AZ$2,'Input 5_2021CUST-YTD'!$C$1:$N$1,0)),0)</f>
        <v>162.32142857142858</v>
      </c>
      <c r="BA12" s="1">
        <f>IFERROR(INDEX('Input 5.1_2021VOL-YTD'!$C$3:$N$150, MATCH($C12,'Input 5.1_2021VOL-YTD'!$R$3:$R$150,0),MATCH(BA$2,'Input 5.1_2021VOL-YTD'!$C$1:$N$1,0))/INDEX('Input 5_2021CUST-YTD'!$C$3:$N$150,MATCH($C12,'Input 5_2021CUST-YTD'!$S$3:$S$150,0),MATCH(BA$2,'Input 5_2021CUST-YTD'!$C$1:$N$1,0)),0)</f>
        <v>73.291428571428568</v>
      </c>
      <c r="BB12" s="1">
        <f>IFERROR(INDEX('Input 5.1_2021VOL-YTD'!$C$3:$N$150, MATCH($C12,'Input 5.1_2021VOL-YTD'!$R$3:$R$150,0),MATCH(BB$2,'Input 5.1_2021VOL-YTD'!$C$1:$N$1,0))/INDEX('Input 5_2021CUST-YTD'!$C$3:$N$150,MATCH($C12,'Input 5_2021CUST-YTD'!$S$3:$S$150,0),MATCH(BB$2,'Input 5_2021CUST-YTD'!$C$1:$N$1,0)),0)</f>
        <v>51.582857142857144</v>
      </c>
      <c r="BC12" s="1">
        <f>IFERROR(INDEX('Input 5.1_2021VOL-YTD'!$C$3:$N$150, MATCH($C12,'Input 5.1_2021VOL-YTD'!$R$3:$R$150,0),MATCH(BC$2,'Input 5.1_2021VOL-YTD'!$C$1:$N$1,0))/INDEX('Input 5_2021CUST-YTD'!$C$3:$N$150,MATCH($C12,'Input 5_2021CUST-YTD'!$S$3:$S$150,0),MATCH(BC$2,'Input 5_2021CUST-YTD'!$C$1:$N$1,0)),0)</f>
        <v>44.651428571428575</v>
      </c>
      <c r="BD12" s="1">
        <f>IFERROR(INDEX('Input 5.1_2021VOL-YTD'!$C$3:$N$150, MATCH($C12,'Input 5.1_2021VOL-YTD'!$R$3:$R$150,0),MATCH(BD$2,'Input 5.1_2021VOL-YTD'!$C$1:$N$1,0))/INDEX('Input 5_2021CUST-YTD'!$C$3:$N$150,MATCH($C12,'Input 5_2021CUST-YTD'!$S$3:$S$150,0),MATCH(BD$2,'Input 5_2021CUST-YTD'!$C$1:$N$1,0)),0)</f>
        <v>25.245714285714286</v>
      </c>
      <c r="BE12" s="1">
        <f>IFERROR(INDEX('Input 5.1_2021VOL-YTD'!$C$3:$N$150, MATCH($C12,'Input 5.1_2021VOL-YTD'!$R$3:$R$150,0),MATCH(BE$2,'Input 5.1_2021VOL-YTD'!$C$1:$N$1,0))/INDEX('Input 5_2021CUST-YTD'!$C$3:$N$150,MATCH($C12,'Input 5_2021CUST-YTD'!$S$3:$S$150,0),MATCH(BE$2,'Input 5_2021CUST-YTD'!$C$1:$N$1,0)),0)</f>
        <v>35.547142857142859</v>
      </c>
      <c r="BF12" s="1">
        <f>IFERROR(INDEX('Input 5.1_2021VOL-YTD'!$C$3:$N$150, MATCH($C12,'Input 5.1_2021VOL-YTD'!$R$3:$R$150,0),MATCH(BF$2,'Input 5.1_2021VOL-YTD'!$C$1:$N$1,0))/INDEX('Input 5_2021CUST-YTD'!$C$3:$N$150,MATCH($C12,'Input 5_2021CUST-YTD'!$S$3:$S$150,0),MATCH(BF$2,'Input 5_2021CUST-YTD'!$C$1:$N$1,0)),0)</f>
        <v>40.93</v>
      </c>
      <c r="BG12" s="1">
        <f>IFERROR(INDEX('Input 5.1_2021VOL-YTD'!$C$3:$N$150, MATCH($C12,'Input 5.1_2021VOL-YTD'!$R$3:$R$150,0),MATCH(BG$2,'Input 5.1_2021VOL-YTD'!$C$1:$N$1,0))/INDEX('Input 5_2021CUST-YTD'!$C$3:$N$150,MATCH($C12,'Input 5_2021CUST-YTD'!$S$3:$S$150,0),MATCH(BG$2,'Input 5_2021CUST-YTD'!$C$1:$N$1,0)),0)</f>
        <v>106.73142857142857</v>
      </c>
      <c r="BH12" s="1">
        <f>IFERROR(INDEX('Input 5.1_2021VOL-YTD'!$C$3:$N$150, MATCH($C12,'Input 5.1_2021VOL-YTD'!$R$3:$R$150,0),MATCH(BH$2,'Input 5.1_2021VOL-YTD'!$C$1:$N$1,0))/INDEX('Input 5_2021CUST-YTD'!$C$3:$N$150,MATCH($C12,'Input 5_2021CUST-YTD'!$S$3:$S$150,0),MATCH(BH$2,'Input 5_2021CUST-YTD'!$C$1:$N$1,0)),0)</f>
        <v>222.5842857142857</v>
      </c>
      <c r="BI12" s="190">
        <f t="shared" si="7"/>
        <v>222.5842857142857</v>
      </c>
      <c r="BJ12" s="261">
        <f t="shared" si="8"/>
        <v>12</v>
      </c>
    </row>
    <row r="13" spans="1:62">
      <c r="A13" s="261" t="s">
        <v>8</v>
      </c>
      <c r="B13" s="261" t="s">
        <v>17</v>
      </c>
      <c r="C13" s="261" t="s">
        <v>1391</v>
      </c>
      <c r="D13" s="5">
        <f>IFERROR(INDEX('Input 16.1_2018VOL-YTD'!$C$4:$N$300, MATCH($C13,'Input 16.1_2018VOL-YTD'!$R$4:$R$300,0),MATCH(D$2,'Input 16.1_2018VOL-YTD'!$C$1:$N$1,0))/INDEX('Input 16_2018CUST-YTD'!$D$4:$O$300,MATCH($C13,'Input 16_2018CUST-YTD'!$S$4:$S$300,0),MATCH(D$2,'Input 16_2018CUST-YTD'!$C$1:$O$1,0)),0)</f>
        <v>204.95741747572816</v>
      </c>
      <c r="E13" s="5">
        <f>IFERROR(INDEX('Input 16.1_2018VOL-YTD'!$C$4:$N$300, MATCH($C13,'Input 16.1_2018VOL-YTD'!$R$4:$R$300,0),MATCH(E$2,'Input 16.1_2018VOL-YTD'!$C$1:$N$1,0))/INDEX('Input 16_2018CUST-YTD'!$D$4:$O$300,MATCH($C13,'Input 16_2018CUST-YTD'!$S$4:$S$300,0),MATCH(E$2,'Input 16_2018CUST-YTD'!$C$1:$O$1,0)),0)</f>
        <v>143.922734375</v>
      </c>
      <c r="F13" s="5">
        <f>IFERROR(INDEX('Input 16.1_2018VOL-YTD'!$C$4:$N$300, MATCH($C13,'Input 16.1_2018VOL-YTD'!$R$4:$R$300,0),MATCH(F$2,'Input 16.1_2018VOL-YTD'!$C$1:$N$1,0))/INDEX('Input 16_2018CUST-YTD'!$D$4:$O$300,MATCH($C13,'Input 16_2018CUST-YTD'!$S$4:$S$300,0),MATCH(F$2,'Input 16_2018CUST-YTD'!$C$1:$O$1,0)),0)</f>
        <v>180.5433401639344</v>
      </c>
      <c r="G13" s="5">
        <f>IFERROR(INDEX('Input 16.1_2018VOL-YTD'!$C$4:$N$300, MATCH($C13,'Input 16.1_2018VOL-YTD'!$R$4:$R$300,0),MATCH(G$2,'Input 16.1_2018VOL-YTD'!$C$1:$N$1,0))/INDEX('Input 16_2018CUST-YTD'!$D$4:$O$300,MATCH($C13,'Input 16_2018CUST-YTD'!$S$4:$S$300,0),MATCH(G$2,'Input 16_2018CUST-YTD'!$C$1:$O$1,0)),0)</f>
        <v>167.91411642411663</v>
      </c>
      <c r="H13" s="5">
        <f>IFERROR(INDEX('Input 16.1_2018VOL-YTD'!$C$4:$N$300, MATCH($C13,'Input 16.1_2018VOL-YTD'!$R$4:$R$300,0),MATCH(H$2,'Input 16.1_2018VOL-YTD'!$C$1:$N$1,0))/INDEX('Input 16_2018CUST-YTD'!$D$4:$O$300,MATCH($C13,'Input 16_2018CUST-YTD'!$S$4:$S$300,0),MATCH(H$2,'Input 16_2018CUST-YTD'!$C$1:$O$1,0)),0)</f>
        <v>78.178423236514519</v>
      </c>
      <c r="I13" s="5">
        <f>IFERROR(INDEX('Input 16.1_2018VOL-YTD'!$C$4:$N$300, MATCH($C13,'Input 16.1_2018VOL-YTD'!$R$4:$R$300,0),MATCH(I$2,'Input 16.1_2018VOL-YTD'!$C$1:$N$1,0))/INDEX('Input 16_2018CUST-YTD'!$D$4:$O$300,MATCH($C13,'Input 16_2018CUST-YTD'!$S$4:$S$300,0),MATCH(I$2,'Input 16_2018CUST-YTD'!$C$1:$O$1,0)),0)</f>
        <v>47.536247422680418</v>
      </c>
      <c r="J13" s="5">
        <f>IFERROR(INDEX('Input 16.1_2018VOL-YTD'!$C$4:$N$300, MATCH($C13,'Input 16.1_2018VOL-YTD'!$R$4:$R$300,0),MATCH(J$2,'Input 16.1_2018VOL-YTD'!$C$1:$N$1,0))/INDEX('Input 16_2018CUST-YTD'!$D$4:$O$300,MATCH($C13,'Input 16_2018CUST-YTD'!$S$4:$S$300,0),MATCH(J$2,'Input 16_2018CUST-YTD'!$C$1:$O$1,0)),0)</f>
        <v>33.873443983402488</v>
      </c>
      <c r="K13" s="5">
        <f>IFERROR(INDEX('Input 16.1_2018VOL-YTD'!$C$4:$N$300, MATCH($C13,'Input 16.1_2018VOL-YTD'!$R$4:$R$300,0),MATCH(K$2,'Input 16.1_2018VOL-YTD'!$C$1:$N$1,0))/INDEX('Input 16_2018CUST-YTD'!$D$4:$O$300,MATCH($C13,'Input 16_2018CUST-YTD'!$S$4:$S$300,0),MATCH(K$2,'Input 16_2018CUST-YTD'!$C$1:$O$1,0)),0)</f>
        <v>28.722024793388428</v>
      </c>
      <c r="L13" s="5">
        <f>IFERROR(INDEX('Input 16.1_2018VOL-YTD'!$C$4:$N$300, MATCH($C13,'Input 16.1_2018VOL-YTD'!$R$4:$R$300,0),MATCH(L$2,'Input 16.1_2018VOL-YTD'!$C$1:$N$1,0))/INDEX('Input 16_2018CUST-YTD'!$D$4:$O$300,MATCH($C13,'Input 16_2018CUST-YTD'!$S$4:$S$300,0),MATCH(L$2,'Input 16_2018CUST-YTD'!$C$1:$O$1,0)),0)</f>
        <v>29.736397515527951</v>
      </c>
      <c r="M13" s="5">
        <f>IFERROR(INDEX('Input 16.1_2018VOL-YTD'!$C$4:$N$300, MATCH($C13,'Input 16.1_2018VOL-YTD'!$R$4:$R$300,0),MATCH(M$2,'Input 16.1_2018VOL-YTD'!$C$1:$N$1,0))/INDEX('Input 16_2018CUST-YTD'!$D$4:$O$300,MATCH($C13,'Input 16_2018CUST-YTD'!$S$4:$S$300,0),MATCH(M$2,'Input 16_2018CUST-YTD'!$C$1:$O$1,0)),0)</f>
        <v>39.278822314049592</v>
      </c>
      <c r="N13" s="5">
        <f>IFERROR(INDEX('Input 16.1_2018VOL-YTD'!$C$4:$N$300, MATCH($C13,'Input 16.1_2018VOL-YTD'!$R$4:$R$300,0),MATCH(N$2,'Input 16.1_2018VOL-YTD'!$C$1:$N$1,0))/INDEX('Input 16_2018CUST-YTD'!$D$4:$O$300,MATCH($C13,'Input 16_2018CUST-YTD'!$S$4:$S$300,0),MATCH(N$2,'Input 16_2018CUST-YTD'!$C$1:$O$1,0)),0)</f>
        <v>105.41944214876034</v>
      </c>
      <c r="O13" s="5">
        <f>IFERROR(INDEX('Input 16.1_2018VOL-YTD'!$C$4:$N$300, MATCH($C13,'Input 16.1_2018VOL-YTD'!$R$4:$R$300,0),MATCH(O$2,'Input 16.1_2018VOL-YTD'!$C$1:$N$1,0))/INDEX('Input 16_2018CUST-YTD'!$D$4:$O$300,MATCH($C13,'Input 16_2018CUST-YTD'!$S$4:$S$300,0),MATCH(O$2,'Input 16_2018CUST-YTD'!$C$1:$O$1,0)),0)</f>
        <v>141.85345318860266</v>
      </c>
      <c r="P13" s="271">
        <f t="shared" si="1"/>
        <v>204.95741747572816</v>
      </c>
      <c r="Q13" s="261">
        <f t="shared" si="2"/>
        <v>1</v>
      </c>
      <c r="S13" s="5">
        <f>IFERROR(INDEX('Input 3.1_2019VOL-YTD'!$C$4:$N$300, MATCH($C13,'Input 3.1_2019VOL-YTD'!$R$4:$R$300,0),MATCH(S$2,'Input 3.1_2019VOL-YTD'!$C$1:$N$1,0))/INDEX('Input 3_2019CUST-YTD'!$C$4:$N$300,MATCH($C13,'Input 3_2019CUST-YTD'!$S$4:$S$300,0),MATCH(S$2,'Input 3_2019CUST-YTD'!$C$1:$N$1,0)),0)</f>
        <v>179.3436929460581</v>
      </c>
      <c r="T13" s="5">
        <f>IFERROR(INDEX('Input 3.1_2019VOL-YTD'!$C$4:$N$300, MATCH($C13,'Input 3.1_2019VOL-YTD'!$R$4:$R$300,0),MATCH(T$2,'Input 3.1_2019VOL-YTD'!$C$1:$N$1,0))/INDEX('Input 3_2019CUST-YTD'!$C$4:$N$300,MATCH($C13,'Input 3_2019CUST-YTD'!$S$4:$S$300,0),MATCH(T$2,'Input 3_2019CUST-YTD'!$C$1:$N$1,0)),0)</f>
        <v>166.66047916666668</v>
      </c>
      <c r="U13" s="5">
        <f>IFERROR(INDEX('Input 3.1_2019VOL-YTD'!$C$4:$N$300, MATCH($C13,'Input 3.1_2019VOL-YTD'!$R$4:$R$300,0),MATCH(U$2,'Input 3.1_2019VOL-YTD'!$C$1:$N$1,0))/INDEX('Input 3_2019CUST-YTD'!$C$4:$N$300,MATCH($C13,'Input 3_2019CUST-YTD'!$S$4:$S$300,0),MATCH(U$2,'Input 3_2019CUST-YTD'!$C$1:$N$1,0)),0)</f>
        <v>155.54450207468878</v>
      </c>
      <c r="V13" s="5">
        <f>IFERROR(INDEX('Input 3.1_2019VOL-YTD'!$C$4:$N$300, MATCH($C13,'Input 3.1_2019VOL-YTD'!$R$4:$R$300,0),MATCH(V$2,'Input 3.1_2019VOL-YTD'!$C$1:$N$1,0))/INDEX('Input 3_2019CUST-YTD'!$C$4:$N$300,MATCH($C13,'Input 3_2019CUST-YTD'!$S$4:$S$300,0),MATCH(V$2,'Input 3_2019CUST-YTD'!$C$1:$N$1,0)),0)</f>
        <v>149.61012474012452</v>
      </c>
      <c r="W13" s="5">
        <f>IFERROR(INDEX('Input 3.1_2019VOL-YTD'!$C$4:$N$300, MATCH($C13,'Input 3.1_2019VOL-YTD'!$R$4:$R$300,0),MATCH(W$2,'Input 3.1_2019VOL-YTD'!$C$1:$N$1,0))/INDEX('Input 3_2019CUST-YTD'!$C$4:$N$300,MATCH($C13,'Input 3_2019CUST-YTD'!$S$4:$S$300,0),MATCH(W$2,'Input 3_2019CUST-YTD'!$C$1:$N$1,0)),0)</f>
        <v>74.900454545454551</v>
      </c>
      <c r="X13" s="5">
        <f>IFERROR(INDEX('Input 3.1_2019VOL-YTD'!$C$4:$N$300, MATCH($C13,'Input 3.1_2019VOL-YTD'!$R$4:$R$300,0),MATCH(X$2,'Input 3.1_2019VOL-YTD'!$C$1:$N$1,0))/INDEX('Input 3_2019CUST-YTD'!$C$4:$N$300,MATCH($C13,'Input 3_2019CUST-YTD'!$S$4:$S$300,0),MATCH(X$2,'Input 3_2019CUST-YTD'!$C$1:$N$1,0)),0)</f>
        <v>35.511268191268186</v>
      </c>
      <c r="Y13" s="5">
        <f>IFERROR(INDEX('Input 3.1_2019VOL-YTD'!$C$4:$N$300, MATCH($C13,'Input 3.1_2019VOL-YTD'!$R$4:$R$300,0),MATCH(Y$2,'Input 3.1_2019VOL-YTD'!$C$1:$N$1,0))/INDEX('Input 3_2019CUST-YTD'!$C$4:$N$300,MATCH($C13,'Input 3_2019CUST-YTD'!$S$4:$S$300,0),MATCH(Y$2,'Input 3_2019CUST-YTD'!$C$1:$N$1,0)),0)</f>
        <v>26.467832310838446</v>
      </c>
      <c r="Z13" s="5">
        <f>IFERROR(INDEX('Input 3.1_2019VOL-YTD'!$C$4:$N$300, MATCH($C13,'Input 3.1_2019VOL-YTD'!$R$4:$R$300,0),MATCH(Z$2,'Input 3.1_2019VOL-YTD'!$C$1:$N$1,0))/INDEX('Input 3_2019CUST-YTD'!$C$4:$N$300,MATCH($C13,'Input 3_2019CUST-YTD'!$S$4:$S$300,0),MATCH(Z$2,'Input 3_2019CUST-YTD'!$C$1:$N$1,0)),0)</f>
        <v>29.605527950310556</v>
      </c>
      <c r="AA13" s="5">
        <f>IFERROR(INDEX('Input 3.1_2019VOL-YTD'!$C$4:$N$300, MATCH($C13,'Input 3.1_2019VOL-YTD'!$R$4:$R$300,0),MATCH(AA$2,'Input 3.1_2019VOL-YTD'!$C$1:$N$1,0))/INDEX('Input 3_2019CUST-YTD'!$C$4:$N$300,MATCH($C13,'Input 3_2019CUST-YTD'!$S$4:$S$300,0),MATCH(AA$2,'Input 3_2019CUST-YTD'!$C$1:$N$1,0)),0)</f>
        <v>23.754865424430644</v>
      </c>
      <c r="AB13" s="5">
        <f>IFERROR(INDEX('Input 3.1_2019VOL-YTD'!$C$4:$N$300, MATCH($C13,'Input 3.1_2019VOL-YTD'!$R$4:$R$300,0),MATCH(AB$2,'Input 3.1_2019VOL-YTD'!$C$1:$N$1,0))/INDEX('Input 3_2019CUST-YTD'!$C$4:$N$300,MATCH($C13,'Input 3_2019CUST-YTD'!$S$4:$S$300,0),MATCH(AB$2,'Input 3_2019CUST-YTD'!$C$1:$N$1,0)),0)</f>
        <v>43.158074534161486</v>
      </c>
      <c r="AC13" s="5">
        <f>IFERROR(INDEX('Input 3.1_2019VOL-YTD'!$C$4:$N$300, MATCH($C13,'Input 3.1_2019VOL-YTD'!$R$4:$R$300,0),MATCH(AC$2,'Input 3.1_2019VOL-YTD'!$C$1:$N$1,0))/INDEX('Input 3_2019CUST-YTD'!$C$4:$N$300,MATCH($C13,'Input 3_2019CUST-YTD'!$S$4:$S$300,0),MATCH(AC$2,'Input 3_2019CUST-YTD'!$C$1:$N$1,0)),0)</f>
        <v>83.10145228215768</v>
      </c>
      <c r="AD13" s="5">
        <f>IFERROR(INDEX('Input 3.1_2019VOL-YTD'!$C$4:$N$300, MATCH($C13,'Input 3.1_2019VOL-YTD'!$R$4:$R$300,0),MATCH(AD$2,'Input 3.1_2019VOL-YTD'!$C$1:$N$1,0))/INDEX('Input 3_2019CUST-YTD'!$C$4:$N$300,MATCH($C13,'Input 3_2019CUST-YTD'!$S$4:$S$300,0),MATCH(AD$2,'Input 3_2019CUST-YTD'!$C$1:$N$1,0)),0)</f>
        <v>141.57075156576221</v>
      </c>
      <c r="AE13" s="272">
        <f t="shared" si="3"/>
        <v>179.3436929460581</v>
      </c>
      <c r="AF13" s="261">
        <f t="shared" si="4"/>
        <v>1</v>
      </c>
      <c r="AH13" s="262">
        <f>IFERROR(INDEX('Input 4.1_2020VOL-YTD'!$C$4:$O$300, MATCH($C13,'Input 4.1_2020VOL-YTD'!$R$4:$R$300,0),MATCH(AH$2,'Input 4.1_2020VOL-YTD'!$C$1:$O$1,0))/INDEX('Input 4_2020CUST-YTD'!$C$4:O$300,MATCH($C13,'Input 4_2020CUST-YTD'!$S$4:$S$300,0),MATCH(AH$2,'Input 4_2020CUST-YTD'!$C$1:$O$1,0)),0)</f>
        <v>173.30298538622108</v>
      </c>
      <c r="AI13" s="262">
        <f>IFERROR(INDEX('Input 4.1_2020VOL-YTD'!$C$4:$O$300, MATCH($C13,'Input 4.1_2020VOL-YTD'!$R$4:$R$300,0),MATCH(AI$2,'Input 4.1_2020VOL-YTD'!$C$1:$O$1,0))/INDEX('Input 4_2020CUST-YTD'!$C$4:P$300,MATCH($C13,'Input 4_2020CUST-YTD'!$S$4:$S$300,0),MATCH(AI$2,'Input 4_2020CUST-YTD'!$C$1:$O$1,0)),0)</f>
        <v>158.94789690721649</v>
      </c>
      <c r="AJ13" s="262">
        <f>IFERROR(INDEX('Input 4.1_2020VOL-YTD'!$C$4:$O$300, MATCH($C13,'Input 4.1_2020VOL-YTD'!$R$4:$R$300,0),MATCH(AJ$2,'Input 4.1_2020VOL-YTD'!$C$1:$O$1,0))/INDEX('Input 4_2020CUST-YTD'!$C$4:Q$300,MATCH($C13,'Input 4_2020CUST-YTD'!$S$4:$S$300,0),MATCH(AJ$2,'Input 4_2020CUST-YTD'!$C$1:$O$1,0)),0)</f>
        <v>149.84704166666646</v>
      </c>
      <c r="AK13" s="262">
        <f>IFERROR(INDEX('Input 4.1_2020VOL-YTD'!$C$4:$O$300, MATCH($C13,'Input 4.1_2020VOL-YTD'!$R$4:$R$300,0),MATCH(AK$2,'Input 4.1_2020VOL-YTD'!$C$1:$O$1,0))/INDEX('Input 4_2020CUST-YTD'!$C$4:R$300,MATCH($C13,'Input 4_2020CUST-YTD'!$S$4:$S$300,0),MATCH(AK$2,'Input 4_2020CUST-YTD'!$C$1:$O$1,0)),0)</f>
        <v>48.283173277661795</v>
      </c>
      <c r="AL13" s="262">
        <f>IFERROR(INDEX('Input 4.1_2020VOL-YTD'!$C$4:$O$300, MATCH($C13,'Input 4.1_2020VOL-YTD'!$R$4:$R$300,0),MATCH(AL$2,'Input 4.1_2020VOL-YTD'!$C$1:$O$1,0))/INDEX('Input 4_2020CUST-YTD'!$C$4:S$300,MATCH($C13,'Input 4_2020CUST-YTD'!$S$4:$S$300,0),MATCH(AL$2,'Input 4_2020CUST-YTD'!$C$1:$O$1,0)),0)</f>
        <v>32.700400000000002</v>
      </c>
      <c r="AM13" s="262">
        <f>IFERROR(INDEX('Input 4.1_2020VOL-YTD'!$C$4:$O$300, MATCH($C13,'Input 4.1_2020VOL-YTD'!$R$4:$R$300,0),MATCH(AM$2,'Input 4.1_2020VOL-YTD'!$C$1:$O$1,0))/INDEX('Input 4_2020CUST-YTD'!$C$4:T$300,MATCH($C13,'Input 4_2020CUST-YTD'!$S$4:$S$300,0),MATCH(AM$2,'Input 4_2020CUST-YTD'!$C$1:$O$1,0)),0)</f>
        <v>24.802985386221291</v>
      </c>
      <c r="AN13" s="262">
        <f>IFERROR(INDEX('Input 4.1_2020VOL-YTD'!$C$4:$O$300, MATCH($C13,'Input 4.1_2020VOL-YTD'!$R$4:$R$300,0),MATCH(AN$2,'Input 4.1_2020VOL-YTD'!$C$1:$O$1,0))/INDEX('Input 4_2020CUST-YTD'!$C$4:U$300,MATCH($C13,'Input 4_2020CUST-YTD'!$S$4:$S$300,0),MATCH(AN$2,'Input 4_2020CUST-YTD'!$C$1:$O$1,0)),0)</f>
        <v>25.903812500000001</v>
      </c>
      <c r="AO13" s="262">
        <f>IFERROR(INDEX('Input 4.1_2020VOL-YTD'!$C$4:$O$300, MATCH($C13,'Input 4.1_2020VOL-YTD'!$R$4:$R$300,0),MATCH(AO$2,'Input 4.1_2020VOL-YTD'!$C$1:$O$1,0))/INDEX('Input 4_2020CUST-YTD'!$C$4:V$300,MATCH($C13,'Input 4_2020CUST-YTD'!$S$4:$S$300,0),MATCH(AO$2,'Input 4_2020CUST-YTD'!$C$1:$O$1,0)),0)</f>
        <v>19.743291666666686</v>
      </c>
      <c r="AP13" s="262">
        <f>IFERROR(INDEX('Input 4.1_2020VOL-YTD'!$C$4:$O$300, MATCH($C13,'Input 4.1_2020VOL-YTD'!$R$4:$R$300,0),MATCH(AP$2,'Input 4.1_2020VOL-YTD'!$C$1:$O$1,0))/INDEX('Input 4_2020CUST-YTD'!$C$4:W$300,MATCH($C13,'Input 4_2020CUST-YTD'!$S$4:$S$300,0),MATCH(AP$2,'Input 4_2020CUST-YTD'!$C$1:$O$1,0)),0)</f>
        <v>18.032987551867219</v>
      </c>
      <c r="AQ13" s="262">
        <f>IFERROR(INDEX('Input 4.1_2020VOL-YTD'!$C$4:$O$300, MATCH($C13,'Input 4.1_2020VOL-YTD'!$R$4:$R$300,0),MATCH(AQ$2,'Input 4.1_2020VOL-YTD'!$C$1:$O$1,0))/INDEX('Input 4_2020CUST-YTD'!$C$4:X$300,MATCH($C13,'Input 4_2020CUST-YTD'!$S$4:$S$300,0),MATCH(AQ$2,'Input 4_2020CUST-YTD'!$C$1:$O$1,0)),0)</f>
        <v>27.83466804979253</v>
      </c>
      <c r="AR13" s="262">
        <f>IFERROR(INDEX('Input 4.1_2020VOL-YTD'!$C$4:$O$300, MATCH($C13,'Input 4.1_2020VOL-YTD'!$R$4:$R$300,0),MATCH(AR$2,'Input 4.1_2020VOL-YTD'!$C$1:$O$1,0))/INDEX('Input 4_2020CUST-YTD'!$C$4:Y$300,MATCH($C13,'Input 4_2020CUST-YTD'!$S$4:$S$300,0),MATCH(AR$2,'Input 4_2020CUST-YTD'!$C$1:$O$1,0)),0)</f>
        <v>48.782012448132782</v>
      </c>
      <c r="AS13" s="262">
        <f>IFERROR(INDEX('Input 4.1_2020VOL-YTD'!$C$4:$O$300, MATCH($C13,'Input 4.1_2020VOL-YTD'!$R$4:$R$300,0),MATCH(AS$2,'Input 4.1_2020VOL-YTD'!$C$1:$O$1,0))/INDEX('Input 4_2020CUST-YTD'!$C$4:Z$300,MATCH($C13,'Input 4_2020CUST-YTD'!$S$4:$S$300,0),MATCH(AS$2,'Input 4_2020CUST-YTD'!$C$1:$O$1,0)),0)</f>
        <v>123.35765072765072</v>
      </c>
      <c r="AT13" s="190">
        <f t="shared" si="5"/>
        <v>173.30298538622108</v>
      </c>
      <c r="AU13" s="261">
        <f t="shared" si="6"/>
        <v>1</v>
      </c>
      <c r="AW13" s="1">
        <f>IFERROR(INDEX('Input 5.1_2021VOL-YTD'!$C$3:$N$150, MATCH($C13,'Input 5.1_2021VOL-YTD'!$R$3:$R$150,0),MATCH(AW$2,'Input 5.1_2021VOL-YTD'!$C$1:$N$1,0))/INDEX('Input 5_2021CUST-YTD'!$C$3:$N$150,MATCH($C13,'Input 5_2021CUST-YTD'!$S$3:$S$150,0),MATCH(AW$2,'Input 5_2021CUST-YTD'!$C$1:$N$1,0)),0)</f>
        <v>158.06089211618257</v>
      </c>
      <c r="AX13" s="1">
        <f>IFERROR(INDEX('Input 5.1_2021VOL-YTD'!$C$3:$N$150, MATCH($C13,'Input 5.1_2021VOL-YTD'!$R$3:$R$150,0),MATCH(AX$2,'Input 5.1_2021VOL-YTD'!$C$1:$N$1,0))/INDEX('Input 5_2021CUST-YTD'!$C$3:$N$150,MATCH($C13,'Input 5_2021CUST-YTD'!$S$3:$S$150,0),MATCH(AX$2,'Input 5_2021CUST-YTD'!$C$1:$N$1,0)),0)</f>
        <v>115.66672839506172</v>
      </c>
      <c r="AY13" s="1">
        <f>IFERROR(INDEX('Input 5.1_2021VOL-YTD'!$C$3:$N$150, MATCH($C13,'Input 5.1_2021VOL-YTD'!$R$3:$R$150,0),MATCH(AY$2,'Input 5.1_2021VOL-YTD'!$C$1:$N$1,0))/INDEX('Input 5_2021CUST-YTD'!$C$3:$N$150,MATCH($C13,'Input 5_2021CUST-YTD'!$S$3:$S$150,0),MATCH(AY$2,'Input 5_2021CUST-YTD'!$C$1:$N$1,0)),0)</f>
        <v>125.99451345755693</v>
      </c>
      <c r="AZ13" s="1">
        <f>IFERROR(INDEX('Input 5.1_2021VOL-YTD'!$C$3:$N$150, MATCH($C13,'Input 5.1_2021VOL-YTD'!$R$3:$R$150,0),MATCH(AZ$2,'Input 5.1_2021VOL-YTD'!$C$1:$N$1,0))/INDEX('Input 5_2021CUST-YTD'!$C$3:$N$150,MATCH($C13,'Input 5_2021CUST-YTD'!$S$3:$S$150,0),MATCH(AZ$2,'Input 5_2021CUST-YTD'!$C$1:$N$1,0)),0)</f>
        <v>121.52388773388773</v>
      </c>
      <c r="BA13" s="1">
        <f>IFERROR(INDEX('Input 5.1_2021VOL-YTD'!$C$3:$N$150, MATCH($C13,'Input 5.1_2021VOL-YTD'!$R$3:$R$150,0),MATCH(BA$2,'Input 5.1_2021VOL-YTD'!$C$1:$N$1,0))/INDEX('Input 5_2021CUST-YTD'!$C$3:$N$150,MATCH($C13,'Input 5_2021CUST-YTD'!$S$3:$S$150,0),MATCH(BA$2,'Input 5_2021CUST-YTD'!$C$1:$N$1,0)),0)</f>
        <v>53.423064182194615</v>
      </c>
      <c r="BB13" s="1">
        <f>IFERROR(INDEX('Input 5.1_2021VOL-YTD'!$C$3:$N$150, MATCH($C13,'Input 5.1_2021VOL-YTD'!$R$3:$R$150,0),MATCH(BB$2,'Input 5.1_2021VOL-YTD'!$C$1:$N$1,0))/INDEX('Input 5_2021CUST-YTD'!$C$3:$N$150,MATCH($C13,'Input 5_2021CUST-YTD'!$S$3:$S$150,0),MATCH(BB$2,'Input 5_2021CUST-YTD'!$C$1:$N$1,0)),0)</f>
        <v>44.801732776617953</v>
      </c>
      <c r="BC13" s="1">
        <f>IFERROR(INDEX('Input 5.1_2021VOL-YTD'!$C$3:$N$150, MATCH($C13,'Input 5.1_2021VOL-YTD'!$R$3:$R$150,0),MATCH(BC$2,'Input 5.1_2021VOL-YTD'!$C$1:$N$1,0))/INDEX('Input 5_2021CUST-YTD'!$C$3:$N$150,MATCH($C13,'Input 5_2021CUST-YTD'!$S$3:$S$150,0),MATCH(BC$2,'Input 5_2021CUST-YTD'!$C$1:$N$1,0)),0)</f>
        <v>42.042050209205016</v>
      </c>
      <c r="BD13" s="1">
        <f>IFERROR(INDEX('Input 5.1_2021VOL-YTD'!$C$3:$N$150, MATCH($C13,'Input 5.1_2021VOL-YTD'!$R$3:$R$150,0),MATCH(BD$2,'Input 5.1_2021VOL-YTD'!$C$1:$N$1,0))/INDEX('Input 5_2021CUST-YTD'!$C$3:$N$150,MATCH($C13,'Input 5_2021CUST-YTD'!$S$3:$S$150,0),MATCH(BD$2,'Input 5_2021CUST-YTD'!$C$1:$N$1,0)),0)</f>
        <v>34.575126050420167</v>
      </c>
      <c r="BE13" s="1">
        <f>IFERROR(INDEX('Input 5.1_2021VOL-YTD'!$C$3:$N$150, MATCH($C13,'Input 5.1_2021VOL-YTD'!$R$3:$R$150,0),MATCH(BE$2,'Input 5.1_2021VOL-YTD'!$C$1:$N$1,0))/INDEX('Input 5_2021CUST-YTD'!$C$3:$N$150,MATCH($C13,'Input 5_2021CUST-YTD'!$S$3:$S$150,0),MATCH(BE$2,'Input 5_2021CUST-YTD'!$C$1:$N$1,0)),0)</f>
        <v>24.473354166666663</v>
      </c>
      <c r="BF13" s="1">
        <f>IFERROR(INDEX('Input 5.1_2021VOL-YTD'!$C$3:$N$150, MATCH($C13,'Input 5.1_2021VOL-YTD'!$R$3:$R$150,0),MATCH(BF$2,'Input 5.1_2021VOL-YTD'!$C$1:$N$1,0))/INDEX('Input 5_2021CUST-YTD'!$C$3:$N$150,MATCH($C13,'Input 5_2021CUST-YTD'!$S$3:$S$150,0),MATCH(BF$2,'Input 5_2021CUST-YTD'!$C$1:$N$1,0)),0)</f>
        <v>41.208503118503117</v>
      </c>
      <c r="BG13" s="1">
        <f>IFERROR(INDEX('Input 5.1_2021VOL-YTD'!$C$3:$N$150, MATCH($C13,'Input 5.1_2021VOL-YTD'!$R$3:$R$150,0),MATCH(BG$2,'Input 5.1_2021VOL-YTD'!$C$1:$N$1,0))/INDEX('Input 5_2021CUST-YTD'!$C$3:$N$150,MATCH($C13,'Input 5_2021CUST-YTD'!$S$3:$S$150,0),MATCH(BG$2,'Input 5_2021CUST-YTD'!$C$1:$N$1,0)),0)</f>
        <v>77.2183817427386</v>
      </c>
      <c r="BH13" s="1">
        <f>IFERROR(INDEX('Input 5.1_2021VOL-YTD'!$C$3:$N$150, MATCH($C13,'Input 5.1_2021VOL-YTD'!$R$3:$R$150,0),MATCH(BH$2,'Input 5.1_2021VOL-YTD'!$C$1:$N$1,0))/INDEX('Input 5_2021CUST-YTD'!$C$3:$N$150,MATCH($C13,'Input 5_2021CUST-YTD'!$S$3:$S$150,0),MATCH(BH$2,'Input 5_2021CUST-YTD'!$C$1:$N$1,0)),0)</f>
        <v>152.34029106029104</v>
      </c>
      <c r="BI13" s="190">
        <f t="shared" si="7"/>
        <v>158.06089211618257</v>
      </c>
      <c r="BJ13" s="261">
        <f t="shared" si="8"/>
        <v>1</v>
      </c>
    </row>
    <row r="14" spans="1:62">
      <c r="A14" s="261" t="s">
        <v>8</v>
      </c>
      <c r="B14" s="261" t="s">
        <v>17</v>
      </c>
      <c r="C14" s="261" t="s">
        <v>1290</v>
      </c>
      <c r="D14" s="5">
        <f>IFERROR(INDEX('Input 16.1_2018VOL-YTD'!$C$4:$N$300, MATCH($C14,'Input 16.1_2018VOL-YTD'!$R$4:$R$300,0),MATCH(D$2,'Input 16.1_2018VOL-YTD'!$C$1:$N$1,0))/INDEX('Input 16_2018CUST-YTD'!$D$4:$O$300,MATCH($C14,'Input 16_2018CUST-YTD'!$S$4:$S$300,0),MATCH(D$2,'Input 16_2018CUST-YTD'!$C$1:$O$1,0)),0)</f>
        <v>0</v>
      </c>
      <c r="E14" s="5">
        <f>IFERROR(INDEX('Input 16.1_2018VOL-YTD'!$C$4:$N$300, MATCH($C14,'Input 16.1_2018VOL-YTD'!$R$4:$R$300,0),MATCH(E$2,'Input 16.1_2018VOL-YTD'!$C$1:$N$1,0))/INDEX('Input 16_2018CUST-YTD'!$D$4:$O$300,MATCH($C14,'Input 16_2018CUST-YTD'!$S$4:$S$300,0),MATCH(E$2,'Input 16_2018CUST-YTD'!$C$1:$O$1,0)),0)</f>
        <v>0</v>
      </c>
      <c r="F14" s="5">
        <f>IFERROR(INDEX('Input 16.1_2018VOL-YTD'!$C$4:$N$300, MATCH($C14,'Input 16.1_2018VOL-YTD'!$R$4:$R$300,0),MATCH(F$2,'Input 16.1_2018VOL-YTD'!$C$1:$N$1,0))/INDEX('Input 16_2018CUST-YTD'!$D$4:$O$300,MATCH($C14,'Input 16_2018CUST-YTD'!$S$4:$S$300,0),MATCH(F$2,'Input 16_2018CUST-YTD'!$C$1:$O$1,0)),0)</f>
        <v>0</v>
      </c>
      <c r="G14" s="5">
        <f>IFERROR(INDEX('Input 16.1_2018VOL-YTD'!$C$4:$N$300, MATCH($C14,'Input 16.1_2018VOL-YTD'!$R$4:$R$300,0),MATCH(G$2,'Input 16.1_2018VOL-YTD'!$C$1:$N$1,0))/INDEX('Input 16_2018CUST-YTD'!$D$4:$O$300,MATCH($C14,'Input 16_2018CUST-YTD'!$S$4:$S$300,0),MATCH(G$2,'Input 16_2018CUST-YTD'!$C$1:$O$1,0)),0)</f>
        <v>0</v>
      </c>
      <c r="H14" s="5">
        <f>IFERROR(INDEX('Input 16.1_2018VOL-YTD'!$C$4:$N$300, MATCH($C14,'Input 16.1_2018VOL-YTD'!$R$4:$R$300,0),MATCH(H$2,'Input 16.1_2018VOL-YTD'!$C$1:$N$1,0))/INDEX('Input 16_2018CUST-YTD'!$D$4:$O$300,MATCH($C14,'Input 16_2018CUST-YTD'!$S$4:$S$300,0),MATCH(H$2,'Input 16_2018CUST-YTD'!$C$1:$O$1,0)),0)</f>
        <v>0</v>
      </c>
      <c r="I14" s="5">
        <f>IFERROR(INDEX('Input 16.1_2018VOL-YTD'!$C$4:$N$300, MATCH($C14,'Input 16.1_2018VOL-YTD'!$R$4:$R$300,0),MATCH(I$2,'Input 16.1_2018VOL-YTD'!$C$1:$N$1,0))/INDEX('Input 16_2018CUST-YTD'!$D$4:$O$300,MATCH($C14,'Input 16_2018CUST-YTD'!$S$4:$S$300,0),MATCH(I$2,'Input 16_2018CUST-YTD'!$C$1:$O$1,0)),0)</f>
        <v>0</v>
      </c>
      <c r="J14" s="5">
        <f>IFERROR(INDEX('Input 16.1_2018VOL-YTD'!$C$4:$N$300, MATCH($C14,'Input 16.1_2018VOL-YTD'!$R$4:$R$300,0),MATCH(J$2,'Input 16.1_2018VOL-YTD'!$C$1:$N$1,0))/INDEX('Input 16_2018CUST-YTD'!$D$4:$O$300,MATCH($C14,'Input 16_2018CUST-YTD'!$S$4:$S$300,0),MATCH(J$2,'Input 16_2018CUST-YTD'!$C$1:$O$1,0)),0)</f>
        <v>0</v>
      </c>
      <c r="K14" s="5">
        <f>IFERROR(INDEX('Input 16.1_2018VOL-YTD'!$C$4:$N$300, MATCH($C14,'Input 16.1_2018VOL-YTD'!$R$4:$R$300,0),MATCH(K$2,'Input 16.1_2018VOL-YTD'!$C$1:$N$1,0))/INDEX('Input 16_2018CUST-YTD'!$D$4:$O$300,MATCH($C14,'Input 16_2018CUST-YTD'!$S$4:$S$300,0),MATCH(K$2,'Input 16_2018CUST-YTD'!$C$1:$O$1,0)),0)</f>
        <v>0</v>
      </c>
      <c r="L14" s="5">
        <f>IFERROR(INDEX('Input 16.1_2018VOL-YTD'!$C$4:$N$300, MATCH($C14,'Input 16.1_2018VOL-YTD'!$R$4:$R$300,0),MATCH(L$2,'Input 16.1_2018VOL-YTD'!$C$1:$N$1,0))/INDEX('Input 16_2018CUST-YTD'!$D$4:$O$300,MATCH($C14,'Input 16_2018CUST-YTD'!$S$4:$S$300,0),MATCH(L$2,'Input 16_2018CUST-YTD'!$C$1:$O$1,0)),0)</f>
        <v>0</v>
      </c>
      <c r="M14" s="5">
        <f>IFERROR(INDEX('Input 16.1_2018VOL-YTD'!$C$4:$N$300, MATCH($C14,'Input 16.1_2018VOL-YTD'!$R$4:$R$300,0),MATCH(M$2,'Input 16.1_2018VOL-YTD'!$C$1:$N$1,0))/INDEX('Input 16_2018CUST-YTD'!$D$4:$O$300,MATCH($C14,'Input 16_2018CUST-YTD'!$S$4:$S$300,0),MATCH(M$2,'Input 16_2018CUST-YTD'!$C$1:$O$1,0)),0)</f>
        <v>0</v>
      </c>
      <c r="N14" s="5">
        <f>IFERROR(INDEX('Input 16.1_2018VOL-YTD'!$C$4:$N$300, MATCH($C14,'Input 16.1_2018VOL-YTD'!$R$4:$R$300,0),MATCH(N$2,'Input 16.1_2018VOL-YTD'!$C$1:$N$1,0))/INDEX('Input 16_2018CUST-YTD'!$D$4:$O$300,MATCH($C14,'Input 16_2018CUST-YTD'!$S$4:$S$300,0),MATCH(N$2,'Input 16_2018CUST-YTD'!$C$1:$O$1,0)),0)</f>
        <v>0</v>
      </c>
      <c r="O14" s="5">
        <f>IFERROR(INDEX('Input 16.1_2018VOL-YTD'!$C$4:$N$300, MATCH($C14,'Input 16.1_2018VOL-YTD'!$R$4:$R$300,0),MATCH(O$2,'Input 16.1_2018VOL-YTD'!$C$1:$N$1,0))/INDEX('Input 16_2018CUST-YTD'!$D$4:$O$300,MATCH($C14,'Input 16_2018CUST-YTD'!$S$4:$S$300,0),MATCH(O$2,'Input 16_2018CUST-YTD'!$C$1:$O$1,0)),0)</f>
        <v>0</v>
      </c>
      <c r="P14" s="271">
        <f t="shared" si="1"/>
        <v>0</v>
      </c>
      <c r="Q14" s="261">
        <f t="shared" si="2"/>
        <v>0</v>
      </c>
      <c r="S14" s="5">
        <f>IFERROR(INDEX('Input 3.1_2019VOL-YTD'!$C$4:$N$300, MATCH($C14,'Input 3.1_2019VOL-YTD'!$R$4:$R$300,0),MATCH(S$2,'Input 3.1_2019VOL-YTD'!$C$1:$N$1,0))/INDEX('Input 3_2019CUST-YTD'!$C$4:$N$300,MATCH($C14,'Input 3_2019CUST-YTD'!$S$4:$S$300,0),MATCH(S$2,'Input 3_2019CUST-YTD'!$C$1:$N$1,0)),0)</f>
        <v>0</v>
      </c>
      <c r="T14" s="5">
        <f>IFERROR(INDEX('Input 3.1_2019VOL-YTD'!$C$4:$N$300, MATCH($C14,'Input 3.1_2019VOL-YTD'!$R$4:$R$300,0),MATCH(T$2,'Input 3.1_2019VOL-YTD'!$C$1:$N$1,0))/INDEX('Input 3_2019CUST-YTD'!$C$4:$N$300,MATCH($C14,'Input 3_2019CUST-YTD'!$S$4:$S$300,0),MATCH(T$2,'Input 3_2019CUST-YTD'!$C$1:$N$1,0)),0)</f>
        <v>0</v>
      </c>
      <c r="U14" s="5">
        <f>IFERROR(INDEX('Input 3.1_2019VOL-YTD'!$C$4:$N$300, MATCH($C14,'Input 3.1_2019VOL-YTD'!$R$4:$R$300,0),MATCH(U$2,'Input 3.1_2019VOL-YTD'!$C$1:$N$1,0))/INDEX('Input 3_2019CUST-YTD'!$C$4:$N$300,MATCH($C14,'Input 3_2019CUST-YTD'!$S$4:$S$300,0),MATCH(U$2,'Input 3_2019CUST-YTD'!$C$1:$N$1,0)),0)</f>
        <v>0</v>
      </c>
      <c r="V14" s="5">
        <f>IFERROR(INDEX('Input 3.1_2019VOL-YTD'!$C$4:$N$300, MATCH($C14,'Input 3.1_2019VOL-YTD'!$R$4:$R$300,0),MATCH(V$2,'Input 3.1_2019VOL-YTD'!$C$1:$N$1,0))/INDEX('Input 3_2019CUST-YTD'!$C$4:$N$300,MATCH($C14,'Input 3_2019CUST-YTD'!$S$4:$S$300,0),MATCH(V$2,'Input 3_2019CUST-YTD'!$C$1:$N$1,0)),0)</f>
        <v>0</v>
      </c>
      <c r="W14" s="5">
        <f>IFERROR(INDEX('Input 3.1_2019VOL-YTD'!$C$4:$N$300, MATCH($C14,'Input 3.1_2019VOL-YTD'!$R$4:$R$300,0),MATCH(W$2,'Input 3.1_2019VOL-YTD'!$C$1:$N$1,0))/INDEX('Input 3_2019CUST-YTD'!$C$4:$N$300,MATCH($C14,'Input 3_2019CUST-YTD'!$S$4:$S$300,0),MATCH(W$2,'Input 3_2019CUST-YTD'!$C$1:$N$1,0)),0)</f>
        <v>0</v>
      </c>
      <c r="X14" s="5">
        <f>IFERROR(INDEX('Input 3.1_2019VOL-YTD'!$C$4:$N$300, MATCH($C14,'Input 3.1_2019VOL-YTD'!$R$4:$R$300,0),MATCH(X$2,'Input 3.1_2019VOL-YTD'!$C$1:$N$1,0))/INDEX('Input 3_2019CUST-YTD'!$C$4:$N$300,MATCH($C14,'Input 3_2019CUST-YTD'!$S$4:$S$300,0),MATCH(X$2,'Input 3_2019CUST-YTD'!$C$1:$N$1,0)),0)</f>
        <v>0</v>
      </c>
      <c r="Y14" s="5">
        <f>IFERROR(INDEX('Input 3.1_2019VOL-YTD'!$C$4:$N$300, MATCH($C14,'Input 3.1_2019VOL-YTD'!$R$4:$R$300,0),MATCH(Y$2,'Input 3.1_2019VOL-YTD'!$C$1:$N$1,0))/INDEX('Input 3_2019CUST-YTD'!$C$4:$N$300,MATCH($C14,'Input 3_2019CUST-YTD'!$S$4:$S$300,0),MATCH(Y$2,'Input 3_2019CUST-YTD'!$C$1:$N$1,0)),0)</f>
        <v>0</v>
      </c>
      <c r="Z14" s="5">
        <f>IFERROR(INDEX('Input 3.1_2019VOL-YTD'!$C$4:$N$300, MATCH($C14,'Input 3.1_2019VOL-YTD'!$R$4:$R$300,0),MATCH(Z$2,'Input 3.1_2019VOL-YTD'!$C$1:$N$1,0))/INDEX('Input 3_2019CUST-YTD'!$C$4:$N$300,MATCH($C14,'Input 3_2019CUST-YTD'!$S$4:$S$300,0),MATCH(Z$2,'Input 3_2019CUST-YTD'!$C$1:$N$1,0)),0)</f>
        <v>0</v>
      </c>
      <c r="AA14" s="5">
        <f>IFERROR(INDEX('Input 3.1_2019VOL-YTD'!$C$4:$N$300, MATCH($C14,'Input 3.1_2019VOL-YTD'!$R$4:$R$300,0),MATCH(AA$2,'Input 3.1_2019VOL-YTD'!$C$1:$N$1,0))/INDEX('Input 3_2019CUST-YTD'!$C$4:$N$300,MATCH($C14,'Input 3_2019CUST-YTD'!$S$4:$S$300,0),MATCH(AA$2,'Input 3_2019CUST-YTD'!$C$1:$N$1,0)),0)</f>
        <v>0</v>
      </c>
      <c r="AB14" s="5">
        <f>IFERROR(INDEX('Input 3.1_2019VOL-YTD'!$C$4:$N$300, MATCH($C14,'Input 3.1_2019VOL-YTD'!$R$4:$R$300,0),MATCH(AB$2,'Input 3.1_2019VOL-YTD'!$C$1:$N$1,0))/INDEX('Input 3_2019CUST-YTD'!$C$4:$N$300,MATCH($C14,'Input 3_2019CUST-YTD'!$S$4:$S$300,0),MATCH(AB$2,'Input 3_2019CUST-YTD'!$C$1:$N$1,0)),0)</f>
        <v>0</v>
      </c>
      <c r="AC14" s="5">
        <f>IFERROR(INDEX('Input 3.1_2019VOL-YTD'!$C$4:$N$300, MATCH($C14,'Input 3.1_2019VOL-YTD'!$R$4:$R$300,0),MATCH(AC$2,'Input 3.1_2019VOL-YTD'!$C$1:$N$1,0))/INDEX('Input 3_2019CUST-YTD'!$C$4:$N$300,MATCH($C14,'Input 3_2019CUST-YTD'!$S$4:$S$300,0),MATCH(AC$2,'Input 3_2019CUST-YTD'!$C$1:$N$1,0)),0)</f>
        <v>0</v>
      </c>
      <c r="AD14" s="5">
        <f>IFERROR(INDEX('Input 3.1_2019VOL-YTD'!$C$4:$N$300, MATCH($C14,'Input 3.1_2019VOL-YTD'!$R$4:$R$300,0),MATCH(AD$2,'Input 3.1_2019VOL-YTD'!$C$1:$N$1,0))/INDEX('Input 3_2019CUST-YTD'!$C$4:$N$300,MATCH($C14,'Input 3_2019CUST-YTD'!$S$4:$S$300,0),MATCH(AD$2,'Input 3_2019CUST-YTD'!$C$1:$N$1,0)),0)</f>
        <v>0</v>
      </c>
      <c r="AE14" s="272">
        <f t="shared" si="3"/>
        <v>0</v>
      </c>
      <c r="AF14" s="261">
        <f t="shared" si="4"/>
        <v>1</v>
      </c>
      <c r="AH14" s="262">
        <f>IFERROR(INDEX('Input 4.1_2020VOL-YTD'!$C$4:$O$300, MATCH($C14,'Input 4.1_2020VOL-YTD'!$R$4:$R$300,0),MATCH(AH$2,'Input 4.1_2020VOL-YTD'!$C$1:$O$1,0))/INDEX('Input 4_2020CUST-YTD'!$C$4:O$300,MATCH($C14,'Input 4_2020CUST-YTD'!$S$4:$S$300,0),MATCH(AH$2,'Input 4_2020CUST-YTD'!$C$1:$O$1,0)),0)</f>
        <v>0</v>
      </c>
      <c r="AI14" s="262">
        <f>IFERROR(INDEX('Input 4.1_2020VOL-YTD'!$C$4:$O$300, MATCH($C14,'Input 4.1_2020VOL-YTD'!$R$4:$R$300,0),MATCH(AI$2,'Input 4.1_2020VOL-YTD'!$C$1:$O$1,0))/INDEX('Input 4_2020CUST-YTD'!$C$4:P$300,MATCH($C14,'Input 4_2020CUST-YTD'!$S$4:$S$300,0),MATCH(AI$2,'Input 4_2020CUST-YTD'!$C$1:$O$1,0)),0)</f>
        <v>0</v>
      </c>
      <c r="AJ14" s="262">
        <f>IFERROR(INDEX('Input 4.1_2020VOL-YTD'!$C$4:$O$300, MATCH($C14,'Input 4.1_2020VOL-YTD'!$R$4:$R$300,0),MATCH(AJ$2,'Input 4.1_2020VOL-YTD'!$C$1:$O$1,0))/INDEX('Input 4_2020CUST-YTD'!$C$4:Q$300,MATCH($C14,'Input 4_2020CUST-YTD'!$S$4:$S$300,0),MATCH(AJ$2,'Input 4_2020CUST-YTD'!$C$1:$O$1,0)),0)</f>
        <v>0</v>
      </c>
      <c r="AK14" s="262">
        <f>IFERROR(INDEX('Input 4.1_2020VOL-YTD'!$C$4:$O$300, MATCH($C14,'Input 4.1_2020VOL-YTD'!$R$4:$R$300,0),MATCH(AK$2,'Input 4.1_2020VOL-YTD'!$C$1:$O$1,0))/INDEX('Input 4_2020CUST-YTD'!$C$4:R$300,MATCH($C14,'Input 4_2020CUST-YTD'!$S$4:$S$300,0),MATCH(AK$2,'Input 4_2020CUST-YTD'!$C$1:$O$1,0)),0)</f>
        <v>0</v>
      </c>
      <c r="AL14" s="262">
        <f>IFERROR(INDEX('Input 4.1_2020VOL-YTD'!$C$4:$O$300, MATCH($C14,'Input 4.1_2020VOL-YTD'!$R$4:$R$300,0),MATCH(AL$2,'Input 4.1_2020VOL-YTD'!$C$1:$O$1,0))/INDEX('Input 4_2020CUST-YTD'!$C$4:S$300,MATCH($C14,'Input 4_2020CUST-YTD'!$S$4:$S$300,0),MATCH(AL$2,'Input 4_2020CUST-YTD'!$C$1:$O$1,0)),0)</f>
        <v>0</v>
      </c>
      <c r="AM14" s="262">
        <f>IFERROR(INDEX('Input 4.1_2020VOL-YTD'!$C$4:$O$300, MATCH($C14,'Input 4.1_2020VOL-YTD'!$R$4:$R$300,0),MATCH(AM$2,'Input 4.1_2020VOL-YTD'!$C$1:$O$1,0))/INDEX('Input 4_2020CUST-YTD'!$C$4:T$300,MATCH($C14,'Input 4_2020CUST-YTD'!$S$4:$S$300,0),MATCH(AM$2,'Input 4_2020CUST-YTD'!$C$1:$O$1,0)),0)</f>
        <v>0</v>
      </c>
      <c r="AN14" s="262">
        <f>IFERROR(INDEX('Input 4.1_2020VOL-YTD'!$C$4:$O$300, MATCH($C14,'Input 4.1_2020VOL-YTD'!$R$4:$R$300,0),MATCH(AN$2,'Input 4.1_2020VOL-YTD'!$C$1:$O$1,0))/INDEX('Input 4_2020CUST-YTD'!$C$4:U$300,MATCH($C14,'Input 4_2020CUST-YTD'!$S$4:$S$300,0),MATCH(AN$2,'Input 4_2020CUST-YTD'!$C$1:$O$1,0)),0)</f>
        <v>0</v>
      </c>
      <c r="AO14" s="262">
        <f>IFERROR(INDEX('Input 4.1_2020VOL-YTD'!$C$4:$O$300, MATCH($C14,'Input 4.1_2020VOL-YTD'!$R$4:$R$300,0),MATCH(AO$2,'Input 4.1_2020VOL-YTD'!$C$1:$O$1,0))/INDEX('Input 4_2020CUST-YTD'!$C$4:V$300,MATCH($C14,'Input 4_2020CUST-YTD'!$S$4:$S$300,0),MATCH(AO$2,'Input 4_2020CUST-YTD'!$C$1:$O$1,0)),0)</f>
        <v>0</v>
      </c>
      <c r="AP14" s="262">
        <f>IFERROR(INDEX('Input 4.1_2020VOL-YTD'!$C$4:$O$300, MATCH($C14,'Input 4.1_2020VOL-YTD'!$R$4:$R$300,0),MATCH(AP$2,'Input 4.1_2020VOL-YTD'!$C$1:$O$1,0))/INDEX('Input 4_2020CUST-YTD'!$C$4:W$300,MATCH($C14,'Input 4_2020CUST-YTD'!$S$4:$S$300,0),MATCH(AP$2,'Input 4_2020CUST-YTD'!$C$1:$O$1,0)),0)</f>
        <v>0</v>
      </c>
      <c r="AQ14" s="262">
        <f>IFERROR(INDEX('Input 4.1_2020VOL-YTD'!$C$4:$O$300, MATCH($C14,'Input 4.1_2020VOL-YTD'!$R$4:$R$300,0),MATCH(AQ$2,'Input 4.1_2020VOL-YTD'!$C$1:$O$1,0))/INDEX('Input 4_2020CUST-YTD'!$C$4:X$300,MATCH($C14,'Input 4_2020CUST-YTD'!$S$4:$S$300,0),MATCH(AQ$2,'Input 4_2020CUST-YTD'!$C$1:$O$1,0)),0)</f>
        <v>0</v>
      </c>
      <c r="AR14" s="262">
        <f>IFERROR(INDEX('Input 4.1_2020VOL-YTD'!$C$4:$O$300, MATCH($C14,'Input 4.1_2020VOL-YTD'!$R$4:$R$300,0),MATCH(AR$2,'Input 4.1_2020VOL-YTD'!$C$1:$O$1,0))/INDEX('Input 4_2020CUST-YTD'!$C$4:Y$300,MATCH($C14,'Input 4_2020CUST-YTD'!$S$4:$S$300,0),MATCH(AR$2,'Input 4_2020CUST-YTD'!$C$1:$O$1,0)),0)</f>
        <v>0</v>
      </c>
      <c r="AS14" s="262">
        <f>IFERROR(INDEX('Input 4.1_2020VOL-YTD'!$C$4:$O$300, MATCH($C14,'Input 4.1_2020VOL-YTD'!$R$4:$R$300,0),MATCH(AS$2,'Input 4.1_2020VOL-YTD'!$C$1:$O$1,0))/INDEX('Input 4_2020CUST-YTD'!$C$4:Z$300,MATCH($C14,'Input 4_2020CUST-YTD'!$S$4:$S$300,0),MATCH(AS$2,'Input 4_2020CUST-YTD'!$C$1:$O$1,0)),0)</f>
        <v>0</v>
      </c>
      <c r="AT14" s="190">
        <f t="shared" ref="AT14:AT30" si="9">MAX(AH14:AS14)</f>
        <v>0</v>
      </c>
      <c r="AU14" s="261">
        <f t="shared" si="6"/>
        <v>1</v>
      </c>
      <c r="AW14" s="1">
        <f>IFERROR(INDEX('Input 5.1_2021VOL-YTD'!$C$3:$N$150, MATCH($C14,'Input 5.1_2021VOL-YTD'!$R$3:$R$150,0),MATCH(AW$2,'Input 5.1_2021VOL-YTD'!$C$1:$N$1,0))/INDEX('Input 5_2021CUST-YTD'!$C$3:$N$150,MATCH($C14,'Input 5_2021CUST-YTD'!$S$3:$S$150,0),MATCH(AW$2,'Input 5_2021CUST-YTD'!$C$1:$N$1,0)),0)</f>
        <v>0</v>
      </c>
      <c r="AX14" s="1">
        <f>IFERROR(INDEX('Input 5.1_2021VOL-YTD'!$C$3:$N$150, MATCH($C14,'Input 5.1_2021VOL-YTD'!$R$3:$R$150,0),MATCH(AX$2,'Input 5.1_2021VOL-YTD'!$C$1:$N$1,0))/INDEX('Input 5_2021CUST-YTD'!$C$3:$N$150,MATCH($C14,'Input 5_2021CUST-YTD'!$S$3:$S$150,0),MATCH(AX$2,'Input 5_2021CUST-YTD'!$C$1:$N$1,0)),0)</f>
        <v>0</v>
      </c>
      <c r="AY14" s="1">
        <f>IFERROR(INDEX('Input 5.1_2021VOL-YTD'!$C$3:$N$150, MATCH($C14,'Input 5.1_2021VOL-YTD'!$R$3:$R$150,0),MATCH(AY$2,'Input 5.1_2021VOL-YTD'!$C$1:$N$1,0))/INDEX('Input 5_2021CUST-YTD'!$C$3:$N$150,MATCH($C14,'Input 5_2021CUST-YTD'!$S$3:$S$150,0),MATCH(AY$2,'Input 5_2021CUST-YTD'!$C$1:$N$1,0)),0)</f>
        <v>0</v>
      </c>
      <c r="AZ14" s="1">
        <f>IFERROR(INDEX('Input 5.1_2021VOL-YTD'!$C$3:$N$150, MATCH($C14,'Input 5.1_2021VOL-YTD'!$R$3:$R$150,0),MATCH(AZ$2,'Input 5.1_2021VOL-YTD'!$C$1:$N$1,0))/INDEX('Input 5_2021CUST-YTD'!$C$3:$N$150,MATCH($C14,'Input 5_2021CUST-YTD'!$S$3:$S$150,0),MATCH(AZ$2,'Input 5_2021CUST-YTD'!$C$1:$N$1,0)),0)</f>
        <v>0</v>
      </c>
      <c r="BA14" s="1">
        <f>IFERROR(INDEX('Input 5.1_2021VOL-YTD'!$C$3:$N$150, MATCH($C14,'Input 5.1_2021VOL-YTD'!$R$3:$R$150,0),MATCH(BA$2,'Input 5.1_2021VOL-YTD'!$C$1:$N$1,0))/INDEX('Input 5_2021CUST-YTD'!$C$3:$N$150,MATCH($C14,'Input 5_2021CUST-YTD'!$S$3:$S$150,0),MATCH(BA$2,'Input 5_2021CUST-YTD'!$C$1:$N$1,0)),0)</f>
        <v>0</v>
      </c>
      <c r="BB14" s="1">
        <f>IFERROR(INDEX('Input 5.1_2021VOL-YTD'!$C$3:$N$150, MATCH($C14,'Input 5.1_2021VOL-YTD'!$R$3:$R$150,0),MATCH(BB$2,'Input 5.1_2021VOL-YTD'!$C$1:$N$1,0))/INDEX('Input 5_2021CUST-YTD'!$C$3:$N$150,MATCH($C14,'Input 5_2021CUST-YTD'!$S$3:$S$150,0),MATCH(BB$2,'Input 5_2021CUST-YTD'!$C$1:$N$1,0)),0)</f>
        <v>0</v>
      </c>
      <c r="BC14" s="1">
        <f>IFERROR(INDEX('Input 5.1_2021VOL-YTD'!$C$3:$N$150, MATCH($C14,'Input 5.1_2021VOL-YTD'!$R$3:$R$150,0),MATCH(BC$2,'Input 5.1_2021VOL-YTD'!$C$1:$N$1,0))/INDEX('Input 5_2021CUST-YTD'!$C$3:$N$150,MATCH($C14,'Input 5_2021CUST-YTD'!$S$3:$S$150,0),MATCH(BC$2,'Input 5_2021CUST-YTD'!$C$1:$N$1,0)),0)</f>
        <v>0</v>
      </c>
      <c r="BD14" s="1">
        <f>IFERROR(INDEX('Input 5.1_2021VOL-YTD'!$C$3:$N$150, MATCH($C14,'Input 5.1_2021VOL-YTD'!$R$3:$R$150,0),MATCH(BD$2,'Input 5.1_2021VOL-YTD'!$C$1:$N$1,0))/INDEX('Input 5_2021CUST-YTD'!$C$3:$N$150,MATCH($C14,'Input 5_2021CUST-YTD'!$S$3:$S$150,0),MATCH(BD$2,'Input 5_2021CUST-YTD'!$C$1:$N$1,0)),0)</f>
        <v>0</v>
      </c>
      <c r="BE14" s="1">
        <f>IFERROR(INDEX('Input 5.1_2021VOL-YTD'!$C$3:$N$150, MATCH($C14,'Input 5.1_2021VOL-YTD'!$R$3:$R$150,0),MATCH(BE$2,'Input 5.1_2021VOL-YTD'!$C$1:$N$1,0))/INDEX('Input 5_2021CUST-YTD'!$C$3:$N$150,MATCH($C14,'Input 5_2021CUST-YTD'!$S$3:$S$150,0),MATCH(BE$2,'Input 5_2021CUST-YTD'!$C$1:$N$1,0)),0)</f>
        <v>0</v>
      </c>
      <c r="BF14" s="1">
        <f>IFERROR(INDEX('Input 5.1_2021VOL-YTD'!$C$3:$N$150, MATCH($C14,'Input 5.1_2021VOL-YTD'!$R$3:$R$150,0),MATCH(BF$2,'Input 5.1_2021VOL-YTD'!$C$1:$N$1,0))/INDEX('Input 5_2021CUST-YTD'!$C$3:$N$150,MATCH($C14,'Input 5_2021CUST-YTD'!$S$3:$S$150,0),MATCH(BF$2,'Input 5_2021CUST-YTD'!$C$1:$N$1,0)),0)</f>
        <v>0</v>
      </c>
      <c r="BG14" s="1">
        <f>IFERROR(INDEX('Input 5.1_2021VOL-YTD'!$C$3:$N$150, MATCH($C14,'Input 5.1_2021VOL-YTD'!$R$3:$R$150,0),MATCH(BG$2,'Input 5.1_2021VOL-YTD'!$C$1:$N$1,0))/INDEX('Input 5_2021CUST-YTD'!$C$3:$N$150,MATCH($C14,'Input 5_2021CUST-YTD'!$S$3:$S$150,0),MATCH(BG$2,'Input 5_2021CUST-YTD'!$C$1:$N$1,0)),0)</f>
        <v>0</v>
      </c>
      <c r="BH14" s="1">
        <f>IFERROR(INDEX('Input 5.1_2021VOL-YTD'!$C$3:$N$150, MATCH($C14,'Input 5.1_2021VOL-YTD'!$R$3:$R$150,0),MATCH(BH$2,'Input 5.1_2021VOL-YTD'!$C$1:$N$1,0))/INDEX('Input 5_2021CUST-YTD'!$C$3:$N$150,MATCH($C14,'Input 5_2021CUST-YTD'!$S$3:$S$150,0),MATCH(BH$2,'Input 5_2021CUST-YTD'!$C$1:$N$1,0)),0)</f>
        <v>0</v>
      </c>
      <c r="BI14" s="190">
        <f t="shared" si="7"/>
        <v>0</v>
      </c>
      <c r="BJ14" s="261">
        <f t="shared" si="8"/>
        <v>1</v>
      </c>
    </row>
    <row r="15" spans="1:62">
      <c r="A15" s="261" t="s">
        <v>8</v>
      </c>
      <c r="B15" s="261" t="s">
        <v>17</v>
      </c>
      <c r="C15" s="261" t="s">
        <v>1393</v>
      </c>
      <c r="D15" s="5">
        <f>IFERROR(INDEX('Input 16.1_2018VOL-YTD'!$C$4:$N$300, MATCH($C15,'Input 16.1_2018VOL-YTD'!$R$4:$R$300,0),MATCH(D$2,'Input 16.1_2018VOL-YTD'!$C$1:$N$1,0))/INDEX('Input 16_2018CUST-YTD'!$D$4:$O$300,MATCH($C15,'Input 16_2018CUST-YTD'!$S$4:$S$300,0),MATCH(D$2,'Input 16_2018CUST-YTD'!$C$1:$O$1,0)),0)</f>
        <v>361.03384615384613</v>
      </c>
      <c r="E15" s="5">
        <f>IFERROR(INDEX('Input 16.1_2018VOL-YTD'!$C$4:$N$300, MATCH($C15,'Input 16.1_2018VOL-YTD'!$R$4:$R$300,0),MATCH(E$2,'Input 16.1_2018VOL-YTD'!$C$1:$N$1,0))/INDEX('Input 16_2018CUST-YTD'!$D$4:$O$300,MATCH($C15,'Input 16_2018CUST-YTD'!$S$4:$S$300,0),MATCH(E$2,'Input 16_2018CUST-YTD'!$C$1:$O$1,0)),0)</f>
        <v>286.46846153846155</v>
      </c>
      <c r="F15" s="5">
        <f>IFERROR(INDEX('Input 16.1_2018VOL-YTD'!$C$4:$N$300, MATCH($C15,'Input 16.1_2018VOL-YTD'!$R$4:$R$300,0),MATCH(F$2,'Input 16.1_2018VOL-YTD'!$C$1:$N$1,0))/INDEX('Input 16_2018CUST-YTD'!$D$4:$O$300,MATCH($C15,'Input 16_2018CUST-YTD'!$S$4:$S$300,0),MATCH(F$2,'Input 16_2018CUST-YTD'!$C$1:$O$1,0)),0)</f>
        <v>306.20687500000003</v>
      </c>
      <c r="G15" s="5">
        <f>IFERROR(INDEX('Input 16.1_2018VOL-YTD'!$C$4:$N$300, MATCH($C15,'Input 16.1_2018VOL-YTD'!$R$4:$R$300,0),MATCH(G$2,'Input 16.1_2018VOL-YTD'!$C$1:$N$1,0))/INDEX('Input 16_2018CUST-YTD'!$D$4:$O$300,MATCH($C15,'Input 16_2018CUST-YTD'!$S$4:$S$300,0),MATCH(G$2,'Input 16_2018CUST-YTD'!$C$1:$O$1,0)),0)</f>
        <v>288.70499999999998</v>
      </c>
      <c r="H15" s="5">
        <f>IFERROR(INDEX('Input 16.1_2018VOL-YTD'!$C$4:$N$300, MATCH($C15,'Input 16.1_2018VOL-YTD'!$R$4:$R$300,0),MATCH(H$2,'Input 16.1_2018VOL-YTD'!$C$1:$N$1,0))/INDEX('Input 16_2018CUST-YTD'!$D$4:$O$300,MATCH($C15,'Input 16_2018CUST-YTD'!$S$4:$S$300,0),MATCH(H$2,'Input 16_2018CUST-YTD'!$C$1:$O$1,0)),0)</f>
        <v>183.59125</v>
      </c>
      <c r="I15" s="5">
        <f>IFERROR(INDEX('Input 16.1_2018VOL-YTD'!$C$4:$N$300, MATCH($C15,'Input 16.1_2018VOL-YTD'!$R$4:$R$300,0),MATCH(I$2,'Input 16.1_2018VOL-YTD'!$C$1:$N$1,0))/INDEX('Input 16_2018CUST-YTD'!$D$4:$O$300,MATCH($C15,'Input 16_2018CUST-YTD'!$S$4:$S$300,0),MATCH(I$2,'Input 16_2018CUST-YTD'!$C$1:$O$1,0)),0)</f>
        <v>88.827500000000001</v>
      </c>
      <c r="J15" s="5">
        <f>IFERROR(INDEX('Input 16.1_2018VOL-YTD'!$C$4:$N$300, MATCH($C15,'Input 16.1_2018VOL-YTD'!$R$4:$R$300,0),MATCH(J$2,'Input 16.1_2018VOL-YTD'!$C$1:$N$1,0))/INDEX('Input 16_2018CUST-YTD'!$D$4:$O$300,MATCH($C15,'Input 16_2018CUST-YTD'!$S$4:$S$300,0),MATCH(J$2,'Input 16_2018CUST-YTD'!$C$1:$O$1,0)),0)</f>
        <v>42.9375</v>
      </c>
      <c r="K15" s="5">
        <f>IFERROR(INDEX('Input 16.1_2018VOL-YTD'!$C$4:$N$300, MATCH($C15,'Input 16.1_2018VOL-YTD'!$R$4:$R$300,0),MATCH(K$2,'Input 16.1_2018VOL-YTD'!$C$1:$N$1,0))/INDEX('Input 16_2018CUST-YTD'!$D$4:$O$300,MATCH($C15,'Input 16_2018CUST-YTD'!$S$4:$S$300,0),MATCH(K$2,'Input 16_2018CUST-YTD'!$C$1:$O$1,0)),0)</f>
        <v>26.934374999999999</v>
      </c>
      <c r="L15" s="5">
        <f>IFERROR(INDEX('Input 16.1_2018VOL-YTD'!$C$4:$N$300, MATCH($C15,'Input 16.1_2018VOL-YTD'!$R$4:$R$300,0),MATCH(L$2,'Input 16.1_2018VOL-YTD'!$C$1:$N$1,0))/INDEX('Input 16_2018CUST-YTD'!$D$4:$O$300,MATCH($C15,'Input 16_2018CUST-YTD'!$S$4:$S$300,0),MATCH(L$2,'Input 16_2018CUST-YTD'!$C$1:$O$1,0)),0)</f>
        <v>34.591875000000002</v>
      </c>
      <c r="M15" s="5">
        <f>IFERROR(INDEX('Input 16.1_2018VOL-YTD'!$C$4:$N$300, MATCH($C15,'Input 16.1_2018VOL-YTD'!$R$4:$R$300,0),MATCH(M$2,'Input 16.1_2018VOL-YTD'!$C$1:$N$1,0))/INDEX('Input 16_2018CUST-YTD'!$D$4:$O$300,MATCH($C15,'Input 16_2018CUST-YTD'!$S$4:$S$300,0),MATCH(M$2,'Input 16_2018CUST-YTD'!$C$1:$O$1,0)),0)</f>
        <v>64.309375000000003</v>
      </c>
      <c r="N15" s="5">
        <f>IFERROR(INDEX('Input 16.1_2018VOL-YTD'!$C$4:$N$300, MATCH($C15,'Input 16.1_2018VOL-YTD'!$R$4:$R$300,0),MATCH(N$2,'Input 16.1_2018VOL-YTD'!$C$1:$N$1,0))/INDEX('Input 16_2018CUST-YTD'!$D$4:$O$300,MATCH($C15,'Input 16_2018CUST-YTD'!$S$4:$S$300,0),MATCH(N$2,'Input 16_2018CUST-YTD'!$C$1:$O$1,0)),0)</f>
        <v>228.823125</v>
      </c>
      <c r="O15" s="5">
        <f>IFERROR(INDEX('Input 16.1_2018VOL-YTD'!$C$4:$N$300, MATCH($C15,'Input 16.1_2018VOL-YTD'!$R$4:$R$300,0),MATCH(O$2,'Input 16.1_2018VOL-YTD'!$C$1:$N$1,0))/INDEX('Input 16_2018CUST-YTD'!$D$4:$O$300,MATCH($C15,'Input 16_2018CUST-YTD'!$S$4:$S$300,0),MATCH(O$2,'Input 16_2018CUST-YTD'!$C$1:$O$1,0)),0)</f>
        <v>365.6727868852459</v>
      </c>
      <c r="P15" s="271">
        <f t="shared" si="1"/>
        <v>365.6727868852459</v>
      </c>
      <c r="Q15" s="261">
        <f t="shared" si="2"/>
        <v>12</v>
      </c>
      <c r="S15" s="5">
        <f>IFERROR(INDEX('Input 3.1_2019VOL-YTD'!$C$4:$N$300, MATCH($C15,'Input 3.1_2019VOL-YTD'!$R$4:$R$300,0),MATCH(S$2,'Input 3.1_2019VOL-YTD'!$C$1:$N$1,0))/INDEX('Input 3_2019CUST-YTD'!$C$4:$N$300,MATCH($C15,'Input 3_2019CUST-YTD'!$S$4:$S$300,0),MATCH(S$2,'Input 3_2019CUST-YTD'!$C$1:$N$1,0)),0)</f>
        <v>421.99</v>
      </c>
      <c r="T15" s="5">
        <f>IFERROR(INDEX('Input 3.1_2019VOL-YTD'!$C$4:$N$300, MATCH($C15,'Input 3.1_2019VOL-YTD'!$R$4:$R$300,0),MATCH(T$2,'Input 3.1_2019VOL-YTD'!$C$1:$N$1,0))/INDEX('Input 3_2019CUST-YTD'!$C$4:$N$300,MATCH($C15,'Input 3_2019CUST-YTD'!$S$4:$S$300,0),MATCH(T$2,'Input 3_2019CUST-YTD'!$C$1:$N$1,0)),0)</f>
        <v>300.23374999999999</v>
      </c>
      <c r="U15" s="5">
        <f>IFERROR(INDEX('Input 3.1_2019VOL-YTD'!$C$4:$N$300, MATCH($C15,'Input 3.1_2019VOL-YTD'!$R$4:$R$300,0),MATCH(U$2,'Input 3.1_2019VOL-YTD'!$C$1:$N$1,0))/INDEX('Input 3_2019CUST-YTD'!$C$4:$N$300,MATCH($C15,'Input 3_2019CUST-YTD'!$S$4:$S$300,0),MATCH(U$2,'Input 3_2019CUST-YTD'!$C$1:$N$1,0)),0)</f>
        <v>296.70249999999999</v>
      </c>
      <c r="V15" s="5">
        <f>IFERROR(INDEX('Input 3.1_2019VOL-YTD'!$C$4:$N$300, MATCH($C15,'Input 3.1_2019VOL-YTD'!$R$4:$R$300,0),MATCH(V$2,'Input 3.1_2019VOL-YTD'!$C$1:$N$1,0))/INDEX('Input 3_2019CUST-YTD'!$C$4:$N$300,MATCH($C15,'Input 3_2019CUST-YTD'!$S$4:$S$300,0),MATCH(V$2,'Input 3_2019CUST-YTD'!$C$1:$N$1,0)),0)</f>
        <v>240.541875</v>
      </c>
      <c r="W15" s="5">
        <f>IFERROR(INDEX('Input 3.1_2019VOL-YTD'!$C$4:$N$300, MATCH($C15,'Input 3.1_2019VOL-YTD'!$R$4:$R$300,0),MATCH(W$2,'Input 3.1_2019VOL-YTD'!$C$1:$N$1,0))/INDEX('Input 3_2019CUST-YTD'!$C$4:$N$300,MATCH($C15,'Input 3_2019CUST-YTD'!$S$4:$S$300,0),MATCH(W$2,'Input 3_2019CUST-YTD'!$C$1:$N$1,0)),0)</f>
        <v>128.51750000000001</v>
      </c>
      <c r="X15" s="5">
        <f>IFERROR(INDEX('Input 3.1_2019VOL-YTD'!$C$4:$N$300, MATCH($C15,'Input 3.1_2019VOL-YTD'!$R$4:$R$300,0),MATCH(X$2,'Input 3.1_2019VOL-YTD'!$C$1:$N$1,0))/INDEX('Input 3_2019CUST-YTD'!$C$4:$N$300,MATCH($C15,'Input 3_2019CUST-YTD'!$S$4:$S$300,0),MATCH(X$2,'Input 3_2019CUST-YTD'!$C$1:$N$1,0)),0)</f>
        <v>66.275000000000006</v>
      </c>
      <c r="Y15" s="5">
        <f>IFERROR(INDEX('Input 3.1_2019VOL-YTD'!$C$4:$N$300, MATCH($C15,'Input 3.1_2019VOL-YTD'!$R$4:$R$300,0),MATCH(Y$2,'Input 3.1_2019VOL-YTD'!$C$1:$N$1,0))/INDEX('Input 3_2019CUST-YTD'!$C$4:$N$300,MATCH($C15,'Input 3_2019CUST-YTD'!$S$4:$S$300,0),MATCH(Y$2,'Input 3_2019CUST-YTD'!$C$1:$N$1,0)),0)</f>
        <v>31.49235294117647</v>
      </c>
      <c r="Z15" s="5">
        <f>IFERROR(INDEX('Input 3.1_2019VOL-YTD'!$C$4:$N$300, MATCH($C15,'Input 3.1_2019VOL-YTD'!$R$4:$R$300,0),MATCH(Z$2,'Input 3.1_2019VOL-YTD'!$C$1:$N$1,0))/INDEX('Input 3_2019CUST-YTD'!$C$4:$N$300,MATCH($C15,'Input 3_2019CUST-YTD'!$S$4:$S$300,0),MATCH(Z$2,'Input 3_2019CUST-YTD'!$C$1:$N$1,0)),0)</f>
        <v>36.965000000000003</v>
      </c>
      <c r="AA15" s="5">
        <f>IFERROR(INDEX('Input 3.1_2019VOL-YTD'!$C$4:$N$300, MATCH($C15,'Input 3.1_2019VOL-YTD'!$R$4:$R$300,0),MATCH(AA$2,'Input 3.1_2019VOL-YTD'!$C$1:$N$1,0))/INDEX('Input 3_2019CUST-YTD'!$C$4:$N$300,MATCH($C15,'Input 3_2019CUST-YTD'!$S$4:$S$300,0),MATCH(AA$2,'Input 3_2019CUST-YTD'!$C$1:$N$1,0)),0)</f>
        <v>36.089374999999997</v>
      </c>
      <c r="AB15" s="5">
        <f>IFERROR(INDEX('Input 3.1_2019VOL-YTD'!$C$4:$N$300, MATCH($C15,'Input 3.1_2019VOL-YTD'!$R$4:$R$300,0),MATCH(AB$2,'Input 3.1_2019VOL-YTD'!$C$1:$N$1,0))/INDEX('Input 3_2019CUST-YTD'!$C$4:$N$300,MATCH($C15,'Input 3_2019CUST-YTD'!$S$4:$S$300,0),MATCH(AB$2,'Input 3_2019CUST-YTD'!$C$1:$N$1,0)),0)</f>
        <v>93.545000000000002</v>
      </c>
      <c r="AC15" s="5">
        <f>IFERROR(INDEX('Input 3.1_2019VOL-YTD'!$C$4:$N$300, MATCH($C15,'Input 3.1_2019VOL-YTD'!$R$4:$R$300,0),MATCH(AC$2,'Input 3.1_2019VOL-YTD'!$C$1:$N$1,0))/INDEX('Input 3_2019CUST-YTD'!$C$4:$N$300,MATCH($C15,'Input 3_2019CUST-YTD'!$S$4:$S$300,0),MATCH(AC$2,'Input 3_2019CUST-YTD'!$C$1:$N$1,0)),0)</f>
        <v>239.636875</v>
      </c>
      <c r="AD15" s="5">
        <f>IFERROR(INDEX('Input 3.1_2019VOL-YTD'!$C$4:$N$300, MATCH($C15,'Input 3.1_2019VOL-YTD'!$R$4:$R$300,0),MATCH(AD$2,'Input 3.1_2019VOL-YTD'!$C$1:$N$1,0))/INDEX('Input 3_2019CUST-YTD'!$C$4:$N$300,MATCH($C15,'Input 3_2019CUST-YTD'!$S$4:$S$300,0),MATCH(AD$2,'Input 3_2019CUST-YTD'!$C$1:$N$1,0)),0)</f>
        <v>413.364375</v>
      </c>
      <c r="AE15" s="272">
        <f t="shared" si="3"/>
        <v>421.99</v>
      </c>
      <c r="AF15" s="261">
        <f t="shared" si="4"/>
        <v>1</v>
      </c>
      <c r="AH15" s="262">
        <f>IFERROR(INDEX('Input 4.1_2020VOL-YTD'!$C$4:$O$300, MATCH($C15,'Input 4.1_2020VOL-YTD'!$R$4:$R$300,0),MATCH(AH$2,'Input 4.1_2020VOL-YTD'!$C$1:$O$1,0))/INDEX('Input 4_2020CUST-YTD'!$C$4:O$300,MATCH($C15,'Input 4_2020CUST-YTD'!$S$4:$S$300,0),MATCH(AH$2,'Input 4_2020CUST-YTD'!$C$1:$O$1,0)),0)</f>
        <v>393.14812499999999</v>
      </c>
      <c r="AI15" s="262">
        <f>IFERROR(INDEX('Input 4.1_2020VOL-YTD'!$C$4:$O$300, MATCH($C15,'Input 4.1_2020VOL-YTD'!$R$4:$R$300,0),MATCH(AI$2,'Input 4.1_2020VOL-YTD'!$C$1:$O$1,0))/INDEX('Input 4_2020CUST-YTD'!$C$4:P$300,MATCH($C15,'Input 4_2020CUST-YTD'!$S$4:$S$300,0),MATCH(AI$2,'Input 4_2020CUST-YTD'!$C$1:$O$1,0)),0)</f>
        <v>315.15750000000003</v>
      </c>
      <c r="AJ15" s="262">
        <f>IFERROR(INDEX('Input 4.1_2020VOL-YTD'!$C$4:$O$300, MATCH($C15,'Input 4.1_2020VOL-YTD'!$R$4:$R$300,0),MATCH(AJ$2,'Input 4.1_2020VOL-YTD'!$C$1:$O$1,0))/INDEX('Input 4_2020CUST-YTD'!$C$4:Q$300,MATCH($C15,'Input 4_2020CUST-YTD'!$S$4:$S$300,0),MATCH(AJ$2,'Input 4_2020CUST-YTD'!$C$1:$O$1,0)),0)</f>
        <v>281.57499999999999</v>
      </c>
      <c r="AK15" s="262">
        <f>IFERROR(INDEX('Input 4.1_2020VOL-YTD'!$C$4:$O$300, MATCH($C15,'Input 4.1_2020VOL-YTD'!$R$4:$R$300,0),MATCH(AK$2,'Input 4.1_2020VOL-YTD'!$C$1:$O$1,0))/INDEX('Input 4_2020CUST-YTD'!$C$4:R$300,MATCH($C15,'Input 4_2020CUST-YTD'!$S$4:$S$300,0),MATCH(AK$2,'Input 4_2020CUST-YTD'!$C$1:$O$1,0)),0)</f>
        <v>91.608125000000001</v>
      </c>
      <c r="AL15" s="262">
        <f>IFERROR(INDEX('Input 4.1_2020VOL-YTD'!$C$4:$O$300, MATCH($C15,'Input 4.1_2020VOL-YTD'!$R$4:$R$300,0),MATCH(AL$2,'Input 4.1_2020VOL-YTD'!$C$1:$O$1,0))/INDEX('Input 4_2020CUST-YTD'!$C$4:S$300,MATCH($C15,'Input 4_2020CUST-YTD'!$S$4:$S$300,0),MATCH(AL$2,'Input 4_2020CUST-YTD'!$C$1:$O$1,0)),0)</f>
        <v>83.235294117647058</v>
      </c>
      <c r="AM15" s="262">
        <f>IFERROR(INDEX('Input 4.1_2020VOL-YTD'!$C$4:$O$300, MATCH($C15,'Input 4.1_2020VOL-YTD'!$R$4:$R$300,0),MATCH(AM$2,'Input 4.1_2020VOL-YTD'!$C$1:$O$1,0))/INDEX('Input 4_2020CUST-YTD'!$C$4:T$300,MATCH($C15,'Input 4_2020CUST-YTD'!$S$4:$S$300,0),MATCH(AM$2,'Input 4_2020CUST-YTD'!$C$1:$O$1,0)),0)</f>
        <v>66.582499999999996</v>
      </c>
      <c r="AN15" s="262">
        <f>IFERROR(INDEX('Input 4.1_2020VOL-YTD'!$C$4:$O$300, MATCH($C15,'Input 4.1_2020VOL-YTD'!$R$4:$R$300,0),MATCH(AN$2,'Input 4.1_2020VOL-YTD'!$C$1:$O$1,0))/INDEX('Input 4_2020CUST-YTD'!$C$4:U$300,MATCH($C15,'Input 4_2020CUST-YTD'!$S$4:$S$300,0),MATCH(AN$2,'Input 4_2020CUST-YTD'!$C$1:$O$1,0)),0)</f>
        <v>49.308124999999997</v>
      </c>
      <c r="AO15" s="262">
        <f>IFERROR(INDEX('Input 4.1_2020VOL-YTD'!$C$4:$O$300, MATCH($C15,'Input 4.1_2020VOL-YTD'!$R$4:$R$300,0),MATCH(AO$2,'Input 4.1_2020VOL-YTD'!$C$1:$O$1,0))/INDEX('Input 4_2020CUST-YTD'!$C$4:V$300,MATCH($C15,'Input 4_2020CUST-YTD'!$S$4:$S$300,0),MATCH(AO$2,'Input 4_2020CUST-YTD'!$C$1:$O$1,0)),0)</f>
        <v>24.645</v>
      </c>
      <c r="AP15" s="262">
        <f>IFERROR(INDEX('Input 4.1_2020VOL-YTD'!$C$4:$O$300, MATCH($C15,'Input 4.1_2020VOL-YTD'!$R$4:$R$300,0),MATCH(AP$2,'Input 4.1_2020VOL-YTD'!$C$1:$O$1,0))/INDEX('Input 4_2020CUST-YTD'!$C$4:W$300,MATCH($C15,'Input 4_2020CUST-YTD'!$S$4:$S$300,0),MATCH(AP$2,'Input 4_2020CUST-YTD'!$C$1:$O$1,0)),0)</f>
        <v>42.758749999999999</v>
      </c>
      <c r="AQ15" s="262">
        <f>IFERROR(INDEX('Input 4.1_2020VOL-YTD'!$C$4:$O$300, MATCH($C15,'Input 4.1_2020VOL-YTD'!$R$4:$R$300,0),MATCH(AQ$2,'Input 4.1_2020VOL-YTD'!$C$1:$O$1,0))/INDEX('Input 4_2020CUST-YTD'!$C$4:X$300,MATCH($C15,'Input 4_2020CUST-YTD'!$S$4:$S$300,0),MATCH(AQ$2,'Input 4_2020CUST-YTD'!$C$1:$O$1,0)),0)</f>
        <v>83.926874999999995</v>
      </c>
      <c r="AR15" s="262">
        <f>IFERROR(INDEX('Input 4.1_2020VOL-YTD'!$C$4:$O$300, MATCH($C15,'Input 4.1_2020VOL-YTD'!$R$4:$R$300,0),MATCH(AR$2,'Input 4.1_2020VOL-YTD'!$C$1:$O$1,0))/INDEX('Input 4_2020CUST-YTD'!$C$4:Y$300,MATCH($C15,'Input 4_2020CUST-YTD'!$S$4:$S$300,0),MATCH(AR$2,'Input 4_2020CUST-YTD'!$C$1:$O$1,0)),0)</f>
        <v>149.72375</v>
      </c>
      <c r="AS15" s="262">
        <f>IFERROR(INDEX('Input 4.1_2020VOL-YTD'!$C$4:$O$300, MATCH($C15,'Input 4.1_2020VOL-YTD'!$R$4:$R$300,0),MATCH(AS$2,'Input 4.1_2020VOL-YTD'!$C$1:$O$1,0))/INDEX('Input 4_2020CUST-YTD'!$C$4:Z$300,MATCH($C15,'Input 4_2020CUST-YTD'!$S$4:$S$300,0),MATCH(AS$2,'Input 4_2020CUST-YTD'!$C$1:$O$1,0)),0)</f>
        <v>415.21470588235292</v>
      </c>
      <c r="AT15" s="190">
        <f t="shared" si="9"/>
        <v>415.21470588235292</v>
      </c>
      <c r="AU15" s="261">
        <f t="shared" si="6"/>
        <v>12</v>
      </c>
      <c r="AW15" s="1">
        <f>IFERROR(INDEX('Input 5.1_2021VOL-YTD'!$C$3:$N$150, MATCH($C15,'Input 5.1_2021VOL-YTD'!$R$3:$R$150,0),MATCH(AW$2,'Input 5.1_2021VOL-YTD'!$C$1:$N$1,0))/INDEX('Input 5_2021CUST-YTD'!$C$3:$N$150,MATCH($C15,'Input 5_2021CUST-YTD'!$S$3:$S$150,0),MATCH(AW$2,'Input 5_2021CUST-YTD'!$C$1:$N$1,0)),0)</f>
        <v>486.55687499999999</v>
      </c>
      <c r="AX15" s="1">
        <f>IFERROR(INDEX('Input 5.1_2021VOL-YTD'!$C$3:$N$150, MATCH($C15,'Input 5.1_2021VOL-YTD'!$R$3:$R$150,0),MATCH(AX$2,'Input 5.1_2021VOL-YTD'!$C$1:$N$1,0))/INDEX('Input 5_2021CUST-YTD'!$C$3:$N$150,MATCH($C15,'Input 5_2021CUST-YTD'!$S$3:$S$150,0),MATCH(AX$2,'Input 5_2021CUST-YTD'!$C$1:$N$1,0)),0)</f>
        <v>334.37625000000003</v>
      </c>
      <c r="AY15" s="1">
        <f>IFERROR(INDEX('Input 5.1_2021VOL-YTD'!$C$3:$N$150, MATCH($C15,'Input 5.1_2021VOL-YTD'!$R$3:$R$150,0),MATCH(AY$2,'Input 5.1_2021VOL-YTD'!$C$1:$N$1,0))/INDEX('Input 5_2021CUST-YTD'!$C$3:$N$150,MATCH($C15,'Input 5_2021CUST-YTD'!$S$3:$S$150,0),MATCH(AY$2,'Input 5_2021CUST-YTD'!$C$1:$N$1,0)),0)</f>
        <v>261.93624999999997</v>
      </c>
      <c r="AZ15" s="1">
        <f>IFERROR(INDEX('Input 5.1_2021VOL-YTD'!$C$3:$N$150, MATCH($C15,'Input 5.1_2021VOL-YTD'!$R$3:$R$150,0),MATCH(AZ$2,'Input 5.1_2021VOL-YTD'!$C$1:$N$1,0))/INDEX('Input 5_2021CUST-YTD'!$C$3:$N$150,MATCH($C15,'Input 5_2021CUST-YTD'!$S$3:$S$150,0),MATCH(AZ$2,'Input 5_2021CUST-YTD'!$C$1:$N$1,0)),0)</f>
        <v>223.02125000000001</v>
      </c>
      <c r="BA15" s="1">
        <f>IFERROR(INDEX('Input 5.1_2021VOL-YTD'!$C$3:$N$150, MATCH($C15,'Input 5.1_2021VOL-YTD'!$R$3:$R$150,0),MATCH(BA$2,'Input 5.1_2021VOL-YTD'!$C$1:$N$1,0))/INDEX('Input 5_2021CUST-YTD'!$C$3:$N$150,MATCH($C15,'Input 5_2021CUST-YTD'!$S$3:$S$150,0),MATCH(BA$2,'Input 5_2021CUST-YTD'!$C$1:$N$1,0)),0)</f>
        <v>83.345294117647057</v>
      </c>
      <c r="BB15" s="1">
        <f>IFERROR(INDEX('Input 5.1_2021VOL-YTD'!$C$3:$N$150, MATCH($C15,'Input 5.1_2021VOL-YTD'!$R$3:$R$150,0),MATCH(BB$2,'Input 5.1_2021VOL-YTD'!$C$1:$N$1,0))/INDEX('Input 5_2021CUST-YTD'!$C$3:$N$150,MATCH($C15,'Input 5_2021CUST-YTD'!$S$3:$S$150,0),MATCH(BB$2,'Input 5_2021CUST-YTD'!$C$1:$N$1,0)),0)</f>
        <v>73.461250000000007</v>
      </c>
      <c r="BC15" s="1">
        <f>IFERROR(INDEX('Input 5.1_2021VOL-YTD'!$C$3:$N$150, MATCH($C15,'Input 5.1_2021VOL-YTD'!$R$3:$R$150,0),MATCH(BC$2,'Input 5.1_2021VOL-YTD'!$C$1:$N$1,0))/INDEX('Input 5_2021CUST-YTD'!$C$3:$N$150,MATCH($C15,'Input 5_2021CUST-YTD'!$S$3:$S$150,0),MATCH(BC$2,'Input 5_2021CUST-YTD'!$C$1:$N$1,0)),0)</f>
        <v>63.409374999999997</v>
      </c>
      <c r="BD15" s="1">
        <f>IFERROR(INDEX('Input 5.1_2021VOL-YTD'!$C$3:$N$150, MATCH($C15,'Input 5.1_2021VOL-YTD'!$R$3:$R$150,0),MATCH(BD$2,'Input 5.1_2021VOL-YTD'!$C$1:$N$1,0))/INDEX('Input 5_2021CUST-YTD'!$C$3:$N$150,MATCH($C15,'Input 5_2021CUST-YTD'!$S$3:$S$150,0),MATCH(BD$2,'Input 5_2021CUST-YTD'!$C$1:$N$1,0)),0)</f>
        <v>40.99</v>
      </c>
      <c r="BE15" s="1">
        <f>IFERROR(INDEX('Input 5.1_2021VOL-YTD'!$C$3:$N$150, MATCH($C15,'Input 5.1_2021VOL-YTD'!$R$3:$R$150,0),MATCH(BE$2,'Input 5.1_2021VOL-YTD'!$C$1:$N$1,0))/INDEX('Input 5_2021CUST-YTD'!$C$3:$N$150,MATCH($C15,'Input 5_2021CUST-YTD'!$S$3:$S$150,0),MATCH(BE$2,'Input 5_2021CUST-YTD'!$C$1:$N$1,0)),0)</f>
        <v>35.415624999999999</v>
      </c>
      <c r="BF15" s="1">
        <f>IFERROR(INDEX('Input 5.1_2021VOL-YTD'!$C$3:$N$150, MATCH($C15,'Input 5.1_2021VOL-YTD'!$R$3:$R$150,0),MATCH(BF$2,'Input 5.1_2021VOL-YTD'!$C$1:$N$1,0))/INDEX('Input 5_2021CUST-YTD'!$C$3:$N$150,MATCH($C15,'Input 5_2021CUST-YTD'!$S$3:$S$150,0),MATCH(BF$2,'Input 5_2021CUST-YTD'!$C$1:$N$1,0)),0)</f>
        <v>78.105625000000003</v>
      </c>
      <c r="BG15" s="1">
        <f>IFERROR(INDEX('Input 5.1_2021VOL-YTD'!$C$3:$N$150, MATCH($C15,'Input 5.1_2021VOL-YTD'!$R$3:$R$150,0),MATCH(BG$2,'Input 5.1_2021VOL-YTD'!$C$1:$N$1,0))/INDEX('Input 5_2021CUST-YTD'!$C$3:$N$150,MATCH($C15,'Input 5_2021CUST-YTD'!$S$3:$S$150,0),MATCH(BG$2,'Input 5_2021CUST-YTD'!$C$1:$N$1,0)),0)</f>
        <v>198.01333333333332</v>
      </c>
      <c r="BH15" s="1">
        <f>IFERROR(INDEX('Input 5.1_2021VOL-YTD'!$C$3:$N$150, MATCH($C15,'Input 5.1_2021VOL-YTD'!$R$3:$R$150,0),MATCH(BH$2,'Input 5.1_2021VOL-YTD'!$C$1:$N$1,0))/INDEX('Input 5_2021CUST-YTD'!$C$3:$N$150,MATCH($C15,'Input 5_2021CUST-YTD'!$S$3:$S$150,0),MATCH(BH$2,'Input 5_2021CUST-YTD'!$C$1:$N$1,0)),0)</f>
        <v>290.51533333333333</v>
      </c>
      <c r="BI15" s="190">
        <f t="shared" si="7"/>
        <v>486.55687499999999</v>
      </c>
      <c r="BJ15" s="261">
        <f t="shared" si="8"/>
        <v>1</v>
      </c>
    </row>
    <row r="16" spans="1:62">
      <c r="A16" s="261" t="s">
        <v>8</v>
      </c>
      <c r="B16" s="261" t="s">
        <v>17</v>
      </c>
      <c r="C16" s="261" t="s">
        <v>1370</v>
      </c>
      <c r="D16" s="5">
        <f>IFERROR(INDEX('Input 16.1_2018VOL-YTD'!$C$4:$N$300, MATCH($C16,'Input 16.1_2018VOL-YTD'!$R$4:$R$300,0),MATCH(D$2,'Input 16.1_2018VOL-YTD'!$C$1:$N$1,0))/INDEX('Input 16_2018CUST-YTD'!$D$4:$O$300,MATCH($C16,'Input 16_2018CUST-YTD'!$S$4:$S$300,0),MATCH(D$2,'Input 16_2018CUST-YTD'!$C$1:$O$1,0)),0)</f>
        <v>10.401714285714286</v>
      </c>
      <c r="E16" s="5">
        <f>IFERROR(INDEX('Input 16.1_2018VOL-YTD'!$C$4:$N$300, MATCH($C16,'Input 16.1_2018VOL-YTD'!$R$4:$R$300,0),MATCH(E$2,'Input 16.1_2018VOL-YTD'!$C$1:$N$1,0))/INDEX('Input 16_2018CUST-YTD'!$D$4:$O$300,MATCH($C16,'Input 16_2018CUST-YTD'!$S$4:$S$300,0),MATCH(E$2,'Input 16_2018CUST-YTD'!$C$1:$O$1,0)),0)</f>
        <v>7.9760000000000009</v>
      </c>
      <c r="F16" s="5">
        <f>IFERROR(INDEX('Input 16.1_2018VOL-YTD'!$C$4:$N$300, MATCH($C16,'Input 16.1_2018VOL-YTD'!$R$4:$R$300,0),MATCH(F$2,'Input 16.1_2018VOL-YTD'!$C$1:$N$1,0))/INDEX('Input 16_2018CUST-YTD'!$D$4:$O$300,MATCH($C16,'Input 16_2018CUST-YTD'!$S$4:$S$300,0),MATCH(F$2,'Input 16_2018CUST-YTD'!$C$1:$O$1,0)),0)</f>
        <v>7.6939393939393943</v>
      </c>
      <c r="G16" s="5">
        <f>IFERROR(INDEX('Input 16.1_2018VOL-YTD'!$C$4:$N$300, MATCH($C16,'Input 16.1_2018VOL-YTD'!$R$4:$R$300,0),MATCH(G$2,'Input 16.1_2018VOL-YTD'!$C$1:$N$1,0))/INDEX('Input 16_2018CUST-YTD'!$D$4:$O$300,MATCH($C16,'Input 16_2018CUST-YTD'!$S$4:$S$300,0),MATCH(G$2,'Input 16_2018CUST-YTD'!$C$1:$O$1,0)),0)</f>
        <v>8.1110344827586207</v>
      </c>
      <c r="H16" s="5">
        <f>IFERROR(INDEX('Input 16.1_2018VOL-YTD'!$C$4:$N$300, MATCH($C16,'Input 16.1_2018VOL-YTD'!$R$4:$R$300,0),MATCH(H$2,'Input 16.1_2018VOL-YTD'!$C$1:$N$1,0))/INDEX('Input 16_2018CUST-YTD'!$D$4:$O$300,MATCH($C16,'Input 16_2018CUST-YTD'!$S$4:$S$300,0),MATCH(H$2,'Input 16_2018CUST-YTD'!$C$1:$O$1,0)),0)</f>
        <v>5.6586206896551721</v>
      </c>
      <c r="I16" s="5">
        <f>IFERROR(INDEX('Input 16.1_2018VOL-YTD'!$C$4:$N$300, MATCH($C16,'Input 16.1_2018VOL-YTD'!$R$4:$R$300,0),MATCH(I$2,'Input 16.1_2018VOL-YTD'!$C$1:$N$1,0))/INDEX('Input 16_2018CUST-YTD'!$D$4:$O$300,MATCH($C16,'Input 16_2018CUST-YTD'!$S$4:$S$300,0),MATCH(I$2,'Input 16_2018CUST-YTD'!$C$1:$O$1,0)),0)</f>
        <v>9.5266666666666673</v>
      </c>
      <c r="J16" s="5">
        <f>IFERROR(INDEX('Input 16.1_2018VOL-YTD'!$C$4:$N$300, MATCH($C16,'Input 16.1_2018VOL-YTD'!$R$4:$R$300,0),MATCH(J$2,'Input 16.1_2018VOL-YTD'!$C$1:$N$1,0))/INDEX('Input 16_2018CUST-YTD'!$D$4:$O$300,MATCH($C16,'Input 16_2018CUST-YTD'!$S$4:$S$300,0),MATCH(J$2,'Input 16_2018CUST-YTD'!$C$1:$O$1,0)),0)</f>
        <v>0.89655172413793105</v>
      </c>
      <c r="K16" s="5">
        <f>IFERROR(INDEX('Input 16.1_2018VOL-YTD'!$C$4:$N$300, MATCH($C16,'Input 16.1_2018VOL-YTD'!$R$4:$R$300,0),MATCH(K$2,'Input 16.1_2018VOL-YTD'!$C$1:$N$1,0))/INDEX('Input 16_2018CUST-YTD'!$D$4:$O$300,MATCH($C16,'Input 16_2018CUST-YTD'!$S$4:$S$300,0),MATCH(K$2,'Input 16_2018CUST-YTD'!$C$1:$O$1,0)),0)</f>
        <v>5.3778571428571436</v>
      </c>
      <c r="L16" s="5">
        <f>IFERROR(INDEX('Input 16.1_2018VOL-YTD'!$C$4:$N$300, MATCH($C16,'Input 16.1_2018VOL-YTD'!$R$4:$R$300,0),MATCH(L$2,'Input 16.1_2018VOL-YTD'!$C$1:$N$1,0))/INDEX('Input 16_2018CUST-YTD'!$D$4:$O$300,MATCH($C16,'Input 16_2018CUST-YTD'!$S$4:$S$300,0),MATCH(L$2,'Input 16_2018CUST-YTD'!$C$1:$O$1,0)),0)</f>
        <v>4.5867741935483872</v>
      </c>
      <c r="M16" s="5">
        <f>IFERROR(INDEX('Input 16.1_2018VOL-YTD'!$C$4:$N$300, MATCH($C16,'Input 16.1_2018VOL-YTD'!$R$4:$R$300,0),MATCH(M$2,'Input 16.1_2018VOL-YTD'!$C$1:$N$1,0))/INDEX('Input 16_2018CUST-YTD'!$D$4:$O$300,MATCH($C16,'Input 16_2018CUST-YTD'!$S$4:$S$300,0),MATCH(M$2,'Input 16_2018CUST-YTD'!$C$1:$O$1,0)),0)</f>
        <v>4.6809374999999998</v>
      </c>
      <c r="N16" s="5">
        <f>IFERROR(INDEX('Input 16.1_2018VOL-YTD'!$C$4:$N$300, MATCH($C16,'Input 16.1_2018VOL-YTD'!$R$4:$R$300,0),MATCH(N$2,'Input 16.1_2018VOL-YTD'!$C$1:$N$1,0))/INDEX('Input 16_2018CUST-YTD'!$D$4:$O$300,MATCH($C16,'Input 16_2018CUST-YTD'!$S$4:$S$300,0),MATCH(N$2,'Input 16_2018CUST-YTD'!$C$1:$O$1,0)),0)</f>
        <v>6.6551515151515153</v>
      </c>
      <c r="O16" s="5">
        <f>IFERROR(INDEX('Input 16.1_2018VOL-YTD'!$C$4:$N$300, MATCH($C16,'Input 16.1_2018VOL-YTD'!$R$4:$R$300,0),MATCH(O$2,'Input 16.1_2018VOL-YTD'!$C$1:$N$1,0))/INDEX('Input 16_2018CUST-YTD'!$D$4:$O$300,MATCH($C16,'Input 16_2018CUST-YTD'!$S$4:$S$300,0),MATCH(O$2,'Input 16_2018CUST-YTD'!$C$1:$O$1,0)),0)</f>
        <v>9.0701587301587292</v>
      </c>
      <c r="P16" s="271">
        <f t="shared" si="1"/>
        <v>10.401714285714286</v>
      </c>
      <c r="Q16" s="261">
        <f t="shared" si="2"/>
        <v>1</v>
      </c>
      <c r="S16" s="5">
        <f>IFERROR(INDEX('Input 3.1_2019VOL-YTD'!$C$4:$N$300, MATCH($C16,'Input 3.1_2019VOL-YTD'!$R$4:$R$300,0),MATCH(S$2,'Input 3.1_2019VOL-YTD'!$C$1:$N$1,0))/INDEX('Input 3_2019CUST-YTD'!$C$4:$N$300,MATCH($C16,'Input 3_2019CUST-YTD'!$S$4:$S$300,0),MATCH(S$2,'Input 3_2019CUST-YTD'!$C$1:$N$1,0)),0)</f>
        <v>8.9326470588235285</v>
      </c>
      <c r="T16" s="5">
        <f>IFERROR(INDEX('Input 3.1_2019VOL-YTD'!$C$4:$N$300, MATCH($C16,'Input 3.1_2019VOL-YTD'!$R$4:$R$300,0),MATCH(T$2,'Input 3.1_2019VOL-YTD'!$C$1:$N$1,0))/INDEX('Input 3_2019CUST-YTD'!$C$4:$N$300,MATCH($C16,'Input 3_2019CUST-YTD'!$S$4:$S$300,0),MATCH(T$2,'Input 3_2019CUST-YTD'!$C$1:$N$1,0)),0)</f>
        <v>9.4629411764705882</v>
      </c>
      <c r="U16" s="5">
        <f>IFERROR(INDEX('Input 3.1_2019VOL-YTD'!$C$4:$N$300, MATCH($C16,'Input 3.1_2019VOL-YTD'!$R$4:$R$300,0),MATCH(U$2,'Input 3.1_2019VOL-YTD'!$C$1:$N$1,0))/INDEX('Input 3_2019CUST-YTD'!$C$4:$N$300,MATCH($C16,'Input 3_2019CUST-YTD'!$S$4:$S$300,0),MATCH(U$2,'Input 3_2019CUST-YTD'!$C$1:$N$1,0)),0)</f>
        <v>8.5094285714285718</v>
      </c>
      <c r="V16" s="5">
        <f>IFERROR(INDEX('Input 3.1_2019VOL-YTD'!$C$4:$N$300, MATCH($C16,'Input 3.1_2019VOL-YTD'!$R$4:$R$300,0),MATCH(V$2,'Input 3.1_2019VOL-YTD'!$C$1:$N$1,0))/INDEX('Input 3_2019CUST-YTD'!$C$4:$N$300,MATCH($C16,'Input 3_2019CUST-YTD'!$S$4:$S$300,0),MATCH(V$2,'Input 3_2019CUST-YTD'!$C$1:$N$1,0)),0)</f>
        <v>7.2041176470588235</v>
      </c>
      <c r="W16" s="5">
        <f>IFERROR(INDEX('Input 3.1_2019VOL-YTD'!$C$4:$N$300, MATCH($C16,'Input 3.1_2019VOL-YTD'!$R$4:$R$300,0),MATCH(W$2,'Input 3.1_2019VOL-YTD'!$C$1:$N$1,0))/INDEX('Input 3_2019CUST-YTD'!$C$4:$N$300,MATCH($C16,'Input 3_2019CUST-YTD'!$S$4:$S$300,0),MATCH(W$2,'Input 3_2019CUST-YTD'!$C$1:$N$1,0)),0)</f>
        <v>6.2935483870967737</v>
      </c>
      <c r="X16" s="5">
        <f>IFERROR(INDEX('Input 3.1_2019VOL-YTD'!$C$4:$N$300, MATCH($C16,'Input 3.1_2019VOL-YTD'!$R$4:$R$300,0),MATCH(X$2,'Input 3.1_2019VOL-YTD'!$C$1:$N$1,0))/INDEX('Input 3_2019CUST-YTD'!$C$4:$N$300,MATCH($C16,'Input 3_2019CUST-YTD'!$S$4:$S$300,0),MATCH(X$2,'Input 3_2019CUST-YTD'!$C$1:$N$1,0)),0)</f>
        <v>5.7823333333333329</v>
      </c>
      <c r="Y16" s="5">
        <f>IFERROR(INDEX('Input 3.1_2019VOL-YTD'!$C$4:$N$300, MATCH($C16,'Input 3.1_2019VOL-YTD'!$R$4:$R$300,0),MATCH(Y$2,'Input 3.1_2019VOL-YTD'!$C$1:$N$1,0))/INDEX('Input 3_2019CUST-YTD'!$C$4:$N$300,MATCH($C16,'Input 3_2019CUST-YTD'!$S$4:$S$300,0),MATCH(Y$2,'Input 3_2019CUST-YTD'!$C$1:$N$1,0)),0)</f>
        <v>4.8424137931034483</v>
      </c>
      <c r="Z16" s="5">
        <f>IFERROR(INDEX('Input 3.1_2019VOL-YTD'!$C$4:$N$300, MATCH($C16,'Input 3.1_2019VOL-YTD'!$R$4:$R$300,0),MATCH(Z$2,'Input 3.1_2019VOL-YTD'!$C$1:$N$1,0))/INDEX('Input 3_2019CUST-YTD'!$C$4:$N$300,MATCH($C16,'Input 3_2019CUST-YTD'!$S$4:$S$300,0),MATCH(Z$2,'Input 3_2019CUST-YTD'!$C$1:$N$1,0)),0)</f>
        <v>4.5116666666666667</v>
      </c>
      <c r="AA16" s="5">
        <f>IFERROR(INDEX('Input 3.1_2019VOL-YTD'!$C$4:$N$300, MATCH($C16,'Input 3.1_2019VOL-YTD'!$R$4:$R$300,0),MATCH(AA$2,'Input 3.1_2019VOL-YTD'!$C$1:$N$1,0))/INDEX('Input 3_2019CUST-YTD'!$C$4:$N$300,MATCH($C16,'Input 3_2019CUST-YTD'!$S$4:$S$300,0),MATCH(AA$2,'Input 3_2019CUST-YTD'!$C$1:$N$1,0)),0)</f>
        <v>5.1314285714285717</v>
      </c>
      <c r="AB16" s="5">
        <f>IFERROR(INDEX('Input 3.1_2019VOL-YTD'!$C$4:$N$300, MATCH($C16,'Input 3.1_2019VOL-YTD'!$R$4:$R$300,0),MATCH(AB$2,'Input 3.1_2019VOL-YTD'!$C$1:$N$1,0))/INDEX('Input 3_2019CUST-YTD'!$C$4:$N$300,MATCH($C16,'Input 3_2019CUST-YTD'!$S$4:$S$300,0),MATCH(AB$2,'Input 3_2019CUST-YTD'!$C$1:$N$1,0)),0)</f>
        <v>5.2367741935483876</v>
      </c>
      <c r="AC16" s="5">
        <f>IFERROR(INDEX('Input 3.1_2019VOL-YTD'!$C$4:$N$300, MATCH($C16,'Input 3.1_2019VOL-YTD'!$R$4:$R$300,0),MATCH(AC$2,'Input 3.1_2019VOL-YTD'!$C$1:$N$1,0))/INDEX('Input 3_2019CUST-YTD'!$C$4:$N$300,MATCH($C16,'Input 3_2019CUST-YTD'!$S$4:$S$300,0),MATCH(AC$2,'Input 3_2019CUST-YTD'!$C$1:$N$1,0)),0)</f>
        <v>6.4924999999999997</v>
      </c>
      <c r="AD16" s="5">
        <f>IFERROR(INDEX('Input 3.1_2019VOL-YTD'!$C$4:$N$300, MATCH($C16,'Input 3.1_2019VOL-YTD'!$R$4:$R$300,0),MATCH(AD$2,'Input 3.1_2019VOL-YTD'!$C$1:$N$1,0))/INDEX('Input 3_2019CUST-YTD'!$C$4:$N$300,MATCH($C16,'Input 3_2019CUST-YTD'!$S$4:$S$300,0),MATCH(AD$2,'Input 3_2019CUST-YTD'!$C$1:$N$1,0)),0)</f>
        <v>9.8169696969696965</v>
      </c>
      <c r="AE16" s="272">
        <f t="shared" si="3"/>
        <v>9.8169696969696965</v>
      </c>
      <c r="AF16" s="261">
        <f t="shared" si="4"/>
        <v>12</v>
      </c>
      <c r="AH16" s="262">
        <f>IFERROR(INDEX('Input 4.1_2020VOL-YTD'!$C$4:$O$300, MATCH($C16,'Input 4.1_2020VOL-YTD'!$R$4:$R$300,0),MATCH(AH$2,'Input 4.1_2020VOL-YTD'!$C$1:$O$1,0))/INDEX('Input 4_2020CUST-YTD'!$C$4:O$300,MATCH($C16,'Input 4_2020CUST-YTD'!$S$4:$S$300,0),MATCH(AH$2,'Input 4_2020CUST-YTD'!$C$1:$O$1,0)),0)</f>
        <v>12.095757575757576</v>
      </c>
      <c r="AI16" s="262">
        <f>IFERROR(INDEX('Input 4.1_2020VOL-YTD'!$C$4:$O$300, MATCH($C16,'Input 4.1_2020VOL-YTD'!$R$4:$R$300,0),MATCH(AI$2,'Input 4.1_2020VOL-YTD'!$C$1:$O$1,0))/INDEX('Input 4_2020CUST-YTD'!$C$4:P$300,MATCH($C16,'Input 4_2020CUST-YTD'!$S$4:$S$300,0),MATCH(AI$2,'Input 4_2020CUST-YTD'!$C$1:$O$1,0)),0)</f>
        <v>8.7517142857142858</v>
      </c>
      <c r="AJ16" s="262">
        <f>IFERROR(INDEX('Input 4.1_2020VOL-YTD'!$C$4:$O$300, MATCH($C16,'Input 4.1_2020VOL-YTD'!$R$4:$R$300,0),MATCH(AJ$2,'Input 4.1_2020VOL-YTD'!$C$1:$O$1,0))/INDEX('Input 4_2020CUST-YTD'!$C$4:Q$300,MATCH($C16,'Input 4_2020CUST-YTD'!$S$4:$S$300,0),MATCH(AJ$2,'Input 4_2020CUST-YTD'!$C$1:$O$1,0)),0)</f>
        <v>33.19314285714286</v>
      </c>
      <c r="AK16" s="262">
        <f>IFERROR(INDEX('Input 4.1_2020VOL-YTD'!$C$4:$O$300, MATCH($C16,'Input 4.1_2020VOL-YTD'!$R$4:$R$300,0),MATCH(AK$2,'Input 4.1_2020VOL-YTD'!$C$1:$O$1,0))/INDEX('Input 4_2020CUST-YTD'!$C$4:R$300,MATCH($C16,'Input 4_2020CUST-YTD'!$S$4:$S$300,0),MATCH(AK$2,'Input 4_2020CUST-YTD'!$C$1:$O$1,0)),0)</f>
        <v>-17.783030303030305</v>
      </c>
      <c r="AL16" s="262">
        <f>IFERROR(INDEX('Input 4.1_2020VOL-YTD'!$C$4:$O$300, MATCH($C16,'Input 4.1_2020VOL-YTD'!$R$4:$R$300,0),MATCH(AL$2,'Input 4.1_2020VOL-YTD'!$C$1:$O$1,0))/INDEX('Input 4_2020CUST-YTD'!$C$4:S$300,MATCH($C16,'Input 4_2020CUST-YTD'!$S$4:$S$300,0),MATCH(AL$2,'Input 4_2020CUST-YTD'!$C$1:$O$1,0)),0)</f>
        <v>9.241935483870968</v>
      </c>
      <c r="AM16" s="262">
        <f>IFERROR(INDEX('Input 4.1_2020VOL-YTD'!$C$4:$O$300, MATCH($C16,'Input 4.1_2020VOL-YTD'!$R$4:$R$300,0),MATCH(AM$2,'Input 4.1_2020VOL-YTD'!$C$1:$O$1,0))/INDEX('Input 4_2020CUST-YTD'!$C$4:T$300,MATCH($C16,'Input 4_2020CUST-YTD'!$S$4:$S$300,0),MATCH(AM$2,'Input 4_2020CUST-YTD'!$C$1:$O$1,0)),0)</f>
        <v>5.4164516129032254</v>
      </c>
      <c r="AN16" s="262">
        <f>IFERROR(INDEX('Input 4.1_2020VOL-YTD'!$C$4:$O$300, MATCH($C16,'Input 4.1_2020VOL-YTD'!$R$4:$R$300,0),MATCH(AN$2,'Input 4.1_2020VOL-YTD'!$C$1:$O$1,0))/INDEX('Input 4_2020CUST-YTD'!$C$4:U$300,MATCH($C16,'Input 4_2020CUST-YTD'!$S$4:$S$300,0),MATCH(AN$2,'Input 4_2020CUST-YTD'!$C$1:$O$1,0)),0)</f>
        <v>5.2883870967741933</v>
      </c>
      <c r="AO16" s="262">
        <f>IFERROR(INDEX('Input 4.1_2020VOL-YTD'!$C$4:$O$300, MATCH($C16,'Input 4.1_2020VOL-YTD'!$R$4:$R$300,0),MATCH(AO$2,'Input 4.1_2020VOL-YTD'!$C$1:$O$1,0))/INDEX('Input 4_2020CUST-YTD'!$C$4:V$300,MATCH($C16,'Input 4_2020CUST-YTD'!$S$4:$S$300,0),MATCH(AO$2,'Input 4_2020CUST-YTD'!$C$1:$O$1,0)),0)</f>
        <v>4.5258620689655169</v>
      </c>
      <c r="AP16" s="262">
        <f>IFERROR(INDEX('Input 4.1_2020VOL-YTD'!$C$4:$O$300, MATCH($C16,'Input 4.1_2020VOL-YTD'!$R$4:$R$300,0),MATCH(AP$2,'Input 4.1_2020VOL-YTD'!$C$1:$O$1,0))/INDEX('Input 4_2020CUST-YTD'!$C$4:W$300,MATCH($C16,'Input 4_2020CUST-YTD'!$S$4:$S$300,0),MATCH(AP$2,'Input 4_2020CUST-YTD'!$C$1:$O$1,0)),0)</f>
        <v>4.7162068965517241</v>
      </c>
      <c r="AQ16" s="262">
        <f>IFERROR(INDEX('Input 4.1_2020VOL-YTD'!$C$4:$O$300, MATCH($C16,'Input 4.1_2020VOL-YTD'!$R$4:$R$300,0),MATCH(AQ$2,'Input 4.1_2020VOL-YTD'!$C$1:$O$1,0))/INDEX('Input 4_2020CUST-YTD'!$C$4:X$300,MATCH($C16,'Input 4_2020CUST-YTD'!$S$4:$S$300,0),MATCH(AQ$2,'Input 4_2020CUST-YTD'!$C$1:$O$1,0)),0)</f>
        <v>5.5639999999999992</v>
      </c>
      <c r="AR16" s="262">
        <f>IFERROR(INDEX('Input 4.1_2020VOL-YTD'!$C$4:$O$300, MATCH($C16,'Input 4.1_2020VOL-YTD'!$R$4:$R$300,0),MATCH(AR$2,'Input 4.1_2020VOL-YTD'!$C$1:$O$1,0))/INDEX('Input 4_2020CUST-YTD'!$C$4:Y$300,MATCH($C16,'Input 4_2020CUST-YTD'!$S$4:$S$300,0),MATCH(AR$2,'Input 4_2020CUST-YTD'!$C$1:$O$1,0)),0)</f>
        <v>8.2153124999999996</v>
      </c>
      <c r="AS16" s="262">
        <f>IFERROR(INDEX('Input 4.1_2020VOL-YTD'!$C$4:$O$300, MATCH($C16,'Input 4.1_2020VOL-YTD'!$R$4:$R$300,0),MATCH(AS$2,'Input 4.1_2020VOL-YTD'!$C$1:$O$1,0))/INDEX('Input 4_2020CUST-YTD'!$C$4:Z$300,MATCH($C16,'Input 4_2020CUST-YTD'!$S$4:$S$300,0),MATCH(AS$2,'Input 4_2020CUST-YTD'!$C$1:$O$1,0)),0)</f>
        <v>10.19375</v>
      </c>
      <c r="AT16" s="190">
        <f t="shared" si="9"/>
        <v>33.19314285714286</v>
      </c>
      <c r="AU16" s="261">
        <f t="shared" si="6"/>
        <v>3</v>
      </c>
      <c r="AW16" s="1">
        <f>IFERROR(INDEX('Input 5.1_2021VOL-YTD'!$C$3:$N$150, MATCH($C16,'Input 5.1_2021VOL-YTD'!$R$3:$R$150,0),MATCH(AW$2,'Input 5.1_2021VOL-YTD'!$C$1:$N$1,0))/INDEX('Input 5_2021CUST-YTD'!$C$3:$N$150,MATCH($C16,'Input 5_2021CUST-YTD'!$S$3:$S$150,0),MATCH(AW$2,'Input 5_2021CUST-YTD'!$C$1:$N$1,0)),0)</f>
        <v>12.935483870967742</v>
      </c>
      <c r="AX16" s="1">
        <f>IFERROR(INDEX('Input 5.1_2021VOL-YTD'!$C$3:$N$150, MATCH($C16,'Input 5.1_2021VOL-YTD'!$R$3:$R$150,0),MATCH(AX$2,'Input 5.1_2021VOL-YTD'!$C$1:$N$1,0))/INDEX('Input 5_2021CUST-YTD'!$C$3:$N$150,MATCH($C16,'Input 5_2021CUST-YTD'!$S$3:$S$150,0),MATCH(AX$2,'Input 5_2021CUST-YTD'!$C$1:$N$1,0)),0)</f>
        <v>9.5625806451612902</v>
      </c>
      <c r="AY16" s="1">
        <f>IFERROR(INDEX('Input 5.1_2021VOL-YTD'!$C$3:$N$150, MATCH($C16,'Input 5.1_2021VOL-YTD'!$R$3:$R$150,0),MATCH(AY$2,'Input 5.1_2021VOL-YTD'!$C$1:$N$1,0))/INDEX('Input 5_2021CUST-YTD'!$C$3:$N$150,MATCH($C16,'Input 5_2021CUST-YTD'!$S$3:$S$150,0),MATCH(AY$2,'Input 5_2021CUST-YTD'!$C$1:$N$1,0)),0)</f>
        <v>8.9761290322580649</v>
      </c>
      <c r="AZ16" s="1">
        <f>IFERROR(INDEX('Input 5.1_2021VOL-YTD'!$C$3:$N$150, MATCH($C16,'Input 5.1_2021VOL-YTD'!$R$3:$R$150,0),MATCH(AZ$2,'Input 5.1_2021VOL-YTD'!$C$1:$N$1,0))/INDEX('Input 5_2021CUST-YTD'!$C$3:$N$150,MATCH($C16,'Input 5_2021CUST-YTD'!$S$3:$S$150,0),MATCH(AZ$2,'Input 5_2021CUST-YTD'!$C$1:$N$1,0)),0)</f>
        <v>8.4012499999999992</v>
      </c>
      <c r="BA16" s="1">
        <f>IFERROR(INDEX('Input 5.1_2021VOL-YTD'!$C$3:$N$150, MATCH($C16,'Input 5.1_2021VOL-YTD'!$R$3:$R$150,0),MATCH(BA$2,'Input 5.1_2021VOL-YTD'!$C$1:$N$1,0))/INDEX('Input 5_2021CUST-YTD'!$C$3:$N$150,MATCH($C16,'Input 5_2021CUST-YTD'!$S$3:$S$150,0),MATCH(BA$2,'Input 5_2021CUST-YTD'!$C$1:$N$1,0)),0)</f>
        <v>5.1368749999999999</v>
      </c>
      <c r="BB16" s="1">
        <f>IFERROR(INDEX('Input 5.1_2021VOL-YTD'!$C$3:$N$150, MATCH($C16,'Input 5.1_2021VOL-YTD'!$R$3:$R$150,0),MATCH(BB$2,'Input 5.1_2021VOL-YTD'!$C$1:$N$1,0))/INDEX('Input 5_2021CUST-YTD'!$C$3:$N$150,MATCH($C16,'Input 5_2021CUST-YTD'!$S$3:$S$150,0),MATCH(BB$2,'Input 5_2021CUST-YTD'!$C$1:$N$1,0)),0)</f>
        <v>4.8280645161290314</v>
      </c>
      <c r="BC16" s="1">
        <f>IFERROR(INDEX('Input 5.1_2021VOL-YTD'!$C$3:$N$150, MATCH($C16,'Input 5.1_2021VOL-YTD'!$R$3:$R$150,0),MATCH(BC$2,'Input 5.1_2021VOL-YTD'!$C$1:$N$1,0))/INDEX('Input 5_2021CUST-YTD'!$C$3:$N$150,MATCH($C16,'Input 5_2021CUST-YTD'!$S$3:$S$150,0),MATCH(BC$2,'Input 5_2021CUST-YTD'!$C$1:$N$1,0)),0)</f>
        <v>4.411290322580645</v>
      </c>
      <c r="BD16" s="1">
        <f>IFERROR(INDEX('Input 5.1_2021VOL-YTD'!$C$3:$N$150, MATCH($C16,'Input 5.1_2021VOL-YTD'!$R$3:$R$150,0),MATCH(BD$2,'Input 5.1_2021VOL-YTD'!$C$1:$N$1,0))/INDEX('Input 5_2021CUST-YTD'!$C$3:$N$150,MATCH($C16,'Input 5_2021CUST-YTD'!$S$3:$S$150,0),MATCH(BD$2,'Input 5_2021CUST-YTD'!$C$1:$N$1,0)),0)</f>
        <v>4.463103448275862</v>
      </c>
      <c r="BE16" s="1">
        <f>IFERROR(INDEX('Input 5.1_2021VOL-YTD'!$C$3:$N$150, MATCH($C16,'Input 5.1_2021VOL-YTD'!$R$3:$R$150,0),MATCH(BE$2,'Input 5.1_2021VOL-YTD'!$C$1:$N$1,0))/INDEX('Input 5_2021CUST-YTD'!$C$3:$N$150,MATCH($C16,'Input 5_2021CUST-YTD'!$S$3:$S$150,0),MATCH(BE$2,'Input 5_2021CUST-YTD'!$C$1:$N$1,0)),0)</f>
        <v>4.9342857142857142</v>
      </c>
      <c r="BF16" s="1">
        <f>IFERROR(INDEX('Input 5.1_2021VOL-YTD'!$C$3:$N$150, MATCH($C16,'Input 5.1_2021VOL-YTD'!$R$3:$R$150,0),MATCH(BF$2,'Input 5.1_2021VOL-YTD'!$C$1:$N$1,0))/INDEX('Input 5_2021CUST-YTD'!$C$3:$N$150,MATCH($C16,'Input 5_2021CUST-YTD'!$S$3:$S$150,0),MATCH(BF$2,'Input 5_2021CUST-YTD'!$C$1:$N$1,0)),0)</f>
        <v>5.1375000000000002</v>
      </c>
      <c r="BG16" s="1">
        <f>IFERROR(INDEX('Input 5.1_2021VOL-YTD'!$C$3:$N$150, MATCH($C16,'Input 5.1_2021VOL-YTD'!$R$3:$R$150,0),MATCH(BG$2,'Input 5.1_2021VOL-YTD'!$C$1:$N$1,0))/INDEX('Input 5_2021CUST-YTD'!$C$3:$N$150,MATCH($C16,'Input 5_2021CUST-YTD'!$S$3:$S$150,0),MATCH(BG$2,'Input 5_2021CUST-YTD'!$C$1:$N$1,0)),0)</f>
        <v>6.5873333333333335</v>
      </c>
      <c r="BH16" s="1">
        <f>IFERROR(INDEX('Input 5.1_2021VOL-YTD'!$C$3:$N$150, MATCH($C16,'Input 5.1_2021VOL-YTD'!$R$3:$R$150,0),MATCH(BH$2,'Input 5.1_2021VOL-YTD'!$C$1:$N$1,0))/INDEX('Input 5_2021CUST-YTD'!$C$3:$N$150,MATCH($C16,'Input 5_2021CUST-YTD'!$S$3:$S$150,0),MATCH(BH$2,'Input 5_2021CUST-YTD'!$C$1:$N$1,0)),0)</f>
        <v>9.4737500000000008</v>
      </c>
      <c r="BI16" s="190">
        <f t="shared" si="7"/>
        <v>12.935483870967742</v>
      </c>
      <c r="BJ16" s="261">
        <f t="shared" si="8"/>
        <v>1</v>
      </c>
    </row>
    <row r="17" spans="1:62">
      <c r="A17" s="261" t="s">
        <v>8</v>
      </c>
      <c r="B17" s="261" t="s">
        <v>17</v>
      </c>
      <c r="C17" s="261" t="s">
        <v>1371</v>
      </c>
      <c r="D17" s="5">
        <f>IFERROR(INDEX('Input 16.1_2018VOL-YTD'!$C$4:$N$300, MATCH($C17,'Input 16.1_2018VOL-YTD'!$R$4:$R$300,0),MATCH(D$2,'Input 16.1_2018VOL-YTD'!$C$1:$N$1,0))/INDEX('Input 16_2018CUST-YTD'!$D$4:$O$300,MATCH($C17,'Input 16_2018CUST-YTD'!$S$4:$S$300,0),MATCH(D$2,'Input 16_2018CUST-YTD'!$C$1:$O$1,0)),0)</f>
        <v>9.0891102040816332</v>
      </c>
      <c r="E17" s="5">
        <f>IFERROR(INDEX('Input 16.1_2018VOL-YTD'!$C$4:$N$300, MATCH($C17,'Input 16.1_2018VOL-YTD'!$R$4:$R$300,0),MATCH(E$2,'Input 16.1_2018VOL-YTD'!$C$1:$N$1,0))/INDEX('Input 16_2018CUST-YTD'!$D$4:$O$300,MATCH($C17,'Input 16_2018CUST-YTD'!$S$4:$S$300,0),MATCH(E$2,'Input 16_2018CUST-YTD'!$C$1:$O$1,0)),0)</f>
        <v>7.1178664495113351</v>
      </c>
      <c r="F17" s="5">
        <f>IFERROR(INDEX('Input 16.1_2018VOL-YTD'!$C$4:$N$300, MATCH($C17,'Input 16.1_2018VOL-YTD'!$R$4:$R$300,0),MATCH(F$2,'Input 16.1_2018VOL-YTD'!$C$1:$N$1,0))/INDEX('Input 16_2018CUST-YTD'!$D$4:$O$300,MATCH($C17,'Input 16_2018CUST-YTD'!$S$4:$S$300,0),MATCH(F$2,'Input 16_2018CUST-YTD'!$C$1:$O$1,0)),0)</f>
        <v>7.0920085106382134</v>
      </c>
      <c r="G17" s="5">
        <f>IFERROR(INDEX('Input 16.1_2018VOL-YTD'!$C$4:$N$300, MATCH($C17,'Input 16.1_2018VOL-YTD'!$R$4:$R$300,0),MATCH(G$2,'Input 16.1_2018VOL-YTD'!$C$1:$N$1,0))/INDEX('Input 16_2018CUST-YTD'!$D$4:$O$300,MATCH($C17,'Input 16_2018CUST-YTD'!$S$4:$S$300,0),MATCH(G$2,'Input 16_2018CUST-YTD'!$C$1:$O$1,0)),0)</f>
        <v>6.6494578313252237</v>
      </c>
      <c r="H17" s="5">
        <f>IFERROR(INDEX('Input 16.1_2018VOL-YTD'!$C$4:$N$300, MATCH($C17,'Input 16.1_2018VOL-YTD'!$R$4:$R$300,0),MATCH(H$2,'Input 16.1_2018VOL-YTD'!$C$1:$N$1,0))/INDEX('Input 16_2018CUST-YTD'!$D$4:$O$300,MATCH($C17,'Input 16_2018CUST-YTD'!$S$4:$S$300,0),MATCH(H$2,'Input 16_2018CUST-YTD'!$C$1:$O$1,0)),0)</f>
        <v>5.3658916083915731</v>
      </c>
      <c r="I17" s="5">
        <f>IFERROR(INDEX('Input 16.1_2018VOL-YTD'!$C$4:$N$300, MATCH($C17,'Input 16.1_2018VOL-YTD'!$R$4:$R$300,0),MATCH(I$2,'Input 16.1_2018VOL-YTD'!$C$1:$N$1,0))/INDEX('Input 16_2018CUST-YTD'!$D$4:$O$300,MATCH($C17,'Input 16_2018CUST-YTD'!$S$4:$S$300,0),MATCH(I$2,'Input 16_2018CUST-YTD'!$C$1:$O$1,0)),0)</f>
        <v>5.6305570060922197</v>
      </c>
      <c r="J17" s="5">
        <f>IFERROR(INDEX('Input 16.1_2018VOL-YTD'!$C$4:$N$300, MATCH($C17,'Input 16.1_2018VOL-YTD'!$R$4:$R$300,0),MATCH(J$2,'Input 16.1_2018VOL-YTD'!$C$1:$N$1,0))/INDEX('Input 16_2018CUST-YTD'!$D$4:$O$300,MATCH($C17,'Input 16_2018CUST-YTD'!$S$4:$S$300,0),MATCH(J$2,'Input 16_2018CUST-YTD'!$C$1:$O$1,0)),0)</f>
        <v>4.5591304347826087</v>
      </c>
      <c r="K17" s="5">
        <f>IFERROR(INDEX('Input 16.1_2018VOL-YTD'!$C$4:$N$300, MATCH($C17,'Input 16.1_2018VOL-YTD'!$R$4:$R$300,0),MATCH(K$2,'Input 16.1_2018VOL-YTD'!$C$1:$N$1,0))/INDEX('Input 16_2018CUST-YTD'!$D$4:$O$300,MATCH($C17,'Input 16_2018CUST-YTD'!$S$4:$S$300,0),MATCH(K$2,'Input 16_2018CUST-YTD'!$C$1:$O$1,0)),0)</f>
        <v>4.7667423580785941</v>
      </c>
      <c r="L17" s="5">
        <f>IFERROR(INDEX('Input 16.1_2018VOL-YTD'!$C$4:$N$300, MATCH($C17,'Input 16.1_2018VOL-YTD'!$R$4:$R$300,0),MATCH(L$2,'Input 16.1_2018VOL-YTD'!$C$1:$N$1,0))/INDEX('Input 16_2018CUST-YTD'!$D$4:$O$300,MATCH($C17,'Input 16_2018CUST-YTD'!$S$4:$S$300,0),MATCH(L$2,'Input 16_2018CUST-YTD'!$C$1:$O$1,0)),0)</f>
        <v>4.9873362445414502</v>
      </c>
      <c r="M17" s="5">
        <f>IFERROR(INDEX('Input 16.1_2018VOL-YTD'!$C$4:$N$300, MATCH($C17,'Input 16.1_2018VOL-YTD'!$R$4:$R$300,0),MATCH(M$2,'Input 16.1_2018VOL-YTD'!$C$1:$N$1,0))/INDEX('Input 16_2018CUST-YTD'!$D$4:$O$300,MATCH($C17,'Input 16_2018CUST-YTD'!$S$4:$S$300,0),MATCH(M$2,'Input 16_2018CUST-YTD'!$C$1:$O$1,0)),0)</f>
        <v>4.4776069868995281</v>
      </c>
      <c r="N17" s="5">
        <f>IFERROR(INDEX('Input 16.1_2018VOL-YTD'!$C$4:$N$300, MATCH($C17,'Input 16.1_2018VOL-YTD'!$R$4:$R$300,0),MATCH(N$2,'Input 16.1_2018VOL-YTD'!$C$1:$N$1,0))/INDEX('Input 16_2018CUST-YTD'!$D$4:$O$300,MATCH($C17,'Input 16_2018CUST-YTD'!$S$4:$S$300,0),MATCH(N$2,'Input 16_2018CUST-YTD'!$C$1:$O$1,0)),0)</f>
        <v>6.3032815198617618</v>
      </c>
      <c r="O17" s="5">
        <f>IFERROR(INDEX('Input 16.1_2018VOL-YTD'!$C$4:$N$300, MATCH($C17,'Input 16.1_2018VOL-YTD'!$R$4:$R$300,0),MATCH(O$2,'Input 16.1_2018VOL-YTD'!$C$1:$N$1,0))/INDEX('Input 16_2018CUST-YTD'!$D$4:$O$300,MATCH($C17,'Input 16_2018CUST-YTD'!$S$4:$S$300,0),MATCH(O$2,'Input 16_2018CUST-YTD'!$C$1:$O$1,0)),0)</f>
        <v>7.6538565629228783</v>
      </c>
      <c r="P17" s="271">
        <f t="shared" si="1"/>
        <v>9.0891102040816332</v>
      </c>
      <c r="Q17" s="261">
        <f t="shared" si="2"/>
        <v>1</v>
      </c>
      <c r="S17" s="5">
        <f>IFERROR(INDEX('Input 3.1_2019VOL-YTD'!$C$4:$N$300, MATCH($C17,'Input 3.1_2019VOL-YTD'!$R$4:$R$300,0),MATCH(S$2,'Input 3.1_2019VOL-YTD'!$C$1:$N$1,0))/INDEX('Input 3_2019CUST-YTD'!$C$4:$N$300,MATCH($C17,'Input 3_2019CUST-YTD'!$S$4:$S$300,0),MATCH(S$2,'Input 3_2019CUST-YTD'!$C$1:$N$1,0)),0)</f>
        <v>8.0750042844900847</v>
      </c>
      <c r="T17" s="5">
        <f>IFERROR(INDEX('Input 3.1_2019VOL-YTD'!$C$4:$N$300, MATCH($C17,'Input 3.1_2019VOL-YTD'!$R$4:$R$300,0),MATCH(T$2,'Input 3.1_2019VOL-YTD'!$C$1:$N$1,0))/INDEX('Input 3_2019CUST-YTD'!$C$4:$N$300,MATCH($C17,'Input 3_2019CUST-YTD'!$S$4:$S$300,0),MATCH(T$2,'Input 3_2019CUST-YTD'!$C$1:$N$1,0)),0)</f>
        <v>7.6369012875535889</v>
      </c>
      <c r="U17" s="5">
        <f>IFERROR(INDEX('Input 3.1_2019VOL-YTD'!$C$4:$N$300, MATCH($C17,'Input 3.1_2019VOL-YTD'!$R$4:$R$300,0),MATCH(U$2,'Input 3.1_2019VOL-YTD'!$C$1:$N$1,0))/INDEX('Input 3_2019CUST-YTD'!$C$4:$N$300,MATCH($C17,'Input 3_2019CUST-YTD'!$S$4:$S$300,0),MATCH(U$2,'Input 3_2019CUST-YTD'!$C$1:$N$1,0)),0)</f>
        <v>6.5475536480686607</v>
      </c>
      <c r="V17" s="5">
        <f>IFERROR(INDEX('Input 3.1_2019VOL-YTD'!$C$4:$N$300, MATCH($C17,'Input 3.1_2019VOL-YTD'!$R$4:$R$300,0),MATCH(V$2,'Input 3.1_2019VOL-YTD'!$C$1:$N$1,0))/INDEX('Input 3_2019CUST-YTD'!$C$4:$N$300,MATCH($C17,'Input 3_2019CUST-YTD'!$S$4:$S$300,0),MATCH(V$2,'Input 3_2019CUST-YTD'!$C$1:$N$1,0)),0)</f>
        <v>6.4804299226139719</v>
      </c>
      <c r="W17" s="5">
        <f>IFERROR(INDEX('Input 3.1_2019VOL-YTD'!$C$4:$N$300, MATCH($C17,'Input 3.1_2019VOL-YTD'!$R$4:$R$300,0),MATCH(W$2,'Input 3.1_2019VOL-YTD'!$C$1:$N$1,0))/INDEX('Input 3_2019CUST-YTD'!$C$4:$N$300,MATCH($C17,'Input 3_2019CUST-YTD'!$S$4:$S$300,0),MATCH(W$2,'Input 3_2019CUST-YTD'!$C$1:$N$1,0)),0)</f>
        <v>5.6546354166667019</v>
      </c>
      <c r="X17" s="5">
        <f>IFERROR(INDEX('Input 3.1_2019VOL-YTD'!$C$4:$N$300, MATCH($C17,'Input 3.1_2019VOL-YTD'!$R$4:$R$300,0),MATCH(X$2,'Input 3.1_2019VOL-YTD'!$C$1:$N$1,0))/INDEX('Input 3_2019CUST-YTD'!$C$4:$N$300,MATCH($C17,'Input 3_2019CUST-YTD'!$S$4:$S$300,0),MATCH(X$2,'Input 3_2019CUST-YTD'!$C$1:$N$1,0)),0)</f>
        <v>5.1002432667245703</v>
      </c>
      <c r="Y17" s="5">
        <f>IFERROR(INDEX('Input 3.1_2019VOL-YTD'!$C$4:$N$300, MATCH($C17,'Input 3.1_2019VOL-YTD'!$R$4:$R$300,0),MATCH(Y$2,'Input 3.1_2019VOL-YTD'!$C$1:$N$1,0))/INDEX('Input 3_2019CUST-YTD'!$C$4:$N$300,MATCH($C17,'Input 3_2019CUST-YTD'!$S$4:$S$300,0),MATCH(Y$2,'Input 3_2019CUST-YTD'!$C$1:$N$1,0)),0)</f>
        <v>4.5652480417754049</v>
      </c>
      <c r="Z17" s="5">
        <f>IFERROR(INDEX('Input 3.1_2019VOL-YTD'!$C$4:$N$300, MATCH($C17,'Input 3.1_2019VOL-YTD'!$R$4:$R$300,0),MATCH(Z$2,'Input 3.1_2019VOL-YTD'!$C$1:$N$1,0))/INDEX('Input 3_2019CUST-YTD'!$C$4:$N$300,MATCH($C17,'Input 3_2019CUST-YTD'!$S$4:$S$300,0),MATCH(Z$2,'Input 3_2019CUST-YTD'!$C$1:$N$1,0)),0)</f>
        <v>4.9833478639930071</v>
      </c>
      <c r="AA17" s="5">
        <f>IFERROR(INDEX('Input 3.1_2019VOL-YTD'!$C$4:$N$300, MATCH($C17,'Input 3.1_2019VOL-YTD'!$R$4:$R$300,0),MATCH(AA$2,'Input 3.1_2019VOL-YTD'!$C$1:$N$1,0))/INDEX('Input 3_2019CUST-YTD'!$C$4:$N$300,MATCH($C17,'Input 3_2019CUST-YTD'!$S$4:$S$300,0),MATCH(AA$2,'Input 3_2019CUST-YTD'!$C$1:$N$1,0)),0)</f>
        <v>5.0665875109938172</v>
      </c>
      <c r="AB17" s="5">
        <f>IFERROR(INDEX('Input 3.1_2019VOL-YTD'!$C$4:$N$300, MATCH($C17,'Input 3.1_2019VOL-YTD'!$R$4:$R$300,0),MATCH(AB$2,'Input 3.1_2019VOL-YTD'!$C$1:$N$1,0))/INDEX('Input 3_2019CUST-YTD'!$C$4:$N$300,MATCH($C17,'Input 3_2019CUST-YTD'!$S$4:$S$300,0),MATCH(AB$2,'Input 3_2019CUST-YTD'!$C$1:$N$1,0)),0)</f>
        <v>5.1195158450704232</v>
      </c>
      <c r="AC17" s="5">
        <f>IFERROR(INDEX('Input 3.1_2019VOL-YTD'!$C$4:$N$300, MATCH($C17,'Input 3.1_2019VOL-YTD'!$R$4:$R$300,0),MATCH(AC$2,'Input 3.1_2019VOL-YTD'!$C$1:$N$1,0))/INDEX('Input 3_2019CUST-YTD'!$C$4:$N$300,MATCH($C17,'Input 3_2019CUST-YTD'!$S$4:$S$300,0),MATCH(AC$2,'Input 3_2019CUST-YTD'!$C$1:$N$1,0)),0)</f>
        <v>5.861791044776119</v>
      </c>
      <c r="AD17" s="5">
        <f>IFERROR(INDEX('Input 3.1_2019VOL-YTD'!$C$4:$N$300, MATCH($C17,'Input 3.1_2019VOL-YTD'!$R$4:$R$300,0),MATCH(AD$2,'Input 3.1_2019VOL-YTD'!$C$1:$N$1,0))/INDEX('Input 3_2019CUST-YTD'!$C$4:$N$300,MATCH($C17,'Input 3_2019CUST-YTD'!$S$4:$S$300,0),MATCH(AD$2,'Input 3_2019CUST-YTD'!$C$1:$N$1,0)),0)</f>
        <v>7.779886462882053</v>
      </c>
      <c r="AE17" s="272">
        <f t="shared" si="3"/>
        <v>8.0750042844900847</v>
      </c>
      <c r="AF17" s="261">
        <f t="shared" si="4"/>
        <v>1</v>
      </c>
      <c r="AH17" s="262">
        <f>IFERROR(INDEX('Input 4.1_2020VOL-YTD'!$C$4:$O$300, MATCH($C17,'Input 4.1_2020VOL-YTD'!$R$4:$R$300,0),MATCH(AH$2,'Input 4.1_2020VOL-YTD'!$C$1:$O$1,0))/INDEX('Input 4_2020CUST-YTD'!$C$4:O$300,MATCH($C17,'Input 4_2020CUST-YTD'!$S$4:$S$300,0),MATCH(AH$2,'Input 4_2020CUST-YTD'!$C$1:$O$1,0)),0)</f>
        <v>8.1331643356642918</v>
      </c>
      <c r="AI17" s="262">
        <f>IFERROR(INDEX('Input 4.1_2020VOL-YTD'!$C$4:$O$300, MATCH($C17,'Input 4.1_2020VOL-YTD'!$R$4:$R$300,0),MATCH(AI$2,'Input 4.1_2020VOL-YTD'!$C$1:$O$1,0))/INDEX('Input 4_2020CUST-YTD'!$C$4:P$300,MATCH($C17,'Input 4_2020CUST-YTD'!$S$4:$S$300,0),MATCH(AI$2,'Input 4_2020CUST-YTD'!$C$1:$O$1,0)),0)</f>
        <v>7.5705400696864285</v>
      </c>
      <c r="AJ17" s="262">
        <f>IFERROR(INDEX('Input 4.1_2020VOL-YTD'!$C$4:$O$300, MATCH($C17,'Input 4.1_2020VOL-YTD'!$R$4:$R$300,0),MATCH(AJ$2,'Input 4.1_2020VOL-YTD'!$C$1:$O$1,0))/INDEX('Input 4_2020CUST-YTD'!$C$4:Q$300,MATCH($C17,'Input 4_2020CUST-YTD'!$S$4:$S$300,0),MATCH(AJ$2,'Input 4_2020CUST-YTD'!$C$1:$O$1,0)),0)</f>
        <v>7.066098615916955</v>
      </c>
      <c r="AK17" s="262">
        <f>IFERROR(INDEX('Input 4.1_2020VOL-YTD'!$C$4:$O$300, MATCH($C17,'Input 4.1_2020VOL-YTD'!$R$4:$R$300,0),MATCH(AK$2,'Input 4.1_2020VOL-YTD'!$C$1:$O$1,0))/INDEX('Input 4_2020CUST-YTD'!$C$4:R$300,MATCH($C17,'Input 4_2020CUST-YTD'!$S$4:$S$300,0),MATCH(AK$2,'Input 4_2020CUST-YTD'!$C$1:$O$1,0)),0)</f>
        <v>6.585496515679468</v>
      </c>
      <c r="AL17" s="262">
        <f>IFERROR(INDEX('Input 4.1_2020VOL-YTD'!$C$4:$O$300, MATCH($C17,'Input 4.1_2020VOL-YTD'!$R$4:$R$300,0),MATCH(AL$2,'Input 4.1_2020VOL-YTD'!$C$1:$O$1,0))/INDEX('Input 4_2020CUST-YTD'!$C$4:S$300,MATCH($C17,'Input 4_2020CUST-YTD'!$S$4:$S$300,0),MATCH(AL$2,'Input 4_2020CUST-YTD'!$C$1:$O$1,0)),0)</f>
        <v>6.2193151887620726</v>
      </c>
      <c r="AM17" s="262">
        <f>IFERROR(INDEX('Input 4.1_2020VOL-YTD'!$C$4:$O$300, MATCH($C17,'Input 4.1_2020VOL-YTD'!$R$4:$R$300,0),MATCH(AM$2,'Input 4.1_2020VOL-YTD'!$C$1:$O$1,0))/INDEX('Input 4_2020CUST-YTD'!$C$4:T$300,MATCH($C17,'Input 4_2020CUST-YTD'!$S$4:$S$300,0),MATCH(AM$2,'Input 4_2020CUST-YTD'!$C$1:$O$1,0)),0)</f>
        <v>5.3250352733685453</v>
      </c>
      <c r="AN17" s="262">
        <f>IFERROR(INDEX('Input 4.1_2020VOL-YTD'!$C$4:$O$300, MATCH($C17,'Input 4.1_2020VOL-YTD'!$R$4:$R$300,0),MATCH(AN$2,'Input 4.1_2020VOL-YTD'!$C$1:$O$1,0))/INDEX('Input 4_2020CUST-YTD'!$C$4:U$300,MATCH($C17,'Input 4_2020CUST-YTD'!$S$4:$S$300,0),MATCH(AN$2,'Input 4_2020CUST-YTD'!$C$1:$O$1,0)),0)</f>
        <v>5.5485286343612161</v>
      </c>
      <c r="AO17" s="262">
        <f>IFERROR(INDEX('Input 4.1_2020VOL-YTD'!$C$4:$O$300, MATCH($C17,'Input 4.1_2020VOL-YTD'!$R$4:$R$300,0),MATCH(AO$2,'Input 4.1_2020VOL-YTD'!$C$1:$O$1,0))/INDEX('Input 4_2020CUST-YTD'!$C$4:V$300,MATCH($C17,'Input 4_2020CUST-YTD'!$S$4:$S$300,0),MATCH(AO$2,'Input 4_2020CUST-YTD'!$C$1:$O$1,0)),0)</f>
        <v>5.0763195057369552</v>
      </c>
      <c r="AP17" s="262">
        <f>IFERROR(INDEX('Input 4.1_2020VOL-YTD'!$C$4:$O$300, MATCH($C17,'Input 4.1_2020VOL-YTD'!$R$4:$R$300,0),MATCH(AP$2,'Input 4.1_2020VOL-YTD'!$C$1:$O$1,0))/INDEX('Input 4_2020CUST-YTD'!$C$4:W$300,MATCH($C17,'Input 4_2020CUST-YTD'!$S$4:$S$300,0),MATCH(AP$2,'Input 4_2020CUST-YTD'!$C$1:$O$1,0)),0)</f>
        <v>5.2373712255772462</v>
      </c>
      <c r="AQ17" s="262">
        <f>IFERROR(INDEX('Input 4.1_2020VOL-YTD'!$C$4:$O$300, MATCH($C17,'Input 4.1_2020VOL-YTD'!$R$4:$R$300,0),MATCH(AQ$2,'Input 4.1_2020VOL-YTD'!$C$1:$O$1,0))/INDEX('Input 4_2020CUST-YTD'!$C$4:X$300,MATCH($C17,'Input 4_2020CUST-YTD'!$S$4:$S$300,0),MATCH(AQ$2,'Input 4_2020CUST-YTD'!$C$1:$O$1,0)),0)</f>
        <v>5.2346194690265753</v>
      </c>
      <c r="AR17" s="262">
        <f>IFERROR(INDEX('Input 4.1_2020VOL-YTD'!$C$4:$O$300, MATCH($C17,'Input 4.1_2020VOL-YTD'!$R$4:$R$300,0),MATCH(AR$2,'Input 4.1_2020VOL-YTD'!$C$1:$O$1,0))/INDEX('Input 4_2020CUST-YTD'!$C$4:Y$300,MATCH($C17,'Input 4_2020CUST-YTD'!$S$4:$S$300,0),MATCH(AR$2,'Input 4_2020CUST-YTD'!$C$1:$O$1,0)),0)</f>
        <v>6.0255838454785255</v>
      </c>
      <c r="AS17" s="262">
        <f>IFERROR(INDEX('Input 4.1_2020VOL-YTD'!$C$4:$O$300, MATCH($C17,'Input 4.1_2020VOL-YTD'!$R$4:$R$300,0),MATCH(AS$2,'Input 4.1_2020VOL-YTD'!$C$1:$O$1,0))/INDEX('Input 4_2020CUST-YTD'!$C$4:Z$300,MATCH($C17,'Input 4_2020CUST-YTD'!$S$4:$S$300,0),MATCH(AS$2,'Input 4_2020CUST-YTD'!$C$1:$O$1,0)),0)</f>
        <v>9.015533980582525</v>
      </c>
      <c r="AT17" s="190">
        <f t="shared" si="9"/>
        <v>9.015533980582525</v>
      </c>
      <c r="AU17" s="261">
        <f t="shared" si="6"/>
        <v>12</v>
      </c>
      <c r="AW17" s="1">
        <f>IFERROR(INDEX('Input 5.1_2021VOL-YTD'!$C$3:$N$150, MATCH($C17,'Input 5.1_2021VOL-YTD'!$R$3:$R$150,0),MATCH(AW$2,'Input 5.1_2021VOL-YTD'!$C$1:$N$1,0))/INDEX('Input 5_2021CUST-YTD'!$C$3:$N$150,MATCH($C17,'Input 5_2021CUST-YTD'!$S$3:$S$150,0),MATCH(AW$2,'Input 5_2021CUST-YTD'!$C$1:$N$1,0)),0)</f>
        <v>10.036914235190098</v>
      </c>
      <c r="AX17" s="1">
        <f>IFERROR(INDEX('Input 5.1_2021VOL-YTD'!$C$3:$N$150, MATCH($C17,'Input 5.1_2021VOL-YTD'!$R$3:$R$150,0),MATCH(AX$2,'Input 5.1_2021VOL-YTD'!$C$1:$N$1,0))/INDEX('Input 5_2021CUST-YTD'!$C$3:$N$150,MATCH($C17,'Input 5_2021CUST-YTD'!$S$3:$S$150,0),MATCH(AX$2,'Input 5_2021CUST-YTD'!$C$1:$N$1,0)),0)</f>
        <v>7.8029129662522481</v>
      </c>
      <c r="AY17" s="1">
        <f>IFERROR(INDEX('Input 5.1_2021VOL-YTD'!$C$3:$N$150, MATCH($C17,'Input 5.1_2021VOL-YTD'!$R$3:$R$150,0),MATCH(AY$2,'Input 5.1_2021VOL-YTD'!$C$1:$N$1,0))/INDEX('Input 5_2021CUST-YTD'!$C$3:$N$150,MATCH($C17,'Input 5_2021CUST-YTD'!$S$3:$S$150,0),MATCH(AY$2,'Input 5_2021CUST-YTD'!$C$1:$N$1,0)),0)</f>
        <v>7.4098584070796729</v>
      </c>
      <c r="AZ17" s="1">
        <f>IFERROR(INDEX('Input 5.1_2021VOL-YTD'!$C$3:$N$150, MATCH($C17,'Input 5.1_2021VOL-YTD'!$R$3:$R$150,0),MATCH(AZ$2,'Input 5.1_2021VOL-YTD'!$C$1:$N$1,0))/INDEX('Input 5_2021CUST-YTD'!$C$3:$N$150,MATCH($C17,'Input 5_2021CUST-YTD'!$S$3:$S$150,0),MATCH(AZ$2,'Input 5_2021CUST-YTD'!$C$1:$N$1,0)),0)</f>
        <v>7.72450442477877</v>
      </c>
      <c r="BA17" s="1">
        <f>IFERROR(INDEX('Input 5.1_2021VOL-YTD'!$C$3:$N$150, MATCH($C17,'Input 5.1_2021VOL-YTD'!$R$3:$R$150,0),MATCH(BA$2,'Input 5.1_2021VOL-YTD'!$C$1:$N$1,0))/INDEX('Input 5_2021CUST-YTD'!$C$3:$N$150,MATCH($C17,'Input 5_2021CUST-YTD'!$S$3:$S$150,0),MATCH(BA$2,'Input 5_2021CUST-YTD'!$C$1:$N$1,0)),0)</f>
        <v>5.7551291184327251</v>
      </c>
      <c r="BB17" s="1">
        <f>IFERROR(INDEX('Input 5.1_2021VOL-YTD'!$C$3:$N$150, MATCH($C17,'Input 5.1_2021VOL-YTD'!$R$3:$R$150,0),MATCH(BB$2,'Input 5.1_2021VOL-YTD'!$C$1:$N$1,0))/INDEX('Input 5_2021CUST-YTD'!$C$3:$N$150,MATCH($C17,'Input 5_2021CUST-YTD'!$S$3:$S$150,0),MATCH(BB$2,'Input 5_2021CUST-YTD'!$C$1:$N$1,0)),0)</f>
        <v>5.409249329758695</v>
      </c>
      <c r="BC17" s="1">
        <f>IFERROR(INDEX('Input 5.1_2021VOL-YTD'!$C$3:$N$150, MATCH($C17,'Input 5.1_2021VOL-YTD'!$R$3:$R$150,0),MATCH(BC$2,'Input 5.1_2021VOL-YTD'!$C$1:$N$1,0))/INDEX('Input 5_2021CUST-YTD'!$C$3:$N$150,MATCH($C17,'Input 5_2021CUST-YTD'!$S$3:$S$150,0),MATCH(BC$2,'Input 5_2021CUST-YTD'!$C$1:$N$1,0)),0)</f>
        <v>5.5309310653536352</v>
      </c>
      <c r="BD17" s="1">
        <f>IFERROR(INDEX('Input 5.1_2021VOL-YTD'!$C$3:$N$150, MATCH($C17,'Input 5.1_2021VOL-YTD'!$R$3:$R$150,0),MATCH(BD$2,'Input 5.1_2021VOL-YTD'!$C$1:$N$1,0))/INDEX('Input 5_2021CUST-YTD'!$C$3:$N$150,MATCH($C17,'Input 5_2021CUST-YTD'!$S$3:$S$150,0),MATCH(BD$2,'Input 5_2021CUST-YTD'!$C$1:$N$1,0)),0)</f>
        <v>5.1430693069307196</v>
      </c>
      <c r="BE17" s="1">
        <f>IFERROR(INDEX('Input 5.1_2021VOL-YTD'!$C$3:$N$150, MATCH($C17,'Input 5.1_2021VOL-YTD'!$R$3:$R$150,0),MATCH(BE$2,'Input 5.1_2021VOL-YTD'!$C$1:$N$1,0))/INDEX('Input 5_2021CUST-YTD'!$C$3:$N$150,MATCH($C17,'Input 5_2021CUST-YTD'!$S$3:$S$150,0),MATCH(BE$2,'Input 5_2021CUST-YTD'!$C$1:$N$1,0)),0)</f>
        <v>5.7498025134649726</v>
      </c>
      <c r="BF17" s="1">
        <f>IFERROR(INDEX('Input 5.1_2021VOL-YTD'!$C$3:$N$150, MATCH($C17,'Input 5.1_2021VOL-YTD'!$R$3:$R$150,0),MATCH(BF$2,'Input 5.1_2021VOL-YTD'!$C$1:$N$1,0))/INDEX('Input 5_2021CUST-YTD'!$C$3:$N$150,MATCH($C17,'Input 5_2021CUST-YTD'!$S$3:$S$150,0),MATCH(BF$2,'Input 5_2021CUST-YTD'!$C$1:$N$1,0)),0)</f>
        <v>5.6368112014453384</v>
      </c>
      <c r="BG17" s="1">
        <f>IFERROR(INDEX('Input 5.1_2021VOL-YTD'!$C$3:$N$150, MATCH($C17,'Input 5.1_2021VOL-YTD'!$R$3:$R$150,0),MATCH(BG$2,'Input 5.1_2021VOL-YTD'!$C$1:$N$1,0))/INDEX('Input 5_2021CUST-YTD'!$C$3:$N$150,MATCH($C17,'Input 5_2021CUST-YTD'!$S$3:$S$150,0),MATCH(BG$2,'Input 5_2021CUST-YTD'!$C$1:$N$1,0)),0)</f>
        <v>6.6401539855072462</v>
      </c>
      <c r="BH17" s="1">
        <f>IFERROR(INDEX('Input 5.1_2021VOL-YTD'!$C$3:$N$150, MATCH($C17,'Input 5.1_2021VOL-YTD'!$R$3:$R$150,0),MATCH(BH$2,'Input 5.1_2021VOL-YTD'!$C$1:$N$1,0))/INDEX('Input 5_2021CUST-YTD'!$C$3:$N$150,MATCH($C17,'Input 5_2021CUST-YTD'!$S$3:$S$150,0),MATCH(BH$2,'Input 5_2021CUST-YTD'!$C$1:$N$1,0)),0)</f>
        <v>8.7389652096342108</v>
      </c>
      <c r="BI17" s="190">
        <f t="shared" si="7"/>
        <v>10.036914235190098</v>
      </c>
      <c r="BJ17" s="261">
        <f t="shared" si="8"/>
        <v>1</v>
      </c>
    </row>
    <row r="18" spans="1:62">
      <c r="A18" s="261" t="s">
        <v>8</v>
      </c>
      <c r="B18" s="261" t="s">
        <v>17</v>
      </c>
      <c r="C18" s="261" t="s">
        <v>1373</v>
      </c>
      <c r="D18" s="5">
        <f>IFERROR(INDEX('Input 16.1_2018VOL-YTD'!$C$4:$N$300, MATCH($C18,'Input 16.1_2018VOL-YTD'!$R$4:$R$300,0),MATCH(D$2,'Input 16.1_2018VOL-YTD'!$C$1:$N$1,0))/INDEX('Input 16_2018CUST-YTD'!$D$4:$O$300,MATCH($C18,'Input 16_2018CUST-YTD'!$S$4:$S$300,0),MATCH(D$2,'Input 16_2018CUST-YTD'!$C$1:$O$1,0)),0)</f>
        <v>20.148307692307693</v>
      </c>
      <c r="E18" s="5">
        <f>IFERROR(INDEX('Input 16.1_2018VOL-YTD'!$C$4:$N$300, MATCH($C18,'Input 16.1_2018VOL-YTD'!$R$4:$R$300,0),MATCH(E$2,'Input 16.1_2018VOL-YTD'!$C$1:$N$1,0))/INDEX('Input 16_2018CUST-YTD'!$D$4:$O$300,MATCH($C18,'Input 16_2018CUST-YTD'!$S$4:$S$300,0),MATCH(E$2,'Input 16_2018CUST-YTD'!$C$1:$O$1,0)),0)</f>
        <v>12.119393939393939</v>
      </c>
      <c r="F18" s="5">
        <f>IFERROR(INDEX('Input 16.1_2018VOL-YTD'!$C$4:$N$300, MATCH($C18,'Input 16.1_2018VOL-YTD'!$R$4:$R$300,0),MATCH(F$2,'Input 16.1_2018VOL-YTD'!$C$1:$N$1,0))/INDEX('Input 16_2018CUST-YTD'!$D$4:$O$300,MATCH($C18,'Input 16_2018CUST-YTD'!$S$4:$S$300,0),MATCH(F$2,'Input 16_2018CUST-YTD'!$C$1:$O$1,0)),0)</f>
        <v>11.499076923076924</v>
      </c>
      <c r="G18" s="5">
        <f>IFERROR(INDEX('Input 16.1_2018VOL-YTD'!$C$4:$N$300, MATCH($C18,'Input 16.1_2018VOL-YTD'!$R$4:$R$300,0),MATCH(G$2,'Input 16.1_2018VOL-YTD'!$C$1:$N$1,0))/INDEX('Input 16_2018CUST-YTD'!$D$4:$O$300,MATCH($C18,'Input 16_2018CUST-YTD'!$S$4:$S$300,0),MATCH(G$2,'Input 16_2018CUST-YTD'!$C$1:$O$1,0)),0)</f>
        <v>11.670806451612904</v>
      </c>
      <c r="H18" s="5">
        <f>IFERROR(INDEX('Input 16.1_2018VOL-YTD'!$C$4:$N$300, MATCH($C18,'Input 16.1_2018VOL-YTD'!$R$4:$R$300,0),MATCH(H$2,'Input 16.1_2018VOL-YTD'!$C$1:$N$1,0))/INDEX('Input 16_2018CUST-YTD'!$D$4:$O$300,MATCH($C18,'Input 16_2018CUST-YTD'!$S$4:$S$300,0),MATCH(H$2,'Input 16_2018CUST-YTD'!$C$1:$O$1,0)),0)</f>
        <v>9.1538095238095245</v>
      </c>
      <c r="I18" s="5">
        <f>IFERROR(INDEX('Input 16.1_2018VOL-YTD'!$C$4:$N$300, MATCH($C18,'Input 16.1_2018VOL-YTD'!$R$4:$R$300,0),MATCH(I$2,'Input 16.1_2018VOL-YTD'!$C$1:$N$1,0))/INDEX('Input 16_2018CUST-YTD'!$D$4:$O$300,MATCH($C18,'Input 16_2018CUST-YTD'!$S$4:$S$300,0),MATCH(I$2,'Input 16_2018CUST-YTD'!$C$1:$O$1,0)),0)</f>
        <v>10.585423728813559</v>
      </c>
      <c r="J18" s="5">
        <f>IFERROR(INDEX('Input 16.1_2018VOL-YTD'!$C$4:$N$300, MATCH($C18,'Input 16.1_2018VOL-YTD'!$R$4:$R$300,0),MATCH(J$2,'Input 16.1_2018VOL-YTD'!$C$1:$N$1,0))/INDEX('Input 16_2018CUST-YTD'!$D$4:$O$300,MATCH($C18,'Input 16_2018CUST-YTD'!$S$4:$S$300,0),MATCH(J$2,'Input 16_2018CUST-YTD'!$C$1:$O$1,0)),0)</f>
        <v>8.3666666666666671</v>
      </c>
      <c r="K18" s="5">
        <f>IFERROR(INDEX('Input 16.1_2018VOL-YTD'!$C$4:$N$300, MATCH($C18,'Input 16.1_2018VOL-YTD'!$R$4:$R$300,0),MATCH(K$2,'Input 16.1_2018VOL-YTD'!$C$1:$N$1,0))/INDEX('Input 16_2018CUST-YTD'!$D$4:$O$300,MATCH($C18,'Input 16_2018CUST-YTD'!$S$4:$S$300,0),MATCH(K$2,'Input 16_2018CUST-YTD'!$C$1:$O$1,0)),0)</f>
        <v>8.7444999999999986</v>
      </c>
      <c r="L18" s="5">
        <f>IFERROR(INDEX('Input 16.1_2018VOL-YTD'!$C$4:$N$300, MATCH($C18,'Input 16.1_2018VOL-YTD'!$R$4:$R$300,0),MATCH(L$2,'Input 16.1_2018VOL-YTD'!$C$1:$N$1,0))/INDEX('Input 16_2018CUST-YTD'!$D$4:$O$300,MATCH($C18,'Input 16_2018CUST-YTD'!$S$4:$S$300,0),MATCH(L$2,'Input 16_2018CUST-YTD'!$C$1:$O$1,0)),0)</f>
        <v>9.2514754098360665</v>
      </c>
      <c r="M18" s="5">
        <f>IFERROR(INDEX('Input 16.1_2018VOL-YTD'!$C$4:$N$300, MATCH($C18,'Input 16.1_2018VOL-YTD'!$R$4:$R$300,0),MATCH(M$2,'Input 16.1_2018VOL-YTD'!$C$1:$N$1,0))/INDEX('Input 16_2018CUST-YTD'!$D$4:$O$300,MATCH($C18,'Input 16_2018CUST-YTD'!$S$4:$S$300,0),MATCH(M$2,'Input 16_2018CUST-YTD'!$C$1:$O$1,0)),0)</f>
        <v>8.5118644067796616</v>
      </c>
      <c r="N18" s="5">
        <f>IFERROR(INDEX('Input 16.1_2018VOL-YTD'!$C$4:$N$300, MATCH($C18,'Input 16.1_2018VOL-YTD'!$R$4:$R$300,0),MATCH(N$2,'Input 16.1_2018VOL-YTD'!$C$1:$N$1,0))/INDEX('Input 16_2018CUST-YTD'!$D$4:$O$300,MATCH($C18,'Input 16_2018CUST-YTD'!$S$4:$S$300,0),MATCH(N$2,'Input 16_2018CUST-YTD'!$C$1:$O$1,0)),0)</f>
        <v>11.101525423728814</v>
      </c>
      <c r="O18" s="5">
        <f>IFERROR(INDEX('Input 16.1_2018VOL-YTD'!$C$4:$N$300, MATCH($C18,'Input 16.1_2018VOL-YTD'!$R$4:$R$300,0),MATCH(O$2,'Input 16.1_2018VOL-YTD'!$C$1:$N$1,0))/INDEX('Input 16_2018CUST-YTD'!$D$4:$O$300,MATCH($C18,'Input 16_2018CUST-YTD'!$S$4:$S$300,0),MATCH(O$2,'Input 16_2018CUST-YTD'!$C$1:$O$1,0)),0)</f>
        <v>13.038926174496643</v>
      </c>
      <c r="P18" s="271">
        <f t="shared" si="1"/>
        <v>20.148307692307693</v>
      </c>
      <c r="Q18" s="261">
        <f t="shared" si="2"/>
        <v>1</v>
      </c>
      <c r="S18" s="5">
        <f>IFERROR(INDEX('Input 3.1_2019VOL-YTD'!$C$4:$N$300, MATCH($C18,'Input 3.1_2019VOL-YTD'!$R$4:$R$300,0),MATCH(S$2,'Input 3.1_2019VOL-YTD'!$C$1:$N$1,0))/INDEX('Input 3_2019CUST-YTD'!$C$4:$N$300,MATCH($C18,'Input 3_2019CUST-YTD'!$S$4:$S$300,0),MATCH(S$2,'Input 3_2019CUST-YTD'!$C$1:$N$1,0)),0)</f>
        <v>15.213606557377048</v>
      </c>
      <c r="T18" s="5">
        <f>IFERROR(INDEX('Input 3.1_2019VOL-YTD'!$C$4:$N$300, MATCH($C18,'Input 3.1_2019VOL-YTD'!$R$4:$R$300,0),MATCH(T$2,'Input 3.1_2019VOL-YTD'!$C$1:$N$1,0))/INDEX('Input 3_2019CUST-YTD'!$C$4:$N$300,MATCH($C18,'Input 3_2019CUST-YTD'!$S$4:$S$300,0),MATCH(T$2,'Input 3_2019CUST-YTD'!$C$1:$N$1,0)),0)</f>
        <v>14.46516129032258</v>
      </c>
      <c r="U18" s="5">
        <f>IFERROR(INDEX('Input 3.1_2019VOL-YTD'!$C$4:$N$300, MATCH($C18,'Input 3.1_2019VOL-YTD'!$R$4:$R$300,0),MATCH(U$2,'Input 3.1_2019VOL-YTD'!$C$1:$N$1,0))/INDEX('Input 3_2019CUST-YTD'!$C$4:$N$300,MATCH($C18,'Input 3_2019CUST-YTD'!$S$4:$S$300,0),MATCH(U$2,'Input 3_2019CUST-YTD'!$C$1:$N$1,0)),0)</f>
        <v>11.738688524590163</v>
      </c>
      <c r="V18" s="5">
        <f>IFERROR(INDEX('Input 3.1_2019VOL-YTD'!$C$4:$N$300, MATCH($C18,'Input 3.1_2019VOL-YTD'!$R$4:$R$300,0),MATCH(V$2,'Input 3.1_2019VOL-YTD'!$C$1:$N$1,0))/INDEX('Input 3_2019CUST-YTD'!$C$4:$N$300,MATCH($C18,'Input 3_2019CUST-YTD'!$S$4:$S$300,0),MATCH(V$2,'Input 3_2019CUST-YTD'!$C$1:$N$1,0)),0)</f>
        <v>11.037258064516129</v>
      </c>
      <c r="W18" s="5">
        <f>IFERROR(INDEX('Input 3.1_2019VOL-YTD'!$C$4:$N$300, MATCH($C18,'Input 3.1_2019VOL-YTD'!$R$4:$R$300,0),MATCH(W$2,'Input 3.1_2019VOL-YTD'!$C$1:$N$1,0))/INDEX('Input 3_2019CUST-YTD'!$C$4:$N$300,MATCH($C18,'Input 3_2019CUST-YTD'!$S$4:$S$300,0),MATCH(W$2,'Input 3_2019CUST-YTD'!$C$1:$N$1,0)),0)</f>
        <v>10.745967741935484</v>
      </c>
      <c r="X18" s="5">
        <f>IFERROR(INDEX('Input 3.1_2019VOL-YTD'!$C$4:$N$300, MATCH($C18,'Input 3.1_2019VOL-YTD'!$R$4:$R$300,0),MATCH(X$2,'Input 3.1_2019VOL-YTD'!$C$1:$N$1,0))/INDEX('Input 3_2019CUST-YTD'!$C$4:$N$300,MATCH($C18,'Input 3_2019CUST-YTD'!$S$4:$S$300,0),MATCH(X$2,'Input 3_2019CUST-YTD'!$C$1:$N$1,0)),0)</f>
        <v>8.6133870967741935</v>
      </c>
      <c r="Y18" s="5">
        <f>IFERROR(INDEX('Input 3.1_2019VOL-YTD'!$C$4:$N$300, MATCH($C18,'Input 3.1_2019VOL-YTD'!$R$4:$R$300,0),MATCH(Y$2,'Input 3.1_2019VOL-YTD'!$C$1:$N$1,0))/INDEX('Input 3_2019CUST-YTD'!$C$4:$N$300,MATCH($C18,'Input 3_2019CUST-YTD'!$S$4:$S$300,0),MATCH(Y$2,'Input 3_2019CUST-YTD'!$C$1:$N$1,0)),0)</f>
        <v>8.1044262295081975</v>
      </c>
      <c r="Z18" s="5">
        <f>IFERROR(INDEX('Input 3.1_2019VOL-YTD'!$C$4:$N$300, MATCH($C18,'Input 3.1_2019VOL-YTD'!$R$4:$R$300,0),MATCH(Z$2,'Input 3.1_2019VOL-YTD'!$C$1:$N$1,0))/INDEX('Input 3_2019CUST-YTD'!$C$4:$N$300,MATCH($C18,'Input 3_2019CUST-YTD'!$S$4:$S$300,0),MATCH(Z$2,'Input 3_2019CUST-YTD'!$C$1:$N$1,0)),0)</f>
        <v>9.2751666666666672</v>
      </c>
      <c r="AA18" s="5">
        <f>IFERROR(INDEX('Input 3.1_2019VOL-YTD'!$C$4:$N$300, MATCH($C18,'Input 3.1_2019VOL-YTD'!$R$4:$R$300,0),MATCH(AA$2,'Input 3.1_2019VOL-YTD'!$C$1:$N$1,0))/INDEX('Input 3_2019CUST-YTD'!$C$4:$N$300,MATCH($C18,'Input 3_2019CUST-YTD'!$S$4:$S$300,0),MATCH(AA$2,'Input 3_2019CUST-YTD'!$C$1:$N$1,0)),0)</f>
        <v>9.2545000000000002</v>
      </c>
      <c r="AB18" s="5">
        <f>IFERROR(INDEX('Input 3.1_2019VOL-YTD'!$C$4:$N$300, MATCH($C18,'Input 3.1_2019VOL-YTD'!$R$4:$R$300,0),MATCH(AB$2,'Input 3.1_2019VOL-YTD'!$C$1:$N$1,0))/INDEX('Input 3_2019CUST-YTD'!$C$4:$N$300,MATCH($C18,'Input 3_2019CUST-YTD'!$S$4:$S$300,0),MATCH(AB$2,'Input 3_2019CUST-YTD'!$C$1:$N$1,0)),0)</f>
        <v>9.31952380952381</v>
      </c>
      <c r="AC18" s="5">
        <f>IFERROR(INDEX('Input 3.1_2019VOL-YTD'!$C$4:$N$300, MATCH($C18,'Input 3.1_2019VOL-YTD'!$R$4:$R$300,0),MATCH(AC$2,'Input 3.1_2019VOL-YTD'!$C$1:$N$1,0))/INDEX('Input 3_2019CUST-YTD'!$C$4:$N$300,MATCH($C18,'Input 3_2019CUST-YTD'!$S$4:$S$300,0),MATCH(AC$2,'Input 3_2019CUST-YTD'!$C$1:$N$1,0)),0)</f>
        <v>11.239193548387098</v>
      </c>
      <c r="AD18" s="5">
        <f>IFERROR(INDEX('Input 3.1_2019VOL-YTD'!$C$4:$N$300, MATCH($C18,'Input 3.1_2019VOL-YTD'!$R$4:$R$300,0),MATCH(AD$2,'Input 3.1_2019VOL-YTD'!$C$1:$N$1,0))/INDEX('Input 3_2019CUST-YTD'!$C$4:$N$300,MATCH($C18,'Input 3_2019CUST-YTD'!$S$4:$S$300,0),MATCH(AD$2,'Input 3_2019CUST-YTD'!$C$1:$N$1,0)),0)</f>
        <v>15.090781249999999</v>
      </c>
      <c r="AE18" s="272">
        <f t="shared" si="3"/>
        <v>15.213606557377048</v>
      </c>
      <c r="AF18" s="261">
        <f t="shared" si="4"/>
        <v>1</v>
      </c>
      <c r="AH18" s="262">
        <f>IFERROR(INDEX('Input 4.1_2020VOL-YTD'!$C$4:$O$300, MATCH($C18,'Input 4.1_2020VOL-YTD'!$R$4:$R$300,0),MATCH(AH$2,'Input 4.1_2020VOL-YTD'!$C$1:$O$1,0))/INDEX('Input 4_2020CUST-YTD'!$C$4:O$300,MATCH($C18,'Input 4_2020CUST-YTD'!$S$4:$S$300,0),MATCH(AH$2,'Input 4_2020CUST-YTD'!$C$1:$O$1,0)),0)</f>
        <v>14.733809523809525</v>
      </c>
      <c r="AI18" s="262">
        <f>IFERROR(INDEX('Input 4.1_2020VOL-YTD'!$C$4:$O$300, MATCH($C18,'Input 4.1_2020VOL-YTD'!$R$4:$R$300,0),MATCH(AI$2,'Input 4.1_2020VOL-YTD'!$C$1:$O$1,0))/INDEX('Input 4_2020CUST-YTD'!$C$4:P$300,MATCH($C18,'Input 4_2020CUST-YTD'!$S$4:$S$300,0),MATCH(AI$2,'Input 4_2020CUST-YTD'!$C$1:$O$1,0)),0)</f>
        <v>14.260655737704917</v>
      </c>
      <c r="AJ18" s="262">
        <f>IFERROR(INDEX('Input 4.1_2020VOL-YTD'!$C$4:$O$300, MATCH($C18,'Input 4.1_2020VOL-YTD'!$R$4:$R$300,0),MATCH(AJ$2,'Input 4.1_2020VOL-YTD'!$C$1:$O$1,0))/INDEX('Input 4_2020CUST-YTD'!$C$4:Q$300,MATCH($C18,'Input 4_2020CUST-YTD'!$S$4:$S$300,0),MATCH(AJ$2,'Input 4_2020CUST-YTD'!$C$1:$O$1,0)),0)</f>
        <v>11.824918032786886</v>
      </c>
      <c r="AK18" s="262">
        <f>IFERROR(INDEX('Input 4.1_2020VOL-YTD'!$C$4:$O$300, MATCH($C18,'Input 4.1_2020VOL-YTD'!$R$4:$R$300,0),MATCH(AK$2,'Input 4.1_2020VOL-YTD'!$C$1:$O$1,0))/INDEX('Input 4_2020CUST-YTD'!$C$4:R$300,MATCH($C18,'Input 4_2020CUST-YTD'!$S$4:$S$300,0),MATCH(AK$2,'Input 4_2020CUST-YTD'!$C$1:$O$1,0)),0)</f>
        <v>11.310645161290322</v>
      </c>
      <c r="AL18" s="262">
        <f>IFERROR(INDEX('Input 4.1_2020VOL-YTD'!$C$4:$O$300, MATCH($C18,'Input 4.1_2020VOL-YTD'!$R$4:$R$300,0),MATCH(AL$2,'Input 4.1_2020VOL-YTD'!$C$1:$O$1,0))/INDEX('Input 4_2020CUST-YTD'!$C$4:S$300,MATCH($C18,'Input 4_2020CUST-YTD'!$S$4:$S$300,0),MATCH(AL$2,'Input 4_2020CUST-YTD'!$C$1:$O$1,0)),0)</f>
        <v>10.689666666666666</v>
      </c>
      <c r="AM18" s="262">
        <f>IFERROR(INDEX('Input 4.1_2020VOL-YTD'!$C$4:$O$300, MATCH($C18,'Input 4.1_2020VOL-YTD'!$R$4:$R$300,0),MATCH(AM$2,'Input 4.1_2020VOL-YTD'!$C$1:$O$1,0))/INDEX('Input 4_2020CUST-YTD'!$C$4:T$300,MATCH($C18,'Input 4_2020CUST-YTD'!$S$4:$S$300,0),MATCH(AM$2,'Input 4_2020CUST-YTD'!$C$1:$O$1,0)),0)</f>
        <v>9.3261666666666674</v>
      </c>
      <c r="AN18" s="262">
        <f>IFERROR(INDEX('Input 4.1_2020VOL-YTD'!$C$4:$O$300, MATCH($C18,'Input 4.1_2020VOL-YTD'!$R$4:$R$300,0),MATCH(AN$2,'Input 4.1_2020VOL-YTD'!$C$1:$O$1,0))/INDEX('Input 4_2020CUST-YTD'!$C$4:U$300,MATCH($C18,'Input 4_2020CUST-YTD'!$S$4:$S$300,0),MATCH(AN$2,'Input 4_2020CUST-YTD'!$C$1:$O$1,0)),0)</f>
        <v>9.7375000000000007</v>
      </c>
      <c r="AO18" s="262">
        <f>IFERROR(INDEX('Input 4.1_2020VOL-YTD'!$C$4:$O$300, MATCH($C18,'Input 4.1_2020VOL-YTD'!$R$4:$R$300,0),MATCH(AO$2,'Input 4.1_2020VOL-YTD'!$C$1:$O$1,0))/INDEX('Input 4_2020CUST-YTD'!$C$4:V$300,MATCH($C18,'Input 4_2020CUST-YTD'!$S$4:$S$300,0),MATCH(AO$2,'Input 4_2020CUST-YTD'!$C$1:$O$1,0)),0)</f>
        <v>8.7765573770491798</v>
      </c>
      <c r="AP18" s="262">
        <f>IFERROR(INDEX('Input 4.1_2020VOL-YTD'!$C$4:$O$300, MATCH($C18,'Input 4.1_2020VOL-YTD'!$R$4:$R$300,0),MATCH(AP$2,'Input 4.1_2020VOL-YTD'!$C$1:$O$1,0))/INDEX('Input 4_2020CUST-YTD'!$C$4:W$300,MATCH($C18,'Input 4_2020CUST-YTD'!$S$4:$S$300,0),MATCH(AP$2,'Input 4_2020CUST-YTD'!$C$1:$O$1,0)),0)</f>
        <v>8.9742622950819673</v>
      </c>
      <c r="AQ18" s="262">
        <f>IFERROR(INDEX('Input 4.1_2020VOL-YTD'!$C$4:$O$300, MATCH($C18,'Input 4.1_2020VOL-YTD'!$R$4:$R$300,0),MATCH(AQ$2,'Input 4.1_2020VOL-YTD'!$C$1:$O$1,0))/INDEX('Input 4_2020CUST-YTD'!$C$4:X$300,MATCH($C18,'Input 4_2020CUST-YTD'!$S$4:$S$300,0),MATCH(AQ$2,'Input 4_2020CUST-YTD'!$C$1:$O$1,0)),0)</f>
        <v>8.5782539682539678</v>
      </c>
      <c r="AR18" s="262">
        <f>IFERROR(INDEX('Input 4.1_2020VOL-YTD'!$C$4:$O$300, MATCH($C18,'Input 4.1_2020VOL-YTD'!$R$4:$R$300,0),MATCH(AR$2,'Input 4.1_2020VOL-YTD'!$C$1:$O$1,0))/INDEX('Input 4_2020CUST-YTD'!$C$4:Y$300,MATCH($C18,'Input 4_2020CUST-YTD'!$S$4:$S$300,0),MATCH(AR$2,'Input 4_2020CUST-YTD'!$C$1:$O$1,0)),0)</f>
        <v>9.9670967741935481</v>
      </c>
      <c r="AS18" s="262">
        <f>IFERROR(INDEX('Input 4.1_2020VOL-YTD'!$C$4:$O$300, MATCH($C18,'Input 4.1_2020VOL-YTD'!$R$4:$R$300,0),MATCH(AS$2,'Input 4.1_2020VOL-YTD'!$C$1:$O$1,0))/INDEX('Input 4_2020CUST-YTD'!$C$4:Z$300,MATCH($C18,'Input 4_2020CUST-YTD'!$S$4:$S$300,0),MATCH(AS$2,'Input 4_2020CUST-YTD'!$C$1:$O$1,0)),0)</f>
        <v>14.678225806451612</v>
      </c>
      <c r="AT18" s="190">
        <f t="shared" si="9"/>
        <v>14.733809523809525</v>
      </c>
      <c r="AU18" s="261">
        <f t="shared" si="6"/>
        <v>1</v>
      </c>
      <c r="AW18" s="1">
        <f>IFERROR(INDEX('Input 5.1_2021VOL-YTD'!$C$3:$N$150, MATCH($C18,'Input 5.1_2021VOL-YTD'!$R$3:$R$150,0),MATCH(AW$2,'Input 5.1_2021VOL-YTD'!$C$1:$N$1,0))/INDEX('Input 5_2021CUST-YTD'!$C$3:$N$150,MATCH($C18,'Input 5_2021CUST-YTD'!$S$3:$S$150,0),MATCH(AW$2,'Input 5_2021CUST-YTD'!$C$1:$N$1,0)),0)</f>
        <v>15.878225806451614</v>
      </c>
      <c r="AX18" s="1">
        <f>IFERROR(INDEX('Input 5.1_2021VOL-YTD'!$C$3:$N$150, MATCH($C18,'Input 5.1_2021VOL-YTD'!$R$3:$R$150,0),MATCH(AX$2,'Input 5.1_2021VOL-YTD'!$C$1:$N$1,0))/INDEX('Input 5_2021CUST-YTD'!$C$3:$N$150,MATCH($C18,'Input 5_2021CUST-YTD'!$S$3:$S$150,0),MATCH(AX$2,'Input 5_2021CUST-YTD'!$C$1:$N$1,0)),0)</f>
        <v>12.136774193548387</v>
      </c>
      <c r="AY18" s="1">
        <f>IFERROR(INDEX('Input 5.1_2021VOL-YTD'!$C$3:$N$150, MATCH($C18,'Input 5.1_2021VOL-YTD'!$R$3:$R$150,0),MATCH(AY$2,'Input 5.1_2021VOL-YTD'!$C$1:$N$1,0))/INDEX('Input 5_2021CUST-YTD'!$C$3:$N$150,MATCH($C18,'Input 5_2021CUST-YTD'!$S$3:$S$150,0),MATCH(AY$2,'Input 5_2021CUST-YTD'!$C$1:$N$1,0)),0)</f>
        <v>10.673548387096774</v>
      </c>
      <c r="AZ18" s="1">
        <f>IFERROR(INDEX('Input 5.1_2021VOL-YTD'!$C$3:$N$150, MATCH($C18,'Input 5.1_2021VOL-YTD'!$R$3:$R$150,0),MATCH(AZ$2,'Input 5.1_2021VOL-YTD'!$C$1:$N$1,0))/INDEX('Input 5_2021CUST-YTD'!$C$3:$N$150,MATCH($C18,'Input 5_2021CUST-YTD'!$S$3:$S$150,0),MATCH(AZ$2,'Input 5_2021CUST-YTD'!$C$1:$N$1,0)),0)</f>
        <v>11.209354838709677</v>
      </c>
      <c r="BA18" s="1">
        <f>IFERROR(INDEX('Input 5.1_2021VOL-YTD'!$C$3:$N$150, MATCH($C18,'Input 5.1_2021VOL-YTD'!$R$3:$R$150,0),MATCH(BA$2,'Input 5.1_2021VOL-YTD'!$C$1:$N$1,0))/INDEX('Input 5_2021CUST-YTD'!$C$3:$N$150,MATCH($C18,'Input 5_2021CUST-YTD'!$S$3:$S$150,0),MATCH(BA$2,'Input 5_2021CUST-YTD'!$C$1:$N$1,0)),0)</f>
        <v>8.2993548387096769</v>
      </c>
      <c r="BB18" s="1">
        <f>IFERROR(INDEX('Input 5.1_2021VOL-YTD'!$C$3:$N$150, MATCH($C18,'Input 5.1_2021VOL-YTD'!$R$3:$R$150,0),MATCH(BB$2,'Input 5.1_2021VOL-YTD'!$C$1:$N$1,0))/INDEX('Input 5_2021CUST-YTD'!$C$3:$N$150,MATCH($C18,'Input 5_2021CUST-YTD'!$S$3:$S$150,0),MATCH(BB$2,'Input 5_2021CUST-YTD'!$C$1:$N$1,0)),0)</f>
        <v>8.6840983606557387</v>
      </c>
      <c r="BC18" s="1">
        <f>IFERROR(INDEX('Input 5.1_2021VOL-YTD'!$C$3:$N$150, MATCH($C18,'Input 5.1_2021VOL-YTD'!$R$3:$R$150,0),MATCH(BC$2,'Input 5.1_2021VOL-YTD'!$C$1:$N$1,0))/INDEX('Input 5_2021CUST-YTD'!$C$3:$N$150,MATCH($C18,'Input 5_2021CUST-YTD'!$S$3:$S$150,0),MATCH(BC$2,'Input 5_2021CUST-YTD'!$C$1:$N$1,0)),0)</f>
        <v>11.643934426229508</v>
      </c>
      <c r="BD18" s="1">
        <f>IFERROR(INDEX('Input 5.1_2021VOL-YTD'!$C$3:$N$150, MATCH($C18,'Input 5.1_2021VOL-YTD'!$R$3:$R$150,0),MATCH(BD$2,'Input 5.1_2021VOL-YTD'!$C$1:$N$1,0))/INDEX('Input 5_2021CUST-YTD'!$C$3:$N$150,MATCH($C18,'Input 5_2021CUST-YTD'!$S$3:$S$150,0),MATCH(BD$2,'Input 5_2021CUST-YTD'!$C$1:$N$1,0)),0)</f>
        <v>9.129032258064516</v>
      </c>
      <c r="BE18" s="1">
        <f>IFERROR(INDEX('Input 5.1_2021VOL-YTD'!$C$3:$N$150, MATCH($C18,'Input 5.1_2021VOL-YTD'!$R$3:$R$150,0),MATCH(BE$2,'Input 5.1_2021VOL-YTD'!$C$1:$N$1,0))/INDEX('Input 5_2021CUST-YTD'!$C$3:$N$150,MATCH($C18,'Input 5_2021CUST-YTD'!$S$3:$S$150,0),MATCH(BE$2,'Input 5_2021CUST-YTD'!$C$1:$N$1,0)),0)</f>
        <v>10.031451612903227</v>
      </c>
      <c r="BF18" s="1">
        <f>IFERROR(INDEX('Input 5.1_2021VOL-YTD'!$C$3:$N$150, MATCH($C18,'Input 5.1_2021VOL-YTD'!$R$3:$R$150,0),MATCH(BF$2,'Input 5.1_2021VOL-YTD'!$C$1:$N$1,0))/INDEX('Input 5_2021CUST-YTD'!$C$3:$N$150,MATCH($C18,'Input 5_2021CUST-YTD'!$S$3:$S$150,0),MATCH(BF$2,'Input 5_2021CUST-YTD'!$C$1:$N$1,0)),0)</f>
        <v>9.5708196721311491</v>
      </c>
      <c r="BG18" s="1">
        <f>IFERROR(INDEX('Input 5.1_2021VOL-YTD'!$C$3:$N$150, MATCH($C18,'Input 5.1_2021VOL-YTD'!$R$3:$R$150,0),MATCH(BG$2,'Input 5.1_2021VOL-YTD'!$C$1:$N$1,0))/INDEX('Input 5_2021CUST-YTD'!$C$3:$N$150,MATCH($C18,'Input 5_2021CUST-YTD'!$S$3:$S$150,0),MATCH(BG$2,'Input 5_2021CUST-YTD'!$C$1:$N$1,0)),0)</f>
        <v>10.512295081967213</v>
      </c>
      <c r="BH18" s="1">
        <f>IFERROR(INDEX('Input 5.1_2021VOL-YTD'!$C$3:$N$150, MATCH($C18,'Input 5.1_2021VOL-YTD'!$R$3:$R$150,0),MATCH(BH$2,'Input 5.1_2021VOL-YTD'!$C$1:$N$1,0))/INDEX('Input 5_2021CUST-YTD'!$C$3:$N$150,MATCH($C18,'Input 5_2021CUST-YTD'!$S$3:$S$150,0),MATCH(BH$2,'Input 5_2021CUST-YTD'!$C$1:$N$1,0)),0)</f>
        <v>14.053870967741936</v>
      </c>
      <c r="BI18" s="190">
        <f t="shared" si="7"/>
        <v>15.878225806451614</v>
      </c>
      <c r="BJ18" s="261">
        <f t="shared" si="8"/>
        <v>1</v>
      </c>
    </row>
    <row r="19" spans="1:62">
      <c r="A19" s="261" t="s">
        <v>8</v>
      </c>
      <c r="B19" s="261" t="s">
        <v>17</v>
      </c>
      <c r="C19" s="261" t="s">
        <v>1372</v>
      </c>
      <c r="D19" s="5">
        <f>IFERROR(INDEX('Input 16.1_2018VOL-YTD'!$C$4:$N$300, MATCH($C19,'Input 16.1_2018VOL-YTD'!$R$4:$R$300,0),MATCH(D$2,'Input 16.1_2018VOL-YTD'!$C$1:$N$1,0))/INDEX('Input 16_2018CUST-YTD'!$D$4:$O$300,MATCH($C19,'Input 16_2018CUST-YTD'!$S$4:$S$300,0),MATCH(D$2,'Input 16_2018CUST-YTD'!$C$1:$O$1,0)),0)</f>
        <v>18.942068511198944</v>
      </c>
      <c r="E19" s="5">
        <f>IFERROR(INDEX('Input 16.1_2018VOL-YTD'!$C$4:$N$300, MATCH($C19,'Input 16.1_2018VOL-YTD'!$R$4:$R$300,0),MATCH(E$2,'Input 16.1_2018VOL-YTD'!$C$1:$N$1,0))/INDEX('Input 16_2018CUST-YTD'!$D$4:$O$300,MATCH($C19,'Input 16_2018CUST-YTD'!$S$4:$S$300,0),MATCH(E$2,'Input 16_2018CUST-YTD'!$C$1:$O$1,0)),0)</f>
        <v>12.102147887323987</v>
      </c>
      <c r="F19" s="5">
        <f>IFERROR(INDEX('Input 16.1_2018VOL-YTD'!$C$4:$N$300, MATCH($C19,'Input 16.1_2018VOL-YTD'!$R$4:$R$300,0),MATCH(F$2,'Input 16.1_2018VOL-YTD'!$C$1:$N$1,0))/INDEX('Input 16_2018CUST-YTD'!$D$4:$O$300,MATCH($C19,'Input 16_2018CUST-YTD'!$S$4:$S$300,0),MATCH(F$2,'Input 16_2018CUST-YTD'!$C$1:$O$1,0)),0)</f>
        <v>11.12937062937063</v>
      </c>
      <c r="G19" s="5">
        <f>IFERROR(INDEX('Input 16.1_2018VOL-YTD'!$C$4:$N$300, MATCH($C19,'Input 16.1_2018VOL-YTD'!$R$4:$R$300,0),MATCH(G$2,'Input 16.1_2018VOL-YTD'!$C$1:$N$1,0))/INDEX('Input 16_2018CUST-YTD'!$D$4:$O$300,MATCH($C19,'Input 16_2018CUST-YTD'!$S$4:$S$300,0),MATCH(G$2,'Input 16_2018CUST-YTD'!$C$1:$O$1,0)),0)</f>
        <v>10.882463704355521</v>
      </c>
      <c r="H19" s="5">
        <f>IFERROR(INDEX('Input 16.1_2018VOL-YTD'!$C$4:$N$300, MATCH($C19,'Input 16.1_2018VOL-YTD'!$R$4:$R$300,0),MATCH(H$2,'Input 16.1_2018VOL-YTD'!$C$1:$N$1,0))/INDEX('Input 16_2018CUST-YTD'!$D$4:$O$300,MATCH($C19,'Input 16_2018CUST-YTD'!$S$4:$S$300,0),MATCH(H$2,'Input 16_2018CUST-YTD'!$C$1:$O$1,0)),0)</f>
        <v>9.1954951370467715</v>
      </c>
      <c r="I19" s="5">
        <f>IFERROR(INDEX('Input 16.1_2018VOL-YTD'!$C$4:$N$300, MATCH($C19,'Input 16.1_2018VOL-YTD'!$R$4:$R$300,0),MATCH(I$2,'Input 16.1_2018VOL-YTD'!$C$1:$N$1,0))/INDEX('Input 16_2018CUST-YTD'!$D$4:$O$300,MATCH($C19,'Input 16_2018CUST-YTD'!$S$4:$S$300,0),MATCH(I$2,'Input 16_2018CUST-YTD'!$C$1:$O$1,0)),0)</f>
        <v>9.4938502202642301</v>
      </c>
      <c r="J19" s="5">
        <f>IFERROR(INDEX('Input 16.1_2018VOL-YTD'!$C$4:$N$300, MATCH($C19,'Input 16.1_2018VOL-YTD'!$R$4:$R$300,0),MATCH(J$2,'Input 16.1_2018VOL-YTD'!$C$1:$N$1,0))/INDEX('Input 16_2018CUST-YTD'!$D$4:$O$300,MATCH($C19,'Input 16_2018CUST-YTD'!$S$4:$S$300,0),MATCH(J$2,'Input 16_2018CUST-YTD'!$C$1:$O$1,0)),0)</f>
        <v>8.1981424148606816</v>
      </c>
      <c r="K19" s="5">
        <f>IFERROR(INDEX('Input 16.1_2018VOL-YTD'!$C$4:$N$300, MATCH($C19,'Input 16.1_2018VOL-YTD'!$R$4:$R$300,0),MATCH(K$2,'Input 16.1_2018VOL-YTD'!$C$1:$N$1,0))/INDEX('Input 16_2018CUST-YTD'!$D$4:$O$300,MATCH($C19,'Input 16_2018CUST-YTD'!$S$4:$S$300,0),MATCH(K$2,'Input 16_2018CUST-YTD'!$C$1:$O$1,0)),0)</f>
        <v>8.4184343210968162</v>
      </c>
      <c r="L19" s="5">
        <f>IFERROR(INDEX('Input 16.1_2018VOL-YTD'!$C$4:$N$300, MATCH($C19,'Input 16.1_2018VOL-YTD'!$R$4:$R$300,0),MATCH(L$2,'Input 16.1_2018VOL-YTD'!$C$1:$N$1,0))/INDEX('Input 16_2018CUST-YTD'!$D$4:$O$300,MATCH($C19,'Input 16_2018CUST-YTD'!$S$4:$S$300,0),MATCH(L$2,'Input 16_2018CUST-YTD'!$C$1:$O$1,0)),0)</f>
        <v>8.6359848821697653</v>
      </c>
      <c r="M19" s="5">
        <f>IFERROR(INDEX('Input 16.1_2018VOL-YTD'!$C$4:$N$300, MATCH($C19,'Input 16.1_2018VOL-YTD'!$R$4:$R$300,0),MATCH(M$2,'Input 16.1_2018VOL-YTD'!$C$1:$N$1,0))/INDEX('Input 16_2018CUST-YTD'!$D$4:$O$300,MATCH($C19,'Input 16_2018CUST-YTD'!$S$4:$S$300,0),MATCH(M$2,'Input 16_2018CUST-YTD'!$C$1:$O$1,0)),0)</f>
        <v>7.8313068432671082</v>
      </c>
      <c r="N19" s="5">
        <f>IFERROR(INDEX('Input 16.1_2018VOL-YTD'!$C$4:$N$300, MATCH($C19,'Input 16.1_2018VOL-YTD'!$R$4:$R$300,0),MATCH(N$2,'Input 16.1_2018VOL-YTD'!$C$1:$N$1,0))/INDEX('Input 16_2018CUST-YTD'!$D$4:$O$300,MATCH($C19,'Input 16_2018CUST-YTD'!$S$4:$S$300,0),MATCH(N$2,'Input 16_2018CUST-YTD'!$C$1:$O$1,0)),0)</f>
        <v>10.44790123456799</v>
      </c>
      <c r="O19" s="5">
        <f>IFERROR(INDEX('Input 16.1_2018VOL-YTD'!$C$4:$N$300, MATCH($C19,'Input 16.1_2018VOL-YTD'!$R$4:$R$300,0),MATCH(O$2,'Input 16.1_2018VOL-YTD'!$C$1:$N$1,0))/INDEX('Input 16_2018CUST-YTD'!$D$4:$O$300,MATCH($C19,'Input 16_2018CUST-YTD'!$S$4:$S$300,0),MATCH(O$2,'Input 16_2018CUST-YTD'!$C$1:$O$1,0)),0)</f>
        <v>13.762606394707785</v>
      </c>
      <c r="P19" s="271">
        <f t="shared" si="1"/>
        <v>18.942068511198944</v>
      </c>
      <c r="Q19" s="261">
        <f t="shared" si="2"/>
        <v>1</v>
      </c>
      <c r="S19" s="5">
        <f>IFERROR(INDEX('Input 3.1_2019VOL-YTD'!$C$4:$N$300, MATCH($C19,'Input 3.1_2019VOL-YTD'!$R$4:$R$300,0),MATCH(S$2,'Input 3.1_2019VOL-YTD'!$C$1:$N$1,0))/INDEX('Input 3_2019CUST-YTD'!$C$4:$N$300,MATCH($C19,'Input 3_2019CUST-YTD'!$S$4:$S$300,0),MATCH(S$2,'Input 3_2019CUST-YTD'!$C$1:$N$1,0)),0)</f>
        <v>14.634892212934448</v>
      </c>
      <c r="T19" s="5">
        <f>IFERROR(INDEX('Input 3.1_2019VOL-YTD'!$C$4:$N$300, MATCH($C19,'Input 3.1_2019VOL-YTD'!$R$4:$R$300,0),MATCH(T$2,'Input 3.1_2019VOL-YTD'!$C$1:$N$1,0))/INDEX('Input 3_2019CUST-YTD'!$C$4:$N$300,MATCH($C19,'Input 3_2019CUST-YTD'!$S$4:$S$300,0),MATCH(T$2,'Input 3_2019CUST-YTD'!$C$1:$N$1,0)),0)</f>
        <v>13.926041209995615</v>
      </c>
      <c r="U19" s="5">
        <f>IFERROR(INDEX('Input 3.1_2019VOL-YTD'!$C$4:$N$300, MATCH($C19,'Input 3.1_2019VOL-YTD'!$R$4:$R$300,0),MATCH(U$2,'Input 3.1_2019VOL-YTD'!$C$1:$N$1,0))/INDEX('Input 3_2019CUST-YTD'!$C$4:$N$300,MATCH($C19,'Input 3_2019CUST-YTD'!$S$4:$S$300,0),MATCH(U$2,'Input 3_2019CUST-YTD'!$C$1:$N$1,0)),0)</f>
        <v>10.971364633611145</v>
      </c>
      <c r="V19" s="5">
        <f>IFERROR(INDEX('Input 3.1_2019VOL-YTD'!$C$4:$N$300, MATCH($C19,'Input 3.1_2019VOL-YTD'!$R$4:$R$300,0),MATCH(V$2,'Input 3.1_2019VOL-YTD'!$C$1:$N$1,0))/INDEX('Input 3_2019CUST-YTD'!$C$4:$N$300,MATCH($C19,'Input 3_2019CUST-YTD'!$S$4:$S$300,0),MATCH(V$2,'Input 3_2019CUST-YTD'!$C$1:$N$1,0)),0)</f>
        <v>10.503041191936985</v>
      </c>
      <c r="W19" s="5">
        <f>IFERROR(INDEX('Input 3.1_2019VOL-YTD'!$C$4:$N$300, MATCH($C19,'Input 3.1_2019VOL-YTD'!$R$4:$R$300,0),MATCH(W$2,'Input 3.1_2019VOL-YTD'!$C$1:$N$1,0))/INDEX('Input 3_2019CUST-YTD'!$C$4:$N$300,MATCH($C19,'Input 3_2019CUST-YTD'!$S$4:$S$300,0),MATCH(W$2,'Input 3_2019CUST-YTD'!$C$1:$N$1,0)),0)</f>
        <v>9.7354931446263606</v>
      </c>
      <c r="X19" s="5">
        <f>IFERROR(INDEX('Input 3.1_2019VOL-YTD'!$C$4:$N$300, MATCH($C19,'Input 3.1_2019VOL-YTD'!$R$4:$R$300,0),MATCH(X$2,'Input 3.1_2019VOL-YTD'!$C$1:$N$1,0))/INDEX('Input 3_2019CUST-YTD'!$C$4:$N$300,MATCH($C19,'Input 3_2019CUST-YTD'!$S$4:$S$300,0),MATCH(X$2,'Input 3_2019CUST-YTD'!$C$1:$N$1,0)),0)</f>
        <v>8.7280312499999546</v>
      </c>
      <c r="Y19" s="5">
        <f>IFERROR(INDEX('Input 3.1_2019VOL-YTD'!$C$4:$N$300, MATCH($C19,'Input 3.1_2019VOL-YTD'!$R$4:$R$300,0),MATCH(Y$2,'Input 3.1_2019VOL-YTD'!$C$1:$N$1,0))/INDEX('Input 3_2019CUST-YTD'!$C$4:$N$300,MATCH($C19,'Input 3_2019CUST-YTD'!$S$4:$S$300,0),MATCH(Y$2,'Input 3_2019CUST-YTD'!$C$1:$N$1,0)),0)</f>
        <v>7.5850177619894312</v>
      </c>
      <c r="Z19" s="5">
        <f>IFERROR(INDEX('Input 3.1_2019VOL-YTD'!$C$4:$N$300, MATCH($C19,'Input 3.1_2019VOL-YTD'!$R$4:$R$300,0),MATCH(Z$2,'Input 3.1_2019VOL-YTD'!$C$1:$N$1,0))/INDEX('Input 3_2019CUST-YTD'!$C$4:$N$300,MATCH($C19,'Input 3_2019CUST-YTD'!$S$4:$S$300,0),MATCH(Z$2,'Input 3_2019CUST-YTD'!$C$1:$N$1,0)),0)</f>
        <v>8.461415178571384</v>
      </c>
      <c r="AA19" s="5">
        <f>IFERROR(INDEX('Input 3.1_2019VOL-YTD'!$C$4:$N$300, MATCH($C19,'Input 3.1_2019VOL-YTD'!$R$4:$R$300,0),MATCH(AA$2,'Input 3.1_2019VOL-YTD'!$C$1:$N$1,0))/INDEX('Input 3_2019CUST-YTD'!$C$4:$N$300,MATCH($C19,'Input 3_2019CUST-YTD'!$S$4:$S$300,0),MATCH(AA$2,'Input 3_2019CUST-YTD'!$C$1:$N$1,0)),0)</f>
        <v>8.7456901157614428</v>
      </c>
      <c r="AB19" s="5">
        <f>IFERROR(INDEX('Input 3.1_2019VOL-YTD'!$C$4:$N$300, MATCH($C19,'Input 3.1_2019VOL-YTD'!$R$4:$R$300,0),MATCH(AB$2,'Input 3.1_2019VOL-YTD'!$C$1:$N$1,0))/INDEX('Input 3_2019CUST-YTD'!$C$4:$N$300,MATCH($C19,'Input 3_2019CUST-YTD'!$S$4:$S$300,0),MATCH(AB$2,'Input 3_2019CUST-YTD'!$C$1:$N$1,0)),0)</f>
        <v>8.4597889537493494</v>
      </c>
      <c r="AC19" s="5">
        <f>IFERROR(INDEX('Input 3.1_2019VOL-YTD'!$C$4:$N$300, MATCH($C19,'Input 3.1_2019VOL-YTD'!$R$4:$R$300,0),MATCH(AC$2,'Input 3.1_2019VOL-YTD'!$C$1:$N$1,0))/INDEX('Input 3_2019CUST-YTD'!$C$4:$N$300,MATCH($C19,'Input 3_2019CUST-YTD'!$S$4:$S$300,0),MATCH(AC$2,'Input 3_2019CUST-YTD'!$C$1:$N$1,0)),0)</f>
        <v>10.024511920827665</v>
      </c>
      <c r="AD19" s="5">
        <f>IFERROR(INDEX('Input 3.1_2019VOL-YTD'!$C$4:$N$300, MATCH($C19,'Input 3.1_2019VOL-YTD'!$R$4:$R$300,0),MATCH(AD$2,'Input 3.1_2019VOL-YTD'!$C$1:$N$1,0))/INDEX('Input 3_2019CUST-YTD'!$C$4:$N$300,MATCH($C19,'Input 3_2019CUST-YTD'!$S$4:$S$300,0),MATCH(AD$2,'Input 3_2019CUST-YTD'!$C$1:$N$1,0)),0)</f>
        <v>13.525274431057698</v>
      </c>
      <c r="AE19" s="272">
        <f t="shared" si="3"/>
        <v>14.634892212934448</v>
      </c>
      <c r="AF19" s="261">
        <f t="shared" si="4"/>
        <v>1</v>
      </c>
      <c r="AH19" s="262">
        <f>IFERROR(INDEX('Input 4.1_2020VOL-YTD'!$C$4:$O$300, MATCH($C19,'Input 4.1_2020VOL-YTD'!$R$4:$R$300,0),MATCH(AH$2,'Input 4.1_2020VOL-YTD'!$C$1:$O$1,0))/INDEX('Input 4_2020CUST-YTD'!$C$4:O$300,MATCH($C19,'Input 4_2020CUST-YTD'!$S$4:$S$300,0),MATCH(AH$2,'Input 4_2020CUST-YTD'!$C$1:$O$1,0)),0)</f>
        <v>13.621958946898751</v>
      </c>
      <c r="AI19" s="262">
        <f>IFERROR(INDEX('Input 4.1_2020VOL-YTD'!$C$4:$O$300, MATCH($C19,'Input 4.1_2020VOL-YTD'!$R$4:$R$300,0),MATCH(AI$2,'Input 4.1_2020VOL-YTD'!$C$1:$O$1,0))/INDEX('Input 4_2020CUST-YTD'!$C$4:P$300,MATCH($C19,'Input 4_2020CUST-YTD'!$S$4:$S$300,0),MATCH(AI$2,'Input 4_2020CUST-YTD'!$C$1:$O$1,0)),0)</f>
        <v>12.807536748329488</v>
      </c>
      <c r="AJ19" s="262">
        <f>IFERROR(INDEX('Input 4.1_2020VOL-YTD'!$C$4:$O$300, MATCH($C19,'Input 4.1_2020VOL-YTD'!$R$4:$R$300,0),MATCH(AJ$2,'Input 4.1_2020VOL-YTD'!$C$1:$O$1,0))/INDEX('Input 4_2020CUST-YTD'!$C$4:Q$300,MATCH($C19,'Input 4_2020CUST-YTD'!$S$4:$S$300,0),MATCH(AJ$2,'Input 4_2020CUST-YTD'!$C$1:$O$1,0)),0)</f>
        <v>11.751902222222267</v>
      </c>
      <c r="AK19" s="262">
        <f>IFERROR(INDEX('Input 4.1_2020VOL-YTD'!$C$4:$O$300, MATCH($C19,'Input 4.1_2020VOL-YTD'!$R$4:$R$300,0),MATCH(AK$2,'Input 4.1_2020VOL-YTD'!$C$1:$O$1,0))/INDEX('Input 4_2020CUST-YTD'!$C$4:R$300,MATCH($C19,'Input 4_2020CUST-YTD'!$S$4:$S$300,0),MATCH(AK$2,'Input 4_2020CUST-YTD'!$C$1:$O$1,0)),0)</f>
        <v>11.39194915254224</v>
      </c>
      <c r="AL19" s="262">
        <f>IFERROR(INDEX('Input 4.1_2020VOL-YTD'!$C$4:$O$300, MATCH($C19,'Input 4.1_2020VOL-YTD'!$R$4:$R$300,0),MATCH(AL$2,'Input 4.1_2020VOL-YTD'!$C$1:$O$1,0))/INDEX('Input 4_2020CUST-YTD'!$C$4:S$300,MATCH($C19,'Input 4_2020CUST-YTD'!$S$4:$S$300,0),MATCH(AL$2,'Input 4_2020CUST-YTD'!$C$1:$O$1,0)),0)</f>
        <v>10.204622936189157</v>
      </c>
      <c r="AM19" s="262">
        <f>IFERROR(INDEX('Input 4.1_2020VOL-YTD'!$C$4:$O$300, MATCH($C19,'Input 4.1_2020VOL-YTD'!$R$4:$R$300,0),MATCH(AM$2,'Input 4.1_2020VOL-YTD'!$C$1:$O$1,0))/INDEX('Input 4_2020CUST-YTD'!$C$4:T$300,MATCH($C19,'Input 4_2020CUST-YTD'!$S$4:$S$300,0),MATCH(AM$2,'Input 4_2020CUST-YTD'!$C$1:$O$1,0)),0)</f>
        <v>8.8391711469534506</v>
      </c>
      <c r="AN19" s="262">
        <f>IFERROR(INDEX('Input 4.1_2020VOL-YTD'!$C$4:$O$300, MATCH($C19,'Input 4.1_2020VOL-YTD'!$R$4:$R$300,0),MATCH(AN$2,'Input 4.1_2020VOL-YTD'!$C$1:$O$1,0))/INDEX('Input 4_2020CUST-YTD'!$C$4:U$300,MATCH($C19,'Input 4_2020CUST-YTD'!$S$4:$S$300,0),MATCH(AN$2,'Input 4_2020CUST-YTD'!$C$1:$O$1,0)),0)</f>
        <v>9.4540848214284825</v>
      </c>
      <c r="AO19" s="262">
        <f>IFERROR(INDEX('Input 4.1_2020VOL-YTD'!$C$4:$O$300, MATCH($C19,'Input 4.1_2020VOL-YTD'!$R$4:$R$300,0),MATCH(AO$2,'Input 4.1_2020VOL-YTD'!$C$1:$O$1,0))/INDEX('Input 4_2020CUST-YTD'!$C$4:V$300,MATCH($C19,'Input 4_2020CUST-YTD'!$S$4:$S$300,0),MATCH(AO$2,'Input 4_2020CUST-YTD'!$C$1:$O$1,0)),0)</f>
        <v>8.2765238732709498</v>
      </c>
      <c r="AP19" s="262">
        <f>IFERROR(INDEX('Input 4.1_2020VOL-YTD'!$C$4:$O$300, MATCH($C19,'Input 4.1_2020VOL-YTD'!$R$4:$R$300,0),MATCH(AP$2,'Input 4.1_2020VOL-YTD'!$C$1:$O$1,0))/INDEX('Input 4_2020CUST-YTD'!$C$4:W$300,MATCH($C19,'Input 4_2020CUST-YTD'!$S$4:$S$300,0),MATCH(AP$2,'Input 4_2020CUST-YTD'!$C$1:$O$1,0)),0)</f>
        <v>8.7416094516273279</v>
      </c>
      <c r="AQ19" s="262">
        <f>IFERROR(INDEX('Input 4.1_2020VOL-YTD'!$C$4:$O$300, MATCH($C19,'Input 4.1_2020VOL-YTD'!$R$4:$R$300,0),MATCH(AQ$2,'Input 4.1_2020VOL-YTD'!$C$1:$O$1,0))/INDEX('Input 4_2020CUST-YTD'!$C$4:X$300,MATCH($C19,'Input 4_2020CUST-YTD'!$S$4:$S$300,0),MATCH(AQ$2,'Input 4_2020CUST-YTD'!$C$1:$O$1,0)),0)</f>
        <v>8.208385949310804</v>
      </c>
      <c r="AR19" s="262">
        <f>IFERROR(INDEX('Input 4.1_2020VOL-YTD'!$C$4:$O$300, MATCH($C19,'Input 4.1_2020VOL-YTD'!$R$4:$R$300,0),MATCH(AR$2,'Input 4.1_2020VOL-YTD'!$C$1:$O$1,0))/INDEX('Input 4_2020CUST-YTD'!$C$4:Y$300,MATCH($C19,'Input 4_2020CUST-YTD'!$S$4:$S$300,0),MATCH(AR$2,'Input 4_2020CUST-YTD'!$C$1:$O$1,0)),0)</f>
        <v>9.8607531194294999</v>
      </c>
      <c r="AS19" s="262">
        <f>IFERROR(INDEX('Input 4.1_2020VOL-YTD'!$C$4:$O$300, MATCH($C19,'Input 4.1_2020VOL-YTD'!$R$4:$R$300,0),MATCH(AS$2,'Input 4.1_2020VOL-YTD'!$C$1:$O$1,0))/INDEX('Input 4_2020CUST-YTD'!$C$4:Z$300,MATCH($C19,'Input 4_2020CUST-YTD'!$S$4:$S$300,0),MATCH(AS$2,'Input 4_2020CUST-YTD'!$C$1:$O$1,0)),0)</f>
        <v>15.453748332592173</v>
      </c>
      <c r="AT19" s="190">
        <f t="shared" si="9"/>
        <v>15.453748332592173</v>
      </c>
      <c r="AU19" s="261">
        <f t="shared" si="6"/>
        <v>12</v>
      </c>
      <c r="AW19" s="1">
        <f>IFERROR(INDEX('Input 5.1_2021VOL-YTD'!$C$3:$N$150, MATCH($C19,'Input 5.1_2021VOL-YTD'!$R$3:$R$150,0),MATCH(AW$2,'Input 5.1_2021VOL-YTD'!$C$1:$N$1,0))/INDEX('Input 5_2021CUST-YTD'!$C$3:$N$150,MATCH($C19,'Input 5_2021CUST-YTD'!$S$3:$S$150,0),MATCH(AW$2,'Input 5_2021CUST-YTD'!$C$1:$N$1,0)),0)</f>
        <v>16.441125945705338</v>
      </c>
      <c r="AX19" s="1">
        <f>IFERROR(INDEX('Input 5.1_2021VOL-YTD'!$C$3:$N$150, MATCH($C19,'Input 5.1_2021VOL-YTD'!$R$3:$R$150,0),MATCH(AX$2,'Input 5.1_2021VOL-YTD'!$C$1:$N$1,0))/INDEX('Input 5_2021CUST-YTD'!$C$3:$N$150,MATCH($C19,'Input 5_2021CUST-YTD'!$S$3:$S$150,0),MATCH(AX$2,'Input 5_2021CUST-YTD'!$C$1:$N$1,0)),0)</f>
        <v>12.55429649356396</v>
      </c>
      <c r="AY19" s="1">
        <f>IFERROR(INDEX('Input 5.1_2021VOL-YTD'!$C$3:$N$150, MATCH($C19,'Input 5.1_2021VOL-YTD'!$R$3:$R$150,0),MATCH(AY$2,'Input 5.1_2021VOL-YTD'!$C$1:$N$1,0))/INDEX('Input 5_2021CUST-YTD'!$C$3:$N$150,MATCH($C19,'Input 5_2021CUST-YTD'!$S$3:$S$150,0),MATCH(AY$2,'Input 5_2021CUST-YTD'!$C$1:$N$1,0)),0)</f>
        <v>10.940581188997516</v>
      </c>
      <c r="AZ19" s="1">
        <f>IFERROR(INDEX('Input 5.1_2021VOL-YTD'!$C$3:$N$150, MATCH($C19,'Input 5.1_2021VOL-YTD'!$R$3:$R$150,0),MATCH(AZ$2,'Input 5.1_2021VOL-YTD'!$C$1:$N$1,0))/INDEX('Input 5_2021CUST-YTD'!$C$3:$N$150,MATCH($C19,'Input 5_2021CUST-YTD'!$S$3:$S$150,0),MATCH(AZ$2,'Input 5_2021CUST-YTD'!$C$1:$N$1,0)),0)</f>
        <v>11.779924645390027</v>
      </c>
      <c r="BA19" s="1">
        <f>IFERROR(INDEX('Input 5.1_2021VOL-YTD'!$C$3:$N$150, MATCH($C19,'Input 5.1_2021VOL-YTD'!$R$3:$R$150,0),MATCH(BA$2,'Input 5.1_2021VOL-YTD'!$C$1:$N$1,0))/INDEX('Input 5_2021CUST-YTD'!$C$3:$N$150,MATCH($C19,'Input 5_2021CUST-YTD'!$S$3:$S$150,0),MATCH(BA$2,'Input 5_2021CUST-YTD'!$C$1:$N$1,0)),0)</f>
        <v>9.0107063527320292</v>
      </c>
      <c r="BB19" s="1">
        <f>IFERROR(INDEX('Input 5.1_2021VOL-YTD'!$C$3:$N$150, MATCH($C19,'Input 5.1_2021VOL-YTD'!$R$3:$R$150,0),MATCH(BB$2,'Input 5.1_2021VOL-YTD'!$C$1:$N$1,0))/INDEX('Input 5_2021CUST-YTD'!$C$3:$N$150,MATCH($C19,'Input 5_2021CUST-YTD'!$S$3:$S$150,0),MATCH(BB$2,'Input 5_2021CUST-YTD'!$C$1:$N$1,0)),0)</f>
        <v>8.7589588918678274</v>
      </c>
      <c r="BC19" s="1">
        <f>IFERROR(INDEX('Input 5.1_2021VOL-YTD'!$C$3:$N$150, MATCH($C19,'Input 5.1_2021VOL-YTD'!$R$3:$R$150,0),MATCH(BC$2,'Input 5.1_2021VOL-YTD'!$C$1:$N$1,0))/INDEX('Input 5_2021CUST-YTD'!$C$3:$N$150,MATCH($C19,'Input 5_2021CUST-YTD'!$S$3:$S$150,0),MATCH(BC$2,'Input 5_2021CUST-YTD'!$C$1:$N$1,0)),0)</f>
        <v>8.9504608501118117</v>
      </c>
      <c r="BD19" s="1">
        <f>IFERROR(INDEX('Input 5.1_2021VOL-YTD'!$C$3:$N$150, MATCH($C19,'Input 5.1_2021VOL-YTD'!$R$3:$R$150,0),MATCH(BD$2,'Input 5.1_2021VOL-YTD'!$C$1:$N$1,0))/INDEX('Input 5_2021CUST-YTD'!$C$3:$N$150,MATCH($C19,'Input 5_2021CUST-YTD'!$S$3:$S$150,0),MATCH(BD$2,'Input 5_2021CUST-YTD'!$C$1:$N$1,0)),0)</f>
        <v>8.3782210242586714</v>
      </c>
      <c r="BE19" s="1">
        <f>IFERROR(INDEX('Input 5.1_2021VOL-YTD'!$C$3:$N$150, MATCH($C19,'Input 5.1_2021VOL-YTD'!$R$3:$R$150,0),MATCH(BE$2,'Input 5.1_2021VOL-YTD'!$C$1:$N$1,0))/INDEX('Input 5_2021CUST-YTD'!$C$3:$N$150,MATCH($C19,'Input 5_2021CUST-YTD'!$S$3:$S$150,0),MATCH(BE$2,'Input 5_2021CUST-YTD'!$C$1:$N$1,0)),0)</f>
        <v>9.1903747178330022</v>
      </c>
      <c r="BF19" s="1">
        <f>IFERROR(INDEX('Input 5.1_2021VOL-YTD'!$C$3:$N$150, MATCH($C19,'Input 5.1_2021VOL-YTD'!$R$3:$R$150,0),MATCH(BF$2,'Input 5.1_2021VOL-YTD'!$C$1:$N$1,0))/INDEX('Input 5_2021CUST-YTD'!$C$3:$N$150,MATCH($C19,'Input 5_2021CUST-YTD'!$S$3:$S$150,0),MATCH(BF$2,'Input 5_2021CUST-YTD'!$C$1:$N$1,0)),0)</f>
        <v>8.8359972862957488</v>
      </c>
      <c r="BG19" s="1">
        <f>IFERROR(INDEX('Input 5.1_2021VOL-YTD'!$C$3:$N$150, MATCH($C19,'Input 5.1_2021VOL-YTD'!$R$3:$R$150,0),MATCH(BG$2,'Input 5.1_2021VOL-YTD'!$C$1:$N$1,0))/INDEX('Input 5_2021CUST-YTD'!$C$3:$N$150,MATCH($C19,'Input 5_2021CUST-YTD'!$S$3:$S$150,0),MATCH(BG$2,'Input 5_2021CUST-YTD'!$C$1:$N$1,0)),0)</f>
        <v>9.714554054054009</v>
      </c>
      <c r="BH19" s="1">
        <f>IFERROR(INDEX('Input 5.1_2021VOL-YTD'!$C$3:$N$150, MATCH($C19,'Input 5.1_2021VOL-YTD'!$R$3:$R$150,0),MATCH(BH$2,'Input 5.1_2021VOL-YTD'!$C$1:$N$1,0))/INDEX('Input 5_2021CUST-YTD'!$C$3:$N$150,MATCH($C19,'Input 5_2021CUST-YTD'!$S$3:$S$150,0),MATCH(BH$2,'Input 5_2021CUST-YTD'!$C$1:$N$1,0)),0)</f>
        <v>13.84162623539982</v>
      </c>
      <c r="BI19" s="190">
        <f t="shared" si="7"/>
        <v>16.441125945705338</v>
      </c>
      <c r="BJ19" s="261">
        <f t="shared" si="8"/>
        <v>1</v>
      </c>
    </row>
    <row r="20" spans="1:62">
      <c r="A20" s="261" t="s">
        <v>1245</v>
      </c>
      <c r="B20" s="261" t="s">
        <v>12</v>
      </c>
      <c r="C20" s="261" t="s">
        <v>88</v>
      </c>
      <c r="D20" s="5">
        <f>IFERROR(INDEX('Input 16.1_2018VOL-YTD'!$C$4:$N$300, MATCH($C20,'Input 16.1_2018VOL-YTD'!$R$4:$R$300,0),MATCH(D$2,'Input 16.1_2018VOL-YTD'!$C$1:$N$1,0))/INDEX('Input 16_2018CUST-YTD'!$D$4:$O$300,MATCH($C20,'Input 16_2018CUST-YTD'!$S$4:$S$300,0),MATCH(D$2,'Input 16_2018CUST-YTD'!$C$1:$O$1,0)),0)</f>
        <v>349.1013043478261</v>
      </c>
      <c r="E20" s="5">
        <f>IFERROR(INDEX('Input 16.1_2018VOL-YTD'!$C$4:$N$300, MATCH($C20,'Input 16.1_2018VOL-YTD'!$R$4:$R$300,0),MATCH(E$2,'Input 16.1_2018VOL-YTD'!$C$1:$N$1,0))/INDEX('Input 16_2018CUST-YTD'!$D$4:$O$300,MATCH($C20,'Input 16_2018CUST-YTD'!$S$4:$S$300,0),MATCH(E$2,'Input 16_2018CUST-YTD'!$C$1:$O$1,0)),0)</f>
        <v>299.42173913043479</v>
      </c>
      <c r="F20" s="5">
        <f>IFERROR(INDEX('Input 16.1_2018VOL-YTD'!$C$4:$N$300, MATCH($C20,'Input 16.1_2018VOL-YTD'!$R$4:$R$300,0),MATCH(F$2,'Input 16.1_2018VOL-YTD'!$C$1:$N$1,0))/INDEX('Input 16_2018CUST-YTD'!$D$4:$O$300,MATCH($C20,'Input 16_2018CUST-YTD'!$S$4:$S$300,0),MATCH(F$2,'Input 16_2018CUST-YTD'!$C$1:$O$1,0)),0)</f>
        <v>296.71041666666667</v>
      </c>
      <c r="G20" s="5">
        <f>IFERROR(INDEX('Input 16.1_2018VOL-YTD'!$C$4:$N$300, MATCH($C20,'Input 16.1_2018VOL-YTD'!$R$4:$R$300,0),MATCH(G$2,'Input 16.1_2018VOL-YTD'!$C$1:$N$1,0))/INDEX('Input 16_2018CUST-YTD'!$D$4:$O$300,MATCH($C20,'Input 16_2018CUST-YTD'!$S$4:$S$300,0),MATCH(G$2,'Input 16_2018CUST-YTD'!$C$1:$O$1,0)),0)</f>
        <v>302.3</v>
      </c>
      <c r="H20" s="5">
        <f>IFERROR(INDEX('Input 16.1_2018VOL-YTD'!$C$4:$N$300, MATCH($C20,'Input 16.1_2018VOL-YTD'!$R$4:$R$300,0),MATCH(H$2,'Input 16.1_2018VOL-YTD'!$C$1:$N$1,0))/INDEX('Input 16_2018CUST-YTD'!$D$4:$O$300,MATCH($C20,'Input 16_2018CUST-YTD'!$S$4:$S$300,0),MATCH(H$2,'Input 16_2018CUST-YTD'!$C$1:$O$1,0)),0)</f>
        <v>327.78347826086957</v>
      </c>
      <c r="I20" s="5">
        <f>IFERROR(INDEX('Input 16.1_2018VOL-YTD'!$C$4:$N$300, MATCH($C20,'Input 16.1_2018VOL-YTD'!$R$4:$R$300,0),MATCH(I$2,'Input 16.1_2018VOL-YTD'!$C$1:$N$1,0))/INDEX('Input 16_2018CUST-YTD'!$D$4:$O$300,MATCH($C20,'Input 16_2018CUST-YTD'!$S$4:$S$300,0),MATCH(I$2,'Input 16_2018CUST-YTD'!$C$1:$O$1,0)),0)</f>
        <v>291.06826086956517</v>
      </c>
      <c r="J20" s="5">
        <f>IFERROR(INDEX('Input 16.1_2018VOL-YTD'!$C$4:$N$300, MATCH($C20,'Input 16.1_2018VOL-YTD'!$R$4:$R$300,0),MATCH(J$2,'Input 16.1_2018VOL-YTD'!$C$1:$N$1,0))/INDEX('Input 16_2018CUST-YTD'!$D$4:$O$300,MATCH($C20,'Input 16_2018CUST-YTD'!$S$4:$S$300,0),MATCH(J$2,'Input 16_2018CUST-YTD'!$C$1:$O$1,0)),0)</f>
        <v>307.17391304347825</v>
      </c>
      <c r="K20" s="5">
        <f>IFERROR(INDEX('Input 16.1_2018VOL-YTD'!$C$4:$N$300, MATCH($C20,'Input 16.1_2018VOL-YTD'!$R$4:$R$300,0),MATCH(K$2,'Input 16.1_2018VOL-YTD'!$C$1:$N$1,0))/INDEX('Input 16_2018CUST-YTD'!$D$4:$O$300,MATCH($C20,'Input 16_2018CUST-YTD'!$S$4:$S$300,0),MATCH(K$2,'Input 16_2018CUST-YTD'!$C$1:$O$1,0)),0)</f>
        <v>286.96391304347816</v>
      </c>
      <c r="L20" s="5">
        <f>IFERROR(INDEX('Input 16.1_2018VOL-YTD'!$C$4:$N$300, MATCH($C20,'Input 16.1_2018VOL-YTD'!$R$4:$R$300,0),MATCH(L$2,'Input 16.1_2018VOL-YTD'!$C$1:$N$1,0))/INDEX('Input 16_2018CUST-YTD'!$D$4:$O$300,MATCH($C20,'Input 16_2018CUST-YTD'!$S$4:$S$300,0),MATCH(L$2,'Input 16_2018CUST-YTD'!$C$1:$O$1,0)),0)</f>
        <v>285.13739130434783</v>
      </c>
      <c r="M20" s="5">
        <f>IFERROR(INDEX('Input 16.1_2018VOL-YTD'!$C$4:$N$300, MATCH($C20,'Input 16.1_2018VOL-YTD'!$R$4:$R$300,0),MATCH(M$2,'Input 16.1_2018VOL-YTD'!$C$1:$N$1,0))/INDEX('Input 16_2018CUST-YTD'!$D$4:$O$300,MATCH($C20,'Input 16_2018CUST-YTD'!$S$4:$S$300,0),MATCH(M$2,'Input 16_2018CUST-YTD'!$C$1:$O$1,0)),0)</f>
        <v>310.39130434782606</v>
      </c>
      <c r="N20" s="5">
        <f>IFERROR(INDEX('Input 16.1_2018VOL-YTD'!$C$4:$N$300, MATCH($C20,'Input 16.1_2018VOL-YTD'!$R$4:$R$300,0),MATCH(N$2,'Input 16.1_2018VOL-YTD'!$C$1:$N$1,0))/INDEX('Input 16_2018CUST-YTD'!$D$4:$O$300,MATCH($C20,'Input 16_2018CUST-YTD'!$S$4:$S$300,0),MATCH(N$2,'Input 16_2018CUST-YTD'!$C$1:$O$1,0)),0)</f>
        <v>312.14826086956515</v>
      </c>
      <c r="O20" s="5">
        <f>IFERROR(INDEX('Input 16.1_2018VOL-YTD'!$C$4:$N$300, MATCH($C20,'Input 16.1_2018VOL-YTD'!$R$4:$R$300,0),MATCH(O$2,'Input 16.1_2018VOL-YTD'!$C$1:$N$1,0))/INDEX('Input 16_2018CUST-YTD'!$D$4:$O$300,MATCH($C20,'Input 16_2018CUST-YTD'!$S$4:$S$300,0),MATCH(O$2,'Input 16_2018CUST-YTD'!$C$1:$O$1,0)),0)</f>
        <v>331.40274368231047</v>
      </c>
      <c r="P20" s="271">
        <f t="shared" si="1"/>
        <v>349.1013043478261</v>
      </c>
      <c r="Q20" s="261">
        <f t="shared" si="2"/>
        <v>1</v>
      </c>
      <c r="S20" s="5">
        <f>IFERROR(INDEX('Input 3.1_2019VOL-YTD'!$C$4:$N$300, MATCH($C20,'Input 3.1_2019VOL-YTD'!$R$4:$R$300,0),MATCH(S$2,'Input 3.1_2019VOL-YTD'!$C$1:$N$1,0))/INDEX('Input 3_2019CUST-YTD'!$C$4:$N$300,MATCH($C20,'Input 3_2019CUST-YTD'!$S$4:$S$300,0),MATCH(S$2,'Input 3_2019CUST-YTD'!$C$1:$N$1,0)),0)</f>
        <v>307.78130434782605</v>
      </c>
      <c r="T20" s="5">
        <f>IFERROR(INDEX('Input 3.1_2019VOL-YTD'!$C$4:$N$300, MATCH($C20,'Input 3.1_2019VOL-YTD'!$R$4:$R$300,0),MATCH(T$2,'Input 3.1_2019VOL-YTD'!$C$1:$N$1,0))/INDEX('Input 3_2019CUST-YTD'!$C$4:$N$300,MATCH($C20,'Input 3_2019CUST-YTD'!$S$4:$S$300,0),MATCH(T$2,'Input 3_2019CUST-YTD'!$C$1:$N$1,0)),0)</f>
        <v>298.47000000000003</v>
      </c>
      <c r="U20" s="5">
        <f>IFERROR(INDEX('Input 3.1_2019VOL-YTD'!$C$4:$N$300, MATCH($C20,'Input 3.1_2019VOL-YTD'!$R$4:$R$300,0),MATCH(U$2,'Input 3.1_2019VOL-YTD'!$C$1:$N$1,0))/INDEX('Input 3_2019CUST-YTD'!$C$4:$N$300,MATCH($C20,'Input 3_2019CUST-YTD'!$S$4:$S$300,0),MATCH(U$2,'Input 3_2019CUST-YTD'!$C$1:$N$1,0)),0)</f>
        <v>308.31608695652176</v>
      </c>
      <c r="V20" s="5">
        <f>IFERROR(INDEX('Input 3.1_2019VOL-YTD'!$C$4:$N$300, MATCH($C20,'Input 3.1_2019VOL-YTD'!$R$4:$R$300,0),MATCH(V$2,'Input 3.1_2019VOL-YTD'!$C$1:$N$1,0))/INDEX('Input 3_2019CUST-YTD'!$C$4:$N$300,MATCH($C20,'Input 3_2019CUST-YTD'!$S$4:$S$300,0),MATCH(V$2,'Input 3_2019CUST-YTD'!$C$1:$N$1,0)),0)</f>
        <v>302.32956521739129</v>
      </c>
      <c r="W20" s="5">
        <f>IFERROR(INDEX('Input 3.1_2019VOL-YTD'!$C$4:$N$300, MATCH($C20,'Input 3.1_2019VOL-YTD'!$R$4:$R$300,0),MATCH(W$2,'Input 3.1_2019VOL-YTD'!$C$1:$N$1,0))/INDEX('Input 3_2019CUST-YTD'!$C$4:$N$300,MATCH($C20,'Input 3_2019CUST-YTD'!$S$4:$S$300,0),MATCH(W$2,'Input 3_2019CUST-YTD'!$C$1:$N$1,0)),0)</f>
        <v>319.47695652173917</v>
      </c>
      <c r="X20" s="5">
        <f>IFERROR(INDEX('Input 3.1_2019VOL-YTD'!$C$4:$N$300, MATCH($C20,'Input 3.1_2019VOL-YTD'!$R$4:$R$300,0),MATCH(X$2,'Input 3.1_2019VOL-YTD'!$C$1:$N$1,0))/INDEX('Input 3_2019CUST-YTD'!$C$4:$N$300,MATCH($C20,'Input 3_2019CUST-YTD'!$S$4:$S$300,0),MATCH(X$2,'Input 3_2019CUST-YTD'!$C$1:$N$1,0)),0)</f>
        <v>283.16565217391309</v>
      </c>
      <c r="Y20" s="5">
        <f>IFERROR(INDEX('Input 3.1_2019VOL-YTD'!$C$4:$N$300, MATCH($C20,'Input 3.1_2019VOL-YTD'!$R$4:$R$300,0),MATCH(Y$2,'Input 3.1_2019VOL-YTD'!$C$1:$N$1,0))/INDEX('Input 3_2019CUST-YTD'!$C$4:$N$300,MATCH($C20,'Input 3_2019CUST-YTD'!$S$4:$S$300,0),MATCH(Y$2,'Input 3_2019CUST-YTD'!$C$1:$N$1,0)),0)</f>
        <v>304.76086956521743</v>
      </c>
      <c r="Z20" s="5">
        <f>IFERROR(INDEX('Input 3.1_2019VOL-YTD'!$C$4:$N$300, MATCH($C20,'Input 3.1_2019VOL-YTD'!$R$4:$R$300,0),MATCH(Z$2,'Input 3.1_2019VOL-YTD'!$C$1:$N$1,0))/INDEX('Input 3_2019CUST-YTD'!$C$4:$N$300,MATCH($C20,'Input 3_2019CUST-YTD'!$S$4:$S$300,0),MATCH(Z$2,'Input 3_2019CUST-YTD'!$C$1:$N$1,0)),0)</f>
        <v>268.02913043478253</v>
      </c>
      <c r="AA20" s="5">
        <f>IFERROR(INDEX('Input 3.1_2019VOL-YTD'!$C$4:$N$300, MATCH($C20,'Input 3.1_2019VOL-YTD'!$R$4:$R$300,0),MATCH(AA$2,'Input 3.1_2019VOL-YTD'!$C$1:$N$1,0))/INDEX('Input 3_2019CUST-YTD'!$C$4:$N$300,MATCH($C20,'Input 3_2019CUST-YTD'!$S$4:$S$300,0),MATCH(AA$2,'Input 3_2019CUST-YTD'!$C$1:$N$1,0)),0)</f>
        <v>296.99227272727273</v>
      </c>
      <c r="AB20" s="5">
        <f>IFERROR(INDEX('Input 3.1_2019VOL-YTD'!$C$4:$N$300, MATCH($C20,'Input 3.1_2019VOL-YTD'!$R$4:$R$300,0),MATCH(AB$2,'Input 3.1_2019VOL-YTD'!$C$1:$N$1,0))/INDEX('Input 3_2019CUST-YTD'!$C$4:$N$300,MATCH($C20,'Input 3_2019CUST-YTD'!$S$4:$S$300,0),MATCH(AB$2,'Input 3_2019CUST-YTD'!$C$1:$N$1,0)),0)</f>
        <v>331.64363636363646</v>
      </c>
      <c r="AC20" s="5">
        <f>IFERROR(INDEX('Input 3.1_2019VOL-YTD'!$C$4:$N$300, MATCH($C20,'Input 3.1_2019VOL-YTD'!$R$4:$R$300,0),MATCH(AC$2,'Input 3.1_2019VOL-YTD'!$C$1:$N$1,0))/INDEX('Input 3_2019CUST-YTD'!$C$4:$N$300,MATCH($C20,'Input 3_2019CUST-YTD'!$S$4:$S$300,0),MATCH(AC$2,'Input 3_2019CUST-YTD'!$C$1:$N$1,0)),0)</f>
        <v>303.72545454545451</v>
      </c>
      <c r="AD20" s="5">
        <f>IFERROR(INDEX('Input 3.1_2019VOL-YTD'!$C$4:$N$300, MATCH($C20,'Input 3.1_2019VOL-YTD'!$R$4:$R$300,0),MATCH(AD$2,'Input 3.1_2019VOL-YTD'!$C$1:$N$1,0))/INDEX('Input 3_2019CUST-YTD'!$C$4:$N$300,MATCH($C20,'Input 3_2019CUST-YTD'!$S$4:$S$300,0),MATCH(AD$2,'Input 3_2019CUST-YTD'!$C$1:$N$1,0)),0)</f>
        <v>363.67318181818183</v>
      </c>
      <c r="AE20" s="272">
        <f t="shared" si="3"/>
        <v>363.67318181818183</v>
      </c>
      <c r="AF20" s="261">
        <f t="shared" si="4"/>
        <v>12</v>
      </c>
      <c r="AH20" s="262">
        <f>IFERROR(INDEX('Input 4.1_2020VOL-YTD'!$C$4:$O$300, MATCH($C20,'Input 4.1_2020VOL-YTD'!$R$4:$R$300,0),MATCH(AH$2,'Input 4.1_2020VOL-YTD'!$C$1:$O$1,0))/INDEX('Input 4_2020CUST-YTD'!$C$4:O$300,MATCH($C20,'Input 4_2020CUST-YTD'!$S$4:$S$300,0),MATCH(AH$2,'Input 4_2020CUST-YTD'!$C$1:$O$1,0)),0)</f>
        <v>336.03727272727269</v>
      </c>
      <c r="AI20" s="262">
        <f>IFERROR(INDEX('Input 4.1_2020VOL-YTD'!$C$4:$O$300, MATCH($C20,'Input 4.1_2020VOL-YTD'!$R$4:$R$300,0),MATCH(AI$2,'Input 4.1_2020VOL-YTD'!$C$1:$O$1,0))/INDEX('Input 4_2020CUST-YTD'!$C$4:P$300,MATCH($C20,'Input 4_2020CUST-YTD'!$S$4:$S$300,0),MATCH(AI$2,'Input 4_2020CUST-YTD'!$C$1:$O$1,0)),0)</f>
        <v>336.18727272727273</v>
      </c>
      <c r="AJ20" s="262">
        <f>IFERROR(INDEX('Input 4.1_2020VOL-YTD'!$C$4:$O$300, MATCH($C20,'Input 4.1_2020VOL-YTD'!$R$4:$R$300,0),MATCH(AJ$2,'Input 4.1_2020VOL-YTD'!$C$1:$O$1,0))/INDEX('Input 4_2020CUST-YTD'!$C$4:Q$300,MATCH($C20,'Input 4_2020CUST-YTD'!$S$4:$S$300,0),MATCH(AJ$2,'Input 4_2020CUST-YTD'!$C$1:$O$1,0)),0)</f>
        <v>326.34090909090907</v>
      </c>
      <c r="AK20" s="262">
        <f>IFERROR(INDEX('Input 4.1_2020VOL-YTD'!$C$4:$O$300, MATCH($C20,'Input 4.1_2020VOL-YTD'!$R$4:$R$300,0),MATCH(AK$2,'Input 4.1_2020VOL-YTD'!$C$1:$O$1,0))/INDEX('Input 4_2020CUST-YTD'!$C$4:R$300,MATCH($C20,'Input 4_2020CUST-YTD'!$S$4:$S$300,0),MATCH(AK$2,'Input 4_2020CUST-YTD'!$C$1:$O$1,0)),0)</f>
        <v>292.8804545454546</v>
      </c>
      <c r="AL20" s="262">
        <f>IFERROR(INDEX('Input 4.1_2020VOL-YTD'!$C$4:$O$300, MATCH($C20,'Input 4.1_2020VOL-YTD'!$R$4:$R$300,0),MATCH(AL$2,'Input 4.1_2020VOL-YTD'!$C$1:$O$1,0))/INDEX('Input 4_2020CUST-YTD'!$C$4:S$300,MATCH($C20,'Input 4_2020CUST-YTD'!$S$4:$S$300,0),MATCH(AL$2,'Input 4_2020CUST-YTD'!$C$1:$O$1,0)),0)</f>
        <v>298.16818181818184</v>
      </c>
      <c r="AM20" s="262">
        <f>IFERROR(INDEX('Input 4.1_2020VOL-YTD'!$C$4:$O$300, MATCH($C20,'Input 4.1_2020VOL-YTD'!$R$4:$R$300,0),MATCH(AM$2,'Input 4.1_2020VOL-YTD'!$C$1:$O$1,0))/INDEX('Input 4_2020CUST-YTD'!$C$4:T$300,MATCH($C20,'Input 4_2020CUST-YTD'!$S$4:$S$300,0),MATCH(AM$2,'Input 4_2020CUST-YTD'!$C$1:$O$1,0)),0)</f>
        <v>277.67045454545456</v>
      </c>
      <c r="AN20" s="262">
        <f>IFERROR(INDEX('Input 4.1_2020VOL-YTD'!$C$4:$O$300, MATCH($C20,'Input 4.1_2020VOL-YTD'!$R$4:$R$300,0),MATCH(AN$2,'Input 4.1_2020VOL-YTD'!$C$1:$O$1,0))/INDEX('Input 4_2020CUST-YTD'!$C$4:U$300,MATCH($C20,'Input 4_2020CUST-YTD'!$S$4:$S$300,0),MATCH(AN$2,'Input 4_2020CUST-YTD'!$C$1:$O$1,0)),0)</f>
        <v>310.61818181818182</v>
      </c>
      <c r="AO20" s="262">
        <f>IFERROR(INDEX('Input 4.1_2020VOL-YTD'!$C$4:$O$300, MATCH($C20,'Input 4.1_2020VOL-YTD'!$R$4:$R$300,0),MATCH(AO$2,'Input 4.1_2020VOL-YTD'!$C$1:$O$1,0))/INDEX('Input 4_2020CUST-YTD'!$C$4:V$300,MATCH($C20,'Input 4_2020CUST-YTD'!$S$4:$S$300,0),MATCH(AO$2,'Input 4_2020CUST-YTD'!$C$1:$O$1,0)),0)</f>
        <v>272.54090909090905</v>
      </c>
      <c r="AP20" s="262">
        <f>IFERROR(INDEX('Input 4.1_2020VOL-YTD'!$C$4:$O$300, MATCH($C20,'Input 4.1_2020VOL-YTD'!$R$4:$R$300,0),MATCH(AP$2,'Input 4.1_2020VOL-YTD'!$C$1:$O$1,0))/INDEX('Input 4_2020CUST-YTD'!$C$4:W$300,MATCH($C20,'Input 4_2020CUST-YTD'!$S$4:$S$300,0),MATCH(AP$2,'Input 4_2020CUST-YTD'!$C$1:$O$1,0)),0)</f>
        <v>312.49590909090904</v>
      </c>
      <c r="AQ20" s="262">
        <f>IFERROR(INDEX('Input 4.1_2020VOL-YTD'!$C$4:$O$300, MATCH($C20,'Input 4.1_2020VOL-YTD'!$R$4:$R$300,0),MATCH(AQ$2,'Input 4.1_2020VOL-YTD'!$C$1:$O$1,0))/INDEX('Input 4_2020CUST-YTD'!$C$4:X$300,MATCH($C20,'Input 4_2020CUST-YTD'!$S$4:$S$300,0),MATCH(AQ$2,'Input 4_2020CUST-YTD'!$C$1:$O$1,0)),0)</f>
        <v>282.68333333333334</v>
      </c>
      <c r="AR20" s="262">
        <f>IFERROR(INDEX('Input 4.1_2020VOL-YTD'!$C$4:$O$300, MATCH($C20,'Input 4.1_2020VOL-YTD'!$R$4:$R$300,0),MATCH(AR$2,'Input 4.1_2020VOL-YTD'!$C$1:$O$1,0))/INDEX('Input 4_2020CUST-YTD'!$C$4:Y$300,MATCH($C20,'Input 4_2020CUST-YTD'!$S$4:$S$300,0),MATCH(AR$2,'Input 4_2020CUST-YTD'!$C$1:$O$1,0)),0)</f>
        <v>333.897619047619</v>
      </c>
      <c r="AS20" s="262">
        <f>IFERROR(INDEX('Input 4.1_2020VOL-YTD'!$C$4:$O$300, MATCH($C20,'Input 4.1_2020VOL-YTD'!$R$4:$R$300,0),MATCH(AS$2,'Input 4.1_2020VOL-YTD'!$C$1:$O$1,0))/INDEX('Input 4_2020CUST-YTD'!$C$4:Z$300,MATCH($C20,'Input 4_2020CUST-YTD'!$S$4:$S$300,0),MATCH(AS$2,'Input 4_2020CUST-YTD'!$C$1:$O$1,0)),0)</f>
        <v>320.38523809523804</v>
      </c>
      <c r="AT20" s="190">
        <f t="shared" si="9"/>
        <v>336.18727272727273</v>
      </c>
      <c r="AU20" s="261">
        <f t="shared" si="6"/>
        <v>2</v>
      </c>
      <c r="AW20" s="1">
        <f>IFERROR(INDEX('Input 5.1_2021VOL-YTD'!$C$3:$N$150, MATCH($C20,'Input 5.1_2021VOL-YTD'!$R$3:$R$150,0),MATCH(AW$2,'Input 5.1_2021VOL-YTD'!$C$1:$N$1,0))/INDEX('Input 5_2021CUST-YTD'!$C$3:$N$150,MATCH($C20,'Input 5_2021CUST-YTD'!$S$3:$S$150,0),MATCH(AW$2,'Input 5_2021CUST-YTD'!$C$1:$N$1,0)),0)</f>
        <v>317.39238095238096</v>
      </c>
      <c r="AX20" s="1">
        <f>IFERROR(INDEX('Input 5.1_2021VOL-YTD'!$C$3:$N$150, MATCH($C20,'Input 5.1_2021VOL-YTD'!$R$3:$R$150,0),MATCH(AX$2,'Input 5.1_2021VOL-YTD'!$C$1:$N$1,0))/INDEX('Input 5_2021CUST-YTD'!$C$3:$N$150,MATCH($C20,'Input 5_2021CUST-YTD'!$S$3:$S$150,0),MATCH(AX$2,'Input 5_2021CUST-YTD'!$C$1:$N$1,0)),0)</f>
        <v>303.4190476190476</v>
      </c>
      <c r="AY20" s="1">
        <f>IFERROR(INDEX('Input 5.1_2021VOL-YTD'!$C$3:$N$150, MATCH($C20,'Input 5.1_2021VOL-YTD'!$R$3:$R$150,0),MATCH(AY$2,'Input 5.1_2021VOL-YTD'!$C$1:$N$1,0))/INDEX('Input 5_2021CUST-YTD'!$C$3:$N$150,MATCH($C20,'Input 5_2021CUST-YTD'!$S$3:$S$150,0),MATCH(AY$2,'Input 5_2021CUST-YTD'!$C$1:$N$1,0)),0)</f>
        <v>335.67999999999995</v>
      </c>
      <c r="AZ20" s="1">
        <f>IFERROR(INDEX('Input 5.1_2021VOL-YTD'!$C$3:$N$150, MATCH($C20,'Input 5.1_2021VOL-YTD'!$R$3:$R$150,0),MATCH(AZ$2,'Input 5.1_2021VOL-YTD'!$C$1:$N$1,0))/INDEX('Input 5_2021CUST-YTD'!$C$3:$N$150,MATCH($C20,'Input 5_2021CUST-YTD'!$S$3:$S$150,0),MATCH(AZ$2,'Input 5_2021CUST-YTD'!$C$1:$N$1,0)),0)</f>
        <v>329.01363636363635</v>
      </c>
      <c r="BA20" s="1">
        <f>IFERROR(INDEX('Input 5.1_2021VOL-YTD'!$C$3:$N$150, MATCH($C20,'Input 5.1_2021VOL-YTD'!$R$3:$R$150,0),MATCH(BA$2,'Input 5.1_2021VOL-YTD'!$C$1:$N$1,0))/INDEX('Input 5_2021CUST-YTD'!$C$3:$N$150,MATCH($C20,'Input 5_2021CUST-YTD'!$S$3:$S$150,0),MATCH(BA$2,'Input 5_2021CUST-YTD'!$C$1:$N$1,0)),0)</f>
        <v>303.46636363636367</v>
      </c>
      <c r="BB20" s="1">
        <f>IFERROR(INDEX('Input 5.1_2021VOL-YTD'!$C$3:$N$150, MATCH($C20,'Input 5.1_2021VOL-YTD'!$R$3:$R$150,0),MATCH(BB$2,'Input 5.1_2021VOL-YTD'!$C$1:$N$1,0))/INDEX('Input 5_2021CUST-YTD'!$C$3:$N$150,MATCH($C20,'Input 5_2021CUST-YTD'!$S$3:$S$150,0),MATCH(BB$2,'Input 5_2021CUST-YTD'!$C$1:$N$1,0)),0)</f>
        <v>317.67772727272722</v>
      </c>
      <c r="BC20" s="1">
        <f>IFERROR(INDEX('Input 5.1_2021VOL-YTD'!$C$3:$N$150, MATCH($C20,'Input 5.1_2021VOL-YTD'!$R$3:$R$150,0),MATCH(BC$2,'Input 5.1_2021VOL-YTD'!$C$1:$N$1,0))/INDEX('Input 5_2021CUST-YTD'!$C$3:$N$150,MATCH($C20,'Input 5_2021CUST-YTD'!$S$3:$S$150,0),MATCH(BC$2,'Input 5_2021CUST-YTD'!$C$1:$N$1,0)),0)</f>
        <v>300.61227272727274</v>
      </c>
      <c r="BD20" s="1">
        <f>IFERROR(INDEX('Input 5.1_2021VOL-YTD'!$C$3:$N$150, MATCH($C20,'Input 5.1_2021VOL-YTD'!$R$3:$R$150,0),MATCH(BD$2,'Input 5.1_2021VOL-YTD'!$C$1:$N$1,0))/INDEX('Input 5_2021CUST-YTD'!$C$3:$N$150,MATCH($C20,'Input 5_2021CUST-YTD'!$S$3:$S$150,0),MATCH(BD$2,'Input 5_2021CUST-YTD'!$C$1:$N$1,0)),0)</f>
        <v>287.90090909090901</v>
      </c>
      <c r="BE20" s="1">
        <f>IFERROR(INDEX('Input 5.1_2021VOL-YTD'!$C$3:$N$150, MATCH($C20,'Input 5.1_2021VOL-YTD'!$R$3:$R$150,0),MATCH(BE$2,'Input 5.1_2021VOL-YTD'!$C$1:$N$1,0))/INDEX('Input 5_2021CUST-YTD'!$C$3:$N$150,MATCH($C20,'Input 5_2021CUST-YTD'!$S$3:$S$150,0),MATCH(BE$2,'Input 5_2021CUST-YTD'!$C$1:$N$1,0)),0)</f>
        <v>333.21090909090901</v>
      </c>
      <c r="BF20" s="1">
        <f>IFERROR(INDEX('Input 5.1_2021VOL-YTD'!$C$3:$N$150, MATCH($C20,'Input 5.1_2021VOL-YTD'!$R$3:$R$150,0),MATCH(BF$2,'Input 5.1_2021VOL-YTD'!$C$1:$N$1,0))/INDEX('Input 5_2021CUST-YTD'!$C$3:$N$150,MATCH($C20,'Input 5_2021CUST-YTD'!$S$3:$S$150,0),MATCH(BF$2,'Input 5_2021CUST-YTD'!$C$1:$N$1,0)),0)</f>
        <v>255.68500000000003</v>
      </c>
      <c r="BG20" s="1">
        <f>IFERROR(INDEX('Input 5.1_2021VOL-YTD'!$C$3:$N$150, MATCH($C20,'Input 5.1_2021VOL-YTD'!$R$3:$R$150,0),MATCH(BG$2,'Input 5.1_2021VOL-YTD'!$C$1:$N$1,0))/INDEX('Input 5_2021CUST-YTD'!$C$3:$N$150,MATCH($C20,'Input 5_2021CUST-YTD'!$S$3:$S$150,0),MATCH(BG$2,'Input 5_2021CUST-YTD'!$C$1:$N$1,0)),0)</f>
        <v>332.20136363636362</v>
      </c>
      <c r="BH20" s="1">
        <f>IFERROR(INDEX('Input 5.1_2021VOL-YTD'!$C$3:$N$150, MATCH($C20,'Input 5.1_2021VOL-YTD'!$R$3:$R$150,0),MATCH(BH$2,'Input 5.1_2021VOL-YTD'!$C$1:$N$1,0))/INDEX('Input 5_2021CUST-YTD'!$C$3:$N$150,MATCH($C20,'Input 5_2021CUST-YTD'!$S$3:$S$150,0),MATCH(BH$2,'Input 5_2021CUST-YTD'!$C$1:$N$1,0)),0)</f>
        <v>307.07863636363635</v>
      </c>
      <c r="BI20" s="190">
        <f t="shared" si="7"/>
        <v>335.67999999999995</v>
      </c>
      <c r="BJ20" s="261">
        <f t="shared" si="8"/>
        <v>3</v>
      </c>
    </row>
    <row r="21" spans="1:62">
      <c r="A21" s="261" t="s">
        <v>1245</v>
      </c>
      <c r="B21" s="261" t="s">
        <v>12</v>
      </c>
      <c r="C21" s="261" t="s">
        <v>90</v>
      </c>
      <c r="D21" s="5">
        <f>IFERROR(INDEX('Input 16.1_2018VOL-YTD'!$C$4:$N$300, MATCH($C21,'Input 16.1_2018VOL-YTD'!$R$4:$R$300,0),MATCH(D$2,'Input 16.1_2018VOL-YTD'!$C$1:$N$1,0))/INDEX('Input 16_2018CUST-YTD'!$D$4:$O$300,MATCH($C21,'Input 16_2018CUST-YTD'!$S$4:$S$300,0),MATCH(D$2,'Input 16_2018CUST-YTD'!$C$1:$O$1,0)),0)</f>
        <v>341.84</v>
      </c>
      <c r="E21" s="5">
        <f>IFERROR(INDEX('Input 16.1_2018VOL-YTD'!$C$4:$N$300, MATCH($C21,'Input 16.1_2018VOL-YTD'!$R$4:$R$300,0),MATCH(E$2,'Input 16.1_2018VOL-YTD'!$C$1:$N$1,0))/INDEX('Input 16_2018CUST-YTD'!$D$4:$O$300,MATCH($C21,'Input 16_2018CUST-YTD'!$S$4:$S$300,0),MATCH(E$2,'Input 16_2018CUST-YTD'!$C$1:$O$1,0)),0)</f>
        <v>274.42</v>
      </c>
      <c r="F21" s="5">
        <f>IFERROR(INDEX('Input 16.1_2018VOL-YTD'!$C$4:$N$300, MATCH($C21,'Input 16.1_2018VOL-YTD'!$R$4:$R$300,0),MATCH(F$2,'Input 16.1_2018VOL-YTD'!$C$1:$N$1,0))/INDEX('Input 16_2018CUST-YTD'!$D$4:$O$300,MATCH($C21,'Input 16_2018CUST-YTD'!$S$4:$S$300,0),MATCH(F$2,'Input 16_2018CUST-YTD'!$C$1:$O$1,0)),0)</f>
        <v>295.33</v>
      </c>
      <c r="G21" s="5">
        <f>IFERROR(INDEX('Input 16.1_2018VOL-YTD'!$C$4:$N$300, MATCH($C21,'Input 16.1_2018VOL-YTD'!$R$4:$R$300,0),MATCH(G$2,'Input 16.1_2018VOL-YTD'!$C$1:$N$1,0))/INDEX('Input 16_2018CUST-YTD'!$D$4:$O$300,MATCH($C21,'Input 16_2018CUST-YTD'!$S$4:$S$300,0),MATCH(G$2,'Input 16_2018CUST-YTD'!$C$1:$O$1,0)),0)</f>
        <v>352.4</v>
      </c>
      <c r="H21" s="5">
        <f>IFERROR(INDEX('Input 16.1_2018VOL-YTD'!$C$4:$N$300, MATCH($C21,'Input 16.1_2018VOL-YTD'!$R$4:$R$300,0),MATCH(H$2,'Input 16.1_2018VOL-YTD'!$C$1:$N$1,0))/INDEX('Input 16_2018CUST-YTD'!$D$4:$O$300,MATCH($C21,'Input 16_2018CUST-YTD'!$S$4:$S$300,0),MATCH(H$2,'Input 16_2018CUST-YTD'!$C$1:$O$1,0)),0)</f>
        <v>294.93</v>
      </c>
      <c r="I21" s="5">
        <f>IFERROR(INDEX('Input 16.1_2018VOL-YTD'!$C$4:$N$300, MATCH($C21,'Input 16.1_2018VOL-YTD'!$R$4:$R$300,0),MATCH(I$2,'Input 16.1_2018VOL-YTD'!$C$1:$N$1,0))/INDEX('Input 16_2018CUST-YTD'!$D$4:$O$300,MATCH($C21,'Input 16_2018CUST-YTD'!$S$4:$S$300,0),MATCH(I$2,'Input 16_2018CUST-YTD'!$C$1:$O$1,0)),0)</f>
        <v>378.86</v>
      </c>
      <c r="J21" s="5">
        <f>IFERROR(INDEX('Input 16.1_2018VOL-YTD'!$C$4:$N$300, MATCH($C21,'Input 16.1_2018VOL-YTD'!$R$4:$R$300,0),MATCH(J$2,'Input 16.1_2018VOL-YTD'!$C$1:$N$1,0))/INDEX('Input 16_2018CUST-YTD'!$D$4:$O$300,MATCH($C21,'Input 16_2018CUST-YTD'!$S$4:$S$300,0),MATCH(J$2,'Input 16_2018CUST-YTD'!$C$1:$O$1,0)),0)</f>
        <v>265</v>
      </c>
      <c r="K21" s="5">
        <f>IFERROR(INDEX('Input 16.1_2018VOL-YTD'!$C$4:$N$300, MATCH($C21,'Input 16.1_2018VOL-YTD'!$R$4:$R$300,0),MATCH(K$2,'Input 16.1_2018VOL-YTD'!$C$1:$N$1,0))/INDEX('Input 16_2018CUST-YTD'!$D$4:$O$300,MATCH($C21,'Input 16_2018CUST-YTD'!$S$4:$S$300,0),MATCH(K$2,'Input 16_2018CUST-YTD'!$C$1:$O$1,0)),0)</f>
        <v>399.06</v>
      </c>
      <c r="L21" s="5">
        <f>IFERROR(INDEX('Input 16.1_2018VOL-YTD'!$C$4:$N$300, MATCH($C21,'Input 16.1_2018VOL-YTD'!$R$4:$R$300,0),MATCH(L$2,'Input 16.1_2018VOL-YTD'!$C$1:$N$1,0))/INDEX('Input 16_2018CUST-YTD'!$D$4:$O$300,MATCH($C21,'Input 16_2018CUST-YTD'!$S$4:$S$300,0),MATCH(L$2,'Input 16_2018CUST-YTD'!$C$1:$O$1,0)),0)</f>
        <v>322.02999999999997</v>
      </c>
      <c r="M21" s="5">
        <f>IFERROR(INDEX('Input 16.1_2018VOL-YTD'!$C$4:$N$300, MATCH($C21,'Input 16.1_2018VOL-YTD'!$R$4:$R$300,0),MATCH(M$2,'Input 16.1_2018VOL-YTD'!$C$1:$N$1,0))/INDEX('Input 16_2018CUST-YTD'!$D$4:$O$300,MATCH($C21,'Input 16_2018CUST-YTD'!$S$4:$S$300,0),MATCH(M$2,'Input 16_2018CUST-YTD'!$C$1:$O$1,0)),0)</f>
        <v>297</v>
      </c>
      <c r="N21" s="5">
        <f>IFERROR(INDEX('Input 16.1_2018VOL-YTD'!$C$4:$N$300, MATCH($C21,'Input 16.1_2018VOL-YTD'!$R$4:$R$300,0),MATCH(N$2,'Input 16.1_2018VOL-YTD'!$C$1:$N$1,0))/INDEX('Input 16_2018CUST-YTD'!$D$4:$O$300,MATCH($C21,'Input 16_2018CUST-YTD'!$S$4:$S$300,0),MATCH(N$2,'Input 16_2018CUST-YTD'!$C$1:$O$1,0)),0)</f>
        <v>189.74</v>
      </c>
      <c r="O21" s="5">
        <f>IFERROR(INDEX('Input 16.1_2018VOL-YTD'!$C$4:$N$300, MATCH($C21,'Input 16.1_2018VOL-YTD'!$R$4:$R$300,0),MATCH(O$2,'Input 16.1_2018VOL-YTD'!$C$1:$N$1,0))/INDEX('Input 16_2018CUST-YTD'!$D$4:$O$300,MATCH($C21,'Input 16_2018CUST-YTD'!$S$4:$S$300,0),MATCH(O$2,'Input 16_2018CUST-YTD'!$C$1:$O$1,0)),0)</f>
        <v>422.62</v>
      </c>
      <c r="P21" s="271">
        <f t="shared" si="1"/>
        <v>422.62</v>
      </c>
      <c r="Q21" s="261">
        <f t="shared" si="2"/>
        <v>12</v>
      </c>
      <c r="S21" s="5">
        <f>IFERROR(INDEX('Input 3.1_2019VOL-YTD'!$C$4:$N$300, MATCH($C21,'Input 3.1_2019VOL-YTD'!$R$4:$R$300,0),MATCH(S$2,'Input 3.1_2019VOL-YTD'!$C$1:$N$1,0))/INDEX('Input 3_2019CUST-YTD'!$C$4:$N$300,MATCH($C21,'Input 3_2019CUST-YTD'!$S$4:$S$300,0),MATCH(S$2,'Input 3_2019CUST-YTD'!$C$1:$N$1,0)),0)</f>
        <v>445.11</v>
      </c>
      <c r="T21" s="5">
        <f>IFERROR(INDEX('Input 3.1_2019VOL-YTD'!$C$4:$N$300, MATCH($C21,'Input 3.1_2019VOL-YTD'!$R$4:$R$300,0),MATCH(T$2,'Input 3.1_2019VOL-YTD'!$C$1:$N$1,0))/INDEX('Input 3_2019CUST-YTD'!$C$4:$N$300,MATCH($C21,'Input 3_2019CUST-YTD'!$S$4:$S$300,0),MATCH(T$2,'Input 3_2019CUST-YTD'!$C$1:$N$1,0)),0)</f>
        <v>341.07</v>
      </c>
      <c r="U21" s="5">
        <f>IFERROR(INDEX('Input 3.1_2019VOL-YTD'!$C$4:$N$300, MATCH($C21,'Input 3.1_2019VOL-YTD'!$R$4:$R$300,0),MATCH(U$2,'Input 3.1_2019VOL-YTD'!$C$1:$N$1,0))/INDEX('Input 3_2019CUST-YTD'!$C$4:$N$300,MATCH($C21,'Input 3_2019CUST-YTD'!$S$4:$S$300,0),MATCH(U$2,'Input 3_2019CUST-YTD'!$C$1:$N$1,0)),0)</f>
        <v>222.51</v>
      </c>
      <c r="V21" s="5">
        <f>IFERROR(INDEX('Input 3.1_2019VOL-YTD'!$C$4:$N$300, MATCH($C21,'Input 3.1_2019VOL-YTD'!$R$4:$R$300,0),MATCH(V$2,'Input 3.1_2019VOL-YTD'!$C$1:$N$1,0))/INDEX('Input 3_2019CUST-YTD'!$C$4:$N$300,MATCH($C21,'Input 3_2019CUST-YTD'!$S$4:$S$300,0),MATCH(V$2,'Input 3_2019CUST-YTD'!$C$1:$N$1,0)),0)</f>
        <v>235.01</v>
      </c>
      <c r="W21" s="5">
        <f>IFERROR(INDEX('Input 3.1_2019VOL-YTD'!$C$4:$N$300, MATCH($C21,'Input 3.1_2019VOL-YTD'!$R$4:$R$300,0),MATCH(W$2,'Input 3.1_2019VOL-YTD'!$C$1:$N$1,0))/INDEX('Input 3_2019CUST-YTD'!$C$4:$N$300,MATCH($C21,'Input 3_2019CUST-YTD'!$S$4:$S$300,0),MATCH(W$2,'Input 3_2019CUST-YTD'!$C$1:$N$1,0)),0)</f>
        <v>382.05</v>
      </c>
      <c r="X21" s="5">
        <f>IFERROR(INDEX('Input 3.1_2019VOL-YTD'!$C$4:$N$300, MATCH($C21,'Input 3.1_2019VOL-YTD'!$R$4:$R$300,0),MATCH(X$2,'Input 3.1_2019VOL-YTD'!$C$1:$N$1,0))/INDEX('Input 3_2019CUST-YTD'!$C$4:$N$300,MATCH($C21,'Input 3_2019CUST-YTD'!$S$4:$S$300,0),MATCH(X$2,'Input 3_2019CUST-YTD'!$C$1:$N$1,0)),0)</f>
        <v>406</v>
      </c>
      <c r="Y21" s="5">
        <f>IFERROR(INDEX('Input 3.1_2019VOL-YTD'!$C$4:$N$300, MATCH($C21,'Input 3.1_2019VOL-YTD'!$R$4:$R$300,0),MATCH(Y$2,'Input 3.1_2019VOL-YTD'!$C$1:$N$1,0))/INDEX('Input 3_2019CUST-YTD'!$C$4:$N$300,MATCH($C21,'Input 3_2019CUST-YTD'!$S$4:$S$300,0),MATCH(Y$2,'Input 3_2019CUST-YTD'!$C$1:$N$1,0)),0)</f>
        <v>430.46</v>
      </c>
      <c r="Z21" s="5">
        <f>IFERROR(INDEX('Input 3.1_2019VOL-YTD'!$C$4:$N$300, MATCH($C21,'Input 3.1_2019VOL-YTD'!$R$4:$R$300,0),MATCH(Z$2,'Input 3.1_2019VOL-YTD'!$C$1:$N$1,0))/INDEX('Input 3_2019CUST-YTD'!$C$4:$N$300,MATCH($C21,'Input 3_2019CUST-YTD'!$S$4:$S$300,0),MATCH(Z$2,'Input 3_2019CUST-YTD'!$C$1:$N$1,0)),0)</f>
        <v>266.26</v>
      </c>
      <c r="AA21" s="5">
        <f>IFERROR(INDEX('Input 3.1_2019VOL-YTD'!$C$4:$N$300, MATCH($C21,'Input 3.1_2019VOL-YTD'!$R$4:$R$300,0),MATCH(AA$2,'Input 3.1_2019VOL-YTD'!$C$1:$N$1,0))/INDEX('Input 3_2019CUST-YTD'!$C$4:$N$300,MATCH($C21,'Input 3_2019CUST-YTD'!$S$4:$S$300,0),MATCH(AA$2,'Input 3_2019CUST-YTD'!$C$1:$N$1,0)),0)</f>
        <v>411.79</v>
      </c>
      <c r="AB21" s="5">
        <f>IFERROR(INDEX('Input 3.1_2019VOL-YTD'!$C$4:$N$300, MATCH($C21,'Input 3.1_2019VOL-YTD'!$R$4:$R$300,0),MATCH(AB$2,'Input 3.1_2019VOL-YTD'!$C$1:$N$1,0))/INDEX('Input 3_2019CUST-YTD'!$C$4:$N$300,MATCH($C21,'Input 3_2019CUST-YTD'!$S$4:$S$300,0),MATCH(AB$2,'Input 3_2019CUST-YTD'!$C$1:$N$1,0)),0)</f>
        <v>196.56</v>
      </c>
      <c r="AC21" s="5">
        <f>IFERROR(INDEX('Input 3.1_2019VOL-YTD'!$C$4:$N$300, MATCH($C21,'Input 3.1_2019VOL-YTD'!$R$4:$R$300,0),MATCH(AC$2,'Input 3.1_2019VOL-YTD'!$C$1:$N$1,0))/INDEX('Input 3_2019CUST-YTD'!$C$4:$N$300,MATCH($C21,'Input 3_2019CUST-YTD'!$S$4:$S$300,0),MATCH(AC$2,'Input 3_2019CUST-YTD'!$C$1:$N$1,0)),0)</f>
        <v>243.9</v>
      </c>
      <c r="AD21" s="5">
        <f>IFERROR(INDEX('Input 3.1_2019VOL-YTD'!$C$4:$N$300, MATCH($C21,'Input 3.1_2019VOL-YTD'!$R$4:$R$300,0),MATCH(AD$2,'Input 3.1_2019VOL-YTD'!$C$1:$N$1,0))/INDEX('Input 3_2019CUST-YTD'!$C$4:$N$300,MATCH($C21,'Input 3_2019CUST-YTD'!$S$4:$S$300,0),MATCH(AD$2,'Input 3_2019CUST-YTD'!$C$1:$N$1,0)),0)</f>
        <v>289.37</v>
      </c>
      <c r="AE21" s="272">
        <f t="shared" si="3"/>
        <v>445.11</v>
      </c>
      <c r="AF21" s="261">
        <f t="shared" si="4"/>
        <v>1</v>
      </c>
      <c r="AH21" s="262">
        <f>IFERROR(INDEX('Input 4.1_2020VOL-YTD'!$C$4:$O$300, MATCH($C21,'Input 4.1_2020VOL-YTD'!$R$4:$R$300,0),MATCH(AH$2,'Input 4.1_2020VOL-YTD'!$C$1:$O$1,0))/INDEX('Input 4_2020CUST-YTD'!$C$4:O$300,MATCH($C21,'Input 4_2020CUST-YTD'!$S$4:$S$300,0),MATCH(AH$2,'Input 4_2020CUST-YTD'!$C$1:$O$1,0)),0)</f>
        <v>325.58999999999997</v>
      </c>
      <c r="AI21" s="262">
        <f>IFERROR(INDEX('Input 4.1_2020VOL-YTD'!$C$4:$O$300, MATCH($C21,'Input 4.1_2020VOL-YTD'!$R$4:$R$300,0),MATCH(AI$2,'Input 4.1_2020VOL-YTD'!$C$1:$O$1,0))/INDEX('Input 4_2020CUST-YTD'!$C$4:P$300,MATCH($C21,'Input 4_2020CUST-YTD'!$S$4:$S$300,0),MATCH(AI$2,'Input 4_2020CUST-YTD'!$C$1:$O$1,0)),0)</f>
        <v>296.39999999999998</v>
      </c>
      <c r="AJ21" s="262">
        <f>IFERROR(INDEX('Input 4.1_2020VOL-YTD'!$C$4:$O$300, MATCH($C21,'Input 4.1_2020VOL-YTD'!$R$4:$R$300,0),MATCH(AJ$2,'Input 4.1_2020VOL-YTD'!$C$1:$O$1,0))/INDEX('Input 4_2020CUST-YTD'!$C$4:Q$300,MATCH($C21,'Input 4_2020CUST-YTD'!$S$4:$S$300,0),MATCH(AJ$2,'Input 4_2020CUST-YTD'!$C$1:$O$1,0)),0)</f>
        <v>392.9</v>
      </c>
      <c r="AK21" s="262">
        <f>IFERROR(INDEX('Input 4.1_2020VOL-YTD'!$C$4:$O$300, MATCH($C21,'Input 4.1_2020VOL-YTD'!$R$4:$R$300,0),MATCH(AK$2,'Input 4.1_2020VOL-YTD'!$C$1:$O$1,0))/INDEX('Input 4_2020CUST-YTD'!$C$4:R$300,MATCH($C21,'Input 4_2020CUST-YTD'!$S$4:$S$300,0),MATCH(AK$2,'Input 4_2020CUST-YTD'!$C$1:$O$1,0)),0)</f>
        <v>348.94</v>
      </c>
      <c r="AL21" s="262">
        <f>IFERROR(INDEX('Input 4.1_2020VOL-YTD'!$C$4:$O$300, MATCH($C21,'Input 4.1_2020VOL-YTD'!$R$4:$R$300,0),MATCH(AL$2,'Input 4.1_2020VOL-YTD'!$C$1:$O$1,0))/INDEX('Input 4_2020CUST-YTD'!$C$4:S$300,MATCH($C21,'Input 4_2020CUST-YTD'!$S$4:$S$300,0),MATCH(AL$2,'Input 4_2020CUST-YTD'!$C$1:$O$1,0)),0)</f>
        <v>499.33</v>
      </c>
      <c r="AM21" s="262">
        <f>IFERROR(INDEX('Input 4.1_2020VOL-YTD'!$C$4:$O$300, MATCH($C21,'Input 4.1_2020VOL-YTD'!$R$4:$R$300,0),MATCH(AM$2,'Input 4.1_2020VOL-YTD'!$C$1:$O$1,0))/INDEX('Input 4_2020CUST-YTD'!$C$4:T$300,MATCH($C21,'Input 4_2020CUST-YTD'!$S$4:$S$300,0),MATCH(AM$2,'Input 4_2020CUST-YTD'!$C$1:$O$1,0)),0)</f>
        <v>354.32</v>
      </c>
      <c r="AN21" s="262">
        <f>IFERROR(INDEX('Input 4.1_2020VOL-YTD'!$C$4:$O$300, MATCH($C21,'Input 4.1_2020VOL-YTD'!$R$4:$R$300,0),MATCH(AN$2,'Input 4.1_2020VOL-YTD'!$C$1:$O$1,0))/INDEX('Input 4_2020CUST-YTD'!$C$4:U$300,MATCH($C21,'Input 4_2020CUST-YTD'!$S$4:$S$300,0),MATCH(AN$2,'Input 4_2020CUST-YTD'!$C$1:$O$1,0)),0)</f>
        <v>445.32</v>
      </c>
      <c r="AO21" s="262">
        <f>IFERROR(INDEX('Input 4.1_2020VOL-YTD'!$C$4:$O$300, MATCH($C21,'Input 4.1_2020VOL-YTD'!$R$4:$R$300,0),MATCH(AO$2,'Input 4.1_2020VOL-YTD'!$C$1:$O$1,0))/INDEX('Input 4_2020CUST-YTD'!$C$4:V$300,MATCH($C21,'Input 4_2020CUST-YTD'!$S$4:$S$300,0),MATCH(AO$2,'Input 4_2020CUST-YTD'!$C$1:$O$1,0)),0)</f>
        <v>406.96</v>
      </c>
      <c r="AP21" s="262">
        <f>IFERROR(INDEX('Input 4.1_2020VOL-YTD'!$C$4:$O$300, MATCH($C21,'Input 4.1_2020VOL-YTD'!$R$4:$R$300,0),MATCH(AP$2,'Input 4.1_2020VOL-YTD'!$C$1:$O$1,0))/INDEX('Input 4_2020CUST-YTD'!$C$4:W$300,MATCH($C21,'Input 4_2020CUST-YTD'!$S$4:$S$300,0),MATCH(AP$2,'Input 4_2020CUST-YTD'!$C$1:$O$1,0)),0)</f>
        <v>342.1</v>
      </c>
      <c r="AQ21" s="262">
        <f>IFERROR(INDEX('Input 4.1_2020VOL-YTD'!$C$4:$O$300, MATCH($C21,'Input 4.1_2020VOL-YTD'!$R$4:$R$300,0),MATCH(AQ$2,'Input 4.1_2020VOL-YTD'!$C$1:$O$1,0))/INDEX('Input 4_2020CUST-YTD'!$C$4:X$300,MATCH($C21,'Input 4_2020CUST-YTD'!$S$4:$S$300,0),MATCH(AQ$2,'Input 4_2020CUST-YTD'!$C$1:$O$1,0)),0)</f>
        <v>262.31</v>
      </c>
      <c r="AR21" s="262">
        <f>IFERROR(INDEX('Input 4.1_2020VOL-YTD'!$C$4:$O$300, MATCH($C21,'Input 4.1_2020VOL-YTD'!$R$4:$R$300,0),MATCH(AR$2,'Input 4.1_2020VOL-YTD'!$C$1:$O$1,0))/INDEX('Input 4_2020CUST-YTD'!$C$4:Y$300,MATCH($C21,'Input 4_2020CUST-YTD'!$S$4:$S$300,0),MATCH(AR$2,'Input 4_2020CUST-YTD'!$C$1:$O$1,0)),0)</f>
        <v>421.06</v>
      </c>
      <c r="AS21" s="262">
        <f>IFERROR(INDEX('Input 4.1_2020VOL-YTD'!$C$4:$O$300, MATCH($C21,'Input 4.1_2020VOL-YTD'!$R$4:$R$300,0),MATCH(AS$2,'Input 4.1_2020VOL-YTD'!$C$1:$O$1,0))/INDEX('Input 4_2020CUST-YTD'!$C$4:Z$300,MATCH($C21,'Input 4_2020CUST-YTD'!$S$4:$S$300,0),MATCH(AS$2,'Input 4_2020CUST-YTD'!$C$1:$O$1,0)),0)</f>
        <v>571.37</v>
      </c>
      <c r="AT21" s="190">
        <f t="shared" si="9"/>
        <v>571.37</v>
      </c>
      <c r="AU21" s="261">
        <f t="shared" si="6"/>
        <v>12</v>
      </c>
      <c r="AW21" s="1">
        <f>IFERROR(INDEX('Input 5.1_2021VOL-YTD'!$C$3:$N$150, MATCH($C21,'Input 5.1_2021VOL-YTD'!$R$3:$R$150,0),MATCH(AW$2,'Input 5.1_2021VOL-YTD'!$C$1:$N$1,0))/INDEX('Input 5_2021CUST-YTD'!$C$3:$N$150,MATCH($C21,'Input 5_2021CUST-YTD'!$S$3:$S$150,0),MATCH(AW$2,'Input 5_2021CUST-YTD'!$C$1:$N$1,0)),0)</f>
        <v>944.37</v>
      </c>
      <c r="AX21" s="1">
        <f>IFERROR(INDEX('Input 5.1_2021VOL-YTD'!$C$3:$N$150, MATCH($C21,'Input 5.1_2021VOL-YTD'!$R$3:$R$150,0),MATCH(AX$2,'Input 5.1_2021VOL-YTD'!$C$1:$N$1,0))/INDEX('Input 5_2021CUST-YTD'!$C$3:$N$150,MATCH($C21,'Input 5_2021CUST-YTD'!$S$3:$S$150,0),MATCH(AX$2,'Input 5_2021CUST-YTD'!$C$1:$N$1,0)),0)</f>
        <v>755.21</v>
      </c>
      <c r="AY21" s="1">
        <f>IFERROR(INDEX('Input 5.1_2021VOL-YTD'!$C$3:$N$150, MATCH($C21,'Input 5.1_2021VOL-YTD'!$R$3:$R$150,0),MATCH(AY$2,'Input 5.1_2021VOL-YTD'!$C$1:$N$1,0))/INDEX('Input 5_2021CUST-YTD'!$C$3:$N$150,MATCH($C21,'Input 5_2021CUST-YTD'!$S$3:$S$150,0),MATCH(AY$2,'Input 5_2021CUST-YTD'!$C$1:$N$1,0)),0)</f>
        <v>662.62</v>
      </c>
      <c r="AZ21" s="1">
        <f>IFERROR(INDEX('Input 5.1_2021VOL-YTD'!$C$3:$N$150, MATCH($C21,'Input 5.1_2021VOL-YTD'!$R$3:$R$150,0),MATCH(AZ$2,'Input 5.1_2021VOL-YTD'!$C$1:$N$1,0))/INDEX('Input 5_2021CUST-YTD'!$C$3:$N$150,MATCH($C21,'Input 5_2021CUST-YTD'!$S$3:$S$150,0),MATCH(AZ$2,'Input 5_2021CUST-YTD'!$C$1:$N$1,0)),0)</f>
        <v>839.3</v>
      </c>
      <c r="BA21" s="1">
        <f>IFERROR(INDEX('Input 5.1_2021VOL-YTD'!$C$3:$N$150, MATCH($C21,'Input 5.1_2021VOL-YTD'!$R$3:$R$150,0),MATCH(BA$2,'Input 5.1_2021VOL-YTD'!$C$1:$N$1,0))/INDEX('Input 5_2021CUST-YTD'!$C$3:$N$150,MATCH($C21,'Input 5_2021CUST-YTD'!$S$3:$S$150,0),MATCH(BA$2,'Input 5_2021CUST-YTD'!$C$1:$N$1,0)),0)</f>
        <v>494.3</v>
      </c>
      <c r="BB21" s="1">
        <f>IFERROR(INDEX('Input 5.1_2021VOL-YTD'!$C$3:$N$150, MATCH($C21,'Input 5.1_2021VOL-YTD'!$R$3:$R$150,0),MATCH(BB$2,'Input 5.1_2021VOL-YTD'!$C$1:$N$1,0))/INDEX('Input 5_2021CUST-YTD'!$C$3:$N$150,MATCH($C21,'Input 5_2021CUST-YTD'!$S$3:$S$150,0),MATCH(BB$2,'Input 5_2021CUST-YTD'!$C$1:$N$1,0)),0)</f>
        <v>884.63</v>
      </c>
      <c r="BC21" s="1">
        <f>IFERROR(INDEX('Input 5.1_2021VOL-YTD'!$C$3:$N$150, MATCH($C21,'Input 5.1_2021VOL-YTD'!$R$3:$R$150,0),MATCH(BC$2,'Input 5.1_2021VOL-YTD'!$C$1:$N$1,0))/INDEX('Input 5_2021CUST-YTD'!$C$3:$N$150,MATCH($C21,'Input 5_2021CUST-YTD'!$S$3:$S$150,0),MATCH(BC$2,'Input 5_2021CUST-YTD'!$C$1:$N$1,0)),0)</f>
        <v>480.33</v>
      </c>
      <c r="BD21" s="1">
        <f>IFERROR(INDEX('Input 5.1_2021VOL-YTD'!$C$3:$N$150, MATCH($C21,'Input 5.1_2021VOL-YTD'!$R$3:$R$150,0),MATCH(BD$2,'Input 5.1_2021VOL-YTD'!$C$1:$N$1,0))/INDEX('Input 5_2021CUST-YTD'!$C$3:$N$150,MATCH($C21,'Input 5_2021CUST-YTD'!$S$3:$S$150,0),MATCH(BD$2,'Input 5_2021CUST-YTD'!$C$1:$N$1,0)),0)</f>
        <v>481.03</v>
      </c>
      <c r="BE21" s="1">
        <f>IFERROR(INDEX('Input 5.1_2021VOL-YTD'!$C$3:$N$150, MATCH($C21,'Input 5.1_2021VOL-YTD'!$R$3:$R$150,0),MATCH(BE$2,'Input 5.1_2021VOL-YTD'!$C$1:$N$1,0))/INDEX('Input 5_2021CUST-YTD'!$C$3:$N$150,MATCH($C21,'Input 5_2021CUST-YTD'!$S$3:$S$150,0),MATCH(BE$2,'Input 5_2021CUST-YTD'!$C$1:$N$1,0)),0)</f>
        <v>663.99</v>
      </c>
      <c r="BF21" s="1">
        <f>IFERROR(INDEX('Input 5.1_2021VOL-YTD'!$C$3:$N$150, MATCH($C21,'Input 5.1_2021VOL-YTD'!$R$3:$R$150,0),MATCH(BF$2,'Input 5.1_2021VOL-YTD'!$C$1:$N$1,0))/INDEX('Input 5_2021CUST-YTD'!$C$3:$N$150,MATCH($C21,'Input 5_2021CUST-YTD'!$S$3:$S$150,0),MATCH(BF$2,'Input 5_2021CUST-YTD'!$C$1:$N$1,0)),0)</f>
        <v>557.28</v>
      </c>
      <c r="BG21" s="1">
        <f>IFERROR(INDEX('Input 5.1_2021VOL-YTD'!$C$3:$N$150, MATCH($C21,'Input 5.1_2021VOL-YTD'!$R$3:$R$150,0),MATCH(BG$2,'Input 5.1_2021VOL-YTD'!$C$1:$N$1,0))/INDEX('Input 5_2021CUST-YTD'!$C$3:$N$150,MATCH($C21,'Input 5_2021CUST-YTD'!$S$3:$S$150,0),MATCH(BG$2,'Input 5_2021CUST-YTD'!$C$1:$N$1,0)),0)</f>
        <v>694.3</v>
      </c>
      <c r="BH21" s="1">
        <f>IFERROR(INDEX('Input 5.1_2021VOL-YTD'!$C$3:$N$150, MATCH($C21,'Input 5.1_2021VOL-YTD'!$R$3:$R$150,0),MATCH(BH$2,'Input 5.1_2021VOL-YTD'!$C$1:$N$1,0))/INDEX('Input 5_2021CUST-YTD'!$C$3:$N$150,MATCH($C21,'Input 5_2021CUST-YTD'!$S$3:$S$150,0),MATCH(BH$2,'Input 5_2021CUST-YTD'!$C$1:$N$1,0)),0)</f>
        <v>528.55999999999995</v>
      </c>
      <c r="BI21" s="190">
        <f t="shared" si="7"/>
        <v>944.37</v>
      </c>
      <c r="BJ21" s="261">
        <f t="shared" si="8"/>
        <v>1</v>
      </c>
    </row>
    <row r="22" spans="1:62">
      <c r="A22" s="261" t="s">
        <v>1245</v>
      </c>
      <c r="B22" s="261" t="s">
        <v>12</v>
      </c>
      <c r="C22" s="261" t="s">
        <v>92</v>
      </c>
      <c r="D22" s="5">
        <f>IFERROR(INDEX('Input 16.1_2018VOL-YTD'!$C$4:$N$300, MATCH($C22,'Input 16.1_2018VOL-YTD'!$R$4:$R$300,0),MATCH(D$2,'Input 16.1_2018VOL-YTD'!$C$1:$N$1,0))/INDEX('Input 16_2018CUST-YTD'!$D$4:$O$300,MATCH($C22,'Input 16_2018CUST-YTD'!$S$4:$S$300,0),MATCH(D$2,'Input 16_2018CUST-YTD'!$C$1:$O$1,0)),0)</f>
        <v>0</v>
      </c>
      <c r="E22" s="5">
        <f>IFERROR(INDEX('Input 16.1_2018VOL-YTD'!$C$4:$N$300, MATCH($C22,'Input 16.1_2018VOL-YTD'!$R$4:$R$300,0),MATCH(E$2,'Input 16.1_2018VOL-YTD'!$C$1:$N$1,0))/INDEX('Input 16_2018CUST-YTD'!$D$4:$O$300,MATCH($C22,'Input 16_2018CUST-YTD'!$S$4:$S$300,0),MATCH(E$2,'Input 16_2018CUST-YTD'!$C$1:$O$1,0)),0)</f>
        <v>0</v>
      </c>
      <c r="F22" s="5">
        <f>IFERROR(INDEX('Input 16.1_2018VOL-YTD'!$C$4:$N$300, MATCH($C22,'Input 16.1_2018VOL-YTD'!$R$4:$R$300,0),MATCH(F$2,'Input 16.1_2018VOL-YTD'!$C$1:$N$1,0))/INDEX('Input 16_2018CUST-YTD'!$D$4:$O$300,MATCH($C22,'Input 16_2018CUST-YTD'!$S$4:$S$300,0),MATCH(F$2,'Input 16_2018CUST-YTD'!$C$1:$O$1,0)),0)</f>
        <v>0</v>
      </c>
      <c r="G22" s="5">
        <f>IFERROR(INDEX('Input 16.1_2018VOL-YTD'!$C$4:$N$300, MATCH($C22,'Input 16.1_2018VOL-YTD'!$R$4:$R$300,0),MATCH(G$2,'Input 16.1_2018VOL-YTD'!$C$1:$N$1,0))/INDEX('Input 16_2018CUST-YTD'!$D$4:$O$300,MATCH($C22,'Input 16_2018CUST-YTD'!$S$4:$S$300,0),MATCH(G$2,'Input 16_2018CUST-YTD'!$C$1:$O$1,0)),0)</f>
        <v>47058.415000000001</v>
      </c>
      <c r="H22" s="5">
        <f>IFERROR(INDEX('Input 16.1_2018VOL-YTD'!$C$4:$N$300, MATCH($C22,'Input 16.1_2018VOL-YTD'!$R$4:$R$300,0),MATCH(H$2,'Input 16.1_2018VOL-YTD'!$C$1:$N$1,0))/INDEX('Input 16_2018CUST-YTD'!$D$4:$O$300,MATCH($C22,'Input 16_2018CUST-YTD'!$S$4:$S$300,0),MATCH(H$2,'Input 16_2018CUST-YTD'!$C$1:$O$1,0)),0)</f>
        <v>55185.73</v>
      </c>
      <c r="I22" s="5">
        <f>IFERROR(INDEX('Input 16.1_2018VOL-YTD'!$C$4:$N$300, MATCH($C22,'Input 16.1_2018VOL-YTD'!$R$4:$R$300,0),MATCH(I$2,'Input 16.1_2018VOL-YTD'!$C$1:$N$1,0))/INDEX('Input 16_2018CUST-YTD'!$D$4:$O$300,MATCH($C22,'Input 16_2018CUST-YTD'!$S$4:$S$300,0),MATCH(I$2,'Input 16_2018CUST-YTD'!$C$1:$O$1,0)),0)</f>
        <v>0</v>
      </c>
      <c r="J22" s="5">
        <f>IFERROR(INDEX('Input 16.1_2018VOL-YTD'!$C$4:$N$300, MATCH($C22,'Input 16.1_2018VOL-YTD'!$R$4:$R$300,0),MATCH(J$2,'Input 16.1_2018VOL-YTD'!$C$1:$N$1,0))/INDEX('Input 16_2018CUST-YTD'!$D$4:$O$300,MATCH($C22,'Input 16_2018CUST-YTD'!$S$4:$S$300,0),MATCH(J$2,'Input 16_2018CUST-YTD'!$C$1:$O$1,0)),0)</f>
        <v>0</v>
      </c>
      <c r="K22" s="5">
        <f>IFERROR(INDEX('Input 16.1_2018VOL-YTD'!$C$4:$N$300, MATCH($C22,'Input 16.1_2018VOL-YTD'!$R$4:$R$300,0),MATCH(K$2,'Input 16.1_2018VOL-YTD'!$C$1:$N$1,0))/INDEX('Input 16_2018CUST-YTD'!$D$4:$O$300,MATCH($C22,'Input 16_2018CUST-YTD'!$S$4:$S$300,0),MATCH(K$2,'Input 16_2018CUST-YTD'!$C$1:$O$1,0)),0)</f>
        <v>0</v>
      </c>
      <c r="L22" s="5">
        <f>IFERROR(INDEX('Input 16.1_2018VOL-YTD'!$C$4:$N$300, MATCH($C22,'Input 16.1_2018VOL-YTD'!$R$4:$R$300,0),MATCH(L$2,'Input 16.1_2018VOL-YTD'!$C$1:$N$1,0))/INDEX('Input 16_2018CUST-YTD'!$D$4:$O$300,MATCH($C22,'Input 16_2018CUST-YTD'!$S$4:$S$300,0),MATCH(L$2,'Input 16_2018CUST-YTD'!$C$1:$O$1,0)),0)</f>
        <v>0</v>
      </c>
      <c r="M22" s="5">
        <f>IFERROR(INDEX('Input 16.1_2018VOL-YTD'!$C$4:$N$300, MATCH($C22,'Input 16.1_2018VOL-YTD'!$R$4:$R$300,0),MATCH(M$2,'Input 16.1_2018VOL-YTD'!$C$1:$N$1,0))/INDEX('Input 16_2018CUST-YTD'!$D$4:$O$300,MATCH($C22,'Input 16_2018CUST-YTD'!$S$4:$S$300,0),MATCH(M$2,'Input 16_2018CUST-YTD'!$C$1:$O$1,0)),0)</f>
        <v>0</v>
      </c>
      <c r="N22" s="5">
        <f>IFERROR(INDEX('Input 16.1_2018VOL-YTD'!$C$4:$N$300, MATCH($C22,'Input 16.1_2018VOL-YTD'!$R$4:$R$300,0),MATCH(N$2,'Input 16.1_2018VOL-YTD'!$C$1:$N$1,0))/INDEX('Input 16_2018CUST-YTD'!$D$4:$O$300,MATCH($C22,'Input 16_2018CUST-YTD'!$S$4:$S$300,0),MATCH(N$2,'Input 16_2018CUST-YTD'!$C$1:$O$1,0)),0)</f>
        <v>0</v>
      </c>
      <c r="O22" s="5">
        <f>IFERROR(INDEX('Input 16.1_2018VOL-YTD'!$C$4:$N$300, MATCH($C22,'Input 16.1_2018VOL-YTD'!$R$4:$R$300,0),MATCH(O$2,'Input 16.1_2018VOL-YTD'!$C$1:$N$1,0))/INDEX('Input 16_2018CUST-YTD'!$D$4:$O$300,MATCH($C22,'Input 16_2018CUST-YTD'!$S$4:$S$300,0),MATCH(O$2,'Input 16_2018CUST-YTD'!$C$1:$O$1,0)),0)</f>
        <v>0</v>
      </c>
      <c r="P22" s="271">
        <f t="shared" si="1"/>
        <v>55185.73</v>
      </c>
      <c r="Q22" s="261">
        <f t="shared" si="2"/>
        <v>5</v>
      </c>
      <c r="S22" s="5">
        <f>IFERROR(INDEX('Input 3.1_2019VOL-YTD'!$C$4:$N$300, MATCH($C22,'Input 3.1_2019VOL-YTD'!$R$4:$R$300,0),MATCH(S$2,'Input 3.1_2019VOL-YTD'!$C$1:$N$1,0))/INDEX('Input 3_2019CUST-YTD'!$C$4:$N$300,MATCH($C22,'Input 3_2019CUST-YTD'!$S$4:$S$300,0),MATCH(S$2,'Input 3_2019CUST-YTD'!$C$1:$N$1,0)),0)</f>
        <v>0</v>
      </c>
      <c r="T22" s="5">
        <f>IFERROR(INDEX('Input 3.1_2019VOL-YTD'!$C$4:$N$300, MATCH($C22,'Input 3.1_2019VOL-YTD'!$R$4:$R$300,0),MATCH(T$2,'Input 3.1_2019VOL-YTD'!$C$1:$N$1,0))/INDEX('Input 3_2019CUST-YTD'!$C$4:$N$300,MATCH($C22,'Input 3_2019CUST-YTD'!$S$4:$S$300,0),MATCH(T$2,'Input 3_2019CUST-YTD'!$C$1:$N$1,0)),0)</f>
        <v>0</v>
      </c>
      <c r="U22" s="5">
        <f>IFERROR(INDEX('Input 3.1_2019VOL-YTD'!$C$4:$N$300, MATCH($C22,'Input 3.1_2019VOL-YTD'!$R$4:$R$300,0),MATCH(U$2,'Input 3.1_2019VOL-YTD'!$C$1:$N$1,0))/INDEX('Input 3_2019CUST-YTD'!$C$4:$N$300,MATCH($C22,'Input 3_2019CUST-YTD'!$S$4:$S$300,0),MATCH(U$2,'Input 3_2019CUST-YTD'!$C$1:$N$1,0)),0)</f>
        <v>0</v>
      </c>
      <c r="V22" s="5">
        <f>IFERROR(INDEX('Input 3.1_2019VOL-YTD'!$C$4:$N$300, MATCH($C22,'Input 3.1_2019VOL-YTD'!$R$4:$R$300,0),MATCH(V$2,'Input 3.1_2019VOL-YTD'!$C$1:$N$1,0))/INDEX('Input 3_2019CUST-YTD'!$C$4:$N$300,MATCH($C22,'Input 3_2019CUST-YTD'!$S$4:$S$300,0),MATCH(V$2,'Input 3_2019CUST-YTD'!$C$1:$N$1,0)),0)</f>
        <v>0</v>
      </c>
      <c r="W22" s="5">
        <f>IFERROR(INDEX('Input 3.1_2019VOL-YTD'!$C$4:$N$300, MATCH($C22,'Input 3.1_2019VOL-YTD'!$R$4:$R$300,0),MATCH(W$2,'Input 3.1_2019VOL-YTD'!$C$1:$N$1,0))/INDEX('Input 3_2019CUST-YTD'!$C$4:$N$300,MATCH($C22,'Input 3_2019CUST-YTD'!$S$4:$S$300,0),MATCH(W$2,'Input 3_2019CUST-YTD'!$C$1:$N$1,0)),0)</f>
        <v>0</v>
      </c>
      <c r="X22" s="5">
        <f>IFERROR(INDEX('Input 3.1_2019VOL-YTD'!$C$4:$N$300, MATCH($C22,'Input 3.1_2019VOL-YTD'!$R$4:$R$300,0),MATCH(X$2,'Input 3.1_2019VOL-YTD'!$C$1:$N$1,0))/INDEX('Input 3_2019CUST-YTD'!$C$4:$N$300,MATCH($C22,'Input 3_2019CUST-YTD'!$S$4:$S$300,0),MATCH(X$2,'Input 3_2019CUST-YTD'!$C$1:$N$1,0)),0)</f>
        <v>0</v>
      </c>
      <c r="Y22" s="5">
        <f>IFERROR(INDEX('Input 3.1_2019VOL-YTD'!$C$4:$N$300, MATCH($C22,'Input 3.1_2019VOL-YTD'!$R$4:$R$300,0),MATCH(Y$2,'Input 3.1_2019VOL-YTD'!$C$1:$N$1,0))/INDEX('Input 3_2019CUST-YTD'!$C$4:$N$300,MATCH($C22,'Input 3_2019CUST-YTD'!$S$4:$S$300,0),MATCH(Y$2,'Input 3_2019CUST-YTD'!$C$1:$N$1,0)),0)</f>
        <v>0</v>
      </c>
      <c r="Z22" s="5">
        <f>IFERROR(INDEX('Input 3.1_2019VOL-YTD'!$C$4:$N$300, MATCH($C22,'Input 3.1_2019VOL-YTD'!$R$4:$R$300,0),MATCH(Z$2,'Input 3.1_2019VOL-YTD'!$C$1:$N$1,0))/INDEX('Input 3_2019CUST-YTD'!$C$4:$N$300,MATCH($C22,'Input 3_2019CUST-YTD'!$S$4:$S$300,0),MATCH(Z$2,'Input 3_2019CUST-YTD'!$C$1:$N$1,0)),0)</f>
        <v>0</v>
      </c>
      <c r="AA22" s="5">
        <f>IFERROR(INDEX('Input 3.1_2019VOL-YTD'!$C$4:$N$300, MATCH($C22,'Input 3.1_2019VOL-YTD'!$R$4:$R$300,0),MATCH(AA$2,'Input 3.1_2019VOL-YTD'!$C$1:$N$1,0))/INDEX('Input 3_2019CUST-YTD'!$C$4:$N$300,MATCH($C22,'Input 3_2019CUST-YTD'!$S$4:$S$300,0),MATCH(AA$2,'Input 3_2019CUST-YTD'!$C$1:$N$1,0)),0)</f>
        <v>0</v>
      </c>
      <c r="AB22" s="5">
        <f>IFERROR(INDEX('Input 3.1_2019VOL-YTD'!$C$4:$N$300, MATCH($C22,'Input 3.1_2019VOL-YTD'!$R$4:$R$300,0),MATCH(AB$2,'Input 3.1_2019VOL-YTD'!$C$1:$N$1,0))/INDEX('Input 3_2019CUST-YTD'!$C$4:$N$300,MATCH($C22,'Input 3_2019CUST-YTD'!$S$4:$S$300,0),MATCH(AB$2,'Input 3_2019CUST-YTD'!$C$1:$N$1,0)),0)</f>
        <v>0</v>
      </c>
      <c r="AC22" s="5">
        <f>IFERROR(INDEX('Input 3.1_2019VOL-YTD'!$C$4:$N$300, MATCH($C22,'Input 3.1_2019VOL-YTD'!$R$4:$R$300,0),MATCH(AC$2,'Input 3.1_2019VOL-YTD'!$C$1:$N$1,0))/INDEX('Input 3_2019CUST-YTD'!$C$4:$N$300,MATCH($C22,'Input 3_2019CUST-YTD'!$S$4:$S$300,0),MATCH(AC$2,'Input 3_2019CUST-YTD'!$C$1:$N$1,0)),0)</f>
        <v>0</v>
      </c>
      <c r="AD22" s="5">
        <f>IFERROR(INDEX('Input 3.1_2019VOL-YTD'!$C$4:$N$300, MATCH($C22,'Input 3.1_2019VOL-YTD'!$R$4:$R$300,0),MATCH(AD$2,'Input 3.1_2019VOL-YTD'!$C$1:$N$1,0))/INDEX('Input 3_2019CUST-YTD'!$C$4:$N$300,MATCH($C22,'Input 3_2019CUST-YTD'!$S$4:$S$300,0),MATCH(AD$2,'Input 3_2019CUST-YTD'!$C$1:$N$1,0)),0)</f>
        <v>0</v>
      </c>
      <c r="AE22" s="272">
        <f t="shared" si="3"/>
        <v>0</v>
      </c>
      <c r="AF22" s="261">
        <f t="shared" si="4"/>
        <v>1</v>
      </c>
      <c r="AH22" s="262">
        <f>IFERROR(INDEX('Input 4.1_2020VOL-YTD'!$C$4:$O$300, MATCH($C22,'Input 4.1_2020VOL-YTD'!$R$4:$R$300,0),MATCH(AH$2,'Input 4.1_2020VOL-YTD'!$C$1:$O$1,0))/INDEX('Input 4_2020CUST-YTD'!$C$4:O$300,MATCH($C22,'Input 4_2020CUST-YTD'!$S$4:$S$300,0),MATCH(AH$2,'Input 4_2020CUST-YTD'!$C$1:$O$1,0)),0)</f>
        <v>0</v>
      </c>
      <c r="AI22" s="262">
        <f>IFERROR(INDEX('Input 4.1_2020VOL-YTD'!$C$4:$O$300, MATCH($C22,'Input 4.1_2020VOL-YTD'!$R$4:$R$300,0),MATCH(AI$2,'Input 4.1_2020VOL-YTD'!$C$1:$O$1,0))/INDEX('Input 4_2020CUST-YTD'!$C$4:P$300,MATCH($C22,'Input 4_2020CUST-YTD'!$S$4:$S$300,0),MATCH(AI$2,'Input 4_2020CUST-YTD'!$C$1:$O$1,0)),0)</f>
        <v>0</v>
      </c>
      <c r="AJ22" s="262">
        <f>IFERROR(INDEX('Input 4.1_2020VOL-YTD'!$C$4:$O$300, MATCH($C22,'Input 4.1_2020VOL-YTD'!$R$4:$R$300,0),MATCH(AJ$2,'Input 4.1_2020VOL-YTD'!$C$1:$O$1,0))/INDEX('Input 4_2020CUST-YTD'!$C$4:Q$300,MATCH($C22,'Input 4_2020CUST-YTD'!$S$4:$S$300,0),MATCH(AJ$2,'Input 4_2020CUST-YTD'!$C$1:$O$1,0)),0)</f>
        <v>0</v>
      </c>
      <c r="AK22" s="262">
        <f>IFERROR(INDEX('Input 4.1_2020VOL-YTD'!$C$4:$O$300, MATCH($C22,'Input 4.1_2020VOL-YTD'!$R$4:$R$300,0),MATCH(AK$2,'Input 4.1_2020VOL-YTD'!$C$1:$O$1,0))/INDEX('Input 4_2020CUST-YTD'!$C$4:R$300,MATCH($C22,'Input 4_2020CUST-YTD'!$S$4:$S$300,0),MATCH(AK$2,'Input 4_2020CUST-YTD'!$C$1:$O$1,0)),0)</f>
        <v>0</v>
      </c>
      <c r="AL22" s="262">
        <f>IFERROR(INDEX('Input 4.1_2020VOL-YTD'!$C$4:$O$300, MATCH($C22,'Input 4.1_2020VOL-YTD'!$R$4:$R$300,0),MATCH(AL$2,'Input 4.1_2020VOL-YTD'!$C$1:$O$1,0))/INDEX('Input 4_2020CUST-YTD'!$C$4:S$300,MATCH($C22,'Input 4_2020CUST-YTD'!$S$4:$S$300,0),MATCH(AL$2,'Input 4_2020CUST-YTD'!$C$1:$O$1,0)),0)</f>
        <v>0</v>
      </c>
      <c r="AM22" s="262">
        <f>IFERROR(INDEX('Input 4.1_2020VOL-YTD'!$C$4:$O$300, MATCH($C22,'Input 4.1_2020VOL-YTD'!$R$4:$R$300,0),MATCH(AM$2,'Input 4.1_2020VOL-YTD'!$C$1:$O$1,0))/INDEX('Input 4_2020CUST-YTD'!$C$4:T$300,MATCH($C22,'Input 4_2020CUST-YTD'!$S$4:$S$300,0),MATCH(AM$2,'Input 4_2020CUST-YTD'!$C$1:$O$1,0)),0)</f>
        <v>0</v>
      </c>
      <c r="AN22" s="262">
        <f>IFERROR(INDEX('Input 4.1_2020VOL-YTD'!$C$4:$O$300, MATCH($C22,'Input 4.1_2020VOL-YTD'!$R$4:$R$300,0),MATCH(AN$2,'Input 4.1_2020VOL-YTD'!$C$1:$O$1,0))/INDEX('Input 4_2020CUST-YTD'!$C$4:U$300,MATCH($C22,'Input 4_2020CUST-YTD'!$S$4:$S$300,0),MATCH(AN$2,'Input 4_2020CUST-YTD'!$C$1:$O$1,0)),0)</f>
        <v>0</v>
      </c>
      <c r="AO22" s="262">
        <f>IFERROR(INDEX('Input 4.1_2020VOL-YTD'!$C$4:$O$300, MATCH($C22,'Input 4.1_2020VOL-YTD'!$R$4:$R$300,0),MATCH(AO$2,'Input 4.1_2020VOL-YTD'!$C$1:$O$1,0))/INDEX('Input 4_2020CUST-YTD'!$C$4:V$300,MATCH($C22,'Input 4_2020CUST-YTD'!$S$4:$S$300,0),MATCH(AO$2,'Input 4_2020CUST-YTD'!$C$1:$O$1,0)),0)</f>
        <v>0</v>
      </c>
      <c r="AP22" s="262">
        <f>IFERROR(INDEX('Input 4.1_2020VOL-YTD'!$C$4:$O$300, MATCH($C22,'Input 4.1_2020VOL-YTD'!$R$4:$R$300,0),MATCH(AP$2,'Input 4.1_2020VOL-YTD'!$C$1:$O$1,0))/INDEX('Input 4_2020CUST-YTD'!$C$4:W$300,MATCH($C22,'Input 4_2020CUST-YTD'!$S$4:$S$300,0),MATCH(AP$2,'Input 4_2020CUST-YTD'!$C$1:$O$1,0)),0)</f>
        <v>0</v>
      </c>
      <c r="AQ22" s="262">
        <f>IFERROR(INDEX('Input 4.1_2020VOL-YTD'!$C$4:$O$300, MATCH($C22,'Input 4.1_2020VOL-YTD'!$R$4:$R$300,0),MATCH(AQ$2,'Input 4.1_2020VOL-YTD'!$C$1:$O$1,0))/INDEX('Input 4_2020CUST-YTD'!$C$4:X$300,MATCH($C22,'Input 4_2020CUST-YTD'!$S$4:$S$300,0),MATCH(AQ$2,'Input 4_2020CUST-YTD'!$C$1:$O$1,0)),0)</f>
        <v>0</v>
      </c>
      <c r="AR22" s="262">
        <f>IFERROR(INDEX('Input 4.1_2020VOL-YTD'!$C$4:$O$300, MATCH($C22,'Input 4.1_2020VOL-YTD'!$R$4:$R$300,0),MATCH(AR$2,'Input 4.1_2020VOL-YTD'!$C$1:$O$1,0))/INDEX('Input 4_2020CUST-YTD'!$C$4:Y$300,MATCH($C22,'Input 4_2020CUST-YTD'!$S$4:$S$300,0),MATCH(AR$2,'Input 4_2020CUST-YTD'!$C$1:$O$1,0)),0)</f>
        <v>0</v>
      </c>
      <c r="AS22" s="262">
        <f>IFERROR(INDEX('Input 4.1_2020VOL-YTD'!$C$4:$O$300, MATCH($C22,'Input 4.1_2020VOL-YTD'!$R$4:$R$300,0),MATCH(AS$2,'Input 4.1_2020VOL-YTD'!$C$1:$O$1,0))/INDEX('Input 4_2020CUST-YTD'!$C$4:Z$300,MATCH($C22,'Input 4_2020CUST-YTD'!$S$4:$S$300,0),MATCH(AS$2,'Input 4_2020CUST-YTD'!$C$1:$O$1,0)),0)</f>
        <v>0</v>
      </c>
      <c r="AT22" s="190">
        <f t="shared" si="9"/>
        <v>0</v>
      </c>
      <c r="AU22" s="261">
        <f t="shared" si="6"/>
        <v>1</v>
      </c>
      <c r="AW22" s="1">
        <f>IFERROR(INDEX('Input 5.1_2021VOL-YTD'!$C$3:$N$150, MATCH($C22,'Input 5.1_2021VOL-YTD'!$R$3:$R$150,0),MATCH(AW$2,'Input 5.1_2021VOL-YTD'!$C$1:$N$1,0))/INDEX('Input 5_2021CUST-YTD'!$C$3:$N$150,MATCH($C22,'Input 5_2021CUST-YTD'!$S$3:$S$150,0),MATCH(AW$2,'Input 5_2021CUST-YTD'!$C$1:$N$1,0)),0)</f>
        <v>0</v>
      </c>
      <c r="AX22" s="1">
        <f>IFERROR(INDEX('Input 5.1_2021VOL-YTD'!$C$3:$N$150, MATCH($C22,'Input 5.1_2021VOL-YTD'!$R$3:$R$150,0),MATCH(AX$2,'Input 5.1_2021VOL-YTD'!$C$1:$N$1,0))/INDEX('Input 5_2021CUST-YTD'!$C$3:$N$150,MATCH($C22,'Input 5_2021CUST-YTD'!$S$3:$S$150,0),MATCH(AX$2,'Input 5_2021CUST-YTD'!$C$1:$N$1,0)),0)</f>
        <v>0</v>
      </c>
      <c r="AY22" s="1">
        <f>IFERROR(INDEX('Input 5.1_2021VOL-YTD'!$C$3:$N$150, MATCH($C22,'Input 5.1_2021VOL-YTD'!$R$3:$R$150,0),MATCH(AY$2,'Input 5.1_2021VOL-YTD'!$C$1:$N$1,0))/INDEX('Input 5_2021CUST-YTD'!$C$3:$N$150,MATCH($C22,'Input 5_2021CUST-YTD'!$S$3:$S$150,0),MATCH(AY$2,'Input 5_2021CUST-YTD'!$C$1:$N$1,0)),0)</f>
        <v>0</v>
      </c>
      <c r="AZ22" s="1">
        <f>IFERROR(INDEX('Input 5.1_2021VOL-YTD'!$C$3:$N$150, MATCH($C22,'Input 5.1_2021VOL-YTD'!$R$3:$R$150,0),MATCH(AZ$2,'Input 5.1_2021VOL-YTD'!$C$1:$N$1,0))/INDEX('Input 5_2021CUST-YTD'!$C$3:$N$150,MATCH($C22,'Input 5_2021CUST-YTD'!$S$3:$S$150,0),MATCH(AZ$2,'Input 5_2021CUST-YTD'!$C$1:$N$1,0)),0)</f>
        <v>0</v>
      </c>
      <c r="BA22" s="1">
        <f>IFERROR(INDEX('Input 5.1_2021VOL-YTD'!$C$3:$N$150, MATCH($C22,'Input 5.1_2021VOL-YTD'!$R$3:$R$150,0),MATCH(BA$2,'Input 5.1_2021VOL-YTD'!$C$1:$N$1,0))/INDEX('Input 5_2021CUST-YTD'!$C$3:$N$150,MATCH($C22,'Input 5_2021CUST-YTD'!$S$3:$S$150,0),MATCH(BA$2,'Input 5_2021CUST-YTD'!$C$1:$N$1,0)),0)</f>
        <v>0</v>
      </c>
      <c r="BB22" s="1">
        <f>IFERROR(INDEX('Input 5.1_2021VOL-YTD'!$C$3:$N$150, MATCH($C22,'Input 5.1_2021VOL-YTD'!$R$3:$R$150,0),MATCH(BB$2,'Input 5.1_2021VOL-YTD'!$C$1:$N$1,0))/INDEX('Input 5_2021CUST-YTD'!$C$3:$N$150,MATCH($C22,'Input 5_2021CUST-YTD'!$S$3:$S$150,0),MATCH(BB$2,'Input 5_2021CUST-YTD'!$C$1:$N$1,0)),0)</f>
        <v>0</v>
      </c>
      <c r="BC22" s="1">
        <f>IFERROR(INDEX('Input 5.1_2021VOL-YTD'!$C$3:$N$150, MATCH($C22,'Input 5.1_2021VOL-YTD'!$R$3:$R$150,0),MATCH(BC$2,'Input 5.1_2021VOL-YTD'!$C$1:$N$1,0))/INDEX('Input 5_2021CUST-YTD'!$C$3:$N$150,MATCH($C22,'Input 5_2021CUST-YTD'!$S$3:$S$150,0),MATCH(BC$2,'Input 5_2021CUST-YTD'!$C$1:$N$1,0)),0)</f>
        <v>0</v>
      </c>
      <c r="BD22" s="1">
        <f>IFERROR(INDEX('Input 5.1_2021VOL-YTD'!$C$3:$N$150, MATCH($C22,'Input 5.1_2021VOL-YTD'!$R$3:$R$150,0),MATCH(BD$2,'Input 5.1_2021VOL-YTD'!$C$1:$N$1,0))/INDEX('Input 5_2021CUST-YTD'!$C$3:$N$150,MATCH($C22,'Input 5_2021CUST-YTD'!$S$3:$S$150,0),MATCH(BD$2,'Input 5_2021CUST-YTD'!$C$1:$N$1,0)),0)</f>
        <v>0</v>
      </c>
      <c r="BE22" s="1">
        <f>IFERROR(INDEX('Input 5.1_2021VOL-YTD'!$C$3:$N$150, MATCH($C22,'Input 5.1_2021VOL-YTD'!$R$3:$R$150,0),MATCH(BE$2,'Input 5.1_2021VOL-YTD'!$C$1:$N$1,0))/INDEX('Input 5_2021CUST-YTD'!$C$3:$N$150,MATCH($C22,'Input 5_2021CUST-YTD'!$S$3:$S$150,0),MATCH(BE$2,'Input 5_2021CUST-YTD'!$C$1:$N$1,0)),0)</f>
        <v>0</v>
      </c>
      <c r="BF22" s="1">
        <f>IFERROR(INDEX('Input 5.1_2021VOL-YTD'!$C$3:$N$150, MATCH($C22,'Input 5.1_2021VOL-YTD'!$R$3:$R$150,0),MATCH(BF$2,'Input 5.1_2021VOL-YTD'!$C$1:$N$1,0))/INDEX('Input 5_2021CUST-YTD'!$C$3:$N$150,MATCH($C22,'Input 5_2021CUST-YTD'!$S$3:$S$150,0),MATCH(BF$2,'Input 5_2021CUST-YTD'!$C$1:$N$1,0)),0)</f>
        <v>0</v>
      </c>
      <c r="BG22" s="1">
        <f>IFERROR(INDEX('Input 5.1_2021VOL-YTD'!$C$3:$N$150, MATCH($C22,'Input 5.1_2021VOL-YTD'!$R$3:$R$150,0),MATCH(BG$2,'Input 5.1_2021VOL-YTD'!$C$1:$N$1,0))/INDEX('Input 5_2021CUST-YTD'!$C$3:$N$150,MATCH($C22,'Input 5_2021CUST-YTD'!$S$3:$S$150,0),MATCH(BG$2,'Input 5_2021CUST-YTD'!$C$1:$N$1,0)),0)</f>
        <v>0</v>
      </c>
      <c r="BH22" s="1">
        <f>IFERROR(INDEX('Input 5.1_2021VOL-YTD'!$C$3:$N$150, MATCH($C22,'Input 5.1_2021VOL-YTD'!$R$3:$R$150,0),MATCH(BH$2,'Input 5.1_2021VOL-YTD'!$C$1:$N$1,0))/INDEX('Input 5_2021CUST-YTD'!$C$3:$N$150,MATCH($C22,'Input 5_2021CUST-YTD'!$S$3:$S$150,0),MATCH(BH$2,'Input 5_2021CUST-YTD'!$C$1:$N$1,0)),0)</f>
        <v>0</v>
      </c>
      <c r="BI22" s="190">
        <f t="shared" si="7"/>
        <v>0</v>
      </c>
      <c r="BJ22" s="261">
        <f t="shared" si="8"/>
        <v>1</v>
      </c>
    </row>
    <row r="23" spans="1:62">
      <c r="A23" s="261" t="s">
        <v>1245</v>
      </c>
      <c r="B23" s="261" t="s">
        <v>12</v>
      </c>
      <c r="C23" s="261" t="s">
        <v>913</v>
      </c>
      <c r="D23" s="5">
        <f>IFERROR(INDEX('Input 16.1_2018VOL-YTD'!$C$4:$N$300, MATCH($C23,'Input 16.1_2018VOL-YTD'!$R$4:$R$300,0),MATCH(D$2,'Input 16.1_2018VOL-YTD'!$C$1:$N$1,0))/INDEX('Input 16_2018CUST-YTD'!$D$4:$O$300,MATCH($C23,'Input 16_2018CUST-YTD'!$S$4:$S$300,0),MATCH(D$2,'Input 16_2018CUST-YTD'!$C$1:$O$1,0)),0)</f>
        <v>0</v>
      </c>
      <c r="E23" s="5">
        <f>IFERROR(INDEX('Input 16.1_2018VOL-YTD'!$C$4:$N$300, MATCH($C23,'Input 16.1_2018VOL-YTD'!$R$4:$R$300,0),MATCH(E$2,'Input 16.1_2018VOL-YTD'!$C$1:$N$1,0))/INDEX('Input 16_2018CUST-YTD'!$D$4:$O$300,MATCH($C23,'Input 16_2018CUST-YTD'!$S$4:$S$300,0),MATCH(E$2,'Input 16_2018CUST-YTD'!$C$1:$O$1,0)),0)</f>
        <v>0</v>
      </c>
      <c r="F23" s="5">
        <f>IFERROR(INDEX('Input 16.1_2018VOL-YTD'!$C$4:$N$300, MATCH($C23,'Input 16.1_2018VOL-YTD'!$R$4:$R$300,0),MATCH(F$2,'Input 16.1_2018VOL-YTD'!$C$1:$N$1,0))/INDEX('Input 16_2018CUST-YTD'!$D$4:$O$300,MATCH($C23,'Input 16_2018CUST-YTD'!$S$4:$S$300,0),MATCH(F$2,'Input 16_2018CUST-YTD'!$C$1:$O$1,0)),0)</f>
        <v>0</v>
      </c>
      <c r="G23" s="5">
        <f>IFERROR(INDEX('Input 16.1_2018VOL-YTD'!$C$4:$N$300, MATCH($C23,'Input 16.1_2018VOL-YTD'!$R$4:$R$300,0),MATCH(G$2,'Input 16.1_2018VOL-YTD'!$C$1:$N$1,0))/INDEX('Input 16_2018CUST-YTD'!$D$4:$O$300,MATCH($C23,'Input 16_2018CUST-YTD'!$S$4:$S$300,0),MATCH(G$2,'Input 16_2018CUST-YTD'!$C$1:$O$1,0)),0)</f>
        <v>0</v>
      </c>
      <c r="H23" s="5">
        <f>IFERROR(INDEX('Input 16.1_2018VOL-YTD'!$C$4:$N$300, MATCH($C23,'Input 16.1_2018VOL-YTD'!$R$4:$R$300,0),MATCH(H$2,'Input 16.1_2018VOL-YTD'!$C$1:$N$1,0))/INDEX('Input 16_2018CUST-YTD'!$D$4:$O$300,MATCH($C23,'Input 16_2018CUST-YTD'!$S$4:$S$300,0),MATCH(H$2,'Input 16_2018CUST-YTD'!$C$1:$O$1,0)),0)</f>
        <v>0</v>
      </c>
      <c r="I23" s="5">
        <f>IFERROR(INDEX('Input 16.1_2018VOL-YTD'!$C$4:$N$300, MATCH($C23,'Input 16.1_2018VOL-YTD'!$R$4:$R$300,0),MATCH(I$2,'Input 16.1_2018VOL-YTD'!$C$1:$N$1,0))/INDEX('Input 16_2018CUST-YTD'!$D$4:$O$300,MATCH($C23,'Input 16_2018CUST-YTD'!$S$4:$S$300,0),MATCH(I$2,'Input 16_2018CUST-YTD'!$C$1:$O$1,0)),0)</f>
        <v>0</v>
      </c>
      <c r="J23" s="5">
        <f>IFERROR(INDEX('Input 16.1_2018VOL-YTD'!$C$4:$N$300, MATCH($C23,'Input 16.1_2018VOL-YTD'!$R$4:$R$300,0),MATCH(J$2,'Input 16.1_2018VOL-YTD'!$C$1:$N$1,0))/INDEX('Input 16_2018CUST-YTD'!$D$4:$O$300,MATCH($C23,'Input 16_2018CUST-YTD'!$S$4:$S$300,0),MATCH(J$2,'Input 16_2018CUST-YTD'!$C$1:$O$1,0)),0)</f>
        <v>0</v>
      </c>
      <c r="K23" s="5">
        <f>IFERROR(INDEX('Input 16.1_2018VOL-YTD'!$C$4:$N$300, MATCH($C23,'Input 16.1_2018VOL-YTD'!$R$4:$R$300,0),MATCH(K$2,'Input 16.1_2018VOL-YTD'!$C$1:$N$1,0))/INDEX('Input 16_2018CUST-YTD'!$D$4:$O$300,MATCH($C23,'Input 16_2018CUST-YTD'!$S$4:$S$300,0),MATCH(K$2,'Input 16_2018CUST-YTD'!$C$1:$O$1,0)),0)</f>
        <v>0</v>
      </c>
      <c r="L23" s="5">
        <f>IFERROR(INDEX('Input 16.1_2018VOL-YTD'!$C$4:$N$300, MATCH($C23,'Input 16.1_2018VOL-YTD'!$R$4:$R$300,0),MATCH(L$2,'Input 16.1_2018VOL-YTD'!$C$1:$N$1,0))/INDEX('Input 16_2018CUST-YTD'!$D$4:$O$300,MATCH($C23,'Input 16_2018CUST-YTD'!$S$4:$S$300,0),MATCH(L$2,'Input 16_2018CUST-YTD'!$C$1:$O$1,0)),0)</f>
        <v>0</v>
      </c>
      <c r="M23" s="5">
        <f>IFERROR(INDEX('Input 16.1_2018VOL-YTD'!$C$4:$N$300, MATCH($C23,'Input 16.1_2018VOL-YTD'!$R$4:$R$300,0),MATCH(M$2,'Input 16.1_2018VOL-YTD'!$C$1:$N$1,0))/INDEX('Input 16_2018CUST-YTD'!$D$4:$O$300,MATCH($C23,'Input 16_2018CUST-YTD'!$S$4:$S$300,0),MATCH(M$2,'Input 16_2018CUST-YTD'!$C$1:$O$1,0)),0)</f>
        <v>0</v>
      </c>
      <c r="N23" s="5">
        <f>IFERROR(INDEX('Input 16.1_2018VOL-YTD'!$C$4:$N$300, MATCH($C23,'Input 16.1_2018VOL-YTD'!$R$4:$R$300,0),MATCH(N$2,'Input 16.1_2018VOL-YTD'!$C$1:$N$1,0))/INDEX('Input 16_2018CUST-YTD'!$D$4:$O$300,MATCH($C23,'Input 16_2018CUST-YTD'!$S$4:$S$300,0),MATCH(N$2,'Input 16_2018CUST-YTD'!$C$1:$O$1,0)),0)</f>
        <v>0</v>
      </c>
      <c r="O23" s="5">
        <f>IFERROR(INDEX('Input 16.1_2018VOL-YTD'!$C$4:$N$300, MATCH($C23,'Input 16.1_2018VOL-YTD'!$R$4:$R$300,0),MATCH(O$2,'Input 16.1_2018VOL-YTD'!$C$1:$N$1,0))/INDEX('Input 16_2018CUST-YTD'!$D$4:$O$300,MATCH($C23,'Input 16_2018CUST-YTD'!$S$4:$S$300,0),MATCH(O$2,'Input 16_2018CUST-YTD'!$C$1:$O$1,0)),0)</f>
        <v>0</v>
      </c>
      <c r="P23" s="271">
        <f t="shared" si="1"/>
        <v>0</v>
      </c>
      <c r="Q23" s="261">
        <f t="shared" si="2"/>
        <v>0</v>
      </c>
      <c r="S23" s="5">
        <f>IFERROR(INDEX('Input 3.1_2019VOL-YTD'!$C$4:$N$300, MATCH($C23,'Input 3.1_2019VOL-YTD'!$R$4:$R$300,0),MATCH(S$2,'Input 3.1_2019VOL-YTD'!$C$1:$N$1,0))/INDEX('Input 3_2019CUST-YTD'!$C$4:$N$300,MATCH($C23,'Input 3_2019CUST-YTD'!$S$4:$S$300,0),MATCH(S$2,'Input 3_2019CUST-YTD'!$C$1:$N$1,0)),0)</f>
        <v>0</v>
      </c>
      <c r="T23" s="5">
        <f>IFERROR(INDEX('Input 3.1_2019VOL-YTD'!$C$4:$N$300, MATCH($C23,'Input 3.1_2019VOL-YTD'!$R$4:$R$300,0),MATCH(T$2,'Input 3.1_2019VOL-YTD'!$C$1:$N$1,0))/INDEX('Input 3_2019CUST-YTD'!$C$4:$N$300,MATCH($C23,'Input 3_2019CUST-YTD'!$S$4:$S$300,0),MATCH(T$2,'Input 3_2019CUST-YTD'!$C$1:$N$1,0)),0)</f>
        <v>0</v>
      </c>
      <c r="U23" s="5">
        <f>IFERROR(INDEX('Input 3.1_2019VOL-YTD'!$C$4:$N$300, MATCH($C23,'Input 3.1_2019VOL-YTD'!$R$4:$R$300,0),MATCH(U$2,'Input 3.1_2019VOL-YTD'!$C$1:$N$1,0))/INDEX('Input 3_2019CUST-YTD'!$C$4:$N$300,MATCH($C23,'Input 3_2019CUST-YTD'!$S$4:$S$300,0),MATCH(U$2,'Input 3_2019CUST-YTD'!$C$1:$N$1,0)),0)</f>
        <v>0</v>
      </c>
      <c r="V23" s="5">
        <f>IFERROR(INDEX('Input 3.1_2019VOL-YTD'!$C$4:$N$300, MATCH($C23,'Input 3.1_2019VOL-YTD'!$R$4:$R$300,0),MATCH(V$2,'Input 3.1_2019VOL-YTD'!$C$1:$N$1,0))/INDEX('Input 3_2019CUST-YTD'!$C$4:$N$300,MATCH($C23,'Input 3_2019CUST-YTD'!$S$4:$S$300,0),MATCH(V$2,'Input 3_2019CUST-YTD'!$C$1:$N$1,0)),0)</f>
        <v>0</v>
      </c>
      <c r="W23" s="5">
        <f>IFERROR(INDEX('Input 3.1_2019VOL-YTD'!$C$4:$N$300, MATCH($C23,'Input 3.1_2019VOL-YTD'!$R$4:$R$300,0),MATCH(W$2,'Input 3.1_2019VOL-YTD'!$C$1:$N$1,0))/INDEX('Input 3_2019CUST-YTD'!$C$4:$N$300,MATCH($C23,'Input 3_2019CUST-YTD'!$S$4:$S$300,0),MATCH(W$2,'Input 3_2019CUST-YTD'!$C$1:$N$1,0)),0)</f>
        <v>0</v>
      </c>
      <c r="X23" s="5">
        <f>IFERROR(INDEX('Input 3.1_2019VOL-YTD'!$C$4:$N$300, MATCH($C23,'Input 3.1_2019VOL-YTD'!$R$4:$R$300,0),MATCH(X$2,'Input 3.1_2019VOL-YTD'!$C$1:$N$1,0))/INDEX('Input 3_2019CUST-YTD'!$C$4:$N$300,MATCH($C23,'Input 3_2019CUST-YTD'!$S$4:$S$300,0),MATCH(X$2,'Input 3_2019CUST-YTD'!$C$1:$N$1,0)),0)</f>
        <v>0</v>
      </c>
      <c r="Y23" s="5">
        <f>IFERROR(INDEX('Input 3.1_2019VOL-YTD'!$C$4:$N$300, MATCH($C23,'Input 3.1_2019VOL-YTD'!$R$4:$R$300,0),MATCH(Y$2,'Input 3.1_2019VOL-YTD'!$C$1:$N$1,0))/INDEX('Input 3_2019CUST-YTD'!$C$4:$N$300,MATCH($C23,'Input 3_2019CUST-YTD'!$S$4:$S$300,0),MATCH(Y$2,'Input 3_2019CUST-YTD'!$C$1:$N$1,0)),0)</f>
        <v>0</v>
      </c>
      <c r="Z23" s="5">
        <f>IFERROR(INDEX('Input 3.1_2019VOL-YTD'!$C$4:$N$300, MATCH($C23,'Input 3.1_2019VOL-YTD'!$R$4:$R$300,0),MATCH(Z$2,'Input 3.1_2019VOL-YTD'!$C$1:$N$1,0))/INDEX('Input 3_2019CUST-YTD'!$C$4:$N$300,MATCH($C23,'Input 3_2019CUST-YTD'!$S$4:$S$300,0),MATCH(Z$2,'Input 3_2019CUST-YTD'!$C$1:$N$1,0)),0)</f>
        <v>0</v>
      </c>
      <c r="AA23" s="5">
        <f>IFERROR(INDEX('Input 3.1_2019VOL-YTD'!$C$4:$N$300, MATCH($C23,'Input 3.1_2019VOL-YTD'!$R$4:$R$300,0),MATCH(AA$2,'Input 3.1_2019VOL-YTD'!$C$1:$N$1,0))/INDEX('Input 3_2019CUST-YTD'!$C$4:$N$300,MATCH($C23,'Input 3_2019CUST-YTD'!$S$4:$S$300,0),MATCH(AA$2,'Input 3_2019CUST-YTD'!$C$1:$N$1,0)),0)</f>
        <v>0</v>
      </c>
      <c r="AB23" s="5">
        <f>IFERROR(INDEX('Input 3.1_2019VOL-YTD'!$C$4:$N$300, MATCH($C23,'Input 3.1_2019VOL-YTD'!$R$4:$R$300,0),MATCH(AB$2,'Input 3.1_2019VOL-YTD'!$C$1:$N$1,0))/INDEX('Input 3_2019CUST-YTD'!$C$4:$N$300,MATCH($C23,'Input 3_2019CUST-YTD'!$S$4:$S$300,0),MATCH(AB$2,'Input 3_2019CUST-YTD'!$C$1:$N$1,0)),0)</f>
        <v>0</v>
      </c>
      <c r="AC23" s="5">
        <f>IFERROR(INDEX('Input 3.1_2019VOL-YTD'!$C$4:$N$300, MATCH($C23,'Input 3.1_2019VOL-YTD'!$R$4:$R$300,0),MATCH(AC$2,'Input 3.1_2019VOL-YTD'!$C$1:$N$1,0))/INDEX('Input 3_2019CUST-YTD'!$C$4:$N$300,MATCH($C23,'Input 3_2019CUST-YTD'!$S$4:$S$300,0),MATCH(AC$2,'Input 3_2019CUST-YTD'!$C$1:$N$1,0)),0)</f>
        <v>0</v>
      </c>
      <c r="AD23" s="5">
        <f>IFERROR(INDEX('Input 3.1_2019VOL-YTD'!$C$4:$N$300, MATCH($C23,'Input 3.1_2019VOL-YTD'!$R$4:$R$300,0),MATCH(AD$2,'Input 3.1_2019VOL-YTD'!$C$1:$N$1,0))/INDEX('Input 3_2019CUST-YTD'!$C$4:$N$300,MATCH($C23,'Input 3_2019CUST-YTD'!$S$4:$S$300,0),MATCH(AD$2,'Input 3_2019CUST-YTD'!$C$1:$N$1,0)),0)</f>
        <v>0</v>
      </c>
      <c r="AE23" s="272">
        <f t="shared" si="3"/>
        <v>0</v>
      </c>
      <c r="AF23" s="261">
        <f t="shared" si="4"/>
        <v>1</v>
      </c>
      <c r="AH23" s="262">
        <f>IFERROR(INDEX('Input 4.1_2020VOL-YTD'!$C$4:$O$300, MATCH($C23,'Input 4.1_2020VOL-YTD'!$R$4:$R$300,0),MATCH(AH$2,'Input 4.1_2020VOL-YTD'!$C$1:$O$1,0))/INDEX('Input 4_2020CUST-YTD'!$C$4:O$300,MATCH($C23,'Input 4_2020CUST-YTD'!$S$4:$S$300,0),MATCH(AH$2,'Input 4_2020CUST-YTD'!$C$1:$O$1,0)),0)</f>
        <v>0</v>
      </c>
      <c r="AI23" s="262">
        <f>IFERROR(INDEX('Input 4.1_2020VOL-YTD'!$C$4:$O$300, MATCH($C23,'Input 4.1_2020VOL-YTD'!$R$4:$R$300,0),MATCH(AI$2,'Input 4.1_2020VOL-YTD'!$C$1:$O$1,0))/INDEX('Input 4_2020CUST-YTD'!$C$4:P$300,MATCH($C23,'Input 4_2020CUST-YTD'!$S$4:$S$300,0),MATCH(AI$2,'Input 4_2020CUST-YTD'!$C$1:$O$1,0)),0)</f>
        <v>0</v>
      </c>
      <c r="AJ23" s="262">
        <f>IFERROR(INDEX('Input 4.1_2020VOL-YTD'!$C$4:$O$300, MATCH($C23,'Input 4.1_2020VOL-YTD'!$R$4:$R$300,0),MATCH(AJ$2,'Input 4.1_2020VOL-YTD'!$C$1:$O$1,0))/INDEX('Input 4_2020CUST-YTD'!$C$4:Q$300,MATCH($C23,'Input 4_2020CUST-YTD'!$S$4:$S$300,0),MATCH(AJ$2,'Input 4_2020CUST-YTD'!$C$1:$O$1,0)),0)</f>
        <v>0</v>
      </c>
      <c r="AK23" s="262">
        <f>IFERROR(INDEX('Input 4.1_2020VOL-YTD'!$C$4:$O$300, MATCH($C23,'Input 4.1_2020VOL-YTD'!$R$4:$R$300,0),MATCH(AK$2,'Input 4.1_2020VOL-YTD'!$C$1:$O$1,0))/INDEX('Input 4_2020CUST-YTD'!$C$4:R$300,MATCH($C23,'Input 4_2020CUST-YTD'!$S$4:$S$300,0),MATCH(AK$2,'Input 4_2020CUST-YTD'!$C$1:$O$1,0)),0)</f>
        <v>0</v>
      </c>
      <c r="AL23" s="262">
        <f>IFERROR(INDEX('Input 4.1_2020VOL-YTD'!$C$4:$O$300, MATCH($C23,'Input 4.1_2020VOL-YTD'!$R$4:$R$300,0),MATCH(AL$2,'Input 4.1_2020VOL-YTD'!$C$1:$O$1,0))/INDEX('Input 4_2020CUST-YTD'!$C$4:S$300,MATCH($C23,'Input 4_2020CUST-YTD'!$S$4:$S$300,0),MATCH(AL$2,'Input 4_2020CUST-YTD'!$C$1:$O$1,0)),0)</f>
        <v>0</v>
      </c>
      <c r="AM23" s="262">
        <f>IFERROR(INDEX('Input 4.1_2020VOL-YTD'!$C$4:$O$300, MATCH($C23,'Input 4.1_2020VOL-YTD'!$R$4:$R$300,0),MATCH(AM$2,'Input 4.1_2020VOL-YTD'!$C$1:$O$1,0))/INDEX('Input 4_2020CUST-YTD'!$C$4:T$300,MATCH($C23,'Input 4_2020CUST-YTD'!$S$4:$S$300,0),MATCH(AM$2,'Input 4_2020CUST-YTD'!$C$1:$O$1,0)),0)</f>
        <v>0</v>
      </c>
      <c r="AN23" s="262">
        <f>IFERROR(INDEX('Input 4.1_2020VOL-YTD'!$C$4:$O$300, MATCH($C23,'Input 4.1_2020VOL-YTD'!$R$4:$R$300,0),MATCH(AN$2,'Input 4.1_2020VOL-YTD'!$C$1:$O$1,0))/INDEX('Input 4_2020CUST-YTD'!$C$4:U$300,MATCH($C23,'Input 4_2020CUST-YTD'!$S$4:$S$300,0),MATCH(AN$2,'Input 4_2020CUST-YTD'!$C$1:$O$1,0)),0)</f>
        <v>0</v>
      </c>
      <c r="AO23" s="262">
        <f>IFERROR(INDEX('Input 4.1_2020VOL-YTD'!$C$4:$O$300, MATCH($C23,'Input 4.1_2020VOL-YTD'!$R$4:$R$300,0),MATCH(AO$2,'Input 4.1_2020VOL-YTD'!$C$1:$O$1,0))/INDEX('Input 4_2020CUST-YTD'!$C$4:V$300,MATCH($C23,'Input 4_2020CUST-YTD'!$S$4:$S$300,0),MATCH(AO$2,'Input 4_2020CUST-YTD'!$C$1:$O$1,0)),0)</f>
        <v>0</v>
      </c>
      <c r="AP23" s="262">
        <f>IFERROR(INDEX('Input 4.1_2020VOL-YTD'!$C$4:$O$300, MATCH($C23,'Input 4.1_2020VOL-YTD'!$R$4:$R$300,0),MATCH(AP$2,'Input 4.1_2020VOL-YTD'!$C$1:$O$1,0))/INDEX('Input 4_2020CUST-YTD'!$C$4:W$300,MATCH($C23,'Input 4_2020CUST-YTD'!$S$4:$S$300,0),MATCH(AP$2,'Input 4_2020CUST-YTD'!$C$1:$O$1,0)),0)</f>
        <v>0</v>
      </c>
      <c r="AQ23" s="262">
        <f>IFERROR(INDEX('Input 4.1_2020VOL-YTD'!$C$4:$O$300, MATCH($C23,'Input 4.1_2020VOL-YTD'!$R$4:$R$300,0),MATCH(AQ$2,'Input 4.1_2020VOL-YTD'!$C$1:$O$1,0))/INDEX('Input 4_2020CUST-YTD'!$C$4:X$300,MATCH($C23,'Input 4_2020CUST-YTD'!$S$4:$S$300,0),MATCH(AQ$2,'Input 4_2020CUST-YTD'!$C$1:$O$1,0)),0)</f>
        <v>0</v>
      </c>
      <c r="AR23" s="262">
        <f>IFERROR(INDEX('Input 4.1_2020VOL-YTD'!$C$4:$O$300, MATCH($C23,'Input 4.1_2020VOL-YTD'!$R$4:$R$300,0),MATCH(AR$2,'Input 4.1_2020VOL-YTD'!$C$1:$O$1,0))/INDEX('Input 4_2020CUST-YTD'!$C$4:Y$300,MATCH($C23,'Input 4_2020CUST-YTD'!$S$4:$S$300,0),MATCH(AR$2,'Input 4_2020CUST-YTD'!$C$1:$O$1,0)),0)</f>
        <v>0</v>
      </c>
      <c r="AS23" s="262">
        <f>IFERROR(INDEX('Input 4.1_2020VOL-YTD'!$C$4:$O$300, MATCH($C23,'Input 4.1_2020VOL-YTD'!$R$4:$R$300,0),MATCH(AS$2,'Input 4.1_2020VOL-YTD'!$C$1:$O$1,0))/INDEX('Input 4_2020CUST-YTD'!$C$4:Z$300,MATCH($C23,'Input 4_2020CUST-YTD'!$S$4:$S$300,0),MATCH(AS$2,'Input 4_2020CUST-YTD'!$C$1:$O$1,0)),0)</f>
        <v>0</v>
      </c>
      <c r="AT23" s="190">
        <f t="shared" si="9"/>
        <v>0</v>
      </c>
      <c r="AU23" s="261">
        <f t="shared" si="6"/>
        <v>1</v>
      </c>
      <c r="AW23" s="1">
        <f>IFERROR(INDEX('Input 5.1_2021VOL-YTD'!$C$3:$N$150, MATCH($C23,'Input 5.1_2021VOL-YTD'!$R$3:$R$150,0),MATCH(AW$2,'Input 5.1_2021VOL-YTD'!$C$1:$N$1,0))/INDEX('Input 5_2021CUST-YTD'!$C$3:$N$150,MATCH($C23,'Input 5_2021CUST-YTD'!$S$3:$S$150,0),MATCH(AW$2,'Input 5_2021CUST-YTD'!$C$1:$N$1,0)),0)</f>
        <v>0</v>
      </c>
      <c r="AX23" s="1">
        <f>IFERROR(INDEX('Input 5.1_2021VOL-YTD'!$C$3:$N$150, MATCH($C23,'Input 5.1_2021VOL-YTD'!$R$3:$R$150,0),MATCH(AX$2,'Input 5.1_2021VOL-YTD'!$C$1:$N$1,0))/INDEX('Input 5_2021CUST-YTD'!$C$3:$N$150,MATCH($C23,'Input 5_2021CUST-YTD'!$S$3:$S$150,0),MATCH(AX$2,'Input 5_2021CUST-YTD'!$C$1:$N$1,0)),0)</f>
        <v>0</v>
      </c>
      <c r="AY23" s="1">
        <f>IFERROR(INDEX('Input 5.1_2021VOL-YTD'!$C$3:$N$150, MATCH($C23,'Input 5.1_2021VOL-YTD'!$R$3:$R$150,0),MATCH(AY$2,'Input 5.1_2021VOL-YTD'!$C$1:$N$1,0))/INDEX('Input 5_2021CUST-YTD'!$C$3:$N$150,MATCH($C23,'Input 5_2021CUST-YTD'!$S$3:$S$150,0),MATCH(AY$2,'Input 5_2021CUST-YTD'!$C$1:$N$1,0)),0)</f>
        <v>0</v>
      </c>
      <c r="AZ23" s="1">
        <f>IFERROR(INDEX('Input 5.1_2021VOL-YTD'!$C$3:$N$150, MATCH($C23,'Input 5.1_2021VOL-YTD'!$R$3:$R$150,0),MATCH(AZ$2,'Input 5.1_2021VOL-YTD'!$C$1:$N$1,0))/INDEX('Input 5_2021CUST-YTD'!$C$3:$N$150,MATCH($C23,'Input 5_2021CUST-YTD'!$S$3:$S$150,0),MATCH(AZ$2,'Input 5_2021CUST-YTD'!$C$1:$N$1,0)),0)</f>
        <v>0</v>
      </c>
      <c r="BA23" s="1">
        <f>IFERROR(INDEX('Input 5.1_2021VOL-YTD'!$C$3:$N$150, MATCH($C23,'Input 5.1_2021VOL-YTD'!$R$3:$R$150,0),MATCH(BA$2,'Input 5.1_2021VOL-YTD'!$C$1:$N$1,0))/INDEX('Input 5_2021CUST-YTD'!$C$3:$N$150,MATCH($C23,'Input 5_2021CUST-YTD'!$S$3:$S$150,0),MATCH(BA$2,'Input 5_2021CUST-YTD'!$C$1:$N$1,0)),0)</f>
        <v>0</v>
      </c>
      <c r="BB23" s="1">
        <f>IFERROR(INDEX('Input 5.1_2021VOL-YTD'!$C$3:$N$150, MATCH($C23,'Input 5.1_2021VOL-YTD'!$R$3:$R$150,0),MATCH(BB$2,'Input 5.1_2021VOL-YTD'!$C$1:$N$1,0))/INDEX('Input 5_2021CUST-YTD'!$C$3:$N$150,MATCH($C23,'Input 5_2021CUST-YTD'!$S$3:$S$150,0),MATCH(BB$2,'Input 5_2021CUST-YTD'!$C$1:$N$1,0)),0)</f>
        <v>0</v>
      </c>
      <c r="BC23" s="1">
        <f>IFERROR(INDEX('Input 5.1_2021VOL-YTD'!$C$3:$N$150, MATCH($C23,'Input 5.1_2021VOL-YTD'!$R$3:$R$150,0),MATCH(BC$2,'Input 5.1_2021VOL-YTD'!$C$1:$N$1,0))/INDEX('Input 5_2021CUST-YTD'!$C$3:$N$150,MATCH($C23,'Input 5_2021CUST-YTD'!$S$3:$S$150,0),MATCH(BC$2,'Input 5_2021CUST-YTD'!$C$1:$N$1,0)),0)</f>
        <v>0</v>
      </c>
      <c r="BD23" s="1">
        <f>IFERROR(INDEX('Input 5.1_2021VOL-YTD'!$C$3:$N$150, MATCH($C23,'Input 5.1_2021VOL-YTD'!$R$3:$R$150,0),MATCH(BD$2,'Input 5.1_2021VOL-YTD'!$C$1:$N$1,0))/INDEX('Input 5_2021CUST-YTD'!$C$3:$N$150,MATCH($C23,'Input 5_2021CUST-YTD'!$S$3:$S$150,0),MATCH(BD$2,'Input 5_2021CUST-YTD'!$C$1:$N$1,0)),0)</f>
        <v>0</v>
      </c>
      <c r="BE23" s="1">
        <f>IFERROR(INDEX('Input 5.1_2021VOL-YTD'!$C$3:$N$150, MATCH($C23,'Input 5.1_2021VOL-YTD'!$R$3:$R$150,0),MATCH(BE$2,'Input 5.1_2021VOL-YTD'!$C$1:$N$1,0))/INDEX('Input 5_2021CUST-YTD'!$C$3:$N$150,MATCH($C23,'Input 5_2021CUST-YTD'!$S$3:$S$150,0),MATCH(BE$2,'Input 5_2021CUST-YTD'!$C$1:$N$1,0)),0)</f>
        <v>0</v>
      </c>
      <c r="BF23" s="1">
        <f>IFERROR(INDEX('Input 5.1_2021VOL-YTD'!$C$3:$N$150, MATCH($C23,'Input 5.1_2021VOL-YTD'!$R$3:$R$150,0),MATCH(BF$2,'Input 5.1_2021VOL-YTD'!$C$1:$N$1,0))/INDEX('Input 5_2021CUST-YTD'!$C$3:$N$150,MATCH($C23,'Input 5_2021CUST-YTD'!$S$3:$S$150,0),MATCH(BF$2,'Input 5_2021CUST-YTD'!$C$1:$N$1,0)),0)</f>
        <v>0</v>
      </c>
      <c r="BG23" s="1">
        <f>IFERROR(INDEX('Input 5.1_2021VOL-YTD'!$C$3:$N$150, MATCH($C23,'Input 5.1_2021VOL-YTD'!$R$3:$R$150,0),MATCH(BG$2,'Input 5.1_2021VOL-YTD'!$C$1:$N$1,0))/INDEX('Input 5_2021CUST-YTD'!$C$3:$N$150,MATCH($C23,'Input 5_2021CUST-YTD'!$S$3:$S$150,0),MATCH(BG$2,'Input 5_2021CUST-YTD'!$C$1:$N$1,0)),0)</f>
        <v>0</v>
      </c>
      <c r="BH23" s="1">
        <f>IFERROR(INDEX('Input 5.1_2021VOL-YTD'!$C$3:$N$150, MATCH($C23,'Input 5.1_2021VOL-YTD'!$R$3:$R$150,0),MATCH(BH$2,'Input 5.1_2021VOL-YTD'!$C$1:$N$1,0))/INDEX('Input 5_2021CUST-YTD'!$C$3:$N$150,MATCH($C23,'Input 5_2021CUST-YTD'!$S$3:$S$150,0),MATCH(BH$2,'Input 5_2021CUST-YTD'!$C$1:$N$1,0)),0)</f>
        <v>0</v>
      </c>
      <c r="BI23" s="190">
        <f t="shared" si="7"/>
        <v>0</v>
      </c>
      <c r="BJ23" s="261">
        <f t="shared" si="8"/>
        <v>1</v>
      </c>
    </row>
    <row r="24" spans="1:62">
      <c r="A24" s="261" t="s">
        <v>1245</v>
      </c>
      <c r="B24" s="261" t="s">
        <v>996</v>
      </c>
      <c r="C24" s="261" t="s">
        <v>706</v>
      </c>
      <c r="D24" s="5">
        <f>IFERROR(INDEX('Input 16.1_2018VOL-YTD'!$C$4:$N$300, MATCH($C24,'Input 16.1_2018VOL-YTD'!$R$4:$R$300,0),MATCH(D$2,'Input 16.1_2018VOL-YTD'!$C$1:$N$1,0))/INDEX('Input 16_2018CUST-YTD'!$D$4:$O$300,MATCH($C24,'Input 16_2018CUST-YTD'!$S$4:$S$300,0),MATCH(D$2,'Input 16_2018CUST-YTD'!$C$1:$O$1,0)),0)</f>
        <v>407.714</v>
      </c>
      <c r="E24" s="5">
        <f>IFERROR(INDEX('Input 16.1_2018VOL-YTD'!$C$4:$N$300, MATCH($C24,'Input 16.1_2018VOL-YTD'!$R$4:$R$300,0),MATCH(E$2,'Input 16.1_2018VOL-YTD'!$C$1:$N$1,0))/INDEX('Input 16_2018CUST-YTD'!$D$4:$O$300,MATCH($C24,'Input 16_2018CUST-YTD'!$S$4:$S$300,0),MATCH(E$2,'Input 16_2018CUST-YTD'!$C$1:$O$1,0)),0)</f>
        <v>321.70705882352945</v>
      </c>
      <c r="F24" s="5">
        <f>IFERROR(INDEX('Input 16.1_2018VOL-YTD'!$C$4:$N$300, MATCH($C24,'Input 16.1_2018VOL-YTD'!$R$4:$R$300,0),MATCH(F$2,'Input 16.1_2018VOL-YTD'!$C$1:$N$1,0))/INDEX('Input 16_2018CUST-YTD'!$D$4:$O$300,MATCH($C24,'Input 16_2018CUST-YTD'!$S$4:$S$300,0),MATCH(F$2,'Input 16_2018CUST-YTD'!$C$1:$O$1,0)),0)</f>
        <v>241.07117647058823</v>
      </c>
      <c r="G24" s="5">
        <f>IFERROR(INDEX('Input 16.1_2018VOL-YTD'!$C$4:$N$300, MATCH($C24,'Input 16.1_2018VOL-YTD'!$R$4:$R$300,0),MATCH(G$2,'Input 16.1_2018VOL-YTD'!$C$1:$N$1,0))/INDEX('Input 16_2018CUST-YTD'!$D$4:$O$300,MATCH($C24,'Input 16_2018CUST-YTD'!$S$4:$S$300,0),MATCH(G$2,'Input 16_2018CUST-YTD'!$C$1:$O$1,0)),0)</f>
        <v>265.79294117647055</v>
      </c>
      <c r="H24" s="5">
        <f>IFERROR(INDEX('Input 16.1_2018VOL-YTD'!$C$4:$N$300, MATCH($C24,'Input 16.1_2018VOL-YTD'!$R$4:$R$300,0),MATCH(H$2,'Input 16.1_2018VOL-YTD'!$C$1:$N$1,0))/INDEX('Input 16_2018CUST-YTD'!$D$4:$O$300,MATCH($C24,'Input 16_2018CUST-YTD'!$S$4:$S$300,0),MATCH(H$2,'Input 16_2018CUST-YTD'!$C$1:$O$1,0)),0)</f>
        <v>188.50749999999999</v>
      </c>
      <c r="I24" s="5">
        <f>IFERROR(INDEX('Input 16.1_2018VOL-YTD'!$C$4:$N$300, MATCH($C24,'Input 16.1_2018VOL-YTD'!$R$4:$R$300,0),MATCH(I$2,'Input 16.1_2018VOL-YTD'!$C$1:$N$1,0))/INDEX('Input 16_2018CUST-YTD'!$D$4:$O$300,MATCH($C24,'Input 16_2018CUST-YTD'!$S$4:$S$300,0),MATCH(I$2,'Input 16_2018CUST-YTD'!$C$1:$O$1,0)),0)</f>
        <v>141.17500000000001</v>
      </c>
      <c r="J24" s="5">
        <f>IFERROR(INDEX('Input 16.1_2018VOL-YTD'!$C$4:$N$300, MATCH($C24,'Input 16.1_2018VOL-YTD'!$R$4:$R$300,0),MATCH(J$2,'Input 16.1_2018VOL-YTD'!$C$1:$N$1,0))/INDEX('Input 16_2018CUST-YTD'!$D$4:$O$300,MATCH($C24,'Input 16_2018CUST-YTD'!$S$4:$S$300,0),MATCH(J$2,'Input 16_2018CUST-YTD'!$C$1:$O$1,0)),0)</f>
        <v>66.999375000000001</v>
      </c>
      <c r="K24" s="5">
        <f>IFERROR(INDEX('Input 16.1_2018VOL-YTD'!$C$4:$N$300, MATCH($C24,'Input 16.1_2018VOL-YTD'!$R$4:$R$300,0),MATCH(K$2,'Input 16.1_2018VOL-YTD'!$C$1:$N$1,0))/INDEX('Input 16_2018CUST-YTD'!$D$4:$O$300,MATCH($C24,'Input 16_2018CUST-YTD'!$S$4:$S$300,0),MATCH(K$2,'Input 16_2018CUST-YTD'!$C$1:$O$1,0)),0)</f>
        <v>69.074375000000003</v>
      </c>
      <c r="L24" s="5">
        <f>IFERROR(INDEX('Input 16.1_2018VOL-YTD'!$C$4:$N$300, MATCH($C24,'Input 16.1_2018VOL-YTD'!$R$4:$R$300,0),MATCH(L$2,'Input 16.1_2018VOL-YTD'!$C$1:$N$1,0))/INDEX('Input 16_2018CUST-YTD'!$D$4:$O$300,MATCH($C24,'Input 16_2018CUST-YTD'!$S$4:$S$300,0),MATCH(L$2,'Input 16_2018CUST-YTD'!$C$1:$O$1,0)),0)</f>
        <v>83.828125000000014</v>
      </c>
      <c r="M24" s="5">
        <f>IFERROR(INDEX('Input 16.1_2018VOL-YTD'!$C$4:$N$300, MATCH($C24,'Input 16.1_2018VOL-YTD'!$R$4:$R$300,0),MATCH(M$2,'Input 16.1_2018VOL-YTD'!$C$1:$N$1,0))/INDEX('Input 16_2018CUST-YTD'!$D$4:$O$300,MATCH($C24,'Input 16_2018CUST-YTD'!$S$4:$S$300,0),MATCH(M$2,'Input 16_2018CUST-YTD'!$C$1:$O$1,0)),0)</f>
        <v>66.896250000000009</v>
      </c>
      <c r="N24" s="5">
        <f>IFERROR(INDEX('Input 16.1_2018VOL-YTD'!$C$4:$N$300, MATCH($C24,'Input 16.1_2018VOL-YTD'!$R$4:$R$300,0),MATCH(N$2,'Input 16.1_2018VOL-YTD'!$C$1:$N$1,0))/INDEX('Input 16_2018CUST-YTD'!$D$4:$O$300,MATCH($C24,'Input 16_2018CUST-YTD'!$S$4:$S$300,0),MATCH(N$2,'Input 16_2018CUST-YTD'!$C$1:$O$1,0)),0)</f>
        <v>111.0275</v>
      </c>
      <c r="O24" s="5">
        <f>IFERROR(INDEX('Input 16.1_2018VOL-YTD'!$C$4:$N$300, MATCH($C24,'Input 16.1_2018VOL-YTD'!$R$4:$R$300,0),MATCH(O$2,'Input 16.1_2018VOL-YTD'!$C$1:$N$1,0))/INDEX('Input 16_2018CUST-YTD'!$D$4:$O$300,MATCH($C24,'Input 16_2018CUST-YTD'!$S$4:$S$300,0),MATCH(O$2,'Input 16_2018CUST-YTD'!$C$1:$O$1,0)),0)</f>
        <v>30.265906735751294</v>
      </c>
      <c r="P24" s="271">
        <f t="shared" si="1"/>
        <v>407.714</v>
      </c>
      <c r="Q24" s="261">
        <f t="shared" si="2"/>
        <v>1</v>
      </c>
      <c r="S24" s="5">
        <f>IFERROR(INDEX('Input 3.1_2019VOL-YTD'!$C$4:$N$300, MATCH($C24,'Input 3.1_2019VOL-YTD'!$R$4:$R$300,0),MATCH(S$2,'Input 3.1_2019VOL-YTD'!$C$1:$N$1,0))/INDEX('Input 3_2019CUST-YTD'!$C$4:$N$300,MATCH($C24,'Input 3_2019CUST-YTD'!$S$4:$S$300,0),MATCH(S$2,'Input 3_2019CUST-YTD'!$C$1:$N$1,0)),0)</f>
        <v>466.45875000000001</v>
      </c>
      <c r="T24" s="5">
        <f>IFERROR(INDEX('Input 3.1_2019VOL-YTD'!$C$4:$N$300, MATCH($C24,'Input 3.1_2019VOL-YTD'!$R$4:$R$300,0),MATCH(T$2,'Input 3.1_2019VOL-YTD'!$C$1:$N$1,0))/INDEX('Input 3_2019CUST-YTD'!$C$4:$N$300,MATCH($C24,'Input 3_2019CUST-YTD'!$S$4:$S$300,0),MATCH(T$2,'Input 3_2019CUST-YTD'!$C$1:$N$1,0)),0)</f>
        <v>400.30266666666665</v>
      </c>
      <c r="U24" s="5">
        <f>IFERROR(INDEX('Input 3.1_2019VOL-YTD'!$C$4:$N$300, MATCH($C24,'Input 3.1_2019VOL-YTD'!$R$4:$R$300,0),MATCH(U$2,'Input 3.1_2019VOL-YTD'!$C$1:$N$1,0))/INDEX('Input 3_2019CUST-YTD'!$C$4:$N$300,MATCH($C24,'Input 3_2019CUST-YTD'!$S$4:$S$300,0),MATCH(U$2,'Input 3_2019CUST-YTD'!$C$1:$N$1,0)),0)</f>
        <v>267.72266666666667</v>
      </c>
      <c r="V24" s="5">
        <f>IFERROR(INDEX('Input 3.1_2019VOL-YTD'!$C$4:$N$300, MATCH($C24,'Input 3.1_2019VOL-YTD'!$R$4:$R$300,0),MATCH(V$2,'Input 3.1_2019VOL-YTD'!$C$1:$N$1,0))/INDEX('Input 3_2019CUST-YTD'!$C$4:$N$300,MATCH($C24,'Input 3_2019CUST-YTD'!$S$4:$S$300,0),MATCH(V$2,'Input 3_2019CUST-YTD'!$C$1:$N$1,0)),0)</f>
        <v>280.90533333333332</v>
      </c>
      <c r="W24" s="5">
        <f>IFERROR(INDEX('Input 3.1_2019VOL-YTD'!$C$4:$N$300, MATCH($C24,'Input 3.1_2019VOL-YTD'!$R$4:$R$300,0),MATCH(W$2,'Input 3.1_2019VOL-YTD'!$C$1:$N$1,0))/INDEX('Input 3_2019CUST-YTD'!$C$4:$N$300,MATCH($C24,'Input 3_2019CUST-YTD'!$S$4:$S$300,0),MATCH(W$2,'Input 3_2019CUST-YTD'!$C$1:$N$1,0)),0)</f>
        <v>208.77266666666668</v>
      </c>
      <c r="X24" s="5">
        <f>IFERROR(INDEX('Input 3.1_2019VOL-YTD'!$C$4:$N$300, MATCH($C24,'Input 3.1_2019VOL-YTD'!$R$4:$R$300,0),MATCH(X$2,'Input 3.1_2019VOL-YTD'!$C$1:$N$1,0))/INDEX('Input 3_2019CUST-YTD'!$C$4:$N$300,MATCH($C24,'Input 3_2019CUST-YTD'!$S$4:$S$300,0),MATCH(X$2,'Input 3_2019CUST-YTD'!$C$1:$N$1,0)),0)</f>
        <v>166.97000000000003</v>
      </c>
      <c r="Y24" s="5">
        <f>IFERROR(INDEX('Input 3.1_2019VOL-YTD'!$C$4:$N$300, MATCH($C24,'Input 3.1_2019VOL-YTD'!$R$4:$R$300,0),MATCH(Y$2,'Input 3.1_2019VOL-YTD'!$C$1:$N$1,0))/INDEX('Input 3_2019CUST-YTD'!$C$4:$N$300,MATCH($C24,'Input 3_2019CUST-YTD'!$S$4:$S$300,0),MATCH(Y$2,'Input 3_2019CUST-YTD'!$C$1:$N$1,0)),0)</f>
        <v>84.800624999999997</v>
      </c>
      <c r="Z24" s="5">
        <f>IFERROR(INDEX('Input 3.1_2019VOL-YTD'!$C$4:$N$300, MATCH($C24,'Input 3.1_2019VOL-YTD'!$R$4:$R$300,0),MATCH(Z$2,'Input 3.1_2019VOL-YTD'!$C$1:$N$1,0))/INDEX('Input 3_2019CUST-YTD'!$C$4:$N$300,MATCH($C24,'Input 3_2019CUST-YTD'!$S$4:$S$300,0),MATCH(Z$2,'Input 3_2019CUST-YTD'!$C$1:$N$1,0)),0)</f>
        <v>81.101874999999993</v>
      </c>
      <c r="AA24" s="5">
        <f>IFERROR(INDEX('Input 3.1_2019VOL-YTD'!$C$4:$N$300, MATCH($C24,'Input 3.1_2019VOL-YTD'!$R$4:$R$300,0),MATCH(AA$2,'Input 3.1_2019VOL-YTD'!$C$1:$N$1,0))/INDEX('Input 3_2019CUST-YTD'!$C$4:$N$300,MATCH($C24,'Input 3_2019CUST-YTD'!$S$4:$S$300,0),MATCH(AA$2,'Input 3_2019CUST-YTD'!$C$1:$N$1,0)),0)</f>
        <v>80.07312499999999</v>
      </c>
      <c r="AB24" s="5">
        <f>IFERROR(INDEX('Input 3.1_2019VOL-YTD'!$C$4:$N$300, MATCH($C24,'Input 3.1_2019VOL-YTD'!$R$4:$R$300,0),MATCH(AB$2,'Input 3.1_2019VOL-YTD'!$C$1:$N$1,0))/INDEX('Input 3_2019CUST-YTD'!$C$4:$N$300,MATCH($C24,'Input 3_2019CUST-YTD'!$S$4:$S$300,0),MATCH(AB$2,'Input 3_2019CUST-YTD'!$C$1:$N$1,0)),0)</f>
        <v>86.373124999999987</v>
      </c>
      <c r="AC24" s="5">
        <f>IFERROR(INDEX('Input 3.1_2019VOL-YTD'!$C$4:$N$300, MATCH($C24,'Input 3.1_2019VOL-YTD'!$R$4:$R$300,0),MATCH(AC$2,'Input 3.1_2019VOL-YTD'!$C$1:$N$1,0))/INDEX('Input 3_2019CUST-YTD'!$C$4:$N$300,MATCH($C24,'Input 3_2019CUST-YTD'!$S$4:$S$300,0),MATCH(AC$2,'Input 3_2019CUST-YTD'!$C$1:$N$1,0)),0)</f>
        <v>182.39058823529413</v>
      </c>
      <c r="AD24" s="5">
        <f>IFERROR(INDEX('Input 3.1_2019VOL-YTD'!$C$4:$N$300, MATCH($C24,'Input 3.1_2019VOL-YTD'!$R$4:$R$300,0),MATCH(AD$2,'Input 3.1_2019VOL-YTD'!$C$1:$N$1,0))/INDEX('Input 3_2019CUST-YTD'!$C$4:$N$300,MATCH($C24,'Input 3_2019CUST-YTD'!$S$4:$S$300,0),MATCH(AD$2,'Input 3_2019CUST-YTD'!$C$1:$N$1,0)),0)</f>
        <v>384.48176470588231</v>
      </c>
      <c r="AE24" s="272">
        <f t="shared" si="3"/>
        <v>466.45875000000001</v>
      </c>
      <c r="AF24" s="261">
        <f t="shared" si="4"/>
        <v>1</v>
      </c>
      <c r="AH24" s="262">
        <f>IFERROR(INDEX('Input 4.1_2020VOL-YTD'!$C$4:$O$300, MATCH($C24,'Input 4.1_2020VOL-YTD'!$R$4:$R$300,0),MATCH(AH$2,'Input 4.1_2020VOL-YTD'!$C$1:$O$1,0))/INDEX('Input 4_2020CUST-YTD'!$C$4:O$300,MATCH($C24,'Input 4_2020CUST-YTD'!$S$4:$S$300,0),MATCH(AH$2,'Input 4_2020CUST-YTD'!$C$1:$O$1,0)),0)</f>
        <v>338.95235294117651</v>
      </c>
      <c r="AI24" s="262">
        <f>IFERROR(INDEX('Input 4.1_2020VOL-YTD'!$C$4:$O$300, MATCH($C24,'Input 4.1_2020VOL-YTD'!$R$4:$R$300,0),MATCH(AI$2,'Input 4.1_2020VOL-YTD'!$C$1:$O$1,0))/INDEX('Input 4_2020CUST-YTD'!$C$4:P$300,MATCH($C24,'Input 4_2020CUST-YTD'!$S$4:$S$300,0),MATCH(AI$2,'Input 4_2020CUST-YTD'!$C$1:$O$1,0)),0)</f>
        <v>308.87411764705888</v>
      </c>
      <c r="AJ24" s="262">
        <f>IFERROR(INDEX('Input 4.1_2020VOL-YTD'!$C$4:$O$300, MATCH($C24,'Input 4.1_2020VOL-YTD'!$R$4:$R$300,0),MATCH(AJ$2,'Input 4.1_2020VOL-YTD'!$C$1:$O$1,0))/INDEX('Input 4_2020CUST-YTD'!$C$4:Q$300,MATCH($C24,'Input 4_2020CUST-YTD'!$S$4:$S$300,0),MATCH(AJ$2,'Input 4_2020CUST-YTD'!$C$1:$O$1,0)),0)</f>
        <v>312.68058823529412</v>
      </c>
      <c r="AK24" s="262">
        <f>IFERROR(INDEX('Input 4.1_2020VOL-YTD'!$C$4:$O$300, MATCH($C24,'Input 4.1_2020VOL-YTD'!$R$4:$R$300,0),MATCH(AK$2,'Input 4.1_2020VOL-YTD'!$C$1:$O$1,0))/INDEX('Input 4_2020CUST-YTD'!$C$4:R$300,MATCH($C24,'Input 4_2020CUST-YTD'!$S$4:$S$300,0),MATCH(AK$2,'Input 4_2020CUST-YTD'!$C$1:$O$1,0)),0)</f>
        <v>234.35411764705881</v>
      </c>
      <c r="AL24" s="262">
        <f>IFERROR(INDEX('Input 4.1_2020VOL-YTD'!$C$4:$O$300, MATCH($C24,'Input 4.1_2020VOL-YTD'!$R$4:$R$300,0),MATCH(AL$2,'Input 4.1_2020VOL-YTD'!$C$1:$O$1,0))/INDEX('Input 4_2020CUST-YTD'!$C$4:S$300,MATCH($C24,'Input 4_2020CUST-YTD'!$S$4:$S$300,0),MATCH(AL$2,'Input 4_2020CUST-YTD'!$C$1:$O$1,0)),0)</f>
        <v>183.92411764705884</v>
      </c>
      <c r="AM24" s="262">
        <f>IFERROR(INDEX('Input 4.1_2020VOL-YTD'!$C$4:$O$300, MATCH($C24,'Input 4.1_2020VOL-YTD'!$R$4:$R$300,0),MATCH(AM$2,'Input 4.1_2020VOL-YTD'!$C$1:$O$1,0))/INDEX('Input 4_2020CUST-YTD'!$C$4:T$300,MATCH($C24,'Input 4_2020CUST-YTD'!$S$4:$S$300,0),MATCH(AM$2,'Input 4_2020CUST-YTD'!$C$1:$O$1,0)),0)</f>
        <v>96.304117647058831</v>
      </c>
      <c r="AN24" s="262">
        <f>IFERROR(INDEX('Input 4.1_2020VOL-YTD'!$C$4:$O$300, MATCH($C24,'Input 4.1_2020VOL-YTD'!$R$4:$R$300,0),MATCH(AN$2,'Input 4.1_2020VOL-YTD'!$C$1:$O$1,0))/INDEX('Input 4_2020CUST-YTD'!$C$4:U$300,MATCH($C24,'Input 4_2020CUST-YTD'!$S$4:$S$300,0),MATCH(AN$2,'Input 4_2020CUST-YTD'!$C$1:$O$1,0)),0)</f>
        <v>70.104705882352945</v>
      </c>
      <c r="AO24" s="262">
        <f>IFERROR(INDEX('Input 4.1_2020VOL-YTD'!$C$4:$O$300, MATCH($C24,'Input 4.1_2020VOL-YTD'!$R$4:$R$300,0),MATCH(AO$2,'Input 4.1_2020VOL-YTD'!$C$1:$O$1,0))/INDEX('Input 4_2020CUST-YTD'!$C$4:V$300,MATCH($C24,'Input 4_2020CUST-YTD'!$S$4:$S$300,0),MATCH(AO$2,'Input 4_2020CUST-YTD'!$C$1:$O$1,0)),0)</f>
        <v>71.484705882352941</v>
      </c>
      <c r="AP24" s="262">
        <f>IFERROR(INDEX('Input 4.1_2020VOL-YTD'!$C$4:$O$300, MATCH($C24,'Input 4.1_2020VOL-YTD'!$R$4:$R$300,0),MATCH(AP$2,'Input 4.1_2020VOL-YTD'!$C$1:$O$1,0))/INDEX('Input 4_2020CUST-YTD'!$C$4:W$300,MATCH($C24,'Input 4_2020CUST-YTD'!$S$4:$S$300,0),MATCH(AP$2,'Input 4_2020CUST-YTD'!$C$1:$O$1,0)),0)</f>
        <v>76.81529411764707</v>
      </c>
      <c r="AQ24" s="262">
        <f>IFERROR(INDEX('Input 4.1_2020VOL-YTD'!$C$4:$O$300, MATCH($C24,'Input 4.1_2020VOL-YTD'!$R$4:$R$300,0),MATCH(AQ$2,'Input 4.1_2020VOL-YTD'!$C$1:$O$1,0))/INDEX('Input 4_2020CUST-YTD'!$C$4:X$300,MATCH($C24,'Input 4_2020CUST-YTD'!$S$4:$S$300,0),MATCH(AQ$2,'Input 4_2020CUST-YTD'!$C$1:$O$1,0)),0)</f>
        <v>89.142222222222216</v>
      </c>
      <c r="AR24" s="262">
        <f>IFERROR(INDEX('Input 4.1_2020VOL-YTD'!$C$4:$O$300, MATCH($C24,'Input 4.1_2020VOL-YTD'!$R$4:$R$300,0),MATCH(AR$2,'Input 4.1_2020VOL-YTD'!$C$1:$O$1,0))/INDEX('Input 4_2020CUST-YTD'!$C$4:Y$300,MATCH($C24,'Input 4_2020CUST-YTD'!$S$4:$S$300,0),MATCH(AR$2,'Input 4_2020CUST-YTD'!$C$1:$O$1,0)),0)</f>
        <v>190.62388888888887</v>
      </c>
      <c r="AS24" s="262">
        <f>IFERROR(INDEX('Input 4.1_2020VOL-YTD'!$C$4:$O$300, MATCH($C24,'Input 4.1_2020VOL-YTD'!$R$4:$R$300,0),MATCH(AS$2,'Input 4.1_2020VOL-YTD'!$C$1:$O$1,0))/INDEX('Input 4_2020CUST-YTD'!$C$4:Z$300,MATCH($C24,'Input 4_2020CUST-YTD'!$S$4:$S$300,0),MATCH(AS$2,'Input 4_2020CUST-YTD'!$C$1:$O$1,0)),0)</f>
        <v>346.46777777777777</v>
      </c>
      <c r="AT24" s="190">
        <f t="shared" si="9"/>
        <v>346.46777777777777</v>
      </c>
      <c r="AU24" s="261">
        <f t="shared" si="6"/>
        <v>12</v>
      </c>
      <c r="AW24" s="1">
        <f>IFERROR(INDEX('Input 5.1_2021VOL-YTD'!$C$3:$N$150, MATCH($C24,'Input 5.1_2021VOL-YTD'!$R$3:$R$150,0),MATCH(AW$2,'Input 5.1_2021VOL-YTD'!$C$1:$N$1,0))/INDEX('Input 5_2021CUST-YTD'!$C$3:$N$150,MATCH($C24,'Input 5_2021CUST-YTD'!$S$3:$S$150,0),MATCH(AW$2,'Input 5_2021CUST-YTD'!$C$1:$N$1,0)),0)</f>
        <v>391.81210526315789</v>
      </c>
      <c r="AX24" s="1">
        <f>IFERROR(INDEX('Input 5.1_2021VOL-YTD'!$C$3:$N$150, MATCH($C24,'Input 5.1_2021VOL-YTD'!$R$3:$R$150,0),MATCH(AX$2,'Input 5.1_2021VOL-YTD'!$C$1:$N$1,0))/INDEX('Input 5_2021CUST-YTD'!$C$3:$N$150,MATCH($C24,'Input 5_2021CUST-YTD'!$S$3:$S$150,0),MATCH(AX$2,'Input 5_2021CUST-YTD'!$C$1:$N$1,0)),0)</f>
        <v>353.54210526315796</v>
      </c>
      <c r="AY24" s="1">
        <f>IFERROR(INDEX('Input 5.1_2021VOL-YTD'!$C$3:$N$150, MATCH($C24,'Input 5.1_2021VOL-YTD'!$R$3:$R$150,0),MATCH(AY$2,'Input 5.1_2021VOL-YTD'!$C$1:$N$1,0))/INDEX('Input 5_2021CUST-YTD'!$C$3:$N$150,MATCH($C24,'Input 5_2021CUST-YTD'!$S$3:$S$150,0),MATCH(AY$2,'Input 5_2021CUST-YTD'!$C$1:$N$1,0)),0)</f>
        <v>272.19736842105266</v>
      </c>
      <c r="AZ24" s="1">
        <f>IFERROR(INDEX('Input 5.1_2021VOL-YTD'!$C$3:$N$150, MATCH($C24,'Input 5.1_2021VOL-YTD'!$R$3:$R$150,0),MATCH(AZ$2,'Input 5.1_2021VOL-YTD'!$C$1:$N$1,0))/INDEX('Input 5_2021CUST-YTD'!$C$3:$N$150,MATCH($C24,'Input 5_2021CUST-YTD'!$S$3:$S$150,0),MATCH(AZ$2,'Input 5_2021CUST-YTD'!$C$1:$N$1,0)),0)</f>
        <v>230.85263157894735</v>
      </c>
      <c r="BA24" s="1">
        <f>IFERROR(INDEX('Input 5.1_2021VOL-YTD'!$C$3:$N$150, MATCH($C24,'Input 5.1_2021VOL-YTD'!$R$3:$R$150,0),MATCH(BA$2,'Input 5.1_2021VOL-YTD'!$C$1:$N$1,0))/INDEX('Input 5_2021CUST-YTD'!$C$3:$N$150,MATCH($C24,'Input 5_2021CUST-YTD'!$S$3:$S$150,0),MATCH(BA$2,'Input 5_2021CUST-YTD'!$C$1:$N$1,0)),0)</f>
        <v>162.76263157894738</v>
      </c>
      <c r="BB24" s="1">
        <f>IFERROR(INDEX('Input 5.1_2021VOL-YTD'!$C$3:$N$150, MATCH($C24,'Input 5.1_2021VOL-YTD'!$R$3:$R$150,0),MATCH(BB$2,'Input 5.1_2021VOL-YTD'!$C$1:$N$1,0))/INDEX('Input 5_2021CUST-YTD'!$C$3:$N$150,MATCH($C24,'Input 5_2021CUST-YTD'!$S$3:$S$150,0),MATCH(BB$2,'Input 5_2021CUST-YTD'!$C$1:$N$1,0)),0)</f>
        <v>91.105789473684197</v>
      </c>
      <c r="BC24" s="1">
        <f>IFERROR(INDEX('Input 5.1_2021VOL-YTD'!$C$3:$N$150, MATCH($C24,'Input 5.1_2021VOL-YTD'!$R$3:$R$150,0),MATCH(BC$2,'Input 5.1_2021VOL-YTD'!$C$1:$N$1,0))/INDEX('Input 5_2021CUST-YTD'!$C$3:$N$150,MATCH($C24,'Input 5_2021CUST-YTD'!$S$3:$S$150,0),MATCH(BC$2,'Input 5_2021CUST-YTD'!$C$1:$N$1,0)),0)</f>
        <v>73.025263157894742</v>
      </c>
      <c r="BD24" s="1">
        <f>IFERROR(INDEX('Input 5.1_2021VOL-YTD'!$C$3:$N$150, MATCH($C24,'Input 5.1_2021VOL-YTD'!$R$3:$R$150,0),MATCH(BD$2,'Input 5.1_2021VOL-YTD'!$C$1:$N$1,0))/INDEX('Input 5_2021CUST-YTD'!$C$3:$N$150,MATCH($C24,'Input 5_2021CUST-YTD'!$S$3:$S$150,0),MATCH(BD$2,'Input 5_2021CUST-YTD'!$C$1:$N$1,0)),0)</f>
        <v>60.347368421052629</v>
      </c>
      <c r="BE24" s="1">
        <f>IFERROR(INDEX('Input 5.1_2021VOL-YTD'!$C$3:$N$150, MATCH($C24,'Input 5.1_2021VOL-YTD'!$R$3:$R$150,0),MATCH(BE$2,'Input 5.1_2021VOL-YTD'!$C$1:$N$1,0))/INDEX('Input 5_2021CUST-YTD'!$C$3:$N$150,MATCH($C24,'Input 5_2021CUST-YTD'!$S$3:$S$150,0),MATCH(BE$2,'Input 5_2021CUST-YTD'!$C$1:$N$1,0)),0)</f>
        <v>73.607368421052641</v>
      </c>
      <c r="BF24" s="1">
        <f>IFERROR(INDEX('Input 5.1_2021VOL-YTD'!$C$3:$N$150, MATCH($C24,'Input 5.1_2021VOL-YTD'!$R$3:$R$150,0),MATCH(BF$2,'Input 5.1_2021VOL-YTD'!$C$1:$N$1,0))/INDEX('Input 5_2021CUST-YTD'!$C$3:$N$150,MATCH($C24,'Input 5_2021CUST-YTD'!$S$3:$S$150,0),MATCH(BF$2,'Input 5_2021CUST-YTD'!$C$1:$N$1,0)),0)</f>
        <v>98.101578947368424</v>
      </c>
      <c r="BG24" s="1">
        <f>IFERROR(INDEX('Input 5.1_2021VOL-YTD'!$C$3:$N$150, MATCH($C24,'Input 5.1_2021VOL-YTD'!$R$3:$R$150,0),MATCH(BG$2,'Input 5.1_2021VOL-YTD'!$C$1:$N$1,0))/INDEX('Input 5_2021CUST-YTD'!$C$3:$N$150,MATCH($C24,'Input 5_2021CUST-YTD'!$S$3:$S$150,0),MATCH(BG$2,'Input 5_2021CUST-YTD'!$C$1:$N$1,0)),0)</f>
        <v>207.43894736842105</v>
      </c>
      <c r="BH24" s="1">
        <f>IFERROR(INDEX('Input 5.1_2021VOL-YTD'!$C$3:$N$150, MATCH($C24,'Input 5.1_2021VOL-YTD'!$R$3:$R$150,0),MATCH(BH$2,'Input 5.1_2021VOL-YTD'!$C$1:$N$1,0))/INDEX('Input 5_2021CUST-YTD'!$C$3:$N$150,MATCH($C24,'Input 5_2021CUST-YTD'!$S$3:$S$150,0),MATCH(BH$2,'Input 5_2021CUST-YTD'!$C$1:$N$1,0)),0)</f>
        <v>318.32052631578949</v>
      </c>
      <c r="BI24" s="190">
        <f t="shared" si="7"/>
        <v>391.81210526315789</v>
      </c>
      <c r="BJ24" s="261">
        <f t="shared" si="8"/>
        <v>1</v>
      </c>
    </row>
    <row r="25" spans="1:62">
      <c r="A25" s="261" t="s">
        <v>1245</v>
      </c>
      <c r="B25" s="261" t="s">
        <v>996</v>
      </c>
      <c r="C25" s="261" t="s">
        <v>709</v>
      </c>
      <c r="D25" s="5">
        <f>IFERROR(INDEX('Input 16.1_2018VOL-YTD'!$C$4:$N$300, MATCH($C25,'Input 16.1_2018VOL-YTD'!$R$4:$R$300,0),MATCH(D$2,'Input 16.1_2018VOL-YTD'!$C$1:$N$1,0))/INDEX('Input 16_2018CUST-YTD'!$D$4:$O$300,MATCH($C25,'Input 16_2018CUST-YTD'!$S$4:$S$300,0),MATCH(D$2,'Input 16_2018CUST-YTD'!$C$1:$O$1,0)),0)</f>
        <v>609.41999999999996</v>
      </c>
      <c r="E25" s="5">
        <f>IFERROR(INDEX('Input 16.1_2018VOL-YTD'!$C$4:$N$300, MATCH($C25,'Input 16.1_2018VOL-YTD'!$R$4:$R$300,0),MATCH(E$2,'Input 16.1_2018VOL-YTD'!$C$1:$N$1,0))/INDEX('Input 16_2018CUST-YTD'!$D$4:$O$300,MATCH($C25,'Input 16_2018CUST-YTD'!$S$4:$S$300,0),MATCH(E$2,'Input 16_2018CUST-YTD'!$C$1:$O$1,0)),0)</f>
        <v>541.62333333333333</v>
      </c>
      <c r="F25" s="5">
        <f>IFERROR(INDEX('Input 16.1_2018VOL-YTD'!$C$4:$N$300, MATCH($C25,'Input 16.1_2018VOL-YTD'!$R$4:$R$300,0),MATCH(F$2,'Input 16.1_2018VOL-YTD'!$C$1:$N$1,0))/INDEX('Input 16_2018CUST-YTD'!$D$4:$O$300,MATCH($C25,'Input 16_2018CUST-YTD'!$S$4:$S$300,0),MATCH(F$2,'Input 16_2018CUST-YTD'!$C$1:$O$1,0)),0)</f>
        <v>512.43999999999994</v>
      </c>
      <c r="G25" s="5">
        <f>IFERROR(INDEX('Input 16.1_2018VOL-YTD'!$C$4:$N$300, MATCH($C25,'Input 16.1_2018VOL-YTD'!$R$4:$R$300,0),MATCH(G$2,'Input 16.1_2018VOL-YTD'!$C$1:$N$1,0))/INDEX('Input 16_2018CUST-YTD'!$D$4:$O$300,MATCH($C25,'Input 16_2018CUST-YTD'!$S$4:$S$300,0),MATCH(G$2,'Input 16_2018CUST-YTD'!$C$1:$O$1,0)),0)</f>
        <v>530.77</v>
      </c>
      <c r="H25" s="5">
        <f>IFERROR(INDEX('Input 16.1_2018VOL-YTD'!$C$4:$N$300, MATCH($C25,'Input 16.1_2018VOL-YTD'!$R$4:$R$300,0),MATCH(H$2,'Input 16.1_2018VOL-YTD'!$C$1:$N$1,0))/INDEX('Input 16_2018CUST-YTD'!$D$4:$O$300,MATCH($C25,'Input 16_2018CUST-YTD'!$S$4:$S$300,0),MATCH(H$2,'Input 16_2018CUST-YTD'!$C$1:$O$1,0)),0)</f>
        <v>510.00666666666666</v>
      </c>
      <c r="I25" s="5">
        <f>IFERROR(INDEX('Input 16.1_2018VOL-YTD'!$C$4:$N$300, MATCH($C25,'Input 16.1_2018VOL-YTD'!$R$4:$R$300,0),MATCH(I$2,'Input 16.1_2018VOL-YTD'!$C$1:$N$1,0))/INDEX('Input 16_2018CUST-YTD'!$D$4:$O$300,MATCH($C25,'Input 16_2018CUST-YTD'!$S$4:$S$300,0),MATCH(I$2,'Input 16_2018CUST-YTD'!$C$1:$O$1,0)),0)</f>
        <v>566.66666666666663</v>
      </c>
      <c r="J25" s="5">
        <f>IFERROR(INDEX('Input 16.1_2018VOL-YTD'!$C$4:$N$300, MATCH($C25,'Input 16.1_2018VOL-YTD'!$R$4:$R$300,0),MATCH(J$2,'Input 16.1_2018VOL-YTD'!$C$1:$N$1,0))/INDEX('Input 16_2018CUST-YTD'!$D$4:$O$300,MATCH($C25,'Input 16_2018CUST-YTD'!$S$4:$S$300,0),MATCH(J$2,'Input 16_2018CUST-YTD'!$C$1:$O$1,0)),0)</f>
        <v>462.81333333333333</v>
      </c>
      <c r="K25" s="5">
        <f>IFERROR(INDEX('Input 16.1_2018VOL-YTD'!$C$4:$N$300, MATCH($C25,'Input 16.1_2018VOL-YTD'!$R$4:$R$300,0),MATCH(K$2,'Input 16.1_2018VOL-YTD'!$C$1:$N$1,0))/INDEX('Input 16_2018CUST-YTD'!$D$4:$O$300,MATCH($C25,'Input 16_2018CUST-YTD'!$S$4:$S$300,0),MATCH(K$2,'Input 16_2018CUST-YTD'!$C$1:$O$1,0)),0)</f>
        <v>526.74333333333334</v>
      </c>
      <c r="L25" s="5">
        <f>IFERROR(INDEX('Input 16.1_2018VOL-YTD'!$C$4:$N$300, MATCH($C25,'Input 16.1_2018VOL-YTD'!$R$4:$R$300,0),MATCH(L$2,'Input 16.1_2018VOL-YTD'!$C$1:$N$1,0))/INDEX('Input 16_2018CUST-YTD'!$D$4:$O$300,MATCH($C25,'Input 16_2018CUST-YTD'!$S$4:$S$300,0),MATCH(L$2,'Input 16_2018CUST-YTD'!$C$1:$O$1,0)),0)</f>
        <v>508.69666666666672</v>
      </c>
      <c r="M25" s="5">
        <f>IFERROR(INDEX('Input 16.1_2018VOL-YTD'!$C$4:$N$300, MATCH($C25,'Input 16.1_2018VOL-YTD'!$R$4:$R$300,0),MATCH(M$2,'Input 16.1_2018VOL-YTD'!$C$1:$N$1,0))/INDEX('Input 16_2018CUST-YTD'!$D$4:$O$300,MATCH($C25,'Input 16_2018CUST-YTD'!$S$4:$S$300,0),MATCH(M$2,'Input 16_2018CUST-YTD'!$C$1:$O$1,0)),0)</f>
        <v>460.94666666666666</v>
      </c>
      <c r="N25" s="5">
        <f>IFERROR(INDEX('Input 16.1_2018VOL-YTD'!$C$4:$N$300, MATCH($C25,'Input 16.1_2018VOL-YTD'!$R$4:$R$300,0),MATCH(N$2,'Input 16.1_2018VOL-YTD'!$C$1:$N$1,0))/INDEX('Input 16_2018CUST-YTD'!$D$4:$O$300,MATCH($C25,'Input 16_2018CUST-YTD'!$S$4:$S$300,0),MATCH(N$2,'Input 16_2018CUST-YTD'!$C$1:$O$1,0)),0)</f>
        <v>566.10666666666668</v>
      </c>
      <c r="O25" s="5">
        <f>IFERROR(INDEX('Input 16.1_2018VOL-YTD'!$C$4:$N$300, MATCH($C25,'Input 16.1_2018VOL-YTD'!$R$4:$R$300,0),MATCH(O$2,'Input 16.1_2018VOL-YTD'!$C$1:$N$1,0))/INDEX('Input 16_2018CUST-YTD'!$D$4:$O$300,MATCH($C25,'Input 16_2018CUST-YTD'!$S$4:$S$300,0),MATCH(O$2,'Input 16_2018CUST-YTD'!$C$1:$O$1,0)),0)</f>
        <v>45.791388888888896</v>
      </c>
      <c r="P25" s="271">
        <f t="shared" si="1"/>
        <v>609.41999999999996</v>
      </c>
      <c r="Q25" s="261">
        <f t="shared" si="2"/>
        <v>1</v>
      </c>
      <c r="S25" s="5">
        <f>IFERROR(INDEX('Input 3.1_2019VOL-YTD'!$C$4:$N$300, MATCH($C25,'Input 3.1_2019VOL-YTD'!$R$4:$R$300,0),MATCH(S$2,'Input 3.1_2019VOL-YTD'!$C$1:$N$1,0))/INDEX('Input 3_2019CUST-YTD'!$C$4:$N$300,MATCH($C25,'Input 3_2019CUST-YTD'!$S$4:$S$300,0),MATCH(S$2,'Input 3_2019CUST-YTD'!$C$1:$N$1,0)),0)</f>
        <v>618.62</v>
      </c>
      <c r="T25" s="5">
        <f>IFERROR(INDEX('Input 3.1_2019VOL-YTD'!$C$4:$N$300, MATCH($C25,'Input 3.1_2019VOL-YTD'!$R$4:$R$300,0),MATCH(T$2,'Input 3.1_2019VOL-YTD'!$C$1:$N$1,0))/INDEX('Input 3_2019CUST-YTD'!$C$4:$N$300,MATCH($C25,'Input 3_2019CUST-YTD'!$S$4:$S$300,0),MATCH(T$2,'Input 3_2019CUST-YTD'!$C$1:$N$1,0)),0)</f>
        <v>571.03666666666675</v>
      </c>
      <c r="U25" s="5">
        <f>IFERROR(INDEX('Input 3.1_2019VOL-YTD'!$C$4:$N$300, MATCH($C25,'Input 3.1_2019VOL-YTD'!$R$4:$R$300,0),MATCH(U$2,'Input 3.1_2019VOL-YTD'!$C$1:$N$1,0))/INDEX('Input 3_2019CUST-YTD'!$C$4:$N$300,MATCH($C25,'Input 3_2019CUST-YTD'!$S$4:$S$300,0),MATCH(U$2,'Input 3_2019CUST-YTD'!$C$1:$N$1,0)),0)</f>
        <v>537.04</v>
      </c>
      <c r="V25" s="5">
        <f>IFERROR(INDEX('Input 3.1_2019VOL-YTD'!$C$4:$N$300, MATCH($C25,'Input 3.1_2019VOL-YTD'!$R$4:$R$300,0),MATCH(V$2,'Input 3.1_2019VOL-YTD'!$C$1:$N$1,0))/INDEX('Input 3_2019CUST-YTD'!$C$4:$N$300,MATCH($C25,'Input 3_2019CUST-YTD'!$S$4:$S$300,0),MATCH(V$2,'Input 3_2019CUST-YTD'!$C$1:$N$1,0)),0)</f>
        <v>543.19999999999993</v>
      </c>
      <c r="W25" s="5">
        <f>IFERROR(INDEX('Input 3.1_2019VOL-YTD'!$C$4:$N$300, MATCH($C25,'Input 3.1_2019VOL-YTD'!$R$4:$R$300,0),MATCH(W$2,'Input 3.1_2019VOL-YTD'!$C$1:$N$1,0))/INDEX('Input 3_2019CUST-YTD'!$C$4:$N$300,MATCH($C25,'Input 3_2019CUST-YTD'!$S$4:$S$300,0),MATCH(W$2,'Input 3_2019CUST-YTD'!$C$1:$N$1,0)),0)</f>
        <v>530.55250000000001</v>
      </c>
      <c r="X25" s="5">
        <f>IFERROR(INDEX('Input 3.1_2019VOL-YTD'!$C$4:$N$300, MATCH($C25,'Input 3.1_2019VOL-YTD'!$R$4:$R$300,0),MATCH(X$2,'Input 3.1_2019VOL-YTD'!$C$1:$N$1,0))/INDEX('Input 3_2019CUST-YTD'!$C$4:$N$300,MATCH($C25,'Input 3_2019CUST-YTD'!$S$4:$S$300,0),MATCH(X$2,'Input 3_2019CUST-YTD'!$C$1:$N$1,0)),0)</f>
        <v>587.15750000000003</v>
      </c>
      <c r="Y25" s="5">
        <f>IFERROR(INDEX('Input 3.1_2019VOL-YTD'!$C$4:$N$300, MATCH($C25,'Input 3.1_2019VOL-YTD'!$R$4:$R$300,0),MATCH(Y$2,'Input 3.1_2019VOL-YTD'!$C$1:$N$1,0))/INDEX('Input 3_2019CUST-YTD'!$C$4:$N$300,MATCH($C25,'Input 3_2019CUST-YTD'!$S$4:$S$300,0),MATCH(Y$2,'Input 3_2019CUST-YTD'!$C$1:$N$1,0)),0)</f>
        <v>521.71749999999997</v>
      </c>
      <c r="Z25" s="5">
        <f>IFERROR(INDEX('Input 3.1_2019VOL-YTD'!$C$4:$N$300, MATCH($C25,'Input 3.1_2019VOL-YTD'!$R$4:$R$300,0),MATCH(Z$2,'Input 3.1_2019VOL-YTD'!$C$1:$N$1,0))/INDEX('Input 3_2019CUST-YTD'!$C$4:$N$300,MATCH($C25,'Input 3_2019CUST-YTD'!$S$4:$S$300,0),MATCH(Z$2,'Input 3_2019CUST-YTD'!$C$1:$N$1,0)),0)</f>
        <v>578.46249999999998</v>
      </c>
      <c r="AA25" s="5">
        <f>IFERROR(INDEX('Input 3.1_2019VOL-YTD'!$C$4:$N$300, MATCH($C25,'Input 3.1_2019VOL-YTD'!$R$4:$R$300,0),MATCH(AA$2,'Input 3.1_2019VOL-YTD'!$C$1:$N$1,0))/INDEX('Input 3_2019CUST-YTD'!$C$4:$N$300,MATCH($C25,'Input 3_2019CUST-YTD'!$S$4:$S$300,0),MATCH(AA$2,'Input 3_2019CUST-YTD'!$C$1:$N$1,0)),0)</f>
        <v>543.10750000000007</v>
      </c>
      <c r="AB25" s="5">
        <f>IFERROR(INDEX('Input 3.1_2019VOL-YTD'!$C$4:$N$300, MATCH($C25,'Input 3.1_2019VOL-YTD'!$R$4:$R$300,0),MATCH(AB$2,'Input 3.1_2019VOL-YTD'!$C$1:$N$1,0))/INDEX('Input 3_2019CUST-YTD'!$C$4:$N$300,MATCH($C25,'Input 3_2019CUST-YTD'!$S$4:$S$300,0),MATCH(AB$2,'Input 3_2019CUST-YTD'!$C$1:$N$1,0)),0)</f>
        <v>561.77250000000004</v>
      </c>
      <c r="AC25" s="5">
        <f>IFERROR(INDEX('Input 3.1_2019VOL-YTD'!$C$4:$N$300, MATCH($C25,'Input 3.1_2019VOL-YTD'!$R$4:$R$300,0),MATCH(AC$2,'Input 3.1_2019VOL-YTD'!$C$1:$N$1,0))/INDEX('Input 3_2019CUST-YTD'!$C$4:$N$300,MATCH($C25,'Input 3_2019CUST-YTD'!$S$4:$S$300,0),MATCH(AC$2,'Input 3_2019CUST-YTD'!$C$1:$N$1,0)),0)</f>
        <v>543.47749999999996</v>
      </c>
      <c r="AD25" s="5">
        <f>IFERROR(INDEX('Input 3.1_2019VOL-YTD'!$C$4:$N$300, MATCH($C25,'Input 3.1_2019VOL-YTD'!$R$4:$R$300,0),MATCH(AD$2,'Input 3.1_2019VOL-YTD'!$C$1:$N$1,0))/INDEX('Input 3_2019CUST-YTD'!$C$4:$N$300,MATCH($C25,'Input 3_2019CUST-YTD'!$S$4:$S$300,0),MATCH(AD$2,'Input 3_2019CUST-YTD'!$C$1:$N$1,0)),0)</f>
        <v>556.88750000000005</v>
      </c>
      <c r="AE25" s="272">
        <f t="shared" si="3"/>
        <v>618.62</v>
      </c>
      <c r="AF25" s="261">
        <f t="shared" si="4"/>
        <v>1</v>
      </c>
      <c r="AH25" s="262">
        <f>IFERROR(INDEX('Input 4.1_2020VOL-YTD'!$C$4:$O$300, MATCH($C25,'Input 4.1_2020VOL-YTD'!$R$4:$R$300,0),MATCH(AH$2,'Input 4.1_2020VOL-YTD'!$C$1:$O$1,0))/INDEX('Input 4_2020CUST-YTD'!$C$4:O$300,MATCH($C25,'Input 4_2020CUST-YTD'!$S$4:$S$300,0),MATCH(AH$2,'Input 4_2020CUST-YTD'!$C$1:$O$1,0)),0)</f>
        <v>619.31750000000011</v>
      </c>
      <c r="AI25" s="262">
        <f>IFERROR(INDEX('Input 4.1_2020VOL-YTD'!$C$4:$O$300, MATCH($C25,'Input 4.1_2020VOL-YTD'!$R$4:$R$300,0),MATCH(AI$2,'Input 4.1_2020VOL-YTD'!$C$1:$O$1,0))/INDEX('Input 4_2020CUST-YTD'!$C$4:P$300,MATCH($C25,'Input 4_2020CUST-YTD'!$S$4:$S$300,0),MATCH(AI$2,'Input 4_2020CUST-YTD'!$C$1:$O$1,0)),0)</f>
        <v>566.99749999999995</v>
      </c>
      <c r="AJ25" s="262">
        <f>IFERROR(INDEX('Input 4.1_2020VOL-YTD'!$C$4:$O$300, MATCH($C25,'Input 4.1_2020VOL-YTD'!$R$4:$R$300,0),MATCH(AJ$2,'Input 4.1_2020VOL-YTD'!$C$1:$O$1,0))/INDEX('Input 4_2020CUST-YTD'!$C$4:Q$300,MATCH($C25,'Input 4_2020CUST-YTD'!$S$4:$S$300,0),MATCH(AJ$2,'Input 4_2020CUST-YTD'!$C$1:$O$1,0)),0)</f>
        <v>551.04</v>
      </c>
      <c r="AK25" s="262">
        <f>IFERROR(INDEX('Input 4.1_2020VOL-YTD'!$C$4:$O$300, MATCH($C25,'Input 4.1_2020VOL-YTD'!$R$4:$R$300,0),MATCH(AK$2,'Input 4.1_2020VOL-YTD'!$C$1:$O$1,0))/INDEX('Input 4_2020CUST-YTD'!$C$4:R$300,MATCH($C25,'Input 4_2020CUST-YTD'!$S$4:$S$300,0),MATCH(AK$2,'Input 4_2020CUST-YTD'!$C$1:$O$1,0)),0)</f>
        <v>463.58000000000004</v>
      </c>
      <c r="AL25" s="262">
        <f>IFERROR(INDEX('Input 4.1_2020VOL-YTD'!$C$4:$O$300, MATCH($C25,'Input 4.1_2020VOL-YTD'!$R$4:$R$300,0),MATCH(AL$2,'Input 4.1_2020VOL-YTD'!$C$1:$O$1,0))/INDEX('Input 4_2020CUST-YTD'!$C$4:S$300,MATCH($C25,'Input 4_2020CUST-YTD'!$S$4:$S$300,0),MATCH(AL$2,'Input 4_2020CUST-YTD'!$C$1:$O$1,0)),0)</f>
        <v>474.6</v>
      </c>
      <c r="AM25" s="262">
        <f>IFERROR(INDEX('Input 4.1_2020VOL-YTD'!$C$4:$O$300, MATCH($C25,'Input 4.1_2020VOL-YTD'!$R$4:$R$300,0),MATCH(AM$2,'Input 4.1_2020VOL-YTD'!$C$1:$O$1,0))/INDEX('Input 4_2020CUST-YTD'!$C$4:T$300,MATCH($C25,'Input 4_2020CUST-YTD'!$S$4:$S$300,0),MATCH(AM$2,'Input 4_2020CUST-YTD'!$C$1:$O$1,0)),0)</f>
        <v>482.84500000000003</v>
      </c>
      <c r="AN25" s="262">
        <f>IFERROR(INDEX('Input 4.1_2020VOL-YTD'!$C$4:$O$300, MATCH($C25,'Input 4.1_2020VOL-YTD'!$R$4:$R$300,0),MATCH(AN$2,'Input 4.1_2020VOL-YTD'!$C$1:$O$1,0))/INDEX('Input 4_2020CUST-YTD'!$C$4:U$300,MATCH($C25,'Input 4_2020CUST-YTD'!$S$4:$S$300,0),MATCH(AN$2,'Input 4_2020CUST-YTD'!$C$1:$O$1,0)),0)</f>
        <v>527.72</v>
      </c>
      <c r="AO25" s="262">
        <f>IFERROR(INDEX('Input 4.1_2020VOL-YTD'!$C$4:$O$300, MATCH($C25,'Input 4.1_2020VOL-YTD'!$R$4:$R$300,0),MATCH(AO$2,'Input 4.1_2020VOL-YTD'!$C$1:$O$1,0))/INDEX('Input 4_2020CUST-YTD'!$C$4:V$300,MATCH($C25,'Input 4_2020CUST-YTD'!$S$4:$S$300,0),MATCH(AO$2,'Input 4_2020CUST-YTD'!$C$1:$O$1,0)),0)</f>
        <v>463.8775</v>
      </c>
      <c r="AP25" s="262">
        <f>IFERROR(INDEX('Input 4.1_2020VOL-YTD'!$C$4:$O$300, MATCH($C25,'Input 4.1_2020VOL-YTD'!$R$4:$R$300,0),MATCH(AP$2,'Input 4.1_2020VOL-YTD'!$C$1:$O$1,0))/INDEX('Input 4_2020CUST-YTD'!$C$4:W$300,MATCH($C25,'Input 4_2020CUST-YTD'!$S$4:$S$300,0),MATCH(AP$2,'Input 4_2020CUST-YTD'!$C$1:$O$1,0)),0)</f>
        <v>493.625</v>
      </c>
      <c r="AQ25" s="262">
        <f>IFERROR(INDEX('Input 4.1_2020VOL-YTD'!$C$4:$O$300, MATCH($C25,'Input 4.1_2020VOL-YTD'!$R$4:$R$300,0),MATCH(AQ$2,'Input 4.1_2020VOL-YTD'!$C$1:$O$1,0))/INDEX('Input 4_2020CUST-YTD'!$C$4:X$300,MATCH($C25,'Input 4_2020CUST-YTD'!$S$4:$S$300,0),MATCH(AQ$2,'Input 4_2020CUST-YTD'!$C$1:$O$1,0)),0)</f>
        <v>432.46500000000003</v>
      </c>
      <c r="AR25" s="262">
        <f>IFERROR(INDEX('Input 4.1_2020VOL-YTD'!$C$4:$O$300, MATCH($C25,'Input 4.1_2020VOL-YTD'!$R$4:$R$300,0),MATCH(AR$2,'Input 4.1_2020VOL-YTD'!$C$1:$O$1,0))/INDEX('Input 4_2020CUST-YTD'!$C$4:Y$300,MATCH($C25,'Input 4_2020CUST-YTD'!$S$4:$S$300,0),MATCH(AR$2,'Input 4_2020CUST-YTD'!$C$1:$O$1,0)),0)</f>
        <v>562.57499999999993</v>
      </c>
      <c r="AS25" s="262">
        <f>IFERROR(INDEX('Input 4.1_2020VOL-YTD'!$C$4:$O$300, MATCH($C25,'Input 4.1_2020VOL-YTD'!$R$4:$R$300,0),MATCH(AS$2,'Input 4.1_2020VOL-YTD'!$C$1:$O$1,0))/INDEX('Input 4_2020CUST-YTD'!$C$4:Z$300,MATCH($C25,'Input 4_2020CUST-YTD'!$S$4:$S$300,0),MATCH(AS$2,'Input 4_2020CUST-YTD'!$C$1:$O$1,0)),0)</f>
        <v>573.40750000000003</v>
      </c>
      <c r="AT25" s="190">
        <f t="shared" si="9"/>
        <v>619.31750000000011</v>
      </c>
      <c r="AU25" s="261">
        <f t="shared" si="6"/>
        <v>1</v>
      </c>
      <c r="AW25" s="1">
        <f>IFERROR(INDEX('Input 5.1_2021VOL-YTD'!$C$3:$N$150, MATCH($C25,'Input 5.1_2021VOL-YTD'!$R$3:$R$150,0),MATCH(AW$2,'Input 5.1_2021VOL-YTD'!$C$1:$N$1,0))/INDEX('Input 5_2021CUST-YTD'!$C$3:$N$150,MATCH($C25,'Input 5_2021CUST-YTD'!$S$3:$S$150,0),MATCH(AW$2,'Input 5_2021CUST-YTD'!$C$1:$N$1,0)),0)</f>
        <v>459.54799999999994</v>
      </c>
      <c r="AX25" s="1">
        <f>IFERROR(INDEX('Input 5.1_2021VOL-YTD'!$C$3:$N$150, MATCH($C25,'Input 5.1_2021VOL-YTD'!$R$3:$R$150,0),MATCH(AX$2,'Input 5.1_2021VOL-YTD'!$C$1:$N$1,0))/INDEX('Input 5_2021CUST-YTD'!$C$3:$N$150,MATCH($C25,'Input 5_2021CUST-YTD'!$S$3:$S$150,0),MATCH(AX$2,'Input 5_2021CUST-YTD'!$C$1:$N$1,0)),0)</f>
        <v>446.59</v>
      </c>
      <c r="AY25" s="1">
        <f>IFERROR(INDEX('Input 5.1_2021VOL-YTD'!$C$3:$N$150, MATCH($C25,'Input 5.1_2021VOL-YTD'!$R$3:$R$150,0),MATCH(AY$2,'Input 5.1_2021VOL-YTD'!$C$1:$N$1,0))/INDEX('Input 5_2021CUST-YTD'!$C$3:$N$150,MATCH($C25,'Input 5_2021CUST-YTD'!$S$3:$S$150,0),MATCH(AY$2,'Input 5_2021CUST-YTD'!$C$1:$N$1,0)),0)</f>
        <v>432.65</v>
      </c>
      <c r="AZ25" s="1">
        <f>IFERROR(INDEX('Input 5.1_2021VOL-YTD'!$C$3:$N$150, MATCH($C25,'Input 5.1_2021VOL-YTD'!$R$3:$R$150,0),MATCH(AZ$2,'Input 5.1_2021VOL-YTD'!$C$1:$N$1,0))/INDEX('Input 5_2021CUST-YTD'!$C$3:$N$150,MATCH($C25,'Input 5_2021CUST-YTD'!$S$3:$S$150,0),MATCH(AZ$2,'Input 5_2021CUST-YTD'!$C$1:$N$1,0)),0)</f>
        <v>498.39</v>
      </c>
      <c r="BA25" s="1">
        <f>IFERROR(INDEX('Input 5.1_2021VOL-YTD'!$C$3:$N$150, MATCH($C25,'Input 5.1_2021VOL-YTD'!$R$3:$R$150,0),MATCH(BA$2,'Input 5.1_2021VOL-YTD'!$C$1:$N$1,0))/INDEX('Input 5_2021CUST-YTD'!$C$3:$N$150,MATCH($C25,'Input 5_2021CUST-YTD'!$S$3:$S$150,0),MATCH(BA$2,'Input 5_2021CUST-YTD'!$C$1:$N$1,0)),0)</f>
        <v>516.08400000000006</v>
      </c>
      <c r="BB25" s="1">
        <f>IFERROR(INDEX('Input 5.1_2021VOL-YTD'!$C$3:$N$150, MATCH($C25,'Input 5.1_2021VOL-YTD'!$R$3:$R$150,0),MATCH(BB$2,'Input 5.1_2021VOL-YTD'!$C$1:$N$1,0))/INDEX('Input 5_2021CUST-YTD'!$C$3:$N$150,MATCH($C25,'Input 5_2021CUST-YTD'!$S$3:$S$150,0),MATCH(BB$2,'Input 5_2021CUST-YTD'!$C$1:$N$1,0)),0)</f>
        <v>470.94600000000003</v>
      </c>
      <c r="BC25" s="1">
        <f>IFERROR(INDEX('Input 5.1_2021VOL-YTD'!$C$3:$N$150, MATCH($C25,'Input 5.1_2021VOL-YTD'!$R$3:$R$150,0),MATCH(BC$2,'Input 5.1_2021VOL-YTD'!$C$1:$N$1,0))/INDEX('Input 5_2021CUST-YTD'!$C$3:$N$150,MATCH($C25,'Input 5_2021CUST-YTD'!$S$3:$S$150,0),MATCH(BC$2,'Input 5_2021CUST-YTD'!$C$1:$N$1,0)),0)</f>
        <v>491.79599999999999</v>
      </c>
      <c r="BD25" s="1">
        <f>IFERROR(INDEX('Input 5.1_2021VOL-YTD'!$C$3:$N$150, MATCH($C25,'Input 5.1_2021VOL-YTD'!$R$3:$R$150,0),MATCH(BD$2,'Input 5.1_2021VOL-YTD'!$C$1:$N$1,0))/INDEX('Input 5_2021CUST-YTD'!$C$3:$N$150,MATCH($C25,'Input 5_2021CUST-YTD'!$S$3:$S$150,0),MATCH(BD$2,'Input 5_2021CUST-YTD'!$C$1:$N$1,0)),0)</f>
        <v>417.41999999999996</v>
      </c>
      <c r="BE25" s="1">
        <f>IFERROR(INDEX('Input 5.1_2021VOL-YTD'!$C$3:$N$150, MATCH($C25,'Input 5.1_2021VOL-YTD'!$R$3:$R$150,0),MATCH(BE$2,'Input 5.1_2021VOL-YTD'!$C$1:$N$1,0))/INDEX('Input 5_2021CUST-YTD'!$C$3:$N$150,MATCH($C25,'Input 5_2021CUST-YTD'!$S$3:$S$150,0),MATCH(BE$2,'Input 5_2021CUST-YTD'!$C$1:$N$1,0)),0)</f>
        <v>564.10399999999993</v>
      </c>
      <c r="BF25" s="1">
        <f>IFERROR(INDEX('Input 5.1_2021VOL-YTD'!$C$3:$N$150, MATCH($C25,'Input 5.1_2021VOL-YTD'!$R$3:$R$150,0),MATCH(BF$2,'Input 5.1_2021VOL-YTD'!$C$1:$N$1,0))/INDEX('Input 5_2021CUST-YTD'!$C$3:$N$150,MATCH($C25,'Input 5_2021CUST-YTD'!$S$3:$S$150,0),MATCH(BF$2,'Input 5_2021CUST-YTD'!$C$1:$N$1,0)),0)</f>
        <v>457.416</v>
      </c>
      <c r="BG25" s="1">
        <f>IFERROR(INDEX('Input 5.1_2021VOL-YTD'!$C$3:$N$150, MATCH($C25,'Input 5.1_2021VOL-YTD'!$R$3:$R$150,0),MATCH(BG$2,'Input 5.1_2021VOL-YTD'!$C$1:$N$1,0))/INDEX('Input 5_2021CUST-YTD'!$C$3:$N$150,MATCH($C25,'Input 5_2021CUST-YTD'!$S$3:$S$150,0),MATCH(BG$2,'Input 5_2021CUST-YTD'!$C$1:$N$1,0)),0)</f>
        <v>482.83199999999999</v>
      </c>
      <c r="BH25" s="1">
        <f>IFERROR(INDEX('Input 5.1_2021VOL-YTD'!$C$3:$N$150, MATCH($C25,'Input 5.1_2021VOL-YTD'!$R$3:$R$150,0),MATCH(BH$2,'Input 5.1_2021VOL-YTD'!$C$1:$N$1,0))/INDEX('Input 5_2021CUST-YTD'!$C$3:$N$150,MATCH($C25,'Input 5_2021CUST-YTD'!$S$3:$S$150,0),MATCH(BH$2,'Input 5_2021CUST-YTD'!$C$1:$N$1,0)),0)</f>
        <v>553.48799999999994</v>
      </c>
      <c r="BI25" s="190">
        <f t="shared" si="7"/>
        <v>564.10399999999993</v>
      </c>
      <c r="BJ25" s="261">
        <f t="shared" si="8"/>
        <v>9</v>
      </c>
    </row>
    <row r="26" spans="1:62">
      <c r="A26" s="261" t="s">
        <v>1245</v>
      </c>
      <c r="B26" s="261" t="s">
        <v>996</v>
      </c>
      <c r="C26" s="261" t="s">
        <v>711</v>
      </c>
      <c r="D26" s="5">
        <f>IFERROR(INDEX('Input 16.1_2018VOL-YTD'!$C$4:$N$300, MATCH($C26,'Input 16.1_2018VOL-YTD'!$R$4:$R$300,0),MATCH(D$2,'Input 16.1_2018VOL-YTD'!$C$1:$N$1,0))/INDEX('Input 16_2018CUST-YTD'!$D$4:$O$300,MATCH($C26,'Input 16_2018CUST-YTD'!$S$4:$S$300,0),MATCH(D$2,'Input 16_2018CUST-YTD'!$C$1:$O$1,0)),0)</f>
        <v>0</v>
      </c>
      <c r="E26" s="5">
        <f>IFERROR(INDEX('Input 16.1_2018VOL-YTD'!$C$4:$N$300, MATCH($C26,'Input 16.1_2018VOL-YTD'!$R$4:$R$300,0),MATCH(E$2,'Input 16.1_2018VOL-YTD'!$C$1:$N$1,0))/INDEX('Input 16_2018CUST-YTD'!$D$4:$O$300,MATCH($C26,'Input 16_2018CUST-YTD'!$S$4:$S$300,0),MATCH(E$2,'Input 16_2018CUST-YTD'!$C$1:$O$1,0)),0)</f>
        <v>0</v>
      </c>
      <c r="F26" s="5">
        <f>IFERROR(INDEX('Input 16.1_2018VOL-YTD'!$C$4:$N$300, MATCH($C26,'Input 16.1_2018VOL-YTD'!$R$4:$R$300,0),MATCH(F$2,'Input 16.1_2018VOL-YTD'!$C$1:$N$1,0))/INDEX('Input 16_2018CUST-YTD'!$D$4:$O$300,MATCH($C26,'Input 16_2018CUST-YTD'!$S$4:$S$300,0),MATCH(F$2,'Input 16_2018CUST-YTD'!$C$1:$O$1,0)),0)</f>
        <v>0</v>
      </c>
      <c r="G26" s="5">
        <f>IFERROR(INDEX('Input 16.1_2018VOL-YTD'!$C$4:$N$300, MATCH($C26,'Input 16.1_2018VOL-YTD'!$R$4:$R$300,0),MATCH(G$2,'Input 16.1_2018VOL-YTD'!$C$1:$N$1,0))/INDEX('Input 16_2018CUST-YTD'!$D$4:$O$300,MATCH($C26,'Input 16_2018CUST-YTD'!$S$4:$S$300,0),MATCH(G$2,'Input 16_2018CUST-YTD'!$C$1:$O$1,0)),0)</f>
        <v>0</v>
      </c>
      <c r="H26" s="5">
        <f>IFERROR(INDEX('Input 16.1_2018VOL-YTD'!$C$4:$N$300, MATCH($C26,'Input 16.1_2018VOL-YTD'!$R$4:$R$300,0),MATCH(H$2,'Input 16.1_2018VOL-YTD'!$C$1:$N$1,0))/INDEX('Input 16_2018CUST-YTD'!$D$4:$O$300,MATCH($C26,'Input 16_2018CUST-YTD'!$S$4:$S$300,0),MATCH(H$2,'Input 16_2018CUST-YTD'!$C$1:$O$1,0)),0)</f>
        <v>0</v>
      </c>
      <c r="I26" s="5">
        <f>IFERROR(INDEX('Input 16.1_2018VOL-YTD'!$C$4:$N$300, MATCH($C26,'Input 16.1_2018VOL-YTD'!$R$4:$R$300,0),MATCH(I$2,'Input 16.1_2018VOL-YTD'!$C$1:$N$1,0))/INDEX('Input 16_2018CUST-YTD'!$D$4:$O$300,MATCH($C26,'Input 16_2018CUST-YTD'!$S$4:$S$300,0),MATCH(I$2,'Input 16_2018CUST-YTD'!$C$1:$O$1,0)),0)</f>
        <v>0</v>
      </c>
      <c r="J26" s="5">
        <f>IFERROR(INDEX('Input 16.1_2018VOL-YTD'!$C$4:$N$300, MATCH($C26,'Input 16.1_2018VOL-YTD'!$R$4:$R$300,0),MATCH(J$2,'Input 16.1_2018VOL-YTD'!$C$1:$N$1,0))/INDEX('Input 16_2018CUST-YTD'!$D$4:$O$300,MATCH($C26,'Input 16_2018CUST-YTD'!$S$4:$S$300,0),MATCH(J$2,'Input 16_2018CUST-YTD'!$C$1:$O$1,0)),0)</f>
        <v>0</v>
      </c>
      <c r="K26" s="5">
        <f>IFERROR(INDEX('Input 16.1_2018VOL-YTD'!$C$4:$N$300, MATCH($C26,'Input 16.1_2018VOL-YTD'!$R$4:$R$300,0),MATCH(K$2,'Input 16.1_2018VOL-YTD'!$C$1:$N$1,0))/INDEX('Input 16_2018CUST-YTD'!$D$4:$O$300,MATCH($C26,'Input 16_2018CUST-YTD'!$S$4:$S$300,0),MATCH(K$2,'Input 16_2018CUST-YTD'!$C$1:$O$1,0)),0)</f>
        <v>0</v>
      </c>
      <c r="L26" s="5">
        <f>IFERROR(INDEX('Input 16.1_2018VOL-YTD'!$C$4:$N$300, MATCH($C26,'Input 16.1_2018VOL-YTD'!$R$4:$R$300,0),MATCH(L$2,'Input 16.1_2018VOL-YTD'!$C$1:$N$1,0))/INDEX('Input 16_2018CUST-YTD'!$D$4:$O$300,MATCH($C26,'Input 16_2018CUST-YTD'!$S$4:$S$300,0),MATCH(L$2,'Input 16_2018CUST-YTD'!$C$1:$O$1,0)),0)</f>
        <v>0</v>
      </c>
      <c r="M26" s="5">
        <f>IFERROR(INDEX('Input 16.1_2018VOL-YTD'!$C$4:$N$300, MATCH($C26,'Input 16.1_2018VOL-YTD'!$R$4:$R$300,0),MATCH(M$2,'Input 16.1_2018VOL-YTD'!$C$1:$N$1,0))/INDEX('Input 16_2018CUST-YTD'!$D$4:$O$300,MATCH($C26,'Input 16_2018CUST-YTD'!$S$4:$S$300,0),MATCH(M$2,'Input 16_2018CUST-YTD'!$C$1:$O$1,0)),0)</f>
        <v>0</v>
      </c>
      <c r="N26" s="5">
        <f>IFERROR(INDEX('Input 16.1_2018VOL-YTD'!$C$4:$N$300, MATCH($C26,'Input 16.1_2018VOL-YTD'!$R$4:$R$300,0),MATCH(N$2,'Input 16.1_2018VOL-YTD'!$C$1:$N$1,0))/INDEX('Input 16_2018CUST-YTD'!$D$4:$O$300,MATCH($C26,'Input 16_2018CUST-YTD'!$S$4:$S$300,0),MATCH(N$2,'Input 16_2018CUST-YTD'!$C$1:$O$1,0)),0)</f>
        <v>0</v>
      </c>
      <c r="O26" s="5">
        <f>IFERROR(INDEX('Input 16.1_2018VOL-YTD'!$C$4:$N$300, MATCH($C26,'Input 16.1_2018VOL-YTD'!$R$4:$R$300,0),MATCH(O$2,'Input 16.1_2018VOL-YTD'!$C$1:$N$1,0))/INDEX('Input 16_2018CUST-YTD'!$D$4:$O$300,MATCH($C26,'Input 16_2018CUST-YTD'!$S$4:$S$300,0),MATCH(O$2,'Input 16_2018CUST-YTD'!$C$1:$O$1,0)),0)</f>
        <v>0</v>
      </c>
      <c r="P26" s="271">
        <f t="shared" si="1"/>
        <v>0</v>
      </c>
      <c r="Q26" s="261">
        <f t="shared" si="2"/>
        <v>0</v>
      </c>
      <c r="S26" s="5">
        <f>IFERROR(INDEX('Input 3.1_2019VOL-YTD'!$C$4:$N$300, MATCH($C26,'Input 3.1_2019VOL-YTD'!$R$4:$R$300,0),MATCH(S$2,'Input 3.1_2019VOL-YTD'!$C$1:$N$1,0))/INDEX('Input 3_2019CUST-YTD'!$C$4:$N$300,MATCH($C26,'Input 3_2019CUST-YTD'!$S$4:$S$300,0),MATCH(S$2,'Input 3_2019CUST-YTD'!$C$1:$N$1,0)),0)</f>
        <v>0</v>
      </c>
      <c r="T26" s="5">
        <f>IFERROR(INDEX('Input 3.1_2019VOL-YTD'!$C$4:$N$300, MATCH($C26,'Input 3.1_2019VOL-YTD'!$R$4:$R$300,0),MATCH(T$2,'Input 3.1_2019VOL-YTD'!$C$1:$N$1,0))/INDEX('Input 3_2019CUST-YTD'!$C$4:$N$300,MATCH($C26,'Input 3_2019CUST-YTD'!$S$4:$S$300,0),MATCH(T$2,'Input 3_2019CUST-YTD'!$C$1:$N$1,0)),0)</f>
        <v>0</v>
      </c>
      <c r="U26" s="5">
        <f>IFERROR(INDEX('Input 3.1_2019VOL-YTD'!$C$4:$N$300, MATCH($C26,'Input 3.1_2019VOL-YTD'!$R$4:$R$300,0),MATCH(U$2,'Input 3.1_2019VOL-YTD'!$C$1:$N$1,0))/INDEX('Input 3_2019CUST-YTD'!$C$4:$N$300,MATCH($C26,'Input 3_2019CUST-YTD'!$S$4:$S$300,0),MATCH(U$2,'Input 3_2019CUST-YTD'!$C$1:$N$1,0)),0)</f>
        <v>0</v>
      </c>
      <c r="V26" s="5">
        <f>IFERROR(INDEX('Input 3.1_2019VOL-YTD'!$C$4:$N$300, MATCH($C26,'Input 3.1_2019VOL-YTD'!$R$4:$R$300,0),MATCH(V$2,'Input 3.1_2019VOL-YTD'!$C$1:$N$1,0))/INDEX('Input 3_2019CUST-YTD'!$C$4:$N$300,MATCH($C26,'Input 3_2019CUST-YTD'!$S$4:$S$300,0),MATCH(V$2,'Input 3_2019CUST-YTD'!$C$1:$N$1,0)),0)</f>
        <v>0</v>
      </c>
      <c r="W26" s="5">
        <f>IFERROR(INDEX('Input 3.1_2019VOL-YTD'!$C$4:$N$300, MATCH($C26,'Input 3.1_2019VOL-YTD'!$R$4:$R$300,0),MATCH(W$2,'Input 3.1_2019VOL-YTD'!$C$1:$N$1,0))/INDEX('Input 3_2019CUST-YTD'!$C$4:$N$300,MATCH($C26,'Input 3_2019CUST-YTD'!$S$4:$S$300,0),MATCH(W$2,'Input 3_2019CUST-YTD'!$C$1:$N$1,0)),0)</f>
        <v>0</v>
      </c>
      <c r="X26" s="5">
        <f>IFERROR(INDEX('Input 3.1_2019VOL-YTD'!$C$4:$N$300, MATCH($C26,'Input 3.1_2019VOL-YTD'!$R$4:$R$300,0),MATCH(X$2,'Input 3.1_2019VOL-YTD'!$C$1:$N$1,0))/INDEX('Input 3_2019CUST-YTD'!$C$4:$N$300,MATCH($C26,'Input 3_2019CUST-YTD'!$S$4:$S$300,0),MATCH(X$2,'Input 3_2019CUST-YTD'!$C$1:$N$1,0)),0)</f>
        <v>0</v>
      </c>
      <c r="Y26" s="5">
        <f>IFERROR(INDEX('Input 3.1_2019VOL-YTD'!$C$4:$N$300, MATCH($C26,'Input 3.1_2019VOL-YTD'!$R$4:$R$300,0),MATCH(Y$2,'Input 3.1_2019VOL-YTD'!$C$1:$N$1,0))/INDEX('Input 3_2019CUST-YTD'!$C$4:$N$300,MATCH($C26,'Input 3_2019CUST-YTD'!$S$4:$S$300,0),MATCH(Y$2,'Input 3_2019CUST-YTD'!$C$1:$N$1,0)),0)</f>
        <v>0</v>
      </c>
      <c r="Z26" s="5">
        <f>IFERROR(INDEX('Input 3.1_2019VOL-YTD'!$C$4:$N$300, MATCH($C26,'Input 3.1_2019VOL-YTD'!$R$4:$R$300,0),MATCH(Z$2,'Input 3.1_2019VOL-YTD'!$C$1:$N$1,0))/INDEX('Input 3_2019CUST-YTD'!$C$4:$N$300,MATCH($C26,'Input 3_2019CUST-YTD'!$S$4:$S$300,0),MATCH(Z$2,'Input 3_2019CUST-YTD'!$C$1:$N$1,0)),0)</f>
        <v>0</v>
      </c>
      <c r="AA26" s="5">
        <f>IFERROR(INDEX('Input 3.1_2019VOL-YTD'!$C$4:$N$300, MATCH($C26,'Input 3.1_2019VOL-YTD'!$R$4:$R$300,0),MATCH(AA$2,'Input 3.1_2019VOL-YTD'!$C$1:$N$1,0))/INDEX('Input 3_2019CUST-YTD'!$C$4:$N$300,MATCH($C26,'Input 3_2019CUST-YTD'!$S$4:$S$300,0),MATCH(AA$2,'Input 3_2019CUST-YTD'!$C$1:$N$1,0)),0)</f>
        <v>0</v>
      </c>
      <c r="AB26" s="5">
        <f>IFERROR(INDEX('Input 3.1_2019VOL-YTD'!$C$4:$N$300, MATCH($C26,'Input 3.1_2019VOL-YTD'!$R$4:$R$300,0),MATCH(AB$2,'Input 3.1_2019VOL-YTD'!$C$1:$N$1,0))/INDEX('Input 3_2019CUST-YTD'!$C$4:$N$300,MATCH($C26,'Input 3_2019CUST-YTD'!$S$4:$S$300,0),MATCH(AB$2,'Input 3_2019CUST-YTD'!$C$1:$N$1,0)),0)</f>
        <v>0</v>
      </c>
      <c r="AC26" s="5">
        <f>IFERROR(INDEX('Input 3.1_2019VOL-YTD'!$C$4:$N$300, MATCH($C26,'Input 3.1_2019VOL-YTD'!$R$4:$R$300,0),MATCH(AC$2,'Input 3.1_2019VOL-YTD'!$C$1:$N$1,0))/INDEX('Input 3_2019CUST-YTD'!$C$4:$N$300,MATCH($C26,'Input 3_2019CUST-YTD'!$S$4:$S$300,0),MATCH(AC$2,'Input 3_2019CUST-YTD'!$C$1:$N$1,0)),0)</f>
        <v>0</v>
      </c>
      <c r="AD26" s="5">
        <f>IFERROR(INDEX('Input 3.1_2019VOL-YTD'!$C$4:$N$300, MATCH($C26,'Input 3.1_2019VOL-YTD'!$R$4:$R$300,0),MATCH(AD$2,'Input 3.1_2019VOL-YTD'!$C$1:$N$1,0))/INDEX('Input 3_2019CUST-YTD'!$C$4:$N$300,MATCH($C26,'Input 3_2019CUST-YTD'!$S$4:$S$300,0),MATCH(AD$2,'Input 3_2019CUST-YTD'!$C$1:$N$1,0)),0)</f>
        <v>0</v>
      </c>
      <c r="AE26" s="272">
        <f t="shared" si="3"/>
        <v>0</v>
      </c>
      <c r="AF26" s="261">
        <f t="shared" si="4"/>
        <v>1</v>
      </c>
      <c r="AH26" s="262">
        <f>IFERROR(INDEX('Input 4.1_2020VOL-YTD'!$C$4:$O$300, MATCH($C26,'Input 4.1_2020VOL-YTD'!$R$4:$R$300,0),MATCH(AH$2,'Input 4.1_2020VOL-YTD'!$C$1:$O$1,0))/INDEX('Input 4_2020CUST-YTD'!$C$4:O$300,MATCH($C26,'Input 4_2020CUST-YTD'!$S$4:$S$300,0),MATCH(AH$2,'Input 4_2020CUST-YTD'!$C$1:$O$1,0)),0)</f>
        <v>0</v>
      </c>
      <c r="AI26" s="262">
        <f>IFERROR(INDEX('Input 4.1_2020VOL-YTD'!$C$4:$O$300, MATCH($C26,'Input 4.1_2020VOL-YTD'!$R$4:$R$300,0),MATCH(AI$2,'Input 4.1_2020VOL-YTD'!$C$1:$O$1,0))/INDEX('Input 4_2020CUST-YTD'!$C$4:P$300,MATCH($C26,'Input 4_2020CUST-YTD'!$S$4:$S$300,0),MATCH(AI$2,'Input 4_2020CUST-YTD'!$C$1:$O$1,0)),0)</f>
        <v>0</v>
      </c>
      <c r="AJ26" s="262">
        <f>IFERROR(INDEX('Input 4.1_2020VOL-YTD'!$C$4:$O$300, MATCH($C26,'Input 4.1_2020VOL-YTD'!$R$4:$R$300,0),MATCH(AJ$2,'Input 4.1_2020VOL-YTD'!$C$1:$O$1,0))/INDEX('Input 4_2020CUST-YTD'!$C$4:Q$300,MATCH($C26,'Input 4_2020CUST-YTD'!$S$4:$S$300,0),MATCH(AJ$2,'Input 4_2020CUST-YTD'!$C$1:$O$1,0)),0)</f>
        <v>0</v>
      </c>
      <c r="AK26" s="262">
        <f>IFERROR(INDEX('Input 4.1_2020VOL-YTD'!$C$4:$O$300, MATCH($C26,'Input 4.1_2020VOL-YTD'!$R$4:$R$300,0),MATCH(AK$2,'Input 4.1_2020VOL-YTD'!$C$1:$O$1,0))/INDEX('Input 4_2020CUST-YTD'!$C$4:R$300,MATCH($C26,'Input 4_2020CUST-YTD'!$S$4:$S$300,0),MATCH(AK$2,'Input 4_2020CUST-YTD'!$C$1:$O$1,0)),0)</f>
        <v>0</v>
      </c>
      <c r="AL26" s="262">
        <f>IFERROR(INDEX('Input 4.1_2020VOL-YTD'!$C$4:$O$300, MATCH($C26,'Input 4.1_2020VOL-YTD'!$R$4:$R$300,0),MATCH(AL$2,'Input 4.1_2020VOL-YTD'!$C$1:$O$1,0))/INDEX('Input 4_2020CUST-YTD'!$C$4:S$300,MATCH($C26,'Input 4_2020CUST-YTD'!$S$4:$S$300,0),MATCH(AL$2,'Input 4_2020CUST-YTD'!$C$1:$O$1,0)),0)</f>
        <v>0</v>
      </c>
      <c r="AM26" s="262">
        <f>IFERROR(INDEX('Input 4.1_2020VOL-YTD'!$C$4:$O$300, MATCH($C26,'Input 4.1_2020VOL-YTD'!$R$4:$R$300,0),MATCH(AM$2,'Input 4.1_2020VOL-YTD'!$C$1:$O$1,0))/INDEX('Input 4_2020CUST-YTD'!$C$4:T$300,MATCH($C26,'Input 4_2020CUST-YTD'!$S$4:$S$300,0),MATCH(AM$2,'Input 4_2020CUST-YTD'!$C$1:$O$1,0)),0)</f>
        <v>0</v>
      </c>
      <c r="AN26" s="262">
        <f>IFERROR(INDEX('Input 4.1_2020VOL-YTD'!$C$4:$O$300, MATCH($C26,'Input 4.1_2020VOL-YTD'!$R$4:$R$300,0),MATCH(AN$2,'Input 4.1_2020VOL-YTD'!$C$1:$O$1,0))/INDEX('Input 4_2020CUST-YTD'!$C$4:U$300,MATCH($C26,'Input 4_2020CUST-YTD'!$S$4:$S$300,0),MATCH(AN$2,'Input 4_2020CUST-YTD'!$C$1:$O$1,0)),0)</f>
        <v>0</v>
      </c>
      <c r="AO26" s="262">
        <f>IFERROR(INDEX('Input 4.1_2020VOL-YTD'!$C$4:$O$300, MATCH($C26,'Input 4.1_2020VOL-YTD'!$R$4:$R$300,0),MATCH(AO$2,'Input 4.1_2020VOL-YTD'!$C$1:$O$1,0))/INDEX('Input 4_2020CUST-YTD'!$C$4:V$300,MATCH($C26,'Input 4_2020CUST-YTD'!$S$4:$S$300,0),MATCH(AO$2,'Input 4_2020CUST-YTD'!$C$1:$O$1,0)),0)</f>
        <v>0</v>
      </c>
      <c r="AP26" s="262">
        <f>IFERROR(INDEX('Input 4.1_2020VOL-YTD'!$C$4:$O$300, MATCH($C26,'Input 4.1_2020VOL-YTD'!$R$4:$R$300,0),MATCH(AP$2,'Input 4.1_2020VOL-YTD'!$C$1:$O$1,0))/INDEX('Input 4_2020CUST-YTD'!$C$4:W$300,MATCH($C26,'Input 4_2020CUST-YTD'!$S$4:$S$300,0),MATCH(AP$2,'Input 4_2020CUST-YTD'!$C$1:$O$1,0)),0)</f>
        <v>0</v>
      </c>
      <c r="AQ26" s="262">
        <f>IFERROR(INDEX('Input 4.1_2020VOL-YTD'!$C$4:$O$300, MATCH($C26,'Input 4.1_2020VOL-YTD'!$R$4:$R$300,0),MATCH(AQ$2,'Input 4.1_2020VOL-YTD'!$C$1:$O$1,0))/INDEX('Input 4_2020CUST-YTD'!$C$4:X$300,MATCH($C26,'Input 4_2020CUST-YTD'!$S$4:$S$300,0),MATCH(AQ$2,'Input 4_2020CUST-YTD'!$C$1:$O$1,0)),0)</f>
        <v>0</v>
      </c>
      <c r="AR26" s="262">
        <f>IFERROR(INDEX('Input 4.1_2020VOL-YTD'!$C$4:$O$300, MATCH($C26,'Input 4.1_2020VOL-YTD'!$R$4:$R$300,0),MATCH(AR$2,'Input 4.1_2020VOL-YTD'!$C$1:$O$1,0))/INDEX('Input 4_2020CUST-YTD'!$C$4:Y$300,MATCH($C26,'Input 4_2020CUST-YTD'!$S$4:$S$300,0),MATCH(AR$2,'Input 4_2020CUST-YTD'!$C$1:$O$1,0)),0)</f>
        <v>0</v>
      </c>
      <c r="AS26" s="262">
        <f>IFERROR(INDEX('Input 4.1_2020VOL-YTD'!$C$4:$O$300, MATCH($C26,'Input 4.1_2020VOL-YTD'!$R$4:$R$300,0),MATCH(AS$2,'Input 4.1_2020VOL-YTD'!$C$1:$O$1,0))/INDEX('Input 4_2020CUST-YTD'!$C$4:Z$300,MATCH($C26,'Input 4_2020CUST-YTD'!$S$4:$S$300,0),MATCH(AS$2,'Input 4_2020CUST-YTD'!$C$1:$O$1,0)),0)</f>
        <v>0</v>
      </c>
      <c r="AT26" s="190">
        <f t="shared" si="9"/>
        <v>0</v>
      </c>
      <c r="AU26" s="261">
        <f t="shared" si="6"/>
        <v>1</v>
      </c>
      <c r="AW26" s="1">
        <f>IFERROR(INDEX('Input 5.1_2021VOL-YTD'!$C$3:$N$150, MATCH($C26,'Input 5.1_2021VOL-YTD'!$R$3:$R$150,0),MATCH(AW$2,'Input 5.1_2021VOL-YTD'!$C$1:$N$1,0))/INDEX('Input 5_2021CUST-YTD'!$C$3:$N$150,MATCH($C26,'Input 5_2021CUST-YTD'!$S$3:$S$150,0),MATCH(AW$2,'Input 5_2021CUST-YTD'!$C$1:$N$1,0)),0)</f>
        <v>7477.89</v>
      </c>
      <c r="AX26" s="1">
        <f>IFERROR(INDEX('Input 5.1_2021VOL-YTD'!$C$3:$N$150, MATCH($C26,'Input 5.1_2021VOL-YTD'!$R$3:$R$150,0),MATCH(AX$2,'Input 5.1_2021VOL-YTD'!$C$1:$N$1,0))/INDEX('Input 5_2021CUST-YTD'!$C$3:$N$150,MATCH($C26,'Input 5_2021CUST-YTD'!$S$3:$S$150,0),MATCH(AX$2,'Input 5_2021CUST-YTD'!$C$1:$N$1,0)),0)</f>
        <v>6908.29</v>
      </c>
      <c r="AY26" s="1">
        <f>IFERROR(INDEX('Input 5.1_2021VOL-YTD'!$C$3:$N$150, MATCH($C26,'Input 5.1_2021VOL-YTD'!$R$3:$R$150,0),MATCH(AY$2,'Input 5.1_2021VOL-YTD'!$C$1:$N$1,0))/INDEX('Input 5_2021CUST-YTD'!$C$3:$N$150,MATCH($C26,'Input 5_2021CUST-YTD'!$S$3:$S$150,0),MATCH(AY$2,'Input 5_2021CUST-YTD'!$C$1:$N$1,0)),0)</f>
        <v>5480.78</v>
      </c>
      <c r="AZ26" s="1">
        <f>IFERROR(INDEX('Input 5.1_2021VOL-YTD'!$C$3:$N$150, MATCH($C26,'Input 5.1_2021VOL-YTD'!$R$3:$R$150,0),MATCH(AZ$2,'Input 5.1_2021VOL-YTD'!$C$1:$N$1,0))/INDEX('Input 5_2021CUST-YTD'!$C$3:$N$150,MATCH($C26,'Input 5_2021CUST-YTD'!$S$3:$S$150,0),MATCH(AZ$2,'Input 5_2021CUST-YTD'!$C$1:$N$1,0)),0)</f>
        <v>6510.28</v>
      </c>
      <c r="BA26" s="1">
        <f>IFERROR(INDEX('Input 5.1_2021VOL-YTD'!$C$3:$N$150, MATCH($C26,'Input 5.1_2021VOL-YTD'!$R$3:$R$150,0),MATCH(BA$2,'Input 5.1_2021VOL-YTD'!$C$1:$N$1,0))/INDEX('Input 5_2021CUST-YTD'!$C$3:$N$150,MATCH($C26,'Input 5_2021CUST-YTD'!$S$3:$S$150,0),MATCH(BA$2,'Input 5_2021CUST-YTD'!$C$1:$N$1,0)),0)</f>
        <v>5957.2349999999997</v>
      </c>
      <c r="BB26" s="1">
        <f>IFERROR(INDEX('Input 5.1_2021VOL-YTD'!$C$3:$N$150, MATCH($C26,'Input 5.1_2021VOL-YTD'!$R$3:$R$150,0),MATCH(BB$2,'Input 5.1_2021VOL-YTD'!$C$1:$N$1,0))/INDEX('Input 5_2021CUST-YTD'!$C$3:$N$150,MATCH($C26,'Input 5_2021CUST-YTD'!$S$3:$S$150,0),MATCH(BB$2,'Input 5_2021CUST-YTD'!$C$1:$N$1,0)),0)</f>
        <v>5663.6149999999998</v>
      </c>
      <c r="BC26" s="1">
        <f>IFERROR(INDEX('Input 5.1_2021VOL-YTD'!$C$3:$N$150, MATCH($C26,'Input 5.1_2021VOL-YTD'!$R$3:$R$150,0),MATCH(BC$2,'Input 5.1_2021VOL-YTD'!$C$1:$N$1,0))/INDEX('Input 5_2021CUST-YTD'!$C$3:$N$150,MATCH($C26,'Input 5_2021CUST-YTD'!$S$3:$S$150,0),MATCH(BC$2,'Input 5_2021CUST-YTD'!$C$1:$N$1,0)),0)</f>
        <v>1724.605</v>
      </c>
      <c r="BD26" s="1">
        <f>IFERROR(INDEX('Input 5.1_2021VOL-YTD'!$C$3:$N$150, MATCH($C26,'Input 5.1_2021VOL-YTD'!$R$3:$R$150,0),MATCH(BD$2,'Input 5.1_2021VOL-YTD'!$C$1:$N$1,0))/INDEX('Input 5_2021CUST-YTD'!$C$3:$N$150,MATCH($C26,'Input 5_2021CUST-YTD'!$S$3:$S$150,0),MATCH(BD$2,'Input 5_2021CUST-YTD'!$C$1:$N$1,0)),0)</f>
        <v>6915.6749999999993</v>
      </c>
      <c r="BE26" s="1">
        <f>IFERROR(INDEX('Input 5.1_2021VOL-YTD'!$C$3:$N$150, MATCH($C26,'Input 5.1_2021VOL-YTD'!$R$3:$R$150,0),MATCH(BE$2,'Input 5.1_2021VOL-YTD'!$C$1:$N$1,0))/INDEX('Input 5_2021CUST-YTD'!$C$3:$N$150,MATCH($C26,'Input 5_2021CUST-YTD'!$S$3:$S$150,0),MATCH(BE$2,'Input 5_2021CUST-YTD'!$C$1:$N$1,0)),0)</f>
        <v>4245.9549999999999</v>
      </c>
      <c r="BF26" s="1">
        <f>IFERROR(INDEX('Input 5.1_2021VOL-YTD'!$C$3:$N$150, MATCH($C26,'Input 5.1_2021VOL-YTD'!$R$3:$R$150,0),MATCH(BF$2,'Input 5.1_2021VOL-YTD'!$C$1:$N$1,0))/INDEX('Input 5_2021CUST-YTD'!$C$3:$N$150,MATCH($C26,'Input 5_2021CUST-YTD'!$S$3:$S$150,0),MATCH(BF$2,'Input 5_2021CUST-YTD'!$C$1:$N$1,0)),0)</f>
        <v>5517.74</v>
      </c>
      <c r="BG26" s="1">
        <f>IFERROR(INDEX('Input 5.1_2021VOL-YTD'!$C$3:$N$150, MATCH($C26,'Input 5.1_2021VOL-YTD'!$R$3:$R$150,0),MATCH(BG$2,'Input 5.1_2021VOL-YTD'!$C$1:$N$1,0))/INDEX('Input 5_2021CUST-YTD'!$C$3:$N$150,MATCH($C26,'Input 5_2021CUST-YTD'!$S$3:$S$150,0),MATCH(BG$2,'Input 5_2021CUST-YTD'!$C$1:$N$1,0)),0)</f>
        <v>6743.5950000000003</v>
      </c>
      <c r="BH26" s="1">
        <f>IFERROR(INDEX('Input 5.1_2021VOL-YTD'!$C$3:$N$150, MATCH($C26,'Input 5.1_2021VOL-YTD'!$R$3:$R$150,0),MATCH(BH$2,'Input 5.1_2021VOL-YTD'!$C$1:$N$1,0))/INDEX('Input 5_2021CUST-YTD'!$C$3:$N$150,MATCH($C26,'Input 5_2021CUST-YTD'!$S$3:$S$150,0),MATCH(BH$2,'Input 5_2021CUST-YTD'!$C$1:$N$1,0)),0)</f>
        <v>7773.73</v>
      </c>
      <c r="BI26" s="190">
        <f t="shared" si="7"/>
        <v>7773.73</v>
      </c>
      <c r="BJ26" s="261">
        <f t="shared" si="8"/>
        <v>12</v>
      </c>
    </row>
    <row r="27" spans="1:62">
      <c r="A27" s="261" t="s">
        <v>1245</v>
      </c>
      <c r="B27" s="261" t="s">
        <v>996</v>
      </c>
      <c r="C27" s="261" t="s">
        <v>713</v>
      </c>
      <c r="D27" s="5">
        <f>IFERROR(INDEX('Input 16.1_2018VOL-YTD'!$C$4:$N$300, MATCH($C27,'Input 16.1_2018VOL-YTD'!$R$4:$R$300,0),MATCH(D$2,'Input 16.1_2018VOL-YTD'!$C$1:$N$1,0))/INDEX('Input 16_2018CUST-YTD'!$D$4:$O$300,MATCH($C27,'Input 16_2018CUST-YTD'!$S$4:$S$300,0),MATCH(D$2,'Input 16_2018CUST-YTD'!$C$1:$O$1,0)),0)</f>
        <v>0</v>
      </c>
      <c r="E27" s="5">
        <f>IFERROR(INDEX('Input 16.1_2018VOL-YTD'!$C$4:$N$300, MATCH($C27,'Input 16.1_2018VOL-YTD'!$R$4:$R$300,0),MATCH(E$2,'Input 16.1_2018VOL-YTD'!$C$1:$N$1,0))/INDEX('Input 16_2018CUST-YTD'!$D$4:$O$300,MATCH($C27,'Input 16_2018CUST-YTD'!$S$4:$S$300,0),MATCH(E$2,'Input 16_2018CUST-YTD'!$C$1:$O$1,0)),0)</f>
        <v>0</v>
      </c>
      <c r="F27" s="5">
        <f>IFERROR(INDEX('Input 16.1_2018VOL-YTD'!$C$4:$N$300, MATCH($C27,'Input 16.1_2018VOL-YTD'!$R$4:$R$300,0),MATCH(F$2,'Input 16.1_2018VOL-YTD'!$C$1:$N$1,0))/INDEX('Input 16_2018CUST-YTD'!$D$4:$O$300,MATCH($C27,'Input 16_2018CUST-YTD'!$S$4:$S$300,0),MATCH(F$2,'Input 16_2018CUST-YTD'!$C$1:$O$1,0)),0)</f>
        <v>0</v>
      </c>
      <c r="G27" s="5">
        <f>IFERROR(INDEX('Input 16.1_2018VOL-YTD'!$C$4:$N$300, MATCH($C27,'Input 16.1_2018VOL-YTD'!$R$4:$R$300,0),MATCH(G$2,'Input 16.1_2018VOL-YTD'!$C$1:$N$1,0))/INDEX('Input 16_2018CUST-YTD'!$D$4:$O$300,MATCH($C27,'Input 16_2018CUST-YTD'!$S$4:$S$300,0),MATCH(G$2,'Input 16_2018CUST-YTD'!$C$1:$O$1,0)),0)</f>
        <v>0</v>
      </c>
      <c r="H27" s="5">
        <f>IFERROR(INDEX('Input 16.1_2018VOL-YTD'!$C$4:$N$300, MATCH($C27,'Input 16.1_2018VOL-YTD'!$R$4:$R$300,0),MATCH(H$2,'Input 16.1_2018VOL-YTD'!$C$1:$N$1,0))/INDEX('Input 16_2018CUST-YTD'!$D$4:$O$300,MATCH($C27,'Input 16_2018CUST-YTD'!$S$4:$S$300,0),MATCH(H$2,'Input 16_2018CUST-YTD'!$C$1:$O$1,0)),0)</f>
        <v>0</v>
      </c>
      <c r="I27" s="5">
        <f>IFERROR(INDEX('Input 16.1_2018VOL-YTD'!$C$4:$N$300, MATCH($C27,'Input 16.1_2018VOL-YTD'!$R$4:$R$300,0),MATCH(I$2,'Input 16.1_2018VOL-YTD'!$C$1:$N$1,0))/INDEX('Input 16_2018CUST-YTD'!$D$4:$O$300,MATCH($C27,'Input 16_2018CUST-YTD'!$S$4:$S$300,0),MATCH(I$2,'Input 16_2018CUST-YTD'!$C$1:$O$1,0)),0)</f>
        <v>0</v>
      </c>
      <c r="J27" s="5">
        <f>IFERROR(INDEX('Input 16.1_2018VOL-YTD'!$C$4:$N$300, MATCH($C27,'Input 16.1_2018VOL-YTD'!$R$4:$R$300,0),MATCH(J$2,'Input 16.1_2018VOL-YTD'!$C$1:$N$1,0))/INDEX('Input 16_2018CUST-YTD'!$D$4:$O$300,MATCH($C27,'Input 16_2018CUST-YTD'!$S$4:$S$300,0),MATCH(J$2,'Input 16_2018CUST-YTD'!$C$1:$O$1,0)),0)</f>
        <v>0</v>
      </c>
      <c r="K27" s="5">
        <f>IFERROR(INDEX('Input 16.1_2018VOL-YTD'!$C$4:$N$300, MATCH($C27,'Input 16.1_2018VOL-YTD'!$R$4:$R$300,0),MATCH(K$2,'Input 16.1_2018VOL-YTD'!$C$1:$N$1,0))/INDEX('Input 16_2018CUST-YTD'!$D$4:$O$300,MATCH($C27,'Input 16_2018CUST-YTD'!$S$4:$S$300,0),MATCH(K$2,'Input 16_2018CUST-YTD'!$C$1:$O$1,0)),0)</f>
        <v>0</v>
      </c>
      <c r="L27" s="5">
        <f>IFERROR(INDEX('Input 16.1_2018VOL-YTD'!$C$4:$N$300, MATCH($C27,'Input 16.1_2018VOL-YTD'!$R$4:$R$300,0),MATCH(L$2,'Input 16.1_2018VOL-YTD'!$C$1:$N$1,0))/INDEX('Input 16_2018CUST-YTD'!$D$4:$O$300,MATCH($C27,'Input 16_2018CUST-YTD'!$S$4:$S$300,0),MATCH(L$2,'Input 16_2018CUST-YTD'!$C$1:$O$1,0)),0)</f>
        <v>0</v>
      </c>
      <c r="M27" s="5">
        <f>IFERROR(INDEX('Input 16.1_2018VOL-YTD'!$C$4:$N$300, MATCH($C27,'Input 16.1_2018VOL-YTD'!$R$4:$R$300,0),MATCH(M$2,'Input 16.1_2018VOL-YTD'!$C$1:$N$1,0))/INDEX('Input 16_2018CUST-YTD'!$D$4:$O$300,MATCH($C27,'Input 16_2018CUST-YTD'!$S$4:$S$300,0),MATCH(M$2,'Input 16_2018CUST-YTD'!$C$1:$O$1,0)),0)</f>
        <v>0</v>
      </c>
      <c r="N27" s="5">
        <f>IFERROR(INDEX('Input 16.1_2018VOL-YTD'!$C$4:$N$300, MATCH($C27,'Input 16.1_2018VOL-YTD'!$R$4:$R$300,0),MATCH(N$2,'Input 16.1_2018VOL-YTD'!$C$1:$N$1,0))/INDEX('Input 16_2018CUST-YTD'!$D$4:$O$300,MATCH($C27,'Input 16_2018CUST-YTD'!$S$4:$S$300,0),MATCH(N$2,'Input 16_2018CUST-YTD'!$C$1:$O$1,0)),0)</f>
        <v>0</v>
      </c>
      <c r="O27" s="5">
        <f>IFERROR(INDEX('Input 16.1_2018VOL-YTD'!$C$4:$N$300, MATCH($C27,'Input 16.1_2018VOL-YTD'!$R$4:$R$300,0),MATCH(O$2,'Input 16.1_2018VOL-YTD'!$C$1:$N$1,0))/INDEX('Input 16_2018CUST-YTD'!$D$4:$O$300,MATCH($C27,'Input 16_2018CUST-YTD'!$S$4:$S$300,0),MATCH(O$2,'Input 16_2018CUST-YTD'!$C$1:$O$1,0)),0)</f>
        <v>0</v>
      </c>
      <c r="P27" s="271">
        <f t="shared" si="1"/>
        <v>0</v>
      </c>
      <c r="Q27" s="261">
        <f t="shared" si="2"/>
        <v>0</v>
      </c>
      <c r="S27" s="5">
        <f>IFERROR(INDEX('Input 3.1_2019VOL-YTD'!$C$4:$N$300, MATCH($C27,'Input 3.1_2019VOL-YTD'!$R$4:$R$300,0),MATCH(S$2,'Input 3.1_2019VOL-YTD'!$C$1:$N$1,0))/INDEX('Input 3_2019CUST-YTD'!$C$4:$N$300,MATCH($C27,'Input 3_2019CUST-YTD'!$S$4:$S$300,0),MATCH(S$2,'Input 3_2019CUST-YTD'!$C$1:$N$1,0)),0)</f>
        <v>0</v>
      </c>
      <c r="T27" s="5">
        <f>IFERROR(INDEX('Input 3.1_2019VOL-YTD'!$C$4:$N$300, MATCH($C27,'Input 3.1_2019VOL-YTD'!$R$4:$R$300,0),MATCH(T$2,'Input 3.1_2019VOL-YTD'!$C$1:$N$1,0))/INDEX('Input 3_2019CUST-YTD'!$C$4:$N$300,MATCH($C27,'Input 3_2019CUST-YTD'!$S$4:$S$300,0),MATCH(T$2,'Input 3_2019CUST-YTD'!$C$1:$N$1,0)),0)</f>
        <v>0</v>
      </c>
      <c r="U27" s="5">
        <f>IFERROR(INDEX('Input 3.1_2019VOL-YTD'!$C$4:$N$300, MATCH($C27,'Input 3.1_2019VOL-YTD'!$R$4:$R$300,0),MATCH(U$2,'Input 3.1_2019VOL-YTD'!$C$1:$N$1,0))/INDEX('Input 3_2019CUST-YTD'!$C$4:$N$300,MATCH($C27,'Input 3_2019CUST-YTD'!$S$4:$S$300,0),MATCH(U$2,'Input 3_2019CUST-YTD'!$C$1:$N$1,0)),0)</f>
        <v>0</v>
      </c>
      <c r="V27" s="5">
        <f>IFERROR(INDEX('Input 3.1_2019VOL-YTD'!$C$4:$N$300, MATCH($C27,'Input 3.1_2019VOL-YTD'!$R$4:$R$300,0),MATCH(V$2,'Input 3.1_2019VOL-YTD'!$C$1:$N$1,0))/INDEX('Input 3_2019CUST-YTD'!$C$4:$N$300,MATCH($C27,'Input 3_2019CUST-YTD'!$S$4:$S$300,0),MATCH(V$2,'Input 3_2019CUST-YTD'!$C$1:$N$1,0)),0)</f>
        <v>0</v>
      </c>
      <c r="W27" s="5">
        <f>IFERROR(INDEX('Input 3.1_2019VOL-YTD'!$C$4:$N$300, MATCH($C27,'Input 3.1_2019VOL-YTD'!$R$4:$R$300,0),MATCH(W$2,'Input 3.1_2019VOL-YTD'!$C$1:$N$1,0))/INDEX('Input 3_2019CUST-YTD'!$C$4:$N$300,MATCH($C27,'Input 3_2019CUST-YTD'!$S$4:$S$300,0),MATCH(W$2,'Input 3_2019CUST-YTD'!$C$1:$N$1,0)),0)</f>
        <v>0</v>
      </c>
      <c r="X27" s="5">
        <f>IFERROR(INDEX('Input 3.1_2019VOL-YTD'!$C$4:$N$300, MATCH($C27,'Input 3.1_2019VOL-YTD'!$R$4:$R$300,0),MATCH(X$2,'Input 3.1_2019VOL-YTD'!$C$1:$N$1,0))/INDEX('Input 3_2019CUST-YTD'!$C$4:$N$300,MATCH($C27,'Input 3_2019CUST-YTD'!$S$4:$S$300,0),MATCH(X$2,'Input 3_2019CUST-YTD'!$C$1:$N$1,0)),0)</f>
        <v>4591.38</v>
      </c>
      <c r="Y27" s="5">
        <f>IFERROR(INDEX('Input 3.1_2019VOL-YTD'!$C$4:$N$300, MATCH($C27,'Input 3.1_2019VOL-YTD'!$R$4:$R$300,0),MATCH(Y$2,'Input 3.1_2019VOL-YTD'!$C$1:$N$1,0))/INDEX('Input 3_2019CUST-YTD'!$C$4:$N$300,MATCH($C27,'Input 3_2019CUST-YTD'!$S$4:$S$300,0),MATCH(Y$2,'Input 3_2019CUST-YTD'!$C$1:$N$1,0)),0)</f>
        <v>3759.05</v>
      </c>
      <c r="Z27" s="5">
        <f>IFERROR(INDEX('Input 3.1_2019VOL-YTD'!$C$4:$N$300, MATCH($C27,'Input 3.1_2019VOL-YTD'!$R$4:$R$300,0),MATCH(Z$2,'Input 3.1_2019VOL-YTD'!$C$1:$N$1,0))/INDEX('Input 3_2019CUST-YTD'!$C$4:$N$300,MATCH($C27,'Input 3_2019CUST-YTD'!$S$4:$S$300,0),MATCH(Z$2,'Input 3_2019CUST-YTD'!$C$1:$N$1,0)),0)</f>
        <v>3740.25</v>
      </c>
      <c r="AA27" s="5">
        <f>IFERROR(INDEX('Input 3.1_2019VOL-YTD'!$C$4:$N$300, MATCH($C27,'Input 3.1_2019VOL-YTD'!$R$4:$R$300,0),MATCH(AA$2,'Input 3.1_2019VOL-YTD'!$C$1:$N$1,0))/INDEX('Input 3_2019CUST-YTD'!$C$4:$N$300,MATCH($C27,'Input 3_2019CUST-YTD'!$S$4:$S$300,0),MATCH(AA$2,'Input 3_2019CUST-YTD'!$C$1:$N$1,0)),0)</f>
        <v>3394.78</v>
      </c>
      <c r="AB27" s="5">
        <f>IFERROR(INDEX('Input 3.1_2019VOL-YTD'!$C$4:$N$300, MATCH($C27,'Input 3.1_2019VOL-YTD'!$R$4:$R$300,0),MATCH(AB$2,'Input 3.1_2019VOL-YTD'!$C$1:$N$1,0))/INDEX('Input 3_2019CUST-YTD'!$C$4:$N$300,MATCH($C27,'Input 3_2019CUST-YTD'!$S$4:$S$300,0),MATCH(AB$2,'Input 3_2019CUST-YTD'!$C$1:$N$1,0)),0)</f>
        <v>4736.95</v>
      </c>
      <c r="AC27" s="5">
        <f>IFERROR(INDEX('Input 3.1_2019VOL-YTD'!$C$4:$N$300, MATCH($C27,'Input 3.1_2019VOL-YTD'!$R$4:$R$300,0),MATCH(AC$2,'Input 3.1_2019VOL-YTD'!$C$1:$N$1,0))/INDEX('Input 3_2019CUST-YTD'!$C$4:$N$300,MATCH($C27,'Input 3_2019CUST-YTD'!$S$4:$S$300,0),MATCH(AC$2,'Input 3_2019CUST-YTD'!$C$1:$N$1,0)),0)</f>
        <v>5588.78</v>
      </c>
      <c r="AD27" s="5">
        <f>IFERROR(INDEX('Input 3.1_2019VOL-YTD'!$C$4:$N$300, MATCH($C27,'Input 3.1_2019VOL-YTD'!$R$4:$R$300,0),MATCH(AD$2,'Input 3.1_2019VOL-YTD'!$C$1:$N$1,0))/INDEX('Input 3_2019CUST-YTD'!$C$4:$N$300,MATCH($C27,'Input 3_2019CUST-YTD'!$S$4:$S$300,0),MATCH(AD$2,'Input 3_2019CUST-YTD'!$C$1:$N$1,0)),0)</f>
        <v>8151.9349999999995</v>
      </c>
      <c r="AE27" s="272">
        <f t="shared" si="3"/>
        <v>8151.9349999999995</v>
      </c>
      <c r="AF27" s="261">
        <f t="shared" si="4"/>
        <v>12</v>
      </c>
      <c r="AH27" s="262">
        <f>IFERROR(INDEX('Input 4.1_2020VOL-YTD'!$C$4:$O$300, MATCH($C27,'Input 4.1_2020VOL-YTD'!$R$4:$R$300,0),MATCH(AH$2,'Input 4.1_2020VOL-YTD'!$C$1:$O$1,0))/INDEX('Input 4_2020CUST-YTD'!$C$4:O$300,MATCH($C27,'Input 4_2020CUST-YTD'!$S$4:$S$300,0),MATCH(AH$2,'Input 4_2020CUST-YTD'!$C$1:$O$1,0)),0)</f>
        <v>7636.52</v>
      </c>
      <c r="AI27" s="262">
        <f>IFERROR(INDEX('Input 4.1_2020VOL-YTD'!$C$4:$O$300, MATCH($C27,'Input 4.1_2020VOL-YTD'!$R$4:$R$300,0),MATCH(AI$2,'Input 4.1_2020VOL-YTD'!$C$1:$O$1,0))/INDEX('Input 4_2020CUST-YTD'!$C$4:P$300,MATCH($C27,'Input 4_2020CUST-YTD'!$S$4:$S$300,0),MATCH(AI$2,'Input 4_2020CUST-YTD'!$C$1:$O$1,0)),0)</f>
        <v>9101.2749999999996</v>
      </c>
      <c r="AJ27" s="262">
        <f>IFERROR(INDEX('Input 4.1_2020VOL-YTD'!$C$4:$O$300, MATCH($C27,'Input 4.1_2020VOL-YTD'!$R$4:$R$300,0),MATCH(AJ$2,'Input 4.1_2020VOL-YTD'!$C$1:$O$1,0))/INDEX('Input 4_2020CUST-YTD'!$C$4:Q$300,MATCH($C27,'Input 4_2020CUST-YTD'!$S$4:$S$300,0),MATCH(AJ$2,'Input 4_2020CUST-YTD'!$C$1:$O$1,0)),0)</f>
        <v>7956.915</v>
      </c>
      <c r="AK27" s="262">
        <f>IFERROR(INDEX('Input 4.1_2020VOL-YTD'!$C$4:$O$300, MATCH($C27,'Input 4.1_2020VOL-YTD'!$R$4:$R$300,0),MATCH(AK$2,'Input 4.1_2020VOL-YTD'!$C$1:$O$1,0))/INDEX('Input 4_2020CUST-YTD'!$C$4:R$300,MATCH($C27,'Input 4_2020CUST-YTD'!$S$4:$S$300,0),MATCH(AK$2,'Input 4_2020CUST-YTD'!$C$1:$O$1,0)),0)</f>
        <v>4754.3649999999998</v>
      </c>
      <c r="AL27" s="262">
        <f>IFERROR(INDEX('Input 4.1_2020VOL-YTD'!$C$4:$O$300, MATCH($C27,'Input 4.1_2020VOL-YTD'!$R$4:$R$300,0),MATCH(AL$2,'Input 4.1_2020VOL-YTD'!$C$1:$O$1,0))/INDEX('Input 4_2020CUST-YTD'!$C$4:S$300,MATCH($C27,'Input 4_2020CUST-YTD'!$S$4:$S$300,0),MATCH(AL$2,'Input 4_2020CUST-YTD'!$C$1:$O$1,0)),0)</f>
        <v>146.97</v>
      </c>
      <c r="AM27" s="262">
        <f>IFERROR(INDEX('Input 4.1_2020VOL-YTD'!$C$4:$O$300, MATCH($C27,'Input 4.1_2020VOL-YTD'!$R$4:$R$300,0),MATCH(AM$2,'Input 4.1_2020VOL-YTD'!$C$1:$O$1,0))/INDEX('Input 4_2020CUST-YTD'!$C$4:T$300,MATCH($C27,'Input 4_2020CUST-YTD'!$S$4:$S$300,0),MATCH(AM$2,'Input 4_2020CUST-YTD'!$C$1:$O$1,0)),0)</f>
        <v>1409.155</v>
      </c>
      <c r="AN27" s="262">
        <f>IFERROR(INDEX('Input 4.1_2020VOL-YTD'!$C$4:$O$300, MATCH($C27,'Input 4.1_2020VOL-YTD'!$R$4:$R$300,0),MATCH(AN$2,'Input 4.1_2020VOL-YTD'!$C$1:$O$1,0))/INDEX('Input 4_2020CUST-YTD'!$C$4:U$300,MATCH($C27,'Input 4_2020CUST-YTD'!$S$4:$S$300,0),MATCH(AN$2,'Input 4_2020CUST-YTD'!$C$1:$O$1,0)),0)</f>
        <v>1916.2350000000001</v>
      </c>
      <c r="AO27" s="262">
        <f>IFERROR(INDEX('Input 4.1_2020VOL-YTD'!$C$4:$O$300, MATCH($C27,'Input 4.1_2020VOL-YTD'!$R$4:$R$300,0),MATCH(AO$2,'Input 4.1_2020VOL-YTD'!$C$1:$O$1,0))/INDEX('Input 4_2020CUST-YTD'!$C$4:V$300,MATCH($C27,'Input 4_2020CUST-YTD'!$S$4:$S$300,0),MATCH(AO$2,'Input 4_2020CUST-YTD'!$C$1:$O$1,0)),0)</f>
        <v>1312.915</v>
      </c>
      <c r="AP27" s="262">
        <f>IFERROR(INDEX('Input 4.1_2020VOL-YTD'!$C$4:$O$300, MATCH($C27,'Input 4.1_2020VOL-YTD'!$R$4:$R$300,0),MATCH(AP$2,'Input 4.1_2020VOL-YTD'!$C$1:$O$1,0))/INDEX('Input 4_2020CUST-YTD'!$C$4:W$300,MATCH($C27,'Input 4_2020CUST-YTD'!$S$4:$S$300,0),MATCH(AP$2,'Input 4_2020CUST-YTD'!$C$1:$O$1,0)),0)</f>
        <v>1515.6</v>
      </c>
      <c r="AQ27" s="262">
        <f>IFERROR(INDEX('Input 4.1_2020VOL-YTD'!$C$4:$O$300, MATCH($C27,'Input 4.1_2020VOL-YTD'!$R$4:$R$300,0),MATCH(AQ$2,'Input 4.1_2020VOL-YTD'!$C$1:$O$1,0))/INDEX('Input 4_2020CUST-YTD'!$C$4:X$300,MATCH($C27,'Input 4_2020CUST-YTD'!$S$4:$S$300,0),MATCH(AQ$2,'Input 4_2020CUST-YTD'!$C$1:$O$1,0)),0)</f>
        <v>3206.6150000000002</v>
      </c>
      <c r="AR27" s="262">
        <f>IFERROR(INDEX('Input 4.1_2020VOL-YTD'!$C$4:$O$300, MATCH($C27,'Input 4.1_2020VOL-YTD'!$R$4:$R$300,0),MATCH(AR$2,'Input 4.1_2020VOL-YTD'!$C$1:$O$1,0))/INDEX('Input 4_2020CUST-YTD'!$C$4:Y$300,MATCH($C27,'Input 4_2020CUST-YTD'!$S$4:$S$300,0),MATCH(AR$2,'Input 4_2020CUST-YTD'!$C$1:$O$1,0)),0)</f>
        <v>5178.4049999999997</v>
      </c>
      <c r="AS27" s="262">
        <f>IFERROR(INDEX('Input 4.1_2020VOL-YTD'!$C$4:$O$300, MATCH($C27,'Input 4.1_2020VOL-YTD'!$R$4:$R$300,0),MATCH(AS$2,'Input 4.1_2020VOL-YTD'!$C$1:$O$1,0))/INDEX('Input 4_2020CUST-YTD'!$C$4:Z$300,MATCH($C27,'Input 4_2020CUST-YTD'!$S$4:$S$300,0),MATCH(AS$2,'Input 4_2020CUST-YTD'!$C$1:$O$1,0)),0)</f>
        <v>7045.0750000000007</v>
      </c>
      <c r="AT27" s="190">
        <f t="shared" si="9"/>
        <v>9101.2749999999996</v>
      </c>
      <c r="AU27" s="261">
        <f t="shared" si="6"/>
        <v>2</v>
      </c>
      <c r="AW27" s="1">
        <f>IFERROR(INDEX('Input 5.1_2021VOL-YTD'!$C$3:$N$150, MATCH($C27,'Input 5.1_2021VOL-YTD'!$R$3:$R$150,0),MATCH(AW$2,'Input 5.1_2021VOL-YTD'!$C$1:$N$1,0))/INDEX('Input 5_2021CUST-YTD'!$C$3:$N$150,MATCH($C27,'Input 5_2021CUST-YTD'!$S$3:$S$150,0),MATCH(AW$2,'Input 5_2021CUST-YTD'!$C$1:$N$1,0)),0)</f>
        <v>1342.7049999999999</v>
      </c>
      <c r="AX27" s="1">
        <f>IFERROR(INDEX('Input 5.1_2021VOL-YTD'!$C$3:$N$150, MATCH($C27,'Input 5.1_2021VOL-YTD'!$R$3:$R$150,0),MATCH(AX$2,'Input 5.1_2021VOL-YTD'!$C$1:$N$1,0))/INDEX('Input 5_2021CUST-YTD'!$C$3:$N$150,MATCH($C27,'Input 5_2021CUST-YTD'!$S$3:$S$150,0),MATCH(AX$2,'Input 5_2021CUST-YTD'!$C$1:$N$1,0)),0)</f>
        <v>1645.4699999999998</v>
      </c>
      <c r="AY27" s="1">
        <f>IFERROR(INDEX('Input 5.1_2021VOL-YTD'!$C$3:$N$150, MATCH($C27,'Input 5.1_2021VOL-YTD'!$R$3:$R$150,0),MATCH(AY$2,'Input 5.1_2021VOL-YTD'!$C$1:$N$1,0))/INDEX('Input 5_2021CUST-YTD'!$C$3:$N$150,MATCH($C27,'Input 5_2021CUST-YTD'!$S$3:$S$150,0),MATCH(AY$2,'Input 5_2021CUST-YTD'!$C$1:$N$1,0)),0)</f>
        <v>1338.84</v>
      </c>
      <c r="AZ27" s="1">
        <f>IFERROR(INDEX('Input 5.1_2021VOL-YTD'!$C$3:$N$150, MATCH($C27,'Input 5.1_2021VOL-YTD'!$R$3:$R$150,0),MATCH(AZ$2,'Input 5.1_2021VOL-YTD'!$C$1:$N$1,0))/INDEX('Input 5_2021CUST-YTD'!$C$3:$N$150,MATCH($C27,'Input 5_2021CUST-YTD'!$S$3:$S$150,0),MATCH(AZ$2,'Input 5_2021CUST-YTD'!$C$1:$N$1,0)),0)</f>
        <v>1282.4749999999999</v>
      </c>
      <c r="BA27" s="1">
        <f>IFERROR(INDEX('Input 5.1_2021VOL-YTD'!$C$3:$N$150, MATCH($C27,'Input 5.1_2021VOL-YTD'!$R$3:$R$150,0),MATCH(BA$2,'Input 5.1_2021VOL-YTD'!$C$1:$N$1,0))/INDEX('Input 5_2021CUST-YTD'!$C$3:$N$150,MATCH($C27,'Input 5_2021CUST-YTD'!$S$3:$S$150,0),MATCH(BA$2,'Input 5_2021CUST-YTD'!$C$1:$N$1,0)),0)</f>
        <v>1207.76</v>
      </c>
      <c r="BB27" s="1">
        <f>IFERROR(INDEX('Input 5.1_2021VOL-YTD'!$C$3:$N$150, MATCH($C27,'Input 5.1_2021VOL-YTD'!$R$3:$R$150,0),MATCH(BB$2,'Input 5.1_2021VOL-YTD'!$C$1:$N$1,0))/INDEX('Input 5_2021CUST-YTD'!$C$3:$N$150,MATCH($C27,'Input 5_2021CUST-YTD'!$S$3:$S$150,0),MATCH(BB$2,'Input 5_2021CUST-YTD'!$C$1:$N$1,0)),0)</f>
        <v>1055.395</v>
      </c>
      <c r="BC27" s="1">
        <f>IFERROR(INDEX('Input 5.1_2021VOL-YTD'!$C$3:$N$150, MATCH($C27,'Input 5.1_2021VOL-YTD'!$R$3:$R$150,0),MATCH(BC$2,'Input 5.1_2021VOL-YTD'!$C$1:$N$1,0))/INDEX('Input 5_2021CUST-YTD'!$C$3:$N$150,MATCH($C27,'Input 5_2021CUST-YTD'!$S$3:$S$150,0),MATCH(BC$2,'Input 5_2021CUST-YTD'!$C$1:$N$1,0)),0)</f>
        <v>720.28499999999997</v>
      </c>
      <c r="BD27" s="1">
        <f>IFERROR(INDEX('Input 5.1_2021VOL-YTD'!$C$3:$N$150, MATCH($C27,'Input 5.1_2021VOL-YTD'!$R$3:$R$150,0),MATCH(BD$2,'Input 5.1_2021VOL-YTD'!$C$1:$N$1,0))/INDEX('Input 5_2021CUST-YTD'!$C$3:$N$150,MATCH($C27,'Input 5_2021CUST-YTD'!$S$3:$S$150,0),MATCH(BD$2,'Input 5_2021CUST-YTD'!$C$1:$N$1,0)),0)</f>
        <v>917.51</v>
      </c>
      <c r="BE27" s="1">
        <f>IFERROR(INDEX('Input 5.1_2021VOL-YTD'!$C$3:$N$150, MATCH($C27,'Input 5.1_2021VOL-YTD'!$R$3:$R$150,0),MATCH(BE$2,'Input 5.1_2021VOL-YTD'!$C$1:$N$1,0))/INDEX('Input 5_2021CUST-YTD'!$C$3:$N$150,MATCH($C27,'Input 5_2021CUST-YTD'!$S$3:$S$150,0),MATCH(BE$2,'Input 5_2021CUST-YTD'!$C$1:$N$1,0)),0)</f>
        <v>697.48500000000001</v>
      </c>
      <c r="BF27" s="1">
        <f>IFERROR(INDEX('Input 5.1_2021VOL-YTD'!$C$3:$N$150, MATCH($C27,'Input 5.1_2021VOL-YTD'!$R$3:$R$150,0),MATCH(BF$2,'Input 5.1_2021VOL-YTD'!$C$1:$N$1,0))/INDEX('Input 5_2021CUST-YTD'!$C$3:$N$150,MATCH($C27,'Input 5_2021CUST-YTD'!$S$3:$S$150,0),MATCH(BF$2,'Input 5_2021CUST-YTD'!$C$1:$N$1,0)),0)</f>
        <v>899.05500000000006</v>
      </c>
      <c r="BG27" s="1">
        <f>IFERROR(INDEX('Input 5.1_2021VOL-YTD'!$C$3:$N$150, MATCH($C27,'Input 5.1_2021VOL-YTD'!$R$3:$R$150,0),MATCH(BG$2,'Input 5.1_2021VOL-YTD'!$C$1:$N$1,0))/INDEX('Input 5_2021CUST-YTD'!$C$3:$N$150,MATCH($C27,'Input 5_2021CUST-YTD'!$S$3:$S$150,0),MATCH(BG$2,'Input 5_2021CUST-YTD'!$C$1:$N$1,0)),0)</f>
        <v>1068.45</v>
      </c>
      <c r="BH27" s="1">
        <f>IFERROR(INDEX('Input 5.1_2021VOL-YTD'!$C$3:$N$150, MATCH($C27,'Input 5.1_2021VOL-YTD'!$R$3:$R$150,0),MATCH(BH$2,'Input 5.1_2021VOL-YTD'!$C$1:$N$1,0))/INDEX('Input 5_2021CUST-YTD'!$C$3:$N$150,MATCH($C27,'Input 5_2021CUST-YTD'!$S$3:$S$150,0),MATCH(BH$2,'Input 5_2021CUST-YTD'!$C$1:$N$1,0)),0)</f>
        <v>1487.2</v>
      </c>
      <c r="BI27" s="190">
        <f t="shared" si="7"/>
        <v>1645.4699999999998</v>
      </c>
      <c r="BJ27" s="261">
        <f t="shared" si="8"/>
        <v>2</v>
      </c>
    </row>
    <row r="28" spans="1:62">
      <c r="A28" s="261" t="s">
        <v>1245</v>
      </c>
      <c r="B28" s="261" t="s">
        <v>996</v>
      </c>
      <c r="C28" s="261" t="s">
        <v>821</v>
      </c>
      <c r="D28" s="5">
        <f>IFERROR(INDEX('Input 16.1_2018VOL-YTD'!$C$4:$N$300, MATCH($C28,'Input 16.1_2018VOL-YTD'!$R$4:$R$300,0),MATCH(D$2,'Input 16.1_2018VOL-YTD'!$C$1:$N$1,0))/INDEX('Input 16_2018CUST-YTD'!$D$4:$O$300,MATCH($C28,'Input 16_2018CUST-YTD'!$S$4:$S$300,0),MATCH(D$2,'Input 16_2018CUST-YTD'!$C$1:$O$1,0)),0)</f>
        <v>0</v>
      </c>
      <c r="E28" s="5">
        <f>IFERROR(INDEX('Input 16.1_2018VOL-YTD'!$C$4:$N$300, MATCH($C28,'Input 16.1_2018VOL-YTD'!$R$4:$R$300,0),MATCH(E$2,'Input 16.1_2018VOL-YTD'!$C$1:$N$1,0))/INDEX('Input 16_2018CUST-YTD'!$D$4:$O$300,MATCH($C28,'Input 16_2018CUST-YTD'!$S$4:$S$300,0),MATCH(E$2,'Input 16_2018CUST-YTD'!$C$1:$O$1,0)),0)</f>
        <v>0</v>
      </c>
      <c r="F28" s="5">
        <f>IFERROR(INDEX('Input 16.1_2018VOL-YTD'!$C$4:$N$300, MATCH($C28,'Input 16.1_2018VOL-YTD'!$R$4:$R$300,0),MATCH(F$2,'Input 16.1_2018VOL-YTD'!$C$1:$N$1,0))/INDEX('Input 16_2018CUST-YTD'!$D$4:$O$300,MATCH($C28,'Input 16_2018CUST-YTD'!$S$4:$S$300,0),MATCH(F$2,'Input 16_2018CUST-YTD'!$C$1:$O$1,0)),0)</f>
        <v>0</v>
      </c>
      <c r="G28" s="5">
        <f>IFERROR(INDEX('Input 16.1_2018VOL-YTD'!$C$4:$N$300, MATCH($C28,'Input 16.1_2018VOL-YTD'!$R$4:$R$300,0),MATCH(G$2,'Input 16.1_2018VOL-YTD'!$C$1:$N$1,0))/INDEX('Input 16_2018CUST-YTD'!$D$4:$O$300,MATCH($C28,'Input 16_2018CUST-YTD'!$S$4:$S$300,0),MATCH(G$2,'Input 16_2018CUST-YTD'!$C$1:$O$1,0)),0)</f>
        <v>0</v>
      </c>
      <c r="H28" s="5">
        <f>IFERROR(INDEX('Input 16.1_2018VOL-YTD'!$C$4:$N$300, MATCH($C28,'Input 16.1_2018VOL-YTD'!$R$4:$R$300,0),MATCH(H$2,'Input 16.1_2018VOL-YTD'!$C$1:$N$1,0))/INDEX('Input 16_2018CUST-YTD'!$D$4:$O$300,MATCH($C28,'Input 16_2018CUST-YTD'!$S$4:$S$300,0),MATCH(H$2,'Input 16_2018CUST-YTD'!$C$1:$O$1,0)),0)</f>
        <v>0</v>
      </c>
      <c r="I28" s="5">
        <f>IFERROR(INDEX('Input 16.1_2018VOL-YTD'!$C$4:$N$300, MATCH($C28,'Input 16.1_2018VOL-YTD'!$R$4:$R$300,0),MATCH(I$2,'Input 16.1_2018VOL-YTD'!$C$1:$N$1,0))/INDEX('Input 16_2018CUST-YTD'!$D$4:$O$300,MATCH($C28,'Input 16_2018CUST-YTD'!$S$4:$S$300,0),MATCH(I$2,'Input 16_2018CUST-YTD'!$C$1:$O$1,0)),0)</f>
        <v>0</v>
      </c>
      <c r="J28" s="5">
        <f>IFERROR(INDEX('Input 16.1_2018VOL-YTD'!$C$4:$N$300, MATCH($C28,'Input 16.1_2018VOL-YTD'!$R$4:$R$300,0),MATCH(J$2,'Input 16.1_2018VOL-YTD'!$C$1:$N$1,0))/INDEX('Input 16_2018CUST-YTD'!$D$4:$O$300,MATCH($C28,'Input 16_2018CUST-YTD'!$S$4:$S$300,0),MATCH(J$2,'Input 16_2018CUST-YTD'!$C$1:$O$1,0)),0)</f>
        <v>0</v>
      </c>
      <c r="K28" s="5">
        <f>IFERROR(INDEX('Input 16.1_2018VOL-YTD'!$C$4:$N$300, MATCH($C28,'Input 16.1_2018VOL-YTD'!$R$4:$R$300,0),MATCH(K$2,'Input 16.1_2018VOL-YTD'!$C$1:$N$1,0))/INDEX('Input 16_2018CUST-YTD'!$D$4:$O$300,MATCH($C28,'Input 16_2018CUST-YTD'!$S$4:$S$300,0),MATCH(K$2,'Input 16_2018CUST-YTD'!$C$1:$O$1,0)),0)</f>
        <v>0</v>
      </c>
      <c r="L28" s="5">
        <f>IFERROR(INDEX('Input 16.1_2018VOL-YTD'!$C$4:$N$300, MATCH($C28,'Input 16.1_2018VOL-YTD'!$R$4:$R$300,0),MATCH(L$2,'Input 16.1_2018VOL-YTD'!$C$1:$N$1,0))/INDEX('Input 16_2018CUST-YTD'!$D$4:$O$300,MATCH($C28,'Input 16_2018CUST-YTD'!$S$4:$S$300,0),MATCH(L$2,'Input 16_2018CUST-YTD'!$C$1:$O$1,0)),0)</f>
        <v>0</v>
      </c>
      <c r="M28" s="5">
        <f>IFERROR(INDEX('Input 16.1_2018VOL-YTD'!$C$4:$N$300, MATCH($C28,'Input 16.1_2018VOL-YTD'!$R$4:$R$300,0),MATCH(M$2,'Input 16.1_2018VOL-YTD'!$C$1:$N$1,0))/INDEX('Input 16_2018CUST-YTD'!$D$4:$O$300,MATCH($C28,'Input 16_2018CUST-YTD'!$S$4:$S$300,0),MATCH(M$2,'Input 16_2018CUST-YTD'!$C$1:$O$1,0)),0)</f>
        <v>0</v>
      </c>
      <c r="N28" s="5">
        <f>IFERROR(INDEX('Input 16.1_2018VOL-YTD'!$C$4:$N$300, MATCH($C28,'Input 16.1_2018VOL-YTD'!$R$4:$R$300,0),MATCH(N$2,'Input 16.1_2018VOL-YTD'!$C$1:$N$1,0))/INDEX('Input 16_2018CUST-YTD'!$D$4:$O$300,MATCH($C28,'Input 16_2018CUST-YTD'!$S$4:$S$300,0),MATCH(N$2,'Input 16_2018CUST-YTD'!$C$1:$O$1,0)),0)</f>
        <v>0</v>
      </c>
      <c r="O28" s="5">
        <f>IFERROR(INDEX('Input 16.1_2018VOL-YTD'!$C$4:$N$300, MATCH($C28,'Input 16.1_2018VOL-YTD'!$R$4:$R$300,0),MATCH(O$2,'Input 16.1_2018VOL-YTD'!$C$1:$N$1,0))/INDEX('Input 16_2018CUST-YTD'!$D$4:$O$300,MATCH($C28,'Input 16_2018CUST-YTD'!$S$4:$S$300,0),MATCH(O$2,'Input 16_2018CUST-YTD'!$C$1:$O$1,0)),0)</f>
        <v>0</v>
      </c>
      <c r="P28" s="271">
        <f t="shared" si="1"/>
        <v>0</v>
      </c>
      <c r="Q28" s="261">
        <f t="shared" si="2"/>
        <v>0</v>
      </c>
      <c r="S28" s="5">
        <f>IFERROR(INDEX('Input 3.1_2019VOL-YTD'!$C$4:$N$300, MATCH($C28,'Input 3.1_2019VOL-YTD'!$R$4:$R$300,0),MATCH(S$2,'Input 3.1_2019VOL-YTD'!$C$1:$N$1,0))/INDEX('Input 3_2019CUST-YTD'!$C$4:$N$300,MATCH($C28,'Input 3_2019CUST-YTD'!$S$4:$S$300,0),MATCH(S$2,'Input 3_2019CUST-YTD'!$C$1:$N$1,0)),0)</f>
        <v>0</v>
      </c>
      <c r="T28" s="5">
        <f>IFERROR(INDEX('Input 3.1_2019VOL-YTD'!$C$4:$N$300, MATCH($C28,'Input 3.1_2019VOL-YTD'!$R$4:$R$300,0),MATCH(T$2,'Input 3.1_2019VOL-YTD'!$C$1:$N$1,0))/INDEX('Input 3_2019CUST-YTD'!$C$4:$N$300,MATCH($C28,'Input 3_2019CUST-YTD'!$S$4:$S$300,0),MATCH(T$2,'Input 3_2019CUST-YTD'!$C$1:$N$1,0)),0)</f>
        <v>0</v>
      </c>
      <c r="U28" s="5">
        <f>IFERROR(INDEX('Input 3.1_2019VOL-YTD'!$C$4:$N$300, MATCH($C28,'Input 3.1_2019VOL-YTD'!$R$4:$R$300,0),MATCH(U$2,'Input 3.1_2019VOL-YTD'!$C$1:$N$1,0))/INDEX('Input 3_2019CUST-YTD'!$C$4:$N$300,MATCH($C28,'Input 3_2019CUST-YTD'!$S$4:$S$300,0),MATCH(U$2,'Input 3_2019CUST-YTD'!$C$1:$N$1,0)),0)</f>
        <v>0</v>
      </c>
      <c r="V28" s="5">
        <f>IFERROR(INDEX('Input 3.1_2019VOL-YTD'!$C$4:$N$300, MATCH($C28,'Input 3.1_2019VOL-YTD'!$R$4:$R$300,0),MATCH(V$2,'Input 3.1_2019VOL-YTD'!$C$1:$N$1,0))/INDEX('Input 3_2019CUST-YTD'!$C$4:$N$300,MATCH($C28,'Input 3_2019CUST-YTD'!$S$4:$S$300,0),MATCH(V$2,'Input 3_2019CUST-YTD'!$C$1:$N$1,0)),0)</f>
        <v>0</v>
      </c>
      <c r="W28" s="5">
        <f>IFERROR(INDEX('Input 3.1_2019VOL-YTD'!$C$4:$N$300, MATCH($C28,'Input 3.1_2019VOL-YTD'!$R$4:$R$300,0),MATCH(W$2,'Input 3.1_2019VOL-YTD'!$C$1:$N$1,0))/INDEX('Input 3_2019CUST-YTD'!$C$4:$N$300,MATCH($C28,'Input 3_2019CUST-YTD'!$S$4:$S$300,0),MATCH(W$2,'Input 3_2019CUST-YTD'!$C$1:$N$1,0)),0)</f>
        <v>0</v>
      </c>
      <c r="X28" s="5">
        <f>IFERROR(INDEX('Input 3.1_2019VOL-YTD'!$C$4:$N$300, MATCH($C28,'Input 3.1_2019VOL-YTD'!$R$4:$R$300,0),MATCH(X$2,'Input 3.1_2019VOL-YTD'!$C$1:$N$1,0))/INDEX('Input 3_2019CUST-YTD'!$C$4:$N$300,MATCH($C28,'Input 3_2019CUST-YTD'!$S$4:$S$300,0),MATCH(X$2,'Input 3_2019CUST-YTD'!$C$1:$N$1,0)),0)</f>
        <v>0</v>
      </c>
      <c r="Y28" s="5">
        <f>IFERROR(INDEX('Input 3.1_2019VOL-YTD'!$C$4:$N$300, MATCH($C28,'Input 3.1_2019VOL-YTD'!$R$4:$R$300,0),MATCH(Y$2,'Input 3.1_2019VOL-YTD'!$C$1:$N$1,0))/INDEX('Input 3_2019CUST-YTD'!$C$4:$N$300,MATCH($C28,'Input 3_2019CUST-YTD'!$S$4:$S$300,0),MATCH(Y$2,'Input 3_2019CUST-YTD'!$C$1:$N$1,0)),0)</f>
        <v>0</v>
      </c>
      <c r="Z28" s="5">
        <f>IFERROR(INDEX('Input 3.1_2019VOL-YTD'!$C$4:$N$300, MATCH($C28,'Input 3.1_2019VOL-YTD'!$R$4:$R$300,0),MATCH(Z$2,'Input 3.1_2019VOL-YTD'!$C$1:$N$1,0))/INDEX('Input 3_2019CUST-YTD'!$C$4:$N$300,MATCH($C28,'Input 3_2019CUST-YTD'!$S$4:$S$300,0),MATCH(Z$2,'Input 3_2019CUST-YTD'!$C$1:$N$1,0)),0)</f>
        <v>0</v>
      </c>
      <c r="AA28" s="5">
        <f>IFERROR(INDEX('Input 3.1_2019VOL-YTD'!$C$4:$N$300, MATCH($C28,'Input 3.1_2019VOL-YTD'!$R$4:$R$300,0),MATCH(AA$2,'Input 3.1_2019VOL-YTD'!$C$1:$N$1,0))/INDEX('Input 3_2019CUST-YTD'!$C$4:$N$300,MATCH($C28,'Input 3_2019CUST-YTD'!$S$4:$S$300,0),MATCH(AA$2,'Input 3_2019CUST-YTD'!$C$1:$N$1,0)),0)</f>
        <v>0</v>
      </c>
      <c r="AB28" s="5">
        <f>IFERROR(INDEX('Input 3.1_2019VOL-YTD'!$C$4:$N$300, MATCH($C28,'Input 3.1_2019VOL-YTD'!$R$4:$R$300,0),MATCH(AB$2,'Input 3.1_2019VOL-YTD'!$C$1:$N$1,0))/INDEX('Input 3_2019CUST-YTD'!$C$4:$N$300,MATCH($C28,'Input 3_2019CUST-YTD'!$S$4:$S$300,0),MATCH(AB$2,'Input 3_2019CUST-YTD'!$C$1:$N$1,0)),0)</f>
        <v>0</v>
      </c>
      <c r="AC28" s="5">
        <f>IFERROR(INDEX('Input 3.1_2019VOL-YTD'!$C$4:$N$300, MATCH($C28,'Input 3.1_2019VOL-YTD'!$R$4:$R$300,0),MATCH(AC$2,'Input 3.1_2019VOL-YTD'!$C$1:$N$1,0))/INDEX('Input 3_2019CUST-YTD'!$C$4:$N$300,MATCH($C28,'Input 3_2019CUST-YTD'!$S$4:$S$300,0),MATCH(AC$2,'Input 3_2019CUST-YTD'!$C$1:$N$1,0)),0)</f>
        <v>0</v>
      </c>
      <c r="AD28" s="5">
        <f>IFERROR(INDEX('Input 3.1_2019VOL-YTD'!$C$4:$N$300, MATCH($C28,'Input 3.1_2019VOL-YTD'!$R$4:$R$300,0),MATCH(AD$2,'Input 3.1_2019VOL-YTD'!$C$1:$N$1,0))/INDEX('Input 3_2019CUST-YTD'!$C$4:$N$300,MATCH($C28,'Input 3_2019CUST-YTD'!$S$4:$S$300,0),MATCH(AD$2,'Input 3_2019CUST-YTD'!$C$1:$N$1,0)),0)</f>
        <v>0</v>
      </c>
      <c r="AE28" s="272">
        <f t="shared" si="3"/>
        <v>0</v>
      </c>
      <c r="AF28" s="261">
        <f t="shared" si="4"/>
        <v>1</v>
      </c>
      <c r="AH28" s="262">
        <f>IFERROR(INDEX('Input 4.1_2020VOL-YTD'!$C$4:$O$300, MATCH($C28,'Input 4.1_2020VOL-YTD'!$R$4:$R$300,0),MATCH(AH$2,'Input 4.1_2020VOL-YTD'!$C$1:$O$1,0))/INDEX('Input 4_2020CUST-YTD'!$C$4:O$300,MATCH($C28,'Input 4_2020CUST-YTD'!$S$4:$S$300,0),MATCH(AH$2,'Input 4_2020CUST-YTD'!$C$1:$O$1,0)),0)</f>
        <v>0</v>
      </c>
      <c r="AI28" s="262">
        <f>IFERROR(INDEX('Input 4.1_2020VOL-YTD'!$C$4:$O$300, MATCH($C28,'Input 4.1_2020VOL-YTD'!$R$4:$R$300,0),MATCH(AI$2,'Input 4.1_2020VOL-YTD'!$C$1:$O$1,0))/INDEX('Input 4_2020CUST-YTD'!$C$4:P$300,MATCH($C28,'Input 4_2020CUST-YTD'!$S$4:$S$300,0),MATCH(AI$2,'Input 4_2020CUST-YTD'!$C$1:$O$1,0)),0)</f>
        <v>0</v>
      </c>
      <c r="AJ28" s="262">
        <f>IFERROR(INDEX('Input 4.1_2020VOL-YTD'!$C$4:$O$300, MATCH($C28,'Input 4.1_2020VOL-YTD'!$R$4:$R$300,0),MATCH(AJ$2,'Input 4.1_2020VOL-YTD'!$C$1:$O$1,0))/INDEX('Input 4_2020CUST-YTD'!$C$4:Q$300,MATCH($C28,'Input 4_2020CUST-YTD'!$S$4:$S$300,0),MATCH(AJ$2,'Input 4_2020CUST-YTD'!$C$1:$O$1,0)),0)</f>
        <v>0</v>
      </c>
      <c r="AK28" s="262">
        <f>IFERROR(INDEX('Input 4.1_2020VOL-YTD'!$C$4:$O$300, MATCH($C28,'Input 4.1_2020VOL-YTD'!$R$4:$R$300,0),MATCH(AK$2,'Input 4.1_2020VOL-YTD'!$C$1:$O$1,0))/INDEX('Input 4_2020CUST-YTD'!$C$4:R$300,MATCH($C28,'Input 4_2020CUST-YTD'!$S$4:$S$300,0),MATCH(AK$2,'Input 4_2020CUST-YTD'!$C$1:$O$1,0)),0)</f>
        <v>0</v>
      </c>
      <c r="AL28" s="262">
        <f>IFERROR(INDEX('Input 4.1_2020VOL-YTD'!$C$4:$O$300, MATCH($C28,'Input 4.1_2020VOL-YTD'!$R$4:$R$300,0),MATCH(AL$2,'Input 4.1_2020VOL-YTD'!$C$1:$O$1,0))/INDEX('Input 4_2020CUST-YTD'!$C$4:S$300,MATCH($C28,'Input 4_2020CUST-YTD'!$S$4:$S$300,0),MATCH(AL$2,'Input 4_2020CUST-YTD'!$C$1:$O$1,0)),0)</f>
        <v>0</v>
      </c>
      <c r="AM28" s="262">
        <f>IFERROR(INDEX('Input 4.1_2020VOL-YTD'!$C$4:$O$300, MATCH($C28,'Input 4.1_2020VOL-YTD'!$R$4:$R$300,0),MATCH(AM$2,'Input 4.1_2020VOL-YTD'!$C$1:$O$1,0))/INDEX('Input 4_2020CUST-YTD'!$C$4:T$300,MATCH($C28,'Input 4_2020CUST-YTD'!$S$4:$S$300,0),MATCH(AM$2,'Input 4_2020CUST-YTD'!$C$1:$O$1,0)),0)</f>
        <v>0</v>
      </c>
      <c r="AN28" s="262">
        <f>IFERROR(INDEX('Input 4.1_2020VOL-YTD'!$C$4:$O$300, MATCH($C28,'Input 4.1_2020VOL-YTD'!$R$4:$R$300,0),MATCH(AN$2,'Input 4.1_2020VOL-YTD'!$C$1:$O$1,0))/INDEX('Input 4_2020CUST-YTD'!$C$4:U$300,MATCH($C28,'Input 4_2020CUST-YTD'!$S$4:$S$300,0),MATCH(AN$2,'Input 4_2020CUST-YTD'!$C$1:$O$1,0)),0)</f>
        <v>0</v>
      </c>
      <c r="AO28" s="262">
        <f>IFERROR(INDEX('Input 4.1_2020VOL-YTD'!$C$4:$O$300, MATCH($C28,'Input 4.1_2020VOL-YTD'!$R$4:$R$300,0),MATCH(AO$2,'Input 4.1_2020VOL-YTD'!$C$1:$O$1,0))/INDEX('Input 4_2020CUST-YTD'!$C$4:V$300,MATCH($C28,'Input 4_2020CUST-YTD'!$S$4:$S$300,0),MATCH(AO$2,'Input 4_2020CUST-YTD'!$C$1:$O$1,0)),0)</f>
        <v>0</v>
      </c>
      <c r="AP28" s="262">
        <f>IFERROR(INDEX('Input 4.1_2020VOL-YTD'!$C$4:$O$300, MATCH($C28,'Input 4.1_2020VOL-YTD'!$R$4:$R$300,0),MATCH(AP$2,'Input 4.1_2020VOL-YTD'!$C$1:$O$1,0))/INDEX('Input 4_2020CUST-YTD'!$C$4:W$300,MATCH($C28,'Input 4_2020CUST-YTD'!$S$4:$S$300,0),MATCH(AP$2,'Input 4_2020CUST-YTD'!$C$1:$O$1,0)),0)</f>
        <v>0</v>
      </c>
      <c r="AQ28" s="262">
        <f>IFERROR(INDEX('Input 4.1_2020VOL-YTD'!$C$4:$O$300, MATCH($C28,'Input 4.1_2020VOL-YTD'!$R$4:$R$300,0),MATCH(AQ$2,'Input 4.1_2020VOL-YTD'!$C$1:$O$1,0))/INDEX('Input 4_2020CUST-YTD'!$C$4:X$300,MATCH($C28,'Input 4_2020CUST-YTD'!$S$4:$S$300,0),MATCH(AQ$2,'Input 4_2020CUST-YTD'!$C$1:$O$1,0)),0)</f>
        <v>0</v>
      </c>
      <c r="AR28" s="262">
        <f>IFERROR(INDEX('Input 4.1_2020VOL-YTD'!$C$4:$O$300, MATCH($C28,'Input 4.1_2020VOL-YTD'!$R$4:$R$300,0),MATCH(AR$2,'Input 4.1_2020VOL-YTD'!$C$1:$O$1,0))/INDEX('Input 4_2020CUST-YTD'!$C$4:Y$300,MATCH($C28,'Input 4_2020CUST-YTD'!$S$4:$S$300,0),MATCH(AR$2,'Input 4_2020CUST-YTD'!$C$1:$O$1,0)),0)</f>
        <v>0</v>
      </c>
      <c r="AS28" s="262">
        <f>IFERROR(INDEX('Input 4.1_2020VOL-YTD'!$C$4:$O$300, MATCH($C28,'Input 4.1_2020VOL-YTD'!$R$4:$R$300,0),MATCH(AS$2,'Input 4.1_2020VOL-YTD'!$C$1:$O$1,0))/INDEX('Input 4_2020CUST-YTD'!$C$4:Z$300,MATCH($C28,'Input 4_2020CUST-YTD'!$S$4:$S$300,0),MATCH(AS$2,'Input 4_2020CUST-YTD'!$C$1:$O$1,0)),0)</f>
        <v>0</v>
      </c>
      <c r="AT28" s="190">
        <f t="shared" si="9"/>
        <v>0</v>
      </c>
      <c r="AU28" s="261">
        <f t="shared" si="6"/>
        <v>1</v>
      </c>
      <c r="AW28" s="1">
        <f>IFERROR(INDEX('Input 5.1_2021VOL-YTD'!$C$3:$N$150, MATCH($C28,'Input 5.1_2021VOL-YTD'!$R$3:$R$150,0),MATCH(AW$2,'Input 5.1_2021VOL-YTD'!$C$1:$N$1,0))/INDEX('Input 5_2021CUST-YTD'!$C$3:$N$150,MATCH($C28,'Input 5_2021CUST-YTD'!$S$3:$S$150,0),MATCH(AW$2,'Input 5_2021CUST-YTD'!$C$1:$N$1,0)),0)</f>
        <v>0</v>
      </c>
      <c r="AX28" s="1">
        <f>IFERROR(INDEX('Input 5.1_2021VOL-YTD'!$C$3:$N$150, MATCH($C28,'Input 5.1_2021VOL-YTD'!$R$3:$R$150,0),MATCH(AX$2,'Input 5.1_2021VOL-YTD'!$C$1:$N$1,0))/INDEX('Input 5_2021CUST-YTD'!$C$3:$N$150,MATCH($C28,'Input 5_2021CUST-YTD'!$S$3:$S$150,0),MATCH(AX$2,'Input 5_2021CUST-YTD'!$C$1:$N$1,0)),0)</f>
        <v>0</v>
      </c>
      <c r="AY28" s="1">
        <f>IFERROR(INDEX('Input 5.1_2021VOL-YTD'!$C$3:$N$150, MATCH($C28,'Input 5.1_2021VOL-YTD'!$R$3:$R$150,0),MATCH(AY$2,'Input 5.1_2021VOL-YTD'!$C$1:$N$1,0))/INDEX('Input 5_2021CUST-YTD'!$C$3:$N$150,MATCH($C28,'Input 5_2021CUST-YTD'!$S$3:$S$150,0),MATCH(AY$2,'Input 5_2021CUST-YTD'!$C$1:$N$1,0)),0)</f>
        <v>0</v>
      </c>
      <c r="AZ28" s="1">
        <f>IFERROR(INDEX('Input 5.1_2021VOL-YTD'!$C$3:$N$150, MATCH($C28,'Input 5.1_2021VOL-YTD'!$R$3:$R$150,0),MATCH(AZ$2,'Input 5.1_2021VOL-YTD'!$C$1:$N$1,0))/INDEX('Input 5_2021CUST-YTD'!$C$3:$N$150,MATCH($C28,'Input 5_2021CUST-YTD'!$S$3:$S$150,0),MATCH(AZ$2,'Input 5_2021CUST-YTD'!$C$1:$N$1,0)),0)</f>
        <v>0</v>
      </c>
      <c r="BA28" s="1">
        <f>IFERROR(INDEX('Input 5.1_2021VOL-YTD'!$C$3:$N$150, MATCH($C28,'Input 5.1_2021VOL-YTD'!$R$3:$R$150,0),MATCH(BA$2,'Input 5.1_2021VOL-YTD'!$C$1:$N$1,0))/INDEX('Input 5_2021CUST-YTD'!$C$3:$N$150,MATCH($C28,'Input 5_2021CUST-YTD'!$S$3:$S$150,0),MATCH(BA$2,'Input 5_2021CUST-YTD'!$C$1:$N$1,0)),0)</f>
        <v>0</v>
      </c>
      <c r="BB28" s="1">
        <f>IFERROR(INDEX('Input 5.1_2021VOL-YTD'!$C$3:$N$150, MATCH($C28,'Input 5.1_2021VOL-YTD'!$R$3:$R$150,0),MATCH(BB$2,'Input 5.1_2021VOL-YTD'!$C$1:$N$1,0))/INDEX('Input 5_2021CUST-YTD'!$C$3:$N$150,MATCH($C28,'Input 5_2021CUST-YTD'!$S$3:$S$150,0),MATCH(BB$2,'Input 5_2021CUST-YTD'!$C$1:$N$1,0)),0)</f>
        <v>0</v>
      </c>
      <c r="BC28" s="1">
        <f>IFERROR(INDEX('Input 5.1_2021VOL-YTD'!$C$3:$N$150, MATCH($C28,'Input 5.1_2021VOL-YTD'!$R$3:$R$150,0),MATCH(BC$2,'Input 5.1_2021VOL-YTD'!$C$1:$N$1,0))/INDEX('Input 5_2021CUST-YTD'!$C$3:$N$150,MATCH($C28,'Input 5_2021CUST-YTD'!$S$3:$S$150,0),MATCH(BC$2,'Input 5_2021CUST-YTD'!$C$1:$N$1,0)),0)</f>
        <v>0</v>
      </c>
      <c r="BD28" s="1">
        <f>IFERROR(INDEX('Input 5.1_2021VOL-YTD'!$C$3:$N$150, MATCH($C28,'Input 5.1_2021VOL-YTD'!$R$3:$R$150,0),MATCH(BD$2,'Input 5.1_2021VOL-YTD'!$C$1:$N$1,0))/INDEX('Input 5_2021CUST-YTD'!$C$3:$N$150,MATCH($C28,'Input 5_2021CUST-YTD'!$S$3:$S$150,0),MATCH(BD$2,'Input 5_2021CUST-YTD'!$C$1:$N$1,0)),0)</f>
        <v>0</v>
      </c>
      <c r="BE28" s="1">
        <f>IFERROR(INDEX('Input 5.1_2021VOL-YTD'!$C$3:$N$150, MATCH($C28,'Input 5.1_2021VOL-YTD'!$R$3:$R$150,0),MATCH(BE$2,'Input 5.1_2021VOL-YTD'!$C$1:$N$1,0))/INDEX('Input 5_2021CUST-YTD'!$C$3:$N$150,MATCH($C28,'Input 5_2021CUST-YTD'!$S$3:$S$150,0),MATCH(BE$2,'Input 5_2021CUST-YTD'!$C$1:$N$1,0)),0)</f>
        <v>0</v>
      </c>
      <c r="BF28" s="1">
        <f>IFERROR(INDEX('Input 5.1_2021VOL-YTD'!$C$3:$N$150, MATCH($C28,'Input 5.1_2021VOL-YTD'!$R$3:$R$150,0),MATCH(BF$2,'Input 5.1_2021VOL-YTD'!$C$1:$N$1,0))/INDEX('Input 5_2021CUST-YTD'!$C$3:$N$150,MATCH($C28,'Input 5_2021CUST-YTD'!$S$3:$S$150,0),MATCH(BF$2,'Input 5_2021CUST-YTD'!$C$1:$N$1,0)),0)</f>
        <v>0</v>
      </c>
      <c r="BG28" s="1">
        <f>IFERROR(INDEX('Input 5.1_2021VOL-YTD'!$C$3:$N$150, MATCH($C28,'Input 5.1_2021VOL-YTD'!$R$3:$R$150,0),MATCH(BG$2,'Input 5.1_2021VOL-YTD'!$C$1:$N$1,0))/INDEX('Input 5_2021CUST-YTD'!$C$3:$N$150,MATCH($C28,'Input 5_2021CUST-YTD'!$S$3:$S$150,0),MATCH(BG$2,'Input 5_2021CUST-YTD'!$C$1:$N$1,0)),0)</f>
        <v>0</v>
      </c>
      <c r="BH28" s="1">
        <f>IFERROR(INDEX('Input 5.1_2021VOL-YTD'!$C$3:$N$150, MATCH($C28,'Input 5.1_2021VOL-YTD'!$R$3:$R$150,0),MATCH(BH$2,'Input 5.1_2021VOL-YTD'!$C$1:$N$1,0))/INDEX('Input 5_2021CUST-YTD'!$C$3:$N$150,MATCH($C28,'Input 5_2021CUST-YTD'!$S$3:$S$150,0),MATCH(BH$2,'Input 5_2021CUST-YTD'!$C$1:$N$1,0)),0)</f>
        <v>0</v>
      </c>
      <c r="BI28" s="190">
        <f t="shared" si="7"/>
        <v>0</v>
      </c>
      <c r="BJ28" s="261">
        <f t="shared" si="8"/>
        <v>1</v>
      </c>
    </row>
    <row r="29" spans="1:62">
      <c r="A29" s="261" t="s">
        <v>1245</v>
      </c>
      <c r="B29" s="261" t="s">
        <v>15</v>
      </c>
      <c r="C29" s="261" t="s">
        <v>35</v>
      </c>
      <c r="D29" s="5">
        <f>IFERROR(INDEX('Input 16.1_2018VOL-YTD'!$C$4:$N$300, MATCH($C29,'Input 16.1_2018VOL-YTD'!$R$4:$R$300,0),MATCH(D$2,'Input 16.1_2018VOL-YTD'!$C$1:$N$1,0))/INDEX('Input 16_2018CUST-YTD'!$D$4:$O$300,MATCH($C29,'Input 16_2018CUST-YTD'!$S$4:$S$300,0),MATCH(D$2,'Input 16_2018CUST-YTD'!$C$1:$O$1,0)),0)</f>
        <v>22.484258373205734</v>
      </c>
      <c r="E29" s="5">
        <f>IFERROR(INDEX('Input 16.1_2018VOL-YTD'!$C$4:$N$300, MATCH($C29,'Input 16.1_2018VOL-YTD'!$R$4:$R$300,0),MATCH(E$2,'Input 16.1_2018VOL-YTD'!$C$1:$N$1,0))/INDEX('Input 16_2018CUST-YTD'!$D$4:$O$300,MATCH($C29,'Input 16_2018CUST-YTD'!$S$4:$S$300,0),MATCH(E$2,'Input 16_2018CUST-YTD'!$C$1:$O$1,0)),0)</f>
        <v>14.923962264150946</v>
      </c>
      <c r="F29" s="5">
        <f>IFERROR(INDEX('Input 16.1_2018VOL-YTD'!$C$4:$N$300, MATCH($C29,'Input 16.1_2018VOL-YTD'!$R$4:$R$300,0),MATCH(F$2,'Input 16.1_2018VOL-YTD'!$C$1:$N$1,0))/INDEX('Input 16_2018CUST-YTD'!$D$4:$O$300,MATCH($C29,'Input 16_2018CUST-YTD'!$S$4:$S$300,0),MATCH(F$2,'Input 16_2018CUST-YTD'!$C$1:$O$1,0)),0)</f>
        <v>14.08202830188679</v>
      </c>
      <c r="G29" s="5">
        <f>IFERROR(INDEX('Input 16.1_2018VOL-YTD'!$C$4:$N$300, MATCH($C29,'Input 16.1_2018VOL-YTD'!$R$4:$R$300,0),MATCH(G$2,'Input 16.1_2018VOL-YTD'!$C$1:$N$1,0))/INDEX('Input 16_2018CUST-YTD'!$D$4:$O$300,MATCH($C29,'Input 16_2018CUST-YTD'!$S$4:$S$300,0),MATCH(G$2,'Input 16_2018CUST-YTD'!$C$1:$O$1,0)),0)</f>
        <v>12.459813953488371</v>
      </c>
      <c r="H29" s="5">
        <f>IFERROR(INDEX('Input 16.1_2018VOL-YTD'!$C$4:$N$300, MATCH($C29,'Input 16.1_2018VOL-YTD'!$R$4:$R$300,0),MATCH(H$2,'Input 16.1_2018VOL-YTD'!$C$1:$N$1,0))/INDEX('Input 16_2018CUST-YTD'!$D$4:$O$300,MATCH($C29,'Input 16_2018CUST-YTD'!$S$4:$S$300,0),MATCH(H$2,'Input 16_2018CUST-YTD'!$C$1:$O$1,0)),0)</f>
        <v>9.7782790697674429</v>
      </c>
      <c r="I29" s="5">
        <f>IFERROR(INDEX('Input 16.1_2018VOL-YTD'!$C$4:$N$300, MATCH($C29,'Input 16.1_2018VOL-YTD'!$R$4:$R$300,0),MATCH(I$2,'Input 16.1_2018VOL-YTD'!$C$1:$N$1,0))/INDEX('Input 16_2018CUST-YTD'!$D$4:$O$300,MATCH($C29,'Input 16_2018CUST-YTD'!$S$4:$S$300,0),MATCH(I$2,'Input 16_2018CUST-YTD'!$C$1:$O$1,0)),0)</f>
        <v>12.997681818181828</v>
      </c>
      <c r="J29" s="5">
        <f>IFERROR(INDEX('Input 16.1_2018VOL-YTD'!$C$4:$N$300, MATCH($C29,'Input 16.1_2018VOL-YTD'!$R$4:$R$300,0),MATCH(J$2,'Input 16.1_2018VOL-YTD'!$C$1:$N$1,0))/INDEX('Input 16_2018CUST-YTD'!$D$4:$O$300,MATCH($C29,'Input 16_2018CUST-YTD'!$S$4:$S$300,0),MATCH(J$2,'Input 16_2018CUST-YTD'!$C$1:$O$1,0)),0)</f>
        <v>9.7409090909090903</v>
      </c>
      <c r="K29" s="5">
        <f>IFERROR(INDEX('Input 16.1_2018VOL-YTD'!$C$4:$N$300, MATCH($C29,'Input 16.1_2018VOL-YTD'!$R$4:$R$300,0),MATCH(K$2,'Input 16.1_2018VOL-YTD'!$C$1:$N$1,0))/INDEX('Input 16_2018CUST-YTD'!$D$4:$O$300,MATCH($C29,'Input 16_2018CUST-YTD'!$S$4:$S$300,0),MATCH(K$2,'Input 16_2018CUST-YTD'!$C$1:$O$1,0)),0)</f>
        <v>11.910627802690579</v>
      </c>
      <c r="L29" s="5">
        <f>IFERROR(INDEX('Input 16.1_2018VOL-YTD'!$C$4:$N$300, MATCH($C29,'Input 16.1_2018VOL-YTD'!$R$4:$R$300,0),MATCH(L$2,'Input 16.1_2018VOL-YTD'!$C$1:$N$1,0))/INDEX('Input 16_2018CUST-YTD'!$D$4:$O$300,MATCH($C29,'Input 16_2018CUST-YTD'!$S$4:$S$300,0),MATCH(L$2,'Input 16_2018CUST-YTD'!$C$1:$O$1,0)),0)</f>
        <v>10.907299578059076</v>
      </c>
      <c r="M29" s="5">
        <f>IFERROR(INDEX('Input 16.1_2018VOL-YTD'!$C$4:$N$300, MATCH($C29,'Input 16.1_2018VOL-YTD'!$R$4:$R$300,0),MATCH(M$2,'Input 16.1_2018VOL-YTD'!$C$1:$N$1,0))/INDEX('Input 16_2018CUST-YTD'!$D$4:$O$300,MATCH($C29,'Input 16_2018CUST-YTD'!$S$4:$S$300,0),MATCH(M$2,'Input 16_2018CUST-YTD'!$C$1:$O$1,0)),0)</f>
        <v>8.2342424242424279</v>
      </c>
      <c r="N29" s="5">
        <f>IFERROR(INDEX('Input 16.1_2018VOL-YTD'!$C$4:$N$300, MATCH($C29,'Input 16.1_2018VOL-YTD'!$R$4:$R$300,0),MATCH(N$2,'Input 16.1_2018VOL-YTD'!$C$1:$N$1,0))/INDEX('Input 16_2018CUST-YTD'!$D$4:$O$300,MATCH($C29,'Input 16_2018CUST-YTD'!$S$4:$S$300,0),MATCH(N$2,'Input 16_2018CUST-YTD'!$C$1:$O$1,0)),0)</f>
        <v>12.198253275109174</v>
      </c>
      <c r="O29" s="5">
        <f>IFERROR(INDEX('Input 16.1_2018VOL-YTD'!$C$4:$N$300, MATCH($C29,'Input 16.1_2018VOL-YTD'!$R$4:$R$300,0),MATCH(O$2,'Input 16.1_2018VOL-YTD'!$C$1:$N$1,0))/INDEX('Input 16_2018CUST-YTD'!$D$4:$O$300,MATCH($C29,'Input 16_2018CUST-YTD'!$S$4:$S$300,0),MATCH(O$2,'Input 16_2018CUST-YTD'!$C$1:$O$1,0)),0)</f>
        <v>13.472370820668697</v>
      </c>
      <c r="P29" s="271">
        <f t="shared" si="1"/>
        <v>22.484258373205734</v>
      </c>
      <c r="Q29" s="261">
        <f t="shared" si="2"/>
        <v>1</v>
      </c>
      <c r="S29" s="5">
        <f>IFERROR(INDEX('Input 3.1_2019VOL-YTD'!$C$4:$N$300, MATCH($C29,'Input 3.1_2019VOL-YTD'!$R$4:$R$300,0),MATCH(S$2,'Input 3.1_2019VOL-YTD'!$C$1:$N$1,0))/INDEX('Input 3_2019CUST-YTD'!$C$4:$N$300,MATCH($C29,'Input 3_2019CUST-YTD'!$S$4:$S$300,0),MATCH(S$2,'Input 3_2019CUST-YTD'!$C$1:$N$1,0)),0)</f>
        <v>15.893544303797466</v>
      </c>
      <c r="T29" s="5">
        <f>IFERROR(INDEX('Input 3.1_2019VOL-YTD'!$C$4:$N$300, MATCH($C29,'Input 3.1_2019VOL-YTD'!$R$4:$R$300,0),MATCH(T$2,'Input 3.1_2019VOL-YTD'!$C$1:$N$1,0))/INDEX('Input 3_2019CUST-YTD'!$C$4:$N$300,MATCH($C29,'Input 3_2019CUST-YTD'!$S$4:$S$300,0),MATCH(T$2,'Input 3_2019CUST-YTD'!$C$1:$N$1,0)),0)</f>
        <v>15.253021276595744</v>
      </c>
      <c r="U29" s="5">
        <f>IFERROR(INDEX('Input 3.1_2019VOL-YTD'!$C$4:$N$300, MATCH($C29,'Input 3.1_2019VOL-YTD'!$R$4:$R$300,0),MATCH(U$2,'Input 3.1_2019VOL-YTD'!$C$1:$N$1,0))/INDEX('Input 3_2019CUST-YTD'!$C$4:$N$300,MATCH($C29,'Input 3_2019CUST-YTD'!$S$4:$S$300,0),MATCH(U$2,'Input 3_2019CUST-YTD'!$C$1:$N$1,0)),0)</f>
        <v>13.989618644067805</v>
      </c>
      <c r="V29" s="5">
        <f>IFERROR(INDEX('Input 3.1_2019VOL-YTD'!$C$4:$N$300, MATCH($C29,'Input 3.1_2019VOL-YTD'!$R$4:$R$300,0),MATCH(V$2,'Input 3.1_2019VOL-YTD'!$C$1:$N$1,0))/INDEX('Input 3_2019CUST-YTD'!$C$4:$N$300,MATCH($C29,'Input 3_2019CUST-YTD'!$S$4:$S$300,0),MATCH(V$2,'Input 3_2019CUST-YTD'!$C$1:$N$1,0)),0)</f>
        <v>13.45743801652892</v>
      </c>
      <c r="W29" s="5">
        <f>IFERROR(INDEX('Input 3.1_2019VOL-YTD'!$C$4:$N$300, MATCH($C29,'Input 3.1_2019VOL-YTD'!$R$4:$R$300,0),MATCH(W$2,'Input 3.1_2019VOL-YTD'!$C$1:$N$1,0))/INDEX('Input 3_2019CUST-YTD'!$C$4:$N$300,MATCH($C29,'Input 3_2019CUST-YTD'!$S$4:$S$300,0),MATCH(W$2,'Input 3_2019CUST-YTD'!$C$1:$N$1,0)),0)</f>
        <v>15.959021276595745</v>
      </c>
      <c r="X29" s="5">
        <f>IFERROR(INDEX('Input 3.1_2019VOL-YTD'!$C$4:$N$300, MATCH($C29,'Input 3.1_2019VOL-YTD'!$R$4:$R$300,0),MATCH(X$2,'Input 3.1_2019VOL-YTD'!$C$1:$N$1,0))/INDEX('Input 3_2019CUST-YTD'!$C$4:$N$300,MATCH($C29,'Input 3_2019CUST-YTD'!$S$4:$S$300,0),MATCH(X$2,'Input 3_2019CUST-YTD'!$C$1:$N$1,0)),0)</f>
        <v>14.439063829787234</v>
      </c>
      <c r="Y29" s="5">
        <f>IFERROR(INDEX('Input 3.1_2019VOL-YTD'!$C$4:$N$300, MATCH($C29,'Input 3.1_2019VOL-YTD'!$R$4:$R$300,0),MATCH(Y$2,'Input 3.1_2019VOL-YTD'!$C$1:$N$1,0))/INDEX('Input 3_2019CUST-YTD'!$C$4:$N$300,MATCH($C29,'Input 3_2019CUST-YTD'!$S$4:$S$300,0),MATCH(Y$2,'Input 3_2019CUST-YTD'!$C$1:$N$1,0)),0)</f>
        <v>11.647521008403359</v>
      </c>
      <c r="Z29" s="5">
        <f>IFERROR(INDEX('Input 3.1_2019VOL-YTD'!$C$4:$N$300, MATCH($C29,'Input 3.1_2019VOL-YTD'!$R$4:$R$300,0),MATCH(Z$2,'Input 3.1_2019VOL-YTD'!$C$1:$N$1,0))/INDEX('Input 3_2019CUST-YTD'!$C$4:$N$300,MATCH($C29,'Input 3_2019CUST-YTD'!$S$4:$S$300,0),MATCH(Z$2,'Input 3_2019CUST-YTD'!$C$1:$N$1,0)),0)</f>
        <v>13.819456066945607</v>
      </c>
      <c r="AA29" s="5">
        <f>IFERROR(INDEX('Input 3.1_2019VOL-YTD'!$C$4:$N$300, MATCH($C29,'Input 3.1_2019VOL-YTD'!$R$4:$R$300,0),MATCH(AA$2,'Input 3.1_2019VOL-YTD'!$C$1:$N$1,0))/INDEX('Input 3_2019CUST-YTD'!$C$4:$N$300,MATCH($C29,'Input 3_2019CUST-YTD'!$S$4:$S$300,0),MATCH(AA$2,'Input 3_2019CUST-YTD'!$C$1:$N$1,0)),0)</f>
        <v>15.343598326359823</v>
      </c>
      <c r="AB29" s="5">
        <f>IFERROR(INDEX('Input 3.1_2019VOL-YTD'!$C$4:$N$300, MATCH($C29,'Input 3.1_2019VOL-YTD'!$R$4:$R$300,0),MATCH(AB$2,'Input 3.1_2019VOL-YTD'!$C$1:$N$1,0))/INDEX('Input 3_2019CUST-YTD'!$C$4:$N$300,MATCH($C29,'Input 3_2019CUST-YTD'!$S$4:$S$300,0),MATCH(AB$2,'Input 3_2019CUST-YTD'!$C$1:$N$1,0)),0)</f>
        <v>19.047386363636367</v>
      </c>
      <c r="AC29" s="5">
        <f>IFERROR(INDEX('Input 3.1_2019VOL-YTD'!$C$4:$N$300, MATCH($C29,'Input 3.1_2019VOL-YTD'!$R$4:$R$300,0),MATCH(AC$2,'Input 3.1_2019VOL-YTD'!$C$1:$N$1,0))/INDEX('Input 3_2019CUST-YTD'!$C$4:$N$300,MATCH($C29,'Input 3_2019CUST-YTD'!$S$4:$S$300,0),MATCH(AC$2,'Input 3_2019CUST-YTD'!$C$1:$N$1,0)),0)</f>
        <v>19.137327935222665</v>
      </c>
      <c r="AD29" s="5">
        <f>IFERROR(INDEX('Input 3.1_2019VOL-YTD'!$C$4:$N$300, MATCH($C29,'Input 3.1_2019VOL-YTD'!$R$4:$R$300,0),MATCH(AD$2,'Input 3.1_2019VOL-YTD'!$C$1:$N$1,0))/INDEX('Input 3_2019CUST-YTD'!$C$4:$N$300,MATCH($C29,'Input 3_2019CUST-YTD'!$S$4:$S$300,0),MATCH(AD$2,'Input 3_2019CUST-YTD'!$C$1:$N$1,0)),0)</f>
        <v>29.214156378600819</v>
      </c>
      <c r="AE29" s="272">
        <f t="shared" si="3"/>
        <v>29.214156378600819</v>
      </c>
      <c r="AF29" s="261">
        <f t="shared" si="4"/>
        <v>12</v>
      </c>
      <c r="AH29" s="262">
        <f>IFERROR(INDEX('Input 4.1_2020VOL-YTD'!$C$4:$O$300, MATCH($C29,'Input 4.1_2020VOL-YTD'!$R$4:$R$300,0),MATCH(AH$2,'Input 4.1_2020VOL-YTD'!$C$1:$O$1,0))/INDEX('Input 4_2020CUST-YTD'!$C$4:O$300,MATCH($C29,'Input 4_2020CUST-YTD'!$S$4:$S$300,0),MATCH(AH$2,'Input 4_2020CUST-YTD'!$C$1:$O$1,0)),0)</f>
        <v>38.783967611336031</v>
      </c>
      <c r="AI29" s="262">
        <f>IFERROR(INDEX('Input 4.1_2020VOL-YTD'!$C$4:$O$300, MATCH($C29,'Input 4.1_2020VOL-YTD'!$R$4:$R$300,0),MATCH(AI$2,'Input 4.1_2020VOL-YTD'!$C$1:$O$1,0))/INDEX('Input 4_2020CUST-YTD'!$C$4:P$300,MATCH($C29,'Input 4_2020CUST-YTD'!$S$4:$S$300,0),MATCH(AI$2,'Input 4_2020CUST-YTD'!$C$1:$O$1,0)),0)</f>
        <v>33.220239999999997</v>
      </c>
      <c r="AJ29" s="262">
        <f>IFERROR(INDEX('Input 4.1_2020VOL-YTD'!$C$4:$O$300, MATCH($C29,'Input 4.1_2020VOL-YTD'!$R$4:$R$300,0),MATCH(AJ$2,'Input 4.1_2020VOL-YTD'!$C$1:$O$1,0))/INDEX('Input 4_2020CUST-YTD'!$C$4:Q$300,MATCH($C29,'Input 4_2020CUST-YTD'!$S$4:$S$300,0),MATCH(AJ$2,'Input 4_2020CUST-YTD'!$C$1:$O$1,0)),0)</f>
        <v>30.619190283400805</v>
      </c>
      <c r="AK29" s="262">
        <f>IFERROR(INDEX('Input 4.1_2020VOL-YTD'!$C$4:$O$300, MATCH($C29,'Input 4.1_2020VOL-YTD'!$R$4:$R$300,0),MATCH(AK$2,'Input 4.1_2020VOL-YTD'!$C$1:$O$1,0))/INDEX('Input 4_2020CUST-YTD'!$C$4:R$300,MATCH($C29,'Input 4_2020CUST-YTD'!$S$4:$S$300,0),MATCH(AK$2,'Input 4_2020CUST-YTD'!$C$1:$O$1,0)),0)</f>
        <v>21.116812749003987</v>
      </c>
      <c r="AL29" s="262">
        <f>IFERROR(INDEX('Input 4.1_2020VOL-YTD'!$C$4:$O$300, MATCH($C29,'Input 4.1_2020VOL-YTD'!$R$4:$R$300,0),MATCH(AL$2,'Input 4.1_2020VOL-YTD'!$C$1:$O$1,0))/INDEX('Input 4_2020CUST-YTD'!$C$4:S$300,MATCH($C29,'Input 4_2020CUST-YTD'!$S$4:$S$300,0),MATCH(AL$2,'Input 4_2020CUST-YTD'!$C$1:$O$1,0)),0)</f>
        <v>19.593636363636367</v>
      </c>
      <c r="AM29" s="262">
        <f>IFERROR(INDEX('Input 4.1_2020VOL-YTD'!$C$4:$O$300, MATCH($C29,'Input 4.1_2020VOL-YTD'!$R$4:$R$300,0),MATCH(AM$2,'Input 4.1_2020VOL-YTD'!$C$1:$O$1,0))/INDEX('Input 4_2020CUST-YTD'!$C$4:T$300,MATCH($C29,'Input 4_2020CUST-YTD'!$S$4:$S$300,0),MATCH(AM$2,'Input 4_2020CUST-YTD'!$C$1:$O$1,0)),0)</f>
        <v>13.654960937499997</v>
      </c>
      <c r="AN29" s="262">
        <f>IFERROR(INDEX('Input 4.1_2020VOL-YTD'!$C$4:$O$300, MATCH($C29,'Input 4.1_2020VOL-YTD'!$R$4:$R$300,0),MATCH(AN$2,'Input 4.1_2020VOL-YTD'!$C$1:$O$1,0))/INDEX('Input 4_2020CUST-YTD'!$C$4:U$300,MATCH($C29,'Input 4_2020CUST-YTD'!$S$4:$S$300,0),MATCH(AN$2,'Input 4_2020CUST-YTD'!$C$1:$O$1,0)),0)</f>
        <v>13.064703557312251</v>
      </c>
      <c r="AO29" s="262">
        <f>IFERROR(INDEX('Input 4.1_2020VOL-YTD'!$C$4:$O$300, MATCH($C29,'Input 4.1_2020VOL-YTD'!$R$4:$R$300,0),MATCH(AO$2,'Input 4.1_2020VOL-YTD'!$C$1:$O$1,0))/INDEX('Input 4_2020CUST-YTD'!$C$4:V$300,MATCH($C29,'Input 4_2020CUST-YTD'!$S$4:$S$300,0),MATCH(AO$2,'Input 4_2020CUST-YTD'!$C$1:$O$1,0)),0)</f>
        <v>9.9712790697674336</v>
      </c>
      <c r="AP29" s="262">
        <f>IFERROR(INDEX('Input 4.1_2020VOL-YTD'!$C$4:$O$300, MATCH($C29,'Input 4.1_2020VOL-YTD'!$R$4:$R$300,0),MATCH(AP$2,'Input 4.1_2020VOL-YTD'!$C$1:$O$1,0))/INDEX('Input 4_2020CUST-YTD'!$C$4:W$300,MATCH($C29,'Input 4_2020CUST-YTD'!$S$4:$S$300,0),MATCH(AP$2,'Input 4_2020CUST-YTD'!$C$1:$O$1,0)),0)</f>
        <v>8.9495384615384665</v>
      </c>
      <c r="AQ29" s="262">
        <f>IFERROR(INDEX('Input 4.1_2020VOL-YTD'!$C$4:$O$300, MATCH($C29,'Input 4.1_2020VOL-YTD'!$R$4:$R$300,0),MATCH(AQ$2,'Input 4.1_2020VOL-YTD'!$C$1:$O$1,0))/INDEX('Input 4_2020CUST-YTD'!$C$4:X$300,MATCH($C29,'Input 4_2020CUST-YTD'!$S$4:$S$300,0),MATCH(AQ$2,'Input 4_2020CUST-YTD'!$C$1:$O$1,0)),0)</f>
        <v>8.6645801526717552</v>
      </c>
      <c r="AR29" s="262">
        <f>IFERROR(INDEX('Input 4.1_2020VOL-YTD'!$C$4:$O$300, MATCH($C29,'Input 4.1_2020VOL-YTD'!$R$4:$R$300,0),MATCH(AR$2,'Input 4.1_2020VOL-YTD'!$C$1:$O$1,0))/INDEX('Input 4_2020CUST-YTD'!$C$4:Y$300,MATCH($C29,'Input 4_2020CUST-YTD'!$S$4:$S$300,0),MATCH(AR$2,'Input 4_2020CUST-YTD'!$C$1:$O$1,0)),0)</f>
        <v>14.861072796934865</v>
      </c>
      <c r="AS29" s="262">
        <f>IFERROR(INDEX('Input 4.1_2020VOL-YTD'!$C$4:$O$300, MATCH($C29,'Input 4.1_2020VOL-YTD'!$R$4:$R$300,0),MATCH(AS$2,'Input 4.1_2020VOL-YTD'!$C$1:$O$1,0))/INDEX('Input 4_2020CUST-YTD'!$C$4:Z$300,MATCH($C29,'Input 4_2020CUST-YTD'!$S$4:$S$300,0),MATCH(AS$2,'Input 4_2020CUST-YTD'!$C$1:$O$1,0)),0)</f>
        <v>25.059285714285704</v>
      </c>
      <c r="AT29" s="190">
        <f t="shared" si="9"/>
        <v>38.783967611336031</v>
      </c>
      <c r="AU29" s="261">
        <f t="shared" si="6"/>
        <v>1</v>
      </c>
      <c r="AW29" s="1">
        <f>IFERROR(INDEX('Input 5.1_2021VOL-YTD'!$C$3:$N$150, MATCH($C29,'Input 5.1_2021VOL-YTD'!$R$3:$R$150,0),MATCH(AW$2,'Input 5.1_2021VOL-YTD'!$C$1:$N$1,0))/INDEX('Input 5_2021CUST-YTD'!$C$3:$N$150,MATCH($C29,'Input 5_2021CUST-YTD'!$S$3:$S$150,0),MATCH(AW$2,'Input 5_2021CUST-YTD'!$C$1:$N$1,0)),0)</f>
        <v>22.291358490566044</v>
      </c>
      <c r="AX29" s="1">
        <f>IFERROR(INDEX('Input 5.1_2021VOL-YTD'!$C$3:$N$150, MATCH($C29,'Input 5.1_2021VOL-YTD'!$R$3:$R$150,0),MATCH(AX$2,'Input 5.1_2021VOL-YTD'!$C$1:$N$1,0))/INDEX('Input 5_2021CUST-YTD'!$C$3:$N$150,MATCH($C29,'Input 5_2021CUST-YTD'!$S$3:$S$150,0),MATCH(AX$2,'Input 5_2021CUST-YTD'!$C$1:$N$1,0)),0)</f>
        <v>13.426287878787877</v>
      </c>
      <c r="AY29" s="1">
        <f>IFERROR(INDEX('Input 5.1_2021VOL-YTD'!$C$3:$N$150, MATCH($C29,'Input 5.1_2021VOL-YTD'!$R$3:$R$150,0),MATCH(AY$2,'Input 5.1_2021VOL-YTD'!$C$1:$N$1,0))/INDEX('Input 5_2021CUST-YTD'!$C$3:$N$150,MATCH($C29,'Input 5_2021CUST-YTD'!$S$3:$S$150,0),MATCH(AY$2,'Input 5_2021CUST-YTD'!$C$1:$N$1,0)),0)</f>
        <v>14.20602272727273</v>
      </c>
      <c r="AZ29" s="1">
        <f>IFERROR(INDEX('Input 5.1_2021VOL-YTD'!$C$3:$N$150, MATCH($C29,'Input 5.1_2021VOL-YTD'!$R$3:$R$150,0),MATCH(AZ$2,'Input 5.1_2021VOL-YTD'!$C$1:$N$1,0))/INDEX('Input 5_2021CUST-YTD'!$C$3:$N$150,MATCH($C29,'Input 5_2021CUST-YTD'!$S$3:$S$150,0),MATCH(AZ$2,'Input 5_2021CUST-YTD'!$C$1:$N$1,0)),0)</f>
        <v>12.811250000000001</v>
      </c>
      <c r="BA29" s="1">
        <f>IFERROR(INDEX('Input 5.1_2021VOL-YTD'!$C$3:$N$150, MATCH($C29,'Input 5.1_2021VOL-YTD'!$R$3:$R$150,0),MATCH(BA$2,'Input 5.1_2021VOL-YTD'!$C$1:$N$1,0))/INDEX('Input 5_2021CUST-YTD'!$C$3:$N$150,MATCH($C29,'Input 5_2021CUST-YTD'!$S$3:$S$150,0),MATCH(BA$2,'Input 5_2021CUST-YTD'!$C$1:$N$1,0)),0)</f>
        <v>38.023811320754703</v>
      </c>
      <c r="BB29" s="1">
        <f>IFERROR(INDEX('Input 5.1_2021VOL-YTD'!$C$3:$N$150, MATCH($C29,'Input 5.1_2021VOL-YTD'!$R$3:$R$150,0),MATCH(BB$2,'Input 5.1_2021VOL-YTD'!$C$1:$N$1,0))/INDEX('Input 5_2021CUST-YTD'!$C$3:$N$150,MATCH($C29,'Input 5_2021CUST-YTD'!$S$3:$S$150,0),MATCH(BB$2,'Input 5_2021CUST-YTD'!$C$1:$N$1,0)),0)</f>
        <v>18.44059701492538</v>
      </c>
      <c r="BC29" s="1">
        <f>IFERROR(INDEX('Input 5.1_2021VOL-YTD'!$C$3:$N$150, MATCH($C29,'Input 5.1_2021VOL-YTD'!$R$3:$R$150,0),MATCH(BC$2,'Input 5.1_2021VOL-YTD'!$C$1:$N$1,0))/INDEX('Input 5_2021CUST-YTD'!$C$3:$N$150,MATCH($C29,'Input 5_2021CUST-YTD'!$S$3:$S$150,0),MATCH(BC$2,'Input 5_2021CUST-YTD'!$C$1:$N$1,0)),0)</f>
        <v>11.455880149812737</v>
      </c>
      <c r="BD29" s="1">
        <f>IFERROR(INDEX('Input 5.1_2021VOL-YTD'!$C$3:$N$150, MATCH($C29,'Input 5.1_2021VOL-YTD'!$R$3:$R$150,0),MATCH(BD$2,'Input 5.1_2021VOL-YTD'!$C$1:$N$1,0))/INDEX('Input 5_2021CUST-YTD'!$C$3:$N$150,MATCH($C29,'Input 5_2021CUST-YTD'!$S$3:$S$150,0),MATCH(BD$2,'Input 5_2021CUST-YTD'!$C$1:$N$1,0)),0)</f>
        <v>9.9301872659176027</v>
      </c>
      <c r="BE29" s="1">
        <f>IFERROR(INDEX('Input 5.1_2021VOL-YTD'!$C$3:$N$150, MATCH($C29,'Input 5.1_2021VOL-YTD'!$R$3:$R$150,0),MATCH(BE$2,'Input 5.1_2021VOL-YTD'!$C$1:$N$1,0))/INDEX('Input 5_2021CUST-YTD'!$C$3:$N$150,MATCH($C29,'Input 5_2021CUST-YTD'!$S$3:$S$150,0),MATCH(BE$2,'Input 5_2021CUST-YTD'!$C$1:$N$1,0)),0)</f>
        <v>8.7899298245614013</v>
      </c>
      <c r="BF29" s="1">
        <f>IFERROR(INDEX('Input 5.1_2021VOL-YTD'!$C$3:$N$150, MATCH($C29,'Input 5.1_2021VOL-YTD'!$R$3:$R$150,0),MATCH(BF$2,'Input 5.1_2021VOL-YTD'!$C$1:$N$1,0))/INDEX('Input 5_2021CUST-YTD'!$C$3:$N$150,MATCH($C29,'Input 5_2021CUST-YTD'!$S$3:$S$150,0),MATCH(BF$2,'Input 5_2021CUST-YTD'!$C$1:$N$1,0)),0)</f>
        <v>10.116356877323426</v>
      </c>
      <c r="BG29" s="1">
        <f>IFERROR(INDEX('Input 5.1_2021VOL-YTD'!$C$3:$N$150, MATCH($C29,'Input 5.1_2021VOL-YTD'!$R$3:$R$150,0),MATCH(BG$2,'Input 5.1_2021VOL-YTD'!$C$1:$N$1,0))/INDEX('Input 5_2021CUST-YTD'!$C$3:$N$150,MATCH($C29,'Input 5_2021CUST-YTD'!$S$3:$S$150,0),MATCH(BG$2,'Input 5_2021CUST-YTD'!$C$1:$N$1,0)),0)</f>
        <v>13.450469314079426</v>
      </c>
      <c r="BH29" s="1">
        <f>IFERROR(INDEX('Input 5.1_2021VOL-YTD'!$C$3:$N$150, MATCH($C29,'Input 5.1_2021VOL-YTD'!$R$3:$R$150,0),MATCH(BH$2,'Input 5.1_2021VOL-YTD'!$C$1:$N$1,0))/INDEX('Input 5_2021CUST-YTD'!$C$3:$N$150,MATCH($C29,'Input 5_2021CUST-YTD'!$S$3:$S$150,0),MATCH(BH$2,'Input 5_2021CUST-YTD'!$C$1:$N$1,0)),0)</f>
        <v>13.562633451957286</v>
      </c>
      <c r="BI29" s="190">
        <f t="shared" si="7"/>
        <v>38.023811320754703</v>
      </c>
      <c r="BJ29" s="261">
        <f t="shared" si="8"/>
        <v>5</v>
      </c>
    </row>
    <row r="30" spans="1:62">
      <c r="A30" s="261" t="s">
        <v>1245</v>
      </c>
      <c r="B30" s="261" t="s">
        <v>15</v>
      </c>
      <c r="C30" s="261" t="s">
        <v>57</v>
      </c>
      <c r="D30" s="5">
        <f>IFERROR(INDEX('Input 16.1_2018VOL-YTD'!$C$4:$N$300, MATCH($C30,'Input 16.1_2018VOL-YTD'!$R$4:$R$300,0),MATCH(D$2,'Input 16.1_2018VOL-YTD'!$C$1:$N$1,0))/INDEX('Input 16_2018CUST-YTD'!$D$4:$O$300,MATCH($C30,'Input 16_2018CUST-YTD'!$S$4:$S$300,0),MATCH(D$2,'Input 16_2018CUST-YTD'!$C$1:$O$1,0)),0)</f>
        <v>290.37686274509804</v>
      </c>
      <c r="E30" s="5">
        <f>IFERROR(INDEX('Input 16.1_2018VOL-YTD'!$C$4:$N$300, MATCH($C30,'Input 16.1_2018VOL-YTD'!$R$4:$R$300,0),MATCH(E$2,'Input 16.1_2018VOL-YTD'!$C$1:$N$1,0))/INDEX('Input 16_2018CUST-YTD'!$D$4:$O$300,MATCH($C30,'Input 16_2018CUST-YTD'!$S$4:$S$300,0),MATCH(E$2,'Input 16_2018CUST-YTD'!$C$1:$O$1,0)),0)</f>
        <v>279.57294117647058</v>
      </c>
      <c r="F30" s="5">
        <f>IFERROR(INDEX('Input 16.1_2018VOL-YTD'!$C$4:$N$300, MATCH($C30,'Input 16.1_2018VOL-YTD'!$R$4:$R$300,0),MATCH(F$2,'Input 16.1_2018VOL-YTD'!$C$1:$N$1,0))/INDEX('Input 16_2018CUST-YTD'!$D$4:$O$300,MATCH($C30,'Input 16_2018CUST-YTD'!$S$4:$S$300,0),MATCH(F$2,'Input 16_2018CUST-YTD'!$C$1:$O$1,0)),0)</f>
        <v>274.19653846153847</v>
      </c>
      <c r="G30" s="5">
        <f>IFERROR(INDEX('Input 16.1_2018VOL-YTD'!$C$4:$N$300, MATCH($C30,'Input 16.1_2018VOL-YTD'!$R$4:$R$300,0),MATCH(G$2,'Input 16.1_2018VOL-YTD'!$C$1:$N$1,0))/INDEX('Input 16_2018CUST-YTD'!$D$4:$O$300,MATCH($C30,'Input 16_2018CUST-YTD'!$S$4:$S$300,0),MATCH(G$2,'Input 16_2018CUST-YTD'!$C$1:$O$1,0)),0)</f>
        <v>284.94439999999997</v>
      </c>
      <c r="H30" s="5">
        <f>IFERROR(INDEX('Input 16.1_2018VOL-YTD'!$C$4:$N$300, MATCH($C30,'Input 16.1_2018VOL-YTD'!$R$4:$R$300,0),MATCH(H$2,'Input 16.1_2018VOL-YTD'!$C$1:$N$1,0))/INDEX('Input 16_2018CUST-YTD'!$D$4:$O$300,MATCH($C30,'Input 16_2018CUST-YTD'!$S$4:$S$300,0),MATCH(H$2,'Input 16_2018CUST-YTD'!$C$1:$O$1,0)),0)</f>
        <v>284.48439999999999</v>
      </c>
      <c r="I30" s="5">
        <f>IFERROR(INDEX('Input 16.1_2018VOL-YTD'!$C$4:$N$300, MATCH($C30,'Input 16.1_2018VOL-YTD'!$R$4:$R$300,0),MATCH(I$2,'Input 16.1_2018VOL-YTD'!$C$1:$N$1,0))/INDEX('Input 16_2018CUST-YTD'!$D$4:$O$300,MATCH($C30,'Input 16_2018CUST-YTD'!$S$4:$S$300,0),MATCH(I$2,'Input 16_2018CUST-YTD'!$C$1:$O$1,0)),0)</f>
        <v>284.48439999999999</v>
      </c>
      <c r="J30" s="5">
        <f>IFERROR(INDEX('Input 16.1_2018VOL-YTD'!$C$4:$N$300, MATCH($C30,'Input 16.1_2018VOL-YTD'!$R$4:$R$300,0),MATCH(J$2,'Input 16.1_2018VOL-YTD'!$C$1:$N$1,0))/INDEX('Input 16_2018CUST-YTD'!$D$4:$O$300,MATCH($C30,'Input 16_2018CUST-YTD'!$S$4:$S$300,0),MATCH(J$2,'Input 16_2018CUST-YTD'!$C$1:$O$1,0)),0)</f>
        <v>284.48439999999999</v>
      </c>
      <c r="K30" s="5">
        <f>IFERROR(INDEX('Input 16.1_2018VOL-YTD'!$C$4:$N$300, MATCH($C30,'Input 16.1_2018VOL-YTD'!$R$4:$R$300,0),MATCH(K$2,'Input 16.1_2018VOL-YTD'!$C$1:$N$1,0))/INDEX('Input 16_2018CUST-YTD'!$D$4:$O$300,MATCH($C30,'Input 16_2018CUST-YTD'!$S$4:$S$300,0),MATCH(K$2,'Input 16_2018CUST-YTD'!$C$1:$O$1,0)),0)</f>
        <v>290.29020408163262</v>
      </c>
      <c r="L30" s="5">
        <f>IFERROR(INDEX('Input 16.1_2018VOL-YTD'!$C$4:$N$300, MATCH($C30,'Input 16.1_2018VOL-YTD'!$R$4:$R$300,0),MATCH(L$2,'Input 16.1_2018VOL-YTD'!$C$1:$N$1,0))/INDEX('Input 16_2018CUST-YTD'!$D$4:$O$300,MATCH($C30,'Input 16_2018CUST-YTD'!$S$4:$S$300,0),MATCH(L$2,'Input 16_2018CUST-YTD'!$C$1:$O$1,0)),0)</f>
        <v>277.21291666666667</v>
      </c>
      <c r="M30" s="5">
        <f>IFERROR(INDEX('Input 16.1_2018VOL-YTD'!$C$4:$N$300, MATCH($C30,'Input 16.1_2018VOL-YTD'!$R$4:$R$300,0),MATCH(M$2,'Input 16.1_2018VOL-YTD'!$C$1:$N$1,0))/INDEX('Input 16_2018CUST-YTD'!$D$4:$O$300,MATCH($C30,'Input 16_2018CUST-YTD'!$S$4:$S$300,0),MATCH(M$2,'Input 16_2018CUST-YTD'!$C$1:$O$1,0)),0)</f>
        <v>302.41409090909093</v>
      </c>
      <c r="N30" s="5">
        <f>IFERROR(INDEX('Input 16.1_2018VOL-YTD'!$C$4:$N$300, MATCH($C30,'Input 16.1_2018VOL-YTD'!$R$4:$R$300,0),MATCH(N$2,'Input 16.1_2018VOL-YTD'!$C$1:$N$1,0))/INDEX('Input 16_2018CUST-YTD'!$D$4:$O$300,MATCH($C30,'Input 16_2018CUST-YTD'!$S$4:$S$300,0),MATCH(N$2,'Input 16_2018CUST-YTD'!$C$1:$O$1,0)),0)</f>
        <v>314.88050000000004</v>
      </c>
      <c r="O30" s="5">
        <f>IFERROR(INDEX('Input 16.1_2018VOL-YTD'!$C$4:$N$300, MATCH($C30,'Input 16.1_2018VOL-YTD'!$R$4:$R$300,0),MATCH(O$2,'Input 16.1_2018VOL-YTD'!$C$1:$N$1,0))/INDEX('Input 16_2018CUST-YTD'!$D$4:$O$300,MATCH($C30,'Input 16_2018CUST-YTD'!$S$4:$S$300,0),MATCH(O$2,'Input 16_2018CUST-YTD'!$C$1:$O$1,0)),0)</f>
        <v>242.41265306122449</v>
      </c>
      <c r="P30" s="271">
        <f t="shared" si="1"/>
        <v>314.88050000000004</v>
      </c>
      <c r="Q30" s="261">
        <f t="shared" si="2"/>
        <v>11</v>
      </c>
      <c r="S30" s="5">
        <f>IFERROR(INDEX('Input 3.1_2019VOL-YTD'!$C$4:$N$300, MATCH($C30,'Input 3.1_2019VOL-YTD'!$R$4:$R$300,0),MATCH(S$2,'Input 3.1_2019VOL-YTD'!$C$1:$N$1,0))/INDEX('Input 3_2019CUST-YTD'!$C$4:$N$300,MATCH($C30,'Input 3_2019CUST-YTD'!$S$4:$S$300,0),MATCH(S$2,'Input 3_2019CUST-YTD'!$C$1:$N$1,0)),0)</f>
        <v>296.95549999999997</v>
      </c>
      <c r="T30" s="5">
        <f>IFERROR(INDEX('Input 3.1_2019VOL-YTD'!$C$4:$N$300, MATCH($C30,'Input 3.1_2019VOL-YTD'!$R$4:$R$300,0),MATCH(T$2,'Input 3.1_2019VOL-YTD'!$C$1:$N$1,0))/INDEX('Input 3_2019CUST-YTD'!$C$4:$N$300,MATCH($C30,'Input 3_2019CUST-YTD'!$S$4:$S$300,0),MATCH(T$2,'Input 3_2019CUST-YTD'!$C$1:$N$1,0)),0)</f>
        <v>296.95549999999997</v>
      </c>
      <c r="U30" s="5">
        <f>IFERROR(INDEX('Input 3.1_2019VOL-YTD'!$C$4:$N$300, MATCH($C30,'Input 3.1_2019VOL-YTD'!$R$4:$R$300,0),MATCH(U$2,'Input 3.1_2019VOL-YTD'!$C$1:$N$1,0))/INDEX('Input 3_2019CUST-YTD'!$C$4:$N$300,MATCH($C30,'Input 3_2019CUST-YTD'!$S$4:$S$300,0),MATCH(U$2,'Input 3_2019CUST-YTD'!$C$1:$N$1,0)),0)</f>
        <v>296.95549999999997</v>
      </c>
      <c r="V30" s="5">
        <f>IFERROR(INDEX('Input 3.1_2019VOL-YTD'!$C$4:$N$300, MATCH($C30,'Input 3.1_2019VOL-YTD'!$R$4:$R$300,0),MATCH(V$2,'Input 3.1_2019VOL-YTD'!$C$1:$N$1,0))/INDEX('Input 3_2019CUST-YTD'!$C$4:$N$300,MATCH($C30,'Input 3_2019CUST-YTD'!$S$4:$S$300,0),MATCH(V$2,'Input 3_2019CUST-YTD'!$C$1:$N$1,0)),0)</f>
        <v>250.02904761904762</v>
      </c>
      <c r="W30" s="5">
        <f>IFERROR(INDEX('Input 3.1_2019VOL-YTD'!$C$4:$N$300, MATCH($C30,'Input 3.1_2019VOL-YTD'!$R$4:$R$300,0),MATCH(W$2,'Input 3.1_2019VOL-YTD'!$C$1:$N$1,0))/INDEX('Input 3_2019CUST-YTD'!$C$4:$N$300,MATCH($C30,'Input 3_2019CUST-YTD'!$S$4:$S$300,0),MATCH(W$2,'Input 3_2019CUST-YTD'!$C$1:$N$1,0)),0)</f>
        <v>304.45055555555552</v>
      </c>
      <c r="X30" s="5">
        <f>IFERROR(INDEX('Input 3.1_2019VOL-YTD'!$C$4:$N$300, MATCH($C30,'Input 3.1_2019VOL-YTD'!$R$4:$R$300,0),MATCH(X$2,'Input 3.1_2019VOL-YTD'!$C$1:$N$1,0))/INDEX('Input 3_2019CUST-YTD'!$C$4:$N$300,MATCH($C30,'Input 3_2019CUST-YTD'!$S$4:$S$300,0),MATCH(X$2,'Input 3_2019CUST-YTD'!$C$1:$N$1,0)),0)</f>
        <v>304.45055555555552</v>
      </c>
      <c r="Y30" s="5">
        <f>IFERROR(INDEX('Input 3.1_2019VOL-YTD'!$C$4:$N$300, MATCH($C30,'Input 3.1_2019VOL-YTD'!$R$4:$R$300,0),MATCH(Y$2,'Input 3.1_2019VOL-YTD'!$C$1:$N$1,0))/INDEX('Input 3_2019CUST-YTD'!$C$4:$N$300,MATCH($C30,'Input 3_2019CUST-YTD'!$S$4:$S$300,0),MATCH(Y$2,'Input 3_2019CUST-YTD'!$C$1:$N$1,0)),0)</f>
        <v>290.0062857142857</v>
      </c>
      <c r="Z30" s="5">
        <f>IFERROR(INDEX('Input 3.1_2019VOL-YTD'!$C$4:$N$300, MATCH($C30,'Input 3.1_2019VOL-YTD'!$R$4:$R$300,0),MATCH(Z$2,'Input 3.1_2019VOL-YTD'!$C$1:$N$1,0))/INDEX('Input 3_2019CUST-YTD'!$C$4:$N$300,MATCH($C30,'Input 3_2019CUST-YTD'!$S$4:$S$300,0),MATCH(Z$2,'Input 3_2019CUST-YTD'!$C$1:$N$1,0)),0)</f>
        <v>260.14500000000004</v>
      </c>
      <c r="AA30" s="5">
        <f>IFERROR(INDEX('Input 3.1_2019VOL-YTD'!$C$4:$N$300, MATCH($C30,'Input 3.1_2019VOL-YTD'!$R$4:$R$300,0),MATCH(AA$2,'Input 3.1_2019VOL-YTD'!$C$1:$N$1,0))/INDEX('Input 3_2019CUST-YTD'!$C$4:$N$300,MATCH($C30,'Input 3_2019CUST-YTD'!$S$4:$S$300,0),MATCH(AA$2,'Input 3_2019CUST-YTD'!$C$1:$N$1,0)),0)</f>
        <v>297.69437499999998</v>
      </c>
      <c r="AB30" s="5">
        <f>IFERROR(INDEX('Input 3.1_2019VOL-YTD'!$C$4:$N$300, MATCH($C30,'Input 3.1_2019VOL-YTD'!$R$4:$R$300,0),MATCH(AB$2,'Input 3.1_2019VOL-YTD'!$C$1:$N$1,0))/INDEX('Input 3_2019CUST-YTD'!$C$4:$N$300,MATCH($C30,'Input 3_2019CUST-YTD'!$S$4:$S$300,0),MATCH(AB$2,'Input 3_2019CUST-YTD'!$C$1:$N$1,0)),0)</f>
        <v>297.69437499999998</v>
      </c>
      <c r="AC30" s="5">
        <f>IFERROR(INDEX('Input 3.1_2019VOL-YTD'!$C$4:$N$300, MATCH($C30,'Input 3.1_2019VOL-YTD'!$R$4:$R$300,0),MATCH(AC$2,'Input 3.1_2019VOL-YTD'!$C$1:$N$1,0))/INDEX('Input 3_2019CUST-YTD'!$C$4:$N$300,MATCH($C30,'Input 3_2019CUST-YTD'!$S$4:$S$300,0),MATCH(AC$2,'Input 3_2019CUST-YTD'!$C$1:$N$1,0)),0)</f>
        <v>297.69437499999998</v>
      </c>
      <c r="AD30" s="5">
        <f>IFERROR(INDEX('Input 3.1_2019VOL-YTD'!$C$4:$N$300, MATCH($C30,'Input 3.1_2019VOL-YTD'!$R$4:$R$300,0),MATCH(AD$2,'Input 3.1_2019VOL-YTD'!$C$1:$N$1,0))/INDEX('Input 3_2019CUST-YTD'!$C$4:$N$300,MATCH($C30,'Input 3_2019CUST-YTD'!$S$4:$S$300,0),MATCH(AD$2,'Input 3_2019CUST-YTD'!$C$1:$N$1,0)),0)</f>
        <v>297.69437499999998</v>
      </c>
      <c r="AE30" s="272">
        <f t="shared" si="3"/>
        <v>304.45055555555552</v>
      </c>
      <c r="AF30" s="261">
        <f t="shared" si="4"/>
        <v>5</v>
      </c>
      <c r="AH30" s="262">
        <f>IFERROR(INDEX('Input 4.1_2020VOL-YTD'!$C$4:$O$300, MATCH($C30,'Input 4.1_2020VOL-YTD'!$R$4:$R$300,0),MATCH(AH$2,'Input 4.1_2020VOL-YTD'!$C$1:$O$1,0))/INDEX('Input 4_2020CUST-YTD'!$C$4:O$300,MATCH($C30,'Input 4_2020CUST-YTD'!$S$4:$S$300,0),MATCH(AH$2,'Input 4_2020CUST-YTD'!$C$1:$O$1,0)),0)</f>
        <v>246.65352941176468</v>
      </c>
      <c r="AI30" s="262">
        <f>IFERROR(INDEX('Input 4.1_2020VOL-YTD'!$C$4:$O$300, MATCH($C30,'Input 4.1_2020VOL-YTD'!$R$4:$R$300,0),MATCH(AI$2,'Input 4.1_2020VOL-YTD'!$C$1:$O$1,0))/INDEX('Input 4_2020CUST-YTD'!$C$4:P$300,MATCH($C30,'Input 4_2020CUST-YTD'!$S$4:$S$300,0),MATCH(AI$2,'Input 4_2020CUST-YTD'!$C$1:$O$1,0)),0)</f>
        <v>288.30058823529407</v>
      </c>
      <c r="AJ30" s="262">
        <f>IFERROR(INDEX('Input 4.1_2020VOL-YTD'!$C$4:$O$300, MATCH($C30,'Input 4.1_2020VOL-YTD'!$R$4:$R$300,0),MATCH(AJ$2,'Input 4.1_2020VOL-YTD'!$C$1:$O$1,0))/INDEX('Input 4_2020CUST-YTD'!$C$4:Q$300,MATCH($C30,'Input 4_2020CUST-YTD'!$S$4:$S$300,0),MATCH(AJ$2,'Input 4_2020CUST-YTD'!$C$1:$O$1,0)),0)</f>
        <v>284.19437499999998</v>
      </c>
      <c r="AK30" s="262">
        <f>IFERROR(INDEX('Input 4.1_2020VOL-YTD'!$C$4:$O$300, MATCH($C30,'Input 4.1_2020VOL-YTD'!$R$4:$R$300,0),MATCH(AK$2,'Input 4.1_2020VOL-YTD'!$C$1:$O$1,0))/INDEX('Input 4_2020CUST-YTD'!$C$4:R$300,MATCH($C30,'Input 4_2020CUST-YTD'!$S$4:$S$300,0),MATCH(AK$2,'Input 4_2020CUST-YTD'!$C$1:$O$1,0)),0)</f>
        <v>284.19437499999998</v>
      </c>
      <c r="AL30" s="262">
        <f>IFERROR(INDEX('Input 4.1_2020VOL-YTD'!$C$4:$O$300, MATCH($C30,'Input 4.1_2020VOL-YTD'!$R$4:$R$300,0),MATCH(AL$2,'Input 4.1_2020VOL-YTD'!$C$1:$O$1,0))/INDEX('Input 4_2020CUST-YTD'!$C$4:S$300,MATCH($C30,'Input 4_2020CUST-YTD'!$S$4:$S$300,0),MATCH(AL$2,'Input 4_2020CUST-YTD'!$C$1:$O$1,0)),0)</f>
        <v>284.19437499999998</v>
      </c>
      <c r="AM30" s="262">
        <f>IFERROR(INDEX('Input 4.1_2020VOL-YTD'!$C$4:$O$300, MATCH($C30,'Input 4.1_2020VOL-YTD'!$R$4:$R$300,0),MATCH(AM$2,'Input 4.1_2020VOL-YTD'!$C$1:$O$1,0))/INDEX('Input 4_2020CUST-YTD'!$C$4:T$300,MATCH($C30,'Input 4_2020CUST-YTD'!$S$4:$S$300,0),MATCH(AM$2,'Input 4_2020CUST-YTD'!$C$1:$O$1,0)),0)</f>
        <v>284.19437499999998</v>
      </c>
      <c r="AN30" s="262">
        <f>IFERROR(INDEX('Input 4.1_2020VOL-YTD'!$C$4:$O$300, MATCH($C30,'Input 4.1_2020VOL-YTD'!$R$4:$R$300,0),MATCH(AN$2,'Input 4.1_2020VOL-YTD'!$C$1:$O$1,0))/INDEX('Input 4_2020CUST-YTD'!$C$4:U$300,MATCH($C30,'Input 4_2020CUST-YTD'!$S$4:$S$300,0),MATCH(AN$2,'Input 4_2020CUST-YTD'!$C$1:$O$1,0)),0)</f>
        <v>284.19437499999998</v>
      </c>
      <c r="AO30" s="262">
        <f>IFERROR(INDEX('Input 4.1_2020VOL-YTD'!$C$4:$O$300, MATCH($C30,'Input 4.1_2020VOL-YTD'!$R$4:$R$300,0),MATCH(AO$2,'Input 4.1_2020VOL-YTD'!$C$1:$O$1,0))/INDEX('Input 4_2020CUST-YTD'!$C$4:V$300,MATCH($C30,'Input 4_2020CUST-YTD'!$S$4:$S$300,0),MATCH(AO$2,'Input 4_2020CUST-YTD'!$C$1:$O$1,0)),0)</f>
        <v>284.19437499999998</v>
      </c>
      <c r="AP30" s="262">
        <f>IFERROR(INDEX('Input 4.1_2020VOL-YTD'!$C$4:$O$300, MATCH($C30,'Input 4.1_2020VOL-YTD'!$R$4:$R$300,0),MATCH(AP$2,'Input 4.1_2020VOL-YTD'!$C$1:$O$1,0))/INDEX('Input 4_2020CUST-YTD'!$C$4:W$300,MATCH($C30,'Input 4_2020CUST-YTD'!$S$4:$S$300,0),MATCH(AP$2,'Input 4_2020CUST-YTD'!$C$1:$O$1,0)),0)</f>
        <v>284.19437499999998</v>
      </c>
      <c r="AQ30" s="262">
        <f>IFERROR(INDEX('Input 4.1_2020VOL-YTD'!$C$4:$O$300, MATCH($C30,'Input 4.1_2020VOL-YTD'!$R$4:$R$300,0),MATCH(AQ$2,'Input 4.1_2020VOL-YTD'!$C$1:$O$1,0))/INDEX('Input 4_2020CUST-YTD'!$C$4:X$300,MATCH($C30,'Input 4_2020CUST-YTD'!$S$4:$S$300,0),MATCH(AQ$2,'Input 4_2020CUST-YTD'!$C$1:$O$1,0)),0)</f>
        <v>275.58242424242422</v>
      </c>
      <c r="AR30" s="262">
        <f>IFERROR(INDEX('Input 4.1_2020VOL-YTD'!$C$4:$O$300, MATCH($C30,'Input 4.1_2020VOL-YTD'!$R$4:$R$300,0),MATCH(AR$2,'Input 4.1_2020VOL-YTD'!$C$1:$O$1,0))/INDEX('Input 4_2020CUST-YTD'!$C$4:Y$300,MATCH($C30,'Input 4_2020CUST-YTD'!$S$4:$S$300,0),MATCH(AR$2,'Input 4_2020CUST-YTD'!$C$1:$O$1,0)),0)</f>
        <v>275.58242424242422</v>
      </c>
      <c r="AS30" s="262">
        <f>IFERROR(INDEX('Input 4.1_2020VOL-YTD'!$C$4:$O$300, MATCH($C30,'Input 4.1_2020VOL-YTD'!$R$4:$R$300,0),MATCH(AS$2,'Input 4.1_2020VOL-YTD'!$C$1:$O$1,0))/INDEX('Input 4_2020CUST-YTD'!$C$4:Z$300,MATCH($C30,'Input 4_2020CUST-YTD'!$S$4:$S$300,0),MATCH(AS$2,'Input 4_2020CUST-YTD'!$C$1:$O$1,0)),0)</f>
        <v>293.36193548387092</v>
      </c>
      <c r="AT30" s="190">
        <f t="shared" si="9"/>
        <v>293.36193548387092</v>
      </c>
      <c r="AU30" s="261">
        <f t="shared" si="6"/>
        <v>12</v>
      </c>
      <c r="AW30" s="1">
        <f>IFERROR(INDEX('Input 5.1_2021VOL-YTD'!$C$3:$N$150, MATCH($C30,'Input 5.1_2021VOL-YTD'!$R$3:$R$150,0),MATCH(AW$2,'Input 5.1_2021VOL-YTD'!$C$1:$N$1,0))/INDEX('Input 5_2021CUST-YTD'!$C$3:$N$150,MATCH($C30,'Input 5_2021CUST-YTD'!$S$3:$S$150,0),MATCH(AW$2,'Input 5_2021CUST-YTD'!$C$1:$N$1,0)),0)</f>
        <v>293.36193548387092</v>
      </c>
      <c r="AX30" s="1">
        <f>IFERROR(INDEX('Input 5.1_2021VOL-YTD'!$C$3:$N$150, MATCH($C30,'Input 5.1_2021VOL-YTD'!$R$3:$R$150,0),MATCH(AX$2,'Input 5.1_2021VOL-YTD'!$C$1:$N$1,0))/INDEX('Input 5_2021CUST-YTD'!$C$3:$N$150,MATCH($C30,'Input 5_2021CUST-YTD'!$S$3:$S$150,0),MATCH(AX$2,'Input 5_2021CUST-YTD'!$C$1:$N$1,0)),0)</f>
        <v>280.20064516129031</v>
      </c>
      <c r="AY30" s="1">
        <f>IFERROR(INDEX('Input 5.1_2021VOL-YTD'!$C$3:$N$150, MATCH($C30,'Input 5.1_2021VOL-YTD'!$R$3:$R$150,0),MATCH(AY$2,'Input 5.1_2021VOL-YTD'!$C$1:$N$1,0))/INDEX('Input 5_2021CUST-YTD'!$C$3:$N$150,MATCH($C30,'Input 5_2021CUST-YTD'!$S$3:$S$150,0),MATCH(AY$2,'Input 5_2021CUST-YTD'!$C$1:$N$1,0)),0)</f>
        <v>280.20064516129031</v>
      </c>
      <c r="AZ30" s="1">
        <f>IFERROR(INDEX('Input 5.1_2021VOL-YTD'!$C$3:$N$150, MATCH($C30,'Input 5.1_2021VOL-YTD'!$R$3:$R$150,0),MATCH(AZ$2,'Input 5.1_2021VOL-YTD'!$C$1:$N$1,0))/INDEX('Input 5_2021CUST-YTD'!$C$3:$N$150,MATCH($C30,'Input 5_2021CUST-YTD'!$S$3:$S$150,0),MATCH(AZ$2,'Input 5_2021CUST-YTD'!$C$1:$N$1,0)),0)</f>
        <v>280.20064516129031</v>
      </c>
      <c r="BA30" s="1">
        <f>IFERROR(INDEX('Input 5.1_2021VOL-YTD'!$C$3:$N$150, MATCH($C30,'Input 5.1_2021VOL-YTD'!$R$3:$R$150,0),MATCH(BA$2,'Input 5.1_2021VOL-YTD'!$C$1:$N$1,0))/INDEX('Input 5_2021CUST-YTD'!$C$3:$N$150,MATCH($C30,'Input 5_2021CUST-YTD'!$S$3:$S$150,0),MATCH(BA$2,'Input 5_2021CUST-YTD'!$C$1:$N$1,0)),0)</f>
        <v>297.45586206896547</v>
      </c>
      <c r="BB30" s="1">
        <f>IFERROR(INDEX('Input 5.1_2021VOL-YTD'!$C$3:$N$150, MATCH($C30,'Input 5.1_2021VOL-YTD'!$R$3:$R$150,0),MATCH(BB$2,'Input 5.1_2021VOL-YTD'!$C$1:$N$1,0))/INDEX('Input 5_2021CUST-YTD'!$C$3:$N$150,MATCH($C30,'Input 5_2021CUST-YTD'!$S$3:$S$150,0),MATCH(BB$2,'Input 5_2021CUST-YTD'!$C$1:$N$1,0)),0)</f>
        <v>297.45586206896547</v>
      </c>
      <c r="BC30" s="1">
        <f>IFERROR(INDEX('Input 5.1_2021VOL-YTD'!$C$3:$N$150, MATCH($C30,'Input 5.1_2021VOL-YTD'!$R$3:$R$150,0),MATCH(BC$2,'Input 5.1_2021VOL-YTD'!$C$1:$N$1,0))/INDEX('Input 5_2021CUST-YTD'!$C$3:$N$150,MATCH($C30,'Input 5_2021CUST-YTD'!$S$3:$S$150,0),MATCH(BC$2,'Input 5_2021CUST-YTD'!$C$1:$N$1,0)),0)</f>
        <v>297.45586206896547</v>
      </c>
      <c r="BD30" s="1">
        <f>IFERROR(INDEX('Input 5.1_2021VOL-YTD'!$C$3:$N$150, MATCH($C30,'Input 5.1_2021VOL-YTD'!$R$3:$R$150,0),MATCH(BD$2,'Input 5.1_2021VOL-YTD'!$C$1:$N$1,0))/INDEX('Input 5_2021CUST-YTD'!$C$3:$N$150,MATCH($C30,'Input 5_2021CUST-YTD'!$S$3:$S$150,0),MATCH(BD$2,'Input 5_2021CUST-YTD'!$C$1:$N$1,0)),0)</f>
        <v>291.93407407407403</v>
      </c>
      <c r="BE30" s="1">
        <f>IFERROR(INDEX('Input 5.1_2021VOL-YTD'!$C$3:$N$150, MATCH($C30,'Input 5.1_2021VOL-YTD'!$R$3:$R$150,0),MATCH(BE$2,'Input 5.1_2021VOL-YTD'!$C$1:$N$1,0))/INDEX('Input 5_2021CUST-YTD'!$C$3:$N$150,MATCH($C30,'Input 5_2021CUST-YTD'!$S$3:$S$150,0),MATCH(BE$2,'Input 5_2021CUST-YTD'!$C$1:$N$1,0)),0)</f>
        <v>291.93407407407403</v>
      </c>
      <c r="BF30" s="1">
        <f>IFERROR(INDEX('Input 5.1_2021VOL-YTD'!$C$3:$N$150, MATCH($C30,'Input 5.1_2021VOL-YTD'!$R$3:$R$150,0),MATCH(BF$2,'Input 5.1_2021VOL-YTD'!$C$1:$N$1,0))/INDEX('Input 5_2021CUST-YTD'!$C$3:$N$150,MATCH($C30,'Input 5_2021CUST-YTD'!$S$3:$S$150,0),MATCH(BF$2,'Input 5_2021CUST-YTD'!$C$1:$N$1,0)),0)</f>
        <v>291.93407407407403</v>
      </c>
      <c r="BG30" s="1">
        <f>IFERROR(INDEX('Input 5.1_2021VOL-YTD'!$C$3:$N$150, MATCH($C30,'Input 5.1_2021VOL-YTD'!$R$3:$R$150,0),MATCH(BG$2,'Input 5.1_2021VOL-YTD'!$C$1:$N$1,0))/INDEX('Input 5_2021CUST-YTD'!$C$3:$N$150,MATCH($C30,'Input 5_2021CUST-YTD'!$S$3:$S$150,0),MATCH(BG$2,'Input 5_2021CUST-YTD'!$C$1:$N$1,0)),0)</f>
        <v>257.31793103448274</v>
      </c>
      <c r="BH30" s="1">
        <f>IFERROR(INDEX('Input 5.1_2021VOL-YTD'!$C$3:$N$150, MATCH($C30,'Input 5.1_2021VOL-YTD'!$R$3:$R$150,0),MATCH(BH$2,'Input 5.1_2021VOL-YTD'!$C$1:$N$1,0))/INDEX('Input 5_2021CUST-YTD'!$C$3:$N$150,MATCH($C30,'Input 5_2021CUST-YTD'!$S$3:$S$150,0),MATCH(BH$2,'Input 5_2021CUST-YTD'!$C$1:$N$1,0)),0)</f>
        <v>303.28879999999998</v>
      </c>
      <c r="BI30" s="190">
        <f t="shared" si="7"/>
        <v>303.28879999999998</v>
      </c>
      <c r="BJ30" s="261">
        <f t="shared" si="8"/>
        <v>12</v>
      </c>
    </row>
    <row r="31" spans="1:62">
      <c r="A31" s="261" t="s">
        <v>1245</v>
      </c>
      <c r="B31" s="261" t="s">
        <v>15</v>
      </c>
      <c r="C31" s="261" t="s">
        <v>37</v>
      </c>
      <c r="D31" s="5">
        <f>IFERROR(INDEX('Input 16.1_2018VOL-YTD'!$C$4:$N$300, MATCH($C31,'Input 16.1_2018VOL-YTD'!$R$4:$R$300,0),MATCH(D$2,'Input 16.1_2018VOL-YTD'!$C$1:$N$1,0))/INDEX('Input 16_2018CUST-YTD'!$D$4:$O$300,MATCH($C31,'Input 16_2018CUST-YTD'!$S$4:$S$300,0),MATCH(D$2,'Input 16_2018CUST-YTD'!$C$1:$O$1,0)),0)</f>
        <v>141.02680525164118</v>
      </c>
      <c r="E31" s="5">
        <f>IFERROR(INDEX('Input 16.1_2018VOL-YTD'!$C$4:$N$300, MATCH($C31,'Input 16.1_2018VOL-YTD'!$R$4:$R$300,0),MATCH(E$2,'Input 16.1_2018VOL-YTD'!$C$1:$N$1,0))/INDEX('Input 16_2018CUST-YTD'!$D$4:$O$300,MATCH($C31,'Input 16_2018CUST-YTD'!$S$4:$S$300,0),MATCH(E$2,'Input 16_2018CUST-YTD'!$C$1:$O$1,0)),0)</f>
        <v>122.08231613611417</v>
      </c>
      <c r="F31" s="5">
        <f>IFERROR(INDEX('Input 16.1_2018VOL-YTD'!$C$4:$N$300, MATCH($C31,'Input 16.1_2018VOL-YTD'!$R$4:$R$300,0),MATCH(F$2,'Input 16.1_2018VOL-YTD'!$C$1:$N$1,0))/INDEX('Input 16_2018CUST-YTD'!$D$4:$O$300,MATCH($C31,'Input 16_2018CUST-YTD'!$S$4:$S$300,0),MATCH(F$2,'Input 16_2018CUST-YTD'!$C$1:$O$1,0)),0)</f>
        <v>101.60856209150325</v>
      </c>
      <c r="G31" s="5">
        <f>IFERROR(INDEX('Input 16.1_2018VOL-YTD'!$C$4:$N$300, MATCH($C31,'Input 16.1_2018VOL-YTD'!$R$4:$R$300,0),MATCH(G$2,'Input 16.1_2018VOL-YTD'!$C$1:$N$1,0))/INDEX('Input 16_2018CUST-YTD'!$D$4:$O$300,MATCH($C31,'Input 16_2018CUST-YTD'!$S$4:$S$300,0),MATCH(G$2,'Input 16_2018CUST-YTD'!$C$1:$O$1,0)),0)</f>
        <v>103.31665193370176</v>
      </c>
      <c r="H31" s="5">
        <f>IFERROR(INDEX('Input 16.1_2018VOL-YTD'!$C$4:$N$300, MATCH($C31,'Input 16.1_2018VOL-YTD'!$R$4:$R$300,0),MATCH(H$2,'Input 16.1_2018VOL-YTD'!$C$1:$N$1,0))/INDEX('Input 16_2018CUST-YTD'!$D$4:$O$300,MATCH($C31,'Input 16_2018CUST-YTD'!$S$4:$S$300,0),MATCH(H$2,'Input 16_2018CUST-YTD'!$C$1:$O$1,0)),0)</f>
        <v>86.068211111111083</v>
      </c>
      <c r="I31" s="5">
        <f>IFERROR(INDEX('Input 16.1_2018VOL-YTD'!$C$4:$N$300, MATCH($C31,'Input 16.1_2018VOL-YTD'!$R$4:$R$300,0),MATCH(I$2,'Input 16.1_2018VOL-YTD'!$C$1:$N$1,0))/INDEX('Input 16_2018CUST-YTD'!$D$4:$O$300,MATCH($C31,'Input 16_2018CUST-YTD'!$S$4:$S$300,0),MATCH(I$2,'Input 16_2018CUST-YTD'!$C$1:$O$1,0)),0)</f>
        <v>80.422735326688894</v>
      </c>
      <c r="J31" s="5">
        <f>IFERROR(INDEX('Input 16.1_2018VOL-YTD'!$C$4:$N$300, MATCH($C31,'Input 16.1_2018VOL-YTD'!$R$4:$R$300,0),MATCH(J$2,'Input 16.1_2018VOL-YTD'!$C$1:$N$1,0))/INDEX('Input 16_2018CUST-YTD'!$D$4:$O$300,MATCH($C31,'Input 16_2018CUST-YTD'!$S$4:$S$300,0),MATCH(J$2,'Input 16_2018CUST-YTD'!$C$1:$O$1,0)),0)</f>
        <v>67.497762863534675</v>
      </c>
      <c r="K31" s="5">
        <f>IFERROR(INDEX('Input 16.1_2018VOL-YTD'!$C$4:$N$300, MATCH($C31,'Input 16.1_2018VOL-YTD'!$R$4:$R$300,0),MATCH(K$2,'Input 16.1_2018VOL-YTD'!$C$1:$N$1,0))/INDEX('Input 16_2018CUST-YTD'!$D$4:$O$300,MATCH($C31,'Input 16_2018CUST-YTD'!$S$4:$S$300,0),MATCH(K$2,'Input 16_2018CUST-YTD'!$C$1:$O$1,0)),0)</f>
        <v>70.040100671140948</v>
      </c>
      <c r="L31" s="5">
        <f>IFERROR(INDEX('Input 16.1_2018VOL-YTD'!$C$4:$N$300, MATCH($C31,'Input 16.1_2018VOL-YTD'!$R$4:$R$300,0),MATCH(L$2,'Input 16.1_2018VOL-YTD'!$C$1:$N$1,0))/INDEX('Input 16_2018CUST-YTD'!$D$4:$O$300,MATCH($C31,'Input 16_2018CUST-YTD'!$S$4:$S$300,0),MATCH(L$2,'Input 16_2018CUST-YTD'!$C$1:$O$1,0)),0)</f>
        <v>67.48487556561092</v>
      </c>
      <c r="M31" s="5">
        <f>IFERROR(INDEX('Input 16.1_2018VOL-YTD'!$C$4:$N$300, MATCH($C31,'Input 16.1_2018VOL-YTD'!$R$4:$R$300,0),MATCH(M$2,'Input 16.1_2018VOL-YTD'!$C$1:$N$1,0))/INDEX('Input 16_2018CUST-YTD'!$D$4:$O$300,MATCH($C31,'Input 16_2018CUST-YTD'!$S$4:$S$300,0),MATCH(M$2,'Input 16_2018CUST-YTD'!$C$1:$O$1,0)),0)</f>
        <v>65.41217977528099</v>
      </c>
      <c r="N31" s="5">
        <f>IFERROR(INDEX('Input 16.1_2018VOL-YTD'!$C$4:$N$300, MATCH($C31,'Input 16.1_2018VOL-YTD'!$R$4:$R$300,0),MATCH(N$2,'Input 16.1_2018VOL-YTD'!$C$1:$N$1,0))/INDEX('Input 16_2018CUST-YTD'!$D$4:$O$300,MATCH($C31,'Input 16_2018CUST-YTD'!$S$4:$S$300,0),MATCH(N$2,'Input 16_2018CUST-YTD'!$C$1:$O$1,0)),0)</f>
        <v>87.931459034792383</v>
      </c>
      <c r="O31" s="5">
        <f>IFERROR(INDEX('Input 16.1_2018VOL-YTD'!$C$4:$N$300, MATCH($C31,'Input 16.1_2018VOL-YTD'!$R$4:$R$300,0),MATCH(O$2,'Input 16.1_2018VOL-YTD'!$C$1:$N$1,0))/INDEX('Input 16_2018CUST-YTD'!$D$4:$O$300,MATCH($C31,'Input 16_2018CUST-YTD'!$S$4:$S$300,0),MATCH(O$2,'Input 16_2018CUST-YTD'!$C$1:$O$1,0)),0)</f>
        <v>115.46724048762481</v>
      </c>
      <c r="P31" s="271">
        <f t="shared" si="1"/>
        <v>141.02680525164118</v>
      </c>
      <c r="Q31" s="261">
        <f t="shared" si="2"/>
        <v>1</v>
      </c>
      <c r="S31" s="5">
        <f>IFERROR(INDEX('Input 3.1_2019VOL-YTD'!$C$4:$N$300, MATCH($C31,'Input 3.1_2019VOL-YTD'!$R$4:$R$300,0),MATCH(S$2,'Input 3.1_2019VOL-YTD'!$C$1:$N$1,0))/INDEX('Input 3_2019CUST-YTD'!$C$4:$N$300,MATCH($C31,'Input 3_2019CUST-YTD'!$S$4:$S$300,0),MATCH(S$2,'Input 3_2019CUST-YTD'!$C$1:$N$1,0)),0)</f>
        <v>117.97827896512935</v>
      </c>
      <c r="T31" s="5">
        <f>IFERROR(INDEX('Input 3.1_2019VOL-YTD'!$C$4:$N$300, MATCH($C31,'Input 3.1_2019VOL-YTD'!$R$4:$R$300,0),MATCH(T$2,'Input 3.1_2019VOL-YTD'!$C$1:$N$1,0))/INDEX('Input 3_2019CUST-YTD'!$C$4:$N$300,MATCH($C31,'Input 3_2019CUST-YTD'!$S$4:$S$300,0),MATCH(T$2,'Input 3_2019CUST-YTD'!$C$1:$N$1,0)),0)</f>
        <v>113.37295045045036</v>
      </c>
      <c r="U31" s="5">
        <f>IFERROR(INDEX('Input 3.1_2019VOL-YTD'!$C$4:$N$300, MATCH($C31,'Input 3.1_2019VOL-YTD'!$R$4:$R$300,0),MATCH(U$2,'Input 3.1_2019VOL-YTD'!$C$1:$N$1,0))/INDEX('Input 3_2019CUST-YTD'!$C$4:$N$300,MATCH($C31,'Input 3_2019CUST-YTD'!$S$4:$S$300,0),MATCH(U$2,'Input 3_2019CUST-YTD'!$C$1:$N$1,0)),0)</f>
        <v>94.436621621621583</v>
      </c>
      <c r="V31" s="5">
        <f>IFERROR(INDEX('Input 3.1_2019VOL-YTD'!$C$4:$N$300, MATCH($C31,'Input 3.1_2019VOL-YTD'!$R$4:$R$300,0),MATCH(V$2,'Input 3.1_2019VOL-YTD'!$C$1:$N$1,0))/INDEX('Input 3_2019CUST-YTD'!$C$4:$N$300,MATCH($C31,'Input 3_2019CUST-YTD'!$S$4:$S$300,0),MATCH(V$2,'Input 3_2019CUST-YTD'!$C$1:$N$1,0)),0)</f>
        <v>100.77523489932879</v>
      </c>
      <c r="W31" s="5">
        <f>IFERROR(INDEX('Input 3.1_2019VOL-YTD'!$C$4:$N$300, MATCH($C31,'Input 3.1_2019VOL-YTD'!$R$4:$R$300,0),MATCH(W$2,'Input 3.1_2019VOL-YTD'!$C$1:$N$1,0))/INDEX('Input 3_2019CUST-YTD'!$C$4:$N$300,MATCH($C31,'Input 3_2019CUST-YTD'!$S$4:$S$300,0),MATCH(W$2,'Input 3_2019CUST-YTD'!$C$1:$N$1,0)),0)</f>
        <v>85.559605855855978</v>
      </c>
      <c r="X31" s="5">
        <f>IFERROR(INDEX('Input 3.1_2019VOL-YTD'!$C$4:$N$300, MATCH($C31,'Input 3.1_2019VOL-YTD'!$R$4:$R$300,0),MATCH(X$2,'Input 3.1_2019VOL-YTD'!$C$1:$N$1,0))/INDEX('Input 3_2019CUST-YTD'!$C$4:$N$300,MATCH($C31,'Input 3_2019CUST-YTD'!$S$4:$S$300,0),MATCH(X$2,'Input 3_2019CUST-YTD'!$C$1:$N$1,0)),0)</f>
        <v>78.713585118376514</v>
      </c>
      <c r="Y31" s="5">
        <f>IFERROR(INDEX('Input 3.1_2019VOL-YTD'!$C$4:$N$300, MATCH($C31,'Input 3.1_2019VOL-YTD'!$R$4:$R$300,0),MATCH(Y$2,'Input 3.1_2019VOL-YTD'!$C$1:$N$1,0))/INDEX('Input 3_2019CUST-YTD'!$C$4:$N$300,MATCH($C31,'Input 3_2019CUST-YTD'!$S$4:$S$300,0),MATCH(Y$2,'Input 3_2019CUST-YTD'!$C$1:$N$1,0)),0)</f>
        <v>61.953434684684659</v>
      </c>
      <c r="Z31" s="5">
        <f>IFERROR(INDEX('Input 3.1_2019VOL-YTD'!$C$4:$N$300, MATCH($C31,'Input 3.1_2019VOL-YTD'!$R$4:$R$300,0),MATCH(Z$2,'Input 3.1_2019VOL-YTD'!$C$1:$N$1,0))/INDEX('Input 3_2019CUST-YTD'!$C$4:$N$300,MATCH($C31,'Input 3_2019CUST-YTD'!$S$4:$S$300,0),MATCH(Z$2,'Input 3_2019CUST-YTD'!$C$1:$N$1,0)),0)</f>
        <v>71.467943502824838</v>
      </c>
      <c r="AA31" s="5">
        <f>IFERROR(INDEX('Input 3.1_2019VOL-YTD'!$C$4:$N$300, MATCH($C31,'Input 3.1_2019VOL-YTD'!$R$4:$R$300,0),MATCH(AA$2,'Input 3.1_2019VOL-YTD'!$C$1:$N$1,0))/INDEX('Input 3_2019CUST-YTD'!$C$4:$N$300,MATCH($C31,'Input 3_2019CUST-YTD'!$S$4:$S$300,0),MATCH(AA$2,'Input 3_2019CUST-YTD'!$C$1:$N$1,0)),0)</f>
        <v>77.771483146067439</v>
      </c>
      <c r="AB31" s="5">
        <f>IFERROR(INDEX('Input 3.1_2019VOL-YTD'!$C$4:$N$300, MATCH($C31,'Input 3.1_2019VOL-YTD'!$R$4:$R$300,0),MATCH(AB$2,'Input 3.1_2019VOL-YTD'!$C$1:$N$1,0))/INDEX('Input 3_2019CUST-YTD'!$C$4:$N$300,MATCH($C31,'Input 3_2019CUST-YTD'!$S$4:$S$300,0),MATCH(AB$2,'Input 3_2019CUST-YTD'!$C$1:$N$1,0)),0)</f>
        <v>75.265228891149519</v>
      </c>
      <c r="AC31" s="5">
        <f>IFERROR(INDEX('Input 3.1_2019VOL-YTD'!$C$4:$N$300, MATCH($C31,'Input 3.1_2019VOL-YTD'!$R$4:$R$300,0),MATCH(AC$2,'Input 3.1_2019VOL-YTD'!$C$1:$N$1,0))/INDEX('Input 3_2019CUST-YTD'!$C$4:$N$300,MATCH($C31,'Input 3_2019CUST-YTD'!$S$4:$S$300,0),MATCH(AC$2,'Input 3_2019CUST-YTD'!$C$1:$N$1,0)),0)</f>
        <v>102.40652076318739</v>
      </c>
      <c r="AD31" s="5">
        <f>IFERROR(INDEX('Input 3.1_2019VOL-YTD'!$C$4:$N$300, MATCH($C31,'Input 3.1_2019VOL-YTD'!$R$4:$R$300,0),MATCH(AD$2,'Input 3.1_2019VOL-YTD'!$C$1:$N$1,0))/INDEX('Input 3_2019CUST-YTD'!$C$4:$N$300,MATCH($C31,'Input 3_2019CUST-YTD'!$S$4:$S$300,0),MATCH(AD$2,'Input 3_2019CUST-YTD'!$C$1:$N$1,0)),0)</f>
        <v>115.48807606263982</v>
      </c>
      <c r="AE31" s="272">
        <f>MAX(S31:AD31)</f>
        <v>117.97827896512935</v>
      </c>
      <c r="AF31" s="261">
        <f>INDEX($AH$2:$AS$2,MATCH(AE31,S31:AD31,0))</f>
        <v>1</v>
      </c>
      <c r="AH31" s="262">
        <f>IFERROR(INDEX('Input 4.1_2020VOL-YTD'!$C$4:$O$300, MATCH($C31,'Input 4.1_2020VOL-YTD'!$R$4:$R$300,0),MATCH(AH$2,'Input 4.1_2020VOL-YTD'!$C$1:$O$1,0))/INDEX('Input 4_2020CUST-YTD'!$C$4:O$300,MATCH($C31,'Input 4_2020CUST-YTD'!$S$4:$S$300,0),MATCH(AH$2,'Input 4_2020CUST-YTD'!$C$1:$O$1,0)),0)</f>
        <v>126.08586786114211</v>
      </c>
      <c r="AI31" s="262">
        <f>IFERROR(INDEX('Input 4.1_2020VOL-YTD'!$C$4:$O$300, MATCH($C31,'Input 4.1_2020VOL-YTD'!$R$4:$R$300,0),MATCH(AI$2,'Input 4.1_2020VOL-YTD'!$C$1:$O$1,0))/INDEX('Input 4_2020CUST-YTD'!$C$4:P$300,MATCH($C31,'Input 4_2020CUST-YTD'!$S$4:$S$300,0),MATCH(AI$2,'Input 4_2020CUST-YTD'!$C$1:$O$1,0)),0)</f>
        <v>118.7715801354403</v>
      </c>
      <c r="AJ31" s="262">
        <f>IFERROR(INDEX('Input 4.1_2020VOL-YTD'!$C$4:$O$300, MATCH($C31,'Input 4.1_2020VOL-YTD'!$R$4:$R$300,0),MATCH(AJ$2,'Input 4.1_2020VOL-YTD'!$C$1:$O$1,0))/INDEX('Input 4_2020CUST-YTD'!$C$4:Q$300,MATCH($C31,'Input 4_2020CUST-YTD'!$S$4:$S$300,0),MATCH(AJ$2,'Input 4_2020CUST-YTD'!$C$1:$O$1,0)),0)</f>
        <v>108.04521984216456</v>
      </c>
      <c r="AK31" s="262">
        <f>IFERROR(INDEX('Input 4.1_2020VOL-YTD'!$C$4:$O$300, MATCH($C31,'Input 4.1_2020VOL-YTD'!$R$4:$R$300,0),MATCH(AK$2,'Input 4.1_2020VOL-YTD'!$C$1:$O$1,0))/INDEX('Input 4_2020CUST-YTD'!$C$4:R$300,MATCH($C31,'Input 4_2020CUST-YTD'!$S$4:$S$300,0),MATCH(AK$2,'Input 4_2020CUST-YTD'!$C$1:$O$1,0)),0)</f>
        <v>62.255446428571425</v>
      </c>
      <c r="AL31" s="262">
        <f>IFERROR(INDEX('Input 4.1_2020VOL-YTD'!$C$4:$O$300, MATCH($C31,'Input 4.1_2020VOL-YTD'!$R$4:$R$300,0),MATCH(AL$2,'Input 4.1_2020VOL-YTD'!$C$1:$O$1,0))/INDEX('Input 4_2020CUST-YTD'!$C$4:S$300,MATCH($C31,'Input 4_2020CUST-YTD'!$S$4:$S$300,0),MATCH(AL$2,'Input 4_2020CUST-YTD'!$C$1:$O$1,0)),0)</f>
        <v>60.27391111111109</v>
      </c>
      <c r="AM31" s="262">
        <f>IFERROR(INDEX('Input 4.1_2020VOL-YTD'!$C$4:$O$300, MATCH($C31,'Input 4.1_2020VOL-YTD'!$R$4:$R$300,0),MATCH(AM$2,'Input 4.1_2020VOL-YTD'!$C$1:$O$1,0))/INDEX('Input 4_2020CUST-YTD'!$C$4:T$300,MATCH($C31,'Input 4_2020CUST-YTD'!$S$4:$S$300,0),MATCH(AM$2,'Input 4_2020CUST-YTD'!$C$1:$O$1,0)),0)</f>
        <v>62.72290109890114</v>
      </c>
      <c r="AN31" s="262">
        <f>IFERROR(INDEX('Input 4.1_2020VOL-YTD'!$C$4:$O$300, MATCH($C31,'Input 4.1_2020VOL-YTD'!$R$4:$R$300,0),MATCH(AN$2,'Input 4.1_2020VOL-YTD'!$C$1:$O$1,0))/INDEX('Input 4_2020CUST-YTD'!$C$4:U$300,MATCH($C31,'Input 4_2020CUST-YTD'!$S$4:$S$300,0),MATCH(AN$2,'Input 4_2020CUST-YTD'!$C$1:$O$1,0)),0)</f>
        <v>61.145240761478199</v>
      </c>
      <c r="AO31" s="262">
        <f>IFERROR(INDEX('Input 4.1_2020VOL-YTD'!$C$4:$O$300, MATCH($C31,'Input 4.1_2020VOL-YTD'!$R$4:$R$300,0),MATCH(AO$2,'Input 4.1_2020VOL-YTD'!$C$1:$O$1,0))/INDEX('Input 4_2020CUST-YTD'!$C$4:V$300,MATCH($C31,'Input 4_2020CUST-YTD'!$S$4:$S$300,0),MATCH(AO$2,'Input 4_2020CUST-YTD'!$C$1:$O$1,0)),0)</f>
        <v>64.209705549263774</v>
      </c>
      <c r="AP31" s="262">
        <f>IFERROR(INDEX('Input 4.1_2020VOL-YTD'!$C$4:$O$300, MATCH($C31,'Input 4.1_2020VOL-YTD'!$R$4:$R$300,0),MATCH(AP$2,'Input 4.1_2020VOL-YTD'!$C$1:$O$1,0))/INDEX('Input 4_2020CUST-YTD'!$C$4:W$300,MATCH($C31,'Input 4_2020CUST-YTD'!$S$4:$S$300,0),MATCH(AP$2,'Input 4_2020CUST-YTD'!$C$1:$O$1,0)),0)</f>
        <v>63.278957399103113</v>
      </c>
      <c r="AQ31" s="262">
        <f>IFERROR(INDEX('Input 4.1_2020VOL-YTD'!$C$4:$O$300, MATCH($C31,'Input 4.1_2020VOL-YTD'!$R$4:$R$300,0),MATCH(AQ$2,'Input 4.1_2020VOL-YTD'!$C$1:$O$1,0))/INDEX('Input 4_2020CUST-YTD'!$C$4:X$300,MATCH($C31,'Input 4_2020CUST-YTD'!$S$4:$S$300,0),MATCH(AQ$2,'Input 4_2020CUST-YTD'!$C$1:$O$1,0)),0)</f>
        <v>75.306879194630994</v>
      </c>
      <c r="AR31" s="262">
        <f>IFERROR(INDEX('Input 4.1_2020VOL-YTD'!$C$4:$O$300, MATCH($C31,'Input 4.1_2020VOL-YTD'!$R$4:$R$300,0),MATCH(AR$2,'Input 4.1_2020VOL-YTD'!$C$1:$O$1,0))/INDEX('Input 4_2020CUST-YTD'!$C$4:Y$300,MATCH($C31,'Input 4_2020CUST-YTD'!$S$4:$S$300,0),MATCH(AR$2,'Input 4_2020CUST-YTD'!$C$1:$O$1,0)),0)</f>
        <v>87.124546472564347</v>
      </c>
      <c r="AS31" s="262">
        <f>IFERROR(INDEX('Input 4.1_2020VOL-YTD'!$C$4:$O$300, MATCH($C31,'Input 4.1_2020VOL-YTD'!$R$4:$R$300,0),MATCH(AS$2,'Input 4.1_2020VOL-YTD'!$C$1:$O$1,0))/INDEX('Input 4_2020CUST-YTD'!$C$4:Z$300,MATCH($C31,'Input 4_2020CUST-YTD'!$S$4:$S$300,0),MATCH(AS$2,'Input 4_2020CUST-YTD'!$C$1:$O$1,0)),0)</f>
        <v>99.412562076749495</v>
      </c>
      <c r="AT31" s="190">
        <f t="shared" ref="AT31:AT45" si="10">MAX(AH31:AS31)</f>
        <v>126.08586786114211</v>
      </c>
      <c r="AU31" s="261">
        <f t="shared" ref="AU31:AU45" si="11">INDEX($AH$2:$AS$2,MATCH(AT31,AH31:AS31,0))</f>
        <v>1</v>
      </c>
      <c r="AW31" s="1">
        <f>IFERROR(INDEX('Input 5.1_2021VOL-YTD'!$C$3:$N$150, MATCH($C31,'Input 5.1_2021VOL-YTD'!$R$3:$R$150,0),MATCH(AW$2,'Input 5.1_2021VOL-YTD'!$C$1:$N$1,0))/INDEX('Input 5_2021CUST-YTD'!$C$3:$N$150,MATCH($C31,'Input 5_2021CUST-YTD'!$S$3:$S$150,0),MATCH(AW$2,'Input 5_2021CUST-YTD'!$C$1:$N$1,0)),0)</f>
        <v>133.92147356580415</v>
      </c>
      <c r="AX31" s="1">
        <f>IFERROR(INDEX('Input 5.1_2021VOL-YTD'!$C$3:$N$150, MATCH($C31,'Input 5.1_2021VOL-YTD'!$R$3:$R$150,0),MATCH(AX$2,'Input 5.1_2021VOL-YTD'!$C$1:$N$1,0))/INDEX('Input 5_2021CUST-YTD'!$C$3:$N$150,MATCH($C31,'Input 5_2021CUST-YTD'!$S$3:$S$150,0),MATCH(AX$2,'Input 5_2021CUST-YTD'!$C$1:$N$1,0)),0)</f>
        <v>100.53454853273146</v>
      </c>
      <c r="AY31" s="1">
        <f>IFERROR(INDEX('Input 5.1_2021VOL-YTD'!$C$3:$N$150, MATCH($C31,'Input 5.1_2021VOL-YTD'!$R$3:$R$150,0),MATCH(AY$2,'Input 5.1_2021VOL-YTD'!$C$1:$N$1,0))/INDEX('Input 5_2021CUST-YTD'!$C$3:$N$150,MATCH($C31,'Input 5_2021CUST-YTD'!$S$3:$S$150,0),MATCH(AY$2,'Input 5_2021CUST-YTD'!$C$1:$N$1,0)),0)</f>
        <v>114.64103370786509</v>
      </c>
      <c r="AZ31" s="1">
        <f>IFERROR(INDEX('Input 5.1_2021VOL-YTD'!$C$3:$N$150, MATCH($C31,'Input 5.1_2021VOL-YTD'!$R$3:$R$150,0),MATCH(AZ$2,'Input 5.1_2021VOL-YTD'!$C$1:$N$1,0))/INDEX('Input 5_2021CUST-YTD'!$C$3:$N$150,MATCH($C31,'Input 5_2021CUST-YTD'!$S$3:$S$150,0),MATCH(AZ$2,'Input 5_2021CUST-YTD'!$C$1:$N$1,0)),0)</f>
        <v>99.009604072398233</v>
      </c>
      <c r="BA31" s="1">
        <f>IFERROR(INDEX('Input 5.1_2021VOL-YTD'!$C$3:$N$150, MATCH($C31,'Input 5.1_2021VOL-YTD'!$R$3:$R$150,0),MATCH(BA$2,'Input 5.1_2021VOL-YTD'!$C$1:$N$1,0))/INDEX('Input 5_2021CUST-YTD'!$C$3:$N$150,MATCH($C31,'Input 5_2021CUST-YTD'!$S$3:$S$150,0),MATCH(BA$2,'Input 5_2021CUST-YTD'!$C$1:$N$1,0)),0)</f>
        <v>86.3408304891922</v>
      </c>
      <c r="BB31" s="1">
        <f>IFERROR(INDEX('Input 5.1_2021VOL-YTD'!$C$3:$N$150, MATCH($C31,'Input 5.1_2021VOL-YTD'!$R$3:$R$150,0),MATCH(BB$2,'Input 5.1_2021VOL-YTD'!$C$1:$N$1,0))/INDEX('Input 5_2021CUST-YTD'!$C$3:$N$150,MATCH($C31,'Input 5_2021CUST-YTD'!$S$3:$S$150,0),MATCH(BB$2,'Input 5_2021CUST-YTD'!$C$1:$N$1,0)),0)</f>
        <v>75.83110730593603</v>
      </c>
      <c r="BC31" s="1">
        <f>IFERROR(INDEX('Input 5.1_2021VOL-YTD'!$C$3:$N$150, MATCH($C31,'Input 5.1_2021VOL-YTD'!$R$3:$R$150,0),MATCH(BC$2,'Input 5.1_2021VOL-YTD'!$C$1:$N$1,0))/INDEX('Input 5_2021CUST-YTD'!$C$3:$N$150,MATCH($C31,'Input 5_2021CUST-YTD'!$S$3:$S$150,0),MATCH(BC$2,'Input 5_2021CUST-YTD'!$C$1:$N$1,0)),0)</f>
        <v>77.295503963759813</v>
      </c>
      <c r="BD31" s="1">
        <f>IFERROR(INDEX('Input 5.1_2021VOL-YTD'!$C$3:$N$150, MATCH($C31,'Input 5.1_2021VOL-YTD'!$R$3:$R$150,0),MATCH(BD$2,'Input 5.1_2021VOL-YTD'!$C$1:$N$1,0))/INDEX('Input 5_2021CUST-YTD'!$C$3:$N$150,MATCH($C31,'Input 5_2021CUST-YTD'!$S$3:$S$150,0),MATCH(BD$2,'Input 5_2021CUST-YTD'!$C$1:$N$1,0)),0)</f>
        <v>68.458540965207646</v>
      </c>
      <c r="BE31" s="1">
        <f>IFERROR(INDEX('Input 5.1_2021VOL-YTD'!$C$3:$N$150, MATCH($C31,'Input 5.1_2021VOL-YTD'!$R$3:$R$150,0),MATCH(BE$2,'Input 5.1_2021VOL-YTD'!$C$1:$N$1,0))/INDEX('Input 5_2021CUST-YTD'!$C$3:$N$150,MATCH($C31,'Input 5_2021CUST-YTD'!$S$3:$S$150,0),MATCH(BE$2,'Input 5_2021CUST-YTD'!$C$1:$N$1,0)),0)</f>
        <v>78.136274065685214</v>
      </c>
      <c r="BF31" s="1">
        <f>IFERROR(INDEX('Input 5.1_2021VOL-YTD'!$C$3:$N$150, MATCH($C31,'Input 5.1_2021VOL-YTD'!$R$3:$R$150,0),MATCH(BF$2,'Input 5.1_2021VOL-YTD'!$C$1:$N$1,0))/INDEX('Input 5_2021CUST-YTD'!$C$3:$N$150,MATCH($C31,'Input 5_2021CUST-YTD'!$S$3:$S$150,0),MATCH(BF$2,'Input 5_2021CUST-YTD'!$C$1:$N$1,0)),0)</f>
        <v>78.543822170900654</v>
      </c>
      <c r="BG31" s="1">
        <f>IFERROR(INDEX('Input 5.1_2021VOL-YTD'!$C$3:$N$150, MATCH($C31,'Input 5.1_2021VOL-YTD'!$R$3:$R$150,0),MATCH(BG$2,'Input 5.1_2021VOL-YTD'!$C$1:$N$1,0))/INDEX('Input 5_2021CUST-YTD'!$C$3:$N$150,MATCH($C31,'Input 5_2021CUST-YTD'!$S$3:$S$150,0),MATCH(BG$2,'Input 5_2021CUST-YTD'!$C$1:$N$1,0)),0)</f>
        <v>94.743012895662417</v>
      </c>
      <c r="BH31" s="1">
        <f>IFERROR(INDEX('Input 5.1_2021VOL-YTD'!$C$3:$N$150, MATCH($C31,'Input 5.1_2021VOL-YTD'!$R$3:$R$150,0),MATCH(BH$2,'Input 5.1_2021VOL-YTD'!$C$1:$N$1,0))/INDEX('Input 5_2021CUST-YTD'!$C$3:$N$150,MATCH($C31,'Input 5_2021CUST-YTD'!$S$3:$S$150,0),MATCH(BH$2,'Input 5_2021CUST-YTD'!$C$1:$N$1,0)),0)</f>
        <v>112.62567285382822</v>
      </c>
      <c r="BI31" s="190">
        <f t="shared" si="7"/>
        <v>133.92147356580415</v>
      </c>
      <c r="BJ31" s="261">
        <f t="shared" si="8"/>
        <v>1</v>
      </c>
    </row>
    <row r="32" spans="1:62">
      <c r="A32" s="261" t="s">
        <v>1245</v>
      </c>
      <c r="B32" s="261" t="s">
        <v>15</v>
      </c>
      <c r="C32" s="261" t="s">
        <v>41</v>
      </c>
      <c r="D32" s="5">
        <f>IFERROR(INDEX('Input 16.1_2018VOL-YTD'!$C$4:$N$300, MATCH($C32,'Input 16.1_2018VOL-YTD'!$R$4:$R$300,0),MATCH(D$2,'Input 16.1_2018VOL-YTD'!$C$1:$N$1,0))/INDEX('Input 16_2018CUST-YTD'!$D$4:$O$300,MATCH($C32,'Input 16_2018CUST-YTD'!$S$4:$S$300,0),MATCH(D$2,'Input 16_2018CUST-YTD'!$C$1:$O$1,0)),0)</f>
        <v>372.13218199608474</v>
      </c>
      <c r="E32" s="5">
        <f>IFERROR(INDEX('Input 16.1_2018VOL-YTD'!$C$4:$N$300, MATCH($C32,'Input 16.1_2018VOL-YTD'!$R$4:$R$300,0),MATCH(E$2,'Input 16.1_2018VOL-YTD'!$C$1:$N$1,0))/INDEX('Input 16_2018CUST-YTD'!$D$4:$O$300,MATCH($C32,'Input 16_2018CUST-YTD'!$S$4:$S$300,0),MATCH(E$2,'Input 16_2018CUST-YTD'!$C$1:$O$1,0)),0)</f>
        <v>367.52510214007827</v>
      </c>
      <c r="F32" s="5">
        <f>IFERROR(INDEX('Input 16.1_2018VOL-YTD'!$C$4:$N$300, MATCH($C32,'Input 16.1_2018VOL-YTD'!$R$4:$R$300,0),MATCH(F$2,'Input 16.1_2018VOL-YTD'!$C$1:$N$1,0))/INDEX('Input 16_2018CUST-YTD'!$D$4:$O$300,MATCH($C32,'Input 16_2018CUST-YTD'!$S$4:$S$300,0),MATCH(F$2,'Input 16_2018CUST-YTD'!$C$1:$O$1,0)),0)</f>
        <v>307.08401165614379</v>
      </c>
      <c r="G32" s="5">
        <f>IFERROR(INDEX('Input 16.1_2018VOL-YTD'!$C$4:$N$300, MATCH($C32,'Input 16.1_2018VOL-YTD'!$R$4:$R$300,0),MATCH(G$2,'Input 16.1_2018VOL-YTD'!$C$1:$N$1,0))/INDEX('Input 16_2018CUST-YTD'!$D$4:$O$300,MATCH($C32,'Input 16_2018CUST-YTD'!$S$4:$S$300,0),MATCH(G$2,'Input 16_2018CUST-YTD'!$C$1:$O$1,0)),0)</f>
        <v>310.06073572120005</v>
      </c>
      <c r="H32" s="5">
        <f>IFERROR(INDEX('Input 16.1_2018VOL-YTD'!$C$4:$N$300, MATCH($C32,'Input 16.1_2018VOL-YTD'!$R$4:$R$300,0),MATCH(H$2,'Input 16.1_2018VOL-YTD'!$C$1:$N$1,0))/INDEX('Input 16_2018CUST-YTD'!$D$4:$O$300,MATCH($C32,'Input 16_2018CUST-YTD'!$S$4:$S$300,0),MATCH(H$2,'Input 16_2018CUST-YTD'!$C$1:$O$1,0)),0)</f>
        <v>257.85223684210496</v>
      </c>
      <c r="I32" s="5">
        <f>IFERROR(INDEX('Input 16.1_2018VOL-YTD'!$C$4:$N$300, MATCH($C32,'Input 16.1_2018VOL-YTD'!$R$4:$R$300,0),MATCH(I$2,'Input 16.1_2018VOL-YTD'!$C$1:$N$1,0))/INDEX('Input 16_2018CUST-YTD'!$D$4:$O$300,MATCH($C32,'Input 16_2018CUST-YTD'!$S$4:$S$300,0),MATCH(I$2,'Input 16_2018CUST-YTD'!$C$1:$O$1,0)),0)</f>
        <v>249.62303458353725</v>
      </c>
      <c r="J32" s="5">
        <f>IFERROR(INDEX('Input 16.1_2018VOL-YTD'!$C$4:$N$300, MATCH($C32,'Input 16.1_2018VOL-YTD'!$R$4:$R$300,0),MATCH(J$2,'Input 16.1_2018VOL-YTD'!$C$1:$N$1,0))/INDEX('Input 16_2018CUST-YTD'!$D$4:$O$300,MATCH($C32,'Input 16_2018CUST-YTD'!$S$4:$S$300,0),MATCH(J$2,'Input 16_2018CUST-YTD'!$C$1:$O$1,0)),0)</f>
        <v>215.26495635305494</v>
      </c>
      <c r="K32" s="5">
        <f>IFERROR(INDEX('Input 16.1_2018VOL-YTD'!$C$4:$N$300, MATCH($C32,'Input 16.1_2018VOL-YTD'!$R$4:$R$300,0),MATCH(K$2,'Input 16.1_2018VOL-YTD'!$C$1:$N$1,0))/INDEX('Input 16_2018CUST-YTD'!$D$4:$O$300,MATCH($C32,'Input 16_2018CUST-YTD'!$S$4:$S$300,0),MATCH(K$2,'Input 16_2018CUST-YTD'!$C$1:$O$1,0)),0)</f>
        <v>214.50317191283324</v>
      </c>
      <c r="L32" s="5">
        <f>IFERROR(INDEX('Input 16.1_2018VOL-YTD'!$C$4:$N$300, MATCH($C32,'Input 16.1_2018VOL-YTD'!$R$4:$R$300,0),MATCH(L$2,'Input 16.1_2018VOL-YTD'!$C$1:$N$1,0))/INDEX('Input 16_2018CUST-YTD'!$D$4:$O$300,MATCH($C32,'Input 16_2018CUST-YTD'!$S$4:$S$300,0),MATCH(L$2,'Input 16_2018CUST-YTD'!$C$1:$O$1,0)),0)</f>
        <v>225.51800790904625</v>
      </c>
      <c r="M32" s="5">
        <f>IFERROR(INDEX('Input 16.1_2018VOL-YTD'!$C$4:$N$300, MATCH($C32,'Input 16.1_2018VOL-YTD'!$R$4:$R$300,0),MATCH(M$2,'Input 16.1_2018VOL-YTD'!$C$1:$N$1,0))/INDEX('Input 16_2018CUST-YTD'!$D$4:$O$300,MATCH($C32,'Input 16_2018CUST-YTD'!$S$4:$S$300,0),MATCH(M$2,'Input 16_2018CUST-YTD'!$C$1:$O$1,0)),0)</f>
        <v>204.13364665354266</v>
      </c>
      <c r="N32" s="5">
        <f>IFERROR(INDEX('Input 16.1_2018VOL-YTD'!$C$4:$N$300, MATCH($C32,'Input 16.1_2018VOL-YTD'!$R$4:$R$300,0),MATCH(N$2,'Input 16.1_2018VOL-YTD'!$C$1:$N$1,0))/INDEX('Input 16_2018CUST-YTD'!$D$4:$O$300,MATCH($C32,'Input 16_2018CUST-YTD'!$S$4:$S$300,0),MATCH(N$2,'Input 16_2018CUST-YTD'!$C$1:$O$1,0)),0)</f>
        <v>258.77468765371367</v>
      </c>
      <c r="O32" s="5">
        <f>IFERROR(INDEX('Input 16.1_2018VOL-YTD'!$C$4:$N$300, MATCH($C32,'Input 16.1_2018VOL-YTD'!$R$4:$R$300,0),MATCH(O$2,'Input 16.1_2018VOL-YTD'!$C$1:$N$1,0))/INDEX('Input 16_2018CUST-YTD'!$D$4:$O$300,MATCH($C32,'Input 16_2018CUST-YTD'!$S$4:$S$300,0),MATCH(O$2,'Input 16_2018CUST-YTD'!$C$1:$O$1,0)),0)</f>
        <v>330.65251250355817</v>
      </c>
      <c r="P32" s="271">
        <f t="shared" si="1"/>
        <v>372.13218199608474</v>
      </c>
      <c r="Q32" s="261">
        <f t="shared" si="2"/>
        <v>1</v>
      </c>
      <c r="S32" s="5">
        <f>IFERROR(INDEX('Input 3.1_2019VOL-YTD'!$C$4:$N$300, MATCH($C32,'Input 3.1_2019VOL-YTD'!$R$4:$R$300,0),MATCH(S$2,'Input 3.1_2019VOL-YTD'!$C$1:$N$1,0))/INDEX('Input 3_2019CUST-YTD'!$C$4:$N$300,MATCH($C32,'Input 3_2019CUST-YTD'!$S$4:$S$300,0),MATCH(S$2,'Input 3_2019CUST-YTD'!$C$1:$N$1,0)),0)</f>
        <v>364.16759999999971</v>
      </c>
      <c r="T32" s="5">
        <f>IFERROR(INDEX('Input 3.1_2019VOL-YTD'!$C$4:$N$300, MATCH($C32,'Input 3.1_2019VOL-YTD'!$R$4:$R$300,0),MATCH(T$2,'Input 3.1_2019VOL-YTD'!$C$1:$N$1,0))/INDEX('Input 3_2019CUST-YTD'!$C$4:$N$300,MATCH($C32,'Input 3_2019CUST-YTD'!$S$4:$S$300,0),MATCH(T$2,'Input 3_2019CUST-YTD'!$C$1:$N$1,0)),0)</f>
        <v>349.29841901066874</v>
      </c>
      <c r="U32" s="5">
        <f>IFERROR(INDEX('Input 3.1_2019VOL-YTD'!$C$4:$N$300, MATCH($C32,'Input 3.1_2019VOL-YTD'!$R$4:$R$300,0),MATCH(U$2,'Input 3.1_2019VOL-YTD'!$C$1:$N$1,0))/INDEX('Input 3_2019CUST-YTD'!$C$4:$N$300,MATCH($C32,'Input 3_2019CUST-YTD'!$S$4:$S$300,0),MATCH(U$2,'Input 3_2019CUST-YTD'!$C$1:$N$1,0)),0)</f>
        <v>297.86580456976179</v>
      </c>
      <c r="V32" s="5">
        <f>IFERROR(INDEX('Input 3.1_2019VOL-YTD'!$C$4:$N$300, MATCH($C32,'Input 3.1_2019VOL-YTD'!$R$4:$R$300,0),MATCH(V$2,'Input 3.1_2019VOL-YTD'!$C$1:$N$1,0))/INDEX('Input 3_2019CUST-YTD'!$C$4:$N$300,MATCH($C32,'Input 3_2019CUST-YTD'!$S$4:$S$300,0),MATCH(V$2,'Input 3_2019CUST-YTD'!$C$1:$N$1,0)),0)</f>
        <v>286.75032739528189</v>
      </c>
      <c r="W32" s="5">
        <f>IFERROR(INDEX('Input 3.1_2019VOL-YTD'!$C$4:$N$300, MATCH($C32,'Input 3.1_2019VOL-YTD'!$R$4:$R$300,0),MATCH(W$2,'Input 3.1_2019VOL-YTD'!$C$1:$N$1,0))/INDEX('Input 3_2019CUST-YTD'!$C$4:$N$300,MATCH($C32,'Input 3_2019CUST-YTD'!$S$4:$S$300,0),MATCH(W$2,'Input 3_2019CUST-YTD'!$C$1:$N$1,0)),0)</f>
        <v>252.86596080305949</v>
      </c>
      <c r="X32" s="5">
        <f>IFERROR(INDEX('Input 3.1_2019VOL-YTD'!$C$4:$N$300, MATCH($C32,'Input 3.1_2019VOL-YTD'!$R$4:$R$300,0),MATCH(X$2,'Input 3.1_2019VOL-YTD'!$C$1:$N$1,0))/INDEX('Input 3_2019CUST-YTD'!$C$4:$N$300,MATCH($C32,'Input 3_2019CUST-YTD'!$S$4:$S$300,0),MATCH(X$2,'Input 3_2019CUST-YTD'!$C$1:$N$1,0)),0)</f>
        <v>237.23971360381879</v>
      </c>
      <c r="Y32" s="5">
        <f>IFERROR(INDEX('Input 3.1_2019VOL-YTD'!$C$4:$N$300, MATCH($C32,'Input 3.1_2019VOL-YTD'!$R$4:$R$300,0),MATCH(Y$2,'Input 3.1_2019VOL-YTD'!$C$1:$N$1,0))/INDEX('Input 3_2019CUST-YTD'!$C$4:$N$300,MATCH($C32,'Input 3_2019CUST-YTD'!$S$4:$S$300,0),MATCH(Y$2,'Input 3_2019CUST-YTD'!$C$1:$N$1,0)),0)</f>
        <v>176.08423777564747</v>
      </c>
      <c r="Z32" s="5">
        <f>IFERROR(INDEX('Input 3.1_2019VOL-YTD'!$C$4:$N$300, MATCH($C32,'Input 3.1_2019VOL-YTD'!$R$4:$R$300,0),MATCH(Z$2,'Input 3.1_2019VOL-YTD'!$C$1:$N$1,0))/INDEX('Input 3_2019CUST-YTD'!$C$4:$N$300,MATCH($C32,'Input 3_2019CUST-YTD'!$S$4:$S$300,0),MATCH(Z$2,'Input 3_2019CUST-YTD'!$C$1:$N$1,0)),0)</f>
        <v>217.02614394661526</v>
      </c>
      <c r="AA32" s="5">
        <f>IFERROR(INDEX('Input 3.1_2019VOL-YTD'!$C$4:$N$300, MATCH($C32,'Input 3.1_2019VOL-YTD'!$R$4:$R$300,0),MATCH(AA$2,'Input 3.1_2019VOL-YTD'!$C$1:$N$1,0))/INDEX('Input 3_2019CUST-YTD'!$C$4:$N$300,MATCH($C32,'Input 3_2019CUST-YTD'!$S$4:$S$300,0),MATCH(AA$2,'Input 3_2019CUST-YTD'!$C$1:$N$1,0)),0)</f>
        <v>218.67449571836349</v>
      </c>
      <c r="AB32" s="5">
        <f>IFERROR(INDEX('Input 3.1_2019VOL-YTD'!$C$4:$N$300, MATCH($C32,'Input 3.1_2019VOL-YTD'!$R$4:$R$300,0),MATCH(AB$2,'Input 3.1_2019VOL-YTD'!$C$1:$N$1,0))/INDEX('Input 3_2019CUST-YTD'!$C$4:$N$300,MATCH($C32,'Input 3_2019CUST-YTD'!$S$4:$S$300,0),MATCH(AB$2,'Input 3_2019CUST-YTD'!$C$1:$N$1,0)),0)</f>
        <v>235.28489021956054</v>
      </c>
      <c r="AC32" s="5">
        <f>IFERROR(INDEX('Input 3.1_2019VOL-YTD'!$C$4:$N$300, MATCH($C32,'Input 3.1_2019VOL-YTD'!$R$4:$R$300,0),MATCH(AC$2,'Input 3.1_2019VOL-YTD'!$C$1:$N$1,0))/INDEX('Input 3_2019CUST-YTD'!$C$4:$N$300,MATCH($C32,'Input 3_2019CUST-YTD'!$S$4:$S$300,0),MATCH(AC$2,'Input 3_2019CUST-YTD'!$C$1:$N$1,0)),0)</f>
        <v>263.27598113207546</v>
      </c>
      <c r="AD32" s="5">
        <f>IFERROR(INDEX('Input 3.1_2019VOL-YTD'!$C$4:$N$300, MATCH($C32,'Input 3.1_2019VOL-YTD'!$R$4:$R$300,0),MATCH(AD$2,'Input 3.1_2019VOL-YTD'!$C$1:$N$1,0))/INDEX('Input 3_2019CUST-YTD'!$C$4:$N$300,MATCH($C32,'Input 3_2019CUST-YTD'!$S$4:$S$300,0),MATCH(AD$2,'Input 3_2019CUST-YTD'!$C$1:$N$1,0)),0)</f>
        <v>325.26805280528066</v>
      </c>
      <c r="AE32" s="272">
        <f t="shared" ref="AE32:AE49" si="12">MAX(S32:AD32)</f>
        <v>364.16759999999971</v>
      </c>
      <c r="AF32" s="261">
        <f t="shared" ref="AF32:AF49" si="13">INDEX($AH$2:$AS$2,MATCH(AE32,S32:AD32,0))</f>
        <v>1</v>
      </c>
      <c r="AH32" s="262">
        <f>IFERROR(INDEX('Input 4.1_2020VOL-YTD'!$C$4:$O$300, MATCH($C32,'Input 4.1_2020VOL-YTD'!$R$4:$R$300,0),MATCH(AH$2,'Input 4.1_2020VOL-YTD'!$C$1:$O$1,0))/INDEX('Input 4_2020CUST-YTD'!$C$4:O$300,MATCH($C32,'Input 4_2020CUST-YTD'!$S$4:$S$300,0),MATCH(AH$2,'Input 4_2020CUST-YTD'!$C$1:$O$1,0)),0)</f>
        <v>353.48441838649194</v>
      </c>
      <c r="AI32" s="262">
        <f>IFERROR(INDEX('Input 4.1_2020VOL-YTD'!$C$4:$O$300, MATCH($C32,'Input 4.1_2020VOL-YTD'!$R$4:$R$300,0),MATCH(AI$2,'Input 4.1_2020VOL-YTD'!$C$1:$O$1,0))/INDEX('Input 4_2020CUST-YTD'!$C$4:P$300,MATCH($C32,'Input 4_2020CUST-YTD'!$S$4:$S$300,0),MATCH(AI$2,'Input 4_2020CUST-YTD'!$C$1:$O$1,0)),0)</f>
        <v>334.62228127939858</v>
      </c>
      <c r="AJ32" s="262">
        <f>IFERROR(INDEX('Input 4.1_2020VOL-YTD'!$C$4:$O$300, MATCH($C32,'Input 4.1_2020VOL-YTD'!$R$4:$R$300,0),MATCH(AJ$2,'Input 4.1_2020VOL-YTD'!$C$1:$O$1,0))/INDEX('Input 4_2020CUST-YTD'!$C$4:Q$300,MATCH($C32,'Input 4_2020CUST-YTD'!$S$4:$S$300,0),MATCH(AJ$2,'Input 4_2020CUST-YTD'!$C$1:$O$1,0)),0)</f>
        <v>297.22115222482358</v>
      </c>
      <c r="AK32" s="262">
        <f>IFERROR(INDEX('Input 4.1_2020VOL-YTD'!$C$4:$O$300, MATCH($C32,'Input 4.1_2020VOL-YTD'!$R$4:$R$300,0),MATCH(AK$2,'Input 4.1_2020VOL-YTD'!$C$1:$O$1,0))/INDEX('Input 4_2020CUST-YTD'!$C$4:R$300,MATCH($C32,'Input 4_2020CUST-YTD'!$S$4:$S$300,0),MATCH(AK$2,'Input 4_2020CUST-YTD'!$C$1:$O$1,0)),0)</f>
        <v>194.57618088097476</v>
      </c>
      <c r="AL32" s="262">
        <f>IFERROR(INDEX('Input 4.1_2020VOL-YTD'!$C$4:$O$300, MATCH($C32,'Input 4.1_2020VOL-YTD'!$R$4:$R$300,0),MATCH(AL$2,'Input 4.1_2020VOL-YTD'!$C$1:$O$1,0))/INDEX('Input 4_2020CUST-YTD'!$C$4:S$300,MATCH($C32,'Input 4_2020CUST-YTD'!$S$4:$S$300,0),MATCH(AL$2,'Input 4_2020CUST-YTD'!$C$1:$O$1,0)),0)</f>
        <v>174.50994776828128</v>
      </c>
      <c r="AM32" s="262">
        <f>IFERROR(INDEX('Input 4.1_2020VOL-YTD'!$C$4:$O$300, MATCH($C32,'Input 4.1_2020VOL-YTD'!$R$4:$R$300,0),MATCH(AM$2,'Input 4.1_2020VOL-YTD'!$C$1:$O$1,0))/INDEX('Input 4_2020CUST-YTD'!$C$4:T$300,MATCH($C32,'Input 4_2020CUST-YTD'!$S$4:$S$300,0),MATCH(AM$2,'Input 4_2020CUST-YTD'!$C$1:$O$1,0)),0)</f>
        <v>176.29986736144011</v>
      </c>
      <c r="AN32" s="262">
        <f>IFERROR(INDEX('Input 4.1_2020VOL-YTD'!$C$4:$O$300, MATCH($C32,'Input 4.1_2020VOL-YTD'!$R$4:$R$300,0),MATCH(AN$2,'Input 4.1_2020VOL-YTD'!$C$1:$O$1,0))/INDEX('Input 4_2020CUST-YTD'!$C$4:U$300,MATCH($C32,'Input 4_2020CUST-YTD'!$S$4:$S$300,0),MATCH(AN$2,'Input 4_2020CUST-YTD'!$C$1:$O$1,0)),0)</f>
        <v>187.46224451703202</v>
      </c>
      <c r="AO32" s="262">
        <f>IFERROR(INDEX('Input 4.1_2020VOL-YTD'!$C$4:$O$300, MATCH($C32,'Input 4.1_2020VOL-YTD'!$R$4:$R$300,0),MATCH(AO$2,'Input 4.1_2020VOL-YTD'!$C$1:$O$1,0))/INDEX('Input 4_2020CUST-YTD'!$C$4:V$300,MATCH($C32,'Input 4_2020CUST-YTD'!$S$4:$S$300,0),MATCH(AO$2,'Input 4_2020CUST-YTD'!$C$1:$O$1,0)),0)</f>
        <v>179.47135173058945</v>
      </c>
      <c r="AP32" s="262">
        <f>IFERROR(INDEX('Input 4.1_2020VOL-YTD'!$C$4:$O$300, MATCH($C32,'Input 4.1_2020VOL-YTD'!$R$4:$R$300,0),MATCH(AP$2,'Input 4.1_2020VOL-YTD'!$C$1:$O$1,0))/INDEX('Input 4_2020CUST-YTD'!$C$4:W$300,MATCH($C32,'Input 4_2020CUST-YTD'!$S$4:$S$300,0),MATCH(AP$2,'Input 4_2020CUST-YTD'!$C$1:$O$1,0)),0)</f>
        <v>181.85508212106922</v>
      </c>
      <c r="AQ32" s="262">
        <f>IFERROR(INDEX('Input 4.1_2020VOL-YTD'!$C$4:$O$300, MATCH($C32,'Input 4.1_2020VOL-YTD'!$R$4:$R$300,0),MATCH(AQ$2,'Input 4.1_2020VOL-YTD'!$C$1:$O$1,0))/INDEX('Input 4_2020CUST-YTD'!$C$4:X$300,MATCH($C32,'Input 4_2020CUST-YTD'!$S$4:$S$300,0),MATCH(AQ$2,'Input 4_2020CUST-YTD'!$C$1:$O$1,0)),0)</f>
        <v>194.05651282051275</v>
      </c>
      <c r="AR32" s="262">
        <f>IFERROR(INDEX('Input 4.1_2020VOL-YTD'!$C$4:$O$300, MATCH($C32,'Input 4.1_2020VOL-YTD'!$R$4:$R$300,0),MATCH(AR$2,'Input 4.1_2020VOL-YTD'!$C$1:$O$1,0))/INDEX('Input 4_2020CUST-YTD'!$C$4:Y$300,MATCH($C32,'Input 4_2020CUST-YTD'!$S$4:$S$300,0),MATCH(AR$2,'Input 4_2020CUST-YTD'!$C$1:$O$1,0)),0)</f>
        <v>228.01153203342611</v>
      </c>
      <c r="AS32" s="262">
        <f>IFERROR(INDEX('Input 4.1_2020VOL-YTD'!$C$4:$O$300, MATCH($C32,'Input 4.1_2020VOL-YTD'!$R$4:$R$300,0),MATCH(AS$2,'Input 4.1_2020VOL-YTD'!$C$1:$O$1,0))/INDEX('Input 4_2020CUST-YTD'!$C$4:Z$300,MATCH($C32,'Input 4_2020CUST-YTD'!$S$4:$S$300,0),MATCH(AS$2,'Input 4_2020CUST-YTD'!$C$1:$O$1,0)),0)</f>
        <v>289.56329939842652</v>
      </c>
      <c r="AT32" s="190">
        <f t="shared" si="10"/>
        <v>353.48441838649194</v>
      </c>
      <c r="AU32" s="261">
        <f t="shared" si="11"/>
        <v>1</v>
      </c>
      <c r="AW32" s="1">
        <f>IFERROR(INDEX('Input 5.1_2021VOL-YTD'!$C$3:$N$150, MATCH($C32,'Input 5.1_2021VOL-YTD'!$R$3:$R$150,0),MATCH(AW$2,'Input 5.1_2021VOL-YTD'!$C$1:$N$1,0))/INDEX('Input 5_2021CUST-YTD'!$C$3:$N$150,MATCH($C32,'Input 5_2021CUST-YTD'!$S$3:$S$150,0),MATCH(AW$2,'Input 5_2021CUST-YTD'!$C$1:$N$1,0)),0)</f>
        <v>345.30090991810704</v>
      </c>
      <c r="AX32" s="1">
        <f>IFERROR(INDEX('Input 5.1_2021VOL-YTD'!$C$3:$N$150, MATCH($C32,'Input 5.1_2021VOL-YTD'!$R$3:$R$150,0),MATCH(AX$2,'Input 5.1_2021VOL-YTD'!$C$1:$N$1,0))/INDEX('Input 5_2021CUST-YTD'!$C$3:$N$150,MATCH($C32,'Input 5_2021CUST-YTD'!$S$3:$S$150,0),MATCH(AX$2,'Input 5_2021CUST-YTD'!$C$1:$N$1,0)),0)</f>
        <v>296.21102050113871</v>
      </c>
      <c r="AY32" s="1">
        <f>IFERROR(INDEX('Input 5.1_2021VOL-YTD'!$C$3:$N$150, MATCH($C32,'Input 5.1_2021VOL-YTD'!$R$3:$R$150,0),MATCH(AY$2,'Input 5.1_2021VOL-YTD'!$C$1:$N$1,0))/INDEX('Input 5_2021CUST-YTD'!$C$3:$N$150,MATCH($C32,'Input 5_2021CUST-YTD'!$S$3:$S$150,0),MATCH(AY$2,'Input 5_2021CUST-YTD'!$C$1:$N$1,0)),0)</f>
        <v>274.53520291837668</v>
      </c>
      <c r="AZ32" s="1">
        <f>IFERROR(INDEX('Input 5.1_2021VOL-YTD'!$C$3:$N$150, MATCH($C32,'Input 5.1_2021VOL-YTD'!$R$3:$R$150,0),MATCH(AZ$2,'Input 5.1_2021VOL-YTD'!$C$1:$N$1,0))/INDEX('Input 5_2021CUST-YTD'!$C$3:$N$150,MATCH($C32,'Input 5_2021CUST-YTD'!$S$3:$S$150,0),MATCH(AZ$2,'Input 5_2021CUST-YTD'!$C$1:$N$1,0)),0)</f>
        <v>273.41578971324503</v>
      </c>
      <c r="BA32" s="1">
        <f>IFERROR(INDEX('Input 5.1_2021VOL-YTD'!$C$3:$N$150, MATCH($C32,'Input 5.1_2021VOL-YTD'!$R$3:$R$150,0),MATCH(BA$2,'Input 5.1_2021VOL-YTD'!$C$1:$N$1,0))/INDEX('Input 5_2021CUST-YTD'!$C$3:$N$150,MATCH($C32,'Input 5_2021CUST-YTD'!$S$3:$S$150,0),MATCH(BA$2,'Input 5_2021CUST-YTD'!$C$1:$N$1,0)),0)</f>
        <v>241.91763313609468</v>
      </c>
      <c r="BB32" s="1">
        <f>IFERROR(INDEX('Input 5.1_2021VOL-YTD'!$C$3:$N$150, MATCH($C32,'Input 5.1_2021VOL-YTD'!$R$3:$R$150,0),MATCH(BB$2,'Input 5.1_2021VOL-YTD'!$C$1:$N$1,0))/INDEX('Input 5_2021CUST-YTD'!$C$3:$N$150,MATCH($C32,'Input 5_2021CUST-YTD'!$S$3:$S$150,0),MATCH(BB$2,'Input 5_2021CUST-YTD'!$C$1:$N$1,0)),0)</f>
        <v>211.64257452574557</v>
      </c>
      <c r="BC32" s="1">
        <f>IFERROR(INDEX('Input 5.1_2021VOL-YTD'!$C$3:$N$150, MATCH($C32,'Input 5.1_2021VOL-YTD'!$R$3:$R$150,0),MATCH(BC$2,'Input 5.1_2021VOL-YTD'!$C$1:$N$1,0))/INDEX('Input 5_2021CUST-YTD'!$C$3:$N$150,MATCH($C32,'Input 5_2021CUST-YTD'!$S$3:$S$150,0),MATCH(BC$2,'Input 5_2021CUST-YTD'!$C$1:$N$1,0)),0)</f>
        <v>217.87575716234633</v>
      </c>
      <c r="BD32" s="1">
        <f>IFERROR(INDEX('Input 5.1_2021VOL-YTD'!$C$3:$N$150, MATCH($C32,'Input 5.1_2021VOL-YTD'!$R$3:$R$150,0),MATCH(BD$2,'Input 5.1_2021VOL-YTD'!$C$1:$N$1,0))/INDEX('Input 5_2021CUST-YTD'!$C$3:$N$150,MATCH($C32,'Input 5_2021CUST-YTD'!$S$3:$S$150,0),MATCH(BD$2,'Input 5_2021CUST-YTD'!$C$1:$N$1,0)),0)</f>
        <v>197.79416781292929</v>
      </c>
      <c r="BE32" s="1">
        <f>IFERROR(INDEX('Input 5.1_2021VOL-YTD'!$C$3:$N$150, MATCH($C32,'Input 5.1_2021VOL-YTD'!$R$3:$R$150,0),MATCH(BE$2,'Input 5.1_2021VOL-YTD'!$C$1:$N$1,0))/INDEX('Input 5_2021CUST-YTD'!$C$3:$N$150,MATCH($C32,'Input 5_2021CUST-YTD'!$S$3:$S$150,0),MATCH(BE$2,'Input 5_2021CUST-YTD'!$C$1:$N$1,0)),0)</f>
        <v>211.69358974358931</v>
      </c>
      <c r="BF32" s="1">
        <f>IFERROR(INDEX('Input 5.1_2021VOL-YTD'!$C$3:$N$150, MATCH($C32,'Input 5.1_2021VOL-YTD'!$R$3:$R$150,0),MATCH(BF$2,'Input 5.1_2021VOL-YTD'!$C$1:$N$1,0))/INDEX('Input 5_2021CUST-YTD'!$C$3:$N$150,MATCH($C32,'Input 5_2021CUST-YTD'!$S$3:$S$150,0),MATCH(BF$2,'Input 5_2021CUST-YTD'!$C$1:$N$1,0)),0)</f>
        <v>214.94743755781658</v>
      </c>
      <c r="BG32" s="1">
        <f>IFERROR(INDEX('Input 5.1_2021VOL-YTD'!$C$3:$N$150, MATCH($C32,'Input 5.1_2021VOL-YTD'!$R$3:$R$150,0),MATCH(BG$2,'Input 5.1_2021VOL-YTD'!$C$1:$N$1,0))/INDEX('Input 5_2021CUST-YTD'!$C$3:$N$150,MATCH($C32,'Input 5_2021CUST-YTD'!$S$3:$S$150,0),MATCH(BG$2,'Input 5_2021CUST-YTD'!$C$1:$N$1,0)),0)</f>
        <v>244.18783471837435</v>
      </c>
      <c r="BH32" s="1">
        <f>IFERROR(INDEX('Input 5.1_2021VOL-YTD'!$C$3:$N$150, MATCH($C32,'Input 5.1_2021VOL-YTD'!$R$3:$R$150,0),MATCH(BH$2,'Input 5.1_2021VOL-YTD'!$C$1:$N$1,0))/INDEX('Input 5_2021CUST-YTD'!$C$3:$N$150,MATCH($C32,'Input 5_2021CUST-YTD'!$S$3:$S$150,0),MATCH(BH$2,'Input 5_2021CUST-YTD'!$C$1:$N$1,0)),0)</f>
        <v>297.55976014760074</v>
      </c>
      <c r="BI32" s="190">
        <f t="shared" si="7"/>
        <v>345.30090991810704</v>
      </c>
      <c r="BJ32" s="261">
        <f t="shared" si="8"/>
        <v>1</v>
      </c>
    </row>
    <row r="33" spans="1:62">
      <c r="A33" s="261" t="s">
        <v>1245</v>
      </c>
      <c r="B33" s="261" t="s">
        <v>15</v>
      </c>
      <c r="C33" s="261" t="s">
        <v>39</v>
      </c>
      <c r="D33" s="5">
        <f>IFERROR(INDEX('Input 16.1_2018VOL-YTD'!$C$4:$N$300, MATCH($C33,'Input 16.1_2018VOL-YTD'!$R$4:$R$300,0),MATCH(D$2,'Input 16.1_2018VOL-YTD'!$C$1:$N$1,0))/INDEX('Input 16_2018CUST-YTD'!$D$4:$O$300,MATCH($C33,'Input 16_2018CUST-YTD'!$S$4:$S$300,0),MATCH(D$2,'Input 16_2018CUST-YTD'!$C$1:$O$1,0)),0)</f>
        <v>209.95725490196079</v>
      </c>
      <c r="E33" s="5">
        <f>IFERROR(INDEX('Input 16.1_2018VOL-YTD'!$C$4:$N$300, MATCH($C33,'Input 16.1_2018VOL-YTD'!$R$4:$R$300,0),MATCH(E$2,'Input 16.1_2018VOL-YTD'!$C$1:$N$1,0))/INDEX('Input 16_2018CUST-YTD'!$D$4:$O$300,MATCH($C33,'Input 16_2018CUST-YTD'!$S$4:$S$300,0),MATCH(E$2,'Input 16_2018CUST-YTD'!$C$1:$O$1,0)),0)</f>
        <v>198.94963585434178</v>
      </c>
      <c r="F33" s="5">
        <f>IFERROR(INDEX('Input 16.1_2018VOL-YTD'!$C$4:$N$300, MATCH($C33,'Input 16.1_2018VOL-YTD'!$R$4:$R$300,0),MATCH(F$2,'Input 16.1_2018VOL-YTD'!$C$1:$N$1,0))/INDEX('Input 16_2018CUST-YTD'!$D$4:$O$300,MATCH($C33,'Input 16_2018CUST-YTD'!$S$4:$S$300,0),MATCH(F$2,'Input 16_2018CUST-YTD'!$C$1:$O$1,0)),0)</f>
        <v>176.37939130434796</v>
      </c>
      <c r="G33" s="5">
        <f>IFERROR(INDEX('Input 16.1_2018VOL-YTD'!$C$4:$N$300, MATCH($C33,'Input 16.1_2018VOL-YTD'!$R$4:$R$300,0),MATCH(G$2,'Input 16.1_2018VOL-YTD'!$C$1:$N$1,0))/INDEX('Input 16_2018CUST-YTD'!$D$4:$O$300,MATCH($C33,'Input 16_2018CUST-YTD'!$S$4:$S$300,0),MATCH(G$2,'Input 16_2018CUST-YTD'!$C$1:$O$1,0)),0)</f>
        <v>177.86979885057471</v>
      </c>
      <c r="H33" s="5">
        <f>IFERROR(INDEX('Input 16.1_2018VOL-YTD'!$C$4:$N$300, MATCH($C33,'Input 16.1_2018VOL-YTD'!$R$4:$R$300,0),MATCH(H$2,'Input 16.1_2018VOL-YTD'!$C$1:$N$1,0))/INDEX('Input 16_2018CUST-YTD'!$D$4:$O$300,MATCH($C33,'Input 16_2018CUST-YTD'!$S$4:$S$300,0),MATCH(H$2,'Input 16_2018CUST-YTD'!$C$1:$O$1,0)),0)</f>
        <v>147.15635616438351</v>
      </c>
      <c r="I33" s="5">
        <f>IFERROR(INDEX('Input 16.1_2018VOL-YTD'!$C$4:$N$300, MATCH($C33,'Input 16.1_2018VOL-YTD'!$R$4:$R$300,0),MATCH(I$2,'Input 16.1_2018VOL-YTD'!$C$1:$N$1,0))/INDEX('Input 16_2018CUST-YTD'!$D$4:$O$300,MATCH($C33,'Input 16_2018CUST-YTD'!$S$4:$S$300,0),MATCH(I$2,'Input 16_2018CUST-YTD'!$C$1:$O$1,0)),0)</f>
        <v>148.05629427792911</v>
      </c>
      <c r="J33" s="5">
        <f>IFERROR(INDEX('Input 16.1_2018VOL-YTD'!$C$4:$N$300, MATCH($C33,'Input 16.1_2018VOL-YTD'!$R$4:$R$300,0),MATCH(J$2,'Input 16.1_2018VOL-YTD'!$C$1:$N$1,0))/INDEX('Input 16_2018CUST-YTD'!$D$4:$O$300,MATCH($C33,'Input 16_2018CUST-YTD'!$S$4:$S$300,0),MATCH(J$2,'Input 16_2018CUST-YTD'!$C$1:$O$1,0)),0)</f>
        <v>126.06868131868131</v>
      </c>
      <c r="K33" s="5">
        <f>IFERROR(INDEX('Input 16.1_2018VOL-YTD'!$C$4:$N$300, MATCH($C33,'Input 16.1_2018VOL-YTD'!$R$4:$R$300,0),MATCH(K$2,'Input 16.1_2018VOL-YTD'!$C$1:$N$1,0))/INDEX('Input 16_2018CUST-YTD'!$D$4:$O$300,MATCH($C33,'Input 16_2018CUST-YTD'!$S$4:$S$300,0),MATCH(K$2,'Input 16_2018CUST-YTD'!$C$1:$O$1,0)),0)</f>
        <v>116.36370572207088</v>
      </c>
      <c r="L33" s="5">
        <f>IFERROR(INDEX('Input 16.1_2018VOL-YTD'!$C$4:$N$300, MATCH($C33,'Input 16.1_2018VOL-YTD'!$R$4:$R$300,0),MATCH(L$2,'Input 16.1_2018VOL-YTD'!$C$1:$N$1,0))/INDEX('Input 16_2018CUST-YTD'!$D$4:$O$300,MATCH($C33,'Input 16_2018CUST-YTD'!$S$4:$S$300,0),MATCH(L$2,'Input 16_2018CUST-YTD'!$C$1:$O$1,0)),0)</f>
        <v>134.38412256267401</v>
      </c>
      <c r="M33" s="5">
        <f>IFERROR(INDEX('Input 16.1_2018VOL-YTD'!$C$4:$N$300, MATCH($C33,'Input 16.1_2018VOL-YTD'!$R$4:$R$300,0),MATCH(M$2,'Input 16.1_2018VOL-YTD'!$C$1:$N$1,0))/INDEX('Input 16_2018CUST-YTD'!$D$4:$O$300,MATCH($C33,'Input 16_2018CUST-YTD'!$S$4:$S$300,0),MATCH(M$2,'Input 16_2018CUST-YTD'!$C$1:$O$1,0)),0)</f>
        <v>120.96795013850418</v>
      </c>
      <c r="N33" s="5">
        <f>IFERROR(INDEX('Input 16.1_2018VOL-YTD'!$C$4:$N$300, MATCH($C33,'Input 16.1_2018VOL-YTD'!$R$4:$R$300,0),MATCH(N$2,'Input 16.1_2018VOL-YTD'!$C$1:$N$1,0))/INDEX('Input 16_2018CUST-YTD'!$D$4:$O$300,MATCH($C33,'Input 16_2018CUST-YTD'!$S$4:$S$300,0),MATCH(N$2,'Input 16_2018CUST-YTD'!$C$1:$O$1,0)),0)</f>
        <v>156.57720867208673</v>
      </c>
      <c r="O33" s="5">
        <f>IFERROR(INDEX('Input 16.1_2018VOL-YTD'!$C$4:$N$300, MATCH($C33,'Input 16.1_2018VOL-YTD'!$R$4:$R$300,0),MATCH(O$2,'Input 16.1_2018VOL-YTD'!$C$1:$N$1,0))/INDEX('Input 16_2018CUST-YTD'!$D$4:$O$300,MATCH($C33,'Input 16_2018CUST-YTD'!$S$4:$S$300,0),MATCH(O$2,'Input 16_2018CUST-YTD'!$C$1:$O$1,0)),0)</f>
        <v>180.70013485235987</v>
      </c>
      <c r="P33" s="271">
        <f t="shared" si="1"/>
        <v>209.95725490196079</v>
      </c>
      <c r="Q33" s="261">
        <f t="shared" si="2"/>
        <v>1</v>
      </c>
      <c r="S33" s="5">
        <f>IFERROR(INDEX('Input 3.1_2019VOL-YTD'!$C$4:$N$300, MATCH($C33,'Input 3.1_2019VOL-YTD'!$R$4:$R$300,0),MATCH(S$2,'Input 3.1_2019VOL-YTD'!$C$1:$N$1,0))/INDEX('Input 3_2019CUST-YTD'!$C$4:$N$300,MATCH($C33,'Input 3_2019CUST-YTD'!$S$4:$S$300,0),MATCH(S$2,'Input 3_2019CUST-YTD'!$C$1:$N$1,0)),0)</f>
        <v>204.59732044198898</v>
      </c>
      <c r="T33" s="5">
        <f>IFERROR(INDEX('Input 3.1_2019VOL-YTD'!$C$4:$N$300, MATCH($C33,'Input 3.1_2019VOL-YTD'!$R$4:$R$300,0),MATCH(T$2,'Input 3.1_2019VOL-YTD'!$C$1:$N$1,0))/INDEX('Input 3_2019CUST-YTD'!$C$4:$N$300,MATCH($C33,'Input 3_2019CUST-YTD'!$S$4:$S$300,0),MATCH(T$2,'Input 3_2019CUST-YTD'!$C$1:$N$1,0)),0)</f>
        <v>204.89799450549447</v>
      </c>
      <c r="U33" s="5">
        <f>IFERROR(INDEX('Input 3.1_2019VOL-YTD'!$C$4:$N$300, MATCH($C33,'Input 3.1_2019VOL-YTD'!$R$4:$R$300,0),MATCH(U$2,'Input 3.1_2019VOL-YTD'!$C$1:$N$1,0))/INDEX('Input 3_2019CUST-YTD'!$C$4:$N$300,MATCH($C33,'Input 3_2019CUST-YTD'!$S$4:$S$300,0),MATCH(U$2,'Input 3_2019CUST-YTD'!$C$1:$N$1,0)),0)</f>
        <v>175.14818941504177</v>
      </c>
      <c r="V33" s="5">
        <f>IFERROR(INDEX('Input 3.1_2019VOL-YTD'!$C$4:$N$300, MATCH($C33,'Input 3.1_2019VOL-YTD'!$R$4:$R$300,0),MATCH(V$2,'Input 3.1_2019VOL-YTD'!$C$1:$N$1,0))/INDEX('Input 3_2019CUST-YTD'!$C$4:$N$300,MATCH($C33,'Input 3_2019CUST-YTD'!$S$4:$S$300,0),MATCH(V$2,'Input 3_2019CUST-YTD'!$C$1:$N$1,0)),0)</f>
        <v>165.8955913978495</v>
      </c>
      <c r="W33" s="5">
        <f>IFERROR(INDEX('Input 3.1_2019VOL-YTD'!$C$4:$N$300, MATCH($C33,'Input 3.1_2019VOL-YTD'!$R$4:$R$300,0),MATCH(W$2,'Input 3.1_2019VOL-YTD'!$C$1:$N$1,0))/INDEX('Input 3_2019CUST-YTD'!$C$4:$N$300,MATCH($C33,'Input 3_2019CUST-YTD'!$S$4:$S$300,0),MATCH(W$2,'Input 3_2019CUST-YTD'!$C$1:$N$1,0)),0)</f>
        <v>150.42731638418073</v>
      </c>
      <c r="X33" s="5">
        <f>IFERROR(INDEX('Input 3.1_2019VOL-YTD'!$C$4:$N$300, MATCH($C33,'Input 3.1_2019VOL-YTD'!$R$4:$R$300,0),MATCH(X$2,'Input 3.1_2019VOL-YTD'!$C$1:$N$1,0))/INDEX('Input 3_2019CUST-YTD'!$C$4:$N$300,MATCH($C33,'Input 3_2019CUST-YTD'!$S$4:$S$300,0),MATCH(X$2,'Input 3_2019CUST-YTD'!$C$1:$N$1,0)),0)</f>
        <v>131.0802785515321</v>
      </c>
      <c r="Y33" s="5">
        <f>IFERROR(INDEX('Input 3.1_2019VOL-YTD'!$C$4:$N$300, MATCH($C33,'Input 3.1_2019VOL-YTD'!$R$4:$R$300,0),MATCH(Y$2,'Input 3.1_2019VOL-YTD'!$C$1:$N$1,0))/INDEX('Input 3_2019CUST-YTD'!$C$4:$N$300,MATCH($C33,'Input 3_2019CUST-YTD'!$S$4:$S$300,0),MATCH(Y$2,'Input 3_2019CUST-YTD'!$C$1:$N$1,0)),0)</f>
        <v>121.25759668508286</v>
      </c>
      <c r="Z33" s="5">
        <f>IFERROR(INDEX('Input 3.1_2019VOL-YTD'!$C$4:$N$300, MATCH($C33,'Input 3.1_2019VOL-YTD'!$R$4:$R$300,0),MATCH(Z$2,'Input 3.1_2019VOL-YTD'!$C$1:$N$1,0))/INDEX('Input 3_2019CUST-YTD'!$C$4:$N$300,MATCH($C33,'Input 3_2019CUST-YTD'!$S$4:$S$300,0),MATCH(Z$2,'Input 3_2019CUST-YTD'!$C$1:$N$1,0)),0)</f>
        <v>144.07914835164831</v>
      </c>
      <c r="AA33" s="5">
        <f>IFERROR(INDEX('Input 3.1_2019VOL-YTD'!$C$4:$N$300, MATCH($C33,'Input 3.1_2019VOL-YTD'!$R$4:$R$300,0),MATCH(AA$2,'Input 3.1_2019VOL-YTD'!$C$1:$N$1,0))/INDEX('Input 3_2019CUST-YTD'!$C$4:$N$300,MATCH($C33,'Input 3_2019CUST-YTD'!$S$4:$S$300,0),MATCH(AA$2,'Input 3_2019CUST-YTD'!$C$1:$N$1,0)),0)</f>
        <v>132.18451523545704</v>
      </c>
      <c r="AB33" s="5">
        <f>IFERROR(INDEX('Input 3.1_2019VOL-YTD'!$C$4:$N$300, MATCH($C33,'Input 3.1_2019VOL-YTD'!$R$4:$R$300,0),MATCH(AB$2,'Input 3.1_2019VOL-YTD'!$C$1:$N$1,0))/INDEX('Input 3_2019CUST-YTD'!$C$4:$N$300,MATCH($C33,'Input 3_2019CUST-YTD'!$S$4:$S$300,0),MATCH(AB$2,'Input 3_2019CUST-YTD'!$C$1:$N$1,0)),0)</f>
        <v>124.05782722513098</v>
      </c>
      <c r="AC33" s="5">
        <f>IFERROR(INDEX('Input 3.1_2019VOL-YTD'!$C$4:$N$300, MATCH($C33,'Input 3.1_2019VOL-YTD'!$R$4:$R$300,0),MATCH(AC$2,'Input 3.1_2019VOL-YTD'!$C$1:$N$1,0))/INDEX('Input 3_2019CUST-YTD'!$C$4:$N$300,MATCH($C33,'Input 3_2019CUST-YTD'!$S$4:$S$300,0),MATCH(AC$2,'Input 3_2019CUST-YTD'!$C$1:$N$1,0)),0)</f>
        <v>143.50082872928184</v>
      </c>
      <c r="AD33" s="5">
        <f>IFERROR(INDEX('Input 3.1_2019VOL-YTD'!$C$4:$N$300, MATCH($C33,'Input 3.1_2019VOL-YTD'!$R$4:$R$300,0),MATCH(AD$2,'Input 3.1_2019VOL-YTD'!$C$1:$N$1,0))/INDEX('Input 3_2019CUST-YTD'!$C$4:$N$300,MATCH($C33,'Input 3_2019CUST-YTD'!$S$4:$S$300,0),MATCH(AD$2,'Input 3_2019CUST-YTD'!$C$1:$N$1,0)),0)</f>
        <v>178.2459279778393</v>
      </c>
      <c r="AE33" s="272">
        <f t="shared" si="12"/>
        <v>204.89799450549447</v>
      </c>
      <c r="AF33" s="261">
        <f t="shared" si="13"/>
        <v>2</v>
      </c>
      <c r="AH33" s="262">
        <f>IFERROR(INDEX('Input 4.1_2020VOL-YTD'!$C$4:$O$300, MATCH($C33,'Input 4.1_2020VOL-YTD'!$R$4:$R$300,0),MATCH(AH$2,'Input 4.1_2020VOL-YTD'!$C$1:$O$1,0))/INDEX('Input 4_2020CUST-YTD'!$C$4:O$300,MATCH($C33,'Input 4_2020CUST-YTD'!$S$4:$S$300,0),MATCH(AH$2,'Input 4_2020CUST-YTD'!$C$1:$O$1,0)),0)</f>
        <v>216.33707446808509</v>
      </c>
      <c r="AI33" s="262">
        <f>IFERROR(INDEX('Input 4.1_2020VOL-YTD'!$C$4:$O$300, MATCH($C33,'Input 4.1_2020VOL-YTD'!$R$4:$R$300,0),MATCH(AI$2,'Input 4.1_2020VOL-YTD'!$C$1:$O$1,0))/INDEX('Input 4_2020CUST-YTD'!$C$4:P$300,MATCH($C33,'Input 4_2020CUST-YTD'!$S$4:$S$300,0),MATCH(AI$2,'Input 4_2020CUST-YTD'!$C$1:$O$1,0)),0)</f>
        <v>197.73023999999998</v>
      </c>
      <c r="AJ33" s="262">
        <f>IFERROR(INDEX('Input 4.1_2020VOL-YTD'!$C$4:$O$300, MATCH($C33,'Input 4.1_2020VOL-YTD'!$R$4:$R$300,0),MATCH(AJ$2,'Input 4.1_2020VOL-YTD'!$C$1:$O$1,0))/INDEX('Input 4_2020CUST-YTD'!$C$4:Q$300,MATCH($C33,'Input 4_2020CUST-YTD'!$S$4:$S$300,0),MATCH(AJ$2,'Input 4_2020CUST-YTD'!$C$1:$O$1,0)),0)</f>
        <v>186.35027027027041</v>
      </c>
      <c r="AK33" s="262">
        <f>IFERROR(INDEX('Input 4.1_2020VOL-YTD'!$C$4:$O$300, MATCH($C33,'Input 4.1_2020VOL-YTD'!$R$4:$R$300,0),MATCH(AK$2,'Input 4.1_2020VOL-YTD'!$C$1:$O$1,0))/INDEX('Input 4_2020CUST-YTD'!$C$4:R$300,MATCH($C33,'Input 4_2020CUST-YTD'!$S$4:$S$300,0),MATCH(AK$2,'Input 4_2020CUST-YTD'!$C$1:$O$1,0)),0)</f>
        <v>119.16494565217397</v>
      </c>
      <c r="AL33" s="262">
        <f>IFERROR(INDEX('Input 4.1_2020VOL-YTD'!$C$4:$O$300, MATCH($C33,'Input 4.1_2020VOL-YTD'!$R$4:$R$300,0),MATCH(AL$2,'Input 4.1_2020VOL-YTD'!$C$1:$O$1,0))/INDEX('Input 4_2020CUST-YTD'!$C$4:S$300,MATCH($C33,'Input 4_2020CUST-YTD'!$S$4:$S$300,0),MATCH(AL$2,'Input 4_2020CUST-YTD'!$C$1:$O$1,0)),0)</f>
        <v>101.33170270270269</v>
      </c>
      <c r="AM33" s="262">
        <f>IFERROR(INDEX('Input 4.1_2020VOL-YTD'!$C$4:$O$300, MATCH($C33,'Input 4.1_2020VOL-YTD'!$R$4:$R$300,0),MATCH(AM$2,'Input 4.1_2020VOL-YTD'!$C$1:$O$1,0))/INDEX('Input 4_2020CUST-YTD'!$C$4:T$300,MATCH($C33,'Input 4_2020CUST-YTD'!$S$4:$S$300,0),MATCH(AM$2,'Input 4_2020CUST-YTD'!$C$1:$O$1,0)),0)</f>
        <v>111.99884408602158</v>
      </c>
      <c r="AN33" s="262">
        <f>IFERROR(INDEX('Input 4.1_2020VOL-YTD'!$C$4:$O$300, MATCH($C33,'Input 4.1_2020VOL-YTD'!$R$4:$R$300,0),MATCH(AN$2,'Input 4.1_2020VOL-YTD'!$C$1:$O$1,0))/INDEX('Input 4_2020CUST-YTD'!$C$4:U$300,MATCH($C33,'Input 4_2020CUST-YTD'!$S$4:$S$300,0),MATCH(AN$2,'Input 4_2020CUST-YTD'!$C$1:$O$1,0)),0)</f>
        <v>115.02989189189196</v>
      </c>
      <c r="AO33" s="262">
        <f>IFERROR(INDEX('Input 4.1_2020VOL-YTD'!$C$4:$O$300, MATCH($C33,'Input 4.1_2020VOL-YTD'!$R$4:$R$300,0),MATCH(AO$2,'Input 4.1_2020VOL-YTD'!$C$1:$O$1,0))/INDEX('Input 4_2020CUST-YTD'!$C$4:V$300,MATCH($C33,'Input 4_2020CUST-YTD'!$S$4:$S$300,0),MATCH(AO$2,'Input 4_2020CUST-YTD'!$C$1:$O$1,0)),0)</f>
        <v>106.78364361702134</v>
      </c>
      <c r="AP33" s="262">
        <f>IFERROR(INDEX('Input 4.1_2020VOL-YTD'!$C$4:$O$300, MATCH($C33,'Input 4.1_2020VOL-YTD'!$R$4:$R$300,0),MATCH(AP$2,'Input 4.1_2020VOL-YTD'!$C$1:$O$1,0))/INDEX('Input 4_2020CUST-YTD'!$C$4:W$300,MATCH($C33,'Input 4_2020CUST-YTD'!$S$4:$S$300,0),MATCH(AP$2,'Input 4_2020CUST-YTD'!$C$1:$O$1,0)),0)</f>
        <v>111.42773333333338</v>
      </c>
      <c r="AQ33" s="262">
        <f>IFERROR(INDEX('Input 4.1_2020VOL-YTD'!$C$4:$O$300, MATCH($C33,'Input 4.1_2020VOL-YTD'!$R$4:$R$300,0),MATCH(AQ$2,'Input 4.1_2020VOL-YTD'!$C$1:$O$1,0))/INDEX('Input 4_2020CUST-YTD'!$C$4:X$300,MATCH($C33,'Input 4_2020CUST-YTD'!$S$4:$S$300,0),MATCH(AQ$2,'Input 4_2020CUST-YTD'!$C$1:$O$1,0)),0)</f>
        <v>125.19150134048257</v>
      </c>
      <c r="AR33" s="262">
        <f>IFERROR(INDEX('Input 4.1_2020VOL-YTD'!$C$4:$O$300, MATCH($C33,'Input 4.1_2020VOL-YTD'!$R$4:$R$300,0),MATCH(AR$2,'Input 4.1_2020VOL-YTD'!$C$1:$O$1,0))/INDEX('Input 4_2020CUST-YTD'!$C$4:Y$300,MATCH($C33,'Input 4_2020CUST-YTD'!$S$4:$S$300,0),MATCH(AR$2,'Input 4_2020CUST-YTD'!$C$1:$O$1,0)),0)</f>
        <v>149.24369272237197</v>
      </c>
      <c r="AS33" s="262">
        <f>IFERROR(INDEX('Input 4.1_2020VOL-YTD'!$C$4:$O$300, MATCH($C33,'Input 4.1_2020VOL-YTD'!$R$4:$R$300,0),MATCH(AS$2,'Input 4.1_2020VOL-YTD'!$C$1:$O$1,0))/INDEX('Input 4_2020CUST-YTD'!$C$4:Z$300,MATCH($C33,'Input 4_2020CUST-YTD'!$S$4:$S$300,0),MATCH(AS$2,'Input 4_2020CUST-YTD'!$C$1:$O$1,0)),0)</f>
        <v>177.1564227642277</v>
      </c>
      <c r="AT33" s="190">
        <f t="shared" si="10"/>
        <v>216.33707446808509</v>
      </c>
      <c r="AU33" s="261">
        <f t="shared" si="11"/>
        <v>1</v>
      </c>
      <c r="AW33" s="1">
        <f>IFERROR(INDEX('Input 5.1_2021VOL-YTD'!$C$3:$N$150, MATCH($C33,'Input 5.1_2021VOL-YTD'!$R$3:$R$150,0),MATCH(AW$2,'Input 5.1_2021VOL-YTD'!$C$1:$N$1,0))/INDEX('Input 5_2021CUST-YTD'!$C$3:$N$150,MATCH($C33,'Input 5_2021CUST-YTD'!$S$3:$S$150,0),MATCH(AW$2,'Input 5_2021CUST-YTD'!$C$1:$N$1,0)),0)</f>
        <v>214.88761643835628</v>
      </c>
      <c r="AX33" s="1">
        <f>IFERROR(INDEX('Input 5.1_2021VOL-YTD'!$C$3:$N$150, MATCH($C33,'Input 5.1_2021VOL-YTD'!$R$3:$R$150,0),MATCH(AX$2,'Input 5.1_2021VOL-YTD'!$C$1:$N$1,0))/INDEX('Input 5_2021CUST-YTD'!$C$3:$N$150,MATCH($C33,'Input 5_2021CUST-YTD'!$S$3:$S$150,0),MATCH(AX$2,'Input 5_2021CUST-YTD'!$C$1:$N$1,0)),0)</f>
        <v>202.45845945945948</v>
      </c>
      <c r="AY33" s="1">
        <f>IFERROR(INDEX('Input 5.1_2021VOL-YTD'!$C$3:$N$150, MATCH($C33,'Input 5.1_2021VOL-YTD'!$R$3:$R$150,0),MATCH(AY$2,'Input 5.1_2021VOL-YTD'!$C$1:$N$1,0))/INDEX('Input 5_2021CUST-YTD'!$C$3:$N$150,MATCH($C33,'Input 5_2021CUST-YTD'!$S$3:$S$150,0),MATCH(AY$2,'Input 5_2021CUST-YTD'!$C$1:$N$1,0)),0)</f>
        <v>154.45277486910993</v>
      </c>
      <c r="AZ33" s="1">
        <f>IFERROR(INDEX('Input 5.1_2021VOL-YTD'!$C$3:$N$150, MATCH($C33,'Input 5.1_2021VOL-YTD'!$R$3:$R$150,0),MATCH(AZ$2,'Input 5.1_2021VOL-YTD'!$C$1:$N$1,0))/INDEX('Input 5_2021CUST-YTD'!$C$3:$N$150,MATCH($C33,'Input 5_2021CUST-YTD'!$S$3:$S$150,0),MATCH(AZ$2,'Input 5_2021CUST-YTD'!$C$1:$N$1,0)),0)</f>
        <v>168.58831578947363</v>
      </c>
      <c r="BA33" s="1">
        <f>IFERROR(INDEX('Input 5.1_2021VOL-YTD'!$C$3:$N$150, MATCH($C33,'Input 5.1_2021VOL-YTD'!$R$3:$R$150,0),MATCH(BA$2,'Input 5.1_2021VOL-YTD'!$C$1:$N$1,0))/INDEX('Input 5_2021CUST-YTD'!$C$3:$N$150,MATCH($C33,'Input 5_2021CUST-YTD'!$S$3:$S$150,0),MATCH(BA$2,'Input 5_2021CUST-YTD'!$C$1:$N$1,0)),0)</f>
        <v>149.5541935483871</v>
      </c>
      <c r="BB33" s="1">
        <f>IFERROR(INDEX('Input 5.1_2021VOL-YTD'!$C$3:$N$150, MATCH($C33,'Input 5.1_2021VOL-YTD'!$R$3:$R$150,0),MATCH(BB$2,'Input 5.1_2021VOL-YTD'!$C$1:$N$1,0))/INDEX('Input 5_2021CUST-YTD'!$C$3:$N$150,MATCH($C33,'Input 5_2021CUST-YTD'!$S$3:$S$150,0),MATCH(BB$2,'Input 5_2021CUST-YTD'!$C$1:$N$1,0)),0)</f>
        <v>164.07124999999988</v>
      </c>
      <c r="BC33" s="1">
        <f>IFERROR(INDEX('Input 5.1_2021VOL-YTD'!$C$3:$N$150, MATCH($C33,'Input 5.1_2021VOL-YTD'!$R$3:$R$150,0),MATCH(BC$2,'Input 5.1_2021VOL-YTD'!$C$1:$N$1,0))/INDEX('Input 5_2021CUST-YTD'!$C$3:$N$150,MATCH($C33,'Input 5_2021CUST-YTD'!$S$3:$S$150,0),MATCH(BC$2,'Input 5_2021CUST-YTD'!$C$1:$N$1,0)),0)</f>
        <v>83.176331521739115</v>
      </c>
      <c r="BD33" s="1">
        <f>IFERROR(INDEX('Input 5.1_2021VOL-YTD'!$C$3:$N$150, MATCH($C33,'Input 5.1_2021VOL-YTD'!$R$3:$R$150,0),MATCH(BD$2,'Input 5.1_2021VOL-YTD'!$C$1:$N$1,0))/INDEX('Input 5_2021CUST-YTD'!$C$3:$N$150,MATCH($C33,'Input 5_2021CUST-YTD'!$S$3:$S$150,0),MATCH(BD$2,'Input 5_2021CUST-YTD'!$C$1:$N$1,0)),0)</f>
        <v>105.42873655913984</v>
      </c>
      <c r="BE33" s="1">
        <f>IFERROR(INDEX('Input 5.1_2021VOL-YTD'!$C$3:$N$150, MATCH($C33,'Input 5.1_2021VOL-YTD'!$R$3:$R$150,0),MATCH(BE$2,'Input 5.1_2021VOL-YTD'!$C$1:$N$1,0))/INDEX('Input 5_2021CUST-YTD'!$C$3:$N$150,MATCH($C33,'Input 5_2021CUST-YTD'!$S$3:$S$150,0),MATCH(BE$2,'Input 5_2021CUST-YTD'!$C$1:$N$1,0)),0)</f>
        <v>123.76357142857148</v>
      </c>
      <c r="BF33" s="1">
        <f>IFERROR(INDEX('Input 5.1_2021VOL-YTD'!$C$3:$N$150, MATCH($C33,'Input 5.1_2021VOL-YTD'!$R$3:$R$150,0),MATCH(BF$2,'Input 5.1_2021VOL-YTD'!$C$1:$N$1,0))/INDEX('Input 5_2021CUST-YTD'!$C$3:$N$150,MATCH($C33,'Input 5_2021CUST-YTD'!$S$3:$S$150,0),MATCH(BF$2,'Input 5_2021CUST-YTD'!$C$1:$N$1,0)),0)</f>
        <v>127.0062407862408</v>
      </c>
      <c r="BG33" s="1">
        <f>IFERROR(INDEX('Input 5.1_2021VOL-YTD'!$C$3:$N$150, MATCH($C33,'Input 5.1_2021VOL-YTD'!$R$3:$R$150,0),MATCH(BG$2,'Input 5.1_2021VOL-YTD'!$C$1:$N$1,0))/INDEX('Input 5_2021CUST-YTD'!$C$3:$N$150,MATCH($C33,'Input 5_2021CUST-YTD'!$S$3:$S$150,0),MATCH(BG$2,'Input 5_2021CUST-YTD'!$C$1:$N$1,0)),0)</f>
        <v>162.93950000000007</v>
      </c>
      <c r="BH33" s="1">
        <f>IFERROR(INDEX('Input 5.1_2021VOL-YTD'!$C$3:$N$150, MATCH($C33,'Input 5.1_2021VOL-YTD'!$R$3:$R$150,0),MATCH(BH$2,'Input 5.1_2021VOL-YTD'!$C$1:$N$1,0))/INDEX('Input 5_2021CUST-YTD'!$C$3:$N$150,MATCH($C33,'Input 5_2021CUST-YTD'!$S$3:$S$150,0),MATCH(BH$2,'Input 5_2021CUST-YTD'!$C$1:$N$1,0)),0)</f>
        <v>199.08586466165406</v>
      </c>
      <c r="BI33" s="190">
        <f t="shared" si="7"/>
        <v>214.88761643835628</v>
      </c>
      <c r="BJ33" s="261">
        <f t="shared" si="8"/>
        <v>1</v>
      </c>
    </row>
    <row r="34" spans="1:62">
      <c r="A34" s="261" t="s">
        <v>1245</v>
      </c>
      <c r="B34" s="261" t="s">
        <v>15</v>
      </c>
      <c r="C34" s="261" t="s">
        <v>43</v>
      </c>
      <c r="D34" s="5">
        <f>IFERROR(INDEX('Input 16.1_2018VOL-YTD'!$C$4:$N$300, MATCH($C34,'Input 16.1_2018VOL-YTD'!$R$4:$R$300,0),MATCH(D$2,'Input 16.1_2018VOL-YTD'!$C$1:$N$1,0))/INDEX('Input 16_2018CUST-YTD'!$D$4:$O$300,MATCH($C34,'Input 16_2018CUST-YTD'!$S$4:$S$300,0),MATCH(D$2,'Input 16_2018CUST-YTD'!$C$1:$O$1,0)),0)</f>
        <v>739.30576219512204</v>
      </c>
      <c r="E34" s="5">
        <f>IFERROR(INDEX('Input 16.1_2018VOL-YTD'!$C$4:$N$300, MATCH($C34,'Input 16.1_2018VOL-YTD'!$R$4:$R$300,0),MATCH(E$2,'Input 16.1_2018VOL-YTD'!$C$1:$N$1,0))/INDEX('Input 16_2018CUST-YTD'!$D$4:$O$300,MATCH($C34,'Input 16_2018CUST-YTD'!$S$4:$S$300,0),MATCH(E$2,'Input 16_2018CUST-YTD'!$C$1:$O$1,0)),0)</f>
        <v>668.80054054054062</v>
      </c>
      <c r="F34" s="5">
        <f>IFERROR(INDEX('Input 16.1_2018VOL-YTD'!$C$4:$N$300, MATCH($C34,'Input 16.1_2018VOL-YTD'!$R$4:$R$300,0),MATCH(F$2,'Input 16.1_2018VOL-YTD'!$C$1:$N$1,0))/INDEX('Input 16_2018CUST-YTD'!$D$4:$O$300,MATCH($C34,'Input 16_2018CUST-YTD'!$S$4:$S$300,0),MATCH(F$2,'Input 16_2018CUST-YTD'!$C$1:$O$1,0)),0)</f>
        <v>612.86638766519809</v>
      </c>
      <c r="G34" s="5">
        <f>IFERROR(INDEX('Input 16.1_2018VOL-YTD'!$C$4:$N$300, MATCH($C34,'Input 16.1_2018VOL-YTD'!$R$4:$R$300,0),MATCH(G$2,'Input 16.1_2018VOL-YTD'!$C$1:$N$1,0))/INDEX('Input 16_2018CUST-YTD'!$D$4:$O$300,MATCH($C34,'Input 16_2018CUST-YTD'!$S$4:$S$300,0),MATCH(G$2,'Input 16_2018CUST-YTD'!$C$1:$O$1,0)),0)</f>
        <v>638.85830656934252</v>
      </c>
      <c r="H34" s="5">
        <f>IFERROR(INDEX('Input 16.1_2018VOL-YTD'!$C$4:$N$300, MATCH($C34,'Input 16.1_2018VOL-YTD'!$R$4:$R$300,0),MATCH(H$2,'Input 16.1_2018VOL-YTD'!$C$1:$N$1,0))/INDEX('Input 16_2018CUST-YTD'!$D$4:$O$300,MATCH($C34,'Input 16_2018CUST-YTD'!$S$4:$S$300,0),MATCH(H$2,'Input 16_2018CUST-YTD'!$C$1:$O$1,0)),0)</f>
        <v>557.06838192419741</v>
      </c>
      <c r="I34" s="5">
        <f>IFERROR(INDEX('Input 16.1_2018VOL-YTD'!$C$4:$N$300, MATCH($C34,'Input 16.1_2018VOL-YTD'!$R$4:$R$300,0),MATCH(I$2,'Input 16.1_2018VOL-YTD'!$C$1:$N$1,0))/INDEX('Input 16_2018CUST-YTD'!$D$4:$O$300,MATCH($C34,'Input 16_2018CUST-YTD'!$S$4:$S$300,0),MATCH(I$2,'Input 16_2018CUST-YTD'!$C$1:$O$1,0)),0)</f>
        <v>582.51048034934593</v>
      </c>
      <c r="J34" s="5">
        <f>IFERROR(INDEX('Input 16.1_2018VOL-YTD'!$C$4:$N$300, MATCH($C34,'Input 16.1_2018VOL-YTD'!$R$4:$R$300,0),MATCH(J$2,'Input 16.1_2018VOL-YTD'!$C$1:$N$1,0))/INDEX('Input 16_2018CUST-YTD'!$D$4:$O$300,MATCH($C34,'Input 16_2018CUST-YTD'!$S$4:$S$300,0),MATCH(J$2,'Input 16_2018CUST-YTD'!$C$1:$O$1,0)),0)</f>
        <v>505.92284057971023</v>
      </c>
      <c r="K34" s="5">
        <f>IFERROR(INDEX('Input 16.1_2018VOL-YTD'!$C$4:$N$300, MATCH($C34,'Input 16.1_2018VOL-YTD'!$R$4:$R$300,0),MATCH(K$2,'Input 16.1_2018VOL-YTD'!$C$1:$N$1,0))/INDEX('Input 16_2018CUST-YTD'!$D$4:$O$300,MATCH($C34,'Input 16_2018CUST-YTD'!$S$4:$S$300,0),MATCH(K$2,'Input 16_2018CUST-YTD'!$C$1:$O$1,0)),0)</f>
        <v>481.623918918919</v>
      </c>
      <c r="L34" s="5">
        <f>IFERROR(INDEX('Input 16.1_2018VOL-YTD'!$C$4:$N$300, MATCH($C34,'Input 16.1_2018VOL-YTD'!$R$4:$R$300,0),MATCH(L$2,'Input 16.1_2018VOL-YTD'!$C$1:$N$1,0))/INDEX('Input 16_2018CUST-YTD'!$D$4:$O$300,MATCH($C34,'Input 16_2018CUST-YTD'!$S$4:$S$300,0),MATCH(L$2,'Input 16_2018CUST-YTD'!$C$1:$O$1,0)),0)</f>
        <v>500.57419654714545</v>
      </c>
      <c r="M34" s="5">
        <f>IFERROR(INDEX('Input 16.1_2018VOL-YTD'!$C$4:$N$300, MATCH($C34,'Input 16.1_2018VOL-YTD'!$R$4:$R$300,0),MATCH(M$2,'Input 16.1_2018VOL-YTD'!$C$1:$N$1,0))/INDEX('Input 16_2018CUST-YTD'!$D$4:$O$300,MATCH($C34,'Input 16_2018CUST-YTD'!$S$4:$S$300,0),MATCH(M$2,'Input 16_2018CUST-YTD'!$C$1:$O$1,0)),0)</f>
        <v>448.9658884565502</v>
      </c>
      <c r="N34" s="5">
        <f>IFERROR(INDEX('Input 16.1_2018VOL-YTD'!$C$4:$N$300, MATCH($C34,'Input 16.1_2018VOL-YTD'!$R$4:$R$300,0),MATCH(N$2,'Input 16.1_2018VOL-YTD'!$C$1:$N$1,0))/INDEX('Input 16_2018CUST-YTD'!$D$4:$O$300,MATCH($C34,'Input 16_2018CUST-YTD'!$S$4:$S$300,0),MATCH(N$2,'Input 16_2018CUST-YTD'!$C$1:$O$1,0)),0)</f>
        <v>561.3519379844962</v>
      </c>
      <c r="O34" s="5">
        <f>IFERROR(INDEX('Input 16.1_2018VOL-YTD'!$C$4:$N$300, MATCH($C34,'Input 16.1_2018VOL-YTD'!$R$4:$R$300,0),MATCH(O$2,'Input 16.1_2018VOL-YTD'!$C$1:$N$1,0))/INDEX('Input 16_2018CUST-YTD'!$D$4:$O$300,MATCH($C34,'Input 16_2018CUST-YTD'!$S$4:$S$300,0),MATCH(O$2,'Input 16_2018CUST-YTD'!$C$1:$O$1,0)),0)</f>
        <v>699.96676376554194</v>
      </c>
      <c r="P34" s="271">
        <f t="shared" si="1"/>
        <v>739.30576219512204</v>
      </c>
      <c r="Q34" s="261">
        <f t="shared" si="2"/>
        <v>1</v>
      </c>
      <c r="S34" s="5">
        <f>IFERROR(INDEX('Input 3.1_2019VOL-YTD'!$C$4:$N$300, MATCH($C34,'Input 3.1_2019VOL-YTD'!$R$4:$R$300,0),MATCH(S$2,'Input 3.1_2019VOL-YTD'!$C$1:$N$1,0))/INDEX('Input 3_2019CUST-YTD'!$C$4:$N$300,MATCH($C34,'Input 3_2019CUST-YTD'!$S$4:$S$300,0),MATCH(S$2,'Input 3_2019CUST-YTD'!$C$1:$N$1,0)),0)</f>
        <v>681.10299999999961</v>
      </c>
      <c r="T34" s="5">
        <f>IFERROR(INDEX('Input 3.1_2019VOL-YTD'!$C$4:$N$300, MATCH($C34,'Input 3.1_2019VOL-YTD'!$R$4:$R$300,0),MATCH(T$2,'Input 3.1_2019VOL-YTD'!$C$1:$N$1,0))/INDEX('Input 3_2019CUST-YTD'!$C$4:$N$300,MATCH($C34,'Input 3_2019CUST-YTD'!$S$4:$S$300,0),MATCH(T$2,'Input 3_2019CUST-YTD'!$C$1:$N$1,0)),0)</f>
        <v>655.30983311938382</v>
      </c>
      <c r="U34" s="5">
        <f>IFERROR(INDEX('Input 3.1_2019VOL-YTD'!$C$4:$N$300, MATCH($C34,'Input 3.1_2019VOL-YTD'!$R$4:$R$300,0),MATCH(U$2,'Input 3.1_2019VOL-YTD'!$C$1:$N$1,0))/INDEX('Input 3_2019CUST-YTD'!$C$4:$N$300,MATCH($C34,'Input 3_2019CUST-YTD'!$S$4:$S$300,0),MATCH(U$2,'Input 3_2019CUST-YTD'!$C$1:$N$1,0)),0)</f>
        <v>593.71010204081563</v>
      </c>
      <c r="V34" s="5">
        <f>IFERROR(INDEX('Input 3.1_2019VOL-YTD'!$C$4:$N$300, MATCH($C34,'Input 3.1_2019VOL-YTD'!$R$4:$R$300,0),MATCH(V$2,'Input 3.1_2019VOL-YTD'!$C$1:$N$1,0))/INDEX('Input 3_2019CUST-YTD'!$C$4:$N$300,MATCH($C34,'Input 3_2019CUST-YTD'!$S$4:$S$300,0),MATCH(V$2,'Input 3_2019CUST-YTD'!$C$1:$N$1,0)),0)</f>
        <v>599.81314432989734</v>
      </c>
      <c r="W34" s="5">
        <f>IFERROR(INDEX('Input 3.1_2019VOL-YTD'!$C$4:$N$300, MATCH($C34,'Input 3.1_2019VOL-YTD'!$R$4:$R$300,0),MATCH(W$2,'Input 3.1_2019VOL-YTD'!$C$1:$N$1,0))/INDEX('Input 3_2019CUST-YTD'!$C$4:$N$300,MATCH($C34,'Input 3_2019CUST-YTD'!$S$4:$S$300,0),MATCH(W$2,'Input 3_2019CUST-YTD'!$C$1:$N$1,0)),0)</f>
        <v>550.04298223350258</v>
      </c>
      <c r="X34" s="5">
        <f>IFERROR(INDEX('Input 3.1_2019VOL-YTD'!$C$4:$N$300, MATCH($C34,'Input 3.1_2019VOL-YTD'!$R$4:$R$300,0),MATCH(X$2,'Input 3.1_2019VOL-YTD'!$C$1:$N$1,0))/INDEX('Input 3_2019CUST-YTD'!$C$4:$N$300,MATCH($C34,'Input 3_2019CUST-YTD'!$S$4:$S$300,0),MATCH(X$2,'Input 3_2019CUST-YTD'!$C$1:$N$1,0)),0)</f>
        <v>527.81613026819934</v>
      </c>
      <c r="Y34" s="5">
        <f>IFERROR(INDEX('Input 3.1_2019VOL-YTD'!$C$4:$N$300, MATCH($C34,'Input 3.1_2019VOL-YTD'!$R$4:$R$300,0),MATCH(Y$2,'Input 3.1_2019VOL-YTD'!$C$1:$N$1,0))/INDEX('Input 3_2019CUST-YTD'!$C$4:$N$300,MATCH($C34,'Input 3_2019CUST-YTD'!$S$4:$S$300,0),MATCH(Y$2,'Input 3_2019CUST-YTD'!$C$1:$N$1,0)),0)</f>
        <v>454.08500630516983</v>
      </c>
      <c r="Z34" s="5">
        <f>IFERROR(INDEX('Input 3.1_2019VOL-YTD'!$C$4:$N$300, MATCH($C34,'Input 3.1_2019VOL-YTD'!$R$4:$R$300,0),MATCH(Z$2,'Input 3.1_2019VOL-YTD'!$C$1:$N$1,0))/INDEX('Input 3_2019CUST-YTD'!$C$4:$N$300,MATCH($C34,'Input 3_2019CUST-YTD'!$S$4:$S$300,0),MATCH(Z$2,'Input 3_2019CUST-YTD'!$C$1:$N$1,0)),0)</f>
        <v>479.22848293299631</v>
      </c>
      <c r="AA34" s="5">
        <f>IFERROR(INDEX('Input 3.1_2019VOL-YTD'!$C$4:$N$300, MATCH($C34,'Input 3.1_2019VOL-YTD'!$R$4:$R$300,0),MATCH(AA$2,'Input 3.1_2019VOL-YTD'!$C$1:$N$1,0))/INDEX('Input 3_2019CUST-YTD'!$C$4:$N$300,MATCH($C34,'Input 3_2019CUST-YTD'!$S$4:$S$300,0),MATCH(AA$2,'Input 3_2019CUST-YTD'!$C$1:$N$1,0)),0)</f>
        <v>478.84680100755696</v>
      </c>
      <c r="AB34" s="5">
        <f>IFERROR(INDEX('Input 3.1_2019VOL-YTD'!$C$4:$N$300, MATCH($C34,'Input 3.1_2019VOL-YTD'!$R$4:$R$300,0),MATCH(AB$2,'Input 3.1_2019VOL-YTD'!$C$1:$N$1,0))/INDEX('Input 3_2019CUST-YTD'!$C$4:$N$300,MATCH($C34,'Input 3_2019CUST-YTD'!$S$4:$S$300,0),MATCH(AB$2,'Input 3_2019CUST-YTD'!$C$1:$N$1,0)),0)</f>
        <v>495.76805950840776</v>
      </c>
      <c r="AC34" s="5">
        <f>IFERROR(INDEX('Input 3.1_2019VOL-YTD'!$C$4:$N$300, MATCH($C34,'Input 3.1_2019VOL-YTD'!$R$4:$R$300,0),MATCH(AC$2,'Input 3.1_2019VOL-YTD'!$C$1:$N$1,0))/INDEX('Input 3_2019CUST-YTD'!$C$4:$N$300,MATCH($C34,'Input 3_2019CUST-YTD'!$S$4:$S$300,0),MATCH(AC$2,'Input 3_2019CUST-YTD'!$C$1:$N$1,0)),0)</f>
        <v>564.29492443324909</v>
      </c>
      <c r="AD34" s="5">
        <f>IFERROR(INDEX('Input 3.1_2019VOL-YTD'!$C$4:$N$300, MATCH($C34,'Input 3.1_2019VOL-YTD'!$R$4:$R$300,0),MATCH(AD$2,'Input 3.1_2019VOL-YTD'!$C$1:$N$1,0))/INDEX('Input 3_2019CUST-YTD'!$C$4:$N$300,MATCH($C34,'Input 3_2019CUST-YTD'!$S$4:$S$300,0),MATCH(AD$2,'Input 3_2019CUST-YTD'!$C$1:$N$1,0)),0)</f>
        <v>641.19174129353235</v>
      </c>
      <c r="AE34" s="272">
        <f t="shared" si="12"/>
        <v>681.10299999999961</v>
      </c>
      <c r="AF34" s="261">
        <f t="shared" si="13"/>
        <v>1</v>
      </c>
      <c r="AH34" s="262">
        <f>IFERROR(INDEX('Input 4.1_2020VOL-YTD'!$C$4:$O$300, MATCH($C34,'Input 4.1_2020VOL-YTD'!$R$4:$R$300,0),MATCH(AH$2,'Input 4.1_2020VOL-YTD'!$C$1:$O$1,0))/INDEX('Input 4_2020CUST-YTD'!$C$4:O$300,MATCH($C34,'Input 4_2020CUST-YTD'!$S$4:$S$300,0),MATCH(AH$2,'Input 4_2020CUST-YTD'!$C$1:$O$1,0)),0)</f>
        <v>702.17314930991176</v>
      </c>
      <c r="AI34" s="262">
        <f>IFERROR(INDEX('Input 4.1_2020VOL-YTD'!$C$4:$O$300, MATCH($C34,'Input 4.1_2020VOL-YTD'!$R$4:$R$300,0),MATCH(AI$2,'Input 4.1_2020VOL-YTD'!$C$1:$O$1,0))/INDEX('Input 4_2020CUST-YTD'!$C$4:P$300,MATCH($C34,'Input 4_2020CUST-YTD'!$S$4:$S$300,0),MATCH(AI$2,'Input 4_2020CUST-YTD'!$C$1:$O$1,0)),0)</f>
        <v>659.02884900990034</v>
      </c>
      <c r="AJ34" s="262">
        <f>IFERROR(INDEX('Input 4.1_2020VOL-YTD'!$C$4:$O$300, MATCH($C34,'Input 4.1_2020VOL-YTD'!$R$4:$R$300,0),MATCH(AJ$2,'Input 4.1_2020VOL-YTD'!$C$1:$O$1,0))/INDEX('Input 4_2020CUST-YTD'!$C$4:Q$300,MATCH($C34,'Input 4_2020CUST-YTD'!$S$4:$S$300,0),MATCH(AJ$2,'Input 4_2020CUST-YTD'!$C$1:$O$1,0)),0)</f>
        <v>602.11161131611277</v>
      </c>
      <c r="AK34" s="262">
        <f>IFERROR(INDEX('Input 4.1_2020VOL-YTD'!$C$4:$O$300, MATCH($C34,'Input 4.1_2020VOL-YTD'!$R$4:$R$300,0),MATCH(AK$2,'Input 4.1_2020VOL-YTD'!$C$1:$O$1,0))/INDEX('Input 4_2020CUST-YTD'!$C$4:R$300,MATCH($C34,'Input 4_2020CUST-YTD'!$S$4:$S$300,0),MATCH(AK$2,'Input 4_2020CUST-YTD'!$C$1:$O$1,0)),0)</f>
        <v>411.88819291819169</v>
      </c>
      <c r="AL34" s="262">
        <f>IFERROR(INDEX('Input 4.1_2020VOL-YTD'!$C$4:$O$300, MATCH($C34,'Input 4.1_2020VOL-YTD'!$R$4:$R$300,0),MATCH(AL$2,'Input 4.1_2020VOL-YTD'!$C$1:$O$1,0))/INDEX('Input 4_2020CUST-YTD'!$C$4:S$300,MATCH($C34,'Input 4_2020CUST-YTD'!$S$4:$S$300,0),MATCH(AL$2,'Input 4_2020CUST-YTD'!$C$1:$O$1,0)),0)</f>
        <v>391.77958333333356</v>
      </c>
      <c r="AM34" s="262">
        <f>IFERROR(INDEX('Input 4.1_2020VOL-YTD'!$C$4:$O$300, MATCH($C34,'Input 4.1_2020VOL-YTD'!$R$4:$R$300,0),MATCH(AM$2,'Input 4.1_2020VOL-YTD'!$C$1:$O$1,0))/INDEX('Input 4_2020CUST-YTD'!$C$4:T$300,MATCH($C34,'Input 4_2020CUST-YTD'!$S$4:$S$300,0),MATCH(AM$2,'Input 4_2020CUST-YTD'!$C$1:$O$1,0)),0)</f>
        <v>411.66382640586761</v>
      </c>
      <c r="AN34" s="262">
        <f>IFERROR(INDEX('Input 4.1_2020VOL-YTD'!$C$4:$O$300, MATCH($C34,'Input 4.1_2020VOL-YTD'!$R$4:$R$300,0),MATCH(AN$2,'Input 4.1_2020VOL-YTD'!$C$1:$O$1,0))/INDEX('Input 4_2020CUST-YTD'!$C$4:U$300,MATCH($C34,'Input 4_2020CUST-YTD'!$S$4:$S$300,0),MATCH(AN$2,'Input 4_2020CUST-YTD'!$C$1:$O$1,0)),0)</f>
        <v>458.22111650485431</v>
      </c>
      <c r="AO34" s="262">
        <f>IFERROR(INDEX('Input 4.1_2020VOL-YTD'!$C$4:$O$300, MATCH($C34,'Input 4.1_2020VOL-YTD'!$R$4:$R$300,0),MATCH(AO$2,'Input 4.1_2020VOL-YTD'!$C$1:$O$1,0))/INDEX('Input 4_2020CUST-YTD'!$C$4:V$300,MATCH($C34,'Input 4_2020CUST-YTD'!$S$4:$S$300,0),MATCH(AO$2,'Input 4_2020CUST-YTD'!$C$1:$O$1,0)),0)</f>
        <v>435.0089351285186</v>
      </c>
      <c r="AP34" s="262">
        <f>IFERROR(INDEX('Input 4.1_2020VOL-YTD'!$C$4:$O$300, MATCH($C34,'Input 4.1_2020VOL-YTD'!$R$4:$R$300,0),MATCH(AP$2,'Input 4.1_2020VOL-YTD'!$C$1:$O$1,0))/INDEX('Input 4_2020CUST-YTD'!$C$4:W$300,MATCH($C34,'Input 4_2020CUST-YTD'!$S$4:$S$300,0),MATCH(AP$2,'Input 4_2020CUST-YTD'!$C$1:$O$1,0)),0)</f>
        <v>444.75642682926798</v>
      </c>
      <c r="AQ34" s="262">
        <f>IFERROR(INDEX('Input 4.1_2020VOL-YTD'!$C$4:$O$300, MATCH($C34,'Input 4.1_2020VOL-YTD'!$R$4:$R$300,0),MATCH(AQ$2,'Input 4.1_2020VOL-YTD'!$C$1:$O$1,0))/INDEX('Input 4_2020CUST-YTD'!$C$4:X$300,MATCH($C34,'Input 4_2020CUST-YTD'!$S$4:$S$300,0),MATCH(AQ$2,'Input 4_2020CUST-YTD'!$C$1:$O$1,0)),0)</f>
        <v>459.361582125604</v>
      </c>
      <c r="AR34" s="262">
        <f>IFERROR(INDEX('Input 4.1_2020VOL-YTD'!$C$4:$O$300, MATCH($C34,'Input 4.1_2020VOL-YTD'!$R$4:$R$300,0),MATCH(AR$2,'Input 4.1_2020VOL-YTD'!$C$1:$O$1,0))/INDEX('Input 4_2020CUST-YTD'!$C$4:Y$300,MATCH($C34,'Input 4_2020CUST-YTD'!$S$4:$S$300,0),MATCH(AR$2,'Input 4_2020CUST-YTD'!$C$1:$O$1,0)),0)</f>
        <v>526.28833333333341</v>
      </c>
      <c r="AS34" s="262">
        <f>IFERROR(INDEX('Input 4.1_2020VOL-YTD'!$C$4:$O$300, MATCH($C34,'Input 4.1_2020VOL-YTD'!$R$4:$R$300,0),MATCH(AS$2,'Input 4.1_2020VOL-YTD'!$C$1:$O$1,0))/INDEX('Input 4_2020CUST-YTD'!$C$4:Z$300,MATCH($C34,'Input 4_2020CUST-YTD'!$S$4:$S$300,0),MATCH(AS$2,'Input 4_2020CUST-YTD'!$C$1:$O$1,0)),0)</f>
        <v>611.86123039807046</v>
      </c>
      <c r="AT34" s="190">
        <f t="shared" si="10"/>
        <v>702.17314930991176</v>
      </c>
      <c r="AU34" s="261">
        <f t="shared" si="11"/>
        <v>1</v>
      </c>
      <c r="AW34" s="1">
        <f>IFERROR(INDEX('Input 5.1_2021VOL-YTD'!$C$3:$N$150, MATCH($C34,'Input 5.1_2021VOL-YTD'!$R$3:$R$150,0),MATCH(AW$2,'Input 5.1_2021VOL-YTD'!$C$1:$N$1,0))/INDEX('Input 5_2021CUST-YTD'!$C$3:$N$150,MATCH($C34,'Input 5_2021CUST-YTD'!$S$3:$S$150,0),MATCH(AW$2,'Input 5_2021CUST-YTD'!$C$1:$N$1,0)),0)</f>
        <v>697.73033816425254</v>
      </c>
      <c r="AX34" s="1">
        <f>IFERROR(INDEX('Input 5.1_2021VOL-YTD'!$C$3:$N$150, MATCH($C34,'Input 5.1_2021VOL-YTD'!$R$3:$R$150,0),MATCH(AX$2,'Input 5.1_2021VOL-YTD'!$C$1:$N$1,0))/INDEX('Input 5_2021CUST-YTD'!$C$3:$N$150,MATCH($C34,'Input 5_2021CUST-YTD'!$S$3:$S$150,0),MATCH(AX$2,'Input 5_2021CUST-YTD'!$C$1:$N$1,0)),0)</f>
        <v>614.11069090909245</v>
      </c>
      <c r="AY34" s="1">
        <f>IFERROR(INDEX('Input 5.1_2021VOL-YTD'!$C$3:$N$150, MATCH($C34,'Input 5.1_2021VOL-YTD'!$R$3:$R$150,0),MATCH(AY$2,'Input 5.1_2021VOL-YTD'!$C$1:$N$1,0))/INDEX('Input 5_2021CUST-YTD'!$C$3:$N$150,MATCH($C34,'Input 5_2021CUST-YTD'!$S$3:$S$150,0),MATCH(AY$2,'Input 5_2021CUST-YTD'!$C$1:$N$1,0)),0)</f>
        <v>585.3127450980395</v>
      </c>
      <c r="AZ34" s="1">
        <f>IFERROR(INDEX('Input 5.1_2021VOL-YTD'!$C$3:$N$150, MATCH($C34,'Input 5.1_2021VOL-YTD'!$R$3:$R$150,0),MATCH(AZ$2,'Input 5.1_2021VOL-YTD'!$C$1:$N$1,0))/INDEX('Input 5_2021CUST-YTD'!$C$3:$N$150,MATCH($C34,'Input 5_2021CUST-YTD'!$S$3:$S$150,0),MATCH(AZ$2,'Input 5_2021CUST-YTD'!$C$1:$N$1,0)),0)</f>
        <v>631.81541818181847</v>
      </c>
      <c r="BA34" s="1">
        <f>IFERROR(INDEX('Input 5.1_2021VOL-YTD'!$C$3:$N$150, MATCH($C34,'Input 5.1_2021VOL-YTD'!$R$3:$R$150,0),MATCH(BA$2,'Input 5.1_2021VOL-YTD'!$C$1:$N$1,0))/INDEX('Input 5_2021CUST-YTD'!$C$3:$N$150,MATCH($C34,'Input 5_2021CUST-YTD'!$S$3:$S$150,0),MATCH(BA$2,'Input 5_2021CUST-YTD'!$C$1:$N$1,0)),0)</f>
        <v>569.18648325358799</v>
      </c>
      <c r="BB34" s="1">
        <f>IFERROR(INDEX('Input 5.1_2021VOL-YTD'!$C$3:$N$150, MATCH($C34,'Input 5.1_2021VOL-YTD'!$R$3:$R$150,0),MATCH(BB$2,'Input 5.1_2021VOL-YTD'!$C$1:$N$1,0))/INDEX('Input 5_2021CUST-YTD'!$C$3:$N$150,MATCH($C34,'Input 5_2021CUST-YTD'!$S$3:$S$150,0),MATCH(BB$2,'Input 5_2021CUST-YTD'!$C$1:$N$1,0)),0)</f>
        <v>497.49188023952041</v>
      </c>
      <c r="BC34" s="1">
        <f>IFERROR(INDEX('Input 5.1_2021VOL-YTD'!$C$3:$N$150, MATCH($C34,'Input 5.1_2021VOL-YTD'!$R$3:$R$150,0),MATCH(BC$2,'Input 5.1_2021VOL-YTD'!$C$1:$N$1,0))/INDEX('Input 5_2021CUST-YTD'!$C$3:$N$150,MATCH($C34,'Input 5_2021CUST-YTD'!$S$3:$S$150,0),MATCH(BC$2,'Input 5_2021CUST-YTD'!$C$1:$N$1,0)),0)</f>
        <v>519.54792654028483</v>
      </c>
      <c r="BD34" s="1">
        <f>IFERROR(INDEX('Input 5.1_2021VOL-YTD'!$C$3:$N$150, MATCH($C34,'Input 5.1_2021VOL-YTD'!$R$3:$R$150,0),MATCH(BD$2,'Input 5.1_2021VOL-YTD'!$C$1:$N$1,0))/INDEX('Input 5_2021CUST-YTD'!$C$3:$N$150,MATCH($C34,'Input 5_2021CUST-YTD'!$S$3:$S$150,0),MATCH(BD$2,'Input 5_2021CUST-YTD'!$C$1:$N$1,0)),0)</f>
        <v>478.79542452830248</v>
      </c>
      <c r="BE34" s="1">
        <f>IFERROR(INDEX('Input 5.1_2021VOL-YTD'!$C$3:$N$150, MATCH($C34,'Input 5.1_2021VOL-YTD'!$R$3:$R$150,0),MATCH(BE$2,'Input 5.1_2021VOL-YTD'!$C$1:$N$1,0))/INDEX('Input 5_2021CUST-YTD'!$C$3:$N$150,MATCH($C34,'Input 5_2021CUST-YTD'!$S$3:$S$150,0),MATCH(BE$2,'Input 5_2021CUST-YTD'!$C$1:$N$1,0)),0)</f>
        <v>506.99145029239753</v>
      </c>
      <c r="BF34" s="1">
        <f>IFERROR(INDEX('Input 5.1_2021VOL-YTD'!$C$3:$N$150, MATCH($C34,'Input 5.1_2021VOL-YTD'!$R$3:$R$150,0),MATCH(BF$2,'Input 5.1_2021VOL-YTD'!$C$1:$N$1,0))/INDEX('Input 5_2021CUST-YTD'!$C$3:$N$150,MATCH($C34,'Input 5_2021CUST-YTD'!$S$3:$S$150,0),MATCH(BF$2,'Input 5_2021CUST-YTD'!$C$1:$N$1,0)),0)</f>
        <v>501.31924528301931</v>
      </c>
      <c r="BG34" s="1">
        <f>IFERROR(INDEX('Input 5.1_2021VOL-YTD'!$C$3:$N$150, MATCH($C34,'Input 5.1_2021VOL-YTD'!$R$3:$R$150,0),MATCH(BG$2,'Input 5.1_2021VOL-YTD'!$C$1:$N$1,0))/INDEX('Input 5_2021CUST-YTD'!$C$3:$N$150,MATCH($C34,'Input 5_2021CUST-YTD'!$S$3:$S$150,0),MATCH(BG$2,'Input 5_2021CUST-YTD'!$C$1:$N$1,0)),0)</f>
        <v>546.26097788125696</v>
      </c>
      <c r="BH34" s="1">
        <f>IFERROR(INDEX('Input 5.1_2021VOL-YTD'!$C$3:$N$150, MATCH($C34,'Input 5.1_2021VOL-YTD'!$R$3:$R$150,0),MATCH(BH$2,'Input 5.1_2021VOL-YTD'!$C$1:$N$1,0))/INDEX('Input 5_2021CUST-YTD'!$C$3:$N$150,MATCH($C34,'Input 5_2021CUST-YTD'!$S$3:$S$150,0),MATCH(BH$2,'Input 5_2021CUST-YTD'!$C$1:$N$1,0)),0)</f>
        <v>644.09090173410436</v>
      </c>
      <c r="BI34" s="190">
        <f t="shared" si="7"/>
        <v>697.73033816425254</v>
      </c>
      <c r="BJ34" s="261">
        <f t="shared" si="8"/>
        <v>1</v>
      </c>
    </row>
    <row r="35" spans="1:62">
      <c r="A35" s="261" t="s">
        <v>1245</v>
      </c>
      <c r="B35" s="261" t="s">
        <v>15</v>
      </c>
      <c r="C35" s="261" t="s">
        <v>49</v>
      </c>
      <c r="D35" s="5">
        <f>IFERROR(INDEX('Input 16.1_2018VOL-YTD'!$C$4:$N$300, MATCH($C35,'Input 16.1_2018VOL-YTD'!$R$4:$R$300,0),MATCH(D$2,'Input 16.1_2018VOL-YTD'!$C$1:$N$1,0))/INDEX('Input 16_2018CUST-YTD'!$D$4:$O$300,MATCH($C35,'Input 16_2018CUST-YTD'!$S$4:$S$300,0),MATCH(D$2,'Input 16_2018CUST-YTD'!$C$1:$O$1,0)),0)</f>
        <v>0</v>
      </c>
      <c r="E35" s="5">
        <f>IFERROR(INDEX('Input 16.1_2018VOL-YTD'!$C$4:$N$300, MATCH($C35,'Input 16.1_2018VOL-YTD'!$R$4:$R$300,0),MATCH(E$2,'Input 16.1_2018VOL-YTD'!$C$1:$N$1,0))/INDEX('Input 16_2018CUST-YTD'!$D$4:$O$300,MATCH($C35,'Input 16_2018CUST-YTD'!$S$4:$S$300,0),MATCH(E$2,'Input 16_2018CUST-YTD'!$C$1:$O$1,0)),0)</f>
        <v>0</v>
      </c>
      <c r="F35" s="5">
        <f>IFERROR(INDEX('Input 16.1_2018VOL-YTD'!$C$4:$N$300, MATCH($C35,'Input 16.1_2018VOL-YTD'!$R$4:$R$300,0),MATCH(F$2,'Input 16.1_2018VOL-YTD'!$C$1:$N$1,0))/INDEX('Input 16_2018CUST-YTD'!$D$4:$O$300,MATCH($C35,'Input 16_2018CUST-YTD'!$S$4:$S$300,0),MATCH(F$2,'Input 16_2018CUST-YTD'!$C$1:$O$1,0)),0)</f>
        <v>0</v>
      </c>
      <c r="G35" s="5">
        <f>IFERROR(INDEX('Input 16.1_2018VOL-YTD'!$C$4:$N$300, MATCH($C35,'Input 16.1_2018VOL-YTD'!$R$4:$R$300,0),MATCH(G$2,'Input 16.1_2018VOL-YTD'!$C$1:$N$1,0))/INDEX('Input 16_2018CUST-YTD'!$D$4:$O$300,MATCH($C35,'Input 16_2018CUST-YTD'!$S$4:$S$300,0),MATCH(G$2,'Input 16_2018CUST-YTD'!$C$1:$O$1,0)),0)</f>
        <v>0</v>
      </c>
      <c r="H35" s="5">
        <f>IFERROR(INDEX('Input 16.1_2018VOL-YTD'!$C$4:$N$300, MATCH($C35,'Input 16.1_2018VOL-YTD'!$R$4:$R$300,0),MATCH(H$2,'Input 16.1_2018VOL-YTD'!$C$1:$N$1,0))/INDEX('Input 16_2018CUST-YTD'!$D$4:$O$300,MATCH($C35,'Input 16_2018CUST-YTD'!$S$4:$S$300,0),MATCH(H$2,'Input 16_2018CUST-YTD'!$C$1:$O$1,0)),0)</f>
        <v>0</v>
      </c>
      <c r="I35" s="5">
        <f>IFERROR(INDEX('Input 16.1_2018VOL-YTD'!$C$4:$N$300, MATCH($C35,'Input 16.1_2018VOL-YTD'!$R$4:$R$300,0),MATCH(I$2,'Input 16.1_2018VOL-YTD'!$C$1:$N$1,0))/INDEX('Input 16_2018CUST-YTD'!$D$4:$O$300,MATCH($C35,'Input 16_2018CUST-YTD'!$S$4:$S$300,0),MATCH(I$2,'Input 16_2018CUST-YTD'!$C$1:$O$1,0)),0)</f>
        <v>0</v>
      </c>
      <c r="J35" s="5">
        <f>IFERROR(INDEX('Input 16.1_2018VOL-YTD'!$C$4:$N$300, MATCH($C35,'Input 16.1_2018VOL-YTD'!$R$4:$R$300,0),MATCH(J$2,'Input 16.1_2018VOL-YTD'!$C$1:$N$1,0))/INDEX('Input 16_2018CUST-YTD'!$D$4:$O$300,MATCH($C35,'Input 16_2018CUST-YTD'!$S$4:$S$300,0),MATCH(J$2,'Input 16_2018CUST-YTD'!$C$1:$O$1,0)),0)</f>
        <v>0</v>
      </c>
      <c r="K35" s="5">
        <f>IFERROR(INDEX('Input 16.1_2018VOL-YTD'!$C$4:$N$300, MATCH($C35,'Input 16.1_2018VOL-YTD'!$R$4:$R$300,0),MATCH(K$2,'Input 16.1_2018VOL-YTD'!$C$1:$N$1,0))/INDEX('Input 16_2018CUST-YTD'!$D$4:$O$300,MATCH($C35,'Input 16_2018CUST-YTD'!$S$4:$S$300,0),MATCH(K$2,'Input 16_2018CUST-YTD'!$C$1:$O$1,0)),0)</f>
        <v>0</v>
      </c>
      <c r="L35" s="5">
        <f>IFERROR(INDEX('Input 16.1_2018VOL-YTD'!$C$4:$N$300, MATCH($C35,'Input 16.1_2018VOL-YTD'!$R$4:$R$300,0),MATCH(L$2,'Input 16.1_2018VOL-YTD'!$C$1:$N$1,0))/INDEX('Input 16_2018CUST-YTD'!$D$4:$O$300,MATCH($C35,'Input 16_2018CUST-YTD'!$S$4:$S$300,0),MATCH(L$2,'Input 16_2018CUST-YTD'!$C$1:$O$1,0)),0)</f>
        <v>0</v>
      </c>
      <c r="M35" s="5">
        <f>IFERROR(INDEX('Input 16.1_2018VOL-YTD'!$C$4:$N$300, MATCH($C35,'Input 16.1_2018VOL-YTD'!$R$4:$R$300,0),MATCH(M$2,'Input 16.1_2018VOL-YTD'!$C$1:$N$1,0))/INDEX('Input 16_2018CUST-YTD'!$D$4:$O$300,MATCH($C35,'Input 16_2018CUST-YTD'!$S$4:$S$300,0),MATCH(M$2,'Input 16_2018CUST-YTD'!$C$1:$O$1,0)),0)</f>
        <v>0</v>
      </c>
      <c r="N35" s="5">
        <f>IFERROR(INDEX('Input 16.1_2018VOL-YTD'!$C$4:$N$300, MATCH($C35,'Input 16.1_2018VOL-YTD'!$R$4:$R$300,0),MATCH(N$2,'Input 16.1_2018VOL-YTD'!$C$1:$N$1,0))/INDEX('Input 16_2018CUST-YTD'!$D$4:$O$300,MATCH($C35,'Input 16_2018CUST-YTD'!$S$4:$S$300,0),MATCH(N$2,'Input 16_2018CUST-YTD'!$C$1:$O$1,0)),0)</f>
        <v>0</v>
      </c>
      <c r="O35" s="5">
        <f>IFERROR(INDEX('Input 16.1_2018VOL-YTD'!$C$4:$N$300, MATCH($C35,'Input 16.1_2018VOL-YTD'!$R$4:$R$300,0),MATCH(O$2,'Input 16.1_2018VOL-YTD'!$C$1:$N$1,0))/INDEX('Input 16_2018CUST-YTD'!$D$4:$O$300,MATCH($C35,'Input 16_2018CUST-YTD'!$S$4:$S$300,0),MATCH(O$2,'Input 16_2018CUST-YTD'!$C$1:$O$1,0)),0)</f>
        <v>0</v>
      </c>
      <c r="P35" s="271">
        <f t="shared" si="1"/>
        <v>0</v>
      </c>
      <c r="Q35" s="261">
        <f t="shared" si="2"/>
        <v>0</v>
      </c>
      <c r="S35" s="5">
        <f>IFERROR(INDEX('Input 3.1_2019VOL-YTD'!$C$4:$N$300, MATCH($C35,'Input 3.1_2019VOL-YTD'!$R$4:$R$300,0),MATCH(S$2,'Input 3.1_2019VOL-YTD'!$C$1:$N$1,0))/INDEX('Input 3_2019CUST-YTD'!$C$4:$N$300,MATCH($C35,'Input 3_2019CUST-YTD'!$S$4:$S$300,0),MATCH(S$2,'Input 3_2019CUST-YTD'!$C$1:$N$1,0)),0)</f>
        <v>0</v>
      </c>
      <c r="T35" s="5">
        <f>IFERROR(INDEX('Input 3.1_2019VOL-YTD'!$C$4:$N$300, MATCH($C35,'Input 3.1_2019VOL-YTD'!$R$4:$R$300,0),MATCH(T$2,'Input 3.1_2019VOL-YTD'!$C$1:$N$1,0))/INDEX('Input 3_2019CUST-YTD'!$C$4:$N$300,MATCH($C35,'Input 3_2019CUST-YTD'!$S$4:$S$300,0),MATCH(T$2,'Input 3_2019CUST-YTD'!$C$1:$N$1,0)),0)</f>
        <v>0</v>
      </c>
      <c r="U35" s="5">
        <f>IFERROR(INDEX('Input 3.1_2019VOL-YTD'!$C$4:$N$300, MATCH($C35,'Input 3.1_2019VOL-YTD'!$R$4:$R$300,0),MATCH(U$2,'Input 3.1_2019VOL-YTD'!$C$1:$N$1,0))/INDEX('Input 3_2019CUST-YTD'!$C$4:$N$300,MATCH($C35,'Input 3_2019CUST-YTD'!$S$4:$S$300,0),MATCH(U$2,'Input 3_2019CUST-YTD'!$C$1:$N$1,0)),0)</f>
        <v>0</v>
      </c>
      <c r="V35" s="5">
        <f>IFERROR(INDEX('Input 3.1_2019VOL-YTD'!$C$4:$N$300, MATCH($C35,'Input 3.1_2019VOL-YTD'!$R$4:$R$300,0),MATCH(V$2,'Input 3.1_2019VOL-YTD'!$C$1:$N$1,0))/INDEX('Input 3_2019CUST-YTD'!$C$4:$N$300,MATCH($C35,'Input 3_2019CUST-YTD'!$S$4:$S$300,0),MATCH(V$2,'Input 3_2019CUST-YTD'!$C$1:$N$1,0)),0)</f>
        <v>0</v>
      </c>
      <c r="W35" s="5">
        <f>IFERROR(INDEX('Input 3.1_2019VOL-YTD'!$C$4:$N$300, MATCH($C35,'Input 3.1_2019VOL-YTD'!$R$4:$R$300,0),MATCH(W$2,'Input 3.1_2019VOL-YTD'!$C$1:$N$1,0))/INDEX('Input 3_2019CUST-YTD'!$C$4:$N$300,MATCH($C35,'Input 3_2019CUST-YTD'!$S$4:$S$300,0),MATCH(W$2,'Input 3_2019CUST-YTD'!$C$1:$N$1,0)),0)</f>
        <v>0</v>
      </c>
      <c r="X35" s="5">
        <f>IFERROR(INDEX('Input 3.1_2019VOL-YTD'!$C$4:$N$300, MATCH($C35,'Input 3.1_2019VOL-YTD'!$R$4:$R$300,0),MATCH(X$2,'Input 3.1_2019VOL-YTD'!$C$1:$N$1,0))/INDEX('Input 3_2019CUST-YTD'!$C$4:$N$300,MATCH($C35,'Input 3_2019CUST-YTD'!$S$4:$S$300,0),MATCH(X$2,'Input 3_2019CUST-YTD'!$C$1:$N$1,0)),0)</f>
        <v>0</v>
      </c>
      <c r="Y35" s="5">
        <f>IFERROR(INDEX('Input 3.1_2019VOL-YTD'!$C$4:$N$300, MATCH($C35,'Input 3.1_2019VOL-YTD'!$R$4:$R$300,0),MATCH(Y$2,'Input 3.1_2019VOL-YTD'!$C$1:$N$1,0))/INDEX('Input 3_2019CUST-YTD'!$C$4:$N$300,MATCH($C35,'Input 3_2019CUST-YTD'!$S$4:$S$300,0),MATCH(Y$2,'Input 3_2019CUST-YTD'!$C$1:$N$1,0)),0)</f>
        <v>0</v>
      </c>
      <c r="Z35" s="5">
        <f>IFERROR(INDEX('Input 3.1_2019VOL-YTD'!$C$4:$N$300, MATCH($C35,'Input 3.1_2019VOL-YTD'!$R$4:$R$300,0),MATCH(Z$2,'Input 3.1_2019VOL-YTD'!$C$1:$N$1,0))/INDEX('Input 3_2019CUST-YTD'!$C$4:$N$300,MATCH($C35,'Input 3_2019CUST-YTD'!$S$4:$S$300,0),MATCH(Z$2,'Input 3_2019CUST-YTD'!$C$1:$N$1,0)),0)</f>
        <v>0</v>
      </c>
      <c r="AA35" s="5">
        <f>IFERROR(INDEX('Input 3.1_2019VOL-YTD'!$C$4:$N$300, MATCH($C35,'Input 3.1_2019VOL-YTD'!$R$4:$R$300,0),MATCH(AA$2,'Input 3.1_2019VOL-YTD'!$C$1:$N$1,0))/INDEX('Input 3_2019CUST-YTD'!$C$4:$N$300,MATCH($C35,'Input 3_2019CUST-YTD'!$S$4:$S$300,0),MATCH(AA$2,'Input 3_2019CUST-YTD'!$C$1:$N$1,0)),0)</f>
        <v>0</v>
      </c>
      <c r="AB35" s="5">
        <f>IFERROR(INDEX('Input 3.1_2019VOL-YTD'!$C$4:$N$300, MATCH($C35,'Input 3.1_2019VOL-YTD'!$R$4:$R$300,0),MATCH(AB$2,'Input 3.1_2019VOL-YTD'!$C$1:$N$1,0))/INDEX('Input 3_2019CUST-YTD'!$C$4:$N$300,MATCH($C35,'Input 3_2019CUST-YTD'!$S$4:$S$300,0),MATCH(AB$2,'Input 3_2019CUST-YTD'!$C$1:$N$1,0)),0)</f>
        <v>0</v>
      </c>
      <c r="AC35" s="5">
        <f>IFERROR(INDEX('Input 3.1_2019VOL-YTD'!$C$4:$N$300, MATCH($C35,'Input 3.1_2019VOL-YTD'!$R$4:$R$300,0),MATCH(AC$2,'Input 3.1_2019VOL-YTD'!$C$1:$N$1,0))/INDEX('Input 3_2019CUST-YTD'!$C$4:$N$300,MATCH($C35,'Input 3_2019CUST-YTD'!$S$4:$S$300,0),MATCH(AC$2,'Input 3_2019CUST-YTD'!$C$1:$N$1,0)),0)</f>
        <v>0</v>
      </c>
      <c r="AD35" s="5">
        <f>IFERROR(INDEX('Input 3.1_2019VOL-YTD'!$C$4:$N$300, MATCH($C35,'Input 3.1_2019VOL-YTD'!$R$4:$R$300,0),MATCH(AD$2,'Input 3.1_2019VOL-YTD'!$C$1:$N$1,0))/INDEX('Input 3_2019CUST-YTD'!$C$4:$N$300,MATCH($C35,'Input 3_2019CUST-YTD'!$S$4:$S$300,0),MATCH(AD$2,'Input 3_2019CUST-YTD'!$C$1:$N$1,0)),0)</f>
        <v>0</v>
      </c>
      <c r="AE35" s="272">
        <f t="shared" si="12"/>
        <v>0</v>
      </c>
      <c r="AF35" s="261">
        <f t="shared" si="13"/>
        <v>1</v>
      </c>
      <c r="AH35" s="262">
        <f>IFERROR(INDEX('Input 4.1_2020VOL-YTD'!$C$4:$O$300, MATCH($C35,'Input 4.1_2020VOL-YTD'!$R$4:$R$300,0),MATCH(AH$2,'Input 4.1_2020VOL-YTD'!$C$1:$O$1,0))/INDEX('Input 4_2020CUST-YTD'!$C$4:O$300,MATCH($C35,'Input 4_2020CUST-YTD'!$S$4:$S$300,0),MATCH(AH$2,'Input 4_2020CUST-YTD'!$C$1:$O$1,0)),0)</f>
        <v>0</v>
      </c>
      <c r="AI35" s="262">
        <f>IFERROR(INDEX('Input 4.1_2020VOL-YTD'!$C$4:$O$300, MATCH($C35,'Input 4.1_2020VOL-YTD'!$R$4:$R$300,0),MATCH(AI$2,'Input 4.1_2020VOL-YTD'!$C$1:$O$1,0))/INDEX('Input 4_2020CUST-YTD'!$C$4:P$300,MATCH($C35,'Input 4_2020CUST-YTD'!$S$4:$S$300,0),MATCH(AI$2,'Input 4_2020CUST-YTD'!$C$1:$O$1,0)),0)</f>
        <v>0</v>
      </c>
      <c r="AJ35" s="262">
        <f>IFERROR(INDEX('Input 4.1_2020VOL-YTD'!$C$4:$O$300, MATCH($C35,'Input 4.1_2020VOL-YTD'!$R$4:$R$300,0),MATCH(AJ$2,'Input 4.1_2020VOL-YTD'!$C$1:$O$1,0))/INDEX('Input 4_2020CUST-YTD'!$C$4:Q$300,MATCH($C35,'Input 4_2020CUST-YTD'!$S$4:$S$300,0),MATCH(AJ$2,'Input 4_2020CUST-YTD'!$C$1:$O$1,0)),0)</f>
        <v>0</v>
      </c>
      <c r="AK35" s="262">
        <f>IFERROR(INDEX('Input 4.1_2020VOL-YTD'!$C$4:$O$300, MATCH($C35,'Input 4.1_2020VOL-YTD'!$R$4:$R$300,0),MATCH(AK$2,'Input 4.1_2020VOL-YTD'!$C$1:$O$1,0))/INDEX('Input 4_2020CUST-YTD'!$C$4:R$300,MATCH($C35,'Input 4_2020CUST-YTD'!$S$4:$S$300,0),MATCH(AK$2,'Input 4_2020CUST-YTD'!$C$1:$O$1,0)),0)</f>
        <v>0</v>
      </c>
      <c r="AL35" s="262">
        <f>IFERROR(INDEX('Input 4.1_2020VOL-YTD'!$C$4:$O$300, MATCH($C35,'Input 4.1_2020VOL-YTD'!$R$4:$R$300,0),MATCH(AL$2,'Input 4.1_2020VOL-YTD'!$C$1:$O$1,0))/INDEX('Input 4_2020CUST-YTD'!$C$4:S$300,MATCH($C35,'Input 4_2020CUST-YTD'!$S$4:$S$300,0),MATCH(AL$2,'Input 4_2020CUST-YTD'!$C$1:$O$1,0)),0)</f>
        <v>0</v>
      </c>
      <c r="AM35" s="262">
        <f>IFERROR(INDEX('Input 4.1_2020VOL-YTD'!$C$4:$O$300, MATCH($C35,'Input 4.1_2020VOL-YTD'!$R$4:$R$300,0),MATCH(AM$2,'Input 4.1_2020VOL-YTD'!$C$1:$O$1,0))/INDEX('Input 4_2020CUST-YTD'!$C$4:T$300,MATCH($C35,'Input 4_2020CUST-YTD'!$S$4:$S$300,0),MATCH(AM$2,'Input 4_2020CUST-YTD'!$C$1:$O$1,0)),0)</f>
        <v>0</v>
      </c>
      <c r="AN35" s="262">
        <f>IFERROR(INDEX('Input 4.1_2020VOL-YTD'!$C$4:$O$300, MATCH($C35,'Input 4.1_2020VOL-YTD'!$R$4:$R$300,0),MATCH(AN$2,'Input 4.1_2020VOL-YTD'!$C$1:$O$1,0))/INDEX('Input 4_2020CUST-YTD'!$C$4:U$300,MATCH($C35,'Input 4_2020CUST-YTD'!$S$4:$S$300,0),MATCH(AN$2,'Input 4_2020CUST-YTD'!$C$1:$O$1,0)),0)</f>
        <v>0</v>
      </c>
      <c r="AO35" s="262">
        <f>IFERROR(INDEX('Input 4.1_2020VOL-YTD'!$C$4:$O$300, MATCH($C35,'Input 4.1_2020VOL-YTD'!$R$4:$R$300,0),MATCH(AO$2,'Input 4.1_2020VOL-YTD'!$C$1:$O$1,0))/INDEX('Input 4_2020CUST-YTD'!$C$4:V$300,MATCH($C35,'Input 4_2020CUST-YTD'!$S$4:$S$300,0),MATCH(AO$2,'Input 4_2020CUST-YTD'!$C$1:$O$1,0)),0)</f>
        <v>0</v>
      </c>
      <c r="AP35" s="262">
        <f>IFERROR(INDEX('Input 4.1_2020VOL-YTD'!$C$4:$O$300, MATCH($C35,'Input 4.1_2020VOL-YTD'!$R$4:$R$300,0),MATCH(AP$2,'Input 4.1_2020VOL-YTD'!$C$1:$O$1,0))/INDEX('Input 4_2020CUST-YTD'!$C$4:W$300,MATCH($C35,'Input 4_2020CUST-YTD'!$S$4:$S$300,0),MATCH(AP$2,'Input 4_2020CUST-YTD'!$C$1:$O$1,0)),0)</f>
        <v>0</v>
      </c>
      <c r="AQ35" s="262">
        <f>IFERROR(INDEX('Input 4.1_2020VOL-YTD'!$C$4:$O$300, MATCH($C35,'Input 4.1_2020VOL-YTD'!$R$4:$R$300,0),MATCH(AQ$2,'Input 4.1_2020VOL-YTD'!$C$1:$O$1,0))/INDEX('Input 4_2020CUST-YTD'!$C$4:X$300,MATCH($C35,'Input 4_2020CUST-YTD'!$S$4:$S$300,0),MATCH(AQ$2,'Input 4_2020CUST-YTD'!$C$1:$O$1,0)),0)</f>
        <v>0</v>
      </c>
      <c r="AR35" s="262">
        <f>IFERROR(INDEX('Input 4.1_2020VOL-YTD'!$C$4:$O$300, MATCH($C35,'Input 4.1_2020VOL-YTD'!$R$4:$R$300,0),MATCH(AR$2,'Input 4.1_2020VOL-YTD'!$C$1:$O$1,0))/INDEX('Input 4_2020CUST-YTD'!$C$4:Y$300,MATCH($C35,'Input 4_2020CUST-YTD'!$S$4:$S$300,0),MATCH(AR$2,'Input 4_2020CUST-YTD'!$C$1:$O$1,0)),0)</f>
        <v>0</v>
      </c>
      <c r="AS35" s="262">
        <f>IFERROR(INDEX('Input 4.1_2020VOL-YTD'!$C$4:$O$300, MATCH($C35,'Input 4.1_2020VOL-YTD'!$R$4:$R$300,0),MATCH(AS$2,'Input 4.1_2020VOL-YTD'!$C$1:$O$1,0))/INDEX('Input 4_2020CUST-YTD'!$C$4:Z$300,MATCH($C35,'Input 4_2020CUST-YTD'!$S$4:$S$300,0),MATCH(AS$2,'Input 4_2020CUST-YTD'!$C$1:$O$1,0)),0)</f>
        <v>0</v>
      </c>
      <c r="AT35" s="190">
        <f t="shared" si="10"/>
        <v>0</v>
      </c>
      <c r="AU35" s="261">
        <f t="shared" si="11"/>
        <v>1</v>
      </c>
      <c r="AW35" s="1">
        <f>IFERROR(INDEX('Input 5.1_2021VOL-YTD'!$C$3:$N$150, MATCH($C35,'Input 5.1_2021VOL-YTD'!$R$3:$R$150,0),MATCH(AW$2,'Input 5.1_2021VOL-YTD'!$C$1:$N$1,0))/INDEX('Input 5_2021CUST-YTD'!$C$3:$N$150,MATCH($C35,'Input 5_2021CUST-YTD'!$S$3:$S$150,0),MATCH(AW$2,'Input 5_2021CUST-YTD'!$C$1:$N$1,0)),0)</f>
        <v>0</v>
      </c>
      <c r="AX35" s="1">
        <f>IFERROR(INDEX('Input 5.1_2021VOL-YTD'!$C$3:$N$150, MATCH($C35,'Input 5.1_2021VOL-YTD'!$R$3:$R$150,0),MATCH(AX$2,'Input 5.1_2021VOL-YTD'!$C$1:$N$1,0))/INDEX('Input 5_2021CUST-YTD'!$C$3:$N$150,MATCH($C35,'Input 5_2021CUST-YTD'!$S$3:$S$150,0),MATCH(AX$2,'Input 5_2021CUST-YTD'!$C$1:$N$1,0)),0)</f>
        <v>0</v>
      </c>
      <c r="AY35" s="1">
        <f>IFERROR(INDEX('Input 5.1_2021VOL-YTD'!$C$3:$N$150, MATCH($C35,'Input 5.1_2021VOL-YTD'!$R$3:$R$150,0),MATCH(AY$2,'Input 5.1_2021VOL-YTD'!$C$1:$N$1,0))/INDEX('Input 5_2021CUST-YTD'!$C$3:$N$150,MATCH($C35,'Input 5_2021CUST-YTD'!$S$3:$S$150,0),MATCH(AY$2,'Input 5_2021CUST-YTD'!$C$1:$N$1,0)),0)</f>
        <v>0</v>
      </c>
      <c r="AZ35" s="1">
        <f>IFERROR(INDEX('Input 5.1_2021VOL-YTD'!$C$3:$N$150, MATCH($C35,'Input 5.1_2021VOL-YTD'!$R$3:$R$150,0),MATCH(AZ$2,'Input 5.1_2021VOL-YTD'!$C$1:$N$1,0))/INDEX('Input 5_2021CUST-YTD'!$C$3:$N$150,MATCH($C35,'Input 5_2021CUST-YTD'!$S$3:$S$150,0),MATCH(AZ$2,'Input 5_2021CUST-YTD'!$C$1:$N$1,0)),0)</f>
        <v>0</v>
      </c>
      <c r="BA35" s="1">
        <f>IFERROR(INDEX('Input 5.1_2021VOL-YTD'!$C$3:$N$150, MATCH($C35,'Input 5.1_2021VOL-YTD'!$R$3:$R$150,0),MATCH(BA$2,'Input 5.1_2021VOL-YTD'!$C$1:$N$1,0))/INDEX('Input 5_2021CUST-YTD'!$C$3:$N$150,MATCH($C35,'Input 5_2021CUST-YTD'!$S$3:$S$150,0),MATCH(BA$2,'Input 5_2021CUST-YTD'!$C$1:$N$1,0)),0)</f>
        <v>0</v>
      </c>
      <c r="BB35" s="1">
        <f>IFERROR(INDEX('Input 5.1_2021VOL-YTD'!$C$3:$N$150, MATCH($C35,'Input 5.1_2021VOL-YTD'!$R$3:$R$150,0),MATCH(BB$2,'Input 5.1_2021VOL-YTD'!$C$1:$N$1,0))/INDEX('Input 5_2021CUST-YTD'!$C$3:$N$150,MATCH($C35,'Input 5_2021CUST-YTD'!$S$3:$S$150,0),MATCH(BB$2,'Input 5_2021CUST-YTD'!$C$1:$N$1,0)),0)</f>
        <v>0</v>
      </c>
      <c r="BC35" s="1">
        <f>IFERROR(INDEX('Input 5.1_2021VOL-YTD'!$C$3:$N$150, MATCH($C35,'Input 5.1_2021VOL-YTD'!$R$3:$R$150,0),MATCH(BC$2,'Input 5.1_2021VOL-YTD'!$C$1:$N$1,0))/INDEX('Input 5_2021CUST-YTD'!$C$3:$N$150,MATCH($C35,'Input 5_2021CUST-YTD'!$S$3:$S$150,0),MATCH(BC$2,'Input 5_2021CUST-YTD'!$C$1:$N$1,0)),0)</f>
        <v>0</v>
      </c>
      <c r="BD35" s="1">
        <f>IFERROR(INDEX('Input 5.1_2021VOL-YTD'!$C$3:$N$150, MATCH($C35,'Input 5.1_2021VOL-YTD'!$R$3:$R$150,0),MATCH(BD$2,'Input 5.1_2021VOL-YTD'!$C$1:$N$1,0))/INDEX('Input 5_2021CUST-YTD'!$C$3:$N$150,MATCH($C35,'Input 5_2021CUST-YTD'!$S$3:$S$150,0),MATCH(BD$2,'Input 5_2021CUST-YTD'!$C$1:$N$1,0)),0)</f>
        <v>0</v>
      </c>
      <c r="BE35" s="1">
        <f>IFERROR(INDEX('Input 5.1_2021VOL-YTD'!$C$3:$N$150, MATCH($C35,'Input 5.1_2021VOL-YTD'!$R$3:$R$150,0),MATCH(BE$2,'Input 5.1_2021VOL-YTD'!$C$1:$N$1,0))/INDEX('Input 5_2021CUST-YTD'!$C$3:$N$150,MATCH($C35,'Input 5_2021CUST-YTD'!$S$3:$S$150,0),MATCH(BE$2,'Input 5_2021CUST-YTD'!$C$1:$N$1,0)),0)</f>
        <v>0</v>
      </c>
      <c r="BF35" s="1">
        <f>IFERROR(INDEX('Input 5.1_2021VOL-YTD'!$C$3:$N$150, MATCH($C35,'Input 5.1_2021VOL-YTD'!$R$3:$R$150,0),MATCH(BF$2,'Input 5.1_2021VOL-YTD'!$C$1:$N$1,0))/INDEX('Input 5_2021CUST-YTD'!$C$3:$N$150,MATCH($C35,'Input 5_2021CUST-YTD'!$S$3:$S$150,0),MATCH(BF$2,'Input 5_2021CUST-YTD'!$C$1:$N$1,0)),0)</f>
        <v>0</v>
      </c>
      <c r="BG35" s="1">
        <f>IFERROR(INDEX('Input 5.1_2021VOL-YTD'!$C$3:$N$150, MATCH($C35,'Input 5.1_2021VOL-YTD'!$R$3:$R$150,0),MATCH(BG$2,'Input 5.1_2021VOL-YTD'!$C$1:$N$1,0))/INDEX('Input 5_2021CUST-YTD'!$C$3:$N$150,MATCH($C35,'Input 5_2021CUST-YTD'!$S$3:$S$150,0),MATCH(BG$2,'Input 5_2021CUST-YTD'!$C$1:$N$1,0)),0)</f>
        <v>0</v>
      </c>
      <c r="BH35" s="1">
        <f>IFERROR(INDEX('Input 5.1_2021VOL-YTD'!$C$3:$N$150, MATCH($C35,'Input 5.1_2021VOL-YTD'!$R$3:$R$150,0),MATCH(BH$2,'Input 5.1_2021VOL-YTD'!$C$1:$N$1,0))/INDEX('Input 5_2021CUST-YTD'!$C$3:$N$150,MATCH($C35,'Input 5_2021CUST-YTD'!$S$3:$S$150,0),MATCH(BH$2,'Input 5_2021CUST-YTD'!$C$1:$N$1,0)),0)</f>
        <v>0</v>
      </c>
      <c r="BI35" s="190">
        <f t="shared" si="7"/>
        <v>0</v>
      </c>
      <c r="BJ35" s="261">
        <f t="shared" si="8"/>
        <v>1</v>
      </c>
    </row>
    <row r="36" spans="1:62">
      <c r="A36" s="261" t="s">
        <v>1245</v>
      </c>
      <c r="B36" s="261" t="s">
        <v>15</v>
      </c>
      <c r="C36" s="261" t="s">
        <v>51</v>
      </c>
      <c r="D36" s="5">
        <f>IFERROR(INDEX('Input 16.1_2018VOL-YTD'!$C$4:$N$300, MATCH($C36,'Input 16.1_2018VOL-YTD'!$R$4:$R$300,0),MATCH(D$2,'Input 16.1_2018VOL-YTD'!$C$1:$N$1,0))/INDEX('Input 16_2018CUST-YTD'!$D$4:$O$300,MATCH($C36,'Input 16_2018CUST-YTD'!$S$4:$S$300,0),MATCH(D$2,'Input 16_2018CUST-YTD'!$C$1:$O$1,0)),0)</f>
        <v>54094.68352941177</v>
      </c>
      <c r="E36" s="5">
        <f>IFERROR(INDEX('Input 16.1_2018VOL-YTD'!$C$4:$N$300, MATCH($C36,'Input 16.1_2018VOL-YTD'!$R$4:$R$300,0),MATCH(E$2,'Input 16.1_2018VOL-YTD'!$C$1:$N$1,0))/INDEX('Input 16_2018CUST-YTD'!$D$4:$O$300,MATCH($C36,'Input 16_2018CUST-YTD'!$S$4:$S$300,0),MATCH(E$2,'Input 16_2018CUST-YTD'!$C$1:$O$1,0)),0)</f>
        <v>46540.081764705887</v>
      </c>
      <c r="F36" s="5">
        <f>IFERROR(INDEX('Input 16.1_2018VOL-YTD'!$C$4:$N$300, MATCH($C36,'Input 16.1_2018VOL-YTD'!$R$4:$R$300,0),MATCH(F$2,'Input 16.1_2018VOL-YTD'!$C$1:$N$1,0))/INDEX('Input 16_2018CUST-YTD'!$D$4:$O$300,MATCH($C36,'Input 16_2018CUST-YTD'!$S$4:$S$300,0),MATCH(F$2,'Input 16_2018CUST-YTD'!$C$1:$O$1,0)),0)</f>
        <v>53810.549999999996</v>
      </c>
      <c r="G36" s="5">
        <f>IFERROR(INDEX('Input 16.1_2018VOL-YTD'!$C$4:$N$300, MATCH($C36,'Input 16.1_2018VOL-YTD'!$R$4:$R$300,0),MATCH(G$2,'Input 16.1_2018VOL-YTD'!$C$1:$N$1,0))/INDEX('Input 16_2018CUST-YTD'!$D$4:$O$300,MATCH($C36,'Input 16_2018CUST-YTD'!$S$4:$S$300,0),MATCH(G$2,'Input 16_2018CUST-YTD'!$C$1:$O$1,0)),0)</f>
        <v>48950.451176470597</v>
      </c>
      <c r="H36" s="5">
        <f>IFERROR(INDEX('Input 16.1_2018VOL-YTD'!$C$4:$N$300, MATCH($C36,'Input 16.1_2018VOL-YTD'!$R$4:$R$300,0),MATCH(H$2,'Input 16.1_2018VOL-YTD'!$C$1:$N$1,0))/INDEX('Input 16_2018CUST-YTD'!$D$4:$O$300,MATCH($C36,'Input 16_2018CUST-YTD'!$S$4:$S$300,0),MATCH(H$2,'Input 16_2018CUST-YTD'!$C$1:$O$1,0)),0)</f>
        <v>50646.082352941172</v>
      </c>
      <c r="I36" s="5">
        <f>IFERROR(INDEX('Input 16.1_2018VOL-YTD'!$C$4:$N$300, MATCH($C36,'Input 16.1_2018VOL-YTD'!$R$4:$R$300,0),MATCH(I$2,'Input 16.1_2018VOL-YTD'!$C$1:$N$1,0))/INDEX('Input 16_2018CUST-YTD'!$D$4:$O$300,MATCH($C36,'Input 16_2018CUST-YTD'!$S$4:$S$300,0),MATCH(I$2,'Input 16_2018CUST-YTD'!$C$1:$O$1,0)),0)</f>
        <v>54035.397647058817</v>
      </c>
      <c r="J36" s="5">
        <f>IFERROR(INDEX('Input 16.1_2018VOL-YTD'!$C$4:$N$300, MATCH($C36,'Input 16.1_2018VOL-YTD'!$R$4:$R$300,0),MATCH(J$2,'Input 16.1_2018VOL-YTD'!$C$1:$N$1,0))/INDEX('Input 16_2018CUST-YTD'!$D$4:$O$300,MATCH($C36,'Input 16_2018CUST-YTD'!$S$4:$S$300,0),MATCH(J$2,'Input 16_2018CUST-YTD'!$C$1:$O$1,0)),0)</f>
        <v>51629.979411764703</v>
      </c>
      <c r="K36" s="5">
        <f>IFERROR(INDEX('Input 16.1_2018VOL-YTD'!$C$4:$N$300, MATCH($C36,'Input 16.1_2018VOL-YTD'!$R$4:$R$300,0),MATCH(K$2,'Input 16.1_2018VOL-YTD'!$C$1:$N$1,0))/INDEX('Input 16_2018CUST-YTD'!$D$4:$O$300,MATCH($C36,'Input 16_2018CUST-YTD'!$S$4:$S$300,0),MATCH(K$2,'Input 16_2018CUST-YTD'!$C$1:$O$1,0)),0)</f>
        <v>46496.769444444442</v>
      </c>
      <c r="L36" s="5">
        <f>IFERROR(INDEX('Input 16.1_2018VOL-YTD'!$C$4:$N$300, MATCH($C36,'Input 16.1_2018VOL-YTD'!$R$4:$R$300,0),MATCH(L$2,'Input 16.1_2018VOL-YTD'!$C$1:$N$1,0))/INDEX('Input 16_2018CUST-YTD'!$D$4:$O$300,MATCH($C36,'Input 16_2018CUST-YTD'!$S$4:$S$300,0),MATCH(L$2,'Input 16_2018CUST-YTD'!$C$1:$O$1,0)),0)</f>
        <v>45334.570555555561</v>
      </c>
      <c r="M36" s="5">
        <f>IFERROR(INDEX('Input 16.1_2018VOL-YTD'!$C$4:$N$300, MATCH($C36,'Input 16.1_2018VOL-YTD'!$R$4:$R$300,0),MATCH(M$2,'Input 16.1_2018VOL-YTD'!$C$1:$N$1,0))/INDEX('Input 16_2018CUST-YTD'!$D$4:$O$300,MATCH($C36,'Input 16_2018CUST-YTD'!$S$4:$S$300,0),MATCH(M$2,'Input 16_2018CUST-YTD'!$C$1:$O$1,0)),0)</f>
        <v>49515.197777777779</v>
      </c>
      <c r="N36" s="5">
        <f>IFERROR(INDEX('Input 16.1_2018VOL-YTD'!$C$4:$N$300, MATCH($C36,'Input 16.1_2018VOL-YTD'!$R$4:$R$300,0),MATCH(N$2,'Input 16.1_2018VOL-YTD'!$C$1:$N$1,0))/INDEX('Input 16_2018CUST-YTD'!$D$4:$O$300,MATCH($C36,'Input 16_2018CUST-YTD'!$S$4:$S$300,0),MATCH(N$2,'Input 16_2018CUST-YTD'!$C$1:$O$1,0)),0)</f>
        <v>49819.376470588228</v>
      </c>
      <c r="O36" s="5">
        <f>IFERROR(INDEX('Input 16.1_2018VOL-YTD'!$C$4:$N$300, MATCH($C36,'Input 16.1_2018VOL-YTD'!$R$4:$R$300,0),MATCH(O$2,'Input 16.1_2018VOL-YTD'!$C$1:$N$1,0))/INDEX('Input 16_2018CUST-YTD'!$D$4:$O$300,MATCH($C36,'Input 16_2018CUST-YTD'!$S$4:$S$300,0),MATCH(O$2,'Input 16_2018CUST-YTD'!$C$1:$O$1,0)),0)</f>
        <v>46747.730434782599</v>
      </c>
      <c r="P36" s="271">
        <f t="shared" si="1"/>
        <v>54094.68352941177</v>
      </c>
      <c r="Q36" s="261">
        <f t="shared" si="2"/>
        <v>1</v>
      </c>
      <c r="S36" s="5">
        <f>IFERROR(INDEX('Input 3.1_2019VOL-YTD'!$C$4:$N$300, MATCH($C36,'Input 3.1_2019VOL-YTD'!$R$4:$R$300,0),MATCH(S$2,'Input 3.1_2019VOL-YTD'!$C$1:$N$1,0))/INDEX('Input 3_2019CUST-YTD'!$C$4:$N$300,MATCH($C36,'Input 3_2019CUST-YTD'!$S$4:$S$300,0),MATCH(S$2,'Input 3_2019CUST-YTD'!$C$1:$N$1,0)),0)</f>
        <v>50412.742777777785</v>
      </c>
      <c r="T36" s="5">
        <f>IFERROR(INDEX('Input 3.1_2019VOL-YTD'!$C$4:$N$300, MATCH($C36,'Input 3.1_2019VOL-YTD'!$R$4:$R$300,0),MATCH(T$2,'Input 3.1_2019VOL-YTD'!$C$1:$N$1,0))/INDEX('Input 3_2019CUST-YTD'!$C$4:$N$300,MATCH($C36,'Input 3_2019CUST-YTD'!$S$4:$S$300,0),MATCH(T$2,'Input 3_2019CUST-YTD'!$C$1:$N$1,0)),0)</f>
        <v>44606.221111111103</v>
      </c>
      <c r="U36" s="5">
        <f>IFERROR(INDEX('Input 3.1_2019VOL-YTD'!$C$4:$N$300, MATCH($C36,'Input 3.1_2019VOL-YTD'!$R$4:$R$300,0),MATCH(U$2,'Input 3.1_2019VOL-YTD'!$C$1:$N$1,0))/INDEX('Input 3_2019CUST-YTD'!$C$4:$N$300,MATCH($C36,'Input 3_2019CUST-YTD'!$S$4:$S$300,0),MATCH(U$2,'Input 3_2019CUST-YTD'!$C$1:$N$1,0)),0)</f>
        <v>46476.234444444446</v>
      </c>
      <c r="V36" s="5">
        <f>IFERROR(INDEX('Input 3.1_2019VOL-YTD'!$C$4:$N$300, MATCH($C36,'Input 3.1_2019VOL-YTD'!$R$4:$R$300,0),MATCH(V$2,'Input 3.1_2019VOL-YTD'!$C$1:$N$1,0))/INDEX('Input 3_2019CUST-YTD'!$C$4:$N$300,MATCH($C36,'Input 3_2019CUST-YTD'!$S$4:$S$300,0),MATCH(V$2,'Input 3_2019CUST-YTD'!$C$1:$N$1,0)),0)</f>
        <v>47704.837222222232</v>
      </c>
      <c r="W36" s="5">
        <f>IFERROR(INDEX('Input 3.1_2019VOL-YTD'!$C$4:$N$300, MATCH($C36,'Input 3.1_2019VOL-YTD'!$R$4:$R$300,0),MATCH(W$2,'Input 3.1_2019VOL-YTD'!$C$1:$N$1,0))/INDEX('Input 3_2019CUST-YTD'!$C$4:$N$300,MATCH($C36,'Input 3_2019CUST-YTD'!$S$4:$S$300,0),MATCH(W$2,'Input 3_2019CUST-YTD'!$C$1:$N$1,0)),0)</f>
        <v>44673.81</v>
      </c>
      <c r="X36" s="5">
        <f>IFERROR(INDEX('Input 3.1_2019VOL-YTD'!$C$4:$N$300, MATCH($C36,'Input 3.1_2019VOL-YTD'!$R$4:$R$300,0),MATCH(X$2,'Input 3.1_2019VOL-YTD'!$C$1:$N$1,0))/INDEX('Input 3_2019CUST-YTD'!$C$4:$N$300,MATCH($C36,'Input 3_2019CUST-YTD'!$S$4:$S$300,0),MATCH(X$2,'Input 3_2019CUST-YTD'!$C$1:$N$1,0)),0)</f>
        <v>45861.337777777779</v>
      </c>
      <c r="Y36" s="5">
        <f>IFERROR(INDEX('Input 3.1_2019VOL-YTD'!$C$4:$N$300, MATCH($C36,'Input 3.1_2019VOL-YTD'!$R$4:$R$300,0),MATCH(Y$2,'Input 3.1_2019VOL-YTD'!$C$1:$N$1,0))/INDEX('Input 3_2019CUST-YTD'!$C$4:$N$300,MATCH($C36,'Input 3_2019CUST-YTD'!$S$4:$S$300,0),MATCH(Y$2,'Input 3_2019CUST-YTD'!$C$1:$N$1,0)),0)</f>
        <v>46249.011111111118</v>
      </c>
      <c r="Z36" s="5">
        <f>IFERROR(INDEX('Input 3.1_2019VOL-YTD'!$C$4:$N$300, MATCH($C36,'Input 3.1_2019VOL-YTD'!$R$4:$R$300,0),MATCH(Z$2,'Input 3.1_2019VOL-YTD'!$C$1:$N$1,0))/INDEX('Input 3_2019CUST-YTD'!$C$4:$N$300,MATCH($C36,'Input 3_2019CUST-YTD'!$S$4:$S$300,0),MATCH(Z$2,'Input 3_2019CUST-YTD'!$C$1:$N$1,0)),0)</f>
        <v>43442.146111111113</v>
      </c>
      <c r="AA36" s="5">
        <f>IFERROR(INDEX('Input 3.1_2019VOL-YTD'!$C$4:$N$300, MATCH($C36,'Input 3.1_2019VOL-YTD'!$R$4:$R$300,0),MATCH(AA$2,'Input 3.1_2019VOL-YTD'!$C$1:$N$1,0))/INDEX('Input 3_2019CUST-YTD'!$C$4:$N$300,MATCH($C36,'Input 3_2019CUST-YTD'!$S$4:$S$300,0),MATCH(AA$2,'Input 3_2019CUST-YTD'!$C$1:$N$1,0)),0)</f>
        <v>43071.486111111109</v>
      </c>
      <c r="AB36" s="5">
        <f>IFERROR(INDEX('Input 3.1_2019VOL-YTD'!$C$4:$N$300, MATCH($C36,'Input 3.1_2019VOL-YTD'!$R$4:$R$300,0),MATCH(AB$2,'Input 3.1_2019VOL-YTD'!$C$1:$N$1,0))/INDEX('Input 3_2019CUST-YTD'!$C$4:$N$300,MATCH($C36,'Input 3_2019CUST-YTD'!$S$4:$S$300,0),MATCH(AB$2,'Input 3_2019CUST-YTD'!$C$1:$N$1,0)),0)</f>
        <v>48492.003333333327</v>
      </c>
      <c r="AC36" s="5">
        <f>IFERROR(INDEX('Input 3.1_2019VOL-YTD'!$C$4:$N$300, MATCH($C36,'Input 3.1_2019VOL-YTD'!$R$4:$R$300,0),MATCH(AC$2,'Input 3.1_2019VOL-YTD'!$C$1:$N$1,0))/INDEX('Input 3_2019CUST-YTD'!$C$4:$N$300,MATCH($C36,'Input 3_2019CUST-YTD'!$S$4:$S$300,0),MATCH(AC$2,'Input 3_2019CUST-YTD'!$C$1:$N$1,0)),0)</f>
        <v>46139.256666666668</v>
      </c>
      <c r="AD36" s="5">
        <f>IFERROR(INDEX('Input 3.1_2019VOL-YTD'!$C$4:$N$300, MATCH($C36,'Input 3.1_2019VOL-YTD'!$R$4:$R$300,0),MATCH(AD$2,'Input 3.1_2019VOL-YTD'!$C$1:$N$1,0))/INDEX('Input 3_2019CUST-YTD'!$C$4:$N$300,MATCH($C36,'Input 3_2019CUST-YTD'!$S$4:$S$300,0),MATCH(AD$2,'Input 3_2019CUST-YTD'!$C$1:$N$1,0)),0)</f>
        <v>47937.736111111117</v>
      </c>
      <c r="AE36" s="272">
        <f t="shared" si="12"/>
        <v>50412.742777777785</v>
      </c>
      <c r="AF36" s="261">
        <f t="shared" si="13"/>
        <v>1</v>
      </c>
      <c r="AH36" s="262">
        <f>IFERROR(INDEX('Input 4.1_2020VOL-YTD'!$C$4:$O$300, MATCH($C36,'Input 4.1_2020VOL-YTD'!$R$4:$R$300,0),MATCH(AH$2,'Input 4.1_2020VOL-YTD'!$C$1:$O$1,0))/INDEX('Input 4_2020CUST-YTD'!$C$4:O$300,MATCH($C36,'Input 4_2020CUST-YTD'!$S$4:$S$300,0),MATCH(AH$2,'Input 4_2020CUST-YTD'!$C$1:$O$1,0)),0)</f>
        <v>44831.080000000009</v>
      </c>
      <c r="AI36" s="262">
        <f>IFERROR(INDEX('Input 4.1_2020VOL-YTD'!$C$4:$O$300, MATCH($C36,'Input 4.1_2020VOL-YTD'!$R$4:$R$300,0),MATCH(AI$2,'Input 4.1_2020VOL-YTD'!$C$1:$O$1,0))/INDEX('Input 4_2020CUST-YTD'!$C$4:P$300,MATCH($C36,'Input 4_2020CUST-YTD'!$S$4:$S$300,0),MATCH(AI$2,'Input 4_2020CUST-YTD'!$C$1:$O$1,0)),0)</f>
        <v>43727.681111111109</v>
      </c>
      <c r="AJ36" s="262">
        <f>IFERROR(INDEX('Input 4.1_2020VOL-YTD'!$C$4:$O$300, MATCH($C36,'Input 4.1_2020VOL-YTD'!$R$4:$R$300,0),MATCH(AJ$2,'Input 4.1_2020VOL-YTD'!$C$1:$O$1,0))/INDEX('Input 4_2020CUST-YTD'!$C$4:Q$300,MATCH($C36,'Input 4_2020CUST-YTD'!$S$4:$S$300,0),MATCH(AJ$2,'Input 4_2020CUST-YTD'!$C$1:$O$1,0)),0)</f>
        <v>50487.693333333329</v>
      </c>
      <c r="AK36" s="262">
        <f>IFERROR(INDEX('Input 4.1_2020VOL-YTD'!$C$4:$O$300, MATCH($C36,'Input 4.1_2020VOL-YTD'!$R$4:$R$300,0),MATCH(AK$2,'Input 4.1_2020VOL-YTD'!$C$1:$O$1,0))/INDEX('Input 4_2020CUST-YTD'!$C$4:R$300,MATCH($C36,'Input 4_2020CUST-YTD'!$S$4:$S$300,0),MATCH(AK$2,'Input 4_2020CUST-YTD'!$C$1:$O$1,0)),0)</f>
        <v>44055.36555555556</v>
      </c>
      <c r="AL36" s="262">
        <f>IFERROR(INDEX('Input 4.1_2020VOL-YTD'!$C$4:$O$300, MATCH($C36,'Input 4.1_2020VOL-YTD'!$R$4:$R$300,0),MATCH(AL$2,'Input 4.1_2020VOL-YTD'!$C$1:$O$1,0))/INDEX('Input 4_2020CUST-YTD'!$C$4:S$300,MATCH($C36,'Input 4_2020CUST-YTD'!$S$4:$S$300,0),MATCH(AL$2,'Input 4_2020CUST-YTD'!$C$1:$O$1,0)),0)</f>
        <v>47775.353888888887</v>
      </c>
      <c r="AM36" s="262">
        <f>IFERROR(INDEX('Input 4.1_2020VOL-YTD'!$C$4:$O$300, MATCH($C36,'Input 4.1_2020VOL-YTD'!$R$4:$R$300,0),MATCH(AM$2,'Input 4.1_2020VOL-YTD'!$C$1:$O$1,0))/INDEX('Input 4_2020CUST-YTD'!$C$4:T$300,MATCH($C36,'Input 4_2020CUST-YTD'!$S$4:$S$300,0),MATCH(AM$2,'Input 4_2020CUST-YTD'!$C$1:$O$1,0)),0)</f>
        <v>43123.055555555555</v>
      </c>
      <c r="AN36" s="262">
        <f>IFERROR(INDEX('Input 4.1_2020VOL-YTD'!$C$4:$O$300, MATCH($C36,'Input 4.1_2020VOL-YTD'!$R$4:$R$300,0),MATCH(AN$2,'Input 4.1_2020VOL-YTD'!$C$1:$O$1,0))/INDEX('Input 4_2020CUST-YTD'!$C$4:U$300,MATCH($C36,'Input 4_2020CUST-YTD'!$S$4:$S$300,0),MATCH(AN$2,'Input 4_2020CUST-YTD'!$C$1:$O$1,0)),0)</f>
        <v>46083.404999999999</v>
      </c>
      <c r="AO36" s="262">
        <f>IFERROR(INDEX('Input 4.1_2020VOL-YTD'!$C$4:$O$300, MATCH($C36,'Input 4.1_2020VOL-YTD'!$R$4:$R$300,0),MATCH(AO$2,'Input 4.1_2020VOL-YTD'!$C$1:$O$1,0))/INDEX('Input 4_2020CUST-YTD'!$C$4:V$300,MATCH($C36,'Input 4_2020CUST-YTD'!$S$4:$S$300,0),MATCH(AO$2,'Input 4_2020CUST-YTD'!$C$1:$O$1,0)),0)</f>
        <v>46127.885555555564</v>
      </c>
      <c r="AP36" s="262">
        <f>IFERROR(INDEX('Input 4.1_2020VOL-YTD'!$C$4:$O$300, MATCH($C36,'Input 4.1_2020VOL-YTD'!$R$4:$R$300,0),MATCH(AP$2,'Input 4.1_2020VOL-YTD'!$C$1:$O$1,0))/INDEX('Input 4_2020CUST-YTD'!$C$4:W$300,MATCH($C36,'Input 4_2020CUST-YTD'!$S$4:$S$300,0),MATCH(AP$2,'Input 4_2020CUST-YTD'!$C$1:$O$1,0)),0)</f>
        <v>44273.840555555558</v>
      </c>
      <c r="AQ36" s="262">
        <f>IFERROR(INDEX('Input 4.1_2020VOL-YTD'!$C$4:$O$300, MATCH($C36,'Input 4.1_2020VOL-YTD'!$R$4:$R$300,0),MATCH(AQ$2,'Input 4.1_2020VOL-YTD'!$C$1:$O$1,0))/INDEX('Input 4_2020CUST-YTD'!$C$4:X$300,MATCH($C36,'Input 4_2020CUST-YTD'!$S$4:$S$300,0),MATCH(AQ$2,'Input 4_2020CUST-YTD'!$C$1:$O$1,0)),0)</f>
        <v>47345.160555555551</v>
      </c>
      <c r="AR36" s="262">
        <f>IFERROR(INDEX('Input 4.1_2020VOL-YTD'!$C$4:$O$300, MATCH($C36,'Input 4.1_2020VOL-YTD'!$R$4:$R$300,0),MATCH(AR$2,'Input 4.1_2020VOL-YTD'!$C$1:$O$1,0))/INDEX('Input 4_2020CUST-YTD'!$C$4:Y$300,MATCH($C36,'Input 4_2020CUST-YTD'!$S$4:$S$300,0),MATCH(AR$2,'Input 4_2020CUST-YTD'!$C$1:$O$1,0)),0)</f>
        <v>47760.532222222224</v>
      </c>
      <c r="AS36" s="262">
        <f>IFERROR(INDEX('Input 4.1_2020VOL-YTD'!$C$4:$O$300, MATCH($C36,'Input 4.1_2020VOL-YTD'!$R$4:$R$300,0),MATCH(AS$2,'Input 4.1_2020VOL-YTD'!$C$1:$O$1,0))/INDEX('Input 4_2020CUST-YTD'!$C$4:Z$300,MATCH($C36,'Input 4_2020CUST-YTD'!$S$4:$S$300,0),MATCH(AS$2,'Input 4_2020CUST-YTD'!$C$1:$O$1,0)),0)</f>
        <v>50106.930555555555</v>
      </c>
      <c r="AT36" s="190">
        <f t="shared" si="10"/>
        <v>50487.693333333329</v>
      </c>
      <c r="AU36" s="261">
        <f t="shared" si="11"/>
        <v>3</v>
      </c>
      <c r="AW36" s="1">
        <f>IFERROR(INDEX('Input 5.1_2021VOL-YTD'!$C$3:$N$150, MATCH($C36,'Input 5.1_2021VOL-YTD'!$R$3:$R$150,0),MATCH(AW$2,'Input 5.1_2021VOL-YTD'!$C$1:$N$1,0))/INDEX('Input 5_2021CUST-YTD'!$C$3:$N$150,MATCH($C36,'Input 5_2021CUST-YTD'!$S$3:$S$150,0),MATCH(AW$2,'Input 5_2021CUST-YTD'!$C$1:$N$1,0)),0)</f>
        <v>51952.443888888891</v>
      </c>
      <c r="AX36" s="1">
        <f>IFERROR(INDEX('Input 5.1_2021VOL-YTD'!$C$3:$N$150, MATCH($C36,'Input 5.1_2021VOL-YTD'!$R$3:$R$150,0),MATCH(AX$2,'Input 5.1_2021VOL-YTD'!$C$1:$N$1,0))/INDEX('Input 5_2021CUST-YTD'!$C$3:$N$150,MATCH($C36,'Input 5_2021CUST-YTD'!$S$3:$S$150,0),MATCH(AX$2,'Input 5_2021CUST-YTD'!$C$1:$N$1,0)),0)</f>
        <v>42044.671666666662</v>
      </c>
      <c r="AY36" s="1">
        <f>IFERROR(INDEX('Input 5.1_2021VOL-YTD'!$C$3:$N$150, MATCH($C36,'Input 5.1_2021VOL-YTD'!$R$3:$R$150,0),MATCH(AY$2,'Input 5.1_2021VOL-YTD'!$C$1:$N$1,0))/INDEX('Input 5_2021CUST-YTD'!$C$3:$N$150,MATCH($C36,'Input 5_2021CUST-YTD'!$S$3:$S$150,0),MATCH(AY$2,'Input 5_2021CUST-YTD'!$C$1:$N$1,0)),0)</f>
        <v>43462.726315789478</v>
      </c>
      <c r="AZ36" s="1">
        <f>IFERROR(INDEX('Input 5.1_2021VOL-YTD'!$C$3:$N$150, MATCH($C36,'Input 5.1_2021VOL-YTD'!$R$3:$R$150,0),MATCH(AZ$2,'Input 5.1_2021VOL-YTD'!$C$1:$N$1,0))/INDEX('Input 5_2021CUST-YTD'!$C$3:$N$150,MATCH($C36,'Input 5_2021CUST-YTD'!$S$3:$S$150,0),MATCH(AZ$2,'Input 5_2021CUST-YTD'!$C$1:$N$1,0)),0)</f>
        <v>42902.895294117654</v>
      </c>
      <c r="BA36" s="1">
        <f>IFERROR(INDEX('Input 5.1_2021VOL-YTD'!$C$3:$N$150, MATCH($C36,'Input 5.1_2021VOL-YTD'!$R$3:$R$150,0),MATCH(BA$2,'Input 5.1_2021VOL-YTD'!$C$1:$N$1,0))/INDEX('Input 5_2021CUST-YTD'!$C$3:$N$150,MATCH($C36,'Input 5_2021CUST-YTD'!$S$3:$S$150,0),MATCH(BA$2,'Input 5_2021CUST-YTD'!$C$1:$N$1,0)),0)</f>
        <v>43518.78</v>
      </c>
      <c r="BB36" s="1">
        <f>IFERROR(INDEX('Input 5.1_2021VOL-YTD'!$C$3:$N$150, MATCH($C36,'Input 5.1_2021VOL-YTD'!$R$3:$R$150,0),MATCH(BB$2,'Input 5.1_2021VOL-YTD'!$C$1:$N$1,0))/INDEX('Input 5_2021CUST-YTD'!$C$3:$N$150,MATCH($C36,'Input 5_2021CUST-YTD'!$S$3:$S$150,0),MATCH(BB$2,'Input 5_2021CUST-YTD'!$C$1:$N$1,0)),0)</f>
        <v>38068.947777777772</v>
      </c>
      <c r="BC36" s="1">
        <f>IFERROR(INDEX('Input 5.1_2021VOL-YTD'!$C$3:$N$150, MATCH($C36,'Input 5.1_2021VOL-YTD'!$R$3:$R$150,0),MATCH(BC$2,'Input 5.1_2021VOL-YTD'!$C$1:$N$1,0))/INDEX('Input 5_2021CUST-YTD'!$C$3:$N$150,MATCH($C36,'Input 5_2021CUST-YTD'!$S$3:$S$150,0),MATCH(BC$2,'Input 5_2021CUST-YTD'!$C$1:$N$1,0)),0)</f>
        <v>41097.763333333336</v>
      </c>
      <c r="BD36" s="1">
        <f>IFERROR(INDEX('Input 5.1_2021VOL-YTD'!$C$3:$N$150, MATCH($C36,'Input 5.1_2021VOL-YTD'!$R$3:$R$150,0),MATCH(BD$2,'Input 5.1_2021VOL-YTD'!$C$1:$N$1,0))/INDEX('Input 5_2021CUST-YTD'!$C$3:$N$150,MATCH($C36,'Input 5_2021CUST-YTD'!$S$3:$S$150,0),MATCH(BD$2,'Input 5_2021CUST-YTD'!$C$1:$N$1,0)),0)</f>
        <v>43715.127222222225</v>
      </c>
      <c r="BE36" s="1">
        <f>IFERROR(INDEX('Input 5.1_2021VOL-YTD'!$C$3:$N$150, MATCH($C36,'Input 5.1_2021VOL-YTD'!$R$3:$R$150,0),MATCH(BE$2,'Input 5.1_2021VOL-YTD'!$C$1:$N$1,0))/INDEX('Input 5_2021CUST-YTD'!$C$3:$N$150,MATCH($C36,'Input 5_2021CUST-YTD'!$S$3:$S$150,0),MATCH(BE$2,'Input 5_2021CUST-YTD'!$C$1:$N$1,0)),0)</f>
        <v>41065.308888888889</v>
      </c>
      <c r="BF36" s="1">
        <f>IFERROR(INDEX('Input 5.1_2021VOL-YTD'!$C$3:$N$150, MATCH($C36,'Input 5.1_2021VOL-YTD'!$R$3:$R$150,0),MATCH(BF$2,'Input 5.1_2021VOL-YTD'!$C$1:$N$1,0))/INDEX('Input 5_2021CUST-YTD'!$C$3:$N$150,MATCH($C36,'Input 5_2021CUST-YTD'!$S$3:$S$150,0),MATCH(BF$2,'Input 5_2021CUST-YTD'!$C$1:$N$1,0)),0)</f>
        <v>48392.312777777777</v>
      </c>
      <c r="BG36" s="1">
        <f>IFERROR(INDEX('Input 5.1_2021VOL-YTD'!$C$3:$N$150, MATCH($C36,'Input 5.1_2021VOL-YTD'!$R$3:$R$150,0),MATCH(BG$2,'Input 5.1_2021VOL-YTD'!$C$1:$N$1,0))/INDEX('Input 5_2021CUST-YTD'!$C$3:$N$150,MATCH($C36,'Input 5_2021CUST-YTD'!$S$3:$S$150,0),MATCH(BG$2,'Input 5_2021CUST-YTD'!$C$1:$N$1,0)),0)</f>
        <v>47066.361666666671</v>
      </c>
      <c r="BH36" s="1">
        <f>IFERROR(INDEX('Input 5.1_2021VOL-YTD'!$C$3:$N$150, MATCH($C36,'Input 5.1_2021VOL-YTD'!$R$3:$R$150,0),MATCH(BH$2,'Input 5.1_2021VOL-YTD'!$C$1:$N$1,0))/INDEX('Input 5_2021CUST-YTD'!$C$3:$N$150,MATCH($C36,'Input 5_2021CUST-YTD'!$S$3:$S$150,0),MATCH(BH$2,'Input 5_2021CUST-YTD'!$C$1:$N$1,0)),0)</f>
        <v>46999.35833333333</v>
      </c>
      <c r="BI36" s="190">
        <f t="shared" si="7"/>
        <v>51952.443888888891</v>
      </c>
      <c r="BJ36" s="261">
        <f t="shared" si="8"/>
        <v>1</v>
      </c>
    </row>
    <row r="37" spans="1:62">
      <c r="A37" s="261" t="s">
        <v>1245</v>
      </c>
      <c r="B37" s="261" t="s">
        <v>15</v>
      </c>
      <c r="C37" s="261" t="s">
        <v>45</v>
      </c>
      <c r="D37" s="5">
        <f>IFERROR(INDEX('Input 16.1_2018VOL-YTD'!$C$4:$N$300, MATCH($C37,'Input 16.1_2018VOL-YTD'!$R$4:$R$300,0),MATCH(D$2,'Input 16.1_2018VOL-YTD'!$C$1:$N$1,0))/INDEX('Input 16_2018CUST-YTD'!$D$4:$O$300,MATCH($C37,'Input 16_2018CUST-YTD'!$S$4:$S$300,0),MATCH(D$2,'Input 16_2018CUST-YTD'!$C$1:$O$1,0)),0)</f>
        <v>1532.8182422451982</v>
      </c>
      <c r="E37" s="5">
        <f>IFERROR(INDEX('Input 16.1_2018VOL-YTD'!$C$4:$N$300, MATCH($C37,'Input 16.1_2018VOL-YTD'!$R$4:$R$300,0),MATCH(E$2,'Input 16.1_2018VOL-YTD'!$C$1:$N$1,0))/INDEX('Input 16_2018CUST-YTD'!$D$4:$O$300,MATCH($C37,'Input 16_2018CUST-YTD'!$S$4:$S$300,0),MATCH(E$2,'Input 16_2018CUST-YTD'!$C$1:$O$1,0)),0)</f>
        <v>1312.4268740740729</v>
      </c>
      <c r="F37" s="5">
        <f>IFERROR(INDEX('Input 16.1_2018VOL-YTD'!$C$4:$N$300, MATCH($C37,'Input 16.1_2018VOL-YTD'!$R$4:$R$300,0),MATCH(F$2,'Input 16.1_2018VOL-YTD'!$C$1:$N$1,0))/INDEX('Input 16_2018CUST-YTD'!$D$4:$O$300,MATCH($C37,'Input 16_2018CUST-YTD'!$S$4:$S$300,0),MATCH(F$2,'Input 16_2018CUST-YTD'!$C$1:$O$1,0)),0)</f>
        <v>1267.4951479289923</v>
      </c>
      <c r="G37" s="5">
        <f>IFERROR(INDEX('Input 16.1_2018VOL-YTD'!$C$4:$N$300, MATCH($C37,'Input 16.1_2018VOL-YTD'!$R$4:$R$300,0),MATCH(G$2,'Input 16.1_2018VOL-YTD'!$C$1:$N$1,0))/INDEX('Input 16_2018CUST-YTD'!$D$4:$O$300,MATCH($C37,'Input 16_2018CUST-YTD'!$S$4:$S$300,0),MATCH(G$2,'Input 16_2018CUST-YTD'!$C$1:$O$1,0)),0)</f>
        <v>1269.7195096582464</v>
      </c>
      <c r="H37" s="5">
        <f>IFERROR(INDEX('Input 16.1_2018VOL-YTD'!$C$4:$N$300, MATCH($C37,'Input 16.1_2018VOL-YTD'!$R$4:$R$300,0),MATCH(H$2,'Input 16.1_2018VOL-YTD'!$C$1:$N$1,0))/INDEX('Input 16_2018CUST-YTD'!$D$4:$O$300,MATCH($C37,'Input 16_2018CUST-YTD'!$S$4:$S$300,0),MATCH(H$2,'Input 16_2018CUST-YTD'!$C$1:$O$1,0)),0)</f>
        <v>1123.1744760479041</v>
      </c>
      <c r="I37" s="5">
        <f>IFERROR(INDEX('Input 16.1_2018VOL-YTD'!$C$4:$N$300, MATCH($C37,'Input 16.1_2018VOL-YTD'!$R$4:$R$300,0),MATCH(I$2,'Input 16.1_2018VOL-YTD'!$C$1:$N$1,0))/INDEX('Input 16_2018CUST-YTD'!$D$4:$O$300,MATCH($C37,'Input 16_2018CUST-YTD'!$S$4:$S$300,0),MATCH(I$2,'Input 16_2018CUST-YTD'!$C$1:$O$1,0)),0)</f>
        <v>1087.3594631901838</v>
      </c>
      <c r="J37" s="5">
        <f>IFERROR(INDEX('Input 16.1_2018VOL-YTD'!$C$4:$N$300, MATCH($C37,'Input 16.1_2018VOL-YTD'!$R$4:$R$300,0),MATCH(J$2,'Input 16.1_2018VOL-YTD'!$C$1:$N$1,0))/INDEX('Input 16_2018CUST-YTD'!$D$4:$O$300,MATCH($C37,'Input 16_2018CUST-YTD'!$S$4:$S$300,0),MATCH(J$2,'Input 16_2018CUST-YTD'!$C$1:$O$1,0)),0)</f>
        <v>871.68021052631559</v>
      </c>
      <c r="K37" s="5">
        <f>IFERROR(INDEX('Input 16.1_2018VOL-YTD'!$C$4:$N$300, MATCH($C37,'Input 16.1_2018VOL-YTD'!$R$4:$R$300,0),MATCH(K$2,'Input 16.1_2018VOL-YTD'!$C$1:$N$1,0))/INDEX('Input 16_2018CUST-YTD'!$D$4:$O$300,MATCH($C37,'Input 16_2018CUST-YTD'!$S$4:$S$300,0),MATCH(K$2,'Input 16_2018CUST-YTD'!$C$1:$O$1,0)),0)</f>
        <v>896.49563909774429</v>
      </c>
      <c r="L37" s="5">
        <f>IFERROR(INDEX('Input 16.1_2018VOL-YTD'!$C$4:$N$300, MATCH($C37,'Input 16.1_2018VOL-YTD'!$R$4:$R$300,0),MATCH(L$2,'Input 16.1_2018VOL-YTD'!$C$1:$N$1,0))/INDEX('Input 16_2018CUST-YTD'!$D$4:$O$300,MATCH($C37,'Input 16_2018CUST-YTD'!$S$4:$S$300,0),MATCH(L$2,'Input 16_2018CUST-YTD'!$C$1:$O$1,0)),0)</f>
        <v>890.1390433482826</v>
      </c>
      <c r="M37" s="5">
        <f>IFERROR(INDEX('Input 16.1_2018VOL-YTD'!$C$4:$N$300, MATCH($C37,'Input 16.1_2018VOL-YTD'!$R$4:$R$300,0),MATCH(M$2,'Input 16.1_2018VOL-YTD'!$C$1:$N$1,0))/INDEX('Input 16_2018CUST-YTD'!$D$4:$O$300,MATCH($C37,'Input 16_2018CUST-YTD'!$S$4:$S$300,0),MATCH(M$2,'Input 16_2018CUST-YTD'!$C$1:$O$1,0)),0)</f>
        <v>821.08672992700667</v>
      </c>
      <c r="N37" s="5">
        <f>IFERROR(INDEX('Input 16.1_2018VOL-YTD'!$C$4:$N$300, MATCH($C37,'Input 16.1_2018VOL-YTD'!$R$4:$R$300,0),MATCH(N$2,'Input 16.1_2018VOL-YTD'!$C$1:$N$1,0))/INDEX('Input 16_2018CUST-YTD'!$D$4:$O$300,MATCH($C37,'Input 16_2018CUST-YTD'!$S$4:$S$300,0),MATCH(N$2,'Input 16_2018CUST-YTD'!$C$1:$O$1,0)),0)</f>
        <v>1168.6858333333341</v>
      </c>
      <c r="O37" s="5">
        <f>IFERROR(INDEX('Input 16.1_2018VOL-YTD'!$C$4:$N$300, MATCH($C37,'Input 16.1_2018VOL-YTD'!$R$4:$R$300,0),MATCH(O$2,'Input 16.1_2018VOL-YTD'!$C$1:$N$1,0))/INDEX('Input 16_2018CUST-YTD'!$D$4:$O$300,MATCH($C37,'Input 16_2018CUST-YTD'!$S$4:$S$300,0),MATCH(O$2,'Input 16_2018CUST-YTD'!$C$1:$O$1,0)),0)</f>
        <v>1323.0037253197554</v>
      </c>
      <c r="P37" s="271">
        <f t="shared" si="1"/>
        <v>1532.8182422451982</v>
      </c>
      <c r="Q37" s="261">
        <f t="shared" si="2"/>
        <v>1</v>
      </c>
      <c r="S37" s="5">
        <f>IFERROR(INDEX('Input 3.1_2019VOL-YTD'!$C$4:$N$300, MATCH($C37,'Input 3.1_2019VOL-YTD'!$R$4:$R$300,0),MATCH(S$2,'Input 3.1_2019VOL-YTD'!$C$1:$N$1,0))/INDEX('Input 3_2019CUST-YTD'!$C$4:$N$300,MATCH($C37,'Input 3_2019CUST-YTD'!$S$4:$S$300,0),MATCH(S$2,'Input 3_2019CUST-YTD'!$C$1:$N$1,0)),0)</f>
        <v>1422.2135585585595</v>
      </c>
      <c r="T37" s="5">
        <f>IFERROR(INDEX('Input 3.1_2019VOL-YTD'!$C$4:$N$300, MATCH($C37,'Input 3.1_2019VOL-YTD'!$R$4:$R$300,0),MATCH(T$2,'Input 3.1_2019VOL-YTD'!$C$1:$N$1,0))/INDEX('Input 3_2019CUST-YTD'!$C$4:$N$300,MATCH($C37,'Input 3_2019CUST-YTD'!$S$4:$S$300,0),MATCH(T$2,'Input 3_2019CUST-YTD'!$C$1:$N$1,0)),0)</f>
        <v>1306.2522522522513</v>
      </c>
      <c r="U37" s="5">
        <f>IFERROR(INDEX('Input 3.1_2019VOL-YTD'!$C$4:$N$300, MATCH($C37,'Input 3.1_2019VOL-YTD'!$R$4:$R$300,0),MATCH(U$2,'Input 3.1_2019VOL-YTD'!$C$1:$N$1,0))/INDEX('Input 3_2019CUST-YTD'!$C$4:$N$300,MATCH($C37,'Input 3_2019CUST-YTD'!$S$4:$S$300,0),MATCH(U$2,'Input 3_2019CUST-YTD'!$C$1:$N$1,0)),0)</f>
        <v>1178.5194631901843</v>
      </c>
      <c r="V37" s="5">
        <f>IFERROR(INDEX('Input 3.1_2019VOL-YTD'!$C$4:$N$300, MATCH($C37,'Input 3.1_2019VOL-YTD'!$R$4:$R$300,0),MATCH(V$2,'Input 3.1_2019VOL-YTD'!$C$1:$N$1,0))/INDEX('Input 3_2019CUST-YTD'!$C$4:$N$300,MATCH($C37,'Input 3_2019CUST-YTD'!$S$4:$S$300,0),MATCH(V$2,'Input 3_2019CUST-YTD'!$C$1:$N$1,0)),0)</f>
        <v>1284.2775113122182</v>
      </c>
      <c r="W37" s="5">
        <f>IFERROR(INDEX('Input 3.1_2019VOL-YTD'!$C$4:$N$300, MATCH($C37,'Input 3.1_2019VOL-YTD'!$R$4:$R$300,0),MATCH(W$2,'Input 3.1_2019VOL-YTD'!$C$1:$N$1,0))/INDEX('Input 3_2019CUST-YTD'!$C$4:$N$300,MATCH($C37,'Input 3_2019CUST-YTD'!$S$4:$S$300,0),MATCH(W$2,'Input 3_2019CUST-YTD'!$C$1:$N$1,0)),0)</f>
        <v>1136.8867071320174</v>
      </c>
      <c r="X37" s="5">
        <f>IFERROR(INDEX('Input 3.1_2019VOL-YTD'!$C$4:$N$300, MATCH($C37,'Input 3.1_2019VOL-YTD'!$R$4:$R$300,0),MATCH(X$2,'Input 3.1_2019VOL-YTD'!$C$1:$N$1,0))/INDEX('Input 3_2019CUST-YTD'!$C$4:$N$300,MATCH($C37,'Input 3_2019CUST-YTD'!$S$4:$S$300,0),MATCH(X$2,'Input 3_2019CUST-YTD'!$C$1:$N$1,0)),0)</f>
        <v>1111.7205319148929</v>
      </c>
      <c r="Y37" s="5">
        <f>IFERROR(INDEX('Input 3.1_2019VOL-YTD'!$C$4:$N$300, MATCH($C37,'Input 3.1_2019VOL-YTD'!$R$4:$R$300,0),MATCH(Y$2,'Input 3.1_2019VOL-YTD'!$C$1:$N$1,0))/INDEX('Input 3_2019CUST-YTD'!$C$4:$N$300,MATCH($C37,'Input 3_2019CUST-YTD'!$S$4:$S$300,0),MATCH(Y$2,'Input 3_2019CUST-YTD'!$C$1:$N$1,0)),0)</f>
        <v>987.88398461538475</v>
      </c>
      <c r="Z37" s="5">
        <f>IFERROR(INDEX('Input 3.1_2019VOL-YTD'!$C$4:$N$300, MATCH($C37,'Input 3.1_2019VOL-YTD'!$R$4:$R$300,0),MATCH(Z$2,'Input 3.1_2019VOL-YTD'!$C$1:$N$1,0))/INDEX('Input 3_2019CUST-YTD'!$C$4:$N$300,MATCH($C37,'Input 3_2019CUST-YTD'!$S$4:$S$300,0),MATCH(Z$2,'Input 3_2019CUST-YTD'!$C$1:$N$1,0)),0)</f>
        <v>1022.0080395136788</v>
      </c>
      <c r="AA37" s="5">
        <f>IFERROR(INDEX('Input 3.1_2019VOL-YTD'!$C$4:$N$300, MATCH($C37,'Input 3.1_2019VOL-YTD'!$R$4:$R$300,0),MATCH(AA$2,'Input 3.1_2019VOL-YTD'!$C$1:$N$1,0))/INDEX('Input 3_2019CUST-YTD'!$C$4:$N$300,MATCH($C37,'Input 3_2019CUST-YTD'!$S$4:$S$300,0),MATCH(AA$2,'Input 3_2019CUST-YTD'!$C$1:$N$1,0)),0)</f>
        <v>886.81883969465571</v>
      </c>
      <c r="AB37" s="5">
        <f>IFERROR(INDEX('Input 3.1_2019VOL-YTD'!$C$4:$N$300, MATCH($C37,'Input 3.1_2019VOL-YTD'!$R$4:$R$300,0),MATCH(AB$2,'Input 3.1_2019VOL-YTD'!$C$1:$N$1,0))/INDEX('Input 3_2019CUST-YTD'!$C$4:$N$300,MATCH($C37,'Input 3_2019CUST-YTD'!$S$4:$S$300,0),MATCH(AB$2,'Input 3_2019CUST-YTD'!$C$1:$N$1,0)),0)</f>
        <v>979.92317972350213</v>
      </c>
      <c r="AC37" s="5">
        <f>IFERROR(INDEX('Input 3.1_2019VOL-YTD'!$C$4:$N$300, MATCH($C37,'Input 3.1_2019VOL-YTD'!$R$4:$R$300,0),MATCH(AC$2,'Input 3.1_2019VOL-YTD'!$C$1:$N$1,0))/INDEX('Input 3_2019CUST-YTD'!$C$4:$N$300,MATCH($C37,'Input 3_2019CUST-YTD'!$S$4:$S$300,0),MATCH(AC$2,'Input 3_2019CUST-YTD'!$C$1:$N$1,0)),0)</f>
        <v>1179.8437557959821</v>
      </c>
      <c r="AD37" s="5">
        <f>IFERROR(INDEX('Input 3.1_2019VOL-YTD'!$C$4:$N$300, MATCH($C37,'Input 3.1_2019VOL-YTD'!$R$4:$R$300,0),MATCH(AD$2,'Input 3.1_2019VOL-YTD'!$C$1:$N$1,0))/INDEX('Input 3_2019CUST-YTD'!$C$4:$N$300,MATCH($C37,'Input 3_2019CUST-YTD'!$S$4:$S$300,0),MATCH(AD$2,'Input 3_2019CUST-YTD'!$C$1:$N$1,0)),0)</f>
        <v>1359.1765895061731</v>
      </c>
      <c r="AE37" s="272">
        <f t="shared" si="12"/>
        <v>1422.2135585585595</v>
      </c>
      <c r="AF37" s="261">
        <f t="shared" si="13"/>
        <v>1</v>
      </c>
      <c r="AH37" s="262">
        <f>IFERROR(INDEX('Input 4.1_2020VOL-YTD'!$C$4:$O$300, MATCH($C37,'Input 4.1_2020VOL-YTD'!$R$4:$R$300,0),MATCH(AH$2,'Input 4.1_2020VOL-YTD'!$C$1:$O$1,0))/INDEX('Input 4_2020CUST-YTD'!$C$4:O$300,MATCH($C37,'Input 4_2020CUST-YTD'!$S$4:$S$300,0),MATCH(AH$2,'Input 4_2020CUST-YTD'!$C$1:$O$1,0)),0)</f>
        <v>1501.8132511556237</v>
      </c>
      <c r="AI37" s="262">
        <f>IFERROR(INDEX('Input 4.1_2020VOL-YTD'!$C$4:$O$300, MATCH($C37,'Input 4.1_2020VOL-YTD'!$R$4:$R$300,0),MATCH(AI$2,'Input 4.1_2020VOL-YTD'!$C$1:$O$1,0))/INDEX('Input 4_2020CUST-YTD'!$C$4:P$300,MATCH($C37,'Input 4_2020CUST-YTD'!$S$4:$S$300,0),MATCH(AI$2,'Input 4_2020CUST-YTD'!$C$1:$O$1,0)),0)</f>
        <v>1353.1971580547106</v>
      </c>
      <c r="AJ37" s="262">
        <f>IFERROR(INDEX('Input 4.1_2020VOL-YTD'!$C$4:$O$300, MATCH($C37,'Input 4.1_2020VOL-YTD'!$R$4:$R$300,0),MATCH(AJ$2,'Input 4.1_2020VOL-YTD'!$C$1:$O$1,0))/INDEX('Input 4_2020CUST-YTD'!$C$4:Q$300,MATCH($C37,'Input 4_2020CUST-YTD'!$S$4:$S$300,0),MATCH(AJ$2,'Input 4_2020CUST-YTD'!$C$1:$O$1,0)),0)</f>
        <v>1157.3582831325307</v>
      </c>
      <c r="AK37" s="262">
        <f>IFERROR(INDEX('Input 4.1_2020VOL-YTD'!$C$4:$O$300, MATCH($C37,'Input 4.1_2020VOL-YTD'!$R$4:$R$300,0),MATCH(AK$2,'Input 4.1_2020VOL-YTD'!$C$1:$O$1,0))/INDEX('Input 4_2020CUST-YTD'!$C$4:R$300,MATCH($C37,'Input 4_2020CUST-YTD'!$S$4:$S$300,0),MATCH(AK$2,'Input 4_2020CUST-YTD'!$C$1:$O$1,0)),0)</f>
        <v>787.51748865355501</v>
      </c>
      <c r="AL37" s="262">
        <f>IFERROR(INDEX('Input 4.1_2020VOL-YTD'!$C$4:$O$300, MATCH($C37,'Input 4.1_2020VOL-YTD'!$R$4:$R$300,0),MATCH(AL$2,'Input 4.1_2020VOL-YTD'!$C$1:$O$1,0))/INDEX('Input 4_2020CUST-YTD'!$C$4:S$300,MATCH($C37,'Input 4_2020CUST-YTD'!$S$4:$S$300,0),MATCH(AL$2,'Input 4_2020CUST-YTD'!$C$1:$O$1,0)),0)</f>
        <v>816.76472392637925</v>
      </c>
      <c r="AM37" s="262">
        <f>IFERROR(INDEX('Input 4.1_2020VOL-YTD'!$C$4:$O$300, MATCH($C37,'Input 4.1_2020VOL-YTD'!$R$4:$R$300,0),MATCH(AM$2,'Input 4.1_2020VOL-YTD'!$C$1:$O$1,0))/INDEX('Input 4_2020CUST-YTD'!$C$4:T$300,MATCH($C37,'Input 4_2020CUST-YTD'!$S$4:$S$300,0),MATCH(AM$2,'Input 4_2020CUST-YTD'!$C$1:$O$1,0)),0)</f>
        <v>780.28667697063383</v>
      </c>
      <c r="AN37" s="262">
        <f>IFERROR(INDEX('Input 4.1_2020VOL-YTD'!$C$4:$O$300, MATCH($C37,'Input 4.1_2020VOL-YTD'!$R$4:$R$300,0),MATCH(AN$2,'Input 4.1_2020VOL-YTD'!$C$1:$O$1,0))/INDEX('Input 4_2020CUST-YTD'!$C$4:U$300,MATCH($C37,'Input 4_2020CUST-YTD'!$S$4:$S$300,0),MATCH(AN$2,'Input 4_2020CUST-YTD'!$C$1:$O$1,0)),0)</f>
        <v>854.08184615384573</v>
      </c>
      <c r="AO37" s="262">
        <f>IFERROR(INDEX('Input 4.1_2020VOL-YTD'!$C$4:$O$300, MATCH($C37,'Input 4.1_2020VOL-YTD'!$R$4:$R$300,0),MATCH(AO$2,'Input 4.1_2020VOL-YTD'!$C$1:$O$1,0))/INDEX('Input 4_2020CUST-YTD'!$C$4:V$300,MATCH($C37,'Input 4_2020CUST-YTD'!$S$4:$S$300,0),MATCH(AO$2,'Input 4_2020CUST-YTD'!$C$1:$O$1,0)),0)</f>
        <v>858.89062208398229</v>
      </c>
      <c r="AP37" s="262">
        <f>IFERROR(INDEX('Input 4.1_2020VOL-YTD'!$C$4:$O$300, MATCH($C37,'Input 4.1_2020VOL-YTD'!$R$4:$R$300,0),MATCH(AP$2,'Input 4.1_2020VOL-YTD'!$C$1:$O$1,0))/INDEX('Input 4_2020CUST-YTD'!$C$4:W$300,MATCH($C37,'Input 4_2020CUST-YTD'!$S$4:$S$300,0),MATCH(AP$2,'Input 4_2020CUST-YTD'!$C$1:$O$1,0)),0)</f>
        <v>775.77913043478247</v>
      </c>
      <c r="AQ37" s="262">
        <f>IFERROR(INDEX('Input 4.1_2020VOL-YTD'!$C$4:$O$300, MATCH($C37,'Input 4.1_2020VOL-YTD'!$R$4:$R$300,0),MATCH(AQ$2,'Input 4.1_2020VOL-YTD'!$C$1:$O$1,0))/INDEX('Input 4_2020CUST-YTD'!$C$4:X$300,MATCH($C37,'Input 4_2020CUST-YTD'!$S$4:$S$300,0),MATCH(AQ$2,'Input 4_2020CUST-YTD'!$C$1:$O$1,0)),0)</f>
        <v>829.64108191653736</v>
      </c>
      <c r="AR37" s="262">
        <f>IFERROR(INDEX('Input 4.1_2020VOL-YTD'!$C$4:$O$300, MATCH($C37,'Input 4.1_2020VOL-YTD'!$R$4:$R$300,0),MATCH(AR$2,'Input 4.1_2020VOL-YTD'!$C$1:$O$1,0))/INDEX('Input 4_2020CUST-YTD'!$C$4:Y$300,MATCH($C37,'Input 4_2020CUST-YTD'!$S$4:$S$300,0),MATCH(AR$2,'Input 4_2020CUST-YTD'!$C$1:$O$1,0)),0)</f>
        <v>972.11409509202406</v>
      </c>
      <c r="AS37" s="262">
        <f>IFERROR(INDEX('Input 4.1_2020VOL-YTD'!$C$4:$O$300, MATCH($C37,'Input 4.1_2020VOL-YTD'!$R$4:$R$300,0),MATCH(AS$2,'Input 4.1_2020VOL-YTD'!$C$1:$O$1,0))/INDEX('Input 4_2020CUST-YTD'!$C$4:Z$300,MATCH($C37,'Input 4_2020CUST-YTD'!$S$4:$S$300,0),MATCH(AS$2,'Input 4_2020CUST-YTD'!$C$1:$O$1,0)),0)</f>
        <v>1119.143729071536</v>
      </c>
      <c r="AT37" s="190">
        <f t="shared" si="10"/>
        <v>1501.8132511556237</v>
      </c>
      <c r="AU37" s="261">
        <f t="shared" si="11"/>
        <v>1</v>
      </c>
      <c r="AW37" s="1">
        <f>IFERROR(INDEX('Input 5.1_2021VOL-YTD'!$C$3:$N$150, MATCH($C37,'Input 5.1_2021VOL-YTD'!$R$3:$R$150,0),MATCH(AW$2,'Input 5.1_2021VOL-YTD'!$C$1:$N$1,0))/INDEX('Input 5_2021CUST-YTD'!$C$3:$N$150,MATCH($C37,'Input 5_2021CUST-YTD'!$S$3:$S$150,0),MATCH(AW$2,'Input 5_2021CUST-YTD'!$C$1:$N$1,0)),0)</f>
        <v>1354.3189701492531</v>
      </c>
      <c r="AX37" s="1">
        <f>IFERROR(INDEX('Input 5.1_2021VOL-YTD'!$C$3:$N$150, MATCH($C37,'Input 5.1_2021VOL-YTD'!$R$3:$R$150,0),MATCH(AX$2,'Input 5.1_2021VOL-YTD'!$C$1:$N$1,0))/INDEX('Input 5_2021CUST-YTD'!$C$3:$N$150,MATCH($C37,'Input 5_2021CUST-YTD'!$S$3:$S$150,0),MATCH(AX$2,'Input 5_2021CUST-YTD'!$C$1:$N$1,0)),0)</f>
        <v>1257.6483060921246</v>
      </c>
      <c r="AY37" s="1">
        <f>IFERROR(INDEX('Input 5.1_2021VOL-YTD'!$C$3:$N$150, MATCH($C37,'Input 5.1_2021VOL-YTD'!$R$3:$R$150,0),MATCH(AY$2,'Input 5.1_2021VOL-YTD'!$C$1:$N$1,0))/INDEX('Input 5_2021CUST-YTD'!$C$3:$N$150,MATCH($C37,'Input 5_2021CUST-YTD'!$S$3:$S$150,0),MATCH(AY$2,'Input 5_2021CUST-YTD'!$C$1:$N$1,0)),0)</f>
        <v>1098.3295671641793</v>
      </c>
      <c r="AZ37" s="1">
        <f>IFERROR(INDEX('Input 5.1_2021VOL-YTD'!$C$3:$N$150, MATCH($C37,'Input 5.1_2021VOL-YTD'!$R$3:$R$150,0),MATCH(AZ$2,'Input 5.1_2021VOL-YTD'!$C$1:$N$1,0))/INDEX('Input 5_2021CUST-YTD'!$C$3:$N$150,MATCH($C37,'Input 5_2021CUST-YTD'!$S$3:$S$150,0),MATCH(AZ$2,'Input 5_2021CUST-YTD'!$C$1:$N$1,0)),0)</f>
        <v>1301.4461503759385</v>
      </c>
      <c r="BA37" s="1">
        <f>IFERROR(INDEX('Input 5.1_2021VOL-YTD'!$C$3:$N$150, MATCH($C37,'Input 5.1_2021VOL-YTD'!$R$3:$R$150,0),MATCH(BA$2,'Input 5.1_2021VOL-YTD'!$C$1:$N$1,0))/INDEX('Input 5_2021CUST-YTD'!$C$3:$N$150,MATCH($C37,'Input 5_2021CUST-YTD'!$S$3:$S$150,0),MATCH(BA$2,'Input 5_2021CUST-YTD'!$C$1:$N$1,0)),0)</f>
        <v>1041.9168412942977</v>
      </c>
      <c r="BB37" s="1">
        <f>IFERROR(INDEX('Input 5.1_2021VOL-YTD'!$C$3:$N$150, MATCH($C37,'Input 5.1_2021VOL-YTD'!$R$3:$R$150,0),MATCH(BB$2,'Input 5.1_2021VOL-YTD'!$C$1:$N$1,0))/INDEX('Input 5_2021CUST-YTD'!$C$3:$N$150,MATCH($C37,'Input 5_2021CUST-YTD'!$S$3:$S$150,0),MATCH(BB$2,'Input 5_2021CUST-YTD'!$C$1:$N$1,0)),0)</f>
        <v>913.42010687022855</v>
      </c>
      <c r="BC37" s="1">
        <f>IFERROR(INDEX('Input 5.1_2021VOL-YTD'!$C$3:$N$150, MATCH($C37,'Input 5.1_2021VOL-YTD'!$R$3:$R$150,0),MATCH(BC$2,'Input 5.1_2021VOL-YTD'!$C$1:$N$1,0))/INDEX('Input 5_2021CUST-YTD'!$C$3:$N$150,MATCH($C37,'Input 5_2021CUST-YTD'!$S$3:$S$150,0),MATCH(BC$2,'Input 5_2021CUST-YTD'!$C$1:$N$1,0)),0)</f>
        <v>963.63209480122259</v>
      </c>
      <c r="BD37" s="1">
        <f>IFERROR(INDEX('Input 5.1_2021VOL-YTD'!$C$3:$N$150, MATCH($C37,'Input 5.1_2021VOL-YTD'!$R$3:$R$150,0),MATCH(BD$2,'Input 5.1_2021VOL-YTD'!$C$1:$N$1,0))/INDEX('Input 5_2021CUST-YTD'!$C$3:$N$150,MATCH($C37,'Input 5_2021CUST-YTD'!$S$3:$S$150,0),MATCH(BD$2,'Input 5_2021CUST-YTD'!$C$1:$N$1,0)),0)</f>
        <v>810.6684000000007</v>
      </c>
      <c r="BE37" s="1">
        <f>IFERROR(INDEX('Input 5.1_2021VOL-YTD'!$C$3:$N$150, MATCH($C37,'Input 5.1_2021VOL-YTD'!$R$3:$R$150,0),MATCH(BE$2,'Input 5.1_2021VOL-YTD'!$C$1:$N$1,0))/INDEX('Input 5_2021CUST-YTD'!$C$3:$N$150,MATCH($C37,'Input 5_2021CUST-YTD'!$S$3:$S$150,0),MATCH(BE$2,'Input 5_2021CUST-YTD'!$C$1:$N$1,0)),0)</f>
        <v>824.86897990726425</v>
      </c>
      <c r="BF37" s="1">
        <f>IFERROR(INDEX('Input 5.1_2021VOL-YTD'!$C$3:$N$150, MATCH($C37,'Input 5.1_2021VOL-YTD'!$R$3:$R$150,0),MATCH(BF$2,'Input 5.1_2021VOL-YTD'!$C$1:$N$1,0))/INDEX('Input 5_2021CUST-YTD'!$C$3:$N$150,MATCH($C37,'Input 5_2021CUST-YTD'!$S$3:$S$150,0),MATCH(BF$2,'Input 5_2021CUST-YTD'!$C$1:$N$1,0)),0)</f>
        <v>863.31542372881313</v>
      </c>
      <c r="BG37" s="1">
        <f>IFERROR(INDEX('Input 5.1_2021VOL-YTD'!$C$3:$N$150, MATCH($C37,'Input 5.1_2021VOL-YTD'!$R$3:$R$150,0),MATCH(BG$2,'Input 5.1_2021VOL-YTD'!$C$1:$N$1,0))/INDEX('Input 5_2021CUST-YTD'!$C$3:$N$150,MATCH($C37,'Input 5_2021CUST-YTD'!$S$3:$S$150,0),MATCH(BG$2,'Input 5_2021CUST-YTD'!$C$1:$N$1,0)),0)</f>
        <v>934.9873323170724</v>
      </c>
      <c r="BH37" s="1">
        <f>IFERROR(INDEX('Input 5.1_2021VOL-YTD'!$C$3:$N$150, MATCH($C37,'Input 5.1_2021VOL-YTD'!$R$3:$R$150,0),MATCH(BH$2,'Input 5.1_2021VOL-YTD'!$C$1:$N$1,0))/INDEX('Input 5_2021CUST-YTD'!$C$3:$N$150,MATCH($C37,'Input 5_2021CUST-YTD'!$S$3:$S$150,0),MATCH(BH$2,'Input 5_2021CUST-YTD'!$C$1:$N$1,0)),0)</f>
        <v>1068.9396380090509</v>
      </c>
      <c r="BI37" s="190">
        <f t="shared" si="7"/>
        <v>1354.3189701492531</v>
      </c>
      <c r="BJ37" s="261">
        <f t="shared" si="8"/>
        <v>1</v>
      </c>
    </row>
    <row r="38" spans="1:62">
      <c r="A38" s="261" t="s">
        <v>1245</v>
      </c>
      <c r="B38" s="261" t="s">
        <v>15</v>
      </c>
      <c r="C38" s="261" t="s">
        <v>47</v>
      </c>
      <c r="D38" s="5">
        <f>IFERROR(INDEX('Input 16.1_2018VOL-YTD'!$C$4:$N$300, MATCH($C38,'Input 16.1_2018VOL-YTD'!$R$4:$R$300,0),MATCH(D$2,'Input 16.1_2018VOL-YTD'!$C$1:$N$1,0))/INDEX('Input 16_2018CUST-YTD'!$D$4:$O$300,MATCH($C38,'Input 16_2018CUST-YTD'!$S$4:$S$300,0),MATCH(D$2,'Input 16_2018CUST-YTD'!$C$1:$O$1,0)),0)</f>
        <v>2566.52858096828</v>
      </c>
      <c r="E38" s="5">
        <f>IFERROR(INDEX('Input 16.1_2018VOL-YTD'!$C$4:$N$300, MATCH($C38,'Input 16.1_2018VOL-YTD'!$R$4:$R$300,0),MATCH(E$2,'Input 16.1_2018VOL-YTD'!$C$1:$N$1,0))/INDEX('Input 16_2018CUST-YTD'!$D$4:$O$300,MATCH($C38,'Input 16_2018CUST-YTD'!$S$4:$S$300,0),MATCH(E$2,'Input 16_2018CUST-YTD'!$C$1:$O$1,0)),0)</f>
        <v>2358.383452282158</v>
      </c>
      <c r="F38" s="5">
        <f>IFERROR(INDEX('Input 16.1_2018VOL-YTD'!$C$4:$N$300, MATCH($C38,'Input 16.1_2018VOL-YTD'!$R$4:$R$300,0),MATCH(F$2,'Input 16.1_2018VOL-YTD'!$C$1:$N$1,0))/INDEX('Input 16_2018CUST-YTD'!$D$4:$O$300,MATCH($C38,'Input 16_2018CUST-YTD'!$S$4:$S$300,0),MATCH(F$2,'Input 16_2018CUST-YTD'!$C$1:$O$1,0)),0)</f>
        <v>2317.6983953680719</v>
      </c>
      <c r="G38" s="5">
        <f>IFERROR(INDEX('Input 16.1_2018VOL-YTD'!$C$4:$N$300, MATCH($C38,'Input 16.1_2018VOL-YTD'!$R$4:$R$300,0),MATCH(G$2,'Input 16.1_2018VOL-YTD'!$C$1:$N$1,0))/INDEX('Input 16_2018CUST-YTD'!$D$4:$O$300,MATCH($C38,'Input 16_2018CUST-YTD'!$S$4:$S$300,0),MATCH(G$2,'Input 16_2018CUST-YTD'!$C$1:$O$1,0)),0)</f>
        <v>2371.0476891105559</v>
      </c>
      <c r="H38" s="5">
        <f>IFERROR(INDEX('Input 16.1_2018VOL-YTD'!$C$4:$N$300, MATCH($C38,'Input 16.1_2018VOL-YTD'!$R$4:$R$300,0),MATCH(H$2,'Input 16.1_2018VOL-YTD'!$C$1:$N$1,0))/INDEX('Input 16_2018CUST-YTD'!$D$4:$O$300,MATCH($C38,'Input 16_2018CUST-YTD'!$S$4:$S$300,0),MATCH(H$2,'Input 16_2018CUST-YTD'!$C$1:$O$1,0)),0)</f>
        <v>2184.1247320692491</v>
      </c>
      <c r="I38" s="5">
        <f>IFERROR(INDEX('Input 16.1_2018VOL-YTD'!$C$4:$N$300, MATCH($C38,'Input 16.1_2018VOL-YTD'!$R$4:$R$300,0),MATCH(I$2,'Input 16.1_2018VOL-YTD'!$C$1:$N$1,0))/INDEX('Input 16_2018CUST-YTD'!$D$4:$O$300,MATCH($C38,'Input 16_2018CUST-YTD'!$S$4:$S$300,0),MATCH(I$2,'Input 16_2018CUST-YTD'!$C$1:$O$1,0)),0)</f>
        <v>2132.6258326497132</v>
      </c>
      <c r="J38" s="5">
        <f>IFERROR(INDEX('Input 16.1_2018VOL-YTD'!$C$4:$N$300, MATCH($C38,'Input 16.1_2018VOL-YTD'!$R$4:$R$300,0),MATCH(J$2,'Input 16.1_2018VOL-YTD'!$C$1:$N$1,0))/INDEX('Input 16_2018CUST-YTD'!$D$4:$O$300,MATCH($C38,'Input 16_2018CUST-YTD'!$S$4:$S$300,0),MATCH(J$2,'Input 16_2018CUST-YTD'!$C$1:$O$1,0)),0)</f>
        <v>2007.31855382087</v>
      </c>
      <c r="K38" s="5">
        <f>IFERROR(INDEX('Input 16.1_2018VOL-YTD'!$C$4:$N$300, MATCH($C38,'Input 16.1_2018VOL-YTD'!$R$4:$R$300,0),MATCH(K$2,'Input 16.1_2018VOL-YTD'!$C$1:$N$1,0))/INDEX('Input 16_2018CUST-YTD'!$D$4:$O$300,MATCH($C38,'Input 16_2018CUST-YTD'!$S$4:$S$300,0),MATCH(K$2,'Input 16_2018CUST-YTD'!$C$1:$O$1,0)),0)</f>
        <v>2053.9012716763</v>
      </c>
      <c r="L38" s="5">
        <f>IFERROR(INDEX('Input 16.1_2018VOL-YTD'!$C$4:$N$300, MATCH($C38,'Input 16.1_2018VOL-YTD'!$R$4:$R$300,0),MATCH(L$2,'Input 16.1_2018VOL-YTD'!$C$1:$N$1,0))/INDEX('Input 16_2018CUST-YTD'!$D$4:$O$300,MATCH($C38,'Input 16_2018CUST-YTD'!$S$4:$S$300,0),MATCH(L$2,'Input 16_2018CUST-YTD'!$C$1:$O$1,0)),0)</f>
        <v>2038.1228927680813</v>
      </c>
      <c r="M38" s="5">
        <f>IFERROR(INDEX('Input 16.1_2018VOL-YTD'!$C$4:$N$300, MATCH($C38,'Input 16.1_2018VOL-YTD'!$R$4:$R$300,0),MATCH(M$2,'Input 16.1_2018VOL-YTD'!$C$1:$N$1,0))/INDEX('Input 16_2018CUST-YTD'!$D$4:$O$300,MATCH($C38,'Input 16_2018CUST-YTD'!$S$4:$S$300,0),MATCH(M$2,'Input 16_2018CUST-YTD'!$C$1:$O$1,0)),0)</f>
        <v>2008.8294937759322</v>
      </c>
      <c r="N38" s="5">
        <f>IFERROR(INDEX('Input 16.1_2018VOL-YTD'!$C$4:$N$300, MATCH($C38,'Input 16.1_2018VOL-YTD'!$R$4:$R$300,0),MATCH(N$2,'Input 16.1_2018VOL-YTD'!$C$1:$N$1,0))/INDEX('Input 16_2018CUST-YTD'!$D$4:$O$300,MATCH($C38,'Input 16_2018CUST-YTD'!$S$4:$S$300,0),MATCH(N$2,'Input 16_2018CUST-YTD'!$C$1:$O$1,0)),0)</f>
        <v>2206.1943888433148</v>
      </c>
      <c r="O38" s="5">
        <f>IFERROR(INDEX('Input 16.1_2018VOL-YTD'!$C$4:$N$300, MATCH($C38,'Input 16.1_2018VOL-YTD'!$R$4:$R$300,0),MATCH(O$2,'Input 16.1_2018VOL-YTD'!$C$1:$N$1,0))/INDEX('Input 16_2018CUST-YTD'!$D$4:$O$300,MATCH($C38,'Input 16_2018CUST-YTD'!$S$4:$S$300,0),MATCH(O$2,'Input 16_2018CUST-YTD'!$C$1:$O$1,0)),0)</f>
        <v>2429.2112712975072</v>
      </c>
      <c r="P38" s="271">
        <f t="shared" si="1"/>
        <v>2566.52858096828</v>
      </c>
      <c r="Q38" s="261">
        <f t="shared" si="2"/>
        <v>1</v>
      </c>
      <c r="S38" s="5">
        <f>IFERROR(INDEX('Input 3.1_2019VOL-YTD'!$C$4:$N$300, MATCH($C38,'Input 3.1_2019VOL-YTD'!$R$4:$R$300,0),MATCH(S$2,'Input 3.1_2019VOL-YTD'!$C$1:$N$1,0))/INDEX('Input 3_2019CUST-YTD'!$C$4:$N$300,MATCH($C38,'Input 3_2019CUST-YTD'!$S$4:$S$300,0),MATCH(S$2,'Input 3_2019CUST-YTD'!$C$1:$N$1,0)),0)</f>
        <v>2682.2998775510182</v>
      </c>
      <c r="T38" s="5">
        <f>IFERROR(INDEX('Input 3.1_2019VOL-YTD'!$C$4:$N$300, MATCH($C38,'Input 3.1_2019VOL-YTD'!$R$4:$R$300,0),MATCH(T$2,'Input 3.1_2019VOL-YTD'!$C$1:$N$1,0))/INDEX('Input 3_2019CUST-YTD'!$C$4:$N$300,MATCH($C38,'Input 3_2019CUST-YTD'!$S$4:$S$300,0),MATCH(T$2,'Input 3_2019CUST-YTD'!$C$1:$N$1,0)),0)</f>
        <v>2369.8539967506094</v>
      </c>
      <c r="U38" s="5">
        <f>IFERROR(INDEX('Input 3.1_2019VOL-YTD'!$C$4:$N$300, MATCH($C38,'Input 3.1_2019VOL-YTD'!$R$4:$R$300,0),MATCH(U$2,'Input 3.1_2019VOL-YTD'!$C$1:$N$1,0))/INDEX('Input 3_2019CUST-YTD'!$C$4:$N$300,MATCH($C38,'Input 3_2019CUST-YTD'!$S$4:$S$300,0),MATCH(U$2,'Input 3_2019CUST-YTD'!$C$1:$N$1,0)),0)</f>
        <v>2304.7653193209385</v>
      </c>
      <c r="V38" s="5">
        <f>IFERROR(INDEX('Input 3.1_2019VOL-YTD'!$C$4:$N$300, MATCH($C38,'Input 3.1_2019VOL-YTD'!$R$4:$R$300,0),MATCH(V$2,'Input 3.1_2019VOL-YTD'!$C$1:$N$1,0))/INDEX('Input 3_2019CUST-YTD'!$C$4:$N$300,MATCH($C38,'Input 3_2019CUST-YTD'!$S$4:$S$300,0),MATCH(V$2,'Input 3_2019CUST-YTD'!$C$1:$N$1,0)),0)</f>
        <v>2270.820176848873</v>
      </c>
      <c r="W38" s="5">
        <f>IFERROR(INDEX('Input 3.1_2019VOL-YTD'!$C$4:$N$300, MATCH($C38,'Input 3.1_2019VOL-YTD'!$R$4:$R$300,0),MATCH(W$2,'Input 3.1_2019VOL-YTD'!$C$1:$N$1,0))/INDEX('Input 3_2019CUST-YTD'!$C$4:$N$300,MATCH($C38,'Input 3_2019CUST-YTD'!$S$4:$S$300,0),MATCH(W$2,'Input 3_2019CUST-YTD'!$C$1:$N$1,0)),0)</f>
        <v>2229.5529190056104</v>
      </c>
      <c r="X38" s="5">
        <f>IFERROR(INDEX('Input 3.1_2019VOL-YTD'!$C$4:$N$300, MATCH($C38,'Input 3.1_2019VOL-YTD'!$R$4:$R$300,0),MATCH(X$2,'Input 3.1_2019VOL-YTD'!$C$1:$N$1,0))/INDEX('Input 3_2019CUST-YTD'!$C$4:$N$300,MATCH($C38,'Input 3_2019CUST-YTD'!$S$4:$S$300,0),MATCH(X$2,'Input 3_2019CUST-YTD'!$C$1:$N$1,0)),0)</f>
        <v>2022.0405737051778</v>
      </c>
      <c r="Y38" s="5">
        <f>IFERROR(INDEX('Input 3.1_2019VOL-YTD'!$C$4:$N$300, MATCH($C38,'Input 3.1_2019VOL-YTD'!$R$4:$R$300,0),MATCH(Y$2,'Input 3.1_2019VOL-YTD'!$C$1:$N$1,0))/INDEX('Input 3_2019CUST-YTD'!$C$4:$N$300,MATCH($C38,'Input 3_2019CUST-YTD'!$S$4:$S$300,0),MATCH(Y$2,'Input 3_2019CUST-YTD'!$C$1:$N$1,0)),0)</f>
        <v>1921.1765888978271</v>
      </c>
      <c r="Z38" s="5">
        <f>IFERROR(INDEX('Input 3.1_2019VOL-YTD'!$C$4:$N$300, MATCH($C38,'Input 3.1_2019VOL-YTD'!$R$4:$R$300,0),MATCH(Z$2,'Input 3.1_2019VOL-YTD'!$C$1:$N$1,0))/INDEX('Input 3_2019CUST-YTD'!$C$4:$N$300,MATCH($C38,'Input 3_2019CUST-YTD'!$S$4:$S$300,0),MATCH(Z$2,'Input 3_2019CUST-YTD'!$C$1:$N$1,0)),0)</f>
        <v>2022.202633279484</v>
      </c>
      <c r="AA38" s="5">
        <f>IFERROR(INDEX('Input 3.1_2019VOL-YTD'!$C$4:$N$300, MATCH($C38,'Input 3.1_2019VOL-YTD'!$R$4:$R$300,0),MATCH(AA$2,'Input 3.1_2019VOL-YTD'!$C$1:$N$1,0))/INDEX('Input 3_2019CUST-YTD'!$C$4:$N$300,MATCH($C38,'Input 3_2019CUST-YTD'!$S$4:$S$300,0),MATCH(AA$2,'Input 3_2019CUST-YTD'!$C$1:$N$1,0)),0)</f>
        <v>1925.3005863453816</v>
      </c>
      <c r="AB38" s="5">
        <f>IFERROR(INDEX('Input 3.1_2019VOL-YTD'!$C$4:$N$300, MATCH($C38,'Input 3.1_2019VOL-YTD'!$R$4:$R$300,0),MATCH(AB$2,'Input 3.1_2019VOL-YTD'!$C$1:$N$1,0))/INDEX('Input 3_2019CUST-YTD'!$C$4:$N$300,MATCH($C38,'Input 3_2019CUST-YTD'!$S$4:$S$300,0),MATCH(AB$2,'Input 3_2019CUST-YTD'!$C$1:$N$1,0)),0)</f>
        <v>2045.0445950280691</v>
      </c>
      <c r="AC38" s="5">
        <f>IFERROR(INDEX('Input 3.1_2019VOL-YTD'!$C$4:$N$300, MATCH($C38,'Input 3.1_2019VOL-YTD'!$R$4:$R$300,0),MATCH(AC$2,'Input 3.1_2019VOL-YTD'!$C$1:$N$1,0))/INDEX('Input 3_2019CUST-YTD'!$C$4:$N$300,MATCH($C38,'Input 3_2019CUST-YTD'!$S$4:$S$300,0),MATCH(AC$2,'Input 3_2019CUST-YTD'!$C$1:$N$1,0)),0)</f>
        <v>2271.9177131474103</v>
      </c>
      <c r="AD38" s="5">
        <f>IFERROR(INDEX('Input 3.1_2019VOL-YTD'!$C$4:$N$300, MATCH($C38,'Input 3.1_2019VOL-YTD'!$R$4:$R$300,0),MATCH(AD$2,'Input 3.1_2019VOL-YTD'!$C$1:$N$1,0))/INDEX('Input 3_2019CUST-YTD'!$C$4:$N$300,MATCH($C38,'Input 3_2019CUST-YTD'!$S$4:$S$300,0),MATCH(AD$2,'Input 3_2019CUST-YTD'!$C$1:$N$1,0)),0)</f>
        <v>2476.5880573248373</v>
      </c>
      <c r="AE38" s="272">
        <f t="shared" si="12"/>
        <v>2682.2998775510182</v>
      </c>
      <c r="AF38" s="261">
        <f t="shared" si="13"/>
        <v>1</v>
      </c>
      <c r="AH38" s="262">
        <f>IFERROR(INDEX('Input 4.1_2020VOL-YTD'!$C$4:$O$300, MATCH($C38,'Input 4.1_2020VOL-YTD'!$R$4:$R$300,0),MATCH(AH$2,'Input 4.1_2020VOL-YTD'!$C$1:$O$1,0))/INDEX('Input 4_2020CUST-YTD'!$C$4:O$300,MATCH($C38,'Input 4_2020CUST-YTD'!$S$4:$S$300,0),MATCH(AH$2,'Input 4_2020CUST-YTD'!$C$1:$O$1,0)),0)</f>
        <v>2553.5531408227844</v>
      </c>
      <c r="AI38" s="262">
        <f>IFERROR(INDEX('Input 4.1_2020VOL-YTD'!$C$4:$O$300, MATCH($C38,'Input 4.1_2020VOL-YTD'!$R$4:$R$300,0),MATCH(AI$2,'Input 4.1_2020VOL-YTD'!$C$1:$O$1,0))/INDEX('Input 4_2020CUST-YTD'!$C$4:P$300,MATCH($C38,'Input 4_2020CUST-YTD'!$S$4:$S$300,0),MATCH(AI$2,'Input 4_2020CUST-YTD'!$C$1:$O$1,0)),0)</f>
        <v>2376.804802215187</v>
      </c>
      <c r="AJ38" s="262">
        <f>IFERROR(INDEX('Input 4.1_2020VOL-YTD'!$C$4:$O$300, MATCH($C38,'Input 4.1_2020VOL-YTD'!$R$4:$R$300,0),MATCH(AJ$2,'Input 4.1_2020VOL-YTD'!$C$1:$O$1,0))/INDEX('Input 4_2020CUST-YTD'!$C$4:Q$300,MATCH($C38,'Input 4_2020CUST-YTD'!$S$4:$S$300,0),MATCH(AJ$2,'Input 4_2020CUST-YTD'!$C$1:$O$1,0)),0)</f>
        <v>2247.8357018239517</v>
      </c>
      <c r="AK38" s="262">
        <f>IFERROR(INDEX('Input 4.1_2020VOL-YTD'!$C$4:$O$300, MATCH($C38,'Input 4.1_2020VOL-YTD'!$R$4:$R$300,0),MATCH(AK$2,'Input 4.1_2020VOL-YTD'!$C$1:$O$1,0))/INDEX('Input 4_2020CUST-YTD'!$C$4:R$300,MATCH($C38,'Input 4_2020CUST-YTD'!$S$4:$S$300,0),MATCH(AK$2,'Input 4_2020CUST-YTD'!$C$1:$O$1,0)),0)</f>
        <v>1720.1647128245463</v>
      </c>
      <c r="AL38" s="262">
        <f>IFERROR(INDEX('Input 4.1_2020VOL-YTD'!$C$4:$O$300, MATCH($C38,'Input 4.1_2020VOL-YTD'!$R$4:$R$300,0),MATCH(AL$2,'Input 4.1_2020VOL-YTD'!$C$1:$O$1,0))/INDEX('Input 4_2020CUST-YTD'!$C$4:S$300,MATCH($C38,'Input 4_2020CUST-YTD'!$S$4:$S$300,0),MATCH(AL$2,'Input 4_2020CUST-YTD'!$C$1:$O$1,0)),0)</f>
        <v>1615.2629702194363</v>
      </c>
      <c r="AM38" s="262">
        <f>IFERROR(INDEX('Input 4.1_2020VOL-YTD'!$C$4:$O$300, MATCH($C38,'Input 4.1_2020VOL-YTD'!$R$4:$R$300,0),MATCH(AM$2,'Input 4.1_2020VOL-YTD'!$C$1:$O$1,0))/INDEX('Input 4_2020CUST-YTD'!$C$4:T$300,MATCH($C38,'Input 4_2020CUST-YTD'!$S$4:$S$300,0),MATCH(AM$2,'Input 4_2020CUST-YTD'!$C$1:$O$1,0)),0)</f>
        <v>1719.2861502347437</v>
      </c>
      <c r="AN38" s="262">
        <f>IFERROR(INDEX('Input 4.1_2020VOL-YTD'!$C$4:$O$300, MATCH($C38,'Input 4.1_2020VOL-YTD'!$R$4:$R$300,0),MATCH(AN$2,'Input 4.1_2020VOL-YTD'!$C$1:$O$1,0))/INDEX('Input 4_2020CUST-YTD'!$C$4:U$300,MATCH($C38,'Input 4_2020CUST-YTD'!$S$4:$S$300,0),MATCH(AN$2,'Input 4_2020CUST-YTD'!$C$1:$O$1,0)),0)</f>
        <v>1834.4213432835825</v>
      </c>
      <c r="AO38" s="262">
        <f>IFERROR(INDEX('Input 4.1_2020VOL-YTD'!$C$4:$O$300, MATCH($C38,'Input 4.1_2020VOL-YTD'!$R$4:$R$300,0),MATCH(AO$2,'Input 4.1_2020VOL-YTD'!$C$1:$O$1,0))/INDEX('Input 4_2020CUST-YTD'!$C$4:V$300,MATCH($C38,'Input 4_2020CUST-YTD'!$S$4:$S$300,0),MATCH(AO$2,'Input 4_2020CUST-YTD'!$C$1:$O$1,0)),0)</f>
        <v>1768.2771394799047</v>
      </c>
      <c r="AP38" s="262">
        <f>IFERROR(INDEX('Input 4.1_2020VOL-YTD'!$C$4:$O$300, MATCH($C38,'Input 4.1_2020VOL-YTD'!$R$4:$R$300,0),MATCH(AP$2,'Input 4.1_2020VOL-YTD'!$C$1:$O$1,0))/INDEX('Input 4_2020CUST-YTD'!$C$4:W$300,MATCH($C38,'Input 4_2020CUST-YTD'!$S$4:$S$300,0),MATCH(AP$2,'Input 4_2020CUST-YTD'!$C$1:$O$1,0)),0)</f>
        <v>1811.84716772152</v>
      </c>
      <c r="AQ38" s="262">
        <f>IFERROR(INDEX('Input 4.1_2020VOL-YTD'!$C$4:$O$300, MATCH($C38,'Input 4.1_2020VOL-YTD'!$R$4:$R$300,0),MATCH(AQ$2,'Input 4.1_2020VOL-YTD'!$C$1:$O$1,0))/INDEX('Input 4_2020CUST-YTD'!$C$4:X$300,MATCH($C38,'Input 4_2020CUST-YTD'!$S$4:$S$300,0),MATCH(AQ$2,'Input 4_2020CUST-YTD'!$C$1:$O$1,0)),0)</f>
        <v>1828.8553900709214</v>
      </c>
      <c r="AR38" s="262">
        <f>IFERROR(INDEX('Input 4.1_2020VOL-YTD'!$C$4:$O$300, MATCH($C38,'Input 4.1_2020VOL-YTD'!$R$4:$R$300,0),MATCH(AR$2,'Input 4.1_2020VOL-YTD'!$C$1:$O$1,0))/INDEX('Input 4_2020CUST-YTD'!$C$4:Y$300,MATCH($C38,'Input 4_2020CUST-YTD'!$S$4:$S$300,0),MATCH(AR$2,'Input 4_2020CUST-YTD'!$C$1:$O$1,0)),0)</f>
        <v>1951.8034651898727</v>
      </c>
      <c r="AS38" s="262">
        <f>IFERROR(INDEX('Input 4.1_2020VOL-YTD'!$C$4:$O$300, MATCH($C38,'Input 4.1_2020VOL-YTD'!$R$4:$R$300,0),MATCH(AS$2,'Input 4.1_2020VOL-YTD'!$C$1:$O$1,0))/INDEX('Input 4_2020CUST-YTD'!$C$4:Z$300,MATCH($C38,'Input 4_2020CUST-YTD'!$S$4:$S$300,0),MATCH(AS$2,'Input 4_2020CUST-YTD'!$C$1:$O$1,0)),0)</f>
        <v>2169.4168512658225</v>
      </c>
      <c r="AT38" s="190">
        <f t="shared" si="10"/>
        <v>2553.5531408227844</v>
      </c>
      <c r="AU38" s="261">
        <f t="shared" si="11"/>
        <v>1</v>
      </c>
      <c r="AW38" s="1">
        <f>IFERROR(INDEX('Input 5.1_2021VOL-YTD'!$C$3:$N$150, MATCH($C38,'Input 5.1_2021VOL-YTD'!$R$3:$R$150,0),MATCH(AW$2,'Input 5.1_2021VOL-YTD'!$C$1:$N$1,0))/INDEX('Input 5_2021CUST-YTD'!$C$3:$N$150,MATCH($C38,'Input 5_2021CUST-YTD'!$S$3:$S$150,0),MATCH(AW$2,'Input 5_2021CUST-YTD'!$C$1:$N$1,0)),0)</f>
        <v>2330.0383955520251</v>
      </c>
      <c r="AX38" s="1">
        <f>IFERROR(INDEX('Input 5.1_2021VOL-YTD'!$C$3:$N$150, MATCH($C38,'Input 5.1_2021VOL-YTD'!$R$3:$R$150,0),MATCH(AX$2,'Input 5.1_2021VOL-YTD'!$C$1:$N$1,0))/INDEX('Input 5_2021CUST-YTD'!$C$3:$N$150,MATCH($C38,'Input 5_2021CUST-YTD'!$S$3:$S$150,0),MATCH(AX$2,'Input 5_2021CUST-YTD'!$C$1:$N$1,0)),0)</f>
        <v>2154.4498405103686</v>
      </c>
      <c r="AY38" s="1">
        <f>IFERROR(INDEX('Input 5.1_2021VOL-YTD'!$C$3:$N$150, MATCH($C38,'Input 5.1_2021VOL-YTD'!$R$3:$R$150,0),MATCH(AY$2,'Input 5.1_2021VOL-YTD'!$C$1:$N$1,0))/INDEX('Input 5_2021CUST-YTD'!$C$3:$N$150,MATCH($C38,'Input 5_2021CUST-YTD'!$S$3:$S$150,0),MATCH(AY$2,'Input 5_2021CUST-YTD'!$C$1:$N$1,0)),0)</f>
        <v>2263.6634045922415</v>
      </c>
      <c r="AZ38" s="1">
        <f>IFERROR(INDEX('Input 5.1_2021VOL-YTD'!$C$3:$N$150, MATCH($C38,'Input 5.1_2021VOL-YTD'!$R$3:$R$150,0),MATCH(AZ$2,'Input 5.1_2021VOL-YTD'!$C$1:$N$1,0))/INDEX('Input 5_2021CUST-YTD'!$C$3:$N$150,MATCH($C38,'Input 5_2021CUST-YTD'!$S$3:$S$150,0),MATCH(AZ$2,'Input 5_2021CUST-YTD'!$C$1:$N$1,0)),0)</f>
        <v>2203.7986682427108</v>
      </c>
      <c r="BA38" s="1">
        <f>IFERROR(INDEX('Input 5.1_2021VOL-YTD'!$C$3:$N$150, MATCH($C38,'Input 5.1_2021VOL-YTD'!$R$3:$R$150,0),MATCH(BA$2,'Input 5.1_2021VOL-YTD'!$C$1:$N$1,0))/INDEX('Input 5_2021CUST-YTD'!$C$3:$N$150,MATCH($C38,'Input 5_2021CUST-YTD'!$S$3:$S$150,0),MATCH(BA$2,'Input 5_2021CUST-YTD'!$C$1:$N$1,0)),0)</f>
        <v>2114.3137156323642</v>
      </c>
      <c r="BB38" s="1">
        <f>IFERROR(INDEX('Input 5.1_2021VOL-YTD'!$C$3:$N$150, MATCH($C38,'Input 5.1_2021VOL-YTD'!$R$3:$R$150,0),MATCH(BB$2,'Input 5.1_2021VOL-YTD'!$C$1:$N$1,0))/INDEX('Input 5_2021CUST-YTD'!$C$3:$N$150,MATCH($C38,'Input 5_2021CUST-YTD'!$S$3:$S$150,0),MATCH(BB$2,'Input 5_2021CUST-YTD'!$C$1:$N$1,0)),0)</f>
        <v>1961.3736700868208</v>
      </c>
      <c r="BC38" s="1">
        <f>IFERROR(INDEX('Input 5.1_2021VOL-YTD'!$C$3:$N$150, MATCH($C38,'Input 5.1_2021VOL-YTD'!$R$3:$R$150,0),MATCH(BC$2,'Input 5.1_2021VOL-YTD'!$C$1:$N$1,0))/INDEX('Input 5_2021CUST-YTD'!$C$3:$N$150,MATCH($C38,'Input 5_2021CUST-YTD'!$S$3:$S$150,0),MATCH(BC$2,'Input 5_2021CUST-YTD'!$C$1:$N$1,0)),0)</f>
        <v>2074.173905882355</v>
      </c>
      <c r="BD38" s="1">
        <f>IFERROR(INDEX('Input 5.1_2021VOL-YTD'!$C$3:$N$150, MATCH($C38,'Input 5.1_2021VOL-YTD'!$R$3:$R$150,0),MATCH(BD$2,'Input 5.1_2021VOL-YTD'!$C$1:$N$1,0))/INDEX('Input 5_2021CUST-YTD'!$C$3:$N$150,MATCH($C38,'Input 5_2021CUST-YTD'!$S$3:$S$150,0),MATCH(BD$2,'Input 5_2021CUST-YTD'!$C$1:$N$1,0)),0)</f>
        <v>1921.0505168363354</v>
      </c>
      <c r="BE38" s="1">
        <f>IFERROR(INDEX('Input 5.1_2021VOL-YTD'!$C$3:$N$150, MATCH($C38,'Input 5.1_2021VOL-YTD'!$R$3:$R$150,0),MATCH(BE$2,'Input 5.1_2021VOL-YTD'!$C$1:$N$1,0))/INDEX('Input 5_2021CUST-YTD'!$C$3:$N$150,MATCH($C38,'Input 5_2021CUST-YTD'!$S$3:$S$150,0),MATCH(BE$2,'Input 5_2021CUST-YTD'!$C$1:$N$1,0)),0)</f>
        <v>2060.940819032759</v>
      </c>
      <c r="BF38" s="1">
        <f>IFERROR(INDEX('Input 5.1_2021VOL-YTD'!$C$3:$N$150, MATCH($C38,'Input 5.1_2021VOL-YTD'!$R$3:$R$150,0),MATCH(BF$2,'Input 5.1_2021VOL-YTD'!$C$1:$N$1,0))/INDEX('Input 5_2021CUST-YTD'!$C$3:$N$150,MATCH($C38,'Input 5_2021CUST-YTD'!$S$3:$S$150,0),MATCH(BF$2,'Input 5_2021CUST-YTD'!$C$1:$N$1,0)),0)</f>
        <v>2055.0516588785031</v>
      </c>
      <c r="BG38" s="1">
        <f>IFERROR(INDEX('Input 5.1_2021VOL-YTD'!$C$3:$N$150, MATCH($C38,'Input 5.1_2021VOL-YTD'!$R$3:$R$150,0),MATCH(BG$2,'Input 5.1_2021VOL-YTD'!$C$1:$N$1,0))/INDEX('Input 5_2021CUST-YTD'!$C$3:$N$150,MATCH($C38,'Input 5_2021CUST-YTD'!$S$3:$S$150,0),MATCH(BG$2,'Input 5_2021CUST-YTD'!$C$1:$N$1,0)),0)</f>
        <v>2167.0221651090342</v>
      </c>
      <c r="BH38" s="1">
        <f>IFERROR(INDEX('Input 5.1_2021VOL-YTD'!$C$3:$N$150, MATCH($C38,'Input 5.1_2021VOL-YTD'!$R$3:$R$150,0),MATCH(BH$2,'Input 5.1_2021VOL-YTD'!$C$1:$N$1,0))/INDEX('Input 5_2021CUST-YTD'!$C$3:$N$150,MATCH($C38,'Input 5_2021CUST-YTD'!$S$3:$S$150,0),MATCH(BH$2,'Input 5_2021CUST-YTD'!$C$1:$N$1,0)),0)</f>
        <v>2273.2724102964121</v>
      </c>
      <c r="BI38" s="190">
        <f t="shared" si="7"/>
        <v>2330.0383955520251</v>
      </c>
      <c r="BJ38" s="261">
        <f t="shared" si="8"/>
        <v>1</v>
      </c>
    </row>
    <row r="39" spans="1:62">
      <c r="A39" s="261" t="s">
        <v>1245</v>
      </c>
      <c r="B39" s="261" t="s">
        <v>15</v>
      </c>
      <c r="C39" s="261" t="s">
        <v>55</v>
      </c>
      <c r="D39" s="5">
        <f>IFERROR(INDEX('Input 16.1_2018VOL-YTD'!$C$4:$N$300, MATCH($C39,'Input 16.1_2018VOL-YTD'!$R$4:$R$300,0),MATCH(D$2,'Input 16.1_2018VOL-YTD'!$C$1:$N$1,0))/INDEX('Input 16_2018CUST-YTD'!$D$4:$O$300,MATCH($C39,'Input 16_2018CUST-YTD'!$S$4:$S$300,0),MATCH(D$2,'Input 16_2018CUST-YTD'!$C$1:$O$1,0)),0)</f>
        <v>25029.915000000001</v>
      </c>
      <c r="E39" s="5">
        <f>IFERROR(INDEX('Input 16.1_2018VOL-YTD'!$C$4:$N$300, MATCH($C39,'Input 16.1_2018VOL-YTD'!$R$4:$R$300,0),MATCH(E$2,'Input 16.1_2018VOL-YTD'!$C$1:$N$1,0))/INDEX('Input 16_2018CUST-YTD'!$D$4:$O$300,MATCH($C39,'Input 16_2018CUST-YTD'!$S$4:$S$300,0),MATCH(E$2,'Input 16_2018CUST-YTD'!$C$1:$O$1,0)),0)</f>
        <v>23095.15</v>
      </c>
      <c r="F39" s="5">
        <f>IFERROR(INDEX('Input 16.1_2018VOL-YTD'!$C$4:$N$300, MATCH($C39,'Input 16.1_2018VOL-YTD'!$R$4:$R$300,0),MATCH(F$2,'Input 16.1_2018VOL-YTD'!$C$1:$N$1,0))/INDEX('Input 16_2018CUST-YTD'!$D$4:$O$300,MATCH($C39,'Input 16_2018CUST-YTD'!$S$4:$S$300,0),MATCH(F$2,'Input 16_2018CUST-YTD'!$C$1:$O$1,0)),0)</f>
        <v>25114.620000000003</v>
      </c>
      <c r="G39" s="5">
        <f>IFERROR(INDEX('Input 16.1_2018VOL-YTD'!$C$4:$N$300, MATCH($C39,'Input 16.1_2018VOL-YTD'!$R$4:$R$300,0),MATCH(G$2,'Input 16.1_2018VOL-YTD'!$C$1:$N$1,0))/INDEX('Input 16_2018CUST-YTD'!$D$4:$O$300,MATCH($C39,'Input 16_2018CUST-YTD'!$S$4:$S$300,0),MATCH(G$2,'Input 16_2018CUST-YTD'!$C$1:$O$1,0)),0)</f>
        <v>24320.3</v>
      </c>
      <c r="H39" s="5">
        <f>IFERROR(INDEX('Input 16.1_2018VOL-YTD'!$C$4:$N$300, MATCH($C39,'Input 16.1_2018VOL-YTD'!$R$4:$R$300,0),MATCH(H$2,'Input 16.1_2018VOL-YTD'!$C$1:$N$1,0))/INDEX('Input 16_2018CUST-YTD'!$D$4:$O$300,MATCH($C39,'Input 16_2018CUST-YTD'!$S$4:$S$300,0),MATCH(H$2,'Input 16_2018CUST-YTD'!$C$1:$O$1,0)),0)</f>
        <v>26365.605000000003</v>
      </c>
      <c r="I39" s="5">
        <f>IFERROR(INDEX('Input 16.1_2018VOL-YTD'!$C$4:$N$300, MATCH($C39,'Input 16.1_2018VOL-YTD'!$R$4:$R$300,0),MATCH(I$2,'Input 16.1_2018VOL-YTD'!$C$1:$N$1,0))/INDEX('Input 16_2018CUST-YTD'!$D$4:$O$300,MATCH($C39,'Input 16_2018CUST-YTD'!$S$4:$S$300,0),MATCH(I$2,'Input 16_2018CUST-YTD'!$C$1:$O$1,0)),0)</f>
        <v>25305.77</v>
      </c>
      <c r="J39" s="5">
        <f>IFERROR(INDEX('Input 16.1_2018VOL-YTD'!$C$4:$N$300, MATCH($C39,'Input 16.1_2018VOL-YTD'!$R$4:$R$300,0),MATCH(J$2,'Input 16.1_2018VOL-YTD'!$C$1:$N$1,0))/INDEX('Input 16_2018CUST-YTD'!$D$4:$O$300,MATCH($C39,'Input 16_2018CUST-YTD'!$S$4:$S$300,0),MATCH(J$2,'Input 16_2018CUST-YTD'!$C$1:$O$1,0)),0)</f>
        <v>27441.064999999999</v>
      </c>
      <c r="K39" s="5">
        <f>IFERROR(INDEX('Input 16.1_2018VOL-YTD'!$C$4:$N$300, MATCH($C39,'Input 16.1_2018VOL-YTD'!$R$4:$R$300,0),MATCH(K$2,'Input 16.1_2018VOL-YTD'!$C$1:$N$1,0))/INDEX('Input 16_2018CUST-YTD'!$D$4:$O$300,MATCH($C39,'Input 16_2018CUST-YTD'!$S$4:$S$300,0),MATCH(K$2,'Input 16_2018CUST-YTD'!$C$1:$O$1,0)),0)</f>
        <v>29906.129999999997</v>
      </c>
      <c r="L39" s="5">
        <f>IFERROR(INDEX('Input 16.1_2018VOL-YTD'!$C$4:$N$300, MATCH($C39,'Input 16.1_2018VOL-YTD'!$R$4:$R$300,0),MATCH(L$2,'Input 16.1_2018VOL-YTD'!$C$1:$N$1,0))/INDEX('Input 16_2018CUST-YTD'!$D$4:$O$300,MATCH($C39,'Input 16_2018CUST-YTD'!$S$4:$S$300,0),MATCH(L$2,'Input 16_2018CUST-YTD'!$C$1:$O$1,0)),0)</f>
        <v>28155.005000000001</v>
      </c>
      <c r="M39" s="5">
        <f>IFERROR(INDEX('Input 16.1_2018VOL-YTD'!$C$4:$N$300, MATCH($C39,'Input 16.1_2018VOL-YTD'!$R$4:$R$300,0),MATCH(M$2,'Input 16.1_2018VOL-YTD'!$C$1:$N$1,0))/INDEX('Input 16_2018CUST-YTD'!$D$4:$O$300,MATCH($C39,'Input 16_2018CUST-YTD'!$S$4:$S$300,0),MATCH(M$2,'Input 16_2018CUST-YTD'!$C$1:$O$1,0)),0)</f>
        <v>30733.584999999999</v>
      </c>
      <c r="N39" s="5">
        <f>IFERROR(INDEX('Input 16.1_2018VOL-YTD'!$C$4:$N$300, MATCH($C39,'Input 16.1_2018VOL-YTD'!$R$4:$R$300,0),MATCH(N$2,'Input 16.1_2018VOL-YTD'!$C$1:$N$1,0))/INDEX('Input 16_2018CUST-YTD'!$D$4:$O$300,MATCH($C39,'Input 16_2018CUST-YTD'!$S$4:$S$300,0),MATCH(N$2,'Input 16_2018CUST-YTD'!$C$1:$O$1,0)),0)</f>
        <v>28759.225000000002</v>
      </c>
      <c r="O39" s="5">
        <f>IFERROR(INDEX('Input 16.1_2018VOL-YTD'!$C$4:$N$300, MATCH($C39,'Input 16.1_2018VOL-YTD'!$R$4:$R$300,0),MATCH(O$2,'Input 16.1_2018VOL-YTD'!$C$1:$N$1,0))/INDEX('Input 16_2018CUST-YTD'!$D$4:$O$300,MATCH($C39,'Input 16_2018CUST-YTD'!$S$4:$S$300,0),MATCH(O$2,'Input 16_2018CUST-YTD'!$C$1:$O$1,0)),0)</f>
        <v>27241.559999999998</v>
      </c>
      <c r="P39" s="271">
        <f t="shared" si="1"/>
        <v>30733.584999999999</v>
      </c>
      <c r="Q39" s="261">
        <f t="shared" si="2"/>
        <v>10</v>
      </c>
      <c r="S39" s="5">
        <f>IFERROR(INDEX('Input 3.1_2019VOL-YTD'!$C$4:$N$300, MATCH($C39,'Input 3.1_2019VOL-YTD'!$R$4:$R$300,0),MATCH(S$2,'Input 3.1_2019VOL-YTD'!$C$1:$N$1,0))/INDEX('Input 3_2019CUST-YTD'!$C$4:$N$300,MATCH($C39,'Input 3_2019CUST-YTD'!$S$4:$S$300,0),MATCH(S$2,'Input 3_2019CUST-YTD'!$C$1:$N$1,0)),0)</f>
        <v>28253.355</v>
      </c>
      <c r="T39" s="5">
        <f>IFERROR(INDEX('Input 3.1_2019VOL-YTD'!$C$4:$N$300, MATCH($C39,'Input 3.1_2019VOL-YTD'!$R$4:$R$300,0),MATCH(T$2,'Input 3.1_2019VOL-YTD'!$C$1:$N$1,0))/INDEX('Input 3_2019CUST-YTD'!$C$4:$N$300,MATCH($C39,'Input 3_2019CUST-YTD'!$S$4:$S$300,0),MATCH(T$2,'Input 3_2019CUST-YTD'!$C$1:$N$1,0)),0)</f>
        <v>22725.39</v>
      </c>
      <c r="U39" s="5">
        <f>IFERROR(INDEX('Input 3.1_2019VOL-YTD'!$C$4:$N$300, MATCH($C39,'Input 3.1_2019VOL-YTD'!$R$4:$R$300,0),MATCH(U$2,'Input 3.1_2019VOL-YTD'!$C$1:$N$1,0))/INDEX('Input 3_2019CUST-YTD'!$C$4:$N$300,MATCH($C39,'Input 3_2019CUST-YTD'!$S$4:$S$300,0),MATCH(U$2,'Input 3_2019CUST-YTD'!$C$1:$N$1,0)),0)</f>
        <v>25330.25</v>
      </c>
      <c r="V39" s="5">
        <f>IFERROR(INDEX('Input 3.1_2019VOL-YTD'!$C$4:$N$300, MATCH($C39,'Input 3.1_2019VOL-YTD'!$R$4:$R$300,0),MATCH(V$2,'Input 3.1_2019VOL-YTD'!$C$1:$N$1,0))/INDEX('Input 3_2019CUST-YTD'!$C$4:$N$300,MATCH($C39,'Input 3_2019CUST-YTD'!$S$4:$S$300,0),MATCH(V$2,'Input 3_2019CUST-YTD'!$C$1:$N$1,0)),0)</f>
        <v>26455.909999999996</v>
      </c>
      <c r="W39" s="5">
        <f>IFERROR(INDEX('Input 3.1_2019VOL-YTD'!$C$4:$N$300, MATCH($C39,'Input 3.1_2019VOL-YTD'!$R$4:$R$300,0),MATCH(W$2,'Input 3.1_2019VOL-YTD'!$C$1:$N$1,0))/INDEX('Input 3_2019CUST-YTD'!$C$4:$N$300,MATCH($C39,'Input 3_2019CUST-YTD'!$S$4:$S$300,0),MATCH(W$2,'Input 3_2019CUST-YTD'!$C$1:$N$1,0)),0)</f>
        <v>28471.904999999999</v>
      </c>
      <c r="X39" s="5">
        <f>IFERROR(INDEX('Input 3.1_2019VOL-YTD'!$C$4:$N$300, MATCH($C39,'Input 3.1_2019VOL-YTD'!$R$4:$R$300,0),MATCH(X$2,'Input 3.1_2019VOL-YTD'!$C$1:$N$1,0))/INDEX('Input 3_2019CUST-YTD'!$C$4:$N$300,MATCH($C39,'Input 3_2019CUST-YTD'!$S$4:$S$300,0),MATCH(X$2,'Input 3_2019CUST-YTD'!$C$1:$N$1,0)),0)</f>
        <v>26277.88</v>
      </c>
      <c r="Y39" s="5">
        <f>IFERROR(INDEX('Input 3.1_2019VOL-YTD'!$C$4:$N$300, MATCH($C39,'Input 3.1_2019VOL-YTD'!$R$4:$R$300,0),MATCH(Y$2,'Input 3.1_2019VOL-YTD'!$C$1:$N$1,0))/INDEX('Input 3_2019CUST-YTD'!$C$4:$N$300,MATCH($C39,'Input 3_2019CUST-YTD'!$S$4:$S$300,0),MATCH(Y$2,'Input 3_2019CUST-YTD'!$C$1:$N$1,0)),0)</f>
        <v>32583.404999999999</v>
      </c>
      <c r="Z39" s="5">
        <f>IFERROR(INDEX('Input 3.1_2019VOL-YTD'!$C$4:$N$300, MATCH($C39,'Input 3.1_2019VOL-YTD'!$R$4:$R$300,0),MATCH(Z$2,'Input 3.1_2019VOL-YTD'!$C$1:$N$1,0))/INDEX('Input 3_2019CUST-YTD'!$C$4:$N$300,MATCH($C39,'Input 3_2019CUST-YTD'!$S$4:$S$300,0),MATCH(Z$2,'Input 3_2019CUST-YTD'!$C$1:$N$1,0)),0)</f>
        <v>35477.4</v>
      </c>
      <c r="AA39" s="5">
        <f>IFERROR(INDEX('Input 3.1_2019VOL-YTD'!$C$4:$N$300, MATCH($C39,'Input 3.1_2019VOL-YTD'!$R$4:$R$300,0),MATCH(AA$2,'Input 3.1_2019VOL-YTD'!$C$1:$N$1,0))/INDEX('Input 3_2019CUST-YTD'!$C$4:$N$300,MATCH($C39,'Input 3_2019CUST-YTD'!$S$4:$S$300,0),MATCH(AA$2,'Input 3_2019CUST-YTD'!$C$1:$N$1,0)),0)</f>
        <v>32904.894999999997</v>
      </c>
      <c r="AB39" s="5">
        <f>IFERROR(INDEX('Input 3.1_2019VOL-YTD'!$C$4:$N$300, MATCH($C39,'Input 3.1_2019VOL-YTD'!$R$4:$R$300,0),MATCH(AB$2,'Input 3.1_2019VOL-YTD'!$C$1:$N$1,0))/INDEX('Input 3_2019CUST-YTD'!$C$4:$N$300,MATCH($C39,'Input 3_2019CUST-YTD'!$S$4:$S$300,0),MATCH(AB$2,'Input 3_2019CUST-YTD'!$C$1:$N$1,0)),0)</f>
        <v>37482.625</v>
      </c>
      <c r="AC39" s="5">
        <f>IFERROR(INDEX('Input 3.1_2019VOL-YTD'!$C$4:$N$300, MATCH($C39,'Input 3.1_2019VOL-YTD'!$R$4:$R$300,0),MATCH(AC$2,'Input 3.1_2019VOL-YTD'!$C$1:$N$1,0))/INDEX('Input 3_2019CUST-YTD'!$C$4:$N$300,MATCH($C39,'Input 3_2019CUST-YTD'!$S$4:$S$300,0),MATCH(AC$2,'Input 3_2019CUST-YTD'!$C$1:$N$1,0)),0)</f>
        <v>34942.049999999996</v>
      </c>
      <c r="AD39" s="5">
        <f>IFERROR(INDEX('Input 3.1_2019VOL-YTD'!$C$4:$N$300, MATCH($C39,'Input 3.1_2019VOL-YTD'!$R$4:$R$300,0),MATCH(AD$2,'Input 3.1_2019VOL-YTD'!$C$1:$N$1,0))/INDEX('Input 3_2019CUST-YTD'!$C$4:$N$300,MATCH($C39,'Input 3_2019CUST-YTD'!$S$4:$S$300,0),MATCH(AD$2,'Input 3_2019CUST-YTD'!$C$1:$N$1,0)),0)</f>
        <v>35081.82</v>
      </c>
      <c r="AE39" s="272">
        <f t="shared" si="12"/>
        <v>37482.625</v>
      </c>
      <c r="AF39" s="261">
        <f t="shared" si="13"/>
        <v>10</v>
      </c>
      <c r="AH39" s="262">
        <f>IFERROR(INDEX('Input 4.1_2020VOL-YTD'!$C$4:$O$300, MATCH($C39,'Input 4.1_2020VOL-YTD'!$R$4:$R$300,0),MATCH(AH$2,'Input 4.1_2020VOL-YTD'!$C$1:$O$1,0))/INDEX('Input 4_2020CUST-YTD'!$C$4:O$300,MATCH($C39,'Input 4_2020CUST-YTD'!$S$4:$S$300,0),MATCH(AH$2,'Input 4_2020CUST-YTD'!$C$1:$O$1,0)),0)</f>
        <v>36470.474999999999</v>
      </c>
      <c r="AI39" s="262">
        <f>IFERROR(INDEX('Input 4.1_2020VOL-YTD'!$C$4:$O$300, MATCH($C39,'Input 4.1_2020VOL-YTD'!$R$4:$R$300,0),MATCH(AI$2,'Input 4.1_2020VOL-YTD'!$C$1:$O$1,0))/INDEX('Input 4_2020CUST-YTD'!$C$4:P$300,MATCH($C39,'Input 4_2020CUST-YTD'!$S$4:$S$300,0),MATCH(AI$2,'Input 4_2020CUST-YTD'!$C$1:$O$1,0)),0)</f>
        <v>32948.980000000003</v>
      </c>
      <c r="AJ39" s="262">
        <f>IFERROR(INDEX('Input 4.1_2020VOL-YTD'!$C$4:$O$300, MATCH($C39,'Input 4.1_2020VOL-YTD'!$R$4:$R$300,0),MATCH(AJ$2,'Input 4.1_2020VOL-YTD'!$C$1:$O$1,0))/INDEX('Input 4_2020CUST-YTD'!$C$4:Q$300,MATCH($C39,'Input 4_2020CUST-YTD'!$S$4:$S$300,0),MATCH(AJ$2,'Input 4_2020CUST-YTD'!$C$1:$O$1,0)),0)</f>
        <v>37282.21</v>
      </c>
      <c r="AK39" s="262">
        <f>IFERROR(INDEX('Input 4.1_2020VOL-YTD'!$C$4:$O$300, MATCH($C39,'Input 4.1_2020VOL-YTD'!$R$4:$R$300,0),MATCH(AK$2,'Input 4.1_2020VOL-YTD'!$C$1:$O$1,0))/INDEX('Input 4_2020CUST-YTD'!$C$4:R$300,MATCH($C39,'Input 4_2020CUST-YTD'!$S$4:$S$300,0),MATCH(AK$2,'Input 4_2020CUST-YTD'!$C$1:$O$1,0)),0)</f>
        <v>39465.730000000003</v>
      </c>
      <c r="AL39" s="262">
        <f>IFERROR(INDEX('Input 4.1_2020VOL-YTD'!$C$4:$O$300, MATCH($C39,'Input 4.1_2020VOL-YTD'!$R$4:$R$300,0),MATCH(AL$2,'Input 4.1_2020VOL-YTD'!$C$1:$O$1,0))/INDEX('Input 4_2020CUST-YTD'!$C$4:S$300,MATCH($C39,'Input 4_2020CUST-YTD'!$S$4:$S$300,0),MATCH(AL$2,'Input 4_2020CUST-YTD'!$C$1:$O$1,0)),0)</f>
        <v>38159.645000000004</v>
      </c>
      <c r="AM39" s="262">
        <f>IFERROR(INDEX('Input 4.1_2020VOL-YTD'!$C$4:$O$300, MATCH($C39,'Input 4.1_2020VOL-YTD'!$R$4:$R$300,0),MATCH(AM$2,'Input 4.1_2020VOL-YTD'!$C$1:$O$1,0))/INDEX('Input 4_2020CUST-YTD'!$C$4:T$300,MATCH($C39,'Input 4_2020CUST-YTD'!$S$4:$S$300,0),MATCH(AM$2,'Input 4_2020CUST-YTD'!$C$1:$O$1,0)),0)</f>
        <v>40431.175000000003</v>
      </c>
      <c r="AN39" s="262">
        <f>IFERROR(INDEX('Input 4.1_2020VOL-YTD'!$C$4:$O$300, MATCH($C39,'Input 4.1_2020VOL-YTD'!$R$4:$R$300,0),MATCH(AN$2,'Input 4.1_2020VOL-YTD'!$C$1:$O$1,0))/INDEX('Input 4_2020CUST-YTD'!$C$4:U$300,MATCH($C39,'Input 4_2020CUST-YTD'!$S$4:$S$300,0),MATCH(AN$2,'Input 4_2020CUST-YTD'!$C$1:$O$1,0)),0)</f>
        <v>43426.724999999999</v>
      </c>
      <c r="AO39" s="262">
        <f>IFERROR(INDEX('Input 4.1_2020VOL-YTD'!$C$4:$O$300, MATCH($C39,'Input 4.1_2020VOL-YTD'!$R$4:$R$300,0),MATCH(AO$2,'Input 4.1_2020VOL-YTD'!$C$1:$O$1,0))/INDEX('Input 4_2020CUST-YTD'!$C$4:V$300,MATCH($C39,'Input 4_2020CUST-YTD'!$S$4:$S$300,0),MATCH(AO$2,'Input 4_2020CUST-YTD'!$C$1:$O$1,0)),0)</f>
        <v>41163.614999999998</v>
      </c>
      <c r="AP39" s="262">
        <f>IFERROR(INDEX('Input 4.1_2020VOL-YTD'!$C$4:$O$300, MATCH($C39,'Input 4.1_2020VOL-YTD'!$R$4:$R$300,0),MATCH(AP$2,'Input 4.1_2020VOL-YTD'!$C$1:$O$1,0))/INDEX('Input 4_2020CUST-YTD'!$C$4:W$300,MATCH($C39,'Input 4_2020CUST-YTD'!$S$4:$S$300,0),MATCH(AP$2,'Input 4_2020CUST-YTD'!$C$1:$O$1,0)),0)</f>
        <v>41673.14</v>
      </c>
      <c r="AQ39" s="262">
        <f>IFERROR(INDEX('Input 4.1_2020VOL-YTD'!$C$4:$O$300, MATCH($C39,'Input 4.1_2020VOL-YTD'!$R$4:$R$300,0),MATCH(AQ$2,'Input 4.1_2020VOL-YTD'!$C$1:$O$1,0))/INDEX('Input 4_2020CUST-YTD'!$C$4:X$300,MATCH($C39,'Input 4_2020CUST-YTD'!$S$4:$S$300,0),MATCH(AQ$2,'Input 4_2020CUST-YTD'!$C$1:$O$1,0)),0)</f>
        <v>41728.675000000003</v>
      </c>
      <c r="AR39" s="262">
        <f>IFERROR(INDEX('Input 4.1_2020VOL-YTD'!$C$4:$O$300, MATCH($C39,'Input 4.1_2020VOL-YTD'!$R$4:$R$300,0),MATCH(AR$2,'Input 4.1_2020VOL-YTD'!$C$1:$O$1,0))/INDEX('Input 4_2020CUST-YTD'!$C$4:Y$300,MATCH($C39,'Input 4_2020CUST-YTD'!$S$4:$S$300,0),MATCH(AR$2,'Input 4_2020CUST-YTD'!$C$1:$O$1,0)),0)</f>
        <v>39017.14</v>
      </c>
      <c r="AS39" s="262">
        <f>IFERROR(INDEX('Input 4.1_2020VOL-YTD'!$C$4:$O$300, MATCH($C39,'Input 4.1_2020VOL-YTD'!$R$4:$R$300,0),MATCH(AS$2,'Input 4.1_2020VOL-YTD'!$C$1:$O$1,0))/INDEX('Input 4_2020CUST-YTD'!$C$4:Z$300,MATCH($C39,'Input 4_2020CUST-YTD'!$S$4:$S$300,0),MATCH(AS$2,'Input 4_2020CUST-YTD'!$C$1:$O$1,0)),0)</f>
        <v>39808.925000000003</v>
      </c>
      <c r="AT39" s="190">
        <f t="shared" si="10"/>
        <v>43426.724999999999</v>
      </c>
      <c r="AU39" s="261">
        <f t="shared" si="11"/>
        <v>7</v>
      </c>
      <c r="AW39" s="1">
        <f>IFERROR(INDEX('Input 5.1_2021VOL-YTD'!$C$3:$N$150, MATCH($C39,'Input 5.1_2021VOL-YTD'!$R$3:$R$150,0),MATCH(AW$2,'Input 5.1_2021VOL-YTD'!$C$1:$N$1,0))/INDEX('Input 5_2021CUST-YTD'!$C$3:$N$150,MATCH($C39,'Input 5_2021CUST-YTD'!$S$3:$S$150,0),MATCH(AW$2,'Input 5_2021CUST-YTD'!$C$1:$N$1,0)),0)</f>
        <v>40401.154999999999</v>
      </c>
      <c r="AX39" s="1">
        <f>IFERROR(INDEX('Input 5.1_2021VOL-YTD'!$C$3:$N$150, MATCH($C39,'Input 5.1_2021VOL-YTD'!$R$3:$R$150,0),MATCH(AX$2,'Input 5.1_2021VOL-YTD'!$C$1:$N$1,0))/INDEX('Input 5_2021CUST-YTD'!$C$3:$N$150,MATCH($C39,'Input 5_2021CUST-YTD'!$S$3:$S$150,0),MATCH(AX$2,'Input 5_2021CUST-YTD'!$C$1:$N$1,0)),0)</f>
        <v>40229.324999999997</v>
      </c>
      <c r="AY39" s="1">
        <f>IFERROR(INDEX('Input 5.1_2021VOL-YTD'!$C$3:$N$150, MATCH($C39,'Input 5.1_2021VOL-YTD'!$R$3:$R$150,0),MATCH(AY$2,'Input 5.1_2021VOL-YTD'!$C$1:$N$1,0))/INDEX('Input 5_2021CUST-YTD'!$C$3:$N$150,MATCH($C39,'Input 5_2021CUST-YTD'!$S$3:$S$150,0),MATCH(AY$2,'Input 5_2021CUST-YTD'!$C$1:$N$1,0)),0)</f>
        <v>47039.395000000004</v>
      </c>
      <c r="AZ39" s="1">
        <f>IFERROR(INDEX('Input 5.1_2021VOL-YTD'!$C$3:$N$150, MATCH($C39,'Input 5.1_2021VOL-YTD'!$R$3:$R$150,0),MATCH(AZ$2,'Input 5.1_2021VOL-YTD'!$C$1:$N$1,0))/INDEX('Input 5_2021CUST-YTD'!$C$3:$N$150,MATCH($C39,'Input 5_2021CUST-YTD'!$S$3:$S$150,0),MATCH(AZ$2,'Input 5_2021CUST-YTD'!$C$1:$N$1,0)),0)</f>
        <v>46245.445</v>
      </c>
      <c r="BA39" s="1">
        <f>IFERROR(INDEX('Input 5.1_2021VOL-YTD'!$C$3:$N$150, MATCH($C39,'Input 5.1_2021VOL-YTD'!$R$3:$R$150,0),MATCH(BA$2,'Input 5.1_2021VOL-YTD'!$C$1:$N$1,0))/INDEX('Input 5_2021CUST-YTD'!$C$3:$N$150,MATCH($C39,'Input 5_2021CUST-YTD'!$S$3:$S$150,0),MATCH(BA$2,'Input 5_2021CUST-YTD'!$C$1:$N$1,0)),0)</f>
        <v>45021.744999999995</v>
      </c>
      <c r="BB39" s="1">
        <f>IFERROR(INDEX('Input 5.1_2021VOL-YTD'!$C$3:$N$150, MATCH($C39,'Input 5.1_2021VOL-YTD'!$R$3:$R$150,0),MATCH(BB$2,'Input 5.1_2021VOL-YTD'!$C$1:$N$1,0))/INDEX('Input 5_2021CUST-YTD'!$C$3:$N$150,MATCH($C39,'Input 5_2021CUST-YTD'!$S$3:$S$150,0),MATCH(BB$2,'Input 5_2021CUST-YTD'!$C$1:$N$1,0)),0)</f>
        <v>46000.195</v>
      </c>
      <c r="BC39" s="1">
        <f>IFERROR(INDEX('Input 5.1_2021VOL-YTD'!$C$3:$N$150, MATCH($C39,'Input 5.1_2021VOL-YTD'!$R$3:$R$150,0),MATCH(BC$2,'Input 5.1_2021VOL-YTD'!$C$1:$N$1,0))/INDEX('Input 5_2021CUST-YTD'!$C$3:$N$150,MATCH($C39,'Input 5_2021CUST-YTD'!$S$3:$S$150,0),MATCH(BC$2,'Input 5_2021CUST-YTD'!$C$1:$N$1,0)),0)</f>
        <v>46630.17</v>
      </c>
      <c r="BD39" s="1">
        <f>IFERROR(INDEX('Input 5.1_2021VOL-YTD'!$C$3:$N$150, MATCH($C39,'Input 5.1_2021VOL-YTD'!$R$3:$R$150,0),MATCH(BD$2,'Input 5.1_2021VOL-YTD'!$C$1:$N$1,0))/INDEX('Input 5_2021CUST-YTD'!$C$3:$N$150,MATCH($C39,'Input 5_2021CUST-YTD'!$S$3:$S$150,0),MATCH(BD$2,'Input 5_2021CUST-YTD'!$C$1:$N$1,0)),0)</f>
        <v>48038.144999999997</v>
      </c>
      <c r="BE39" s="1">
        <f>IFERROR(INDEX('Input 5.1_2021VOL-YTD'!$C$3:$N$150, MATCH($C39,'Input 5.1_2021VOL-YTD'!$R$3:$R$150,0),MATCH(BE$2,'Input 5.1_2021VOL-YTD'!$C$1:$N$1,0))/INDEX('Input 5_2021CUST-YTD'!$C$3:$N$150,MATCH($C39,'Input 5_2021CUST-YTD'!$S$3:$S$150,0),MATCH(BE$2,'Input 5_2021CUST-YTD'!$C$1:$N$1,0)),0)</f>
        <v>47474.414999999994</v>
      </c>
      <c r="BF39" s="1">
        <f>IFERROR(INDEX('Input 5.1_2021VOL-YTD'!$C$3:$N$150, MATCH($C39,'Input 5.1_2021VOL-YTD'!$R$3:$R$150,0),MATCH(BF$2,'Input 5.1_2021VOL-YTD'!$C$1:$N$1,0))/INDEX('Input 5_2021CUST-YTD'!$C$3:$N$150,MATCH($C39,'Input 5_2021CUST-YTD'!$S$3:$S$150,0),MATCH(BF$2,'Input 5_2021CUST-YTD'!$C$1:$N$1,0)),0)</f>
        <v>44970.03</v>
      </c>
      <c r="BG39" s="1">
        <f>IFERROR(INDEX('Input 5.1_2021VOL-YTD'!$C$3:$N$150, MATCH($C39,'Input 5.1_2021VOL-YTD'!$R$3:$R$150,0),MATCH(BG$2,'Input 5.1_2021VOL-YTD'!$C$1:$N$1,0))/INDEX('Input 5_2021CUST-YTD'!$C$3:$N$150,MATCH($C39,'Input 5_2021CUST-YTD'!$S$3:$S$150,0),MATCH(BG$2,'Input 5_2021CUST-YTD'!$C$1:$N$1,0)),0)</f>
        <v>44974.75</v>
      </c>
      <c r="BH39" s="1">
        <f>IFERROR(INDEX('Input 5.1_2021VOL-YTD'!$C$3:$N$150, MATCH($C39,'Input 5.1_2021VOL-YTD'!$R$3:$R$150,0),MATCH(BH$2,'Input 5.1_2021VOL-YTD'!$C$1:$N$1,0))/INDEX('Input 5_2021CUST-YTD'!$C$3:$N$150,MATCH($C39,'Input 5_2021CUST-YTD'!$S$3:$S$150,0),MATCH(BH$2,'Input 5_2021CUST-YTD'!$C$1:$N$1,0)),0)</f>
        <v>48632.195</v>
      </c>
      <c r="BI39" s="190">
        <f t="shared" si="7"/>
        <v>48632.195</v>
      </c>
      <c r="BJ39" s="261">
        <f t="shared" si="8"/>
        <v>12</v>
      </c>
    </row>
    <row r="40" spans="1:62">
      <c r="A40" s="261" t="s">
        <v>1245</v>
      </c>
      <c r="B40" s="261" t="s">
        <v>15</v>
      </c>
      <c r="C40" s="13" t="s">
        <v>53</v>
      </c>
      <c r="D40" s="5">
        <f>IFERROR(INDEX('Input 16.1_2018VOL-YTD'!$C$4:$N$300, MATCH($C40,'Input 16.1_2018VOL-YTD'!$R$4:$R$300,0),MATCH(D$2,'Input 16.1_2018VOL-YTD'!$C$1:$N$1,0))/INDEX('Input 16_2018CUST-YTD'!$D$4:$O$300,MATCH($C40,'Input 16_2018CUST-YTD'!$S$4:$S$300,0),MATCH(D$2,'Input 16_2018CUST-YTD'!$C$1:$O$1,0)),0)</f>
        <v>0</v>
      </c>
      <c r="E40" s="5">
        <f>IFERROR(INDEX('Input 16.1_2018VOL-YTD'!$C$4:$N$300, MATCH($C40,'Input 16.1_2018VOL-YTD'!$R$4:$R$300,0),MATCH(E$2,'Input 16.1_2018VOL-YTD'!$C$1:$N$1,0))/INDEX('Input 16_2018CUST-YTD'!$D$4:$O$300,MATCH($C40,'Input 16_2018CUST-YTD'!$S$4:$S$300,0),MATCH(E$2,'Input 16_2018CUST-YTD'!$C$1:$O$1,0)),0)</f>
        <v>0</v>
      </c>
      <c r="F40" s="5">
        <f>IFERROR(INDEX('Input 16.1_2018VOL-YTD'!$C$4:$N$300, MATCH($C40,'Input 16.1_2018VOL-YTD'!$R$4:$R$300,0),MATCH(F$2,'Input 16.1_2018VOL-YTD'!$C$1:$N$1,0))/INDEX('Input 16_2018CUST-YTD'!$D$4:$O$300,MATCH($C40,'Input 16_2018CUST-YTD'!$S$4:$S$300,0),MATCH(F$2,'Input 16_2018CUST-YTD'!$C$1:$O$1,0)),0)</f>
        <v>0</v>
      </c>
      <c r="G40" s="5">
        <f>IFERROR(INDEX('Input 16.1_2018VOL-YTD'!$C$4:$N$300, MATCH($C40,'Input 16.1_2018VOL-YTD'!$R$4:$R$300,0),MATCH(G$2,'Input 16.1_2018VOL-YTD'!$C$1:$N$1,0))/INDEX('Input 16_2018CUST-YTD'!$D$4:$O$300,MATCH($C40,'Input 16_2018CUST-YTD'!$S$4:$S$300,0),MATCH(G$2,'Input 16_2018CUST-YTD'!$C$1:$O$1,0)),0)</f>
        <v>0</v>
      </c>
      <c r="H40" s="5">
        <f>IFERROR(INDEX('Input 16.1_2018VOL-YTD'!$C$4:$N$300, MATCH($C40,'Input 16.1_2018VOL-YTD'!$R$4:$R$300,0),MATCH(H$2,'Input 16.1_2018VOL-YTD'!$C$1:$N$1,0))/INDEX('Input 16_2018CUST-YTD'!$D$4:$O$300,MATCH($C40,'Input 16_2018CUST-YTD'!$S$4:$S$300,0),MATCH(H$2,'Input 16_2018CUST-YTD'!$C$1:$O$1,0)),0)</f>
        <v>0</v>
      </c>
      <c r="I40" s="5">
        <f>IFERROR(INDEX('Input 16.1_2018VOL-YTD'!$C$4:$N$300, MATCH($C40,'Input 16.1_2018VOL-YTD'!$R$4:$R$300,0),MATCH(I$2,'Input 16.1_2018VOL-YTD'!$C$1:$N$1,0))/INDEX('Input 16_2018CUST-YTD'!$D$4:$O$300,MATCH($C40,'Input 16_2018CUST-YTD'!$S$4:$S$300,0),MATCH(I$2,'Input 16_2018CUST-YTD'!$C$1:$O$1,0)),0)</f>
        <v>0</v>
      </c>
      <c r="J40" s="5">
        <f>IFERROR(INDEX('Input 16.1_2018VOL-YTD'!$C$4:$N$300, MATCH($C40,'Input 16.1_2018VOL-YTD'!$R$4:$R$300,0),MATCH(J$2,'Input 16.1_2018VOL-YTD'!$C$1:$N$1,0))/INDEX('Input 16_2018CUST-YTD'!$D$4:$O$300,MATCH($C40,'Input 16_2018CUST-YTD'!$S$4:$S$300,0),MATCH(J$2,'Input 16_2018CUST-YTD'!$C$1:$O$1,0)),0)</f>
        <v>0</v>
      </c>
      <c r="K40" s="5">
        <f>IFERROR(INDEX('Input 16.1_2018VOL-YTD'!$C$4:$N$300, MATCH($C40,'Input 16.1_2018VOL-YTD'!$R$4:$R$300,0),MATCH(K$2,'Input 16.1_2018VOL-YTD'!$C$1:$N$1,0))/INDEX('Input 16_2018CUST-YTD'!$D$4:$O$300,MATCH($C40,'Input 16_2018CUST-YTD'!$S$4:$S$300,0),MATCH(K$2,'Input 16_2018CUST-YTD'!$C$1:$O$1,0)),0)</f>
        <v>0</v>
      </c>
      <c r="L40" s="5">
        <f>IFERROR(INDEX('Input 16.1_2018VOL-YTD'!$C$4:$N$300, MATCH($C40,'Input 16.1_2018VOL-YTD'!$R$4:$R$300,0),MATCH(L$2,'Input 16.1_2018VOL-YTD'!$C$1:$N$1,0))/INDEX('Input 16_2018CUST-YTD'!$D$4:$O$300,MATCH($C40,'Input 16_2018CUST-YTD'!$S$4:$S$300,0),MATCH(L$2,'Input 16_2018CUST-YTD'!$C$1:$O$1,0)),0)</f>
        <v>0</v>
      </c>
      <c r="M40" s="5">
        <f>IFERROR(INDEX('Input 16.1_2018VOL-YTD'!$C$4:$N$300, MATCH($C40,'Input 16.1_2018VOL-YTD'!$R$4:$R$300,0),MATCH(M$2,'Input 16.1_2018VOL-YTD'!$C$1:$N$1,0))/INDEX('Input 16_2018CUST-YTD'!$D$4:$O$300,MATCH($C40,'Input 16_2018CUST-YTD'!$S$4:$S$300,0),MATCH(M$2,'Input 16_2018CUST-YTD'!$C$1:$O$1,0)),0)</f>
        <v>0</v>
      </c>
      <c r="N40" s="5">
        <f>IFERROR(INDEX('Input 16.1_2018VOL-YTD'!$C$4:$N$300, MATCH($C40,'Input 16.1_2018VOL-YTD'!$R$4:$R$300,0),MATCH(N$2,'Input 16.1_2018VOL-YTD'!$C$1:$N$1,0))/INDEX('Input 16_2018CUST-YTD'!$D$4:$O$300,MATCH($C40,'Input 16_2018CUST-YTD'!$S$4:$S$300,0),MATCH(N$2,'Input 16_2018CUST-YTD'!$C$1:$O$1,0)),0)</f>
        <v>0</v>
      </c>
      <c r="O40" s="5">
        <f>IFERROR(INDEX('Input 16.1_2018VOL-YTD'!$C$4:$N$300, MATCH($C40,'Input 16.1_2018VOL-YTD'!$R$4:$R$300,0),MATCH(O$2,'Input 16.1_2018VOL-YTD'!$C$1:$N$1,0))/INDEX('Input 16_2018CUST-YTD'!$D$4:$O$300,MATCH($C40,'Input 16_2018CUST-YTD'!$S$4:$S$300,0),MATCH(O$2,'Input 16_2018CUST-YTD'!$C$1:$O$1,0)),0)</f>
        <v>0</v>
      </c>
      <c r="P40" s="271">
        <f t="shared" si="1"/>
        <v>0</v>
      </c>
      <c r="Q40" s="261">
        <f t="shared" si="2"/>
        <v>0</v>
      </c>
      <c r="S40" s="5">
        <f>IFERROR(INDEX('Input 3.1_2019VOL-YTD'!$C$4:$N$300, MATCH($C40,'Input 3.1_2019VOL-YTD'!$R$4:$R$300,0),MATCH(S$2,'Input 3.1_2019VOL-YTD'!$C$1:$N$1,0))/INDEX('Input 3_2019CUST-YTD'!$C$4:$N$300,MATCH($C40,'Input 3_2019CUST-YTD'!$S$4:$S$300,0),MATCH(S$2,'Input 3_2019CUST-YTD'!$C$1:$N$1,0)),0)</f>
        <v>0</v>
      </c>
      <c r="T40" s="5">
        <f>IFERROR(INDEX('Input 3.1_2019VOL-YTD'!$C$4:$N$300, MATCH($C40,'Input 3.1_2019VOL-YTD'!$R$4:$R$300,0),MATCH(T$2,'Input 3.1_2019VOL-YTD'!$C$1:$N$1,0))/INDEX('Input 3_2019CUST-YTD'!$C$4:$N$300,MATCH($C40,'Input 3_2019CUST-YTD'!$S$4:$S$300,0),MATCH(T$2,'Input 3_2019CUST-YTD'!$C$1:$N$1,0)),0)</f>
        <v>0</v>
      </c>
      <c r="U40" s="5">
        <f>IFERROR(INDEX('Input 3.1_2019VOL-YTD'!$C$4:$N$300, MATCH($C40,'Input 3.1_2019VOL-YTD'!$R$4:$R$300,0),MATCH(U$2,'Input 3.1_2019VOL-YTD'!$C$1:$N$1,0))/INDEX('Input 3_2019CUST-YTD'!$C$4:$N$300,MATCH($C40,'Input 3_2019CUST-YTD'!$S$4:$S$300,0),MATCH(U$2,'Input 3_2019CUST-YTD'!$C$1:$N$1,0)),0)</f>
        <v>0</v>
      </c>
      <c r="V40" s="5">
        <f>IFERROR(INDEX('Input 3.1_2019VOL-YTD'!$C$4:$N$300, MATCH($C40,'Input 3.1_2019VOL-YTD'!$R$4:$R$300,0),MATCH(V$2,'Input 3.1_2019VOL-YTD'!$C$1:$N$1,0))/INDEX('Input 3_2019CUST-YTD'!$C$4:$N$300,MATCH($C40,'Input 3_2019CUST-YTD'!$S$4:$S$300,0),MATCH(V$2,'Input 3_2019CUST-YTD'!$C$1:$N$1,0)),0)</f>
        <v>0</v>
      </c>
      <c r="W40" s="5">
        <f>IFERROR(INDEX('Input 3.1_2019VOL-YTD'!$C$4:$N$300, MATCH($C40,'Input 3.1_2019VOL-YTD'!$R$4:$R$300,0),MATCH(W$2,'Input 3.1_2019VOL-YTD'!$C$1:$N$1,0))/INDEX('Input 3_2019CUST-YTD'!$C$4:$N$300,MATCH($C40,'Input 3_2019CUST-YTD'!$S$4:$S$300,0),MATCH(W$2,'Input 3_2019CUST-YTD'!$C$1:$N$1,0)),0)</f>
        <v>0</v>
      </c>
      <c r="X40" s="5">
        <f>IFERROR(INDEX('Input 3.1_2019VOL-YTD'!$C$4:$N$300, MATCH($C40,'Input 3.1_2019VOL-YTD'!$R$4:$R$300,0),MATCH(X$2,'Input 3.1_2019VOL-YTD'!$C$1:$N$1,0))/INDEX('Input 3_2019CUST-YTD'!$C$4:$N$300,MATCH($C40,'Input 3_2019CUST-YTD'!$S$4:$S$300,0),MATCH(X$2,'Input 3_2019CUST-YTD'!$C$1:$N$1,0)),0)</f>
        <v>0</v>
      </c>
      <c r="Y40" s="5">
        <f>IFERROR(INDEX('Input 3.1_2019VOL-YTD'!$C$4:$N$300, MATCH($C40,'Input 3.1_2019VOL-YTD'!$R$4:$R$300,0),MATCH(Y$2,'Input 3.1_2019VOL-YTD'!$C$1:$N$1,0))/INDEX('Input 3_2019CUST-YTD'!$C$4:$N$300,MATCH($C40,'Input 3_2019CUST-YTD'!$S$4:$S$300,0),MATCH(Y$2,'Input 3_2019CUST-YTD'!$C$1:$N$1,0)),0)</f>
        <v>0</v>
      </c>
      <c r="Z40" s="5">
        <f>IFERROR(INDEX('Input 3.1_2019VOL-YTD'!$C$4:$N$300, MATCH($C40,'Input 3.1_2019VOL-YTD'!$R$4:$R$300,0),MATCH(Z$2,'Input 3.1_2019VOL-YTD'!$C$1:$N$1,0))/INDEX('Input 3_2019CUST-YTD'!$C$4:$N$300,MATCH($C40,'Input 3_2019CUST-YTD'!$S$4:$S$300,0),MATCH(Z$2,'Input 3_2019CUST-YTD'!$C$1:$N$1,0)),0)</f>
        <v>0</v>
      </c>
      <c r="AA40" s="5">
        <f>IFERROR(INDEX('Input 3.1_2019VOL-YTD'!$C$4:$N$300, MATCH($C40,'Input 3.1_2019VOL-YTD'!$R$4:$R$300,0),MATCH(AA$2,'Input 3.1_2019VOL-YTD'!$C$1:$N$1,0))/INDEX('Input 3_2019CUST-YTD'!$C$4:$N$300,MATCH($C40,'Input 3_2019CUST-YTD'!$S$4:$S$300,0),MATCH(AA$2,'Input 3_2019CUST-YTD'!$C$1:$N$1,0)),0)</f>
        <v>0</v>
      </c>
      <c r="AB40" s="5">
        <f>IFERROR(INDEX('Input 3.1_2019VOL-YTD'!$C$4:$N$300, MATCH($C40,'Input 3.1_2019VOL-YTD'!$R$4:$R$300,0),MATCH(AB$2,'Input 3.1_2019VOL-YTD'!$C$1:$N$1,0))/INDEX('Input 3_2019CUST-YTD'!$C$4:$N$300,MATCH($C40,'Input 3_2019CUST-YTD'!$S$4:$S$300,0),MATCH(AB$2,'Input 3_2019CUST-YTD'!$C$1:$N$1,0)),0)</f>
        <v>0</v>
      </c>
      <c r="AC40" s="5">
        <f>IFERROR(INDEX('Input 3.1_2019VOL-YTD'!$C$4:$N$300, MATCH($C40,'Input 3.1_2019VOL-YTD'!$R$4:$R$300,0),MATCH(AC$2,'Input 3.1_2019VOL-YTD'!$C$1:$N$1,0))/INDEX('Input 3_2019CUST-YTD'!$C$4:$N$300,MATCH($C40,'Input 3_2019CUST-YTD'!$S$4:$S$300,0),MATCH(AC$2,'Input 3_2019CUST-YTD'!$C$1:$N$1,0)),0)</f>
        <v>0</v>
      </c>
      <c r="AD40" s="5">
        <f>IFERROR(INDEX('Input 3.1_2019VOL-YTD'!$C$4:$N$300, MATCH($C40,'Input 3.1_2019VOL-YTD'!$R$4:$R$300,0),MATCH(AD$2,'Input 3.1_2019VOL-YTD'!$C$1:$N$1,0))/INDEX('Input 3_2019CUST-YTD'!$C$4:$N$300,MATCH($C40,'Input 3_2019CUST-YTD'!$S$4:$S$300,0),MATCH(AD$2,'Input 3_2019CUST-YTD'!$C$1:$N$1,0)),0)</f>
        <v>0</v>
      </c>
      <c r="AE40" s="272">
        <f t="shared" si="12"/>
        <v>0</v>
      </c>
      <c r="AF40" s="261">
        <f t="shared" si="13"/>
        <v>1</v>
      </c>
      <c r="AH40" s="262">
        <f>IFERROR(INDEX('Input 4.1_2020VOL-YTD'!$C$4:$O$300, MATCH($C40,'Input 4.1_2020VOL-YTD'!$R$4:$R$300,0),MATCH(AH$2,'Input 4.1_2020VOL-YTD'!$C$1:$O$1,0))/INDEX('Input 4_2020CUST-YTD'!$C$4:O$300,MATCH($C40,'Input 4_2020CUST-YTD'!$S$4:$S$300,0),MATCH(AH$2,'Input 4_2020CUST-YTD'!$C$1:$O$1,0)),0)</f>
        <v>0</v>
      </c>
      <c r="AI40" s="262">
        <f>IFERROR(INDEX('Input 4.1_2020VOL-YTD'!$C$4:$O$300, MATCH($C40,'Input 4.1_2020VOL-YTD'!$R$4:$R$300,0),MATCH(AI$2,'Input 4.1_2020VOL-YTD'!$C$1:$O$1,0))/INDEX('Input 4_2020CUST-YTD'!$C$4:P$300,MATCH($C40,'Input 4_2020CUST-YTD'!$S$4:$S$300,0),MATCH(AI$2,'Input 4_2020CUST-YTD'!$C$1:$O$1,0)),0)</f>
        <v>0</v>
      </c>
      <c r="AJ40" s="262">
        <f>IFERROR(INDEX('Input 4.1_2020VOL-YTD'!$C$4:$O$300, MATCH($C40,'Input 4.1_2020VOL-YTD'!$R$4:$R$300,0),MATCH(AJ$2,'Input 4.1_2020VOL-YTD'!$C$1:$O$1,0))/INDEX('Input 4_2020CUST-YTD'!$C$4:Q$300,MATCH($C40,'Input 4_2020CUST-YTD'!$S$4:$S$300,0),MATCH(AJ$2,'Input 4_2020CUST-YTD'!$C$1:$O$1,0)),0)</f>
        <v>0</v>
      </c>
      <c r="AK40" s="262">
        <f>IFERROR(INDEX('Input 4.1_2020VOL-YTD'!$C$4:$O$300, MATCH($C40,'Input 4.1_2020VOL-YTD'!$R$4:$R$300,0),MATCH(AK$2,'Input 4.1_2020VOL-YTD'!$C$1:$O$1,0))/INDEX('Input 4_2020CUST-YTD'!$C$4:R$300,MATCH($C40,'Input 4_2020CUST-YTD'!$S$4:$S$300,0),MATCH(AK$2,'Input 4_2020CUST-YTD'!$C$1:$O$1,0)),0)</f>
        <v>0</v>
      </c>
      <c r="AL40" s="262">
        <f>IFERROR(INDEX('Input 4.1_2020VOL-YTD'!$C$4:$O$300, MATCH($C40,'Input 4.1_2020VOL-YTD'!$R$4:$R$300,0),MATCH(AL$2,'Input 4.1_2020VOL-YTD'!$C$1:$O$1,0))/INDEX('Input 4_2020CUST-YTD'!$C$4:S$300,MATCH($C40,'Input 4_2020CUST-YTD'!$S$4:$S$300,0),MATCH(AL$2,'Input 4_2020CUST-YTD'!$C$1:$O$1,0)),0)</f>
        <v>0</v>
      </c>
      <c r="AM40" s="262">
        <f>IFERROR(INDEX('Input 4.1_2020VOL-YTD'!$C$4:$O$300, MATCH($C40,'Input 4.1_2020VOL-YTD'!$R$4:$R$300,0),MATCH(AM$2,'Input 4.1_2020VOL-YTD'!$C$1:$O$1,0))/INDEX('Input 4_2020CUST-YTD'!$C$4:T$300,MATCH($C40,'Input 4_2020CUST-YTD'!$S$4:$S$300,0),MATCH(AM$2,'Input 4_2020CUST-YTD'!$C$1:$O$1,0)),0)</f>
        <v>0</v>
      </c>
      <c r="AN40" s="262">
        <f>IFERROR(INDEX('Input 4.1_2020VOL-YTD'!$C$4:$O$300, MATCH($C40,'Input 4.1_2020VOL-YTD'!$R$4:$R$300,0),MATCH(AN$2,'Input 4.1_2020VOL-YTD'!$C$1:$O$1,0))/INDEX('Input 4_2020CUST-YTD'!$C$4:U$300,MATCH($C40,'Input 4_2020CUST-YTD'!$S$4:$S$300,0),MATCH(AN$2,'Input 4_2020CUST-YTD'!$C$1:$O$1,0)),0)</f>
        <v>0</v>
      </c>
      <c r="AO40" s="262">
        <f>IFERROR(INDEX('Input 4.1_2020VOL-YTD'!$C$4:$O$300, MATCH($C40,'Input 4.1_2020VOL-YTD'!$R$4:$R$300,0),MATCH(AO$2,'Input 4.1_2020VOL-YTD'!$C$1:$O$1,0))/INDEX('Input 4_2020CUST-YTD'!$C$4:V$300,MATCH($C40,'Input 4_2020CUST-YTD'!$S$4:$S$300,0),MATCH(AO$2,'Input 4_2020CUST-YTD'!$C$1:$O$1,0)),0)</f>
        <v>0</v>
      </c>
      <c r="AP40" s="262">
        <f>IFERROR(INDEX('Input 4.1_2020VOL-YTD'!$C$4:$O$300, MATCH($C40,'Input 4.1_2020VOL-YTD'!$R$4:$R$300,0),MATCH(AP$2,'Input 4.1_2020VOL-YTD'!$C$1:$O$1,0))/INDEX('Input 4_2020CUST-YTD'!$C$4:W$300,MATCH($C40,'Input 4_2020CUST-YTD'!$S$4:$S$300,0),MATCH(AP$2,'Input 4_2020CUST-YTD'!$C$1:$O$1,0)),0)</f>
        <v>0</v>
      </c>
      <c r="AQ40" s="262">
        <f>IFERROR(INDEX('Input 4.1_2020VOL-YTD'!$C$4:$O$300, MATCH($C40,'Input 4.1_2020VOL-YTD'!$R$4:$R$300,0),MATCH(AQ$2,'Input 4.1_2020VOL-YTD'!$C$1:$O$1,0))/INDEX('Input 4_2020CUST-YTD'!$C$4:X$300,MATCH($C40,'Input 4_2020CUST-YTD'!$S$4:$S$300,0),MATCH(AQ$2,'Input 4_2020CUST-YTD'!$C$1:$O$1,0)),0)</f>
        <v>0</v>
      </c>
      <c r="AR40" s="262">
        <f>IFERROR(INDEX('Input 4.1_2020VOL-YTD'!$C$4:$O$300, MATCH($C40,'Input 4.1_2020VOL-YTD'!$R$4:$R$300,0),MATCH(AR$2,'Input 4.1_2020VOL-YTD'!$C$1:$O$1,0))/INDEX('Input 4_2020CUST-YTD'!$C$4:Y$300,MATCH($C40,'Input 4_2020CUST-YTD'!$S$4:$S$300,0),MATCH(AR$2,'Input 4_2020CUST-YTD'!$C$1:$O$1,0)),0)</f>
        <v>0</v>
      </c>
      <c r="AS40" s="262">
        <f>IFERROR(INDEX('Input 4.1_2020VOL-YTD'!$C$4:$O$300, MATCH($C40,'Input 4.1_2020VOL-YTD'!$R$4:$R$300,0),MATCH(AS$2,'Input 4.1_2020VOL-YTD'!$C$1:$O$1,0))/INDEX('Input 4_2020CUST-YTD'!$C$4:Z$300,MATCH($C40,'Input 4_2020CUST-YTD'!$S$4:$S$300,0),MATCH(AS$2,'Input 4_2020CUST-YTD'!$C$1:$O$1,0)),0)</f>
        <v>0</v>
      </c>
      <c r="AT40" s="190">
        <f t="shared" si="10"/>
        <v>0</v>
      </c>
      <c r="AU40" s="261">
        <f t="shared" si="11"/>
        <v>1</v>
      </c>
      <c r="AW40" s="1">
        <f>IFERROR(INDEX('Input 5.1_2021VOL-YTD'!$C$3:$N$150, MATCH($C40,'Input 5.1_2021VOL-YTD'!$R$3:$R$150,0),MATCH(AW$2,'Input 5.1_2021VOL-YTD'!$C$1:$N$1,0))/INDEX('Input 5_2021CUST-YTD'!$C$3:$N$150,MATCH($C40,'Input 5_2021CUST-YTD'!$S$3:$S$150,0),MATCH(AW$2,'Input 5_2021CUST-YTD'!$C$1:$N$1,0)),0)</f>
        <v>0</v>
      </c>
      <c r="AX40" s="1">
        <f>IFERROR(INDEX('Input 5.1_2021VOL-YTD'!$C$3:$N$150, MATCH($C40,'Input 5.1_2021VOL-YTD'!$R$3:$R$150,0),MATCH(AX$2,'Input 5.1_2021VOL-YTD'!$C$1:$N$1,0))/INDEX('Input 5_2021CUST-YTD'!$C$3:$N$150,MATCH($C40,'Input 5_2021CUST-YTD'!$S$3:$S$150,0),MATCH(AX$2,'Input 5_2021CUST-YTD'!$C$1:$N$1,0)),0)</f>
        <v>0</v>
      </c>
      <c r="AY40" s="1">
        <f>IFERROR(INDEX('Input 5.1_2021VOL-YTD'!$C$3:$N$150, MATCH($C40,'Input 5.1_2021VOL-YTD'!$R$3:$R$150,0),MATCH(AY$2,'Input 5.1_2021VOL-YTD'!$C$1:$N$1,0))/INDEX('Input 5_2021CUST-YTD'!$C$3:$N$150,MATCH($C40,'Input 5_2021CUST-YTD'!$S$3:$S$150,0),MATCH(AY$2,'Input 5_2021CUST-YTD'!$C$1:$N$1,0)),0)</f>
        <v>0</v>
      </c>
      <c r="AZ40" s="1">
        <f>IFERROR(INDEX('Input 5.1_2021VOL-YTD'!$C$3:$N$150, MATCH($C40,'Input 5.1_2021VOL-YTD'!$R$3:$R$150,0),MATCH(AZ$2,'Input 5.1_2021VOL-YTD'!$C$1:$N$1,0))/INDEX('Input 5_2021CUST-YTD'!$C$3:$N$150,MATCH($C40,'Input 5_2021CUST-YTD'!$S$3:$S$150,0),MATCH(AZ$2,'Input 5_2021CUST-YTD'!$C$1:$N$1,0)),0)</f>
        <v>0</v>
      </c>
      <c r="BA40" s="1">
        <f>IFERROR(INDEX('Input 5.1_2021VOL-YTD'!$C$3:$N$150, MATCH($C40,'Input 5.1_2021VOL-YTD'!$R$3:$R$150,0),MATCH(BA$2,'Input 5.1_2021VOL-YTD'!$C$1:$N$1,0))/INDEX('Input 5_2021CUST-YTD'!$C$3:$N$150,MATCH($C40,'Input 5_2021CUST-YTD'!$S$3:$S$150,0),MATCH(BA$2,'Input 5_2021CUST-YTD'!$C$1:$N$1,0)),0)</f>
        <v>0</v>
      </c>
      <c r="BB40" s="1">
        <f>IFERROR(INDEX('Input 5.1_2021VOL-YTD'!$C$3:$N$150, MATCH($C40,'Input 5.1_2021VOL-YTD'!$R$3:$R$150,0),MATCH(BB$2,'Input 5.1_2021VOL-YTD'!$C$1:$N$1,0))/INDEX('Input 5_2021CUST-YTD'!$C$3:$N$150,MATCH($C40,'Input 5_2021CUST-YTD'!$S$3:$S$150,0),MATCH(BB$2,'Input 5_2021CUST-YTD'!$C$1:$N$1,0)),0)</f>
        <v>0</v>
      </c>
      <c r="BC40" s="1">
        <f>IFERROR(INDEX('Input 5.1_2021VOL-YTD'!$C$3:$N$150, MATCH($C40,'Input 5.1_2021VOL-YTD'!$R$3:$R$150,0),MATCH(BC$2,'Input 5.1_2021VOL-YTD'!$C$1:$N$1,0))/INDEX('Input 5_2021CUST-YTD'!$C$3:$N$150,MATCH($C40,'Input 5_2021CUST-YTD'!$S$3:$S$150,0),MATCH(BC$2,'Input 5_2021CUST-YTD'!$C$1:$N$1,0)),0)</f>
        <v>0</v>
      </c>
      <c r="BD40" s="1">
        <f>IFERROR(INDEX('Input 5.1_2021VOL-YTD'!$C$3:$N$150, MATCH($C40,'Input 5.1_2021VOL-YTD'!$R$3:$R$150,0),MATCH(BD$2,'Input 5.1_2021VOL-YTD'!$C$1:$N$1,0))/INDEX('Input 5_2021CUST-YTD'!$C$3:$N$150,MATCH($C40,'Input 5_2021CUST-YTD'!$S$3:$S$150,0),MATCH(BD$2,'Input 5_2021CUST-YTD'!$C$1:$N$1,0)),0)</f>
        <v>0</v>
      </c>
      <c r="BE40" s="1">
        <f>IFERROR(INDEX('Input 5.1_2021VOL-YTD'!$C$3:$N$150, MATCH($C40,'Input 5.1_2021VOL-YTD'!$R$3:$R$150,0),MATCH(BE$2,'Input 5.1_2021VOL-YTD'!$C$1:$N$1,0))/INDEX('Input 5_2021CUST-YTD'!$C$3:$N$150,MATCH($C40,'Input 5_2021CUST-YTD'!$S$3:$S$150,0),MATCH(BE$2,'Input 5_2021CUST-YTD'!$C$1:$N$1,0)),0)</f>
        <v>0</v>
      </c>
      <c r="BF40" s="1">
        <f>IFERROR(INDEX('Input 5.1_2021VOL-YTD'!$C$3:$N$150, MATCH($C40,'Input 5.1_2021VOL-YTD'!$R$3:$R$150,0),MATCH(BF$2,'Input 5.1_2021VOL-YTD'!$C$1:$N$1,0))/INDEX('Input 5_2021CUST-YTD'!$C$3:$N$150,MATCH($C40,'Input 5_2021CUST-YTD'!$S$3:$S$150,0),MATCH(BF$2,'Input 5_2021CUST-YTD'!$C$1:$N$1,0)),0)</f>
        <v>0</v>
      </c>
      <c r="BG40" s="1">
        <f>IFERROR(INDEX('Input 5.1_2021VOL-YTD'!$C$3:$N$150, MATCH($C40,'Input 5.1_2021VOL-YTD'!$R$3:$R$150,0),MATCH(BG$2,'Input 5.1_2021VOL-YTD'!$C$1:$N$1,0))/INDEX('Input 5_2021CUST-YTD'!$C$3:$N$150,MATCH($C40,'Input 5_2021CUST-YTD'!$S$3:$S$150,0),MATCH(BG$2,'Input 5_2021CUST-YTD'!$C$1:$N$1,0)),0)</f>
        <v>0</v>
      </c>
      <c r="BH40" s="1">
        <f>IFERROR(INDEX('Input 5.1_2021VOL-YTD'!$C$3:$N$150, MATCH($C40,'Input 5.1_2021VOL-YTD'!$R$3:$R$150,0),MATCH(BH$2,'Input 5.1_2021VOL-YTD'!$C$1:$N$1,0))/INDEX('Input 5_2021CUST-YTD'!$C$3:$N$150,MATCH($C40,'Input 5_2021CUST-YTD'!$S$3:$S$150,0),MATCH(BH$2,'Input 5_2021CUST-YTD'!$C$1:$N$1,0)),0)</f>
        <v>0</v>
      </c>
      <c r="BI40" s="190">
        <f t="shared" si="7"/>
        <v>0</v>
      </c>
      <c r="BJ40" s="261">
        <f t="shared" si="8"/>
        <v>1</v>
      </c>
    </row>
    <row r="41" spans="1:62">
      <c r="A41" s="261" t="s">
        <v>1245</v>
      </c>
      <c r="B41" s="261" t="s">
        <v>15</v>
      </c>
      <c r="C41" s="261" t="s">
        <v>876</v>
      </c>
      <c r="D41" s="5">
        <f>IFERROR(INDEX('Input 16.1_2018VOL-YTD'!$C$4:$N$300, MATCH($C41,'Input 16.1_2018VOL-YTD'!$R$4:$R$300,0),MATCH(D$2,'Input 16.1_2018VOL-YTD'!$C$1:$N$1,0))/INDEX('Input 16_2018CUST-YTD'!$D$4:$O$300,MATCH($C41,'Input 16_2018CUST-YTD'!$S$4:$S$300,0),MATCH(D$2,'Input 16_2018CUST-YTD'!$C$1:$O$1,0)),0)</f>
        <v>0</v>
      </c>
      <c r="E41" s="5">
        <f>IFERROR(INDEX('Input 16.1_2018VOL-YTD'!$C$4:$N$300, MATCH($C41,'Input 16.1_2018VOL-YTD'!$R$4:$R$300,0),MATCH(E$2,'Input 16.1_2018VOL-YTD'!$C$1:$N$1,0))/INDEX('Input 16_2018CUST-YTD'!$D$4:$O$300,MATCH($C41,'Input 16_2018CUST-YTD'!$S$4:$S$300,0),MATCH(E$2,'Input 16_2018CUST-YTD'!$C$1:$O$1,0)),0)</f>
        <v>0</v>
      </c>
      <c r="F41" s="5">
        <f>IFERROR(INDEX('Input 16.1_2018VOL-YTD'!$C$4:$N$300, MATCH($C41,'Input 16.1_2018VOL-YTD'!$R$4:$R$300,0),MATCH(F$2,'Input 16.1_2018VOL-YTD'!$C$1:$N$1,0))/INDEX('Input 16_2018CUST-YTD'!$D$4:$O$300,MATCH($C41,'Input 16_2018CUST-YTD'!$S$4:$S$300,0),MATCH(F$2,'Input 16_2018CUST-YTD'!$C$1:$O$1,0)),0)</f>
        <v>0</v>
      </c>
      <c r="G41" s="5">
        <f>IFERROR(INDEX('Input 16.1_2018VOL-YTD'!$C$4:$N$300, MATCH($C41,'Input 16.1_2018VOL-YTD'!$R$4:$R$300,0),MATCH(G$2,'Input 16.1_2018VOL-YTD'!$C$1:$N$1,0))/INDEX('Input 16_2018CUST-YTD'!$D$4:$O$300,MATCH($C41,'Input 16_2018CUST-YTD'!$S$4:$S$300,0),MATCH(G$2,'Input 16_2018CUST-YTD'!$C$1:$O$1,0)),0)</f>
        <v>0</v>
      </c>
      <c r="H41" s="5">
        <f>IFERROR(INDEX('Input 16.1_2018VOL-YTD'!$C$4:$N$300, MATCH($C41,'Input 16.1_2018VOL-YTD'!$R$4:$R$300,0),MATCH(H$2,'Input 16.1_2018VOL-YTD'!$C$1:$N$1,0))/INDEX('Input 16_2018CUST-YTD'!$D$4:$O$300,MATCH($C41,'Input 16_2018CUST-YTD'!$S$4:$S$300,0),MATCH(H$2,'Input 16_2018CUST-YTD'!$C$1:$O$1,0)),0)</f>
        <v>0</v>
      </c>
      <c r="I41" s="5">
        <f>IFERROR(INDEX('Input 16.1_2018VOL-YTD'!$C$4:$N$300, MATCH($C41,'Input 16.1_2018VOL-YTD'!$R$4:$R$300,0),MATCH(I$2,'Input 16.1_2018VOL-YTD'!$C$1:$N$1,0))/INDEX('Input 16_2018CUST-YTD'!$D$4:$O$300,MATCH($C41,'Input 16_2018CUST-YTD'!$S$4:$S$300,0),MATCH(I$2,'Input 16_2018CUST-YTD'!$C$1:$O$1,0)),0)</f>
        <v>0</v>
      </c>
      <c r="J41" s="5">
        <f>IFERROR(INDEX('Input 16.1_2018VOL-YTD'!$C$4:$N$300, MATCH($C41,'Input 16.1_2018VOL-YTD'!$R$4:$R$300,0),MATCH(J$2,'Input 16.1_2018VOL-YTD'!$C$1:$N$1,0))/INDEX('Input 16_2018CUST-YTD'!$D$4:$O$300,MATCH($C41,'Input 16_2018CUST-YTD'!$S$4:$S$300,0),MATCH(J$2,'Input 16_2018CUST-YTD'!$C$1:$O$1,0)),0)</f>
        <v>0</v>
      </c>
      <c r="K41" s="5">
        <f>IFERROR(INDEX('Input 16.1_2018VOL-YTD'!$C$4:$N$300, MATCH($C41,'Input 16.1_2018VOL-YTD'!$R$4:$R$300,0),MATCH(K$2,'Input 16.1_2018VOL-YTD'!$C$1:$N$1,0))/INDEX('Input 16_2018CUST-YTD'!$D$4:$O$300,MATCH($C41,'Input 16_2018CUST-YTD'!$S$4:$S$300,0),MATCH(K$2,'Input 16_2018CUST-YTD'!$C$1:$O$1,0)),0)</f>
        <v>0</v>
      </c>
      <c r="L41" s="5">
        <f>IFERROR(INDEX('Input 16.1_2018VOL-YTD'!$C$4:$N$300, MATCH($C41,'Input 16.1_2018VOL-YTD'!$R$4:$R$300,0),MATCH(L$2,'Input 16.1_2018VOL-YTD'!$C$1:$N$1,0))/INDEX('Input 16_2018CUST-YTD'!$D$4:$O$300,MATCH($C41,'Input 16_2018CUST-YTD'!$S$4:$S$300,0),MATCH(L$2,'Input 16_2018CUST-YTD'!$C$1:$O$1,0)),0)</f>
        <v>0</v>
      </c>
      <c r="M41" s="5">
        <f>IFERROR(INDEX('Input 16.1_2018VOL-YTD'!$C$4:$N$300, MATCH($C41,'Input 16.1_2018VOL-YTD'!$R$4:$R$300,0),MATCH(M$2,'Input 16.1_2018VOL-YTD'!$C$1:$N$1,0))/INDEX('Input 16_2018CUST-YTD'!$D$4:$O$300,MATCH($C41,'Input 16_2018CUST-YTD'!$S$4:$S$300,0),MATCH(M$2,'Input 16_2018CUST-YTD'!$C$1:$O$1,0)),0)</f>
        <v>0</v>
      </c>
      <c r="N41" s="5">
        <f>IFERROR(INDEX('Input 16.1_2018VOL-YTD'!$C$4:$N$300, MATCH($C41,'Input 16.1_2018VOL-YTD'!$R$4:$R$300,0),MATCH(N$2,'Input 16.1_2018VOL-YTD'!$C$1:$N$1,0))/INDEX('Input 16_2018CUST-YTD'!$D$4:$O$300,MATCH($C41,'Input 16_2018CUST-YTD'!$S$4:$S$300,0),MATCH(N$2,'Input 16_2018CUST-YTD'!$C$1:$O$1,0)),0)</f>
        <v>0</v>
      </c>
      <c r="O41" s="5">
        <f>IFERROR(INDEX('Input 16.1_2018VOL-YTD'!$C$4:$N$300, MATCH($C41,'Input 16.1_2018VOL-YTD'!$R$4:$R$300,0),MATCH(O$2,'Input 16.1_2018VOL-YTD'!$C$1:$N$1,0))/INDEX('Input 16_2018CUST-YTD'!$D$4:$O$300,MATCH($C41,'Input 16_2018CUST-YTD'!$S$4:$S$300,0),MATCH(O$2,'Input 16_2018CUST-YTD'!$C$1:$O$1,0)),0)</f>
        <v>0</v>
      </c>
      <c r="P41" s="271">
        <f t="shared" si="1"/>
        <v>0</v>
      </c>
      <c r="Q41" s="261">
        <f t="shared" si="2"/>
        <v>0</v>
      </c>
      <c r="S41" s="5">
        <f>IFERROR(INDEX('Input 3.1_2019VOL-YTD'!$C$4:$N$300, MATCH($C41,'Input 3.1_2019VOL-YTD'!$R$4:$R$300,0),MATCH(S$2,'Input 3.1_2019VOL-YTD'!$C$1:$N$1,0))/INDEX('Input 3_2019CUST-YTD'!$C$4:$N$300,MATCH($C41,'Input 3_2019CUST-YTD'!$S$4:$S$300,0),MATCH(S$2,'Input 3_2019CUST-YTD'!$C$1:$N$1,0)),0)</f>
        <v>0</v>
      </c>
      <c r="T41" s="5">
        <f>IFERROR(INDEX('Input 3.1_2019VOL-YTD'!$C$4:$N$300, MATCH($C41,'Input 3.1_2019VOL-YTD'!$R$4:$R$300,0),MATCH(T$2,'Input 3.1_2019VOL-YTD'!$C$1:$N$1,0))/INDEX('Input 3_2019CUST-YTD'!$C$4:$N$300,MATCH($C41,'Input 3_2019CUST-YTD'!$S$4:$S$300,0),MATCH(T$2,'Input 3_2019CUST-YTD'!$C$1:$N$1,0)),0)</f>
        <v>0</v>
      </c>
      <c r="U41" s="5">
        <f>IFERROR(INDEX('Input 3.1_2019VOL-YTD'!$C$4:$N$300, MATCH($C41,'Input 3.1_2019VOL-YTD'!$R$4:$R$300,0),MATCH(U$2,'Input 3.1_2019VOL-YTD'!$C$1:$N$1,0))/INDEX('Input 3_2019CUST-YTD'!$C$4:$N$300,MATCH($C41,'Input 3_2019CUST-YTD'!$S$4:$S$300,0),MATCH(U$2,'Input 3_2019CUST-YTD'!$C$1:$N$1,0)),0)</f>
        <v>0</v>
      </c>
      <c r="V41" s="5">
        <f>IFERROR(INDEX('Input 3.1_2019VOL-YTD'!$C$4:$N$300, MATCH($C41,'Input 3.1_2019VOL-YTD'!$R$4:$R$300,0),MATCH(V$2,'Input 3.1_2019VOL-YTD'!$C$1:$N$1,0))/INDEX('Input 3_2019CUST-YTD'!$C$4:$N$300,MATCH($C41,'Input 3_2019CUST-YTD'!$S$4:$S$300,0),MATCH(V$2,'Input 3_2019CUST-YTD'!$C$1:$N$1,0)),0)</f>
        <v>0</v>
      </c>
      <c r="W41" s="5">
        <f>IFERROR(INDEX('Input 3.1_2019VOL-YTD'!$C$4:$N$300, MATCH($C41,'Input 3.1_2019VOL-YTD'!$R$4:$R$300,0),MATCH(W$2,'Input 3.1_2019VOL-YTD'!$C$1:$N$1,0))/INDEX('Input 3_2019CUST-YTD'!$C$4:$N$300,MATCH($C41,'Input 3_2019CUST-YTD'!$S$4:$S$300,0),MATCH(W$2,'Input 3_2019CUST-YTD'!$C$1:$N$1,0)),0)</f>
        <v>0</v>
      </c>
      <c r="X41" s="5">
        <f>IFERROR(INDEX('Input 3.1_2019VOL-YTD'!$C$4:$N$300, MATCH($C41,'Input 3.1_2019VOL-YTD'!$R$4:$R$300,0),MATCH(X$2,'Input 3.1_2019VOL-YTD'!$C$1:$N$1,0))/INDEX('Input 3_2019CUST-YTD'!$C$4:$N$300,MATCH($C41,'Input 3_2019CUST-YTD'!$S$4:$S$300,0),MATCH(X$2,'Input 3_2019CUST-YTD'!$C$1:$N$1,0)),0)</f>
        <v>0</v>
      </c>
      <c r="Y41" s="5">
        <f>IFERROR(INDEX('Input 3.1_2019VOL-YTD'!$C$4:$N$300, MATCH($C41,'Input 3.1_2019VOL-YTD'!$R$4:$R$300,0),MATCH(Y$2,'Input 3.1_2019VOL-YTD'!$C$1:$N$1,0))/INDEX('Input 3_2019CUST-YTD'!$C$4:$N$300,MATCH($C41,'Input 3_2019CUST-YTD'!$S$4:$S$300,0),MATCH(Y$2,'Input 3_2019CUST-YTD'!$C$1:$N$1,0)),0)</f>
        <v>0</v>
      </c>
      <c r="Z41" s="5">
        <f>IFERROR(INDEX('Input 3.1_2019VOL-YTD'!$C$4:$N$300, MATCH($C41,'Input 3.1_2019VOL-YTD'!$R$4:$R$300,0),MATCH(Z$2,'Input 3.1_2019VOL-YTD'!$C$1:$N$1,0))/INDEX('Input 3_2019CUST-YTD'!$C$4:$N$300,MATCH($C41,'Input 3_2019CUST-YTD'!$S$4:$S$300,0),MATCH(Z$2,'Input 3_2019CUST-YTD'!$C$1:$N$1,0)),0)</f>
        <v>0</v>
      </c>
      <c r="AA41" s="5">
        <f>IFERROR(INDEX('Input 3.1_2019VOL-YTD'!$C$4:$N$300, MATCH($C41,'Input 3.1_2019VOL-YTD'!$R$4:$R$300,0),MATCH(AA$2,'Input 3.1_2019VOL-YTD'!$C$1:$N$1,0))/INDEX('Input 3_2019CUST-YTD'!$C$4:$N$300,MATCH($C41,'Input 3_2019CUST-YTD'!$S$4:$S$300,0),MATCH(AA$2,'Input 3_2019CUST-YTD'!$C$1:$N$1,0)),0)</f>
        <v>0</v>
      </c>
      <c r="AB41" s="5">
        <f>IFERROR(INDEX('Input 3.1_2019VOL-YTD'!$C$4:$N$300, MATCH($C41,'Input 3.1_2019VOL-YTD'!$R$4:$R$300,0),MATCH(AB$2,'Input 3.1_2019VOL-YTD'!$C$1:$N$1,0))/INDEX('Input 3_2019CUST-YTD'!$C$4:$N$300,MATCH($C41,'Input 3_2019CUST-YTD'!$S$4:$S$300,0),MATCH(AB$2,'Input 3_2019CUST-YTD'!$C$1:$N$1,0)),0)</f>
        <v>0</v>
      </c>
      <c r="AC41" s="5">
        <f>IFERROR(INDEX('Input 3.1_2019VOL-YTD'!$C$4:$N$300, MATCH($C41,'Input 3.1_2019VOL-YTD'!$R$4:$R$300,0),MATCH(AC$2,'Input 3.1_2019VOL-YTD'!$C$1:$N$1,0))/INDEX('Input 3_2019CUST-YTD'!$C$4:$N$300,MATCH($C41,'Input 3_2019CUST-YTD'!$S$4:$S$300,0),MATCH(AC$2,'Input 3_2019CUST-YTD'!$C$1:$N$1,0)),0)</f>
        <v>0</v>
      </c>
      <c r="AD41" s="5">
        <f>IFERROR(INDEX('Input 3.1_2019VOL-YTD'!$C$4:$N$300, MATCH($C41,'Input 3.1_2019VOL-YTD'!$R$4:$R$300,0),MATCH(AD$2,'Input 3.1_2019VOL-YTD'!$C$1:$N$1,0))/INDEX('Input 3_2019CUST-YTD'!$C$4:$N$300,MATCH($C41,'Input 3_2019CUST-YTD'!$S$4:$S$300,0),MATCH(AD$2,'Input 3_2019CUST-YTD'!$C$1:$N$1,0)),0)</f>
        <v>0</v>
      </c>
      <c r="AE41" s="272">
        <f t="shared" si="12"/>
        <v>0</v>
      </c>
      <c r="AF41" s="261">
        <f t="shared" si="13"/>
        <v>1</v>
      </c>
      <c r="AH41" s="262">
        <f>IFERROR(INDEX('Input 4.1_2020VOL-YTD'!$C$4:$O$300, MATCH($C41,'Input 4.1_2020VOL-YTD'!$R$4:$R$300,0),MATCH(AH$2,'Input 4.1_2020VOL-YTD'!$C$1:$O$1,0))/INDEX('Input 4_2020CUST-YTD'!$C$4:O$300,MATCH($C41,'Input 4_2020CUST-YTD'!$S$4:$S$300,0),MATCH(AH$2,'Input 4_2020CUST-YTD'!$C$1:$O$1,0)),0)</f>
        <v>0</v>
      </c>
      <c r="AI41" s="262">
        <f>IFERROR(INDEX('Input 4.1_2020VOL-YTD'!$C$4:$O$300, MATCH($C41,'Input 4.1_2020VOL-YTD'!$R$4:$R$300,0),MATCH(AI$2,'Input 4.1_2020VOL-YTD'!$C$1:$O$1,0))/INDEX('Input 4_2020CUST-YTD'!$C$4:P$300,MATCH($C41,'Input 4_2020CUST-YTD'!$S$4:$S$300,0),MATCH(AI$2,'Input 4_2020CUST-YTD'!$C$1:$O$1,0)),0)</f>
        <v>0</v>
      </c>
      <c r="AJ41" s="262">
        <f>IFERROR(INDEX('Input 4.1_2020VOL-YTD'!$C$4:$O$300, MATCH($C41,'Input 4.1_2020VOL-YTD'!$R$4:$R$300,0),MATCH(AJ$2,'Input 4.1_2020VOL-YTD'!$C$1:$O$1,0))/INDEX('Input 4_2020CUST-YTD'!$C$4:Q$300,MATCH($C41,'Input 4_2020CUST-YTD'!$S$4:$S$300,0),MATCH(AJ$2,'Input 4_2020CUST-YTD'!$C$1:$O$1,0)),0)</f>
        <v>0</v>
      </c>
      <c r="AK41" s="262">
        <f>IFERROR(INDEX('Input 4.1_2020VOL-YTD'!$C$4:$O$300, MATCH($C41,'Input 4.1_2020VOL-YTD'!$R$4:$R$300,0),MATCH(AK$2,'Input 4.1_2020VOL-YTD'!$C$1:$O$1,0))/INDEX('Input 4_2020CUST-YTD'!$C$4:R$300,MATCH($C41,'Input 4_2020CUST-YTD'!$S$4:$S$300,0),MATCH(AK$2,'Input 4_2020CUST-YTD'!$C$1:$O$1,0)),0)</f>
        <v>0</v>
      </c>
      <c r="AL41" s="262">
        <f>IFERROR(INDEX('Input 4.1_2020VOL-YTD'!$C$4:$O$300, MATCH($C41,'Input 4.1_2020VOL-YTD'!$R$4:$R$300,0),MATCH(AL$2,'Input 4.1_2020VOL-YTD'!$C$1:$O$1,0))/INDEX('Input 4_2020CUST-YTD'!$C$4:S$300,MATCH($C41,'Input 4_2020CUST-YTD'!$S$4:$S$300,0),MATCH(AL$2,'Input 4_2020CUST-YTD'!$C$1:$O$1,0)),0)</f>
        <v>0</v>
      </c>
      <c r="AM41" s="262">
        <f>IFERROR(INDEX('Input 4.1_2020VOL-YTD'!$C$4:$O$300, MATCH($C41,'Input 4.1_2020VOL-YTD'!$R$4:$R$300,0),MATCH(AM$2,'Input 4.1_2020VOL-YTD'!$C$1:$O$1,0))/INDEX('Input 4_2020CUST-YTD'!$C$4:T$300,MATCH($C41,'Input 4_2020CUST-YTD'!$S$4:$S$300,0),MATCH(AM$2,'Input 4_2020CUST-YTD'!$C$1:$O$1,0)),0)</f>
        <v>0</v>
      </c>
      <c r="AN41" s="262">
        <f>IFERROR(INDEX('Input 4.1_2020VOL-YTD'!$C$4:$O$300, MATCH($C41,'Input 4.1_2020VOL-YTD'!$R$4:$R$300,0),MATCH(AN$2,'Input 4.1_2020VOL-YTD'!$C$1:$O$1,0))/INDEX('Input 4_2020CUST-YTD'!$C$4:U$300,MATCH($C41,'Input 4_2020CUST-YTD'!$S$4:$S$300,0),MATCH(AN$2,'Input 4_2020CUST-YTD'!$C$1:$O$1,0)),0)</f>
        <v>0</v>
      </c>
      <c r="AO41" s="262">
        <f>IFERROR(INDEX('Input 4.1_2020VOL-YTD'!$C$4:$O$300, MATCH($C41,'Input 4.1_2020VOL-YTD'!$R$4:$R$300,0),MATCH(AO$2,'Input 4.1_2020VOL-YTD'!$C$1:$O$1,0))/INDEX('Input 4_2020CUST-YTD'!$C$4:V$300,MATCH($C41,'Input 4_2020CUST-YTD'!$S$4:$S$300,0),MATCH(AO$2,'Input 4_2020CUST-YTD'!$C$1:$O$1,0)),0)</f>
        <v>0</v>
      </c>
      <c r="AP41" s="262">
        <f>IFERROR(INDEX('Input 4.1_2020VOL-YTD'!$C$4:$O$300, MATCH($C41,'Input 4.1_2020VOL-YTD'!$R$4:$R$300,0),MATCH(AP$2,'Input 4.1_2020VOL-YTD'!$C$1:$O$1,0))/INDEX('Input 4_2020CUST-YTD'!$C$4:W$300,MATCH($C41,'Input 4_2020CUST-YTD'!$S$4:$S$300,0),MATCH(AP$2,'Input 4_2020CUST-YTD'!$C$1:$O$1,0)),0)</f>
        <v>0</v>
      </c>
      <c r="AQ41" s="262">
        <f>IFERROR(INDEX('Input 4.1_2020VOL-YTD'!$C$4:$O$300, MATCH($C41,'Input 4.1_2020VOL-YTD'!$R$4:$R$300,0),MATCH(AQ$2,'Input 4.1_2020VOL-YTD'!$C$1:$O$1,0))/INDEX('Input 4_2020CUST-YTD'!$C$4:X$300,MATCH($C41,'Input 4_2020CUST-YTD'!$S$4:$S$300,0),MATCH(AQ$2,'Input 4_2020CUST-YTD'!$C$1:$O$1,0)),0)</f>
        <v>0</v>
      </c>
      <c r="AR41" s="262">
        <f>IFERROR(INDEX('Input 4.1_2020VOL-YTD'!$C$4:$O$300, MATCH($C41,'Input 4.1_2020VOL-YTD'!$R$4:$R$300,0),MATCH(AR$2,'Input 4.1_2020VOL-YTD'!$C$1:$O$1,0))/INDEX('Input 4_2020CUST-YTD'!$C$4:Y$300,MATCH($C41,'Input 4_2020CUST-YTD'!$S$4:$S$300,0),MATCH(AR$2,'Input 4_2020CUST-YTD'!$C$1:$O$1,0)),0)</f>
        <v>0</v>
      </c>
      <c r="AS41" s="262">
        <f>IFERROR(INDEX('Input 4.1_2020VOL-YTD'!$C$4:$O$300, MATCH($C41,'Input 4.1_2020VOL-YTD'!$R$4:$R$300,0),MATCH(AS$2,'Input 4.1_2020VOL-YTD'!$C$1:$O$1,0))/INDEX('Input 4_2020CUST-YTD'!$C$4:Z$300,MATCH($C41,'Input 4_2020CUST-YTD'!$S$4:$S$300,0),MATCH(AS$2,'Input 4_2020CUST-YTD'!$C$1:$O$1,0)),0)</f>
        <v>0</v>
      </c>
      <c r="AT41" s="190">
        <f t="shared" si="10"/>
        <v>0</v>
      </c>
      <c r="AU41" s="261">
        <f t="shared" si="11"/>
        <v>1</v>
      </c>
      <c r="AW41" s="1">
        <f>IFERROR(INDEX('Input 5.1_2021VOL-YTD'!$C$3:$N$150, MATCH($C41,'Input 5.1_2021VOL-YTD'!$R$3:$R$150,0),MATCH(AW$2,'Input 5.1_2021VOL-YTD'!$C$1:$N$1,0))/INDEX('Input 5_2021CUST-YTD'!$C$3:$N$150,MATCH($C41,'Input 5_2021CUST-YTD'!$S$3:$S$150,0),MATCH(AW$2,'Input 5_2021CUST-YTD'!$C$1:$N$1,0)),0)</f>
        <v>0</v>
      </c>
      <c r="AX41" s="1">
        <f>IFERROR(INDEX('Input 5.1_2021VOL-YTD'!$C$3:$N$150, MATCH($C41,'Input 5.1_2021VOL-YTD'!$R$3:$R$150,0),MATCH(AX$2,'Input 5.1_2021VOL-YTD'!$C$1:$N$1,0))/INDEX('Input 5_2021CUST-YTD'!$C$3:$N$150,MATCH($C41,'Input 5_2021CUST-YTD'!$S$3:$S$150,0),MATCH(AX$2,'Input 5_2021CUST-YTD'!$C$1:$N$1,0)),0)</f>
        <v>0</v>
      </c>
      <c r="AY41" s="1">
        <f>IFERROR(INDEX('Input 5.1_2021VOL-YTD'!$C$3:$N$150, MATCH($C41,'Input 5.1_2021VOL-YTD'!$R$3:$R$150,0),MATCH(AY$2,'Input 5.1_2021VOL-YTD'!$C$1:$N$1,0))/INDEX('Input 5_2021CUST-YTD'!$C$3:$N$150,MATCH($C41,'Input 5_2021CUST-YTD'!$S$3:$S$150,0),MATCH(AY$2,'Input 5_2021CUST-YTD'!$C$1:$N$1,0)),0)</f>
        <v>0</v>
      </c>
      <c r="AZ41" s="1">
        <f>IFERROR(INDEX('Input 5.1_2021VOL-YTD'!$C$3:$N$150, MATCH($C41,'Input 5.1_2021VOL-YTD'!$R$3:$R$150,0),MATCH(AZ$2,'Input 5.1_2021VOL-YTD'!$C$1:$N$1,0))/INDEX('Input 5_2021CUST-YTD'!$C$3:$N$150,MATCH($C41,'Input 5_2021CUST-YTD'!$S$3:$S$150,0),MATCH(AZ$2,'Input 5_2021CUST-YTD'!$C$1:$N$1,0)),0)</f>
        <v>0</v>
      </c>
      <c r="BA41" s="1">
        <f>IFERROR(INDEX('Input 5.1_2021VOL-YTD'!$C$3:$N$150, MATCH($C41,'Input 5.1_2021VOL-YTD'!$R$3:$R$150,0),MATCH(BA$2,'Input 5.1_2021VOL-YTD'!$C$1:$N$1,0))/INDEX('Input 5_2021CUST-YTD'!$C$3:$N$150,MATCH($C41,'Input 5_2021CUST-YTD'!$S$3:$S$150,0),MATCH(BA$2,'Input 5_2021CUST-YTD'!$C$1:$N$1,0)),0)</f>
        <v>0</v>
      </c>
      <c r="BB41" s="1">
        <f>IFERROR(INDEX('Input 5.1_2021VOL-YTD'!$C$3:$N$150, MATCH($C41,'Input 5.1_2021VOL-YTD'!$R$3:$R$150,0),MATCH(BB$2,'Input 5.1_2021VOL-YTD'!$C$1:$N$1,0))/INDEX('Input 5_2021CUST-YTD'!$C$3:$N$150,MATCH($C41,'Input 5_2021CUST-YTD'!$S$3:$S$150,0),MATCH(BB$2,'Input 5_2021CUST-YTD'!$C$1:$N$1,0)),0)</f>
        <v>0</v>
      </c>
      <c r="BC41" s="1">
        <f>IFERROR(INDEX('Input 5.1_2021VOL-YTD'!$C$3:$N$150, MATCH($C41,'Input 5.1_2021VOL-YTD'!$R$3:$R$150,0),MATCH(BC$2,'Input 5.1_2021VOL-YTD'!$C$1:$N$1,0))/INDEX('Input 5_2021CUST-YTD'!$C$3:$N$150,MATCH($C41,'Input 5_2021CUST-YTD'!$S$3:$S$150,0),MATCH(BC$2,'Input 5_2021CUST-YTD'!$C$1:$N$1,0)),0)</f>
        <v>0</v>
      </c>
      <c r="BD41" s="1">
        <f>IFERROR(INDEX('Input 5.1_2021VOL-YTD'!$C$3:$N$150, MATCH($C41,'Input 5.1_2021VOL-YTD'!$R$3:$R$150,0),MATCH(BD$2,'Input 5.1_2021VOL-YTD'!$C$1:$N$1,0))/INDEX('Input 5_2021CUST-YTD'!$C$3:$N$150,MATCH($C41,'Input 5_2021CUST-YTD'!$S$3:$S$150,0),MATCH(BD$2,'Input 5_2021CUST-YTD'!$C$1:$N$1,0)),0)</f>
        <v>0</v>
      </c>
      <c r="BE41" s="1">
        <f>IFERROR(INDEX('Input 5.1_2021VOL-YTD'!$C$3:$N$150, MATCH($C41,'Input 5.1_2021VOL-YTD'!$R$3:$R$150,0),MATCH(BE$2,'Input 5.1_2021VOL-YTD'!$C$1:$N$1,0))/INDEX('Input 5_2021CUST-YTD'!$C$3:$N$150,MATCH($C41,'Input 5_2021CUST-YTD'!$S$3:$S$150,0),MATCH(BE$2,'Input 5_2021CUST-YTD'!$C$1:$N$1,0)),0)</f>
        <v>0</v>
      </c>
      <c r="BF41" s="1">
        <f>IFERROR(INDEX('Input 5.1_2021VOL-YTD'!$C$3:$N$150, MATCH($C41,'Input 5.1_2021VOL-YTD'!$R$3:$R$150,0),MATCH(BF$2,'Input 5.1_2021VOL-YTD'!$C$1:$N$1,0))/INDEX('Input 5_2021CUST-YTD'!$C$3:$N$150,MATCH($C41,'Input 5_2021CUST-YTD'!$S$3:$S$150,0),MATCH(BF$2,'Input 5_2021CUST-YTD'!$C$1:$N$1,0)),0)</f>
        <v>0</v>
      </c>
      <c r="BG41" s="1">
        <f>IFERROR(INDEX('Input 5.1_2021VOL-YTD'!$C$3:$N$150, MATCH($C41,'Input 5.1_2021VOL-YTD'!$R$3:$R$150,0),MATCH(BG$2,'Input 5.1_2021VOL-YTD'!$C$1:$N$1,0))/INDEX('Input 5_2021CUST-YTD'!$C$3:$N$150,MATCH($C41,'Input 5_2021CUST-YTD'!$S$3:$S$150,0),MATCH(BG$2,'Input 5_2021CUST-YTD'!$C$1:$N$1,0)),0)</f>
        <v>0</v>
      </c>
      <c r="BH41" s="1">
        <f>IFERROR(INDEX('Input 5.1_2021VOL-YTD'!$C$3:$N$150, MATCH($C41,'Input 5.1_2021VOL-YTD'!$R$3:$R$150,0),MATCH(BH$2,'Input 5.1_2021VOL-YTD'!$C$1:$N$1,0))/INDEX('Input 5_2021CUST-YTD'!$C$3:$N$150,MATCH($C41,'Input 5_2021CUST-YTD'!$S$3:$S$150,0),MATCH(BH$2,'Input 5_2021CUST-YTD'!$C$1:$N$1,0)),0)</f>
        <v>0</v>
      </c>
      <c r="BI41" s="190">
        <f t="shared" si="7"/>
        <v>0</v>
      </c>
      <c r="BJ41" s="261">
        <f t="shared" si="8"/>
        <v>1</v>
      </c>
    </row>
    <row r="42" spans="1:62">
      <c r="A42" s="261" t="s">
        <v>1245</v>
      </c>
      <c r="B42" s="261" t="s">
        <v>17</v>
      </c>
      <c r="C42" s="261" t="s">
        <v>60</v>
      </c>
      <c r="D42" s="5">
        <f>IFERROR(INDEX('Input 16.1_2018VOL-YTD'!$C$4:$N$300, MATCH($C42,'Input 16.1_2018VOL-YTD'!$R$4:$R$300,0),MATCH(D$2,'Input 16.1_2018VOL-YTD'!$C$1:$N$1,0))/INDEX('Input 16_2018CUST-YTD'!$D$4:$O$300,MATCH($C42,'Input 16_2018CUST-YTD'!$S$4:$S$300,0),MATCH(D$2,'Input 16_2018CUST-YTD'!$C$1:$O$1,0)),0)</f>
        <v>17.702727272727273</v>
      </c>
      <c r="E42" s="5">
        <f>IFERROR(INDEX('Input 16.1_2018VOL-YTD'!$C$4:$N$300, MATCH($C42,'Input 16.1_2018VOL-YTD'!$R$4:$R$300,0),MATCH(E$2,'Input 16.1_2018VOL-YTD'!$C$1:$N$1,0))/INDEX('Input 16_2018CUST-YTD'!$D$4:$O$300,MATCH($C42,'Input 16_2018CUST-YTD'!$S$4:$S$300,0),MATCH(E$2,'Input 16_2018CUST-YTD'!$C$1:$O$1,0)),0)</f>
        <v>7.2427272727272731</v>
      </c>
      <c r="F42" s="5">
        <f>IFERROR(INDEX('Input 16.1_2018VOL-YTD'!$C$4:$N$300, MATCH($C42,'Input 16.1_2018VOL-YTD'!$R$4:$R$300,0),MATCH(F$2,'Input 16.1_2018VOL-YTD'!$C$1:$N$1,0))/INDEX('Input 16_2018CUST-YTD'!$D$4:$O$300,MATCH($C42,'Input 16_2018CUST-YTD'!$S$4:$S$300,0),MATCH(F$2,'Input 16_2018CUST-YTD'!$C$1:$O$1,0)),0)</f>
        <v>7.5036363636363639</v>
      </c>
      <c r="G42" s="5">
        <f>IFERROR(INDEX('Input 16.1_2018VOL-YTD'!$C$4:$N$300, MATCH($C42,'Input 16.1_2018VOL-YTD'!$R$4:$R$300,0),MATCH(G$2,'Input 16.1_2018VOL-YTD'!$C$1:$N$1,0))/INDEX('Input 16_2018CUST-YTD'!$D$4:$O$300,MATCH($C42,'Input 16_2018CUST-YTD'!$S$4:$S$300,0),MATCH(G$2,'Input 16_2018CUST-YTD'!$C$1:$O$1,0)),0)</f>
        <v>7.1891304347826086</v>
      </c>
      <c r="H42" s="5">
        <f>IFERROR(INDEX('Input 16.1_2018VOL-YTD'!$C$4:$N$300, MATCH($C42,'Input 16.1_2018VOL-YTD'!$R$4:$R$300,0),MATCH(H$2,'Input 16.1_2018VOL-YTD'!$C$1:$N$1,0))/INDEX('Input 16_2018CUST-YTD'!$D$4:$O$300,MATCH($C42,'Input 16_2018CUST-YTD'!$S$4:$S$300,0),MATCH(H$2,'Input 16_2018CUST-YTD'!$C$1:$O$1,0)),0)</f>
        <v>27.966250000000002</v>
      </c>
      <c r="I42" s="5">
        <f>IFERROR(INDEX('Input 16.1_2018VOL-YTD'!$C$4:$N$300, MATCH($C42,'Input 16.1_2018VOL-YTD'!$R$4:$R$300,0),MATCH(I$2,'Input 16.1_2018VOL-YTD'!$C$1:$N$1,0))/INDEX('Input 16_2018CUST-YTD'!$D$4:$O$300,MATCH($C42,'Input 16_2018CUST-YTD'!$S$4:$S$300,0),MATCH(I$2,'Input 16_2018CUST-YTD'!$C$1:$O$1,0)),0)</f>
        <v>13.43074074074074</v>
      </c>
      <c r="J42" s="5">
        <f>IFERROR(INDEX('Input 16.1_2018VOL-YTD'!$C$4:$N$300, MATCH($C42,'Input 16.1_2018VOL-YTD'!$R$4:$R$300,0),MATCH(J$2,'Input 16.1_2018VOL-YTD'!$C$1:$N$1,0))/INDEX('Input 16_2018CUST-YTD'!$D$4:$O$300,MATCH($C42,'Input 16_2018CUST-YTD'!$S$4:$S$300,0),MATCH(J$2,'Input 16_2018CUST-YTD'!$C$1:$O$1,0)),0)</f>
        <v>15.222222222222221</v>
      </c>
      <c r="K42" s="5">
        <f>IFERROR(INDEX('Input 16.1_2018VOL-YTD'!$C$4:$N$300, MATCH($C42,'Input 16.1_2018VOL-YTD'!$R$4:$R$300,0),MATCH(K$2,'Input 16.1_2018VOL-YTD'!$C$1:$N$1,0))/INDEX('Input 16_2018CUST-YTD'!$D$4:$O$300,MATCH($C42,'Input 16_2018CUST-YTD'!$S$4:$S$300,0),MATCH(K$2,'Input 16_2018CUST-YTD'!$C$1:$O$1,0)),0)</f>
        <v>15.41</v>
      </c>
      <c r="L42" s="5">
        <f>IFERROR(INDEX('Input 16.1_2018VOL-YTD'!$C$4:$N$300, MATCH($C42,'Input 16.1_2018VOL-YTD'!$R$4:$R$300,0),MATCH(L$2,'Input 16.1_2018VOL-YTD'!$C$1:$N$1,0))/INDEX('Input 16_2018CUST-YTD'!$D$4:$O$300,MATCH($C42,'Input 16_2018CUST-YTD'!$S$4:$S$300,0),MATCH(L$2,'Input 16_2018CUST-YTD'!$C$1:$O$1,0)),0)</f>
        <v>14.40625</v>
      </c>
      <c r="M42" s="5">
        <f>IFERROR(INDEX('Input 16.1_2018VOL-YTD'!$C$4:$N$300, MATCH($C42,'Input 16.1_2018VOL-YTD'!$R$4:$R$300,0),MATCH(M$2,'Input 16.1_2018VOL-YTD'!$C$1:$N$1,0))/INDEX('Input 16_2018CUST-YTD'!$D$4:$O$300,MATCH($C42,'Input 16_2018CUST-YTD'!$S$4:$S$300,0),MATCH(M$2,'Input 16_2018CUST-YTD'!$C$1:$O$1,0)),0)</f>
        <v>13.067187499999999</v>
      </c>
      <c r="N42" s="5">
        <f>IFERROR(INDEX('Input 16.1_2018VOL-YTD'!$C$4:$N$300, MATCH($C42,'Input 16.1_2018VOL-YTD'!$R$4:$R$300,0),MATCH(N$2,'Input 16.1_2018VOL-YTD'!$C$1:$N$1,0))/INDEX('Input 16_2018CUST-YTD'!$D$4:$O$300,MATCH($C42,'Input 16_2018CUST-YTD'!$S$4:$S$300,0),MATCH(N$2,'Input 16_2018CUST-YTD'!$C$1:$O$1,0)),0)</f>
        <v>14.465151515151517</v>
      </c>
      <c r="O42" s="5">
        <f>IFERROR(INDEX('Input 16.1_2018VOL-YTD'!$C$4:$N$300, MATCH($C42,'Input 16.1_2018VOL-YTD'!$R$4:$R$300,0),MATCH(O$2,'Input 16.1_2018VOL-YTD'!$C$1:$N$1,0))/INDEX('Input 16_2018CUST-YTD'!$D$4:$O$300,MATCH($C42,'Input 16_2018CUST-YTD'!$S$4:$S$300,0),MATCH(O$2,'Input 16_2018CUST-YTD'!$C$1:$O$1,0)),0)</f>
        <v>23.189044585987258</v>
      </c>
      <c r="P42" s="271">
        <f t="shared" si="1"/>
        <v>27.966250000000002</v>
      </c>
      <c r="Q42" s="261">
        <f t="shared" si="2"/>
        <v>5</v>
      </c>
      <c r="S42" s="5">
        <f>IFERROR(INDEX('Input 3.1_2019VOL-YTD'!$C$4:$N$300, MATCH($C42,'Input 3.1_2019VOL-YTD'!$R$4:$R$300,0),MATCH(S$2,'Input 3.1_2019VOL-YTD'!$C$1:$N$1,0))/INDEX('Input 3_2019CUST-YTD'!$C$4:$N$300,MATCH($C42,'Input 3_2019CUST-YTD'!$S$4:$S$300,0),MATCH(S$2,'Input 3_2019CUST-YTD'!$C$1:$N$1,0)),0)</f>
        <v>17.25</v>
      </c>
      <c r="T42" s="5">
        <f>IFERROR(INDEX('Input 3.1_2019VOL-YTD'!$C$4:$N$300, MATCH($C42,'Input 3.1_2019VOL-YTD'!$R$4:$R$300,0),MATCH(T$2,'Input 3.1_2019VOL-YTD'!$C$1:$N$1,0))/INDEX('Input 3_2019CUST-YTD'!$C$4:$N$300,MATCH($C42,'Input 3_2019CUST-YTD'!$S$4:$S$300,0),MATCH(T$2,'Input 3_2019CUST-YTD'!$C$1:$N$1,0)),0)</f>
        <v>129.8465625</v>
      </c>
      <c r="U42" s="5">
        <f>IFERROR(INDEX('Input 3.1_2019VOL-YTD'!$C$4:$N$300, MATCH($C42,'Input 3.1_2019VOL-YTD'!$R$4:$R$300,0),MATCH(U$2,'Input 3.1_2019VOL-YTD'!$C$1:$N$1,0))/INDEX('Input 3_2019CUST-YTD'!$C$4:$N$300,MATCH($C42,'Input 3_2019CUST-YTD'!$S$4:$S$300,0),MATCH(U$2,'Input 3_2019CUST-YTD'!$C$1:$N$1,0)),0)</f>
        <v>-93.104062499999998</v>
      </c>
      <c r="V42" s="5">
        <f>IFERROR(INDEX('Input 3.1_2019VOL-YTD'!$C$4:$N$300, MATCH($C42,'Input 3.1_2019VOL-YTD'!$R$4:$R$300,0),MATCH(V$2,'Input 3.1_2019VOL-YTD'!$C$1:$N$1,0))/INDEX('Input 3_2019CUST-YTD'!$C$4:$N$300,MATCH($C42,'Input 3_2019CUST-YTD'!$S$4:$S$300,0),MATCH(V$2,'Input 3_2019CUST-YTD'!$C$1:$N$1,0)),0)</f>
        <v>17.675000000000001</v>
      </c>
      <c r="W42" s="5">
        <f>IFERROR(INDEX('Input 3.1_2019VOL-YTD'!$C$4:$N$300, MATCH($C42,'Input 3.1_2019VOL-YTD'!$R$4:$R$300,0),MATCH(W$2,'Input 3.1_2019VOL-YTD'!$C$1:$N$1,0))/INDEX('Input 3_2019CUST-YTD'!$C$4:$N$300,MATCH($C42,'Input 3_2019CUST-YTD'!$S$4:$S$300,0),MATCH(W$2,'Input 3_2019CUST-YTD'!$C$1:$N$1,0)),0)</f>
        <v>15.76375</v>
      </c>
      <c r="X42" s="5">
        <f>IFERROR(INDEX('Input 3.1_2019VOL-YTD'!$C$4:$N$300, MATCH($C42,'Input 3.1_2019VOL-YTD'!$R$4:$R$300,0),MATCH(X$2,'Input 3.1_2019VOL-YTD'!$C$1:$N$1,0))/INDEX('Input 3_2019CUST-YTD'!$C$4:$N$300,MATCH($C42,'Input 3_2019CUST-YTD'!$S$4:$S$300,0),MATCH(X$2,'Input 3_2019CUST-YTD'!$C$1:$N$1,0)),0)</f>
        <v>13.6328125</v>
      </c>
      <c r="Y42" s="5">
        <f>IFERROR(INDEX('Input 3.1_2019VOL-YTD'!$C$4:$N$300, MATCH($C42,'Input 3.1_2019VOL-YTD'!$R$4:$R$300,0),MATCH(Y$2,'Input 3.1_2019VOL-YTD'!$C$1:$N$1,0))/INDEX('Input 3_2019CUST-YTD'!$C$4:$N$300,MATCH($C42,'Input 3_2019CUST-YTD'!$S$4:$S$300,0),MATCH(Y$2,'Input 3_2019CUST-YTD'!$C$1:$N$1,0)),0)</f>
        <v>11.44375</v>
      </c>
      <c r="Z42" s="5">
        <f>IFERROR(INDEX('Input 3.1_2019VOL-YTD'!$C$4:$N$300, MATCH($C42,'Input 3.1_2019VOL-YTD'!$R$4:$R$300,0),MATCH(Z$2,'Input 3.1_2019VOL-YTD'!$C$1:$N$1,0))/INDEX('Input 3_2019CUST-YTD'!$C$4:$N$300,MATCH($C42,'Input 3_2019CUST-YTD'!$S$4:$S$300,0),MATCH(Z$2,'Input 3_2019CUST-YTD'!$C$1:$N$1,0)),0)</f>
        <v>12.862500000000001</v>
      </c>
      <c r="AA42" s="5">
        <f>IFERROR(INDEX('Input 3.1_2019VOL-YTD'!$C$4:$N$300, MATCH($C42,'Input 3.1_2019VOL-YTD'!$R$4:$R$300,0),MATCH(AA$2,'Input 3.1_2019VOL-YTD'!$C$1:$N$1,0))/INDEX('Input 3_2019CUST-YTD'!$C$4:$N$300,MATCH($C42,'Input 3_2019CUST-YTD'!$S$4:$S$300,0),MATCH(AA$2,'Input 3_2019CUST-YTD'!$C$1:$N$1,0)),0)</f>
        <v>12.536250000000001</v>
      </c>
      <c r="AB42" s="5">
        <f>IFERROR(INDEX('Input 3.1_2019VOL-YTD'!$C$4:$N$300, MATCH($C42,'Input 3.1_2019VOL-YTD'!$R$4:$R$300,0),MATCH(AB$2,'Input 3.1_2019VOL-YTD'!$C$1:$N$1,0))/INDEX('Input 3_2019CUST-YTD'!$C$4:$N$300,MATCH($C42,'Input 3_2019CUST-YTD'!$S$4:$S$300,0),MATCH(AB$2,'Input 3_2019CUST-YTD'!$C$1:$N$1,0)),0)</f>
        <v>12.918181818181818</v>
      </c>
      <c r="AC42" s="5">
        <f>IFERROR(INDEX('Input 3.1_2019VOL-YTD'!$C$4:$N$300, MATCH($C42,'Input 3.1_2019VOL-YTD'!$R$4:$R$300,0),MATCH(AC$2,'Input 3.1_2019VOL-YTD'!$C$1:$N$1,0))/INDEX('Input 3_2019CUST-YTD'!$C$4:$N$300,MATCH($C42,'Input 3_2019CUST-YTD'!$S$4:$S$300,0),MATCH(AC$2,'Input 3_2019CUST-YTD'!$C$1:$N$1,0)),0)</f>
        <v>16.818181818181817</v>
      </c>
      <c r="AD42" s="5">
        <f>IFERROR(INDEX('Input 3.1_2019VOL-YTD'!$C$4:$N$300, MATCH($C42,'Input 3.1_2019VOL-YTD'!$R$4:$R$300,0),MATCH(AD$2,'Input 3.1_2019VOL-YTD'!$C$1:$N$1,0))/INDEX('Input 3_2019CUST-YTD'!$C$4:$N$300,MATCH($C42,'Input 3_2019CUST-YTD'!$S$4:$S$300,0),MATCH(AD$2,'Input 3_2019CUST-YTD'!$C$1:$N$1,0)),0)</f>
        <v>17.328529411764706</v>
      </c>
      <c r="AE42" s="272">
        <f t="shared" si="12"/>
        <v>129.8465625</v>
      </c>
      <c r="AF42" s="261">
        <f t="shared" si="13"/>
        <v>2</v>
      </c>
      <c r="AH42" s="262">
        <f>IFERROR(INDEX('Input 4.1_2020VOL-YTD'!$C$4:$O$300, MATCH($C42,'Input 4.1_2020VOL-YTD'!$R$4:$R$300,0),MATCH(AH$2,'Input 4.1_2020VOL-YTD'!$C$1:$O$1,0))/INDEX('Input 4_2020CUST-YTD'!$C$4:O$300,MATCH($C42,'Input 4_2020CUST-YTD'!$S$4:$S$300,0),MATCH(AH$2,'Input 4_2020CUST-YTD'!$C$1:$O$1,0)),0)</f>
        <v>14.698378378378379</v>
      </c>
      <c r="AI42" s="262">
        <f>IFERROR(INDEX('Input 4.1_2020VOL-YTD'!$C$4:$O$300, MATCH($C42,'Input 4.1_2020VOL-YTD'!$R$4:$R$300,0),MATCH(AI$2,'Input 4.1_2020VOL-YTD'!$C$1:$O$1,0))/INDEX('Input 4_2020CUST-YTD'!$C$4:P$300,MATCH($C42,'Input 4_2020CUST-YTD'!$S$4:$S$300,0),MATCH(AI$2,'Input 4_2020CUST-YTD'!$C$1:$O$1,0)),0)</f>
        <v>13.718333333333334</v>
      </c>
      <c r="AJ42" s="262">
        <f>IFERROR(INDEX('Input 4.1_2020VOL-YTD'!$C$4:$O$300, MATCH($C42,'Input 4.1_2020VOL-YTD'!$R$4:$R$300,0),MATCH(AJ$2,'Input 4.1_2020VOL-YTD'!$C$1:$O$1,0))/INDEX('Input 4_2020CUST-YTD'!$C$4:Q$300,MATCH($C42,'Input 4_2020CUST-YTD'!$S$4:$S$300,0),MATCH(AJ$2,'Input 4_2020CUST-YTD'!$C$1:$O$1,0)),0)</f>
        <v>12.481351351351352</v>
      </c>
      <c r="AK42" s="262">
        <f>IFERROR(INDEX('Input 4.1_2020VOL-YTD'!$C$4:$O$300, MATCH($C42,'Input 4.1_2020VOL-YTD'!$R$4:$R$300,0),MATCH(AK$2,'Input 4.1_2020VOL-YTD'!$C$1:$O$1,0))/INDEX('Input 4_2020CUST-YTD'!$C$4:R$300,MATCH($C42,'Input 4_2020CUST-YTD'!$S$4:$S$300,0),MATCH(AK$2,'Input 4_2020CUST-YTD'!$C$1:$O$1,0)),0)</f>
        <v>8.4968421052631573</v>
      </c>
      <c r="AL42" s="262">
        <f>IFERROR(INDEX('Input 4.1_2020VOL-YTD'!$C$4:$O$300, MATCH($C42,'Input 4.1_2020VOL-YTD'!$R$4:$R$300,0),MATCH(AL$2,'Input 4.1_2020VOL-YTD'!$C$1:$O$1,0))/INDEX('Input 4_2020CUST-YTD'!$C$4:S$300,MATCH($C42,'Input 4_2020CUST-YTD'!$S$4:$S$300,0),MATCH(AL$2,'Input 4_2020CUST-YTD'!$C$1:$O$1,0)),0)</f>
        <v>8.4763157894736842</v>
      </c>
      <c r="AM42" s="262">
        <f>IFERROR(INDEX('Input 4.1_2020VOL-YTD'!$C$4:$O$300, MATCH($C42,'Input 4.1_2020VOL-YTD'!$R$4:$R$300,0),MATCH(AM$2,'Input 4.1_2020VOL-YTD'!$C$1:$O$1,0))/INDEX('Input 4_2020CUST-YTD'!$C$4:T$300,MATCH($C42,'Input 4_2020CUST-YTD'!$S$4:$S$300,0),MATCH(AM$2,'Input 4_2020CUST-YTD'!$C$1:$O$1,0)),0)</f>
        <v>12.823500000000001</v>
      </c>
      <c r="AN42" s="262">
        <f>IFERROR(INDEX('Input 4.1_2020VOL-YTD'!$C$4:$O$300, MATCH($C42,'Input 4.1_2020VOL-YTD'!$R$4:$R$300,0),MATCH(AN$2,'Input 4.1_2020VOL-YTD'!$C$1:$O$1,0))/INDEX('Input 4_2020CUST-YTD'!$C$4:U$300,MATCH($C42,'Input 4_2020CUST-YTD'!$S$4:$S$300,0),MATCH(AN$2,'Input 4_2020CUST-YTD'!$C$1:$O$1,0)),0)</f>
        <v>13.232682926829268</v>
      </c>
      <c r="AO42" s="262">
        <f>IFERROR(INDEX('Input 4.1_2020VOL-YTD'!$C$4:$O$300, MATCH($C42,'Input 4.1_2020VOL-YTD'!$R$4:$R$300,0),MATCH(AO$2,'Input 4.1_2020VOL-YTD'!$C$1:$O$1,0))/INDEX('Input 4_2020CUST-YTD'!$C$4:V$300,MATCH($C42,'Input 4_2020CUST-YTD'!$S$4:$S$300,0),MATCH(AO$2,'Input 4_2020CUST-YTD'!$C$1:$O$1,0)),0)</f>
        <v>14.865</v>
      </c>
      <c r="AP42" s="262">
        <f>IFERROR(INDEX('Input 4.1_2020VOL-YTD'!$C$4:$O$300, MATCH($C42,'Input 4.1_2020VOL-YTD'!$R$4:$R$300,0),MATCH(AP$2,'Input 4.1_2020VOL-YTD'!$C$1:$O$1,0))/INDEX('Input 4_2020CUST-YTD'!$C$4:W$300,MATCH($C42,'Input 4_2020CUST-YTD'!$S$4:$S$300,0),MATCH(AP$2,'Input 4_2020CUST-YTD'!$C$1:$O$1,0)),0)</f>
        <v>13.365581395348839</v>
      </c>
      <c r="AQ42" s="262">
        <f>IFERROR(INDEX('Input 4.1_2020VOL-YTD'!$C$4:$O$300, MATCH($C42,'Input 4.1_2020VOL-YTD'!$R$4:$R$300,0),MATCH(AQ$2,'Input 4.1_2020VOL-YTD'!$C$1:$O$1,0))/INDEX('Input 4_2020CUST-YTD'!$C$4:X$300,MATCH($C42,'Input 4_2020CUST-YTD'!$S$4:$S$300,0),MATCH(AQ$2,'Input 4_2020CUST-YTD'!$C$1:$O$1,0)),0)</f>
        <v>11.558571428571428</v>
      </c>
      <c r="AR42" s="262">
        <f>IFERROR(INDEX('Input 4.1_2020VOL-YTD'!$C$4:$O$300, MATCH($C42,'Input 4.1_2020VOL-YTD'!$R$4:$R$300,0),MATCH(AR$2,'Input 4.1_2020VOL-YTD'!$C$1:$O$1,0))/INDEX('Input 4_2020CUST-YTD'!$C$4:Y$300,MATCH($C42,'Input 4_2020CUST-YTD'!$S$4:$S$300,0),MATCH(AR$2,'Input 4_2020CUST-YTD'!$C$1:$O$1,0)),0)</f>
        <v>13.014418604651162</v>
      </c>
      <c r="AS42" s="262">
        <f>IFERROR(INDEX('Input 4.1_2020VOL-YTD'!$C$4:$O$300, MATCH($C42,'Input 4.1_2020VOL-YTD'!$R$4:$R$300,0),MATCH(AS$2,'Input 4.1_2020VOL-YTD'!$C$1:$O$1,0))/INDEX('Input 4_2020CUST-YTD'!$C$4:Z$300,MATCH($C42,'Input 4_2020CUST-YTD'!$S$4:$S$300,0),MATCH(AS$2,'Input 4_2020CUST-YTD'!$C$1:$O$1,0)),0)</f>
        <v>17.197209302325582</v>
      </c>
      <c r="AT42" s="190">
        <f t="shared" si="10"/>
        <v>17.197209302325582</v>
      </c>
      <c r="AU42" s="261">
        <f t="shared" si="11"/>
        <v>12</v>
      </c>
      <c r="AW42" s="1">
        <f>IFERROR(INDEX('Input 5.1_2021VOL-YTD'!$C$3:$N$150, MATCH($C42,'Input 5.1_2021VOL-YTD'!$R$3:$R$150,0),MATCH(AW$2,'Input 5.1_2021VOL-YTD'!$C$1:$N$1,0))/INDEX('Input 5_2021CUST-YTD'!$C$3:$N$150,MATCH($C42,'Input 5_2021CUST-YTD'!$S$3:$S$150,0),MATCH(AW$2,'Input 5_2021CUST-YTD'!$C$1:$N$1,0)),0)</f>
        <v>15.640465116279069</v>
      </c>
      <c r="AX42" s="1">
        <f>IFERROR(INDEX('Input 5.1_2021VOL-YTD'!$C$3:$N$150, MATCH($C42,'Input 5.1_2021VOL-YTD'!$R$3:$R$150,0),MATCH(AX$2,'Input 5.1_2021VOL-YTD'!$C$1:$N$1,0))/INDEX('Input 5_2021CUST-YTD'!$C$3:$N$150,MATCH($C42,'Input 5_2021CUST-YTD'!$S$3:$S$150,0),MATCH(AX$2,'Input 5_2021CUST-YTD'!$C$1:$N$1,0)),0)</f>
        <v>13.613255813953488</v>
      </c>
      <c r="AY42" s="1">
        <f>IFERROR(INDEX('Input 5.1_2021VOL-YTD'!$C$3:$N$150, MATCH($C42,'Input 5.1_2021VOL-YTD'!$R$3:$R$150,0),MATCH(AY$2,'Input 5.1_2021VOL-YTD'!$C$1:$N$1,0))/INDEX('Input 5_2021CUST-YTD'!$C$3:$N$150,MATCH($C42,'Input 5_2021CUST-YTD'!$S$3:$S$150,0),MATCH(AY$2,'Input 5_2021CUST-YTD'!$C$1:$N$1,0)),0)</f>
        <v>12.362500000000001</v>
      </c>
      <c r="AZ42" s="1">
        <f>IFERROR(INDEX('Input 5.1_2021VOL-YTD'!$C$3:$N$150, MATCH($C42,'Input 5.1_2021VOL-YTD'!$R$3:$R$150,0),MATCH(AZ$2,'Input 5.1_2021VOL-YTD'!$C$1:$N$1,0))/INDEX('Input 5_2021CUST-YTD'!$C$3:$N$150,MATCH($C42,'Input 5_2021CUST-YTD'!$S$3:$S$150,0),MATCH(AZ$2,'Input 5_2021CUST-YTD'!$C$1:$N$1,0)),0)</f>
        <v>14.676444444444446</v>
      </c>
      <c r="BA42" s="1">
        <f>IFERROR(INDEX('Input 5.1_2021VOL-YTD'!$C$3:$N$150, MATCH($C42,'Input 5.1_2021VOL-YTD'!$R$3:$R$150,0),MATCH(BA$2,'Input 5.1_2021VOL-YTD'!$C$1:$N$1,0))/INDEX('Input 5_2021CUST-YTD'!$C$3:$N$150,MATCH($C42,'Input 5_2021CUST-YTD'!$S$3:$S$150,0),MATCH(BA$2,'Input 5_2021CUST-YTD'!$C$1:$N$1,0)),0)</f>
        <v>11.046444444444443</v>
      </c>
      <c r="BB42" s="1">
        <f>IFERROR(INDEX('Input 5.1_2021VOL-YTD'!$C$3:$N$150, MATCH($C42,'Input 5.1_2021VOL-YTD'!$R$3:$R$150,0),MATCH(BB$2,'Input 5.1_2021VOL-YTD'!$C$1:$N$1,0))/INDEX('Input 5_2021CUST-YTD'!$C$3:$N$150,MATCH($C42,'Input 5_2021CUST-YTD'!$S$3:$S$150,0),MATCH(BB$2,'Input 5_2021CUST-YTD'!$C$1:$N$1,0)),0)</f>
        <v>11.972666666666667</v>
      </c>
      <c r="BC42" s="1">
        <f>IFERROR(INDEX('Input 5.1_2021VOL-YTD'!$C$3:$N$150, MATCH($C42,'Input 5.1_2021VOL-YTD'!$R$3:$R$150,0),MATCH(BC$2,'Input 5.1_2021VOL-YTD'!$C$1:$N$1,0))/INDEX('Input 5_2021CUST-YTD'!$C$3:$N$150,MATCH($C42,'Input 5_2021CUST-YTD'!$S$3:$S$150,0),MATCH(BC$2,'Input 5_2021CUST-YTD'!$C$1:$N$1,0)),0)</f>
        <v>12.186739130434784</v>
      </c>
      <c r="BD42" s="1">
        <f>IFERROR(INDEX('Input 5.1_2021VOL-YTD'!$C$3:$N$150, MATCH($C42,'Input 5.1_2021VOL-YTD'!$R$3:$R$150,0),MATCH(BD$2,'Input 5.1_2021VOL-YTD'!$C$1:$N$1,0))/INDEX('Input 5_2021CUST-YTD'!$C$3:$N$150,MATCH($C42,'Input 5_2021CUST-YTD'!$S$3:$S$150,0),MATCH(BD$2,'Input 5_2021CUST-YTD'!$C$1:$N$1,0)),0)</f>
        <v>12.888478260869565</v>
      </c>
      <c r="BE42" s="1">
        <f>IFERROR(INDEX('Input 5.1_2021VOL-YTD'!$C$3:$N$150, MATCH($C42,'Input 5.1_2021VOL-YTD'!$R$3:$R$150,0),MATCH(BE$2,'Input 5.1_2021VOL-YTD'!$C$1:$N$1,0))/INDEX('Input 5_2021CUST-YTD'!$C$3:$N$150,MATCH($C42,'Input 5_2021CUST-YTD'!$S$3:$S$150,0),MATCH(BE$2,'Input 5_2021CUST-YTD'!$C$1:$N$1,0)),0)</f>
        <v>13.460888888888888</v>
      </c>
      <c r="BF42" s="1">
        <f>IFERROR(INDEX('Input 5.1_2021VOL-YTD'!$C$3:$N$150, MATCH($C42,'Input 5.1_2021VOL-YTD'!$R$3:$R$150,0),MATCH(BF$2,'Input 5.1_2021VOL-YTD'!$C$1:$N$1,0))/INDEX('Input 5_2021CUST-YTD'!$C$3:$N$150,MATCH($C42,'Input 5_2021CUST-YTD'!$S$3:$S$150,0),MATCH(BF$2,'Input 5_2021CUST-YTD'!$C$1:$N$1,0)),0)</f>
        <v>11.860222222222223</v>
      </c>
      <c r="BG42" s="1">
        <f>IFERROR(INDEX('Input 5.1_2021VOL-YTD'!$C$3:$N$150, MATCH($C42,'Input 5.1_2021VOL-YTD'!$R$3:$R$150,0),MATCH(BG$2,'Input 5.1_2021VOL-YTD'!$C$1:$N$1,0))/INDEX('Input 5_2021CUST-YTD'!$C$3:$N$150,MATCH($C42,'Input 5_2021CUST-YTD'!$S$3:$S$150,0),MATCH(BG$2,'Input 5_2021CUST-YTD'!$C$1:$N$1,0)),0)</f>
        <v>12.252391304347826</v>
      </c>
      <c r="BH42" s="1">
        <f>IFERROR(INDEX('Input 5.1_2021VOL-YTD'!$C$3:$N$150, MATCH($C42,'Input 5.1_2021VOL-YTD'!$R$3:$R$150,0),MATCH(BH$2,'Input 5.1_2021VOL-YTD'!$C$1:$N$1,0))/INDEX('Input 5_2021CUST-YTD'!$C$3:$N$150,MATCH($C42,'Input 5_2021CUST-YTD'!$S$3:$S$150,0),MATCH(BH$2,'Input 5_2021CUST-YTD'!$C$1:$N$1,0)),0)</f>
        <v>17.542127659574469</v>
      </c>
      <c r="BI42" s="190">
        <f t="shared" si="7"/>
        <v>17.542127659574469</v>
      </c>
      <c r="BJ42" s="261">
        <f t="shared" si="8"/>
        <v>12</v>
      </c>
    </row>
    <row r="43" spans="1:62">
      <c r="A43" s="261" t="s">
        <v>1245</v>
      </c>
      <c r="B43" s="261" t="s">
        <v>17</v>
      </c>
      <c r="C43" s="261" t="s">
        <v>1388</v>
      </c>
      <c r="D43" s="5">
        <f>IFERROR(INDEX('Input 16.1_2018VOL-YTD'!$C$4:$N$300, MATCH($C43,'Input 16.1_2018VOL-YTD'!$R$4:$R$300,0),MATCH(D$2,'Input 16.1_2018VOL-YTD'!$C$1:$N$1,0))/INDEX('Input 16_2018CUST-YTD'!$D$4:$O$300,MATCH($C43,'Input 16_2018CUST-YTD'!$S$4:$S$300,0),MATCH(D$2,'Input 16_2018CUST-YTD'!$C$1:$O$1,0)),0)</f>
        <v>34.31182572614108</v>
      </c>
      <c r="E43" s="5">
        <f>IFERROR(INDEX('Input 16.1_2018VOL-YTD'!$C$4:$N$300, MATCH($C43,'Input 16.1_2018VOL-YTD'!$R$4:$R$300,0),MATCH(E$2,'Input 16.1_2018VOL-YTD'!$C$1:$N$1,0))/INDEX('Input 16_2018CUST-YTD'!$D$4:$O$300,MATCH($C43,'Input 16_2018CUST-YTD'!$S$4:$S$300,0),MATCH(E$2,'Input 16_2018CUST-YTD'!$C$1:$O$1,0)),0)</f>
        <v>26.697208333333332</v>
      </c>
      <c r="F43" s="5">
        <f>IFERROR(INDEX('Input 16.1_2018VOL-YTD'!$C$4:$N$300, MATCH($C43,'Input 16.1_2018VOL-YTD'!$R$4:$R$300,0),MATCH(F$2,'Input 16.1_2018VOL-YTD'!$C$1:$N$1,0))/INDEX('Input 16_2018CUST-YTD'!$D$4:$O$300,MATCH($C43,'Input 16_2018CUST-YTD'!$S$4:$S$300,0),MATCH(F$2,'Input 16_2018CUST-YTD'!$C$1:$O$1,0)),0)</f>
        <v>42.541308016877643</v>
      </c>
      <c r="G43" s="5">
        <f>IFERROR(INDEX('Input 16.1_2018VOL-YTD'!$C$4:$N$300, MATCH($C43,'Input 16.1_2018VOL-YTD'!$R$4:$R$300,0),MATCH(G$2,'Input 16.1_2018VOL-YTD'!$C$1:$N$1,0))/INDEX('Input 16_2018CUST-YTD'!$D$4:$O$300,MATCH($C43,'Input 16_2018CUST-YTD'!$S$4:$S$300,0),MATCH(G$2,'Input 16_2018CUST-YTD'!$C$1:$O$1,0)),0)</f>
        <v>19.821355932203389</v>
      </c>
      <c r="H43" s="5">
        <f>IFERROR(INDEX('Input 16.1_2018VOL-YTD'!$C$4:$N$300, MATCH($C43,'Input 16.1_2018VOL-YTD'!$R$4:$R$300,0),MATCH(H$2,'Input 16.1_2018VOL-YTD'!$C$1:$N$1,0))/INDEX('Input 16_2018CUST-YTD'!$D$4:$O$300,MATCH($C43,'Input 16_2018CUST-YTD'!$S$4:$S$300,0),MATCH(H$2,'Input 16_2018CUST-YTD'!$C$1:$O$1,0)),0)</f>
        <v>24.966851063829786</v>
      </c>
      <c r="I43" s="5">
        <f>IFERROR(INDEX('Input 16.1_2018VOL-YTD'!$C$4:$N$300, MATCH($C43,'Input 16.1_2018VOL-YTD'!$R$4:$R$300,0),MATCH(I$2,'Input 16.1_2018VOL-YTD'!$C$1:$N$1,0))/INDEX('Input 16_2018CUST-YTD'!$D$4:$O$300,MATCH($C43,'Input 16_2018CUST-YTD'!$S$4:$S$300,0),MATCH(I$2,'Input 16_2018CUST-YTD'!$C$1:$O$1,0)),0)</f>
        <v>17.533836206896552</v>
      </c>
      <c r="J43" s="5">
        <f>IFERROR(INDEX('Input 16.1_2018VOL-YTD'!$C$4:$N$300, MATCH($C43,'Input 16.1_2018VOL-YTD'!$R$4:$R$300,0),MATCH(J$2,'Input 16.1_2018VOL-YTD'!$C$1:$N$1,0))/INDEX('Input 16_2018CUST-YTD'!$D$4:$O$300,MATCH($C43,'Input 16_2018CUST-YTD'!$S$4:$S$300,0),MATCH(J$2,'Input 16_2018CUST-YTD'!$C$1:$O$1,0)),0)</f>
        <v>20.640692640692642</v>
      </c>
      <c r="K43" s="5">
        <f>IFERROR(INDEX('Input 16.1_2018VOL-YTD'!$C$4:$N$300, MATCH($C43,'Input 16.1_2018VOL-YTD'!$R$4:$R$300,0),MATCH(K$2,'Input 16.1_2018VOL-YTD'!$C$1:$N$1,0))/INDEX('Input 16_2018CUST-YTD'!$D$4:$O$300,MATCH($C43,'Input 16_2018CUST-YTD'!$S$4:$S$300,0),MATCH(K$2,'Input 16_2018CUST-YTD'!$C$1:$O$1,0)),0)</f>
        <v>11.754</v>
      </c>
      <c r="L43" s="5">
        <f>IFERROR(INDEX('Input 16.1_2018VOL-YTD'!$C$4:$N$300, MATCH($C43,'Input 16.1_2018VOL-YTD'!$R$4:$R$300,0),MATCH(L$2,'Input 16.1_2018VOL-YTD'!$C$1:$N$1,0))/INDEX('Input 16_2018CUST-YTD'!$D$4:$O$300,MATCH($C43,'Input 16_2018CUST-YTD'!$S$4:$S$300,0),MATCH(L$2,'Input 16_2018CUST-YTD'!$C$1:$O$1,0)),0)</f>
        <v>18.137304347826088</v>
      </c>
      <c r="M43" s="5">
        <f>IFERROR(INDEX('Input 16.1_2018VOL-YTD'!$C$4:$N$300, MATCH($C43,'Input 16.1_2018VOL-YTD'!$R$4:$R$300,0),MATCH(M$2,'Input 16.1_2018VOL-YTD'!$C$1:$N$1,0))/INDEX('Input 16_2018CUST-YTD'!$D$4:$O$300,MATCH($C43,'Input 16_2018CUST-YTD'!$S$4:$S$300,0),MATCH(M$2,'Input 16_2018CUST-YTD'!$C$1:$O$1,0)),0)</f>
        <v>16.314956521739131</v>
      </c>
      <c r="N43" s="5">
        <f>IFERROR(INDEX('Input 16.1_2018VOL-YTD'!$C$4:$N$300, MATCH($C43,'Input 16.1_2018VOL-YTD'!$R$4:$R$300,0),MATCH(N$2,'Input 16.1_2018VOL-YTD'!$C$1:$N$1,0))/INDEX('Input 16_2018CUST-YTD'!$D$4:$O$300,MATCH($C43,'Input 16_2018CUST-YTD'!$S$4:$S$300,0),MATCH(N$2,'Input 16_2018CUST-YTD'!$C$1:$O$1,0)),0)</f>
        <v>16.722081632653062</v>
      </c>
      <c r="O43" s="5">
        <f>IFERROR(INDEX('Input 16.1_2018VOL-YTD'!$C$4:$N$300, MATCH($C43,'Input 16.1_2018VOL-YTD'!$R$4:$R$300,0),MATCH(O$2,'Input 16.1_2018VOL-YTD'!$C$1:$N$1,0))/INDEX('Input 16_2018CUST-YTD'!$D$4:$O$300,MATCH($C43,'Input 16_2018CUST-YTD'!$S$4:$S$300,0),MATCH(O$2,'Input 16_2018CUST-YTD'!$C$1:$O$1,0)),0)</f>
        <v>23.386341463414634</v>
      </c>
      <c r="P43" s="271">
        <f t="shared" si="1"/>
        <v>42.541308016877643</v>
      </c>
      <c r="Q43" s="261">
        <f t="shared" si="2"/>
        <v>3</v>
      </c>
      <c r="S43" s="5">
        <f>IFERROR(INDEX('Input 3.1_2019VOL-YTD'!$C$4:$N$300, MATCH($C43,'Input 3.1_2019VOL-YTD'!$R$4:$R$300,0),MATCH(S$2,'Input 3.1_2019VOL-YTD'!$C$1:$N$1,0))/INDEX('Input 3_2019CUST-YTD'!$C$4:$N$300,MATCH($C43,'Input 3_2019CUST-YTD'!$S$4:$S$300,0),MATCH(S$2,'Input 3_2019CUST-YTD'!$C$1:$N$1,0)),0)</f>
        <v>22.155695652173957</v>
      </c>
      <c r="T43" s="5">
        <f>IFERROR(INDEX('Input 3.1_2019VOL-YTD'!$C$4:$N$300, MATCH($C43,'Input 3.1_2019VOL-YTD'!$R$4:$R$300,0),MATCH(T$2,'Input 3.1_2019VOL-YTD'!$C$1:$N$1,0))/INDEX('Input 3_2019CUST-YTD'!$C$4:$N$300,MATCH($C43,'Input 3_2019CUST-YTD'!$S$4:$S$300,0),MATCH(T$2,'Input 3_2019CUST-YTD'!$C$1:$N$1,0)),0)</f>
        <v>23.555131578947368</v>
      </c>
      <c r="U43" s="5">
        <f>IFERROR(INDEX('Input 3.1_2019VOL-YTD'!$C$4:$N$300, MATCH($C43,'Input 3.1_2019VOL-YTD'!$R$4:$R$300,0),MATCH(U$2,'Input 3.1_2019VOL-YTD'!$C$1:$N$1,0))/INDEX('Input 3_2019CUST-YTD'!$C$4:$N$300,MATCH($C43,'Input 3_2019CUST-YTD'!$S$4:$S$300,0),MATCH(U$2,'Input 3_2019CUST-YTD'!$C$1:$N$1,0)),0)</f>
        <v>18.737368421052633</v>
      </c>
      <c r="V43" s="5">
        <f>IFERROR(INDEX('Input 3.1_2019VOL-YTD'!$C$4:$N$300, MATCH($C43,'Input 3.1_2019VOL-YTD'!$R$4:$R$300,0),MATCH(V$2,'Input 3.1_2019VOL-YTD'!$C$1:$N$1,0))/INDEX('Input 3_2019CUST-YTD'!$C$4:$N$300,MATCH($C43,'Input 3_2019CUST-YTD'!$S$4:$S$300,0),MATCH(V$2,'Input 3_2019CUST-YTD'!$C$1:$N$1,0)),0)</f>
        <v>20.767619047619046</v>
      </c>
      <c r="W43" s="5">
        <f>IFERROR(INDEX('Input 3.1_2019VOL-YTD'!$C$4:$N$300, MATCH($C43,'Input 3.1_2019VOL-YTD'!$R$4:$R$300,0),MATCH(W$2,'Input 3.1_2019VOL-YTD'!$C$1:$N$1,0))/INDEX('Input 3_2019CUST-YTD'!$C$4:$N$300,MATCH($C43,'Input 3_2019CUST-YTD'!$S$4:$S$300,0),MATCH(W$2,'Input 3_2019CUST-YTD'!$C$1:$N$1,0)),0)</f>
        <v>26.398441558441558</v>
      </c>
      <c r="X43" s="5">
        <f>IFERROR(INDEX('Input 3.1_2019VOL-YTD'!$C$4:$N$300, MATCH($C43,'Input 3.1_2019VOL-YTD'!$R$4:$R$300,0),MATCH(X$2,'Input 3.1_2019VOL-YTD'!$C$1:$N$1,0))/INDEX('Input 3_2019CUST-YTD'!$C$4:$N$300,MATCH($C43,'Input 3_2019CUST-YTD'!$S$4:$S$300,0),MATCH(X$2,'Input 3_2019CUST-YTD'!$C$1:$N$1,0)),0)</f>
        <v>16.78943722943723</v>
      </c>
      <c r="Y43" s="5">
        <f>IFERROR(INDEX('Input 3.1_2019VOL-YTD'!$C$4:$N$300, MATCH($C43,'Input 3.1_2019VOL-YTD'!$R$4:$R$300,0),MATCH(Y$2,'Input 3.1_2019VOL-YTD'!$C$1:$N$1,0))/INDEX('Input 3_2019CUST-YTD'!$C$4:$N$300,MATCH($C43,'Input 3_2019CUST-YTD'!$S$4:$S$300,0),MATCH(Y$2,'Input 3_2019CUST-YTD'!$C$1:$N$1,0)),0)</f>
        <v>14.116926406926408</v>
      </c>
      <c r="Z43" s="5">
        <f>IFERROR(INDEX('Input 3.1_2019VOL-YTD'!$C$4:$N$300, MATCH($C43,'Input 3.1_2019VOL-YTD'!$R$4:$R$300,0),MATCH(Z$2,'Input 3.1_2019VOL-YTD'!$C$1:$N$1,0))/INDEX('Input 3_2019CUST-YTD'!$C$4:$N$300,MATCH($C43,'Input 3_2019CUST-YTD'!$S$4:$S$300,0),MATCH(Z$2,'Input 3_2019CUST-YTD'!$C$1:$N$1,0)),0)</f>
        <v>16.691379310344828</v>
      </c>
      <c r="AA43" s="5">
        <f>IFERROR(INDEX('Input 3.1_2019VOL-YTD'!$C$4:$N$300, MATCH($C43,'Input 3.1_2019VOL-YTD'!$R$4:$R$300,0),MATCH(AA$2,'Input 3.1_2019VOL-YTD'!$C$1:$N$1,0))/INDEX('Input 3_2019CUST-YTD'!$C$4:$N$300,MATCH($C43,'Input 3_2019CUST-YTD'!$S$4:$S$300,0),MATCH(AA$2,'Input 3_2019CUST-YTD'!$C$1:$N$1,0)),0)</f>
        <v>16.083905579399143</v>
      </c>
      <c r="AB43" s="5">
        <f>IFERROR(INDEX('Input 3.1_2019VOL-YTD'!$C$4:$N$300, MATCH($C43,'Input 3.1_2019VOL-YTD'!$R$4:$R$300,0),MATCH(AB$2,'Input 3.1_2019VOL-YTD'!$C$1:$N$1,0))/INDEX('Input 3_2019CUST-YTD'!$C$4:$N$300,MATCH($C43,'Input 3_2019CUST-YTD'!$S$4:$S$300,0),MATCH(AB$2,'Input 3_2019CUST-YTD'!$C$1:$N$1,0)),0)</f>
        <v>15.337991266375546</v>
      </c>
      <c r="AC43" s="5">
        <f>IFERROR(INDEX('Input 3.1_2019VOL-YTD'!$C$4:$N$300, MATCH($C43,'Input 3.1_2019VOL-YTD'!$R$4:$R$300,0),MATCH(AC$2,'Input 3.1_2019VOL-YTD'!$C$1:$N$1,0))/INDEX('Input 3_2019CUST-YTD'!$C$4:$N$300,MATCH($C43,'Input 3_2019CUST-YTD'!$S$4:$S$300,0),MATCH(AC$2,'Input 3_2019CUST-YTD'!$C$1:$N$1,0)),0)</f>
        <v>21.580704845814978</v>
      </c>
      <c r="AD43" s="5">
        <f>IFERROR(INDEX('Input 3.1_2019VOL-YTD'!$C$4:$N$300, MATCH($C43,'Input 3.1_2019VOL-YTD'!$R$4:$R$300,0),MATCH(AD$2,'Input 3.1_2019VOL-YTD'!$C$1:$N$1,0))/INDEX('Input 3_2019CUST-YTD'!$C$4:$N$300,MATCH($C43,'Input 3_2019CUST-YTD'!$S$4:$S$300,0),MATCH(AD$2,'Input 3_2019CUST-YTD'!$C$1:$N$1,0)),0)</f>
        <v>22.899301310043665</v>
      </c>
      <c r="AE43" s="272">
        <f t="shared" si="12"/>
        <v>26.398441558441558</v>
      </c>
      <c r="AF43" s="261">
        <f t="shared" si="13"/>
        <v>5</v>
      </c>
      <c r="AH43" s="262">
        <f>IFERROR(INDEX('Input 4.1_2020VOL-YTD'!$C$4:$O$300, MATCH($C43,'Input 4.1_2020VOL-YTD'!$R$4:$R$300,0),MATCH(AH$2,'Input 4.1_2020VOL-YTD'!$C$1:$O$1,0))/INDEX('Input 4_2020CUST-YTD'!$C$4:O$300,MATCH($C43,'Input 4_2020CUST-YTD'!$S$4:$S$300,0),MATCH(AH$2,'Input 4_2020CUST-YTD'!$C$1:$O$1,0)),0)</f>
        <v>25.89182608695652</v>
      </c>
      <c r="AI43" s="262">
        <f>IFERROR(INDEX('Input 4.1_2020VOL-YTD'!$C$4:$O$300, MATCH($C43,'Input 4.1_2020VOL-YTD'!$R$4:$R$300,0),MATCH(AI$2,'Input 4.1_2020VOL-YTD'!$C$1:$O$1,0))/INDEX('Input 4_2020CUST-YTD'!$C$4:P$300,MATCH($C43,'Input 4_2020CUST-YTD'!$S$4:$S$300,0),MATCH(AI$2,'Input 4_2020CUST-YTD'!$C$1:$O$1,0)),0)</f>
        <v>20.048391304347827</v>
      </c>
      <c r="AJ43" s="262">
        <f>IFERROR(INDEX('Input 4.1_2020VOL-YTD'!$C$4:$O$300, MATCH($C43,'Input 4.1_2020VOL-YTD'!$R$4:$R$300,0),MATCH(AJ$2,'Input 4.1_2020VOL-YTD'!$C$1:$O$1,0))/INDEX('Input 4_2020CUST-YTD'!$C$4:Q$300,MATCH($C43,'Input 4_2020CUST-YTD'!$S$4:$S$300,0),MATCH(AJ$2,'Input 4_2020CUST-YTD'!$C$1:$O$1,0)),0)</f>
        <v>24.34987012987013</v>
      </c>
      <c r="AK43" s="262">
        <f>IFERROR(INDEX('Input 4.1_2020VOL-YTD'!$C$4:$O$300, MATCH($C43,'Input 4.1_2020VOL-YTD'!$R$4:$R$300,0),MATCH(AK$2,'Input 4.1_2020VOL-YTD'!$C$1:$O$1,0))/INDEX('Input 4_2020CUST-YTD'!$C$4:R$300,MATCH($C43,'Input 4_2020CUST-YTD'!$S$4:$S$300,0),MATCH(AK$2,'Input 4_2020CUST-YTD'!$C$1:$O$1,0)),0)</f>
        <v>14.246724890829695</v>
      </c>
      <c r="AL43" s="262">
        <f>IFERROR(INDEX('Input 4.1_2020VOL-YTD'!$C$4:$O$300, MATCH($C43,'Input 4.1_2020VOL-YTD'!$R$4:$R$300,0),MATCH(AL$2,'Input 4.1_2020VOL-YTD'!$C$1:$O$1,0))/INDEX('Input 4_2020CUST-YTD'!$C$4:S$300,MATCH($C43,'Input 4_2020CUST-YTD'!$S$4:$S$300,0),MATCH(AL$2,'Input 4_2020CUST-YTD'!$C$1:$O$1,0)),0)</f>
        <v>20.613362445414847</v>
      </c>
      <c r="AM43" s="262">
        <f>IFERROR(INDEX('Input 4.1_2020VOL-YTD'!$C$4:$O$300, MATCH($C43,'Input 4.1_2020VOL-YTD'!$R$4:$R$300,0),MATCH(AM$2,'Input 4.1_2020VOL-YTD'!$C$1:$O$1,0))/INDEX('Input 4_2020CUST-YTD'!$C$4:T$300,MATCH($C43,'Input 4_2020CUST-YTD'!$S$4:$S$300,0),MATCH(AM$2,'Input 4_2020CUST-YTD'!$C$1:$O$1,0)),0)</f>
        <v>12.395198237885463</v>
      </c>
      <c r="AN43" s="262">
        <f>IFERROR(INDEX('Input 4.1_2020VOL-YTD'!$C$4:$O$300, MATCH($C43,'Input 4.1_2020VOL-YTD'!$R$4:$R$300,0),MATCH(AN$2,'Input 4.1_2020VOL-YTD'!$C$1:$O$1,0))/INDEX('Input 4_2020CUST-YTD'!$C$4:U$300,MATCH($C43,'Input 4_2020CUST-YTD'!$S$4:$S$300,0),MATCH(AN$2,'Input 4_2020CUST-YTD'!$C$1:$O$1,0)),0)</f>
        <v>16.787066666666668</v>
      </c>
      <c r="AO43" s="262">
        <f>IFERROR(INDEX('Input 4.1_2020VOL-YTD'!$C$4:$O$300, MATCH($C43,'Input 4.1_2020VOL-YTD'!$R$4:$R$300,0),MATCH(AO$2,'Input 4.1_2020VOL-YTD'!$C$1:$O$1,0))/INDEX('Input 4_2020CUST-YTD'!$C$4:V$300,MATCH($C43,'Input 4_2020CUST-YTD'!$S$4:$S$300,0),MATCH(AO$2,'Input 4_2020CUST-YTD'!$C$1:$O$1,0)),0)</f>
        <v>13.336725663716814</v>
      </c>
      <c r="AP43" s="262">
        <f>IFERROR(INDEX('Input 4.1_2020VOL-YTD'!$C$4:$O$300, MATCH($C43,'Input 4.1_2020VOL-YTD'!$R$4:$R$300,0),MATCH(AP$2,'Input 4.1_2020VOL-YTD'!$C$1:$O$1,0))/INDEX('Input 4_2020CUST-YTD'!$C$4:W$300,MATCH($C43,'Input 4_2020CUST-YTD'!$S$4:$S$300,0),MATCH(AP$2,'Input 4_2020CUST-YTD'!$C$1:$O$1,0)),0)</f>
        <v>13.144478260869565</v>
      </c>
      <c r="AQ43" s="262">
        <f>IFERROR(INDEX('Input 4.1_2020VOL-YTD'!$C$4:$O$300, MATCH($C43,'Input 4.1_2020VOL-YTD'!$R$4:$R$300,0),MATCH(AQ$2,'Input 4.1_2020VOL-YTD'!$C$1:$O$1,0))/INDEX('Input 4_2020CUST-YTD'!$C$4:X$300,MATCH($C43,'Input 4_2020CUST-YTD'!$S$4:$S$300,0),MATCH(AQ$2,'Input 4_2020CUST-YTD'!$C$1:$O$1,0)),0)</f>
        <v>12.971397379912663</v>
      </c>
      <c r="AR43" s="262">
        <f>IFERROR(INDEX('Input 4.1_2020VOL-YTD'!$C$4:$O$300, MATCH($C43,'Input 4.1_2020VOL-YTD'!$R$4:$R$300,0),MATCH(AR$2,'Input 4.1_2020VOL-YTD'!$C$1:$O$1,0))/INDEX('Input 4_2020CUST-YTD'!$C$4:Y$300,MATCH($C43,'Input 4_2020CUST-YTD'!$S$4:$S$300,0),MATCH(AR$2,'Input 4_2020CUST-YTD'!$C$1:$O$1,0)),0)</f>
        <v>14.759166666666667</v>
      </c>
      <c r="AS43" s="262">
        <f>IFERROR(INDEX('Input 4.1_2020VOL-YTD'!$C$4:$O$300, MATCH($C43,'Input 4.1_2020VOL-YTD'!$R$4:$R$300,0),MATCH(AS$2,'Input 4.1_2020VOL-YTD'!$C$1:$O$1,0))/INDEX('Input 4_2020CUST-YTD'!$C$4:Z$300,MATCH($C43,'Input 4_2020CUST-YTD'!$S$4:$S$300,0),MATCH(AS$2,'Input 4_2020CUST-YTD'!$C$1:$O$1,0)),0)</f>
        <v>28.924229074889869</v>
      </c>
      <c r="AT43" s="190">
        <f t="shared" si="10"/>
        <v>28.924229074889869</v>
      </c>
      <c r="AU43" s="261">
        <f t="shared" si="11"/>
        <v>12</v>
      </c>
      <c r="AW43" s="1">
        <f>IFERROR(INDEX('Input 5.1_2021VOL-YTD'!$C$3:$N$150, MATCH($C43,'Input 5.1_2021VOL-YTD'!$R$3:$R$150,0),MATCH(AW$2,'Input 5.1_2021VOL-YTD'!$C$1:$N$1,0))/INDEX('Input 5_2021CUST-YTD'!$C$3:$N$150,MATCH($C43,'Input 5_2021CUST-YTD'!$S$3:$S$150,0),MATCH(AW$2,'Input 5_2021CUST-YTD'!$C$1:$N$1,0)),0)</f>
        <v>31.785565217391305</v>
      </c>
      <c r="AX43" s="1">
        <f>IFERROR(INDEX('Input 5.1_2021VOL-YTD'!$C$3:$N$150, MATCH($C43,'Input 5.1_2021VOL-YTD'!$R$3:$R$150,0),MATCH(AX$2,'Input 5.1_2021VOL-YTD'!$C$1:$N$1,0))/INDEX('Input 5_2021CUST-YTD'!$C$3:$N$150,MATCH($C43,'Input 5_2021CUST-YTD'!$S$3:$S$150,0),MATCH(AX$2,'Input 5_2021CUST-YTD'!$C$1:$N$1,0)),0)</f>
        <v>28.74184210526316</v>
      </c>
      <c r="AY43" s="1">
        <f>IFERROR(INDEX('Input 5.1_2021VOL-YTD'!$C$3:$N$150, MATCH($C43,'Input 5.1_2021VOL-YTD'!$R$3:$R$150,0),MATCH(AY$2,'Input 5.1_2021VOL-YTD'!$C$1:$N$1,0))/INDEX('Input 5_2021CUST-YTD'!$C$3:$N$150,MATCH($C43,'Input 5_2021CUST-YTD'!$S$3:$S$150,0),MATCH(AY$2,'Input 5_2021CUST-YTD'!$C$1:$N$1,0)),0)</f>
        <v>23.684517543859648</v>
      </c>
      <c r="AZ43" s="1">
        <f>IFERROR(INDEX('Input 5.1_2021VOL-YTD'!$C$3:$N$150, MATCH($C43,'Input 5.1_2021VOL-YTD'!$R$3:$R$150,0),MATCH(AZ$2,'Input 5.1_2021VOL-YTD'!$C$1:$N$1,0))/INDEX('Input 5_2021CUST-YTD'!$C$3:$N$150,MATCH($C43,'Input 5_2021CUST-YTD'!$S$3:$S$150,0),MATCH(AZ$2,'Input 5_2021CUST-YTD'!$C$1:$N$1,0)),0)</f>
        <v>23.910088105726874</v>
      </c>
      <c r="BA43" s="1">
        <f>IFERROR(INDEX('Input 5.1_2021VOL-YTD'!$C$3:$N$150, MATCH($C43,'Input 5.1_2021VOL-YTD'!$R$3:$R$150,0),MATCH(BA$2,'Input 5.1_2021VOL-YTD'!$C$1:$N$1,0))/INDEX('Input 5_2021CUST-YTD'!$C$3:$N$150,MATCH($C43,'Input 5_2021CUST-YTD'!$S$3:$S$150,0),MATCH(BA$2,'Input 5_2021CUST-YTD'!$C$1:$N$1,0)),0)</f>
        <v>17.280132158590309</v>
      </c>
      <c r="BB43" s="1">
        <f>IFERROR(INDEX('Input 5.1_2021VOL-YTD'!$C$3:$N$150, MATCH($C43,'Input 5.1_2021VOL-YTD'!$R$3:$R$150,0),MATCH(BB$2,'Input 5.1_2021VOL-YTD'!$C$1:$N$1,0))/INDEX('Input 5_2021CUST-YTD'!$C$3:$N$150,MATCH($C43,'Input 5_2021CUST-YTD'!$S$3:$S$150,0),MATCH(BB$2,'Input 5_2021CUST-YTD'!$C$1:$N$1,0)),0)</f>
        <v>16.863039647577093</v>
      </c>
      <c r="BC43" s="1">
        <f>IFERROR(INDEX('Input 5.1_2021VOL-YTD'!$C$3:$N$150, MATCH($C43,'Input 5.1_2021VOL-YTD'!$R$3:$R$150,0),MATCH(BC$2,'Input 5.1_2021VOL-YTD'!$C$1:$N$1,0))/INDEX('Input 5_2021CUST-YTD'!$C$3:$N$150,MATCH($C43,'Input 5_2021CUST-YTD'!$S$3:$S$150,0),MATCH(BC$2,'Input 5_2021CUST-YTD'!$C$1:$N$1,0)),0)</f>
        <v>16.9528</v>
      </c>
      <c r="BD43" s="1">
        <f>IFERROR(INDEX('Input 5.1_2021VOL-YTD'!$C$3:$N$150, MATCH($C43,'Input 5.1_2021VOL-YTD'!$R$3:$R$150,0),MATCH(BD$2,'Input 5.1_2021VOL-YTD'!$C$1:$N$1,0))/INDEX('Input 5_2021CUST-YTD'!$C$3:$N$150,MATCH($C43,'Input 5_2021CUST-YTD'!$S$3:$S$150,0),MATCH(BD$2,'Input 5_2021CUST-YTD'!$C$1:$N$1,0)),0)</f>
        <v>15.971061946902655</v>
      </c>
      <c r="BE43" s="1">
        <f>IFERROR(INDEX('Input 5.1_2021VOL-YTD'!$C$3:$N$150, MATCH($C43,'Input 5.1_2021VOL-YTD'!$R$3:$R$150,0),MATCH(BE$2,'Input 5.1_2021VOL-YTD'!$C$1:$N$1,0))/INDEX('Input 5_2021CUST-YTD'!$C$3:$N$150,MATCH($C43,'Input 5_2021CUST-YTD'!$S$3:$S$150,0),MATCH(BE$2,'Input 5_2021CUST-YTD'!$C$1:$N$1,0)),0)</f>
        <v>16.00556053811659</v>
      </c>
      <c r="BF43" s="1">
        <f>IFERROR(INDEX('Input 5.1_2021VOL-YTD'!$C$3:$N$150, MATCH($C43,'Input 5.1_2021VOL-YTD'!$R$3:$R$150,0),MATCH(BF$2,'Input 5.1_2021VOL-YTD'!$C$1:$N$1,0))/INDEX('Input 5_2021CUST-YTD'!$C$3:$N$150,MATCH($C43,'Input 5_2021CUST-YTD'!$S$3:$S$150,0),MATCH(BF$2,'Input 5_2021CUST-YTD'!$C$1:$N$1,0)),0)</f>
        <v>21.648198198198198</v>
      </c>
      <c r="BG43" s="1">
        <f>IFERROR(INDEX('Input 5.1_2021VOL-YTD'!$C$3:$N$150, MATCH($C43,'Input 5.1_2021VOL-YTD'!$R$3:$R$150,0),MATCH(BG$2,'Input 5.1_2021VOL-YTD'!$C$1:$N$1,0))/INDEX('Input 5_2021CUST-YTD'!$C$3:$N$150,MATCH($C43,'Input 5_2021CUST-YTD'!$S$3:$S$150,0),MATCH(BG$2,'Input 5_2021CUST-YTD'!$C$1:$N$1,0)),0)</f>
        <v>18.106946902654869</v>
      </c>
      <c r="BH43" s="1">
        <f>IFERROR(INDEX('Input 5.1_2021VOL-YTD'!$C$3:$N$150, MATCH($C43,'Input 5.1_2021VOL-YTD'!$R$3:$R$150,0),MATCH(BH$2,'Input 5.1_2021VOL-YTD'!$C$1:$N$1,0))/INDEX('Input 5_2021CUST-YTD'!$C$3:$N$150,MATCH($C43,'Input 5_2021CUST-YTD'!$S$3:$S$150,0),MATCH(BH$2,'Input 5_2021CUST-YTD'!$C$1:$N$1,0)),0)</f>
        <v>28.318475336322873</v>
      </c>
      <c r="BI43" s="190">
        <f t="shared" si="7"/>
        <v>31.785565217391305</v>
      </c>
      <c r="BJ43" s="261">
        <f t="shared" si="8"/>
        <v>1</v>
      </c>
    </row>
    <row r="44" spans="1:62">
      <c r="A44" s="261" t="s">
        <v>1245</v>
      </c>
      <c r="B44" s="261" t="s">
        <v>17</v>
      </c>
      <c r="C44" s="261" t="s">
        <v>78</v>
      </c>
      <c r="D44" s="5">
        <f>IFERROR(INDEX('Input 16.1_2018VOL-YTD'!$C$4:$N$300, MATCH($C44,'Input 16.1_2018VOL-YTD'!$R$4:$R$300,0),MATCH(D$2,'Input 16.1_2018VOL-YTD'!$C$1:$N$1,0))/INDEX('Input 16_2018CUST-YTD'!$D$4:$O$300,MATCH($C44,'Input 16_2018CUST-YTD'!$S$4:$S$300,0),MATCH(D$2,'Input 16_2018CUST-YTD'!$C$1:$O$1,0)),0)</f>
        <v>74012.785000000003</v>
      </c>
      <c r="E44" s="5">
        <f>IFERROR(INDEX('Input 16.1_2018VOL-YTD'!$C$4:$N$300, MATCH($C44,'Input 16.1_2018VOL-YTD'!$R$4:$R$300,0),MATCH(E$2,'Input 16.1_2018VOL-YTD'!$C$1:$N$1,0))/INDEX('Input 16_2018CUST-YTD'!$D$4:$O$300,MATCH($C44,'Input 16_2018CUST-YTD'!$S$4:$S$300,0),MATCH(E$2,'Input 16_2018CUST-YTD'!$C$1:$O$1,0)),0)</f>
        <v>60448.97</v>
      </c>
      <c r="F44" s="5">
        <f>IFERROR(INDEX('Input 16.1_2018VOL-YTD'!$C$4:$N$300, MATCH($C44,'Input 16.1_2018VOL-YTD'!$R$4:$R$300,0),MATCH(F$2,'Input 16.1_2018VOL-YTD'!$C$1:$N$1,0))/INDEX('Input 16_2018CUST-YTD'!$D$4:$O$300,MATCH($C44,'Input 16_2018CUST-YTD'!$S$4:$S$300,0),MATCH(F$2,'Input 16_2018CUST-YTD'!$C$1:$O$1,0)),0)</f>
        <v>42216.39</v>
      </c>
      <c r="G44" s="5">
        <f>IFERROR(INDEX('Input 16.1_2018VOL-YTD'!$C$4:$N$300, MATCH($C44,'Input 16.1_2018VOL-YTD'!$R$4:$R$300,0),MATCH(G$2,'Input 16.1_2018VOL-YTD'!$C$1:$N$1,0))/INDEX('Input 16_2018CUST-YTD'!$D$4:$O$300,MATCH($C44,'Input 16_2018CUST-YTD'!$S$4:$S$300,0),MATCH(G$2,'Input 16_2018CUST-YTD'!$C$1:$O$1,0)),0)</f>
        <v>66534.069999999992</v>
      </c>
      <c r="H44" s="5">
        <f>IFERROR(INDEX('Input 16.1_2018VOL-YTD'!$C$4:$N$300, MATCH($C44,'Input 16.1_2018VOL-YTD'!$R$4:$R$300,0),MATCH(H$2,'Input 16.1_2018VOL-YTD'!$C$1:$N$1,0))/INDEX('Input 16_2018CUST-YTD'!$D$4:$O$300,MATCH($C44,'Input 16_2018CUST-YTD'!$S$4:$S$300,0),MATCH(H$2,'Input 16_2018CUST-YTD'!$C$1:$O$1,0)),0)</f>
        <v>67636.259999999995</v>
      </c>
      <c r="I44" s="5">
        <f>IFERROR(INDEX('Input 16.1_2018VOL-YTD'!$C$4:$N$300, MATCH($C44,'Input 16.1_2018VOL-YTD'!$R$4:$R$300,0),MATCH(I$2,'Input 16.1_2018VOL-YTD'!$C$1:$N$1,0))/INDEX('Input 16_2018CUST-YTD'!$D$4:$O$300,MATCH($C44,'Input 16_2018CUST-YTD'!$S$4:$S$300,0),MATCH(I$2,'Input 16_2018CUST-YTD'!$C$1:$O$1,0)),0)</f>
        <v>61804.579999999994</v>
      </c>
      <c r="J44" s="5">
        <f>IFERROR(INDEX('Input 16.1_2018VOL-YTD'!$C$4:$N$300, MATCH($C44,'Input 16.1_2018VOL-YTD'!$R$4:$R$300,0),MATCH(J$2,'Input 16.1_2018VOL-YTD'!$C$1:$N$1,0))/INDEX('Input 16_2018CUST-YTD'!$D$4:$O$300,MATCH($C44,'Input 16_2018CUST-YTD'!$S$4:$S$300,0),MATCH(J$2,'Input 16_2018CUST-YTD'!$C$1:$O$1,0)),0)</f>
        <v>57593.276666666665</v>
      </c>
      <c r="K44" s="5">
        <f>IFERROR(INDEX('Input 16.1_2018VOL-YTD'!$C$4:$N$300, MATCH($C44,'Input 16.1_2018VOL-YTD'!$R$4:$R$300,0),MATCH(K$2,'Input 16.1_2018VOL-YTD'!$C$1:$N$1,0))/INDEX('Input 16_2018CUST-YTD'!$D$4:$O$300,MATCH($C44,'Input 16_2018CUST-YTD'!$S$4:$S$300,0),MATCH(K$2,'Input 16_2018CUST-YTD'!$C$1:$O$1,0)),0)</f>
        <v>65915.386666666673</v>
      </c>
      <c r="L44" s="5">
        <f>IFERROR(INDEX('Input 16.1_2018VOL-YTD'!$C$4:$N$300, MATCH($C44,'Input 16.1_2018VOL-YTD'!$R$4:$R$300,0),MATCH(L$2,'Input 16.1_2018VOL-YTD'!$C$1:$N$1,0))/INDEX('Input 16_2018CUST-YTD'!$D$4:$O$300,MATCH($C44,'Input 16_2018CUST-YTD'!$S$4:$S$300,0),MATCH(L$2,'Input 16_2018CUST-YTD'!$C$1:$O$1,0)),0)</f>
        <v>69315.773333333331</v>
      </c>
      <c r="M44" s="5">
        <f>IFERROR(INDEX('Input 16.1_2018VOL-YTD'!$C$4:$N$300, MATCH($C44,'Input 16.1_2018VOL-YTD'!$R$4:$R$300,0),MATCH(M$2,'Input 16.1_2018VOL-YTD'!$C$1:$N$1,0))/INDEX('Input 16_2018CUST-YTD'!$D$4:$O$300,MATCH($C44,'Input 16_2018CUST-YTD'!$S$4:$S$300,0),MATCH(M$2,'Input 16_2018CUST-YTD'!$C$1:$O$1,0)),0)</f>
        <v>75337.136666666673</v>
      </c>
      <c r="N44" s="5">
        <f>IFERROR(INDEX('Input 16.1_2018VOL-YTD'!$C$4:$N$300, MATCH($C44,'Input 16.1_2018VOL-YTD'!$R$4:$R$300,0),MATCH(N$2,'Input 16.1_2018VOL-YTD'!$C$1:$N$1,0))/INDEX('Input 16_2018CUST-YTD'!$D$4:$O$300,MATCH($C44,'Input 16_2018CUST-YTD'!$S$4:$S$300,0),MATCH(N$2,'Input 16_2018CUST-YTD'!$C$1:$O$1,0)),0)</f>
        <v>69724.3</v>
      </c>
      <c r="O44" s="5">
        <f>IFERROR(INDEX('Input 16.1_2018VOL-YTD'!$C$4:$N$300, MATCH($C44,'Input 16.1_2018VOL-YTD'!$R$4:$R$300,0),MATCH(O$2,'Input 16.1_2018VOL-YTD'!$C$1:$N$1,0))/INDEX('Input 16_2018CUST-YTD'!$D$4:$O$300,MATCH($C44,'Input 16_2018CUST-YTD'!$S$4:$S$300,0),MATCH(O$2,'Input 16_2018CUST-YTD'!$C$1:$O$1,0)),0)</f>
        <v>73679.781818181815</v>
      </c>
      <c r="P44" s="271">
        <f t="shared" si="1"/>
        <v>75337.136666666673</v>
      </c>
      <c r="Q44" s="261">
        <f t="shared" si="2"/>
        <v>10</v>
      </c>
      <c r="S44" s="5">
        <f>IFERROR(INDEX('Input 3.1_2019VOL-YTD'!$C$4:$N$300, MATCH($C44,'Input 3.1_2019VOL-YTD'!$R$4:$R$300,0),MATCH(S$2,'Input 3.1_2019VOL-YTD'!$C$1:$N$1,0))/INDEX('Input 3_2019CUST-YTD'!$C$4:$N$300,MATCH($C44,'Input 3_2019CUST-YTD'!$S$4:$S$300,0),MATCH(S$2,'Input 3_2019CUST-YTD'!$C$1:$N$1,0)),0)</f>
        <v>79867.31</v>
      </c>
      <c r="T44" s="5">
        <f>IFERROR(INDEX('Input 3.1_2019VOL-YTD'!$C$4:$N$300, MATCH($C44,'Input 3.1_2019VOL-YTD'!$R$4:$R$300,0),MATCH(T$2,'Input 3.1_2019VOL-YTD'!$C$1:$N$1,0))/INDEX('Input 3_2019CUST-YTD'!$C$4:$N$300,MATCH($C44,'Input 3_2019CUST-YTD'!$S$4:$S$300,0),MATCH(T$2,'Input 3_2019CUST-YTD'!$C$1:$N$1,0)),0)</f>
        <v>70120.69666666667</v>
      </c>
      <c r="U44" s="5">
        <f>IFERROR(INDEX('Input 3.1_2019VOL-YTD'!$C$4:$N$300, MATCH($C44,'Input 3.1_2019VOL-YTD'!$R$4:$R$300,0),MATCH(U$2,'Input 3.1_2019VOL-YTD'!$C$1:$N$1,0))/INDEX('Input 3_2019CUST-YTD'!$C$4:$N$300,MATCH($C44,'Input 3_2019CUST-YTD'!$S$4:$S$300,0),MATCH(U$2,'Input 3_2019CUST-YTD'!$C$1:$N$1,0)),0)</f>
        <v>78325.36</v>
      </c>
      <c r="V44" s="5">
        <f>IFERROR(INDEX('Input 3.1_2019VOL-YTD'!$C$4:$N$300, MATCH($C44,'Input 3.1_2019VOL-YTD'!$R$4:$R$300,0),MATCH(V$2,'Input 3.1_2019VOL-YTD'!$C$1:$N$1,0))/INDEX('Input 3_2019CUST-YTD'!$C$4:$N$300,MATCH($C44,'Input 3_2019CUST-YTD'!$S$4:$S$300,0),MATCH(V$2,'Input 3_2019CUST-YTD'!$C$1:$N$1,0)),0)</f>
        <v>76150.096666666665</v>
      </c>
      <c r="W44" s="5">
        <f>IFERROR(INDEX('Input 3.1_2019VOL-YTD'!$C$4:$N$300, MATCH($C44,'Input 3.1_2019VOL-YTD'!$R$4:$R$300,0),MATCH(W$2,'Input 3.1_2019VOL-YTD'!$C$1:$N$1,0))/INDEX('Input 3_2019CUST-YTD'!$C$4:$N$300,MATCH($C44,'Input 3_2019CUST-YTD'!$S$4:$S$300,0),MATCH(W$2,'Input 3_2019CUST-YTD'!$C$1:$N$1,0)),0)</f>
        <v>70650.693333333329</v>
      </c>
      <c r="X44" s="5">
        <f>IFERROR(INDEX('Input 3.1_2019VOL-YTD'!$C$4:$N$300, MATCH($C44,'Input 3.1_2019VOL-YTD'!$R$4:$R$300,0),MATCH(X$2,'Input 3.1_2019VOL-YTD'!$C$1:$N$1,0))/INDEX('Input 3_2019CUST-YTD'!$C$4:$N$300,MATCH($C44,'Input 3_2019CUST-YTD'!$S$4:$S$300,0),MATCH(X$2,'Input 3_2019CUST-YTD'!$C$1:$N$1,0)),0)</f>
        <v>62134.933333333327</v>
      </c>
      <c r="Y44" s="5">
        <f>IFERROR(INDEX('Input 3.1_2019VOL-YTD'!$C$4:$N$300, MATCH($C44,'Input 3.1_2019VOL-YTD'!$R$4:$R$300,0),MATCH(Y$2,'Input 3.1_2019VOL-YTD'!$C$1:$N$1,0))/INDEX('Input 3_2019CUST-YTD'!$C$4:$N$300,MATCH($C44,'Input 3_2019CUST-YTD'!$S$4:$S$300,0),MATCH(Y$2,'Input 3_2019CUST-YTD'!$C$1:$N$1,0)),0)</f>
        <v>52657.72</v>
      </c>
      <c r="Z44" s="5">
        <f>IFERROR(INDEX('Input 3.1_2019VOL-YTD'!$C$4:$N$300, MATCH($C44,'Input 3.1_2019VOL-YTD'!$R$4:$R$300,0),MATCH(Z$2,'Input 3.1_2019VOL-YTD'!$C$1:$N$1,0))/INDEX('Input 3_2019CUST-YTD'!$C$4:$N$300,MATCH($C44,'Input 3_2019CUST-YTD'!$S$4:$S$300,0),MATCH(Z$2,'Input 3_2019CUST-YTD'!$C$1:$N$1,0)),0)</f>
        <v>62306.136666666665</v>
      </c>
      <c r="AA44" s="5">
        <f>IFERROR(INDEX('Input 3.1_2019VOL-YTD'!$C$4:$N$300, MATCH($C44,'Input 3.1_2019VOL-YTD'!$R$4:$R$300,0),MATCH(AA$2,'Input 3.1_2019VOL-YTD'!$C$1:$N$1,0))/INDEX('Input 3_2019CUST-YTD'!$C$4:$N$300,MATCH($C44,'Input 3_2019CUST-YTD'!$S$4:$S$300,0),MATCH(AA$2,'Input 3_2019CUST-YTD'!$C$1:$N$1,0)),0)</f>
        <v>61433.390000000007</v>
      </c>
      <c r="AB44" s="5">
        <f>IFERROR(INDEX('Input 3.1_2019VOL-YTD'!$C$4:$N$300, MATCH($C44,'Input 3.1_2019VOL-YTD'!$R$4:$R$300,0),MATCH(AB$2,'Input 3.1_2019VOL-YTD'!$C$1:$N$1,0))/INDEX('Input 3_2019CUST-YTD'!$C$4:$N$300,MATCH($C44,'Input 3_2019CUST-YTD'!$S$4:$S$300,0),MATCH(AB$2,'Input 3_2019CUST-YTD'!$C$1:$N$1,0)),0)</f>
        <v>68642.080000000002</v>
      </c>
      <c r="AC44" s="5">
        <f>IFERROR(INDEX('Input 3.1_2019VOL-YTD'!$C$4:$N$300, MATCH($C44,'Input 3.1_2019VOL-YTD'!$R$4:$R$300,0),MATCH(AC$2,'Input 3.1_2019VOL-YTD'!$C$1:$N$1,0))/INDEX('Input 3_2019CUST-YTD'!$C$4:$N$300,MATCH($C44,'Input 3_2019CUST-YTD'!$S$4:$S$300,0),MATCH(AC$2,'Input 3_2019CUST-YTD'!$C$1:$N$1,0)),0)</f>
        <v>69385.133333333331</v>
      </c>
      <c r="AD44" s="5">
        <f>IFERROR(INDEX('Input 3.1_2019VOL-YTD'!$C$4:$N$300, MATCH($C44,'Input 3.1_2019VOL-YTD'!$R$4:$R$300,0),MATCH(AD$2,'Input 3.1_2019VOL-YTD'!$C$1:$N$1,0))/INDEX('Input 3_2019CUST-YTD'!$C$4:$N$300,MATCH($C44,'Input 3_2019CUST-YTD'!$S$4:$S$300,0),MATCH(AD$2,'Input 3_2019CUST-YTD'!$C$1:$N$1,0)),0)</f>
        <v>67138.22</v>
      </c>
      <c r="AE44" s="272">
        <f t="shared" si="12"/>
        <v>79867.31</v>
      </c>
      <c r="AF44" s="261">
        <f t="shared" si="13"/>
        <v>1</v>
      </c>
      <c r="AH44" s="262">
        <f>IFERROR(INDEX('Input 4.1_2020VOL-YTD'!$C$4:$O$300, MATCH($C44,'Input 4.1_2020VOL-YTD'!$R$4:$R$300,0),MATCH(AH$2,'Input 4.1_2020VOL-YTD'!$C$1:$O$1,0))/INDEX('Input 4_2020CUST-YTD'!$C$4:O$300,MATCH($C44,'Input 4_2020CUST-YTD'!$S$4:$S$300,0),MATCH(AH$2,'Input 4_2020CUST-YTD'!$C$1:$O$1,0)),0)</f>
        <v>73694.31</v>
      </c>
      <c r="AI44" s="262">
        <f>IFERROR(INDEX('Input 4.1_2020VOL-YTD'!$C$4:$O$300, MATCH($C44,'Input 4.1_2020VOL-YTD'!$R$4:$R$300,0),MATCH(AI$2,'Input 4.1_2020VOL-YTD'!$C$1:$O$1,0))/INDEX('Input 4_2020CUST-YTD'!$C$4:P$300,MATCH($C44,'Input 4_2020CUST-YTD'!$S$4:$S$300,0),MATCH(AI$2,'Input 4_2020CUST-YTD'!$C$1:$O$1,0)),0)</f>
        <v>70226.213333333333</v>
      </c>
      <c r="AJ44" s="262">
        <f>IFERROR(INDEX('Input 4.1_2020VOL-YTD'!$C$4:$O$300, MATCH($C44,'Input 4.1_2020VOL-YTD'!$R$4:$R$300,0),MATCH(AJ$2,'Input 4.1_2020VOL-YTD'!$C$1:$O$1,0))/INDEX('Input 4_2020CUST-YTD'!$C$4:Q$300,MATCH($C44,'Input 4_2020CUST-YTD'!$S$4:$S$300,0),MATCH(AJ$2,'Input 4_2020CUST-YTD'!$C$1:$O$1,0)),0)</f>
        <v>79421.683333333334</v>
      </c>
      <c r="AK44" s="262">
        <f>IFERROR(INDEX('Input 4.1_2020VOL-YTD'!$C$4:$O$300, MATCH($C44,'Input 4.1_2020VOL-YTD'!$R$4:$R$300,0),MATCH(AK$2,'Input 4.1_2020VOL-YTD'!$C$1:$O$1,0))/INDEX('Input 4_2020CUST-YTD'!$C$4:R$300,MATCH($C44,'Input 4_2020CUST-YTD'!$S$4:$S$300,0),MATCH(AK$2,'Input 4_2020CUST-YTD'!$C$1:$O$1,0)),0)</f>
        <v>75394.52</v>
      </c>
      <c r="AL44" s="262">
        <f>IFERROR(INDEX('Input 4.1_2020VOL-YTD'!$C$4:$O$300, MATCH($C44,'Input 4.1_2020VOL-YTD'!$R$4:$R$300,0),MATCH(AL$2,'Input 4.1_2020VOL-YTD'!$C$1:$O$1,0))/INDEX('Input 4_2020CUST-YTD'!$C$4:S$300,MATCH($C44,'Input 4_2020CUST-YTD'!$S$4:$S$300,0),MATCH(AL$2,'Input 4_2020CUST-YTD'!$C$1:$O$1,0)),0)</f>
        <v>70269.009999999995</v>
      </c>
      <c r="AM44" s="262">
        <f>IFERROR(INDEX('Input 4.1_2020VOL-YTD'!$C$4:$O$300, MATCH($C44,'Input 4.1_2020VOL-YTD'!$R$4:$R$300,0),MATCH(AM$2,'Input 4.1_2020VOL-YTD'!$C$1:$O$1,0))/INDEX('Input 4_2020CUST-YTD'!$C$4:T$300,MATCH($C44,'Input 4_2020CUST-YTD'!$S$4:$S$300,0),MATCH(AM$2,'Input 4_2020CUST-YTD'!$C$1:$O$1,0)),0)</f>
        <v>76840.960000000006</v>
      </c>
      <c r="AN44" s="262">
        <f>IFERROR(INDEX('Input 4.1_2020VOL-YTD'!$C$4:$O$300, MATCH($C44,'Input 4.1_2020VOL-YTD'!$R$4:$R$300,0),MATCH(AN$2,'Input 4.1_2020VOL-YTD'!$C$1:$O$1,0))/INDEX('Input 4_2020CUST-YTD'!$C$4:U$300,MATCH($C44,'Input 4_2020CUST-YTD'!$S$4:$S$300,0),MATCH(AN$2,'Input 4_2020CUST-YTD'!$C$1:$O$1,0)),0)</f>
        <v>77242.33666666667</v>
      </c>
      <c r="AO44" s="262">
        <f>IFERROR(INDEX('Input 4.1_2020VOL-YTD'!$C$4:$O$300, MATCH($C44,'Input 4.1_2020VOL-YTD'!$R$4:$R$300,0),MATCH(AO$2,'Input 4.1_2020VOL-YTD'!$C$1:$O$1,0))/INDEX('Input 4_2020CUST-YTD'!$C$4:V$300,MATCH($C44,'Input 4_2020CUST-YTD'!$S$4:$S$300,0),MATCH(AO$2,'Input 4_2020CUST-YTD'!$C$1:$O$1,0)),0)</f>
        <v>83403.823333333334</v>
      </c>
      <c r="AP44" s="262">
        <f>IFERROR(INDEX('Input 4.1_2020VOL-YTD'!$C$4:$O$300, MATCH($C44,'Input 4.1_2020VOL-YTD'!$R$4:$R$300,0),MATCH(AP$2,'Input 4.1_2020VOL-YTD'!$C$1:$O$1,0))/INDEX('Input 4_2020CUST-YTD'!$C$4:W$300,MATCH($C44,'Input 4_2020CUST-YTD'!$S$4:$S$300,0),MATCH(AP$2,'Input 4_2020CUST-YTD'!$C$1:$O$1,0)),0)</f>
        <v>75313.13</v>
      </c>
      <c r="AQ44" s="262">
        <f>IFERROR(INDEX('Input 4.1_2020VOL-YTD'!$C$4:$O$300, MATCH($C44,'Input 4.1_2020VOL-YTD'!$R$4:$R$300,0),MATCH(AQ$2,'Input 4.1_2020VOL-YTD'!$C$1:$O$1,0))/INDEX('Input 4_2020CUST-YTD'!$C$4:X$300,MATCH($C44,'Input 4_2020CUST-YTD'!$S$4:$S$300,0),MATCH(AQ$2,'Input 4_2020CUST-YTD'!$C$1:$O$1,0)),0)</f>
        <v>80078.460000000006</v>
      </c>
      <c r="AR44" s="262">
        <f>IFERROR(INDEX('Input 4.1_2020VOL-YTD'!$C$4:$O$300, MATCH($C44,'Input 4.1_2020VOL-YTD'!$R$4:$R$300,0),MATCH(AR$2,'Input 4.1_2020VOL-YTD'!$C$1:$O$1,0))/INDEX('Input 4_2020CUST-YTD'!$C$4:Y$300,MATCH($C44,'Input 4_2020CUST-YTD'!$S$4:$S$300,0),MATCH(AR$2,'Input 4_2020CUST-YTD'!$C$1:$O$1,0)),0)</f>
        <v>85970.08666666667</v>
      </c>
      <c r="AS44" s="262">
        <f>IFERROR(INDEX('Input 4.1_2020VOL-YTD'!$C$4:$O$300, MATCH($C44,'Input 4.1_2020VOL-YTD'!$R$4:$R$300,0),MATCH(AS$2,'Input 4.1_2020VOL-YTD'!$C$1:$O$1,0))/INDEX('Input 4_2020CUST-YTD'!$C$4:Z$300,MATCH($C44,'Input 4_2020CUST-YTD'!$S$4:$S$300,0),MATCH(AS$2,'Input 4_2020CUST-YTD'!$C$1:$O$1,0)),0)</f>
        <v>81729.28333333334</v>
      </c>
      <c r="AT44" s="190">
        <f t="shared" si="10"/>
        <v>85970.08666666667</v>
      </c>
      <c r="AU44" s="261">
        <f t="shared" si="11"/>
        <v>11</v>
      </c>
      <c r="AW44" s="1">
        <f>IFERROR(INDEX('Input 5.1_2021VOL-YTD'!$C$3:$N$150, MATCH($C44,'Input 5.1_2021VOL-YTD'!$R$3:$R$150,0),MATCH(AW$2,'Input 5.1_2021VOL-YTD'!$C$1:$N$1,0))/INDEX('Input 5_2021CUST-YTD'!$C$3:$N$150,MATCH($C44,'Input 5_2021CUST-YTD'!$S$3:$S$150,0),MATCH(AW$2,'Input 5_2021CUST-YTD'!$C$1:$N$1,0)),0)</f>
        <v>124432.52</v>
      </c>
      <c r="AX44" s="1">
        <f>IFERROR(INDEX('Input 5.1_2021VOL-YTD'!$C$3:$N$150, MATCH($C44,'Input 5.1_2021VOL-YTD'!$R$3:$R$150,0),MATCH(AX$2,'Input 5.1_2021VOL-YTD'!$C$1:$N$1,0))/INDEX('Input 5_2021CUST-YTD'!$C$3:$N$150,MATCH($C44,'Input 5_2021CUST-YTD'!$S$3:$S$150,0),MATCH(AX$2,'Input 5_2021CUST-YTD'!$C$1:$N$1,0)),0)</f>
        <v>95236.489999999991</v>
      </c>
      <c r="AY44" s="1">
        <f>IFERROR(INDEX('Input 5.1_2021VOL-YTD'!$C$3:$N$150, MATCH($C44,'Input 5.1_2021VOL-YTD'!$R$3:$R$150,0),MATCH(AY$2,'Input 5.1_2021VOL-YTD'!$C$1:$N$1,0))/INDEX('Input 5_2021CUST-YTD'!$C$3:$N$150,MATCH($C44,'Input 5_2021CUST-YTD'!$S$3:$S$150,0),MATCH(AY$2,'Input 5_2021CUST-YTD'!$C$1:$N$1,0)),0)</f>
        <v>99952.526666666672</v>
      </c>
      <c r="AZ44" s="1">
        <f>IFERROR(INDEX('Input 5.1_2021VOL-YTD'!$C$3:$N$150, MATCH($C44,'Input 5.1_2021VOL-YTD'!$R$3:$R$150,0),MATCH(AZ$2,'Input 5.1_2021VOL-YTD'!$C$1:$N$1,0))/INDEX('Input 5_2021CUST-YTD'!$C$3:$N$150,MATCH($C44,'Input 5_2021CUST-YTD'!$S$3:$S$150,0),MATCH(AZ$2,'Input 5_2021CUST-YTD'!$C$1:$N$1,0)),0)</f>
        <v>103768.57</v>
      </c>
      <c r="BA44" s="1">
        <f>IFERROR(INDEX('Input 5.1_2021VOL-YTD'!$C$3:$N$150, MATCH($C44,'Input 5.1_2021VOL-YTD'!$R$3:$R$150,0),MATCH(BA$2,'Input 5.1_2021VOL-YTD'!$C$1:$N$1,0))/INDEX('Input 5_2021CUST-YTD'!$C$3:$N$150,MATCH($C44,'Input 5_2021CUST-YTD'!$S$3:$S$150,0),MATCH(BA$2,'Input 5_2021CUST-YTD'!$C$1:$N$1,0)),0)</f>
        <v>98882.206666666665</v>
      </c>
      <c r="BB44" s="1">
        <f>IFERROR(INDEX('Input 5.1_2021VOL-YTD'!$C$3:$N$150, MATCH($C44,'Input 5.1_2021VOL-YTD'!$R$3:$R$150,0),MATCH(BB$2,'Input 5.1_2021VOL-YTD'!$C$1:$N$1,0))/INDEX('Input 5_2021CUST-YTD'!$C$3:$N$150,MATCH($C44,'Input 5_2021CUST-YTD'!$S$3:$S$150,0),MATCH(BB$2,'Input 5_2021CUST-YTD'!$C$1:$N$1,0)),0)</f>
        <v>96995.616666666654</v>
      </c>
      <c r="BC44" s="1">
        <f>IFERROR(INDEX('Input 5.1_2021VOL-YTD'!$C$3:$N$150, MATCH($C44,'Input 5.1_2021VOL-YTD'!$R$3:$R$150,0),MATCH(BC$2,'Input 5.1_2021VOL-YTD'!$C$1:$N$1,0))/INDEX('Input 5_2021CUST-YTD'!$C$3:$N$150,MATCH($C44,'Input 5_2021CUST-YTD'!$S$3:$S$150,0),MATCH(BC$2,'Input 5_2021CUST-YTD'!$C$1:$N$1,0)),0)</f>
        <v>95586.116666666654</v>
      </c>
      <c r="BD44" s="1">
        <f>IFERROR(INDEX('Input 5.1_2021VOL-YTD'!$C$3:$N$150, MATCH($C44,'Input 5.1_2021VOL-YTD'!$R$3:$R$150,0),MATCH(BD$2,'Input 5.1_2021VOL-YTD'!$C$1:$N$1,0))/INDEX('Input 5_2021CUST-YTD'!$C$3:$N$150,MATCH($C44,'Input 5_2021CUST-YTD'!$S$3:$S$150,0),MATCH(BD$2,'Input 5_2021CUST-YTD'!$C$1:$N$1,0)),0)</f>
        <v>88347.973333333328</v>
      </c>
      <c r="BE44" s="1">
        <f>IFERROR(INDEX('Input 5.1_2021VOL-YTD'!$C$3:$N$150, MATCH($C44,'Input 5.1_2021VOL-YTD'!$R$3:$R$150,0),MATCH(BE$2,'Input 5.1_2021VOL-YTD'!$C$1:$N$1,0))/INDEX('Input 5_2021CUST-YTD'!$C$3:$N$150,MATCH($C44,'Input 5_2021CUST-YTD'!$S$3:$S$150,0),MATCH(BE$2,'Input 5_2021CUST-YTD'!$C$1:$N$1,0)),0)</f>
        <v>99593.373333333337</v>
      </c>
      <c r="BF44" s="1">
        <f>IFERROR(INDEX('Input 5.1_2021VOL-YTD'!$C$3:$N$150, MATCH($C44,'Input 5.1_2021VOL-YTD'!$R$3:$R$150,0),MATCH(BF$2,'Input 5.1_2021VOL-YTD'!$C$1:$N$1,0))/INDEX('Input 5_2021CUST-YTD'!$C$3:$N$150,MATCH($C44,'Input 5_2021CUST-YTD'!$S$3:$S$150,0),MATCH(BF$2,'Input 5_2021CUST-YTD'!$C$1:$N$1,0)),0)</f>
        <v>108860.63666666666</v>
      </c>
      <c r="BG44" s="1">
        <f>IFERROR(INDEX('Input 5.1_2021VOL-YTD'!$C$3:$N$150, MATCH($C44,'Input 5.1_2021VOL-YTD'!$R$3:$R$150,0),MATCH(BG$2,'Input 5.1_2021VOL-YTD'!$C$1:$N$1,0))/INDEX('Input 5_2021CUST-YTD'!$C$3:$N$150,MATCH($C44,'Input 5_2021CUST-YTD'!$S$3:$S$150,0),MATCH(BG$2,'Input 5_2021CUST-YTD'!$C$1:$N$1,0)),0)</f>
        <v>98494.56</v>
      </c>
      <c r="BH44" s="1">
        <f>IFERROR(INDEX('Input 5.1_2021VOL-YTD'!$C$3:$N$150, MATCH($C44,'Input 5.1_2021VOL-YTD'!$R$3:$R$150,0),MATCH(BH$2,'Input 5.1_2021VOL-YTD'!$C$1:$N$1,0))/INDEX('Input 5_2021CUST-YTD'!$C$3:$N$150,MATCH($C44,'Input 5_2021CUST-YTD'!$S$3:$S$150,0),MATCH(BH$2,'Input 5_2021CUST-YTD'!$C$1:$N$1,0)),0)</f>
        <v>100145.74333333333</v>
      </c>
      <c r="BI44" s="190">
        <f t="shared" si="7"/>
        <v>124432.52</v>
      </c>
      <c r="BJ44" s="261">
        <f t="shared" si="8"/>
        <v>1</v>
      </c>
    </row>
    <row r="45" spans="1:62">
      <c r="A45" s="261" t="s">
        <v>1245</v>
      </c>
      <c r="B45" s="261" t="s">
        <v>17</v>
      </c>
      <c r="C45" s="261" t="s">
        <v>80</v>
      </c>
      <c r="D45" s="5">
        <f>IFERROR(INDEX('Input 16.1_2018VOL-YTD'!$C$4:$N$300, MATCH($C45,'Input 16.1_2018VOL-YTD'!$R$4:$R$300,0),MATCH(D$2,'Input 16.1_2018VOL-YTD'!$C$1:$N$1,0))/INDEX('Input 16_2018CUST-YTD'!$D$4:$O$300,MATCH($C45,'Input 16_2018CUST-YTD'!$S$4:$S$300,0),MATCH(D$2,'Input 16_2018CUST-YTD'!$C$1:$O$1,0)),0)</f>
        <v>134512.60999999999</v>
      </c>
      <c r="E45" s="5">
        <f>IFERROR(INDEX('Input 16.1_2018VOL-YTD'!$C$4:$N$300, MATCH($C45,'Input 16.1_2018VOL-YTD'!$R$4:$R$300,0),MATCH(E$2,'Input 16.1_2018VOL-YTD'!$C$1:$N$1,0))/INDEX('Input 16_2018CUST-YTD'!$D$4:$O$300,MATCH($C45,'Input 16_2018CUST-YTD'!$S$4:$S$300,0),MATCH(E$2,'Input 16_2018CUST-YTD'!$C$1:$O$1,0)),0)</f>
        <v>63139.93</v>
      </c>
      <c r="F45" s="5">
        <f>IFERROR(INDEX('Input 16.1_2018VOL-YTD'!$C$4:$N$300, MATCH($C45,'Input 16.1_2018VOL-YTD'!$R$4:$R$300,0),MATCH(F$2,'Input 16.1_2018VOL-YTD'!$C$1:$N$1,0))/INDEX('Input 16_2018CUST-YTD'!$D$4:$O$300,MATCH($C45,'Input 16_2018CUST-YTD'!$S$4:$S$300,0),MATCH(F$2,'Input 16_2018CUST-YTD'!$C$1:$O$1,0)),0)</f>
        <v>33369.084999999999</v>
      </c>
      <c r="G45" s="5">
        <f>IFERROR(INDEX('Input 16.1_2018VOL-YTD'!$C$4:$N$300, MATCH($C45,'Input 16.1_2018VOL-YTD'!$R$4:$R$300,0),MATCH(G$2,'Input 16.1_2018VOL-YTD'!$C$1:$N$1,0))/INDEX('Input 16_2018CUST-YTD'!$D$4:$O$300,MATCH($C45,'Input 16_2018CUST-YTD'!$S$4:$S$300,0),MATCH(G$2,'Input 16_2018CUST-YTD'!$C$1:$O$1,0)),0)</f>
        <v>130964.11</v>
      </c>
      <c r="H45" s="5">
        <f>IFERROR(INDEX('Input 16.1_2018VOL-YTD'!$C$4:$N$300, MATCH($C45,'Input 16.1_2018VOL-YTD'!$R$4:$R$300,0),MATCH(H$2,'Input 16.1_2018VOL-YTD'!$C$1:$N$1,0))/INDEX('Input 16_2018CUST-YTD'!$D$4:$O$300,MATCH($C45,'Input 16_2018CUST-YTD'!$S$4:$S$300,0),MATCH(H$2,'Input 16_2018CUST-YTD'!$C$1:$O$1,0)),0)</f>
        <v>133189.285</v>
      </c>
      <c r="I45" s="5">
        <f>IFERROR(INDEX('Input 16.1_2018VOL-YTD'!$C$4:$N$300, MATCH($C45,'Input 16.1_2018VOL-YTD'!$R$4:$R$300,0),MATCH(I$2,'Input 16.1_2018VOL-YTD'!$C$1:$N$1,0))/INDEX('Input 16_2018CUST-YTD'!$D$4:$O$300,MATCH($C45,'Input 16_2018CUST-YTD'!$S$4:$S$300,0),MATCH(I$2,'Input 16_2018CUST-YTD'!$C$1:$O$1,0)),0)</f>
        <v>155453.285</v>
      </c>
      <c r="J45" s="5">
        <f>IFERROR(INDEX('Input 16.1_2018VOL-YTD'!$C$4:$N$300, MATCH($C45,'Input 16.1_2018VOL-YTD'!$R$4:$R$300,0),MATCH(J$2,'Input 16.1_2018VOL-YTD'!$C$1:$N$1,0))/INDEX('Input 16_2018CUST-YTD'!$D$4:$O$300,MATCH($C45,'Input 16_2018CUST-YTD'!$S$4:$S$300,0),MATCH(J$2,'Input 16_2018CUST-YTD'!$C$1:$O$1,0)),0)</f>
        <v>156522.85</v>
      </c>
      <c r="K45" s="5">
        <f>IFERROR(INDEX('Input 16.1_2018VOL-YTD'!$C$4:$N$300, MATCH($C45,'Input 16.1_2018VOL-YTD'!$R$4:$R$300,0),MATCH(K$2,'Input 16.1_2018VOL-YTD'!$C$1:$N$1,0))/INDEX('Input 16_2018CUST-YTD'!$D$4:$O$300,MATCH($C45,'Input 16_2018CUST-YTD'!$S$4:$S$300,0),MATCH(K$2,'Input 16_2018CUST-YTD'!$C$1:$O$1,0)),0)</f>
        <v>194724.1</v>
      </c>
      <c r="L45" s="5">
        <f>IFERROR(INDEX('Input 16.1_2018VOL-YTD'!$C$4:$N$300, MATCH($C45,'Input 16.1_2018VOL-YTD'!$R$4:$R$300,0),MATCH(L$2,'Input 16.1_2018VOL-YTD'!$C$1:$N$1,0))/INDEX('Input 16_2018CUST-YTD'!$D$4:$O$300,MATCH($C45,'Input 16_2018CUST-YTD'!$S$4:$S$300,0),MATCH(L$2,'Input 16_2018CUST-YTD'!$C$1:$O$1,0)),0)</f>
        <v>207755.01500000001</v>
      </c>
      <c r="M45" s="5">
        <f>IFERROR(INDEX('Input 16.1_2018VOL-YTD'!$C$4:$N$300, MATCH($C45,'Input 16.1_2018VOL-YTD'!$R$4:$R$300,0),MATCH(M$2,'Input 16.1_2018VOL-YTD'!$C$1:$N$1,0))/INDEX('Input 16_2018CUST-YTD'!$D$4:$O$300,MATCH($C45,'Input 16_2018CUST-YTD'!$S$4:$S$300,0),MATCH(M$2,'Input 16_2018CUST-YTD'!$C$1:$O$1,0)),0)</f>
        <v>200567.51500000001</v>
      </c>
      <c r="N45" s="5">
        <f>IFERROR(INDEX('Input 16.1_2018VOL-YTD'!$C$4:$N$300, MATCH($C45,'Input 16.1_2018VOL-YTD'!$R$4:$R$300,0),MATCH(N$2,'Input 16.1_2018VOL-YTD'!$C$1:$N$1,0))/INDEX('Input 16_2018CUST-YTD'!$D$4:$O$300,MATCH($C45,'Input 16_2018CUST-YTD'!$S$4:$S$300,0),MATCH(N$2,'Input 16_2018CUST-YTD'!$C$1:$O$1,0)),0)</f>
        <v>191794.7</v>
      </c>
      <c r="O45" s="5">
        <f>IFERROR(INDEX('Input 16.1_2018VOL-YTD'!$C$4:$N$300, MATCH($C45,'Input 16.1_2018VOL-YTD'!$R$4:$R$300,0),MATCH(O$2,'Input 16.1_2018VOL-YTD'!$C$1:$N$1,0))/INDEX('Input 16_2018CUST-YTD'!$D$4:$O$300,MATCH($C45,'Input 16_2018CUST-YTD'!$S$4:$S$300,0),MATCH(O$2,'Input 16_2018CUST-YTD'!$C$1:$O$1,0)),0)</f>
        <v>197543.61142857143</v>
      </c>
      <c r="P45" s="271">
        <f t="shared" si="1"/>
        <v>207755.01500000001</v>
      </c>
      <c r="Q45" s="261">
        <f t="shared" si="2"/>
        <v>9</v>
      </c>
      <c r="S45" s="5">
        <f>IFERROR(INDEX('Input 3.1_2019VOL-YTD'!$C$4:$N$300, MATCH($C45,'Input 3.1_2019VOL-YTD'!$R$4:$R$300,0),MATCH(S$2,'Input 3.1_2019VOL-YTD'!$C$1:$N$1,0))/INDEX('Input 3_2019CUST-YTD'!$C$4:$N$300,MATCH($C45,'Input 3_2019CUST-YTD'!$S$4:$S$300,0),MATCH(S$2,'Input 3_2019CUST-YTD'!$C$1:$N$1,0)),0)</f>
        <v>218414.655</v>
      </c>
      <c r="T45" s="5">
        <f>IFERROR(INDEX('Input 3.1_2019VOL-YTD'!$C$4:$N$300, MATCH($C45,'Input 3.1_2019VOL-YTD'!$R$4:$R$300,0),MATCH(T$2,'Input 3.1_2019VOL-YTD'!$C$1:$N$1,0))/INDEX('Input 3_2019CUST-YTD'!$C$4:$N$300,MATCH($C45,'Input 3_2019CUST-YTD'!$S$4:$S$300,0),MATCH(T$2,'Input 3_2019CUST-YTD'!$C$1:$N$1,0)),0)</f>
        <v>182822.87</v>
      </c>
      <c r="U45" s="5">
        <f>IFERROR(INDEX('Input 3.1_2019VOL-YTD'!$C$4:$N$300, MATCH($C45,'Input 3.1_2019VOL-YTD'!$R$4:$R$300,0),MATCH(U$2,'Input 3.1_2019VOL-YTD'!$C$1:$N$1,0))/INDEX('Input 3_2019CUST-YTD'!$C$4:$N$300,MATCH($C45,'Input 3_2019CUST-YTD'!$S$4:$S$300,0),MATCH(U$2,'Input 3_2019CUST-YTD'!$C$1:$N$1,0)),0)</f>
        <v>199626.345</v>
      </c>
      <c r="V45" s="5">
        <f>IFERROR(INDEX('Input 3.1_2019VOL-YTD'!$C$4:$N$300, MATCH($C45,'Input 3.1_2019VOL-YTD'!$R$4:$R$300,0),MATCH(V$2,'Input 3.1_2019VOL-YTD'!$C$1:$N$1,0))/INDEX('Input 3_2019CUST-YTD'!$C$4:$N$300,MATCH($C45,'Input 3_2019CUST-YTD'!$S$4:$S$300,0),MATCH(V$2,'Input 3_2019CUST-YTD'!$C$1:$N$1,0)),0)</f>
        <v>200793.19</v>
      </c>
      <c r="W45" s="5">
        <f>IFERROR(INDEX('Input 3.1_2019VOL-YTD'!$C$4:$N$300, MATCH($C45,'Input 3.1_2019VOL-YTD'!$R$4:$R$300,0),MATCH(W$2,'Input 3.1_2019VOL-YTD'!$C$1:$N$1,0))/INDEX('Input 3_2019CUST-YTD'!$C$4:$N$300,MATCH($C45,'Input 3_2019CUST-YTD'!$S$4:$S$300,0),MATCH(W$2,'Input 3_2019CUST-YTD'!$C$1:$N$1,0)),0)</f>
        <v>243187.86</v>
      </c>
      <c r="X45" s="5">
        <f>IFERROR(INDEX('Input 3.1_2019VOL-YTD'!$C$4:$N$300, MATCH($C45,'Input 3.1_2019VOL-YTD'!$R$4:$R$300,0),MATCH(X$2,'Input 3.1_2019VOL-YTD'!$C$1:$N$1,0))/INDEX('Input 3_2019CUST-YTD'!$C$4:$N$300,MATCH($C45,'Input 3_2019CUST-YTD'!$S$4:$S$300,0),MATCH(X$2,'Input 3_2019CUST-YTD'!$C$1:$N$1,0)),0)</f>
        <v>216558.34</v>
      </c>
      <c r="Y45" s="5">
        <f>IFERROR(INDEX('Input 3.1_2019VOL-YTD'!$C$4:$N$300, MATCH($C45,'Input 3.1_2019VOL-YTD'!$R$4:$R$300,0),MATCH(Y$2,'Input 3.1_2019VOL-YTD'!$C$1:$N$1,0))/INDEX('Input 3_2019CUST-YTD'!$C$4:$N$300,MATCH($C45,'Input 3_2019CUST-YTD'!$S$4:$S$300,0),MATCH(Y$2,'Input 3_2019CUST-YTD'!$C$1:$N$1,0)),0)</f>
        <v>199991.59</v>
      </c>
      <c r="Z45" s="5">
        <f>IFERROR(INDEX('Input 3.1_2019VOL-YTD'!$C$4:$N$300, MATCH($C45,'Input 3.1_2019VOL-YTD'!$R$4:$R$300,0),MATCH(Z$2,'Input 3.1_2019VOL-YTD'!$C$1:$N$1,0))/INDEX('Input 3_2019CUST-YTD'!$C$4:$N$300,MATCH($C45,'Input 3_2019CUST-YTD'!$S$4:$S$300,0),MATCH(Z$2,'Input 3_2019CUST-YTD'!$C$1:$N$1,0)),0)</f>
        <v>215654.9</v>
      </c>
      <c r="AA45" s="5">
        <f>IFERROR(INDEX('Input 3.1_2019VOL-YTD'!$C$4:$N$300, MATCH($C45,'Input 3.1_2019VOL-YTD'!$R$4:$R$300,0),MATCH(AA$2,'Input 3.1_2019VOL-YTD'!$C$1:$N$1,0))/INDEX('Input 3_2019CUST-YTD'!$C$4:$N$300,MATCH($C45,'Input 3_2019CUST-YTD'!$S$4:$S$300,0),MATCH(AA$2,'Input 3_2019CUST-YTD'!$C$1:$N$1,0)),0)</f>
        <v>208652.86</v>
      </c>
      <c r="AB45" s="5">
        <f>IFERROR(INDEX('Input 3.1_2019VOL-YTD'!$C$4:$N$300, MATCH($C45,'Input 3.1_2019VOL-YTD'!$R$4:$R$300,0),MATCH(AB$2,'Input 3.1_2019VOL-YTD'!$C$1:$N$1,0))/INDEX('Input 3_2019CUST-YTD'!$C$4:$N$300,MATCH($C45,'Input 3_2019CUST-YTD'!$S$4:$S$300,0),MATCH(AB$2,'Input 3_2019CUST-YTD'!$C$1:$N$1,0)),0)</f>
        <v>187856.1</v>
      </c>
      <c r="AC45" s="5">
        <f>IFERROR(INDEX('Input 3.1_2019VOL-YTD'!$C$4:$N$300, MATCH($C45,'Input 3.1_2019VOL-YTD'!$R$4:$R$300,0),MATCH(AC$2,'Input 3.1_2019VOL-YTD'!$C$1:$N$1,0))/INDEX('Input 3_2019CUST-YTD'!$C$4:$N$300,MATCH($C45,'Input 3_2019CUST-YTD'!$S$4:$S$300,0),MATCH(AC$2,'Input 3_2019CUST-YTD'!$C$1:$N$1,0)),0)</f>
        <v>222918.21</v>
      </c>
      <c r="AD45" s="5">
        <f>IFERROR(INDEX('Input 3.1_2019VOL-YTD'!$C$4:$N$300, MATCH($C45,'Input 3.1_2019VOL-YTD'!$R$4:$R$300,0),MATCH(AD$2,'Input 3.1_2019VOL-YTD'!$C$1:$N$1,0))/INDEX('Input 3_2019CUST-YTD'!$C$4:$N$300,MATCH($C45,'Input 3_2019CUST-YTD'!$S$4:$S$300,0),MATCH(AD$2,'Input 3_2019CUST-YTD'!$C$1:$N$1,0)),0)</f>
        <v>204962.93</v>
      </c>
      <c r="AE45" s="272">
        <f t="shared" si="12"/>
        <v>243187.86</v>
      </c>
      <c r="AF45" s="261">
        <f t="shared" si="13"/>
        <v>5</v>
      </c>
      <c r="AH45" s="262">
        <f>IFERROR(INDEX('Input 4.1_2020VOL-YTD'!$C$4:$O$300, MATCH($C45,'Input 4.1_2020VOL-YTD'!$R$4:$R$300,0),MATCH(AH$2,'Input 4.1_2020VOL-YTD'!$C$1:$O$1,0))/INDEX('Input 4_2020CUST-YTD'!$C$4:O$300,MATCH($C45,'Input 4_2020CUST-YTD'!$S$4:$S$300,0),MATCH(AH$2,'Input 4_2020CUST-YTD'!$C$1:$O$1,0)),0)</f>
        <v>238439.79</v>
      </c>
      <c r="AI45" s="262">
        <f>IFERROR(INDEX('Input 4.1_2020VOL-YTD'!$C$4:$O$300, MATCH($C45,'Input 4.1_2020VOL-YTD'!$R$4:$R$300,0),MATCH(AI$2,'Input 4.1_2020VOL-YTD'!$C$1:$O$1,0))/INDEX('Input 4_2020CUST-YTD'!$C$4:P$300,MATCH($C45,'Input 4_2020CUST-YTD'!$S$4:$S$300,0),MATCH(AI$2,'Input 4_2020CUST-YTD'!$C$1:$O$1,0)),0)</f>
        <v>219634.24</v>
      </c>
      <c r="AJ45" s="262">
        <f>IFERROR(INDEX('Input 4.1_2020VOL-YTD'!$C$4:$O$300, MATCH($C45,'Input 4.1_2020VOL-YTD'!$R$4:$R$300,0),MATCH(AJ$2,'Input 4.1_2020VOL-YTD'!$C$1:$O$1,0))/INDEX('Input 4_2020CUST-YTD'!$C$4:Q$300,MATCH($C45,'Input 4_2020CUST-YTD'!$S$4:$S$300,0),MATCH(AJ$2,'Input 4_2020CUST-YTD'!$C$1:$O$1,0)),0)</f>
        <v>219026.02</v>
      </c>
      <c r="AK45" s="262">
        <f>IFERROR(INDEX('Input 4.1_2020VOL-YTD'!$C$4:$O$300, MATCH($C45,'Input 4.1_2020VOL-YTD'!$R$4:$R$300,0),MATCH(AK$2,'Input 4.1_2020VOL-YTD'!$C$1:$O$1,0))/INDEX('Input 4_2020CUST-YTD'!$C$4:R$300,MATCH($C45,'Input 4_2020CUST-YTD'!$S$4:$S$300,0),MATCH(AK$2,'Input 4_2020CUST-YTD'!$C$1:$O$1,0)),0)</f>
        <v>203773.24</v>
      </c>
      <c r="AL45" s="262">
        <f>IFERROR(INDEX('Input 4.1_2020VOL-YTD'!$C$4:$O$300, MATCH($C45,'Input 4.1_2020VOL-YTD'!$R$4:$R$300,0),MATCH(AL$2,'Input 4.1_2020VOL-YTD'!$C$1:$O$1,0))/INDEX('Input 4_2020CUST-YTD'!$C$4:S$300,MATCH($C45,'Input 4_2020CUST-YTD'!$S$4:$S$300,0),MATCH(AL$2,'Input 4_2020CUST-YTD'!$C$1:$O$1,0)),0)</f>
        <v>205528.06</v>
      </c>
      <c r="AM45" s="262">
        <f>IFERROR(INDEX('Input 4.1_2020VOL-YTD'!$C$4:$O$300, MATCH($C45,'Input 4.1_2020VOL-YTD'!$R$4:$R$300,0),MATCH(AM$2,'Input 4.1_2020VOL-YTD'!$C$1:$O$1,0))/INDEX('Input 4_2020CUST-YTD'!$C$4:T$300,MATCH($C45,'Input 4_2020CUST-YTD'!$S$4:$S$300,0),MATCH(AM$2,'Input 4_2020CUST-YTD'!$C$1:$O$1,0)),0)</f>
        <v>168184.81</v>
      </c>
      <c r="AN45" s="262">
        <f>IFERROR(INDEX('Input 4.1_2020VOL-YTD'!$C$4:$O$300, MATCH($C45,'Input 4.1_2020VOL-YTD'!$R$4:$R$300,0),MATCH(AN$2,'Input 4.1_2020VOL-YTD'!$C$1:$O$1,0))/INDEX('Input 4_2020CUST-YTD'!$C$4:U$300,MATCH($C45,'Input 4_2020CUST-YTD'!$S$4:$S$300,0),MATCH(AN$2,'Input 4_2020CUST-YTD'!$C$1:$O$1,0)),0)</f>
        <v>161036.29999999999</v>
      </c>
      <c r="AO45" s="262">
        <f>IFERROR(INDEX('Input 4.1_2020VOL-YTD'!$C$4:$O$300, MATCH($C45,'Input 4.1_2020VOL-YTD'!$R$4:$R$300,0),MATCH(AO$2,'Input 4.1_2020VOL-YTD'!$C$1:$O$1,0))/INDEX('Input 4_2020CUST-YTD'!$C$4:V$300,MATCH($C45,'Input 4_2020CUST-YTD'!$S$4:$S$300,0),MATCH(AO$2,'Input 4_2020CUST-YTD'!$C$1:$O$1,0)),0)</f>
        <v>155018.89000000001</v>
      </c>
      <c r="AP45" s="262">
        <f>IFERROR(INDEX('Input 4.1_2020VOL-YTD'!$C$4:$O$300, MATCH($C45,'Input 4.1_2020VOL-YTD'!$R$4:$R$300,0),MATCH(AP$2,'Input 4.1_2020VOL-YTD'!$C$1:$O$1,0))/INDEX('Input 4_2020CUST-YTD'!$C$4:W$300,MATCH($C45,'Input 4_2020CUST-YTD'!$S$4:$S$300,0),MATCH(AP$2,'Input 4_2020CUST-YTD'!$C$1:$O$1,0)),0)</f>
        <v>152144.92000000001</v>
      </c>
      <c r="AQ45" s="262">
        <f>IFERROR(INDEX('Input 4.1_2020VOL-YTD'!$C$4:$O$300, MATCH($C45,'Input 4.1_2020VOL-YTD'!$R$4:$R$300,0),MATCH(AQ$2,'Input 4.1_2020VOL-YTD'!$C$1:$O$1,0))/INDEX('Input 4_2020CUST-YTD'!$C$4:X$300,MATCH($C45,'Input 4_2020CUST-YTD'!$S$4:$S$300,0),MATCH(AQ$2,'Input 4_2020CUST-YTD'!$C$1:$O$1,0)),0)</f>
        <v>162663.1</v>
      </c>
      <c r="AR45" s="262">
        <f>IFERROR(INDEX('Input 4.1_2020VOL-YTD'!$C$4:$O$300, MATCH($C45,'Input 4.1_2020VOL-YTD'!$R$4:$R$300,0),MATCH(AR$2,'Input 4.1_2020VOL-YTD'!$C$1:$O$1,0))/INDEX('Input 4_2020CUST-YTD'!$C$4:Y$300,MATCH($C45,'Input 4_2020CUST-YTD'!$S$4:$S$300,0),MATCH(AR$2,'Input 4_2020CUST-YTD'!$C$1:$O$1,0)),0)</f>
        <v>151757.25</v>
      </c>
      <c r="AS45" s="262">
        <f>IFERROR(INDEX('Input 4.1_2020VOL-YTD'!$C$4:$O$300, MATCH($C45,'Input 4.1_2020VOL-YTD'!$R$4:$R$300,0),MATCH(AS$2,'Input 4.1_2020VOL-YTD'!$C$1:$O$1,0))/INDEX('Input 4_2020CUST-YTD'!$C$4:Z$300,MATCH($C45,'Input 4_2020CUST-YTD'!$S$4:$S$300,0),MATCH(AS$2,'Input 4_2020CUST-YTD'!$C$1:$O$1,0)),0)</f>
        <v>113252.75</v>
      </c>
      <c r="AT45" s="190">
        <f t="shared" si="10"/>
        <v>238439.79</v>
      </c>
      <c r="AU45" s="261">
        <f t="shared" si="11"/>
        <v>1</v>
      </c>
      <c r="AW45" s="1">
        <f>IFERROR(INDEX('Input 5.1_2021VOL-YTD'!$C$3:$N$150, MATCH($C45,'Input 5.1_2021VOL-YTD'!$R$3:$R$150,0),MATCH(AW$2,'Input 5.1_2021VOL-YTD'!$C$1:$N$1,0))/INDEX('Input 5_2021CUST-YTD'!$C$3:$N$150,MATCH($C45,'Input 5_2021CUST-YTD'!$S$3:$S$150,0),MATCH(AW$2,'Input 5_2021CUST-YTD'!$C$1:$N$1,0)),0)</f>
        <v>146807.04999999999</v>
      </c>
      <c r="AX45" s="1">
        <f>IFERROR(INDEX('Input 5.1_2021VOL-YTD'!$C$3:$N$150, MATCH($C45,'Input 5.1_2021VOL-YTD'!$R$3:$R$150,0),MATCH(AX$2,'Input 5.1_2021VOL-YTD'!$C$1:$N$1,0))/INDEX('Input 5_2021CUST-YTD'!$C$3:$N$150,MATCH($C45,'Input 5_2021CUST-YTD'!$S$3:$S$150,0),MATCH(AX$2,'Input 5_2021CUST-YTD'!$C$1:$N$1,0)),0)</f>
        <v>148429.10999999999</v>
      </c>
      <c r="AY45" s="1">
        <f>IFERROR(INDEX('Input 5.1_2021VOL-YTD'!$C$3:$N$150, MATCH($C45,'Input 5.1_2021VOL-YTD'!$R$3:$R$150,0),MATCH(AY$2,'Input 5.1_2021VOL-YTD'!$C$1:$N$1,0))/INDEX('Input 5_2021CUST-YTD'!$C$3:$N$150,MATCH($C45,'Input 5_2021CUST-YTD'!$S$3:$S$150,0),MATCH(AY$2,'Input 5_2021CUST-YTD'!$C$1:$N$1,0)),0)</f>
        <v>167804.58</v>
      </c>
      <c r="AZ45" s="1">
        <f>IFERROR(INDEX('Input 5.1_2021VOL-YTD'!$C$3:$N$150, MATCH($C45,'Input 5.1_2021VOL-YTD'!$R$3:$R$150,0),MATCH(AZ$2,'Input 5.1_2021VOL-YTD'!$C$1:$N$1,0))/INDEX('Input 5_2021CUST-YTD'!$C$3:$N$150,MATCH($C45,'Input 5_2021CUST-YTD'!$S$3:$S$150,0),MATCH(AZ$2,'Input 5_2021CUST-YTD'!$C$1:$N$1,0)),0)</f>
        <v>169495.38</v>
      </c>
      <c r="BA45" s="1">
        <f>IFERROR(INDEX('Input 5.1_2021VOL-YTD'!$C$3:$N$150, MATCH($C45,'Input 5.1_2021VOL-YTD'!$R$3:$R$150,0),MATCH(BA$2,'Input 5.1_2021VOL-YTD'!$C$1:$N$1,0))/INDEX('Input 5_2021CUST-YTD'!$C$3:$N$150,MATCH($C45,'Input 5_2021CUST-YTD'!$S$3:$S$150,0),MATCH(BA$2,'Input 5_2021CUST-YTD'!$C$1:$N$1,0)),0)</f>
        <v>56433</v>
      </c>
      <c r="BB45" s="1">
        <f>IFERROR(INDEX('Input 5.1_2021VOL-YTD'!$C$3:$N$150, MATCH($C45,'Input 5.1_2021VOL-YTD'!$R$3:$R$150,0),MATCH(BB$2,'Input 5.1_2021VOL-YTD'!$C$1:$N$1,0))/INDEX('Input 5_2021CUST-YTD'!$C$3:$N$150,MATCH($C45,'Input 5_2021CUST-YTD'!$S$3:$S$150,0),MATCH(BB$2,'Input 5_2021CUST-YTD'!$C$1:$N$1,0)),0)</f>
        <v>0</v>
      </c>
      <c r="BC45" s="1">
        <f>IFERROR(INDEX('Input 5.1_2021VOL-YTD'!$C$3:$N$150, MATCH($C45,'Input 5.1_2021VOL-YTD'!$R$3:$R$150,0),MATCH(BC$2,'Input 5.1_2021VOL-YTD'!$C$1:$N$1,0))/INDEX('Input 5_2021CUST-YTD'!$C$3:$N$150,MATCH($C45,'Input 5_2021CUST-YTD'!$S$3:$S$150,0),MATCH(BC$2,'Input 5_2021CUST-YTD'!$C$1:$N$1,0)),0)</f>
        <v>120864.2</v>
      </c>
      <c r="BD45" s="1">
        <f>IFERROR(INDEX('Input 5.1_2021VOL-YTD'!$C$3:$N$150, MATCH($C45,'Input 5.1_2021VOL-YTD'!$R$3:$R$150,0),MATCH(BD$2,'Input 5.1_2021VOL-YTD'!$C$1:$N$1,0))/INDEX('Input 5_2021CUST-YTD'!$C$3:$N$150,MATCH($C45,'Input 5_2021CUST-YTD'!$S$3:$S$150,0),MATCH(BD$2,'Input 5_2021CUST-YTD'!$C$1:$N$1,0)),0)</f>
        <v>121782.78</v>
      </c>
      <c r="BE45" s="1">
        <f>IFERROR(INDEX('Input 5.1_2021VOL-YTD'!$C$3:$N$150, MATCH($C45,'Input 5.1_2021VOL-YTD'!$R$3:$R$150,0),MATCH(BE$2,'Input 5.1_2021VOL-YTD'!$C$1:$N$1,0))/INDEX('Input 5_2021CUST-YTD'!$C$3:$N$150,MATCH($C45,'Input 5_2021CUST-YTD'!$S$3:$S$150,0),MATCH(BE$2,'Input 5_2021CUST-YTD'!$C$1:$N$1,0)),0)</f>
        <v>23780.17</v>
      </c>
      <c r="BF45" s="1">
        <f>IFERROR(INDEX('Input 5.1_2021VOL-YTD'!$C$3:$N$150, MATCH($C45,'Input 5.1_2021VOL-YTD'!$R$3:$R$150,0),MATCH(BF$2,'Input 5.1_2021VOL-YTD'!$C$1:$N$1,0))/INDEX('Input 5_2021CUST-YTD'!$C$3:$N$150,MATCH($C45,'Input 5_2021CUST-YTD'!$S$3:$S$150,0),MATCH(BF$2,'Input 5_2021CUST-YTD'!$C$1:$N$1,0)),0)</f>
        <v>70132.570000000007</v>
      </c>
      <c r="BG45" s="1">
        <f>IFERROR(INDEX('Input 5.1_2021VOL-YTD'!$C$3:$N$150, MATCH($C45,'Input 5.1_2021VOL-YTD'!$R$3:$R$150,0),MATCH(BG$2,'Input 5.1_2021VOL-YTD'!$C$1:$N$1,0))/INDEX('Input 5_2021CUST-YTD'!$C$3:$N$150,MATCH($C45,'Input 5_2021CUST-YTD'!$S$3:$S$150,0),MATCH(BG$2,'Input 5_2021CUST-YTD'!$C$1:$N$1,0)),0)</f>
        <v>82525.06</v>
      </c>
      <c r="BH45" s="1">
        <f>IFERROR(INDEX('Input 5.1_2021VOL-YTD'!$C$3:$N$150, MATCH($C45,'Input 5.1_2021VOL-YTD'!$R$3:$R$150,0),MATCH(BH$2,'Input 5.1_2021VOL-YTD'!$C$1:$N$1,0))/INDEX('Input 5_2021CUST-YTD'!$C$3:$N$150,MATCH($C45,'Input 5_2021CUST-YTD'!$S$3:$S$150,0),MATCH(BH$2,'Input 5_2021CUST-YTD'!$C$1:$N$1,0)),0)</f>
        <v>119194.72</v>
      </c>
      <c r="BI45" s="190">
        <f t="shared" si="7"/>
        <v>169495.38</v>
      </c>
      <c r="BJ45" s="261">
        <f t="shared" si="8"/>
        <v>4</v>
      </c>
    </row>
    <row r="46" spans="1:62">
      <c r="A46" s="261" t="s">
        <v>1245</v>
      </c>
      <c r="B46" s="261" t="s">
        <v>17</v>
      </c>
      <c r="C46" s="261" t="s">
        <v>82</v>
      </c>
      <c r="D46" s="5">
        <f>IFERROR(INDEX('Input 16.1_2018VOL-YTD'!$C$4:$N$300, MATCH($C46,'Input 16.1_2018VOL-YTD'!$R$4:$R$300,0),MATCH(D$2,'Input 16.1_2018VOL-YTD'!$C$1:$N$1,0))/INDEX('Input 16_2018CUST-YTD'!$D$4:$O$300,MATCH($C46,'Input 16_2018CUST-YTD'!$S$4:$S$300,0),MATCH(D$2,'Input 16_2018CUST-YTD'!$C$1:$O$1,0)),0)</f>
        <v>345686.16800000001</v>
      </c>
      <c r="E46" s="5">
        <f>IFERROR(INDEX('Input 16.1_2018VOL-YTD'!$C$4:$N$300, MATCH($C46,'Input 16.1_2018VOL-YTD'!$R$4:$R$300,0),MATCH(E$2,'Input 16.1_2018VOL-YTD'!$C$1:$N$1,0))/INDEX('Input 16_2018CUST-YTD'!$D$4:$O$300,MATCH($C46,'Input 16_2018CUST-YTD'!$S$4:$S$300,0),MATCH(E$2,'Input 16_2018CUST-YTD'!$C$1:$O$1,0)),0)</f>
        <v>331816.62</v>
      </c>
      <c r="F46" s="5">
        <f>IFERROR(INDEX('Input 16.1_2018VOL-YTD'!$C$4:$N$300, MATCH($C46,'Input 16.1_2018VOL-YTD'!$R$4:$R$300,0),MATCH(F$2,'Input 16.1_2018VOL-YTD'!$C$1:$N$1,0))/INDEX('Input 16_2018CUST-YTD'!$D$4:$O$300,MATCH($C46,'Input 16_2018CUST-YTD'!$S$4:$S$300,0),MATCH(F$2,'Input 16_2018CUST-YTD'!$C$1:$O$1,0)),0)</f>
        <v>448261.91249999998</v>
      </c>
      <c r="G46" s="5">
        <f>IFERROR(INDEX('Input 16.1_2018VOL-YTD'!$C$4:$N$300, MATCH($C46,'Input 16.1_2018VOL-YTD'!$R$4:$R$300,0),MATCH(G$2,'Input 16.1_2018VOL-YTD'!$C$1:$N$1,0))/INDEX('Input 16_2018CUST-YTD'!$D$4:$O$300,MATCH($C46,'Input 16_2018CUST-YTD'!$S$4:$S$300,0),MATCH(G$2,'Input 16_2018CUST-YTD'!$C$1:$O$1,0)),0)</f>
        <v>393309.60499999998</v>
      </c>
      <c r="H46" s="5">
        <f>IFERROR(INDEX('Input 16.1_2018VOL-YTD'!$C$4:$N$300, MATCH($C46,'Input 16.1_2018VOL-YTD'!$R$4:$R$300,0),MATCH(H$2,'Input 16.1_2018VOL-YTD'!$C$1:$N$1,0))/INDEX('Input 16_2018CUST-YTD'!$D$4:$O$300,MATCH($C46,'Input 16_2018CUST-YTD'!$S$4:$S$300,0),MATCH(H$2,'Input 16_2018CUST-YTD'!$C$1:$O$1,0)),0)</f>
        <v>358208.08500000002</v>
      </c>
      <c r="I46" s="5">
        <f>IFERROR(INDEX('Input 16.1_2018VOL-YTD'!$C$4:$N$300, MATCH($C46,'Input 16.1_2018VOL-YTD'!$R$4:$R$300,0),MATCH(I$2,'Input 16.1_2018VOL-YTD'!$C$1:$N$1,0))/INDEX('Input 16_2018CUST-YTD'!$D$4:$O$300,MATCH($C46,'Input 16_2018CUST-YTD'!$S$4:$S$300,0),MATCH(I$2,'Input 16_2018CUST-YTD'!$C$1:$O$1,0)),0)</f>
        <v>378360.58500000002</v>
      </c>
      <c r="J46" s="5">
        <f>IFERROR(INDEX('Input 16.1_2018VOL-YTD'!$C$4:$N$300, MATCH($C46,'Input 16.1_2018VOL-YTD'!$R$4:$R$300,0),MATCH(J$2,'Input 16.1_2018VOL-YTD'!$C$1:$N$1,0))/INDEX('Input 16_2018CUST-YTD'!$D$4:$O$300,MATCH($C46,'Input 16_2018CUST-YTD'!$S$4:$S$300,0),MATCH(J$2,'Input 16_2018CUST-YTD'!$C$1:$O$1,0)),0)</f>
        <v>390948.03249999997</v>
      </c>
      <c r="K46" s="5">
        <f>IFERROR(INDEX('Input 16.1_2018VOL-YTD'!$C$4:$N$300, MATCH($C46,'Input 16.1_2018VOL-YTD'!$R$4:$R$300,0),MATCH(K$2,'Input 16.1_2018VOL-YTD'!$C$1:$N$1,0))/INDEX('Input 16_2018CUST-YTD'!$D$4:$O$300,MATCH($C46,'Input 16_2018CUST-YTD'!$S$4:$S$300,0),MATCH(K$2,'Input 16_2018CUST-YTD'!$C$1:$O$1,0)),0)</f>
        <v>428943.04499999998</v>
      </c>
      <c r="L46" s="5">
        <f>IFERROR(INDEX('Input 16.1_2018VOL-YTD'!$C$4:$N$300, MATCH($C46,'Input 16.1_2018VOL-YTD'!$R$4:$R$300,0),MATCH(L$2,'Input 16.1_2018VOL-YTD'!$C$1:$N$1,0))/INDEX('Input 16_2018CUST-YTD'!$D$4:$O$300,MATCH($C46,'Input 16_2018CUST-YTD'!$S$4:$S$300,0),MATCH(L$2,'Input 16_2018CUST-YTD'!$C$1:$O$1,0)),0)</f>
        <v>403735.23249999998</v>
      </c>
      <c r="M46" s="5">
        <f>IFERROR(INDEX('Input 16.1_2018VOL-YTD'!$C$4:$N$300, MATCH($C46,'Input 16.1_2018VOL-YTD'!$R$4:$R$300,0),MATCH(M$2,'Input 16.1_2018VOL-YTD'!$C$1:$N$1,0))/INDEX('Input 16_2018CUST-YTD'!$D$4:$O$300,MATCH($C46,'Input 16_2018CUST-YTD'!$S$4:$S$300,0),MATCH(M$2,'Input 16_2018CUST-YTD'!$C$1:$O$1,0)),0)</f>
        <v>384558.82500000001</v>
      </c>
      <c r="N46" s="5">
        <f>IFERROR(INDEX('Input 16.1_2018VOL-YTD'!$C$4:$N$300, MATCH($C46,'Input 16.1_2018VOL-YTD'!$R$4:$R$300,0),MATCH(N$2,'Input 16.1_2018VOL-YTD'!$C$1:$N$1,0))/INDEX('Input 16_2018CUST-YTD'!$D$4:$O$300,MATCH($C46,'Input 16_2018CUST-YTD'!$S$4:$S$300,0),MATCH(N$2,'Input 16_2018CUST-YTD'!$C$1:$O$1,0)),0)</f>
        <v>389128.15749999997</v>
      </c>
      <c r="O46" s="5">
        <f>IFERROR(INDEX('Input 16.1_2018VOL-YTD'!$C$4:$N$300, MATCH($C46,'Input 16.1_2018VOL-YTD'!$R$4:$R$300,0),MATCH(O$2,'Input 16.1_2018VOL-YTD'!$C$1:$N$1,0))/INDEX('Input 16_2018CUST-YTD'!$D$4:$O$300,MATCH($C46,'Input 16_2018CUST-YTD'!$S$4:$S$300,0),MATCH(O$2,'Input 16_2018CUST-YTD'!$C$1:$O$1,0)),0)</f>
        <v>340454.57411764702</v>
      </c>
      <c r="P46" s="271">
        <f t="shared" si="1"/>
        <v>448261.91249999998</v>
      </c>
      <c r="Q46" s="261">
        <f t="shared" si="2"/>
        <v>3</v>
      </c>
      <c r="S46" s="5">
        <f>IFERROR(INDEX('Input 3.1_2019VOL-YTD'!$C$4:$N$300, MATCH($C46,'Input 3.1_2019VOL-YTD'!$R$4:$R$300,0),MATCH(S$2,'Input 3.1_2019VOL-YTD'!$C$1:$N$1,0))/INDEX('Input 3_2019CUST-YTD'!$C$4:$N$300,MATCH($C46,'Input 3_2019CUST-YTD'!$S$4:$S$300,0),MATCH(S$2,'Input 3_2019CUST-YTD'!$C$1:$N$1,0)),0)</f>
        <v>371183.92499999999</v>
      </c>
      <c r="T46" s="5">
        <f>IFERROR(INDEX('Input 3.1_2019VOL-YTD'!$C$4:$N$300, MATCH($C46,'Input 3.1_2019VOL-YTD'!$R$4:$R$300,0),MATCH(T$2,'Input 3.1_2019VOL-YTD'!$C$1:$N$1,0))/INDEX('Input 3_2019CUST-YTD'!$C$4:$N$300,MATCH($C46,'Input 3_2019CUST-YTD'!$S$4:$S$300,0),MATCH(T$2,'Input 3_2019CUST-YTD'!$C$1:$N$1,0)),0)</f>
        <v>333793.70750000002</v>
      </c>
      <c r="U46" s="5">
        <f>IFERROR(INDEX('Input 3.1_2019VOL-YTD'!$C$4:$N$300, MATCH($C46,'Input 3.1_2019VOL-YTD'!$R$4:$R$300,0),MATCH(U$2,'Input 3.1_2019VOL-YTD'!$C$1:$N$1,0))/INDEX('Input 3_2019CUST-YTD'!$C$4:$N$300,MATCH($C46,'Input 3_2019CUST-YTD'!$S$4:$S$300,0),MATCH(U$2,'Input 3_2019CUST-YTD'!$C$1:$N$1,0)),0)</f>
        <v>389974.1275</v>
      </c>
      <c r="V46" s="5">
        <f>IFERROR(INDEX('Input 3.1_2019VOL-YTD'!$C$4:$N$300, MATCH($C46,'Input 3.1_2019VOL-YTD'!$R$4:$R$300,0),MATCH(V$2,'Input 3.1_2019VOL-YTD'!$C$1:$N$1,0))/INDEX('Input 3_2019CUST-YTD'!$C$4:$N$300,MATCH($C46,'Input 3_2019CUST-YTD'!$S$4:$S$300,0),MATCH(V$2,'Input 3_2019CUST-YTD'!$C$1:$N$1,0)),0)</f>
        <v>374742.1225</v>
      </c>
      <c r="W46" s="5">
        <f>IFERROR(INDEX('Input 3.1_2019VOL-YTD'!$C$4:$N$300, MATCH($C46,'Input 3.1_2019VOL-YTD'!$R$4:$R$300,0),MATCH(W$2,'Input 3.1_2019VOL-YTD'!$C$1:$N$1,0))/INDEX('Input 3_2019CUST-YTD'!$C$4:$N$300,MATCH($C46,'Input 3_2019CUST-YTD'!$S$4:$S$300,0),MATCH(W$2,'Input 3_2019CUST-YTD'!$C$1:$N$1,0)),0)</f>
        <v>332370.81800000003</v>
      </c>
      <c r="X46" s="5">
        <f>IFERROR(INDEX('Input 3.1_2019VOL-YTD'!$C$4:$N$300, MATCH($C46,'Input 3.1_2019VOL-YTD'!$R$4:$R$300,0),MATCH(X$2,'Input 3.1_2019VOL-YTD'!$C$1:$N$1,0))/INDEX('Input 3_2019CUST-YTD'!$C$4:$N$300,MATCH($C46,'Input 3_2019CUST-YTD'!$S$4:$S$300,0),MATCH(X$2,'Input 3_2019CUST-YTD'!$C$1:$N$1,0)),0)</f>
        <v>311822.61800000002</v>
      </c>
      <c r="Y46" s="5">
        <f>IFERROR(INDEX('Input 3.1_2019VOL-YTD'!$C$4:$N$300, MATCH($C46,'Input 3.1_2019VOL-YTD'!$R$4:$R$300,0),MATCH(Y$2,'Input 3.1_2019VOL-YTD'!$C$1:$N$1,0))/INDEX('Input 3_2019CUST-YTD'!$C$4:$N$300,MATCH($C46,'Input 3_2019CUST-YTD'!$S$4:$S$300,0),MATCH(Y$2,'Input 3_2019CUST-YTD'!$C$1:$N$1,0)),0)</f>
        <v>324495.886</v>
      </c>
      <c r="Z46" s="5">
        <f>IFERROR(INDEX('Input 3.1_2019VOL-YTD'!$C$4:$N$300, MATCH($C46,'Input 3.1_2019VOL-YTD'!$R$4:$R$300,0),MATCH(Z$2,'Input 3.1_2019VOL-YTD'!$C$1:$N$1,0))/INDEX('Input 3_2019CUST-YTD'!$C$4:$N$300,MATCH($C46,'Input 3_2019CUST-YTD'!$S$4:$S$300,0),MATCH(Z$2,'Input 3_2019CUST-YTD'!$C$1:$N$1,0)),0)</f>
        <v>297002.31</v>
      </c>
      <c r="AA46" s="5">
        <f>IFERROR(INDEX('Input 3.1_2019VOL-YTD'!$C$4:$N$300, MATCH($C46,'Input 3.1_2019VOL-YTD'!$R$4:$R$300,0),MATCH(AA$2,'Input 3.1_2019VOL-YTD'!$C$1:$N$1,0))/INDEX('Input 3_2019CUST-YTD'!$C$4:$N$300,MATCH($C46,'Input 3_2019CUST-YTD'!$S$4:$S$300,0),MATCH(AA$2,'Input 3_2019CUST-YTD'!$C$1:$N$1,0)),0)</f>
        <v>228303.53399999999</v>
      </c>
      <c r="AB46" s="5">
        <f>IFERROR(INDEX('Input 3.1_2019VOL-YTD'!$C$4:$N$300, MATCH($C46,'Input 3.1_2019VOL-YTD'!$R$4:$R$300,0),MATCH(AB$2,'Input 3.1_2019VOL-YTD'!$C$1:$N$1,0))/INDEX('Input 3_2019CUST-YTD'!$C$4:$N$300,MATCH($C46,'Input 3_2019CUST-YTD'!$S$4:$S$300,0),MATCH(AB$2,'Input 3_2019CUST-YTD'!$C$1:$N$1,0)),0)</f>
        <v>265273.63399999996</v>
      </c>
      <c r="AC46" s="5">
        <f>IFERROR(INDEX('Input 3.1_2019VOL-YTD'!$C$4:$N$300, MATCH($C46,'Input 3.1_2019VOL-YTD'!$R$4:$R$300,0),MATCH(AC$2,'Input 3.1_2019VOL-YTD'!$C$1:$N$1,0))/INDEX('Input 3_2019CUST-YTD'!$C$4:$N$300,MATCH($C46,'Input 3_2019CUST-YTD'!$S$4:$S$300,0),MATCH(AC$2,'Input 3_2019CUST-YTD'!$C$1:$N$1,0)),0)</f>
        <v>286801.076</v>
      </c>
      <c r="AD46" s="5">
        <f>IFERROR(INDEX('Input 3.1_2019VOL-YTD'!$C$4:$N$300, MATCH($C46,'Input 3.1_2019VOL-YTD'!$R$4:$R$300,0),MATCH(AD$2,'Input 3.1_2019VOL-YTD'!$C$1:$N$1,0))/INDEX('Input 3_2019CUST-YTD'!$C$4:$N$300,MATCH($C46,'Input 3_2019CUST-YTD'!$S$4:$S$300,0),MATCH(AD$2,'Input 3_2019CUST-YTD'!$C$1:$N$1,0)),0)</f>
        <v>269521.77599999995</v>
      </c>
      <c r="AE46" s="272">
        <f t="shared" si="12"/>
        <v>389974.1275</v>
      </c>
      <c r="AF46" s="261">
        <f t="shared" si="13"/>
        <v>3</v>
      </c>
      <c r="AH46" s="262">
        <f>IFERROR(INDEX('Input 4.1_2020VOL-YTD'!$C$4:$O$300, MATCH($C46,'Input 4.1_2020VOL-YTD'!$R$4:$R$300,0),MATCH(AH$2,'Input 4.1_2020VOL-YTD'!$C$1:$O$1,0))/INDEX('Input 4_2020CUST-YTD'!$C$4:O$300,MATCH($C46,'Input 4_2020CUST-YTD'!$S$4:$S$300,0),MATCH(AH$2,'Input 4_2020CUST-YTD'!$C$1:$O$1,0)),0)</f>
        <v>226326.55800000002</v>
      </c>
      <c r="AI46" s="262">
        <f>IFERROR(INDEX('Input 4.1_2020VOL-YTD'!$C$4:$O$300, MATCH($C46,'Input 4.1_2020VOL-YTD'!$R$4:$R$300,0),MATCH(AI$2,'Input 4.1_2020VOL-YTD'!$C$1:$O$1,0))/INDEX('Input 4_2020CUST-YTD'!$C$4:P$300,MATCH($C46,'Input 4_2020CUST-YTD'!$S$4:$S$300,0),MATCH(AI$2,'Input 4_2020CUST-YTD'!$C$1:$O$1,0)),0)</f>
        <v>268502.93799999997</v>
      </c>
      <c r="AJ46" s="262">
        <f>IFERROR(INDEX('Input 4.1_2020VOL-YTD'!$C$4:$O$300, MATCH($C46,'Input 4.1_2020VOL-YTD'!$R$4:$R$300,0),MATCH(AJ$2,'Input 4.1_2020VOL-YTD'!$C$1:$O$1,0))/INDEX('Input 4_2020CUST-YTD'!$C$4:Q$300,MATCH($C46,'Input 4_2020CUST-YTD'!$S$4:$S$300,0),MATCH(AJ$2,'Input 4_2020CUST-YTD'!$C$1:$O$1,0)),0)</f>
        <v>285207.96000000002</v>
      </c>
      <c r="AK46" s="262">
        <f>IFERROR(INDEX('Input 4.1_2020VOL-YTD'!$C$4:$O$300, MATCH($C46,'Input 4.1_2020VOL-YTD'!$R$4:$R$300,0),MATCH(AK$2,'Input 4.1_2020VOL-YTD'!$C$1:$O$1,0))/INDEX('Input 4_2020CUST-YTD'!$C$4:R$300,MATCH($C46,'Input 4_2020CUST-YTD'!$S$4:$S$300,0),MATCH(AK$2,'Input 4_2020CUST-YTD'!$C$1:$O$1,0)),0)</f>
        <v>252772.508</v>
      </c>
      <c r="AL46" s="262">
        <f>IFERROR(INDEX('Input 4.1_2020VOL-YTD'!$C$4:$O$300, MATCH($C46,'Input 4.1_2020VOL-YTD'!$R$4:$R$300,0),MATCH(AL$2,'Input 4.1_2020VOL-YTD'!$C$1:$O$1,0))/INDEX('Input 4_2020CUST-YTD'!$C$4:S$300,MATCH($C46,'Input 4_2020CUST-YTD'!$S$4:$S$300,0),MATCH(AL$2,'Input 4_2020CUST-YTD'!$C$1:$O$1,0)),0)</f>
        <v>276162.484</v>
      </c>
      <c r="AM46" s="262">
        <f>IFERROR(INDEX('Input 4.1_2020VOL-YTD'!$C$4:$O$300, MATCH($C46,'Input 4.1_2020VOL-YTD'!$R$4:$R$300,0),MATCH(AM$2,'Input 4.1_2020VOL-YTD'!$C$1:$O$1,0))/INDEX('Input 4_2020CUST-YTD'!$C$4:T$300,MATCH($C46,'Input 4_2020CUST-YTD'!$S$4:$S$300,0),MATCH(AM$2,'Input 4_2020CUST-YTD'!$C$1:$O$1,0)),0)</f>
        <v>235453.2</v>
      </c>
      <c r="AN46" s="262">
        <f>IFERROR(INDEX('Input 4.1_2020VOL-YTD'!$C$4:$O$300, MATCH($C46,'Input 4.1_2020VOL-YTD'!$R$4:$R$300,0),MATCH(AN$2,'Input 4.1_2020VOL-YTD'!$C$1:$O$1,0))/INDEX('Input 4_2020CUST-YTD'!$C$4:U$300,MATCH($C46,'Input 4_2020CUST-YTD'!$S$4:$S$300,0),MATCH(AN$2,'Input 4_2020CUST-YTD'!$C$1:$O$1,0)),0)</f>
        <v>207299.27799999999</v>
      </c>
      <c r="AO46" s="262">
        <f>IFERROR(INDEX('Input 4.1_2020VOL-YTD'!$C$4:$O$300, MATCH($C46,'Input 4.1_2020VOL-YTD'!$R$4:$R$300,0),MATCH(AO$2,'Input 4.1_2020VOL-YTD'!$C$1:$O$1,0))/INDEX('Input 4_2020CUST-YTD'!$C$4:V$300,MATCH($C46,'Input 4_2020CUST-YTD'!$S$4:$S$300,0),MATCH(AO$2,'Input 4_2020CUST-YTD'!$C$1:$O$1,0)),0)</f>
        <v>298020.05</v>
      </c>
      <c r="AP46" s="262">
        <f>IFERROR(INDEX('Input 4.1_2020VOL-YTD'!$C$4:$O$300, MATCH($C46,'Input 4.1_2020VOL-YTD'!$R$4:$R$300,0),MATCH(AP$2,'Input 4.1_2020VOL-YTD'!$C$1:$O$1,0))/INDEX('Input 4_2020CUST-YTD'!$C$4:W$300,MATCH($C46,'Input 4_2020CUST-YTD'!$S$4:$S$300,0),MATCH(AP$2,'Input 4_2020CUST-YTD'!$C$1:$O$1,0)),0)</f>
        <v>272520.74</v>
      </c>
      <c r="AQ46" s="262">
        <f>IFERROR(INDEX('Input 4.1_2020VOL-YTD'!$C$4:$O$300, MATCH($C46,'Input 4.1_2020VOL-YTD'!$R$4:$R$300,0),MATCH(AQ$2,'Input 4.1_2020VOL-YTD'!$C$1:$O$1,0))/INDEX('Input 4_2020CUST-YTD'!$C$4:X$300,MATCH($C46,'Input 4_2020CUST-YTD'!$S$4:$S$300,0),MATCH(AQ$2,'Input 4_2020CUST-YTD'!$C$1:$O$1,0)),0)</f>
        <v>301620.43400000001</v>
      </c>
      <c r="AR46" s="262">
        <f>IFERROR(INDEX('Input 4.1_2020VOL-YTD'!$C$4:$O$300, MATCH($C46,'Input 4.1_2020VOL-YTD'!$R$4:$R$300,0),MATCH(AR$2,'Input 4.1_2020VOL-YTD'!$C$1:$O$1,0))/INDEX('Input 4_2020CUST-YTD'!$C$4:Y$300,MATCH($C46,'Input 4_2020CUST-YTD'!$S$4:$S$300,0),MATCH(AR$2,'Input 4_2020CUST-YTD'!$C$1:$O$1,0)),0)</f>
        <v>239675.56400000001</v>
      </c>
      <c r="AS46" s="262">
        <f>IFERROR(INDEX('Input 4.1_2020VOL-YTD'!$C$4:$O$300, MATCH($C46,'Input 4.1_2020VOL-YTD'!$R$4:$R$300,0),MATCH(AS$2,'Input 4.1_2020VOL-YTD'!$C$1:$O$1,0))/INDEX('Input 4_2020CUST-YTD'!$C$4:Z$300,MATCH($C46,'Input 4_2020CUST-YTD'!$S$4:$S$300,0),MATCH(AS$2,'Input 4_2020CUST-YTD'!$C$1:$O$1,0)),0)</f>
        <v>316446.21400000004</v>
      </c>
      <c r="AT46" s="190">
        <f t="shared" ref="AT46:AT56" si="14">MAX(AH46:AS46)</f>
        <v>316446.21400000004</v>
      </c>
      <c r="AU46" s="261">
        <f t="shared" ref="AU46:AU56" si="15">INDEX($AH$2:$AS$2,MATCH(AT46,AH46:AS46,0))</f>
        <v>12</v>
      </c>
      <c r="AW46" s="1">
        <f>IFERROR(INDEX('Input 5.1_2021VOL-YTD'!$C$3:$N$150, MATCH($C46,'Input 5.1_2021VOL-YTD'!$R$3:$R$150,0),MATCH(AW$2,'Input 5.1_2021VOL-YTD'!$C$1:$N$1,0))/INDEX('Input 5_2021CUST-YTD'!$C$3:$N$150,MATCH($C46,'Input 5_2021CUST-YTD'!$S$3:$S$150,0),MATCH(AW$2,'Input 5_2021CUST-YTD'!$C$1:$N$1,0)),0)</f>
        <v>300696.50800000003</v>
      </c>
      <c r="AX46" s="1">
        <f>IFERROR(INDEX('Input 5.1_2021VOL-YTD'!$C$3:$N$150, MATCH($C46,'Input 5.1_2021VOL-YTD'!$R$3:$R$150,0),MATCH(AX$2,'Input 5.1_2021VOL-YTD'!$C$1:$N$1,0))/INDEX('Input 5_2021CUST-YTD'!$C$3:$N$150,MATCH($C46,'Input 5_2021CUST-YTD'!$S$3:$S$150,0),MATCH(AX$2,'Input 5_2021CUST-YTD'!$C$1:$N$1,0)),0)</f>
        <v>283287.59999999998</v>
      </c>
      <c r="AY46" s="1">
        <f>IFERROR(INDEX('Input 5.1_2021VOL-YTD'!$C$3:$N$150, MATCH($C46,'Input 5.1_2021VOL-YTD'!$R$3:$R$150,0),MATCH(AY$2,'Input 5.1_2021VOL-YTD'!$C$1:$N$1,0))/INDEX('Input 5_2021CUST-YTD'!$C$3:$N$150,MATCH($C46,'Input 5_2021CUST-YTD'!$S$3:$S$150,0),MATCH(AY$2,'Input 5_2021CUST-YTD'!$C$1:$N$1,0)),0)</f>
        <v>335242.68799999997</v>
      </c>
      <c r="AZ46" s="1">
        <f>IFERROR(INDEX('Input 5.1_2021VOL-YTD'!$C$3:$N$150, MATCH($C46,'Input 5.1_2021VOL-YTD'!$R$3:$R$150,0),MATCH(AZ$2,'Input 5.1_2021VOL-YTD'!$C$1:$N$1,0))/INDEX('Input 5_2021CUST-YTD'!$C$3:$N$150,MATCH($C46,'Input 5_2021CUST-YTD'!$S$3:$S$150,0),MATCH(AZ$2,'Input 5_2021CUST-YTD'!$C$1:$N$1,0)),0)</f>
        <v>292658.29200000002</v>
      </c>
      <c r="BA46" s="1">
        <f>IFERROR(INDEX('Input 5.1_2021VOL-YTD'!$C$3:$N$150, MATCH($C46,'Input 5.1_2021VOL-YTD'!$R$3:$R$150,0),MATCH(BA$2,'Input 5.1_2021VOL-YTD'!$C$1:$N$1,0))/INDEX('Input 5_2021CUST-YTD'!$C$3:$N$150,MATCH($C46,'Input 5_2021CUST-YTD'!$S$3:$S$150,0),MATCH(BA$2,'Input 5_2021CUST-YTD'!$C$1:$N$1,0)),0)</f>
        <v>303617.68799999997</v>
      </c>
      <c r="BB46" s="1">
        <f>IFERROR(INDEX('Input 5.1_2021VOL-YTD'!$C$3:$N$150, MATCH($C46,'Input 5.1_2021VOL-YTD'!$R$3:$R$150,0),MATCH(BB$2,'Input 5.1_2021VOL-YTD'!$C$1:$N$1,0))/INDEX('Input 5_2021CUST-YTD'!$C$3:$N$150,MATCH($C46,'Input 5_2021CUST-YTD'!$S$3:$S$150,0),MATCH(BB$2,'Input 5_2021CUST-YTD'!$C$1:$N$1,0)),0)</f>
        <v>207485.66999999998</v>
      </c>
      <c r="BC46" s="1">
        <f>IFERROR(INDEX('Input 5.1_2021VOL-YTD'!$C$3:$N$150, MATCH($C46,'Input 5.1_2021VOL-YTD'!$R$3:$R$150,0),MATCH(BC$2,'Input 5.1_2021VOL-YTD'!$C$1:$N$1,0))/INDEX('Input 5_2021CUST-YTD'!$C$3:$N$150,MATCH($C46,'Input 5_2021CUST-YTD'!$S$3:$S$150,0),MATCH(BC$2,'Input 5_2021CUST-YTD'!$C$1:$N$1,0)),0)</f>
        <v>267294.97200000001</v>
      </c>
      <c r="BD46" s="1">
        <f>IFERROR(INDEX('Input 5.1_2021VOL-YTD'!$C$3:$N$150, MATCH($C46,'Input 5.1_2021VOL-YTD'!$R$3:$R$150,0),MATCH(BD$2,'Input 5.1_2021VOL-YTD'!$C$1:$N$1,0))/INDEX('Input 5_2021CUST-YTD'!$C$3:$N$150,MATCH($C46,'Input 5_2021CUST-YTD'!$S$3:$S$150,0),MATCH(BD$2,'Input 5_2021CUST-YTD'!$C$1:$N$1,0)),0)</f>
        <v>297143.69199999998</v>
      </c>
      <c r="BE46" s="1">
        <f>IFERROR(INDEX('Input 5.1_2021VOL-YTD'!$C$3:$N$150, MATCH($C46,'Input 5.1_2021VOL-YTD'!$R$3:$R$150,0),MATCH(BE$2,'Input 5.1_2021VOL-YTD'!$C$1:$N$1,0))/INDEX('Input 5_2021CUST-YTD'!$C$3:$N$150,MATCH($C46,'Input 5_2021CUST-YTD'!$S$3:$S$150,0),MATCH(BE$2,'Input 5_2021CUST-YTD'!$C$1:$N$1,0)),0)</f>
        <v>244980.77799999999</v>
      </c>
      <c r="BF46" s="1">
        <f>IFERROR(INDEX('Input 5.1_2021VOL-YTD'!$C$3:$N$150, MATCH($C46,'Input 5.1_2021VOL-YTD'!$R$3:$R$150,0),MATCH(BF$2,'Input 5.1_2021VOL-YTD'!$C$1:$N$1,0))/INDEX('Input 5_2021CUST-YTD'!$C$3:$N$150,MATCH($C46,'Input 5_2021CUST-YTD'!$S$3:$S$150,0),MATCH(BF$2,'Input 5_2021CUST-YTD'!$C$1:$N$1,0)),0)</f>
        <v>287933.80599999998</v>
      </c>
      <c r="BG46" s="1">
        <f>IFERROR(INDEX('Input 5.1_2021VOL-YTD'!$C$3:$N$150, MATCH($C46,'Input 5.1_2021VOL-YTD'!$R$3:$R$150,0),MATCH(BG$2,'Input 5.1_2021VOL-YTD'!$C$1:$N$1,0))/INDEX('Input 5_2021CUST-YTD'!$C$3:$N$150,MATCH($C46,'Input 5_2021CUST-YTD'!$S$3:$S$150,0),MATCH(BG$2,'Input 5_2021CUST-YTD'!$C$1:$N$1,0)),0)</f>
        <v>287163.16200000001</v>
      </c>
      <c r="BH46" s="1">
        <f>IFERROR(INDEX('Input 5.1_2021VOL-YTD'!$C$3:$N$150, MATCH($C46,'Input 5.1_2021VOL-YTD'!$R$3:$R$150,0),MATCH(BH$2,'Input 5.1_2021VOL-YTD'!$C$1:$N$1,0))/INDEX('Input 5_2021CUST-YTD'!$C$3:$N$150,MATCH($C46,'Input 5_2021CUST-YTD'!$S$3:$S$150,0),MATCH(BH$2,'Input 5_2021CUST-YTD'!$C$1:$N$1,0)),0)</f>
        <v>297901.85600000003</v>
      </c>
      <c r="BI46" s="190">
        <f t="shared" si="7"/>
        <v>335242.68799999997</v>
      </c>
      <c r="BJ46" s="261">
        <f t="shared" si="8"/>
        <v>3</v>
      </c>
    </row>
    <row r="47" spans="1:62">
      <c r="A47" s="261" t="s">
        <v>1245</v>
      </c>
      <c r="B47" s="261" t="s">
        <v>17</v>
      </c>
      <c r="C47" s="261" t="s">
        <v>999</v>
      </c>
      <c r="D47" s="5">
        <f>IFERROR(INDEX('Input 16.1_2018VOL-YTD'!$C$4:$N$300, MATCH($C47,'Input 16.1_2018VOL-YTD'!$R$4:$R$300,0),MATCH(D$2,'Input 16.1_2018VOL-YTD'!$C$1:$N$1,0))/INDEX('Input 16_2018CUST-YTD'!$D$4:$O$300,MATCH($C47,'Input 16_2018CUST-YTD'!$S$4:$S$300,0),MATCH(D$2,'Input 16_2018CUST-YTD'!$C$1:$O$1,0)),0)</f>
        <v>0</v>
      </c>
      <c r="E47" s="5">
        <f>IFERROR(INDEX('Input 16.1_2018VOL-YTD'!$C$4:$N$300, MATCH($C47,'Input 16.1_2018VOL-YTD'!$R$4:$R$300,0),MATCH(E$2,'Input 16.1_2018VOL-YTD'!$C$1:$N$1,0))/INDEX('Input 16_2018CUST-YTD'!$D$4:$O$300,MATCH($C47,'Input 16_2018CUST-YTD'!$S$4:$S$300,0),MATCH(E$2,'Input 16_2018CUST-YTD'!$C$1:$O$1,0)),0)</f>
        <v>0</v>
      </c>
      <c r="F47" s="5">
        <f>IFERROR(INDEX('Input 16.1_2018VOL-YTD'!$C$4:$N$300, MATCH($C47,'Input 16.1_2018VOL-YTD'!$R$4:$R$300,0),MATCH(F$2,'Input 16.1_2018VOL-YTD'!$C$1:$N$1,0))/INDEX('Input 16_2018CUST-YTD'!$D$4:$O$300,MATCH($C47,'Input 16_2018CUST-YTD'!$S$4:$S$300,0),MATCH(F$2,'Input 16_2018CUST-YTD'!$C$1:$O$1,0)),0)</f>
        <v>0</v>
      </c>
      <c r="G47" s="5">
        <f>IFERROR(INDEX('Input 16.1_2018VOL-YTD'!$C$4:$N$300, MATCH($C47,'Input 16.1_2018VOL-YTD'!$R$4:$R$300,0),MATCH(G$2,'Input 16.1_2018VOL-YTD'!$C$1:$N$1,0))/INDEX('Input 16_2018CUST-YTD'!$D$4:$O$300,MATCH($C47,'Input 16_2018CUST-YTD'!$S$4:$S$300,0),MATCH(G$2,'Input 16_2018CUST-YTD'!$C$1:$O$1,0)),0)</f>
        <v>0</v>
      </c>
      <c r="H47" s="5">
        <f>IFERROR(INDEX('Input 16.1_2018VOL-YTD'!$C$4:$N$300, MATCH($C47,'Input 16.1_2018VOL-YTD'!$R$4:$R$300,0),MATCH(H$2,'Input 16.1_2018VOL-YTD'!$C$1:$N$1,0))/INDEX('Input 16_2018CUST-YTD'!$D$4:$O$300,MATCH($C47,'Input 16_2018CUST-YTD'!$S$4:$S$300,0),MATCH(H$2,'Input 16_2018CUST-YTD'!$C$1:$O$1,0)),0)</f>
        <v>0</v>
      </c>
      <c r="I47" s="5">
        <f>IFERROR(INDEX('Input 16.1_2018VOL-YTD'!$C$4:$N$300, MATCH($C47,'Input 16.1_2018VOL-YTD'!$R$4:$R$300,0),MATCH(I$2,'Input 16.1_2018VOL-YTD'!$C$1:$N$1,0))/INDEX('Input 16_2018CUST-YTD'!$D$4:$O$300,MATCH($C47,'Input 16_2018CUST-YTD'!$S$4:$S$300,0),MATCH(I$2,'Input 16_2018CUST-YTD'!$C$1:$O$1,0)),0)</f>
        <v>0</v>
      </c>
      <c r="J47" s="5">
        <f>IFERROR(INDEX('Input 16.1_2018VOL-YTD'!$C$4:$N$300, MATCH($C47,'Input 16.1_2018VOL-YTD'!$R$4:$R$300,0),MATCH(J$2,'Input 16.1_2018VOL-YTD'!$C$1:$N$1,0))/INDEX('Input 16_2018CUST-YTD'!$D$4:$O$300,MATCH($C47,'Input 16_2018CUST-YTD'!$S$4:$S$300,0),MATCH(J$2,'Input 16_2018CUST-YTD'!$C$1:$O$1,0)),0)</f>
        <v>0</v>
      </c>
      <c r="K47" s="5">
        <f>IFERROR(INDEX('Input 16.1_2018VOL-YTD'!$C$4:$N$300, MATCH($C47,'Input 16.1_2018VOL-YTD'!$R$4:$R$300,0),MATCH(K$2,'Input 16.1_2018VOL-YTD'!$C$1:$N$1,0))/INDEX('Input 16_2018CUST-YTD'!$D$4:$O$300,MATCH($C47,'Input 16_2018CUST-YTD'!$S$4:$S$300,0),MATCH(K$2,'Input 16_2018CUST-YTD'!$C$1:$O$1,0)),0)</f>
        <v>0</v>
      </c>
      <c r="L47" s="5">
        <f>IFERROR(INDEX('Input 16.1_2018VOL-YTD'!$C$4:$N$300, MATCH($C47,'Input 16.1_2018VOL-YTD'!$R$4:$R$300,0),MATCH(L$2,'Input 16.1_2018VOL-YTD'!$C$1:$N$1,0))/INDEX('Input 16_2018CUST-YTD'!$D$4:$O$300,MATCH($C47,'Input 16_2018CUST-YTD'!$S$4:$S$300,0),MATCH(L$2,'Input 16_2018CUST-YTD'!$C$1:$O$1,0)),0)</f>
        <v>0</v>
      </c>
      <c r="M47" s="5">
        <f>IFERROR(INDEX('Input 16.1_2018VOL-YTD'!$C$4:$N$300, MATCH($C47,'Input 16.1_2018VOL-YTD'!$R$4:$R$300,0),MATCH(M$2,'Input 16.1_2018VOL-YTD'!$C$1:$N$1,0))/INDEX('Input 16_2018CUST-YTD'!$D$4:$O$300,MATCH($C47,'Input 16_2018CUST-YTD'!$S$4:$S$300,0),MATCH(M$2,'Input 16_2018CUST-YTD'!$C$1:$O$1,0)),0)</f>
        <v>0</v>
      </c>
      <c r="N47" s="5">
        <f>IFERROR(INDEX('Input 16.1_2018VOL-YTD'!$C$4:$N$300, MATCH($C47,'Input 16.1_2018VOL-YTD'!$R$4:$R$300,0),MATCH(N$2,'Input 16.1_2018VOL-YTD'!$C$1:$N$1,0))/INDEX('Input 16_2018CUST-YTD'!$D$4:$O$300,MATCH($C47,'Input 16_2018CUST-YTD'!$S$4:$S$300,0),MATCH(N$2,'Input 16_2018CUST-YTD'!$C$1:$O$1,0)),0)</f>
        <v>0</v>
      </c>
      <c r="O47" s="5">
        <f>IFERROR(INDEX('Input 16.1_2018VOL-YTD'!$C$4:$N$300, MATCH($C47,'Input 16.1_2018VOL-YTD'!$R$4:$R$300,0),MATCH(O$2,'Input 16.1_2018VOL-YTD'!$C$1:$N$1,0))/INDEX('Input 16_2018CUST-YTD'!$D$4:$O$300,MATCH($C47,'Input 16_2018CUST-YTD'!$S$4:$S$300,0),MATCH(O$2,'Input 16_2018CUST-YTD'!$C$1:$O$1,0)),0)</f>
        <v>0</v>
      </c>
      <c r="P47" s="271">
        <f t="shared" si="1"/>
        <v>0</v>
      </c>
      <c r="Q47" s="261">
        <f t="shared" si="2"/>
        <v>0</v>
      </c>
      <c r="S47" s="5">
        <f>IFERROR(INDEX('Input 3.1_2019VOL-YTD'!$C$4:$N$300, MATCH($C47,'Input 3.1_2019VOL-YTD'!$R$4:$R$300,0),MATCH(S$2,'Input 3.1_2019VOL-YTD'!$C$1:$N$1,0))/INDEX('Input 3_2019CUST-YTD'!$C$4:$N$300,MATCH($C47,'Input 3_2019CUST-YTD'!$S$4:$S$300,0),MATCH(S$2,'Input 3_2019CUST-YTD'!$C$1:$N$1,0)),0)</f>
        <v>0</v>
      </c>
      <c r="T47" s="5">
        <f>IFERROR(INDEX('Input 3.1_2019VOL-YTD'!$C$4:$N$300, MATCH($C47,'Input 3.1_2019VOL-YTD'!$R$4:$R$300,0),MATCH(T$2,'Input 3.1_2019VOL-YTD'!$C$1:$N$1,0))/INDEX('Input 3_2019CUST-YTD'!$C$4:$N$300,MATCH($C47,'Input 3_2019CUST-YTD'!$S$4:$S$300,0),MATCH(T$2,'Input 3_2019CUST-YTD'!$C$1:$N$1,0)),0)</f>
        <v>0</v>
      </c>
      <c r="U47" s="5">
        <f>IFERROR(INDEX('Input 3.1_2019VOL-YTD'!$C$4:$N$300, MATCH($C47,'Input 3.1_2019VOL-YTD'!$R$4:$R$300,0),MATCH(U$2,'Input 3.1_2019VOL-YTD'!$C$1:$N$1,0))/INDEX('Input 3_2019CUST-YTD'!$C$4:$N$300,MATCH($C47,'Input 3_2019CUST-YTD'!$S$4:$S$300,0),MATCH(U$2,'Input 3_2019CUST-YTD'!$C$1:$N$1,0)),0)</f>
        <v>0</v>
      </c>
      <c r="V47" s="5">
        <f>IFERROR(INDEX('Input 3.1_2019VOL-YTD'!$C$4:$N$300, MATCH($C47,'Input 3.1_2019VOL-YTD'!$R$4:$R$300,0),MATCH(V$2,'Input 3.1_2019VOL-YTD'!$C$1:$N$1,0))/INDEX('Input 3_2019CUST-YTD'!$C$4:$N$300,MATCH($C47,'Input 3_2019CUST-YTD'!$S$4:$S$300,0),MATCH(V$2,'Input 3_2019CUST-YTD'!$C$1:$N$1,0)),0)</f>
        <v>0</v>
      </c>
      <c r="W47" s="5">
        <f>IFERROR(INDEX('Input 3.1_2019VOL-YTD'!$C$4:$N$300, MATCH($C47,'Input 3.1_2019VOL-YTD'!$R$4:$R$300,0),MATCH(W$2,'Input 3.1_2019VOL-YTD'!$C$1:$N$1,0))/INDEX('Input 3_2019CUST-YTD'!$C$4:$N$300,MATCH($C47,'Input 3_2019CUST-YTD'!$S$4:$S$300,0),MATCH(W$2,'Input 3_2019CUST-YTD'!$C$1:$N$1,0)),0)</f>
        <v>0</v>
      </c>
      <c r="X47" s="5">
        <f>IFERROR(INDEX('Input 3.1_2019VOL-YTD'!$C$4:$N$300, MATCH($C47,'Input 3.1_2019VOL-YTD'!$R$4:$R$300,0),MATCH(X$2,'Input 3.1_2019VOL-YTD'!$C$1:$N$1,0))/INDEX('Input 3_2019CUST-YTD'!$C$4:$N$300,MATCH($C47,'Input 3_2019CUST-YTD'!$S$4:$S$300,0),MATCH(X$2,'Input 3_2019CUST-YTD'!$C$1:$N$1,0)),0)</f>
        <v>0</v>
      </c>
      <c r="Y47" s="5">
        <f>IFERROR(INDEX('Input 3.1_2019VOL-YTD'!$C$4:$N$300, MATCH($C47,'Input 3.1_2019VOL-YTD'!$R$4:$R$300,0),MATCH(Y$2,'Input 3.1_2019VOL-YTD'!$C$1:$N$1,0))/INDEX('Input 3_2019CUST-YTD'!$C$4:$N$300,MATCH($C47,'Input 3_2019CUST-YTD'!$S$4:$S$300,0),MATCH(Y$2,'Input 3_2019CUST-YTD'!$C$1:$N$1,0)),0)</f>
        <v>0</v>
      </c>
      <c r="Z47" s="5">
        <f>IFERROR(INDEX('Input 3.1_2019VOL-YTD'!$C$4:$N$300, MATCH($C47,'Input 3.1_2019VOL-YTD'!$R$4:$R$300,0),MATCH(Z$2,'Input 3.1_2019VOL-YTD'!$C$1:$N$1,0))/INDEX('Input 3_2019CUST-YTD'!$C$4:$N$300,MATCH($C47,'Input 3_2019CUST-YTD'!$S$4:$S$300,0),MATCH(Z$2,'Input 3_2019CUST-YTD'!$C$1:$N$1,0)),0)</f>
        <v>0</v>
      </c>
      <c r="AA47" s="5">
        <f>IFERROR(INDEX('Input 3.1_2019VOL-YTD'!$C$4:$N$300, MATCH($C47,'Input 3.1_2019VOL-YTD'!$R$4:$R$300,0),MATCH(AA$2,'Input 3.1_2019VOL-YTD'!$C$1:$N$1,0))/INDEX('Input 3_2019CUST-YTD'!$C$4:$N$300,MATCH($C47,'Input 3_2019CUST-YTD'!$S$4:$S$300,0),MATCH(AA$2,'Input 3_2019CUST-YTD'!$C$1:$N$1,0)),0)</f>
        <v>0</v>
      </c>
      <c r="AB47" s="5">
        <f>IFERROR(INDEX('Input 3.1_2019VOL-YTD'!$C$4:$N$300, MATCH($C47,'Input 3.1_2019VOL-YTD'!$R$4:$R$300,0),MATCH(AB$2,'Input 3.1_2019VOL-YTD'!$C$1:$N$1,0))/INDEX('Input 3_2019CUST-YTD'!$C$4:$N$300,MATCH($C47,'Input 3_2019CUST-YTD'!$S$4:$S$300,0),MATCH(AB$2,'Input 3_2019CUST-YTD'!$C$1:$N$1,0)),0)</f>
        <v>0</v>
      </c>
      <c r="AC47" s="5">
        <f>IFERROR(INDEX('Input 3.1_2019VOL-YTD'!$C$4:$N$300, MATCH($C47,'Input 3.1_2019VOL-YTD'!$R$4:$R$300,0),MATCH(AC$2,'Input 3.1_2019VOL-YTD'!$C$1:$N$1,0))/INDEX('Input 3_2019CUST-YTD'!$C$4:$N$300,MATCH($C47,'Input 3_2019CUST-YTD'!$S$4:$S$300,0),MATCH(AC$2,'Input 3_2019CUST-YTD'!$C$1:$N$1,0)),0)</f>
        <v>0</v>
      </c>
      <c r="AD47" s="5">
        <f>IFERROR(INDEX('Input 3.1_2019VOL-YTD'!$C$4:$N$300, MATCH($C47,'Input 3.1_2019VOL-YTD'!$R$4:$R$300,0),MATCH(AD$2,'Input 3.1_2019VOL-YTD'!$C$1:$N$1,0))/INDEX('Input 3_2019CUST-YTD'!$C$4:$N$300,MATCH($C47,'Input 3_2019CUST-YTD'!$S$4:$S$300,0),MATCH(AD$2,'Input 3_2019CUST-YTD'!$C$1:$N$1,0)),0)</f>
        <v>0</v>
      </c>
      <c r="AE47" s="272">
        <f t="shared" si="12"/>
        <v>0</v>
      </c>
      <c r="AF47" s="261">
        <f t="shared" si="13"/>
        <v>1</v>
      </c>
      <c r="AH47" s="262">
        <f>IFERROR(INDEX('Input 4.1_2020VOL-YTD'!$C$4:$O$300, MATCH($C47,'Input 4.1_2020VOL-YTD'!$R$4:$R$300,0),MATCH(AH$2,'Input 4.1_2020VOL-YTD'!$C$1:$O$1,0))/INDEX('Input 4_2020CUST-YTD'!$C$4:O$300,MATCH($C47,'Input 4_2020CUST-YTD'!$S$4:$S$300,0),MATCH(AH$2,'Input 4_2020CUST-YTD'!$C$1:$O$1,0)),0)</f>
        <v>0</v>
      </c>
      <c r="AI47" s="262">
        <f>IFERROR(INDEX('Input 4.1_2020VOL-YTD'!$C$4:$O$300, MATCH($C47,'Input 4.1_2020VOL-YTD'!$R$4:$R$300,0),MATCH(AI$2,'Input 4.1_2020VOL-YTD'!$C$1:$O$1,0))/INDEX('Input 4_2020CUST-YTD'!$C$4:P$300,MATCH($C47,'Input 4_2020CUST-YTD'!$S$4:$S$300,0),MATCH(AI$2,'Input 4_2020CUST-YTD'!$C$1:$O$1,0)),0)</f>
        <v>0</v>
      </c>
      <c r="AJ47" s="262">
        <f>IFERROR(INDEX('Input 4.1_2020VOL-YTD'!$C$4:$O$300, MATCH($C47,'Input 4.1_2020VOL-YTD'!$R$4:$R$300,0),MATCH(AJ$2,'Input 4.1_2020VOL-YTD'!$C$1:$O$1,0))/INDEX('Input 4_2020CUST-YTD'!$C$4:Q$300,MATCH($C47,'Input 4_2020CUST-YTD'!$S$4:$S$300,0),MATCH(AJ$2,'Input 4_2020CUST-YTD'!$C$1:$O$1,0)),0)</f>
        <v>0</v>
      </c>
      <c r="AK47" s="262">
        <f>IFERROR(INDEX('Input 4.1_2020VOL-YTD'!$C$4:$O$300, MATCH($C47,'Input 4.1_2020VOL-YTD'!$R$4:$R$300,0),MATCH(AK$2,'Input 4.1_2020VOL-YTD'!$C$1:$O$1,0))/INDEX('Input 4_2020CUST-YTD'!$C$4:R$300,MATCH($C47,'Input 4_2020CUST-YTD'!$S$4:$S$300,0),MATCH(AK$2,'Input 4_2020CUST-YTD'!$C$1:$O$1,0)),0)</f>
        <v>0</v>
      </c>
      <c r="AL47" s="262">
        <f>IFERROR(INDEX('Input 4.1_2020VOL-YTD'!$C$4:$O$300, MATCH($C47,'Input 4.1_2020VOL-YTD'!$R$4:$R$300,0),MATCH(AL$2,'Input 4.1_2020VOL-YTD'!$C$1:$O$1,0))/INDEX('Input 4_2020CUST-YTD'!$C$4:S$300,MATCH($C47,'Input 4_2020CUST-YTD'!$S$4:$S$300,0),MATCH(AL$2,'Input 4_2020CUST-YTD'!$C$1:$O$1,0)),0)</f>
        <v>0</v>
      </c>
      <c r="AM47" s="262">
        <f>IFERROR(INDEX('Input 4.1_2020VOL-YTD'!$C$4:$O$300, MATCH($C47,'Input 4.1_2020VOL-YTD'!$R$4:$R$300,0),MATCH(AM$2,'Input 4.1_2020VOL-YTD'!$C$1:$O$1,0))/INDEX('Input 4_2020CUST-YTD'!$C$4:T$300,MATCH($C47,'Input 4_2020CUST-YTD'!$S$4:$S$300,0),MATCH(AM$2,'Input 4_2020CUST-YTD'!$C$1:$O$1,0)),0)</f>
        <v>0</v>
      </c>
      <c r="AN47" s="262">
        <f>IFERROR(INDEX('Input 4.1_2020VOL-YTD'!$C$4:$O$300, MATCH($C47,'Input 4.1_2020VOL-YTD'!$R$4:$R$300,0),MATCH(AN$2,'Input 4.1_2020VOL-YTD'!$C$1:$O$1,0))/INDEX('Input 4_2020CUST-YTD'!$C$4:U$300,MATCH($C47,'Input 4_2020CUST-YTD'!$S$4:$S$300,0),MATCH(AN$2,'Input 4_2020CUST-YTD'!$C$1:$O$1,0)),0)</f>
        <v>0</v>
      </c>
      <c r="AO47" s="262">
        <f>IFERROR(INDEX('Input 4.1_2020VOL-YTD'!$C$4:$O$300, MATCH($C47,'Input 4.1_2020VOL-YTD'!$R$4:$R$300,0),MATCH(AO$2,'Input 4.1_2020VOL-YTD'!$C$1:$O$1,0))/INDEX('Input 4_2020CUST-YTD'!$C$4:V$300,MATCH($C47,'Input 4_2020CUST-YTD'!$S$4:$S$300,0),MATCH(AO$2,'Input 4_2020CUST-YTD'!$C$1:$O$1,0)),0)</f>
        <v>0</v>
      </c>
      <c r="AP47" s="262">
        <f>IFERROR(INDEX('Input 4.1_2020VOL-YTD'!$C$4:$O$300, MATCH($C47,'Input 4.1_2020VOL-YTD'!$R$4:$R$300,0),MATCH(AP$2,'Input 4.1_2020VOL-YTD'!$C$1:$O$1,0))/INDEX('Input 4_2020CUST-YTD'!$C$4:W$300,MATCH($C47,'Input 4_2020CUST-YTD'!$S$4:$S$300,0),MATCH(AP$2,'Input 4_2020CUST-YTD'!$C$1:$O$1,0)),0)</f>
        <v>0</v>
      </c>
      <c r="AQ47" s="262">
        <f>IFERROR(INDEX('Input 4.1_2020VOL-YTD'!$C$4:$O$300, MATCH($C47,'Input 4.1_2020VOL-YTD'!$R$4:$R$300,0),MATCH(AQ$2,'Input 4.1_2020VOL-YTD'!$C$1:$O$1,0))/INDEX('Input 4_2020CUST-YTD'!$C$4:X$300,MATCH($C47,'Input 4_2020CUST-YTD'!$S$4:$S$300,0),MATCH(AQ$2,'Input 4_2020CUST-YTD'!$C$1:$O$1,0)),0)</f>
        <v>0</v>
      </c>
      <c r="AR47" s="262">
        <f>IFERROR(INDEX('Input 4.1_2020VOL-YTD'!$C$4:$O$300, MATCH($C47,'Input 4.1_2020VOL-YTD'!$R$4:$R$300,0),MATCH(AR$2,'Input 4.1_2020VOL-YTD'!$C$1:$O$1,0))/INDEX('Input 4_2020CUST-YTD'!$C$4:Y$300,MATCH($C47,'Input 4_2020CUST-YTD'!$S$4:$S$300,0),MATCH(AR$2,'Input 4_2020CUST-YTD'!$C$1:$O$1,0)),0)</f>
        <v>0</v>
      </c>
      <c r="AS47" s="262">
        <f>IFERROR(INDEX('Input 4.1_2020VOL-YTD'!$C$4:$O$300, MATCH($C47,'Input 4.1_2020VOL-YTD'!$R$4:$R$300,0),MATCH(AS$2,'Input 4.1_2020VOL-YTD'!$C$1:$O$1,0))/INDEX('Input 4_2020CUST-YTD'!$C$4:Z$300,MATCH($C47,'Input 4_2020CUST-YTD'!$S$4:$S$300,0),MATCH(AS$2,'Input 4_2020CUST-YTD'!$C$1:$O$1,0)),0)</f>
        <v>0</v>
      </c>
      <c r="AT47" s="190">
        <f t="shared" si="14"/>
        <v>0</v>
      </c>
      <c r="AU47" s="261">
        <f t="shared" si="15"/>
        <v>1</v>
      </c>
      <c r="AW47" s="1">
        <f>IFERROR(INDEX('Input 5.1_2021VOL-YTD'!$C$3:$N$150, MATCH($C47,'Input 5.1_2021VOL-YTD'!$R$3:$R$150,0),MATCH(AW$2,'Input 5.1_2021VOL-YTD'!$C$1:$N$1,0))/INDEX('Input 5_2021CUST-YTD'!$C$3:$N$150,MATCH($C47,'Input 5_2021CUST-YTD'!$S$3:$S$150,0),MATCH(AW$2,'Input 5_2021CUST-YTD'!$C$1:$N$1,0)),0)</f>
        <v>0</v>
      </c>
      <c r="AX47" s="1">
        <f>IFERROR(INDEX('Input 5.1_2021VOL-YTD'!$C$3:$N$150, MATCH($C47,'Input 5.1_2021VOL-YTD'!$R$3:$R$150,0),MATCH(AX$2,'Input 5.1_2021VOL-YTD'!$C$1:$N$1,0))/INDEX('Input 5_2021CUST-YTD'!$C$3:$N$150,MATCH($C47,'Input 5_2021CUST-YTD'!$S$3:$S$150,0),MATCH(AX$2,'Input 5_2021CUST-YTD'!$C$1:$N$1,0)),0)</f>
        <v>0</v>
      </c>
      <c r="AY47" s="1">
        <f>IFERROR(INDEX('Input 5.1_2021VOL-YTD'!$C$3:$N$150, MATCH($C47,'Input 5.1_2021VOL-YTD'!$R$3:$R$150,0),MATCH(AY$2,'Input 5.1_2021VOL-YTD'!$C$1:$N$1,0))/INDEX('Input 5_2021CUST-YTD'!$C$3:$N$150,MATCH($C47,'Input 5_2021CUST-YTD'!$S$3:$S$150,0),MATCH(AY$2,'Input 5_2021CUST-YTD'!$C$1:$N$1,0)),0)</f>
        <v>0</v>
      </c>
      <c r="AZ47" s="1">
        <f>IFERROR(INDEX('Input 5.1_2021VOL-YTD'!$C$3:$N$150, MATCH($C47,'Input 5.1_2021VOL-YTD'!$R$3:$R$150,0),MATCH(AZ$2,'Input 5.1_2021VOL-YTD'!$C$1:$N$1,0))/INDEX('Input 5_2021CUST-YTD'!$C$3:$N$150,MATCH($C47,'Input 5_2021CUST-YTD'!$S$3:$S$150,0),MATCH(AZ$2,'Input 5_2021CUST-YTD'!$C$1:$N$1,0)),0)</f>
        <v>0</v>
      </c>
      <c r="BA47" s="1">
        <f>IFERROR(INDEX('Input 5.1_2021VOL-YTD'!$C$3:$N$150, MATCH($C47,'Input 5.1_2021VOL-YTD'!$R$3:$R$150,0),MATCH(BA$2,'Input 5.1_2021VOL-YTD'!$C$1:$N$1,0))/INDEX('Input 5_2021CUST-YTD'!$C$3:$N$150,MATCH($C47,'Input 5_2021CUST-YTD'!$S$3:$S$150,0),MATCH(BA$2,'Input 5_2021CUST-YTD'!$C$1:$N$1,0)),0)</f>
        <v>0</v>
      </c>
      <c r="BB47" s="1">
        <f>IFERROR(INDEX('Input 5.1_2021VOL-YTD'!$C$3:$N$150, MATCH($C47,'Input 5.1_2021VOL-YTD'!$R$3:$R$150,0),MATCH(BB$2,'Input 5.1_2021VOL-YTD'!$C$1:$N$1,0))/INDEX('Input 5_2021CUST-YTD'!$C$3:$N$150,MATCH($C47,'Input 5_2021CUST-YTD'!$S$3:$S$150,0),MATCH(BB$2,'Input 5_2021CUST-YTD'!$C$1:$N$1,0)),0)</f>
        <v>0</v>
      </c>
      <c r="BC47" s="1">
        <f>IFERROR(INDEX('Input 5.1_2021VOL-YTD'!$C$3:$N$150, MATCH($C47,'Input 5.1_2021VOL-YTD'!$R$3:$R$150,0),MATCH(BC$2,'Input 5.1_2021VOL-YTD'!$C$1:$N$1,0))/INDEX('Input 5_2021CUST-YTD'!$C$3:$N$150,MATCH($C47,'Input 5_2021CUST-YTD'!$S$3:$S$150,0),MATCH(BC$2,'Input 5_2021CUST-YTD'!$C$1:$N$1,0)),0)</f>
        <v>0</v>
      </c>
      <c r="BD47" s="1">
        <f>IFERROR(INDEX('Input 5.1_2021VOL-YTD'!$C$3:$N$150, MATCH($C47,'Input 5.1_2021VOL-YTD'!$R$3:$R$150,0),MATCH(BD$2,'Input 5.1_2021VOL-YTD'!$C$1:$N$1,0))/INDEX('Input 5_2021CUST-YTD'!$C$3:$N$150,MATCH($C47,'Input 5_2021CUST-YTD'!$S$3:$S$150,0),MATCH(BD$2,'Input 5_2021CUST-YTD'!$C$1:$N$1,0)),0)</f>
        <v>0</v>
      </c>
      <c r="BE47" s="1">
        <f>IFERROR(INDEX('Input 5.1_2021VOL-YTD'!$C$3:$N$150, MATCH($C47,'Input 5.1_2021VOL-YTD'!$R$3:$R$150,0),MATCH(BE$2,'Input 5.1_2021VOL-YTD'!$C$1:$N$1,0))/INDEX('Input 5_2021CUST-YTD'!$C$3:$N$150,MATCH($C47,'Input 5_2021CUST-YTD'!$S$3:$S$150,0),MATCH(BE$2,'Input 5_2021CUST-YTD'!$C$1:$N$1,0)),0)</f>
        <v>0</v>
      </c>
      <c r="BF47" s="1">
        <f>IFERROR(INDEX('Input 5.1_2021VOL-YTD'!$C$3:$N$150, MATCH($C47,'Input 5.1_2021VOL-YTD'!$R$3:$R$150,0),MATCH(BF$2,'Input 5.1_2021VOL-YTD'!$C$1:$N$1,0))/INDEX('Input 5_2021CUST-YTD'!$C$3:$N$150,MATCH($C47,'Input 5_2021CUST-YTD'!$S$3:$S$150,0),MATCH(BF$2,'Input 5_2021CUST-YTD'!$C$1:$N$1,0)),0)</f>
        <v>0</v>
      </c>
      <c r="BG47" s="1">
        <f>IFERROR(INDEX('Input 5.1_2021VOL-YTD'!$C$3:$N$150, MATCH($C47,'Input 5.1_2021VOL-YTD'!$R$3:$R$150,0),MATCH(BG$2,'Input 5.1_2021VOL-YTD'!$C$1:$N$1,0))/INDEX('Input 5_2021CUST-YTD'!$C$3:$N$150,MATCH($C47,'Input 5_2021CUST-YTD'!$S$3:$S$150,0),MATCH(BG$2,'Input 5_2021CUST-YTD'!$C$1:$N$1,0)),0)</f>
        <v>0</v>
      </c>
      <c r="BH47" s="1">
        <f>IFERROR(INDEX('Input 5.1_2021VOL-YTD'!$C$3:$N$150, MATCH($C47,'Input 5.1_2021VOL-YTD'!$R$3:$R$150,0),MATCH(BH$2,'Input 5.1_2021VOL-YTD'!$C$1:$N$1,0))/INDEX('Input 5_2021CUST-YTD'!$C$3:$N$150,MATCH($C47,'Input 5_2021CUST-YTD'!$S$3:$S$150,0),MATCH(BH$2,'Input 5_2021CUST-YTD'!$C$1:$N$1,0)),0)</f>
        <v>0</v>
      </c>
      <c r="BI47" s="190">
        <f t="shared" si="7"/>
        <v>0</v>
      </c>
      <c r="BJ47" s="261">
        <f t="shared" si="8"/>
        <v>1</v>
      </c>
    </row>
    <row r="48" spans="1:62">
      <c r="A48" s="261" t="s">
        <v>1245</v>
      </c>
      <c r="B48" s="261" t="s">
        <v>17</v>
      </c>
      <c r="C48" s="261" t="s">
        <v>62</v>
      </c>
      <c r="D48" s="5">
        <f>IFERROR(INDEX('Input 16.1_2018VOL-YTD'!$C$4:$N$300, MATCH($C48,'Input 16.1_2018VOL-YTD'!$R$4:$R$300,0),MATCH(D$2,'Input 16.1_2018VOL-YTD'!$C$1:$N$1,0))/INDEX('Input 16_2018CUST-YTD'!$D$4:$O$300,MATCH($C48,'Input 16_2018CUST-YTD'!$S$4:$S$300,0),MATCH(D$2,'Input 16_2018CUST-YTD'!$C$1:$O$1,0)),0)</f>
        <v>60.36</v>
      </c>
      <c r="E48" s="5">
        <f>IFERROR(INDEX('Input 16.1_2018VOL-YTD'!$C$4:$N$300, MATCH($C48,'Input 16.1_2018VOL-YTD'!$R$4:$R$300,0),MATCH(E$2,'Input 16.1_2018VOL-YTD'!$C$1:$N$1,0))/INDEX('Input 16_2018CUST-YTD'!$D$4:$O$300,MATCH($C48,'Input 16_2018CUST-YTD'!$S$4:$S$300,0),MATCH(E$2,'Input 16_2018CUST-YTD'!$C$1:$O$1,0)),0)</f>
        <v>64.547499999999999</v>
      </c>
      <c r="F48" s="5">
        <f>IFERROR(INDEX('Input 16.1_2018VOL-YTD'!$C$4:$N$300, MATCH($C48,'Input 16.1_2018VOL-YTD'!$R$4:$R$300,0),MATCH(F$2,'Input 16.1_2018VOL-YTD'!$C$1:$N$1,0))/INDEX('Input 16_2018CUST-YTD'!$D$4:$O$300,MATCH($C48,'Input 16_2018CUST-YTD'!$S$4:$S$300,0),MATCH(F$2,'Input 16_2018CUST-YTD'!$C$1:$O$1,0)),0)</f>
        <v>63.512500000000003</v>
      </c>
      <c r="G48" s="5">
        <f>IFERROR(INDEX('Input 16.1_2018VOL-YTD'!$C$4:$N$300, MATCH($C48,'Input 16.1_2018VOL-YTD'!$R$4:$R$300,0),MATCH(G$2,'Input 16.1_2018VOL-YTD'!$C$1:$N$1,0))/INDEX('Input 16_2018CUST-YTD'!$D$4:$O$300,MATCH($C48,'Input 16_2018CUST-YTD'!$S$4:$S$300,0),MATCH(G$2,'Input 16_2018CUST-YTD'!$C$1:$O$1,0)),0)</f>
        <v>52.712499999999999</v>
      </c>
      <c r="H48" s="5">
        <f>IFERROR(INDEX('Input 16.1_2018VOL-YTD'!$C$4:$N$300, MATCH($C48,'Input 16.1_2018VOL-YTD'!$R$4:$R$300,0),MATCH(H$2,'Input 16.1_2018VOL-YTD'!$C$1:$N$1,0))/INDEX('Input 16_2018CUST-YTD'!$D$4:$O$300,MATCH($C48,'Input 16_2018CUST-YTD'!$S$4:$S$300,0),MATCH(H$2,'Input 16_2018CUST-YTD'!$C$1:$O$1,0)),0)</f>
        <v>46.884999999999998</v>
      </c>
      <c r="I48" s="5">
        <f>IFERROR(INDEX('Input 16.1_2018VOL-YTD'!$C$4:$N$300, MATCH($C48,'Input 16.1_2018VOL-YTD'!$R$4:$R$300,0),MATCH(I$2,'Input 16.1_2018VOL-YTD'!$C$1:$N$1,0))/INDEX('Input 16_2018CUST-YTD'!$D$4:$O$300,MATCH($C48,'Input 16_2018CUST-YTD'!$S$4:$S$300,0),MATCH(I$2,'Input 16_2018CUST-YTD'!$C$1:$O$1,0)),0)</f>
        <v>50.015000000000001</v>
      </c>
      <c r="J48" s="5">
        <f>IFERROR(INDEX('Input 16.1_2018VOL-YTD'!$C$4:$N$300, MATCH($C48,'Input 16.1_2018VOL-YTD'!$R$4:$R$300,0),MATCH(J$2,'Input 16.1_2018VOL-YTD'!$C$1:$N$1,0))/INDEX('Input 16_2018CUST-YTD'!$D$4:$O$300,MATCH($C48,'Input 16_2018CUST-YTD'!$S$4:$S$300,0),MATCH(J$2,'Input 16_2018CUST-YTD'!$C$1:$O$1,0)),0)</f>
        <v>45.25</v>
      </c>
      <c r="K48" s="5">
        <f>IFERROR(INDEX('Input 16.1_2018VOL-YTD'!$C$4:$N$300, MATCH($C48,'Input 16.1_2018VOL-YTD'!$R$4:$R$300,0),MATCH(K$2,'Input 16.1_2018VOL-YTD'!$C$1:$N$1,0))/INDEX('Input 16_2018CUST-YTD'!$D$4:$O$300,MATCH($C48,'Input 16_2018CUST-YTD'!$S$4:$S$300,0),MATCH(K$2,'Input 16_2018CUST-YTD'!$C$1:$O$1,0)),0)</f>
        <v>35.624000000000002</v>
      </c>
      <c r="L48" s="5">
        <f>IFERROR(INDEX('Input 16.1_2018VOL-YTD'!$C$4:$N$300, MATCH($C48,'Input 16.1_2018VOL-YTD'!$R$4:$R$300,0),MATCH(L$2,'Input 16.1_2018VOL-YTD'!$C$1:$N$1,0))/INDEX('Input 16_2018CUST-YTD'!$D$4:$O$300,MATCH($C48,'Input 16_2018CUST-YTD'!$S$4:$S$300,0),MATCH(L$2,'Input 16_2018CUST-YTD'!$C$1:$O$1,0)),0)</f>
        <v>85.2</v>
      </c>
      <c r="M48" s="5">
        <f>IFERROR(INDEX('Input 16.1_2018VOL-YTD'!$C$4:$N$300, MATCH($C48,'Input 16.1_2018VOL-YTD'!$R$4:$R$300,0),MATCH(M$2,'Input 16.1_2018VOL-YTD'!$C$1:$N$1,0))/INDEX('Input 16_2018CUST-YTD'!$D$4:$O$300,MATCH($C48,'Input 16_2018CUST-YTD'!$S$4:$S$300,0),MATCH(M$2,'Input 16_2018CUST-YTD'!$C$1:$O$1,0)),0)</f>
        <v>69.522000000000006</v>
      </c>
      <c r="N48" s="5">
        <f>IFERROR(INDEX('Input 16.1_2018VOL-YTD'!$C$4:$N$300, MATCH($C48,'Input 16.1_2018VOL-YTD'!$R$4:$R$300,0),MATCH(N$2,'Input 16.1_2018VOL-YTD'!$C$1:$N$1,0))/INDEX('Input 16_2018CUST-YTD'!$D$4:$O$300,MATCH($C48,'Input 16_2018CUST-YTD'!$S$4:$S$300,0),MATCH(N$2,'Input 16_2018CUST-YTD'!$C$1:$O$1,0)),0)</f>
        <v>67.294000000000011</v>
      </c>
      <c r="O48" s="5">
        <f>IFERROR(INDEX('Input 16.1_2018VOL-YTD'!$C$4:$N$300, MATCH($C48,'Input 16.1_2018VOL-YTD'!$R$4:$R$300,0),MATCH(O$2,'Input 16.1_2018VOL-YTD'!$C$1:$N$1,0))/INDEX('Input 16_2018CUST-YTD'!$D$4:$O$300,MATCH($C48,'Input 16_2018CUST-YTD'!$S$4:$S$300,0),MATCH(O$2,'Input 16_2018CUST-YTD'!$C$1:$O$1,0)),0)</f>
        <v>98.123076923076923</v>
      </c>
      <c r="P48" s="271">
        <f t="shared" si="1"/>
        <v>98.123076923076923</v>
      </c>
      <c r="Q48" s="261">
        <f t="shared" si="2"/>
        <v>12</v>
      </c>
      <c r="S48" s="5">
        <f>IFERROR(INDEX('Input 3.1_2019VOL-YTD'!$C$4:$N$300, MATCH($C48,'Input 3.1_2019VOL-YTD'!$R$4:$R$300,0),MATCH(S$2,'Input 3.1_2019VOL-YTD'!$C$1:$N$1,0))/INDEX('Input 3_2019CUST-YTD'!$C$4:$N$300,MATCH($C48,'Input 3_2019CUST-YTD'!$S$4:$S$300,0),MATCH(S$2,'Input 3_2019CUST-YTD'!$C$1:$N$1,0)),0)</f>
        <v>113.758</v>
      </c>
      <c r="T48" s="5">
        <f>IFERROR(INDEX('Input 3.1_2019VOL-YTD'!$C$4:$N$300, MATCH($C48,'Input 3.1_2019VOL-YTD'!$R$4:$R$300,0),MATCH(T$2,'Input 3.1_2019VOL-YTD'!$C$1:$N$1,0))/INDEX('Input 3_2019CUST-YTD'!$C$4:$N$300,MATCH($C48,'Input 3_2019CUST-YTD'!$S$4:$S$300,0),MATCH(T$2,'Input 3_2019CUST-YTD'!$C$1:$N$1,0)),0)</f>
        <v>92.31</v>
      </c>
      <c r="U48" s="5">
        <f>IFERROR(INDEX('Input 3.1_2019VOL-YTD'!$C$4:$N$300, MATCH($C48,'Input 3.1_2019VOL-YTD'!$R$4:$R$300,0),MATCH(U$2,'Input 3.1_2019VOL-YTD'!$C$1:$N$1,0))/INDEX('Input 3_2019CUST-YTD'!$C$4:$N$300,MATCH($C48,'Input 3_2019CUST-YTD'!$S$4:$S$300,0),MATCH(U$2,'Input 3_2019CUST-YTD'!$C$1:$N$1,0)),0)</f>
        <v>38.744</v>
      </c>
      <c r="V48" s="5">
        <f>IFERROR(INDEX('Input 3.1_2019VOL-YTD'!$C$4:$N$300, MATCH($C48,'Input 3.1_2019VOL-YTD'!$R$4:$R$300,0),MATCH(V$2,'Input 3.1_2019VOL-YTD'!$C$1:$N$1,0))/INDEX('Input 3_2019CUST-YTD'!$C$4:$N$300,MATCH($C48,'Input 3_2019CUST-YTD'!$S$4:$S$300,0),MATCH(V$2,'Input 3_2019CUST-YTD'!$C$1:$N$1,0)),0)</f>
        <v>111.042</v>
      </c>
      <c r="W48" s="5">
        <f>IFERROR(INDEX('Input 3.1_2019VOL-YTD'!$C$4:$N$300, MATCH($C48,'Input 3.1_2019VOL-YTD'!$R$4:$R$300,0),MATCH(W$2,'Input 3.1_2019VOL-YTD'!$C$1:$N$1,0))/INDEX('Input 3_2019CUST-YTD'!$C$4:$N$300,MATCH($C48,'Input 3_2019CUST-YTD'!$S$4:$S$300,0),MATCH(W$2,'Input 3_2019CUST-YTD'!$C$1:$N$1,0)),0)</f>
        <v>38.730000000000004</v>
      </c>
      <c r="X48" s="5">
        <f>IFERROR(INDEX('Input 3.1_2019VOL-YTD'!$C$4:$N$300, MATCH($C48,'Input 3.1_2019VOL-YTD'!$R$4:$R$300,0),MATCH(X$2,'Input 3.1_2019VOL-YTD'!$C$1:$N$1,0))/INDEX('Input 3_2019CUST-YTD'!$C$4:$N$300,MATCH($C48,'Input 3_2019CUST-YTD'!$S$4:$S$300,0),MATCH(X$2,'Input 3_2019CUST-YTD'!$C$1:$N$1,0)),0)</f>
        <v>112.36833333333334</v>
      </c>
      <c r="Y48" s="5">
        <f>IFERROR(INDEX('Input 3.1_2019VOL-YTD'!$C$4:$N$300, MATCH($C48,'Input 3.1_2019VOL-YTD'!$R$4:$R$300,0),MATCH(Y$2,'Input 3.1_2019VOL-YTD'!$C$1:$N$1,0))/INDEX('Input 3_2019CUST-YTD'!$C$4:$N$300,MATCH($C48,'Input 3_2019CUST-YTD'!$S$4:$S$300,0),MATCH(Y$2,'Input 3_2019CUST-YTD'!$C$1:$N$1,0)),0)</f>
        <v>82.01</v>
      </c>
      <c r="Z48" s="5">
        <f>IFERROR(INDEX('Input 3.1_2019VOL-YTD'!$C$4:$N$300, MATCH($C48,'Input 3.1_2019VOL-YTD'!$R$4:$R$300,0),MATCH(Z$2,'Input 3.1_2019VOL-YTD'!$C$1:$N$1,0))/INDEX('Input 3_2019CUST-YTD'!$C$4:$N$300,MATCH($C48,'Input 3_2019CUST-YTD'!$S$4:$S$300,0),MATCH(Z$2,'Input 3_2019CUST-YTD'!$C$1:$N$1,0)),0)</f>
        <v>70.981666666666669</v>
      </c>
      <c r="AA48" s="5">
        <f>IFERROR(INDEX('Input 3.1_2019VOL-YTD'!$C$4:$N$300, MATCH($C48,'Input 3.1_2019VOL-YTD'!$R$4:$R$300,0),MATCH(AA$2,'Input 3.1_2019VOL-YTD'!$C$1:$N$1,0))/INDEX('Input 3_2019CUST-YTD'!$C$4:$N$300,MATCH($C48,'Input 3_2019CUST-YTD'!$S$4:$S$300,0),MATCH(AA$2,'Input 3_2019CUST-YTD'!$C$1:$N$1,0)),0)</f>
        <v>42.374000000000002</v>
      </c>
      <c r="AB48" s="5">
        <f>IFERROR(INDEX('Input 3.1_2019VOL-YTD'!$C$4:$N$300, MATCH($C48,'Input 3.1_2019VOL-YTD'!$R$4:$R$300,0),MATCH(AB$2,'Input 3.1_2019VOL-YTD'!$C$1:$N$1,0))/INDEX('Input 3_2019CUST-YTD'!$C$4:$N$300,MATCH($C48,'Input 3_2019CUST-YTD'!$S$4:$S$300,0),MATCH(AB$2,'Input 3_2019CUST-YTD'!$C$1:$N$1,0)),0)</f>
        <v>44.154000000000003</v>
      </c>
      <c r="AC48" s="5">
        <f>IFERROR(INDEX('Input 3.1_2019VOL-YTD'!$C$4:$N$300, MATCH($C48,'Input 3.1_2019VOL-YTD'!$R$4:$R$300,0),MATCH(AC$2,'Input 3.1_2019VOL-YTD'!$C$1:$N$1,0))/INDEX('Input 3_2019CUST-YTD'!$C$4:$N$300,MATCH($C48,'Input 3_2019CUST-YTD'!$S$4:$S$300,0),MATCH(AC$2,'Input 3_2019CUST-YTD'!$C$1:$N$1,0)),0)</f>
        <v>45.17</v>
      </c>
      <c r="AD48" s="5">
        <f>IFERROR(INDEX('Input 3.1_2019VOL-YTD'!$C$4:$N$300, MATCH($C48,'Input 3.1_2019VOL-YTD'!$R$4:$R$300,0),MATCH(AD$2,'Input 3.1_2019VOL-YTD'!$C$1:$N$1,0))/INDEX('Input 3_2019CUST-YTD'!$C$4:$N$300,MATCH($C48,'Input 3_2019CUST-YTD'!$S$4:$S$300,0),MATCH(AD$2,'Input 3_2019CUST-YTD'!$C$1:$N$1,0)),0)</f>
        <v>45.706000000000003</v>
      </c>
      <c r="AE48" s="272">
        <f t="shared" si="12"/>
        <v>113.758</v>
      </c>
      <c r="AF48" s="261">
        <f t="shared" si="13"/>
        <v>1</v>
      </c>
      <c r="AH48" s="262">
        <f>IFERROR(INDEX('Input 4.1_2020VOL-YTD'!$C$4:$O$300, MATCH($C48,'Input 4.1_2020VOL-YTD'!$R$4:$R$300,0),MATCH(AH$2,'Input 4.1_2020VOL-YTD'!$C$1:$O$1,0))/INDEX('Input 4_2020CUST-YTD'!$C$4:O$300,MATCH($C48,'Input 4_2020CUST-YTD'!$S$4:$S$300,0),MATCH(AH$2,'Input 4_2020CUST-YTD'!$C$1:$O$1,0)),0)</f>
        <v>47.594000000000001</v>
      </c>
      <c r="AI48" s="262">
        <f>IFERROR(INDEX('Input 4.1_2020VOL-YTD'!$C$4:$O$300, MATCH($C48,'Input 4.1_2020VOL-YTD'!$R$4:$R$300,0),MATCH(AI$2,'Input 4.1_2020VOL-YTD'!$C$1:$O$1,0))/INDEX('Input 4_2020CUST-YTD'!$C$4:P$300,MATCH($C48,'Input 4_2020CUST-YTD'!$S$4:$S$300,0),MATCH(AI$2,'Input 4_2020CUST-YTD'!$C$1:$O$1,0)),0)</f>
        <v>36.435000000000002</v>
      </c>
      <c r="AJ48" s="262">
        <f>IFERROR(INDEX('Input 4.1_2020VOL-YTD'!$C$4:$O$300, MATCH($C48,'Input 4.1_2020VOL-YTD'!$R$4:$R$300,0),MATCH(AJ$2,'Input 4.1_2020VOL-YTD'!$C$1:$O$1,0))/INDEX('Input 4_2020CUST-YTD'!$C$4:Q$300,MATCH($C48,'Input 4_2020CUST-YTD'!$S$4:$S$300,0),MATCH(AJ$2,'Input 4_2020CUST-YTD'!$C$1:$O$1,0)),0)</f>
        <v>31.323333333333334</v>
      </c>
      <c r="AK48" s="262">
        <f>IFERROR(INDEX('Input 4.1_2020VOL-YTD'!$C$4:$O$300, MATCH($C48,'Input 4.1_2020VOL-YTD'!$R$4:$R$300,0),MATCH(AK$2,'Input 4.1_2020VOL-YTD'!$C$1:$O$1,0))/INDEX('Input 4_2020CUST-YTD'!$C$4:R$300,MATCH($C48,'Input 4_2020CUST-YTD'!$S$4:$S$300,0),MATCH(AK$2,'Input 4_2020CUST-YTD'!$C$1:$O$1,0)),0)</f>
        <v>78.683333333333337</v>
      </c>
      <c r="AL48" s="262">
        <f>IFERROR(INDEX('Input 4.1_2020VOL-YTD'!$C$4:$O$300, MATCH($C48,'Input 4.1_2020VOL-YTD'!$R$4:$R$300,0),MATCH(AL$2,'Input 4.1_2020VOL-YTD'!$C$1:$O$1,0))/INDEX('Input 4_2020CUST-YTD'!$C$4:S$300,MATCH($C48,'Input 4_2020CUST-YTD'!$S$4:$S$300,0),MATCH(AL$2,'Input 4_2020CUST-YTD'!$C$1:$O$1,0)),0)</f>
        <v>22.993333333333336</v>
      </c>
      <c r="AM48" s="262">
        <f>IFERROR(INDEX('Input 4.1_2020VOL-YTD'!$C$4:$O$300, MATCH($C48,'Input 4.1_2020VOL-YTD'!$R$4:$R$300,0),MATCH(AM$2,'Input 4.1_2020VOL-YTD'!$C$1:$O$1,0))/INDEX('Input 4_2020CUST-YTD'!$C$4:T$300,MATCH($C48,'Input 4_2020CUST-YTD'!$S$4:$S$300,0),MATCH(AM$2,'Input 4_2020CUST-YTD'!$C$1:$O$1,0)),0)</f>
        <v>-18.671666666666667</v>
      </c>
      <c r="AN48" s="262">
        <f>IFERROR(INDEX('Input 4.1_2020VOL-YTD'!$C$4:$O$300, MATCH($C48,'Input 4.1_2020VOL-YTD'!$R$4:$R$300,0),MATCH(AN$2,'Input 4.1_2020VOL-YTD'!$C$1:$O$1,0))/INDEX('Input 4_2020CUST-YTD'!$C$4:U$300,MATCH($C48,'Input 4_2020CUST-YTD'!$S$4:$S$300,0),MATCH(AN$2,'Input 4_2020CUST-YTD'!$C$1:$O$1,0)),0)</f>
        <v>46.153333333333336</v>
      </c>
      <c r="AO48" s="262">
        <f>IFERROR(INDEX('Input 4.1_2020VOL-YTD'!$C$4:$O$300, MATCH($C48,'Input 4.1_2020VOL-YTD'!$R$4:$R$300,0),MATCH(AO$2,'Input 4.1_2020VOL-YTD'!$C$1:$O$1,0))/INDEX('Input 4_2020CUST-YTD'!$C$4:V$300,MATCH($C48,'Input 4_2020CUST-YTD'!$S$4:$S$300,0),MATCH(AO$2,'Input 4_2020CUST-YTD'!$C$1:$O$1,0)),0)</f>
        <v>40.908000000000001</v>
      </c>
      <c r="AP48" s="262">
        <f>IFERROR(INDEX('Input 4.1_2020VOL-YTD'!$C$4:$O$300, MATCH($C48,'Input 4.1_2020VOL-YTD'!$R$4:$R$300,0),MATCH(AP$2,'Input 4.1_2020VOL-YTD'!$C$1:$O$1,0))/INDEX('Input 4_2020CUST-YTD'!$C$4:W$300,MATCH($C48,'Input 4_2020CUST-YTD'!$S$4:$S$300,0),MATCH(AP$2,'Input 4_2020CUST-YTD'!$C$1:$O$1,0)),0)</f>
        <v>35.512</v>
      </c>
      <c r="AQ48" s="262">
        <f>IFERROR(INDEX('Input 4.1_2020VOL-YTD'!$C$4:$O$300, MATCH($C48,'Input 4.1_2020VOL-YTD'!$R$4:$R$300,0),MATCH(AQ$2,'Input 4.1_2020VOL-YTD'!$C$1:$O$1,0))/INDEX('Input 4_2020CUST-YTD'!$C$4:X$300,MATCH($C48,'Input 4_2020CUST-YTD'!$S$4:$S$300,0),MATCH(AQ$2,'Input 4_2020CUST-YTD'!$C$1:$O$1,0)),0)</f>
        <v>35.218000000000004</v>
      </c>
      <c r="AR48" s="262">
        <f>IFERROR(INDEX('Input 4.1_2020VOL-YTD'!$C$4:$O$300, MATCH($C48,'Input 4.1_2020VOL-YTD'!$R$4:$R$300,0),MATCH(AR$2,'Input 4.1_2020VOL-YTD'!$C$1:$O$1,0))/INDEX('Input 4_2020CUST-YTD'!$C$4:Y$300,MATCH($C48,'Input 4_2020CUST-YTD'!$S$4:$S$300,0),MATCH(AR$2,'Input 4_2020CUST-YTD'!$C$1:$O$1,0)),0)</f>
        <v>40.386000000000003</v>
      </c>
      <c r="AS48" s="262">
        <f>IFERROR(INDEX('Input 4.1_2020VOL-YTD'!$C$4:$O$300, MATCH($C48,'Input 4.1_2020VOL-YTD'!$R$4:$R$300,0),MATCH(AS$2,'Input 4.1_2020VOL-YTD'!$C$1:$O$1,0))/INDEX('Input 4_2020CUST-YTD'!$C$4:Z$300,MATCH($C48,'Input 4_2020CUST-YTD'!$S$4:$S$300,0),MATCH(AS$2,'Input 4_2020CUST-YTD'!$C$1:$O$1,0)),0)</f>
        <v>35.041666666666664</v>
      </c>
      <c r="AT48" s="190">
        <f t="shared" si="14"/>
        <v>78.683333333333337</v>
      </c>
      <c r="AU48" s="261">
        <f t="shared" si="15"/>
        <v>4</v>
      </c>
      <c r="AW48" s="1">
        <f>IFERROR(INDEX('Input 5.1_2021VOL-YTD'!$C$3:$N$150, MATCH($C48,'Input 5.1_2021VOL-YTD'!$R$3:$R$150,0),MATCH(AW$2,'Input 5.1_2021VOL-YTD'!$C$1:$N$1,0))/INDEX('Input 5_2021CUST-YTD'!$C$3:$N$150,MATCH($C48,'Input 5_2021CUST-YTD'!$S$3:$S$150,0),MATCH(AW$2,'Input 5_2021CUST-YTD'!$C$1:$N$1,0)),0)</f>
        <v>37.723333333333336</v>
      </c>
      <c r="AX48" s="1">
        <f>IFERROR(INDEX('Input 5.1_2021VOL-YTD'!$C$3:$N$150, MATCH($C48,'Input 5.1_2021VOL-YTD'!$R$3:$R$150,0),MATCH(AX$2,'Input 5.1_2021VOL-YTD'!$C$1:$N$1,0))/INDEX('Input 5_2021CUST-YTD'!$C$3:$N$150,MATCH($C48,'Input 5_2021CUST-YTD'!$S$3:$S$150,0),MATCH(AX$2,'Input 5_2021CUST-YTD'!$C$1:$N$1,0)),0)</f>
        <v>31.36</v>
      </c>
      <c r="AY48" s="1">
        <f>IFERROR(INDEX('Input 5.1_2021VOL-YTD'!$C$3:$N$150, MATCH($C48,'Input 5.1_2021VOL-YTD'!$R$3:$R$150,0),MATCH(AY$2,'Input 5.1_2021VOL-YTD'!$C$1:$N$1,0))/INDEX('Input 5_2021CUST-YTD'!$C$3:$N$150,MATCH($C48,'Input 5_2021CUST-YTD'!$S$3:$S$150,0),MATCH(AY$2,'Input 5_2021CUST-YTD'!$C$1:$N$1,0)),0)</f>
        <v>33.126666666666665</v>
      </c>
      <c r="AZ48" s="1">
        <f>IFERROR(INDEX('Input 5.1_2021VOL-YTD'!$C$3:$N$150, MATCH($C48,'Input 5.1_2021VOL-YTD'!$R$3:$R$150,0),MATCH(AZ$2,'Input 5.1_2021VOL-YTD'!$C$1:$N$1,0))/INDEX('Input 5_2021CUST-YTD'!$C$3:$N$150,MATCH($C48,'Input 5_2021CUST-YTD'!$S$3:$S$150,0),MATCH(AZ$2,'Input 5_2021CUST-YTD'!$C$1:$N$1,0)),0)</f>
        <v>42.126666666666665</v>
      </c>
      <c r="BA48" s="1">
        <f>IFERROR(INDEX('Input 5.1_2021VOL-YTD'!$C$3:$N$150, MATCH($C48,'Input 5.1_2021VOL-YTD'!$R$3:$R$150,0),MATCH(BA$2,'Input 5.1_2021VOL-YTD'!$C$1:$N$1,0))/INDEX('Input 5_2021CUST-YTD'!$C$3:$N$150,MATCH($C48,'Input 5_2021CUST-YTD'!$S$3:$S$150,0),MATCH(BA$2,'Input 5_2021CUST-YTD'!$C$1:$N$1,0)),0)</f>
        <v>35.011666666666663</v>
      </c>
      <c r="BB48" s="1">
        <f>IFERROR(INDEX('Input 5.1_2021VOL-YTD'!$C$3:$N$150, MATCH($C48,'Input 5.1_2021VOL-YTD'!$R$3:$R$150,0),MATCH(BB$2,'Input 5.1_2021VOL-YTD'!$C$1:$N$1,0))/INDEX('Input 5_2021CUST-YTD'!$C$3:$N$150,MATCH($C48,'Input 5_2021CUST-YTD'!$S$3:$S$150,0),MATCH(BB$2,'Input 5_2021CUST-YTD'!$C$1:$N$1,0)),0)</f>
        <v>38.931666666666665</v>
      </c>
      <c r="BC48" s="1">
        <f>IFERROR(INDEX('Input 5.1_2021VOL-YTD'!$C$3:$N$150, MATCH($C48,'Input 5.1_2021VOL-YTD'!$R$3:$R$150,0),MATCH(BC$2,'Input 5.1_2021VOL-YTD'!$C$1:$N$1,0))/INDEX('Input 5_2021CUST-YTD'!$C$3:$N$150,MATCH($C48,'Input 5_2021CUST-YTD'!$S$3:$S$150,0),MATCH(BC$2,'Input 5_2021CUST-YTD'!$C$1:$N$1,0)),0)</f>
        <v>160.92499999999998</v>
      </c>
      <c r="BD48" s="1">
        <f>IFERROR(INDEX('Input 5.1_2021VOL-YTD'!$C$3:$N$150, MATCH($C48,'Input 5.1_2021VOL-YTD'!$R$3:$R$150,0),MATCH(BD$2,'Input 5.1_2021VOL-YTD'!$C$1:$N$1,0))/INDEX('Input 5_2021CUST-YTD'!$C$3:$N$150,MATCH($C48,'Input 5_2021CUST-YTD'!$S$3:$S$150,0),MATCH(BD$2,'Input 5_2021CUST-YTD'!$C$1:$N$1,0)),0)</f>
        <v>38.274000000000001</v>
      </c>
      <c r="BE48" s="1">
        <f>IFERROR(INDEX('Input 5.1_2021VOL-YTD'!$C$3:$N$150, MATCH($C48,'Input 5.1_2021VOL-YTD'!$R$3:$R$150,0),MATCH(BE$2,'Input 5.1_2021VOL-YTD'!$C$1:$N$1,0))/INDEX('Input 5_2021CUST-YTD'!$C$3:$N$150,MATCH($C48,'Input 5_2021CUST-YTD'!$S$3:$S$150,0),MATCH(BE$2,'Input 5_2021CUST-YTD'!$C$1:$N$1,0)),0)</f>
        <v>37.152000000000001</v>
      </c>
      <c r="BF48" s="1">
        <f>IFERROR(INDEX('Input 5.1_2021VOL-YTD'!$C$3:$N$150, MATCH($C48,'Input 5.1_2021VOL-YTD'!$R$3:$R$150,0),MATCH(BF$2,'Input 5.1_2021VOL-YTD'!$C$1:$N$1,0))/INDEX('Input 5_2021CUST-YTD'!$C$3:$N$150,MATCH($C48,'Input 5_2021CUST-YTD'!$S$3:$S$150,0),MATCH(BF$2,'Input 5_2021CUST-YTD'!$C$1:$N$1,0)),0)</f>
        <v>38.85</v>
      </c>
      <c r="BG48" s="1">
        <f>IFERROR(INDEX('Input 5.1_2021VOL-YTD'!$C$3:$N$150, MATCH($C48,'Input 5.1_2021VOL-YTD'!$R$3:$R$150,0),MATCH(BG$2,'Input 5.1_2021VOL-YTD'!$C$1:$N$1,0))/INDEX('Input 5_2021CUST-YTD'!$C$3:$N$150,MATCH($C48,'Input 5_2021CUST-YTD'!$S$3:$S$150,0),MATCH(BG$2,'Input 5_2021CUST-YTD'!$C$1:$N$1,0)),0)</f>
        <v>37.387999999999998</v>
      </c>
      <c r="BH48" s="1">
        <f>IFERROR(INDEX('Input 5.1_2021VOL-YTD'!$C$3:$N$150, MATCH($C48,'Input 5.1_2021VOL-YTD'!$R$3:$R$150,0),MATCH(BH$2,'Input 5.1_2021VOL-YTD'!$C$1:$N$1,0))/INDEX('Input 5_2021CUST-YTD'!$C$3:$N$150,MATCH($C48,'Input 5_2021CUST-YTD'!$S$3:$S$150,0),MATCH(BH$2,'Input 5_2021CUST-YTD'!$C$1:$N$1,0)),0)</f>
        <v>49.589999999999996</v>
      </c>
      <c r="BI48" s="190">
        <f t="shared" si="7"/>
        <v>160.92499999999998</v>
      </c>
      <c r="BJ48" s="261">
        <f t="shared" si="8"/>
        <v>7</v>
      </c>
    </row>
    <row r="49" spans="1:62">
      <c r="A49" s="261" t="s">
        <v>1245</v>
      </c>
      <c r="B49" s="261" t="s">
        <v>17</v>
      </c>
      <c r="C49" s="261" t="s">
        <v>1390</v>
      </c>
      <c r="D49" s="5">
        <f>IFERROR(INDEX('Input 16.1_2018VOL-YTD'!$C$4:$N$300, MATCH($C49,'Input 16.1_2018VOL-YTD'!$R$4:$R$300,0),MATCH(D$2,'Input 16.1_2018VOL-YTD'!$C$1:$N$1,0))/INDEX('Input 16_2018CUST-YTD'!$D$4:$O$300,MATCH($C49,'Input 16_2018CUST-YTD'!$S$4:$S$300,0),MATCH(D$2,'Input 16_2018CUST-YTD'!$C$1:$O$1,0)),0)</f>
        <v>116.98815217391304</v>
      </c>
      <c r="E49" s="5">
        <f>IFERROR(INDEX('Input 16.1_2018VOL-YTD'!$C$4:$N$300, MATCH($C49,'Input 16.1_2018VOL-YTD'!$R$4:$R$300,0),MATCH(E$2,'Input 16.1_2018VOL-YTD'!$C$1:$N$1,0))/INDEX('Input 16_2018CUST-YTD'!$D$4:$O$300,MATCH($C49,'Input 16_2018CUST-YTD'!$S$4:$S$300,0),MATCH(E$2,'Input 16_2018CUST-YTD'!$C$1:$O$1,0)),0)</f>
        <v>86.667802197802203</v>
      </c>
      <c r="F49" s="5">
        <f>IFERROR(INDEX('Input 16.1_2018VOL-YTD'!$C$4:$N$300, MATCH($C49,'Input 16.1_2018VOL-YTD'!$R$4:$R$300,0),MATCH(F$2,'Input 16.1_2018VOL-YTD'!$C$1:$N$1,0))/INDEX('Input 16_2018CUST-YTD'!$D$4:$O$300,MATCH($C49,'Input 16_2018CUST-YTD'!$S$4:$S$300,0),MATCH(F$2,'Input 16_2018CUST-YTD'!$C$1:$O$1,0)),0)</f>
        <v>80.051720430107537</v>
      </c>
      <c r="G49" s="5">
        <f>IFERROR(INDEX('Input 16.1_2018VOL-YTD'!$C$4:$N$300, MATCH($C49,'Input 16.1_2018VOL-YTD'!$R$4:$R$300,0),MATCH(G$2,'Input 16.1_2018VOL-YTD'!$C$1:$N$1,0))/INDEX('Input 16_2018CUST-YTD'!$D$4:$O$300,MATCH($C49,'Input 16_2018CUST-YTD'!$S$4:$S$300,0),MATCH(G$2,'Input 16_2018CUST-YTD'!$C$1:$O$1,0)),0)</f>
        <v>71.656702127659571</v>
      </c>
      <c r="H49" s="5">
        <f>IFERROR(INDEX('Input 16.1_2018VOL-YTD'!$C$4:$N$300, MATCH($C49,'Input 16.1_2018VOL-YTD'!$R$4:$R$300,0),MATCH(H$2,'Input 16.1_2018VOL-YTD'!$C$1:$N$1,0))/INDEX('Input 16_2018CUST-YTD'!$D$4:$O$300,MATCH($C49,'Input 16_2018CUST-YTD'!$S$4:$S$300,0),MATCH(H$2,'Input 16_2018CUST-YTD'!$C$1:$O$1,0)),0)</f>
        <v>59.47726315789474</v>
      </c>
      <c r="I49" s="5">
        <f>IFERROR(INDEX('Input 16.1_2018VOL-YTD'!$C$4:$N$300, MATCH($C49,'Input 16.1_2018VOL-YTD'!$R$4:$R$300,0),MATCH(I$2,'Input 16.1_2018VOL-YTD'!$C$1:$N$1,0))/INDEX('Input 16_2018CUST-YTD'!$D$4:$O$300,MATCH($C49,'Input 16_2018CUST-YTD'!$S$4:$S$300,0),MATCH(I$2,'Input 16_2018CUST-YTD'!$C$1:$O$1,0)),0)</f>
        <v>56.963804347826091</v>
      </c>
      <c r="J49" s="5">
        <f>IFERROR(INDEX('Input 16.1_2018VOL-YTD'!$C$4:$N$300, MATCH($C49,'Input 16.1_2018VOL-YTD'!$R$4:$R$300,0),MATCH(J$2,'Input 16.1_2018VOL-YTD'!$C$1:$N$1,0))/INDEX('Input 16_2018CUST-YTD'!$D$4:$O$300,MATCH($C49,'Input 16_2018CUST-YTD'!$S$4:$S$300,0),MATCH(J$2,'Input 16_2018CUST-YTD'!$C$1:$O$1,0)),0)</f>
        <v>51.956521739130437</v>
      </c>
      <c r="K49" s="5">
        <f>IFERROR(INDEX('Input 16.1_2018VOL-YTD'!$C$4:$N$300, MATCH($C49,'Input 16.1_2018VOL-YTD'!$R$4:$R$300,0),MATCH(K$2,'Input 16.1_2018VOL-YTD'!$C$1:$N$1,0))/INDEX('Input 16_2018CUST-YTD'!$D$4:$O$300,MATCH($C49,'Input 16_2018CUST-YTD'!$S$4:$S$300,0),MATCH(K$2,'Input 16_2018CUST-YTD'!$C$1:$O$1,0)),0)</f>
        <v>57.911413043478262</v>
      </c>
      <c r="L49" s="5">
        <f>IFERROR(INDEX('Input 16.1_2018VOL-YTD'!$C$4:$N$300, MATCH($C49,'Input 16.1_2018VOL-YTD'!$R$4:$R$300,0),MATCH(L$2,'Input 16.1_2018VOL-YTD'!$C$1:$N$1,0))/INDEX('Input 16_2018CUST-YTD'!$D$4:$O$300,MATCH($C49,'Input 16_2018CUST-YTD'!$S$4:$S$300,0),MATCH(L$2,'Input 16_2018CUST-YTD'!$C$1:$O$1,0)),0)</f>
        <v>60.001739130434778</v>
      </c>
      <c r="M49" s="5">
        <f>IFERROR(INDEX('Input 16.1_2018VOL-YTD'!$C$4:$N$300, MATCH($C49,'Input 16.1_2018VOL-YTD'!$R$4:$R$300,0),MATCH(M$2,'Input 16.1_2018VOL-YTD'!$C$1:$N$1,0))/INDEX('Input 16_2018CUST-YTD'!$D$4:$O$300,MATCH($C49,'Input 16_2018CUST-YTD'!$S$4:$S$300,0),MATCH(M$2,'Input 16_2018CUST-YTD'!$C$1:$O$1,0)),0)</f>
        <v>51.062934782608693</v>
      </c>
      <c r="N49" s="5">
        <f>IFERROR(INDEX('Input 16.1_2018VOL-YTD'!$C$4:$N$300, MATCH($C49,'Input 16.1_2018VOL-YTD'!$R$4:$R$300,0),MATCH(N$2,'Input 16.1_2018VOL-YTD'!$C$1:$N$1,0))/INDEX('Input 16_2018CUST-YTD'!$D$4:$O$300,MATCH($C49,'Input 16_2018CUST-YTD'!$S$4:$S$300,0),MATCH(N$2,'Input 16_2018CUST-YTD'!$C$1:$O$1,0)),0)</f>
        <v>101.60876288659793</v>
      </c>
      <c r="O49" s="5">
        <f>IFERROR(INDEX('Input 16.1_2018VOL-YTD'!$C$4:$N$300, MATCH($C49,'Input 16.1_2018VOL-YTD'!$R$4:$R$300,0),MATCH(O$2,'Input 16.1_2018VOL-YTD'!$C$1:$N$1,0))/INDEX('Input 16_2018CUST-YTD'!$D$4:$O$300,MATCH($C49,'Input 16_2018CUST-YTD'!$S$4:$S$300,0),MATCH(O$2,'Input 16_2018CUST-YTD'!$C$1:$O$1,0)),0)</f>
        <v>100.8989946140037</v>
      </c>
      <c r="P49" s="271">
        <f t="shared" si="1"/>
        <v>116.98815217391304</v>
      </c>
      <c r="Q49" s="261">
        <f t="shared" si="2"/>
        <v>1</v>
      </c>
      <c r="S49" s="5">
        <f>IFERROR(INDEX('Input 3.1_2019VOL-YTD'!$C$4:$N$300, MATCH($C49,'Input 3.1_2019VOL-YTD'!$R$4:$R$300,0),MATCH(S$2,'Input 3.1_2019VOL-YTD'!$C$1:$N$1,0))/INDEX('Input 3_2019CUST-YTD'!$C$4:$N$300,MATCH($C49,'Input 3_2019CUST-YTD'!$S$4:$S$300,0),MATCH(S$2,'Input 3_2019CUST-YTD'!$C$1:$N$1,0)),0)</f>
        <v>93.656276595744686</v>
      </c>
      <c r="T49" s="5">
        <f>IFERROR(INDEX('Input 3.1_2019VOL-YTD'!$C$4:$N$300, MATCH($C49,'Input 3.1_2019VOL-YTD'!$R$4:$R$300,0),MATCH(T$2,'Input 3.1_2019VOL-YTD'!$C$1:$N$1,0))/INDEX('Input 3_2019CUST-YTD'!$C$4:$N$300,MATCH($C49,'Input 3_2019CUST-YTD'!$S$4:$S$300,0),MATCH(T$2,'Input 3_2019CUST-YTD'!$C$1:$N$1,0)),0)</f>
        <v>87.888478260869562</v>
      </c>
      <c r="U49" s="5">
        <f>IFERROR(INDEX('Input 3.1_2019VOL-YTD'!$C$4:$N$300, MATCH($C49,'Input 3.1_2019VOL-YTD'!$R$4:$R$300,0),MATCH(U$2,'Input 3.1_2019VOL-YTD'!$C$1:$N$1,0))/INDEX('Input 3_2019CUST-YTD'!$C$4:$N$300,MATCH($C49,'Input 3_2019CUST-YTD'!$S$4:$S$300,0),MATCH(U$2,'Input 3_2019CUST-YTD'!$C$1:$N$1,0)),0)</f>
        <v>81.272688172043004</v>
      </c>
      <c r="V49" s="5">
        <f>IFERROR(INDEX('Input 3.1_2019VOL-YTD'!$C$4:$N$300, MATCH($C49,'Input 3.1_2019VOL-YTD'!$R$4:$R$300,0),MATCH(V$2,'Input 3.1_2019VOL-YTD'!$C$1:$N$1,0))/INDEX('Input 3_2019CUST-YTD'!$C$4:$N$300,MATCH($C49,'Input 3_2019CUST-YTD'!$S$4:$S$300,0),MATCH(V$2,'Input 3_2019CUST-YTD'!$C$1:$N$1,0)),0)</f>
        <v>65.622</v>
      </c>
      <c r="W49" s="5">
        <f>IFERROR(INDEX('Input 3.1_2019VOL-YTD'!$C$4:$N$300, MATCH($C49,'Input 3.1_2019VOL-YTD'!$R$4:$R$300,0),MATCH(W$2,'Input 3.1_2019VOL-YTD'!$C$1:$N$1,0))/INDEX('Input 3_2019CUST-YTD'!$C$4:$N$300,MATCH($C49,'Input 3_2019CUST-YTD'!$S$4:$S$300,0),MATCH(W$2,'Input 3_2019CUST-YTD'!$C$1:$N$1,0)),0)</f>
        <v>60.030851063829786</v>
      </c>
      <c r="X49" s="5">
        <f>IFERROR(INDEX('Input 3.1_2019VOL-YTD'!$C$4:$N$300, MATCH($C49,'Input 3.1_2019VOL-YTD'!$R$4:$R$300,0),MATCH(X$2,'Input 3.1_2019VOL-YTD'!$C$1:$N$1,0))/INDEX('Input 3_2019CUST-YTD'!$C$4:$N$300,MATCH($C49,'Input 3_2019CUST-YTD'!$S$4:$S$300,0),MATCH(X$2,'Input 3_2019CUST-YTD'!$C$1:$N$1,0)),0)</f>
        <v>53.611578947368422</v>
      </c>
      <c r="Y49" s="5">
        <f>IFERROR(INDEX('Input 3.1_2019VOL-YTD'!$C$4:$N$300, MATCH($C49,'Input 3.1_2019VOL-YTD'!$R$4:$R$300,0),MATCH(Y$2,'Input 3.1_2019VOL-YTD'!$C$1:$N$1,0))/INDEX('Input 3_2019CUST-YTD'!$C$4:$N$300,MATCH($C49,'Input 3_2019CUST-YTD'!$S$4:$S$300,0),MATCH(Y$2,'Input 3_2019CUST-YTD'!$C$1:$N$1,0)),0)</f>
        <v>42.000105263157899</v>
      </c>
      <c r="Z49" s="5">
        <f>IFERROR(INDEX('Input 3.1_2019VOL-YTD'!$C$4:$N$300, MATCH($C49,'Input 3.1_2019VOL-YTD'!$R$4:$R$300,0),MATCH(Z$2,'Input 3.1_2019VOL-YTD'!$C$1:$N$1,0))/INDEX('Input 3_2019CUST-YTD'!$C$4:$N$300,MATCH($C49,'Input 3_2019CUST-YTD'!$S$4:$S$300,0),MATCH(Z$2,'Input 3_2019CUST-YTD'!$C$1:$N$1,0)),0)</f>
        <v>50.015520833333333</v>
      </c>
      <c r="AA49" s="5">
        <f>IFERROR(INDEX('Input 3.1_2019VOL-YTD'!$C$4:$N$300, MATCH($C49,'Input 3.1_2019VOL-YTD'!$R$4:$R$300,0),MATCH(AA$2,'Input 3.1_2019VOL-YTD'!$C$1:$N$1,0))/INDEX('Input 3_2019CUST-YTD'!$C$4:$N$300,MATCH($C49,'Input 3_2019CUST-YTD'!$S$4:$S$300,0),MATCH(AA$2,'Input 3_2019CUST-YTD'!$C$1:$N$1,0)),0)</f>
        <v>49.711595744680857</v>
      </c>
      <c r="AB49" s="5">
        <f>IFERROR(INDEX('Input 3.1_2019VOL-YTD'!$C$4:$N$300, MATCH($C49,'Input 3.1_2019VOL-YTD'!$R$4:$R$300,0),MATCH(AB$2,'Input 3.1_2019VOL-YTD'!$C$1:$N$1,0))/INDEX('Input 3_2019CUST-YTD'!$C$4:$N$300,MATCH($C49,'Input 3_2019CUST-YTD'!$S$4:$S$300,0),MATCH(AB$2,'Input 3_2019CUST-YTD'!$C$1:$N$1,0)),0)</f>
        <v>53.033229166666665</v>
      </c>
      <c r="AC49" s="5">
        <f>IFERROR(INDEX('Input 3.1_2019VOL-YTD'!$C$4:$N$300, MATCH($C49,'Input 3.1_2019VOL-YTD'!$R$4:$R$300,0),MATCH(AC$2,'Input 3.1_2019VOL-YTD'!$C$1:$N$1,0))/INDEX('Input 3_2019CUST-YTD'!$C$4:$N$300,MATCH($C49,'Input 3_2019CUST-YTD'!$S$4:$S$300,0),MATCH(AC$2,'Input 3_2019CUST-YTD'!$C$1:$N$1,0)),0)</f>
        <v>67.188350515463924</v>
      </c>
      <c r="AD49" s="5">
        <f>IFERROR(INDEX('Input 3.1_2019VOL-YTD'!$C$4:$N$300, MATCH($C49,'Input 3.1_2019VOL-YTD'!$R$4:$R$300,0),MATCH(AD$2,'Input 3.1_2019VOL-YTD'!$C$1:$N$1,0))/INDEX('Input 3_2019CUST-YTD'!$C$4:$N$300,MATCH($C49,'Input 3_2019CUST-YTD'!$S$4:$S$300,0),MATCH(AD$2,'Input 3_2019CUST-YTD'!$C$1:$N$1,0)),0)</f>
        <v>79.180909090909083</v>
      </c>
      <c r="AE49" s="272">
        <f t="shared" si="12"/>
        <v>93.656276595744686</v>
      </c>
      <c r="AF49" s="261">
        <f t="shared" si="13"/>
        <v>1</v>
      </c>
      <c r="AH49" s="262">
        <f>IFERROR(INDEX('Input 4.1_2020VOL-YTD'!$C$4:$O$300, MATCH($C49,'Input 4.1_2020VOL-YTD'!$R$4:$R$300,0),MATCH(AH$2,'Input 4.1_2020VOL-YTD'!$C$1:$O$1,0))/INDEX('Input 4_2020CUST-YTD'!$C$4:O$300,MATCH($C49,'Input 4_2020CUST-YTD'!$S$4:$S$300,0),MATCH(AH$2,'Input 4_2020CUST-YTD'!$C$1:$O$1,0)),0)</f>
        <v>75.092626262626268</v>
      </c>
      <c r="AI49" s="262">
        <f>IFERROR(INDEX('Input 4.1_2020VOL-YTD'!$C$4:$O$300, MATCH($C49,'Input 4.1_2020VOL-YTD'!$R$4:$R$300,0),MATCH(AI$2,'Input 4.1_2020VOL-YTD'!$C$1:$O$1,0))/INDEX('Input 4_2020CUST-YTD'!$C$4:P$300,MATCH($C49,'Input 4_2020CUST-YTD'!$S$4:$S$300,0),MATCH(AI$2,'Input 4_2020CUST-YTD'!$C$1:$O$1,0)),0)</f>
        <v>76.914900000000003</v>
      </c>
      <c r="AJ49" s="262">
        <f>IFERROR(INDEX('Input 4.1_2020VOL-YTD'!$C$4:$O$300, MATCH($C49,'Input 4.1_2020VOL-YTD'!$R$4:$R$300,0),MATCH(AJ$2,'Input 4.1_2020VOL-YTD'!$C$1:$O$1,0))/INDEX('Input 4_2020CUST-YTD'!$C$4:Q$300,MATCH($C49,'Input 4_2020CUST-YTD'!$S$4:$S$300,0),MATCH(AJ$2,'Input 4_2020CUST-YTD'!$C$1:$O$1,0)),0)</f>
        <v>67.941881188118813</v>
      </c>
      <c r="AK49" s="262">
        <f>IFERROR(INDEX('Input 4.1_2020VOL-YTD'!$C$4:$O$300, MATCH($C49,'Input 4.1_2020VOL-YTD'!$R$4:$R$300,0),MATCH(AK$2,'Input 4.1_2020VOL-YTD'!$C$1:$O$1,0))/INDEX('Input 4_2020CUST-YTD'!$C$4:R$300,MATCH($C49,'Input 4_2020CUST-YTD'!$S$4:$S$300,0),MATCH(AK$2,'Input 4_2020CUST-YTD'!$C$1:$O$1,0)),0)</f>
        <v>43.936237623762381</v>
      </c>
      <c r="AL49" s="262">
        <f>IFERROR(INDEX('Input 4.1_2020VOL-YTD'!$C$4:$O$300, MATCH($C49,'Input 4.1_2020VOL-YTD'!$R$4:$R$300,0),MATCH(AL$2,'Input 4.1_2020VOL-YTD'!$C$1:$O$1,0))/INDEX('Input 4_2020CUST-YTD'!$C$4:S$300,MATCH($C49,'Input 4_2020CUST-YTD'!$S$4:$S$300,0),MATCH(AL$2,'Input 4_2020CUST-YTD'!$C$1:$O$1,0)),0)</f>
        <v>42.037600000000005</v>
      </c>
      <c r="AM49" s="262">
        <f>IFERROR(INDEX('Input 4.1_2020VOL-YTD'!$C$4:$O$300, MATCH($C49,'Input 4.1_2020VOL-YTD'!$R$4:$R$300,0),MATCH(AM$2,'Input 4.1_2020VOL-YTD'!$C$1:$O$1,0))/INDEX('Input 4_2020CUST-YTD'!$C$4:T$300,MATCH($C49,'Input 4_2020CUST-YTD'!$S$4:$S$300,0),MATCH(AM$2,'Input 4_2020CUST-YTD'!$C$1:$O$1,0)),0)</f>
        <v>41.730495049504945</v>
      </c>
      <c r="AN49" s="262">
        <f>IFERROR(INDEX('Input 4.1_2020VOL-YTD'!$C$4:$O$300, MATCH($C49,'Input 4.1_2020VOL-YTD'!$R$4:$R$300,0),MATCH(AN$2,'Input 4.1_2020VOL-YTD'!$C$1:$O$1,0))/INDEX('Input 4_2020CUST-YTD'!$C$4:U$300,MATCH($C49,'Input 4_2020CUST-YTD'!$S$4:$S$300,0),MATCH(AN$2,'Input 4_2020CUST-YTD'!$C$1:$O$1,0)),0)</f>
        <v>45.490101010101014</v>
      </c>
      <c r="AO49" s="262">
        <f>IFERROR(INDEX('Input 4.1_2020VOL-YTD'!$C$4:$O$300, MATCH($C49,'Input 4.1_2020VOL-YTD'!$R$4:$R$300,0),MATCH(AO$2,'Input 4.1_2020VOL-YTD'!$C$1:$O$1,0))/INDEX('Input 4_2020CUST-YTD'!$C$4:V$300,MATCH($C49,'Input 4_2020CUST-YTD'!$S$4:$S$300,0),MATCH(AO$2,'Input 4_2020CUST-YTD'!$C$1:$O$1,0)),0)</f>
        <v>41.958811881188119</v>
      </c>
      <c r="AP49" s="262">
        <f>IFERROR(INDEX('Input 4.1_2020VOL-YTD'!$C$4:$O$300, MATCH($C49,'Input 4.1_2020VOL-YTD'!$R$4:$R$300,0),MATCH(AP$2,'Input 4.1_2020VOL-YTD'!$C$1:$O$1,0))/INDEX('Input 4_2020CUST-YTD'!$C$4:W$300,MATCH($C49,'Input 4_2020CUST-YTD'!$S$4:$S$300,0),MATCH(AP$2,'Input 4_2020CUST-YTD'!$C$1:$O$1,0)),0)</f>
        <v>44.674158415841589</v>
      </c>
      <c r="AQ49" s="262">
        <f>IFERROR(INDEX('Input 4.1_2020VOL-YTD'!$C$4:$O$300, MATCH($C49,'Input 4.1_2020VOL-YTD'!$R$4:$R$300,0),MATCH(AQ$2,'Input 4.1_2020VOL-YTD'!$C$1:$O$1,0))/INDEX('Input 4_2020CUST-YTD'!$C$4:X$300,MATCH($C49,'Input 4_2020CUST-YTD'!$S$4:$S$300,0),MATCH(AQ$2,'Input 4_2020CUST-YTD'!$C$1:$O$1,0)),0)</f>
        <v>43.178316831683169</v>
      </c>
      <c r="AR49" s="262">
        <f>IFERROR(INDEX('Input 4.1_2020VOL-YTD'!$C$4:$O$300, MATCH($C49,'Input 4.1_2020VOL-YTD'!$R$4:$R$300,0),MATCH(AR$2,'Input 4.1_2020VOL-YTD'!$C$1:$O$1,0))/INDEX('Input 4_2020CUST-YTD'!$C$4:Y$300,MATCH($C49,'Input 4_2020CUST-YTD'!$S$4:$S$300,0),MATCH(AR$2,'Input 4_2020CUST-YTD'!$C$1:$O$1,0)),0)</f>
        <v>47.978019801980196</v>
      </c>
      <c r="AS49" s="262">
        <f>IFERROR(INDEX('Input 4.1_2020VOL-YTD'!$C$4:$O$300, MATCH($C49,'Input 4.1_2020VOL-YTD'!$R$4:$R$300,0),MATCH(AS$2,'Input 4.1_2020VOL-YTD'!$C$1:$O$1,0))/INDEX('Input 4_2020CUST-YTD'!$C$4:Z$300,MATCH($C49,'Input 4_2020CUST-YTD'!$S$4:$S$300,0),MATCH(AS$2,'Input 4_2020CUST-YTD'!$C$1:$O$1,0)),0)</f>
        <v>70.143838383838386</v>
      </c>
      <c r="AT49" s="190">
        <f t="shared" si="14"/>
        <v>76.914900000000003</v>
      </c>
      <c r="AU49" s="261">
        <f t="shared" si="15"/>
        <v>2</v>
      </c>
      <c r="AW49" s="1">
        <f>IFERROR(INDEX('Input 5.1_2021VOL-YTD'!$C$3:$N$150, MATCH($C49,'Input 5.1_2021VOL-YTD'!$R$3:$R$150,0),MATCH(AW$2,'Input 5.1_2021VOL-YTD'!$C$1:$N$1,0))/INDEX('Input 5_2021CUST-YTD'!$C$3:$N$150,MATCH($C49,'Input 5_2021CUST-YTD'!$S$3:$S$150,0),MATCH(AW$2,'Input 5_2021CUST-YTD'!$C$1:$N$1,0)),0)</f>
        <v>83.427549019607852</v>
      </c>
      <c r="AX49" s="1">
        <f>IFERROR(INDEX('Input 5.1_2021VOL-YTD'!$C$3:$N$150, MATCH($C49,'Input 5.1_2021VOL-YTD'!$R$3:$R$150,0),MATCH(AX$2,'Input 5.1_2021VOL-YTD'!$C$1:$N$1,0))/INDEX('Input 5_2021CUST-YTD'!$C$3:$N$150,MATCH($C49,'Input 5_2021CUST-YTD'!$S$3:$S$150,0),MATCH(AX$2,'Input 5_2021CUST-YTD'!$C$1:$N$1,0)),0)</f>
        <v>73.080808080808083</v>
      </c>
      <c r="AY49" s="1">
        <f>IFERROR(INDEX('Input 5.1_2021VOL-YTD'!$C$3:$N$150, MATCH($C49,'Input 5.1_2021VOL-YTD'!$R$3:$R$150,0),MATCH(AY$2,'Input 5.1_2021VOL-YTD'!$C$1:$N$1,0))/INDEX('Input 5_2021CUST-YTD'!$C$3:$N$150,MATCH($C49,'Input 5_2021CUST-YTD'!$S$3:$S$150,0),MATCH(AY$2,'Input 5_2021CUST-YTD'!$C$1:$N$1,0)),0)</f>
        <v>72.088282828282829</v>
      </c>
      <c r="AZ49" s="1">
        <f>IFERROR(INDEX('Input 5.1_2021VOL-YTD'!$C$3:$N$150, MATCH($C49,'Input 5.1_2021VOL-YTD'!$R$3:$R$150,0),MATCH(AZ$2,'Input 5.1_2021VOL-YTD'!$C$1:$N$1,0))/INDEX('Input 5_2021CUST-YTD'!$C$3:$N$150,MATCH($C49,'Input 5_2021CUST-YTD'!$S$3:$S$150,0),MATCH(AZ$2,'Input 5_2021CUST-YTD'!$C$1:$N$1,0)),0)</f>
        <v>60.564141414141417</v>
      </c>
      <c r="BA49" s="1">
        <f>IFERROR(INDEX('Input 5.1_2021VOL-YTD'!$C$3:$N$150, MATCH($C49,'Input 5.1_2021VOL-YTD'!$R$3:$R$150,0),MATCH(BA$2,'Input 5.1_2021VOL-YTD'!$C$1:$N$1,0))/INDEX('Input 5_2021CUST-YTD'!$C$3:$N$150,MATCH($C49,'Input 5_2021CUST-YTD'!$S$3:$S$150,0),MATCH(BA$2,'Input 5_2021CUST-YTD'!$C$1:$N$1,0)),0)</f>
        <v>49.732040816326531</v>
      </c>
      <c r="BB49" s="1">
        <f>IFERROR(INDEX('Input 5.1_2021VOL-YTD'!$C$3:$N$150, MATCH($C49,'Input 5.1_2021VOL-YTD'!$R$3:$R$150,0),MATCH(BB$2,'Input 5.1_2021VOL-YTD'!$C$1:$N$1,0))/INDEX('Input 5_2021CUST-YTD'!$C$3:$N$150,MATCH($C49,'Input 5_2021CUST-YTD'!$S$3:$S$150,0),MATCH(BB$2,'Input 5_2021CUST-YTD'!$C$1:$N$1,0)),0)</f>
        <v>53.229081632653056</v>
      </c>
      <c r="BC49" s="1">
        <f>IFERROR(INDEX('Input 5.1_2021VOL-YTD'!$C$3:$N$150, MATCH($C49,'Input 5.1_2021VOL-YTD'!$R$3:$R$150,0),MATCH(BC$2,'Input 5.1_2021VOL-YTD'!$C$1:$N$1,0))/INDEX('Input 5_2021CUST-YTD'!$C$3:$N$150,MATCH($C49,'Input 5_2021CUST-YTD'!$S$3:$S$150,0),MATCH(BC$2,'Input 5_2021CUST-YTD'!$C$1:$N$1,0)),0)</f>
        <v>33.642371134020621</v>
      </c>
      <c r="BD49" s="1">
        <f>IFERROR(INDEX('Input 5.1_2021VOL-YTD'!$C$3:$N$150, MATCH($C49,'Input 5.1_2021VOL-YTD'!$R$3:$R$150,0),MATCH(BD$2,'Input 5.1_2021VOL-YTD'!$C$1:$N$1,0))/INDEX('Input 5_2021CUST-YTD'!$C$3:$N$150,MATCH($C49,'Input 5_2021CUST-YTD'!$S$3:$S$150,0),MATCH(BD$2,'Input 5_2021CUST-YTD'!$C$1:$N$1,0)),0)</f>
        <v>66.805312499999999</v>
      </c>
      <c r="BE49" s="1">
        <f>IFERROR(INDEX('Input 5.1_2021VOL-YTD'!$C$3:$N$150, MATCH($C49,'Input 5.1_2021VOL-YTD'!$R$3:$R$150,0),MATCH(BE$2,'Input 5.1_2021VOL-YTD'!$C$1:$N$1,0))/INDEX('Input 5_2021CUST-YTD'!$C$3:$N$150,MATCH($C49,'Input 5_2021CUST-YTD'!$S$3:$S$150,0),MATCH(BE$2,'Input 5_2021CUST-YTD'!$C$1:$N$1,0)),0)</f>
        <v>51.201030927835049</v>
      </c>
      <c r="BF49" s="1">
        <f>IFERROR(INDEX('Input 5.1_2021VOL-YTD'!$C$3:$N$150, MATCH($C49,'Input 5.1_2021VOL-YTD'!$R$3:$R$150,0),MATCH(BF$2,'Input 5.1_2021VOL-YTD'!$C$1:$N$1,0))/INDEX('Input 5_2021CUST-YTD'!$C$3:$N$150,MATCH($C49,'Input 5_2021CUST-YTD'!$S$3:$S$150,0),MATCH(BF$2,'Input 5_2021CUST-YTD'!$C$1:$N$1,0)),0)</f>
        <v>51.931836734693874</v>
      </c>
      <c r="BG49" s="1">
        <f>IFERROR(INDEX('Input 5.1_2021VOL-YTD'!$C$3:$N$150, MATCH($C49,'Input 5.1_2021VOL-YTD'!$R$3:$R$150,0),MATCH(BG$2,'Input 5.1_2021VOL-YTD'!$C$1:$N$1,0))/INDEX('Input 5_2021CUST-YTD'!$C$3:$N$150,MATCH($C49,'Input 5_2021CUST-YTD'!$S$3:$S$150,0),MATCH(BG$2,'Input 5_2021CUST-YTD'!$C$1:$N$1,0)),0)</f>
        <v>34.155000000000001</v>
      </c>
      <c r="BH49" s="1">
        <f>IFERROR(INDEX('Input 5.1_2021VOL-YTD'!$C$3:$N$150, MATCH($C49,'Input 5.1_2021VOL-YTD'!$R$3:$R$150,0),MATCH(BH$2,'Input 5.1_2021VOL-YTD'!$C$1:$N$1,0))/INDEX('Input 5_2021CUST-YTD'!$C$3:$N$150,MATCH($C49,'Input 5_2021CUST-YTD'!$S$3:$S$150,0),MATCH(BH$2,'Input 5_2021CUST-YTD'!$C$1:$N$1,0)),0)</f>
        <v>62.946770833333339</v>
      </c>
      <c r="BI49" s="190">
        <f t="shared" si="7"/>
        <v>83.427549019607852</v>
      </c>
      <c r="BJ49" s="261">
        <f t="shared" si="8"/>
        <v>1</v>
      </c>
    </row>
    <row r="50" spans="1:62">
      <c r="A50" s="261" t="s">
        <v>1245</v>
      </c>
      <c r="B50" s="261" t="s">
        <v>17</v>
      </c>
      <c r="C50" s="261" t="s">
        <v>64</v>
      </c>
      <c r="D50" s="5">
        <f>IFERROR(INDEX('Input 16.1_2018VOL-YTD'!$C$4:$N$300, MATCH($C50,'Input 16.1_2018VOL-YTD'!$R$4:$R$300,0),MATCH(D$2,'Input 16.1_2018VOL-YTD'!$C$1:$N$1,0))/INDEX('Input 16_2018CUST-YTD'!$D$4:$O$300,MATCH($C50,'Input 16_2018CUST-YTD'!$S$4:$S$300,0),MATCH(D$2,'Input 16_2018CUST-YTD'!$C$1:$O$1,0)),0)</f>
        <v>118.01900000000001</v>
      </c>
      <c r="E50" s="5">
        <f>IFERROR(INDEX('Input 16.1_2018VOL-YTD'!$C$4:$N$300, MATCH($C50,'Input 16.1_2018VOL-YTD'!$R$4:$R$300,0),MATCH(E$2,'Input 16.1_2018VOL-YTD'!$C$1:$N$1,0))/INDEX('Input 16_2018CUST-YTD'!$D$4:$O$300,MATCH($C50,'Input 16_2018CUST-YTD'!$S$4:$S$300,0),MATCH(E$2,'Input 16_2018CUST-YTD'!$C$1:$O$1,0)),0)</f>
        <v>138.18</v>
      </c>
      <c r="F50" s="5">
        <f>IFERROR(INDEX('Input 16.1_2018VOL-YTD'!$C$4:$N$300, MATCH($C50,'Input 16.1_2018VOL-YTD'!$R$4:$R$300,0),MATCH(F$2,'Input 16.1_2018VOL-YTD'!$C$1:$N$1,0))/INDEX('Input 16_2018CUST-YTD'!$D$4:$O$300,MATCH($C50,'Input 16_2018CUST-YTD'!$S$4:$S$300,0),MATCH(F$2,'Input 16_2018CUST-YTD'!$C$1:$O$1,0)),0)</f>
        <v>111.53181818181817</v>
      </c>
      <c r="G50" s="5">
        <f>IFERROR(INDEX('Input 16.1_2018VOL-YTD'!$C$4:$N$300, MATCH($C50,'Input 16.1_2018VOL-YTD'!$R$4:$R$300,0),MATCH(G$2,'Input 16.1_2018VOL-YTD'!$C$1:$N$1,0))/INDEX('Input 16_2018CUST-YTD'!$D$4:$O$300,MATCH($C50,'Input 16_2018CUST-YTD'!$S$4:$S$300,0),MATCH(G$2,'Input 16_2018CUST-YTD'!$C$1:$O$1,0)),0)</f>
        <v>142.52909090909091</v>
      </c>
      <c r="H50" s="5">
        <f>IFERROR(INDEX('Input 16.1_2018VOL-YTD'!$C$4:$N$300, MATCH($C50,'Input 16.1_2018VOL-YTD'!$R$4:$R$300,0),MATCH(H$2,'Input 16.1_2018VOL-YTD'!$C$1:$N$1,0))/INDEX('Input 16_2018CUST-YTD'!$D$4:$O$300,MATCH($C50,'Input 16_2018CUST-YTD'!$S$4:$S$300,0),MATCH(H$2,'Input 16_2018CUST-YTD'!$C$1:$O$1,0)),0)</f>
        <v>108.52727272727272</v>
      </c>
      <c r="I50" s="5">
        <f>IFERROR(INDEX('Input 16.1_2018VOL-YTD'!$C$4:$N$300, MATCH($C50,'Input 16.1_2018VOL-YTD'!$R$4:$R$300,0),MATCH(I$2,'Input 16.1_2018VOL-YTD'!$C$1:$N$1,0))/INDEX('Input 16_2018CUST-YTD'!$D$4:$O$300,MATCH($C50,'Input 16_2018CUST-YTD'!$S$4:$S$300,0),MATCH(I$2,'Input 16_2018CUST-YTD'!$C$1:$O$1,0)),0)</f>
        <v>108.21909090909092</v>
      </c>
      <c r="J50" s="5">
        <f>IFERROR(INDEX('Input 16.1_2018VOL-YTD'!$C$4:$N$300, MATCH($C50,'Input 16.1_2018VOL-YTD'!$R$4:$R$300,0),MATCH(J$2,'Input 16.1_2018VOL-YTD'!$C$1:$N$1,0))/INDEX('Input 16_2018CUST-YTD'!$D$4:$O$300,MATCH($C50,'Input 16_2018CUST-YTD'!$S$4:$S$300,0),MATCH(J$2,'Input 16_2018CUST-YTD'!$C$1:$O$1,0)),0)</f>
        <v>100.27272727272727</v>
      </c>
      <c r="K50" s="5">
        <f>IFERROR(INDEX('Input 16.1_2018VOL-YTD'!$C$4:$N$300, MATCH($C50,'Input 16.1_2018VOL-YTD'!$R$4:$R$300,0),MATCH(K$2,'Input 16.1_2018VOL-YTD'!$C$1:$N$1,0))/INDEX('Input 16_2018CUST-YTD'!$D$4:$O$300,MATCH($C50,'Input 16_2018CUST-YTD'!$S$4:$S$300,0),MATCH(K$2,'Input 16_2018CUST-YTD'!$C$1:$O$1,0)),0)</f>
        <v>108.33727272727273</v>
      </c>
      <c r="L50" s="5">
        <f>IFERROR(INDEX('Input 16.1_2018VOL-YTD'!$C$4:$N$300, MATCH($C50,'Input 16.1_2018VOL-YTD'!$R$4:$R$300,0),MATCH(L$2,'Input 16.1_2018VOL-YTD'!$C$1:$N$1,0))/INDEX('Input 16_2018CUST-YTD'!$D$4:$O$300,MATCH($C50,'Input 16_2018CUST-YTD'!$S$4:$S$300,0),MATCH(L$2,'Input 16_2018CUST-YTD'!$C$1:$O$1,0)),0)</f>
        <v>112.18181818181819</v>
      </c>
      <c r="M50" s="5">
        <f>IFERROR(INDEX('Input 16.1_2018VOL-YTD'!$C$4:$N$300, MATCH($C50,'Input 16.1_2018VOL-YTD'!$R$4:$R$300,0),MATCH(M$2,'Input 16.1_2018VOL-YTD'!$C$1:$N$1,0))/INDEX('Input 16_2018CUST-YTD'!$D$4:$O$300,MATCH($C50,'Input 16_2018CUST-YTD'!$S$4:$S$300,0),MATCH(M$2,'Input 16_2018CUST-YTD'!$C$1:$O$1,0)),0)</f>
        <v>108.90636363636364</v>
      </c>
      <c r="N50" s="5">
        <f>IFERROR(INDEX('Input 16.1_2018VOL-YTD'!$C$4:$N$300, MATCH($C50,'Input 16.1_2018VOL-YTD'!$R$4:$R$300,0),MATCH(N$2,'Input 16.1_2018VOL-YTD'!$C$1:$N$1,0))/INDEX('Input 16_2018CUST-YTD'!$D$4:$O$300,MATCH($C50,'Input 16_2018CUST-YTD'!$S$4:$S$300,0),MATCH(N$2,'Input 16_2018CUST-YTD'!$C$1:$O$1,0)),0)</f>
        <v>164.40636363636364</v>
      </c>
      <c r="O50" s="5">
        <f>IFERROR(INDEX('Input 16.1_2018VOL-YTD'!$C$4:$N$300, MATCH($C50,'Input 16.1_2018VOL-YTD'!$R$4:$R$300,0),MATCH(O$2,'Input 16.1_2018VOL-YTD'!$C$1:$N$1,0))/INDEX('Input 16_2018CUST-YTD'!$D$4:$O$300,MATCH($C50,'Input 16_2018CUST-YTD'!$S$4:$S$300,0),MATCH(O$2,'Input 16_2018CUST-YTD'!$C$1:$O$1,0)),0)</f>
        <v>159.05116279069767</v>
      </c>
      <c r="P50" s="271">
        <f t="shared" si="1"/>
        <v>164.40636363636364</v>
      </c>
      <c r="Q50" s="261">
        <f t="shared" si="2"/>
        <v>11</v>
      </c>
      <c r="S50" s="5">
        <f>IFERROR(INDEX('Input 3.1_2019VOL-YTD'!$C$4:$N$300, MATCH($C50,'Input 3.1_2019VOL-YTD'!$R$4:$R$300,0),MATCH(S$2,'Input 3.1_2019VOL-YTD'!$C$1:$N$1,0))/INDEX('Input 3_2019CUST-YTD'!$C$4:$N$300,MATCH($C50,'Input 3_2019CUST-YTD'!$S$4:$S$300,0),MATCH(S$2,'Input 3_2019CUST-YTD'!$C$1:$N$1,0)),0)</f>
        <v>168.77181818181819</v>
      </c>
      <c r="T50" s="5">
        <f>IFERROR(INDEX('Input 3.1_2019VOL-YTD'!$C$4:$N$300, MATCH($C50,'Input 3.1_2019VOL-YTD'!$R$4:$R$300,0),MATCH(T$2,'Input 3.1_2019VOL-YTD'!$C$1:$N$1,0))/INDEX('Input 3_2019CUST-YTD'!$C$4:$N$300,MATCH($C50,'Input 3_2019CUST-YTD'!$S$4:$S$300,0),MATCH(T$2,'Input 3_2019CUST-YTD'!$C$1:$N$1,0)),0)</f>
        <v>171.71454545454546</v>
      </c>
      <c r="U50" s="5">
        <f>IFERROR(INDEX('Input 3.1_2019VOL-YTD'!$C$4:$N$300, MATCH($C50,'Input 3.1_2019VOL-YTD'!$R$4:$R$300,0),MATCH(U$2,'Input 3.1_2019VOL-YTD'!$C$1:$N$1,0))/INDEX('Input 3_2019CUST-YTD'!$C$4:$N$300,MATCH($C50,'Input 3_2019CUST-YTD'!$S$4:$S$300,0),MATCH(U$2,'Input 3_2019CUST-YTD'!$C$1:$N$1,0)),0)</f>
        <v>148.26363636363638</v>
      </c>
      <c r="V50" s="5">
        <f>IFERROR(INDEX('Input 3.1_2019VOL-YTD'!$C$4:$N$300, MATCH($C50,'Input 3.1_2019VOL-YTD'!$R$4:$R$300,0),MATCH(V$2,'Input 3.1_2019VOL-YTD'!$C$1:$N$1,0))/INDEX('Input 3_2019CUST-YTD'!$C$4:$N$300,MATCH($C50,'Input 3_2019CUST-YTD'!$S$4:$S$300,0),MATCH(V$2,'Input 3_2019CUST-YTD'!$C$1:$N$1,0)),0)</f>
        <v>152.86727272727273</v>
      </c>
      <c r="W50" s="5">
        <f>IFERROR(INDEX('Input 3.1_2019VOL-YTD'!$C$4:$N$300, MATCH($C50,'Input 3.1_2019VOL-YTD'!$R$4:$R$300,0),MATCH(W$2,'Input 3.1_2019VOL-YTD'!$C$1:$N$1,0))/INDEX('Input 3_2019CUST-YTD'!$C$4:$N$300,MATCH($C50,'Input 3_2019CUST-YTD'!$S$4:$S$300,0),MATCH(W$2,'Input 3_2019CUST-YTD'!$C$1:$N$1,0)),0)</f>
        <v>146.99818181818182</v>
      </c>
      <c r="X50" s="5">
        <f>IFERROR(INDEX('Input 3.1_2019VOL-YTD'!$C$4:$N$300, MATCH($C50,'Input 3.1_2019VOL-YTD'!$R$4:$R$300,0),MATCH(X$2,'Input 3.1_2019VOL-YTD'!$C$1:$N$1,0))/INDEX('Input 3_2019CUST-YTD'!$C$4:$N$300,MATCH($C50,'Input 3_2019CUST-YTD'!$S$4:$S$300,0),MATCH(X$2,'Input 3_2019CUST-YTD'!$C$1:$N$1,0)),0)</f>
        <v>135.15727272727273</v>
      </c>
      <c r="Y50" s="5">
        <f>IFERROR(INDEX('Input 3.1_2019VOL-YTD'!$C$4:$N$300, MATCH($C50,'Input 3.1_2019VOL-YTD'!$R$4:$R$300,0),MATCH(Y$2,'Input 3.1_2019VOL-YTD'!$C$1:$N$1,0))/INDEX('Input 3_2019CUST-YTD'!$C$4:$N$300,MATCH($C50,'Input 3_2019CUST-YTD'!$S$4:$S$300,0),MATCH(Y$2,'Input 3_2019CUST-YTD'!$C$1:$N$1,0)),0)</f>
        <v>109.62727272727274</v>
      </c>
      <c r="Z50" s="5">
        <f>IFERROR(INDEX('Input 3.1_2019VOL-YTD'!$C$4:$N$300, MATCH($C50,'Input 3.1_2019VOL-YTD'!$R$4:$R$300,0),MATCH(Z$2,'Input 3.1_2019VOL-YTD'!$C$1:$N$1,0))/INDEX('Input 3_2019CUST-YTD'!$C$4:$N$300,MATCH($C50,'Input 3_2019CUST-YTD'!$S$4:$S$300,0),MATCH(Z$2,'Input 3_2019CUST-YTD'!$C$1:$N$1,0)),0)</f>
        <v>126.52545454545454</v>
      </c>
      <c r="AA50" s="5">
        <f>IFERROR(INDEX('Input 3.1_2019VOL-YTD'!$C$4:$N$300, MATCH($C50,'Input 3.1_2019VOL-YTD'!$R$4:$R$300,0),MATCH(AA$2,'Input 3.1_2019VOL-YTD'!$C$1:$N$1,0))/INDEX('Input 3_2019CUST-YTD'!$C$4:$N$300,MATCH($C50,'Input 3_2019CUST-YTD'!$S$4:$S$300,0),MATCH(AA$2,'Input 3_2019CUST-YTD'!$C$1:$N$1,0)),0)</f>
        <v>141.60300000000001</v>
      </c>
      <c r="AB50" s="5">
        <f>IFERROR(INDEX('Input 3.1_2019VOL-YTD'!$C$4:$N$300, MATCH($C50,'Input 3.1_2019VOL-YTD'!$R$4:$R$300,0),MATCH(AB$2,'Input 3.1_2019VOL-YTD'!$C$1:$N$1,0))/INDEX('Input 3_2019CUST-YTD'!$C$4:$N$300,MATCH($C50,'Input 3_2019CUST-YTD'!$S$4:$S$300,0),MATCH(AB$2,'Input 3_2019CUST-YTD'!$C$1:$N$1,0)),0)</f>
        <v>138.71899999999999</v>
      </c>
      <c r="AC50" s="5">
        <f>IFERROR(INDEX('Input 3.1_2019VOL-YTD'!$C$4:$N$300, MATCH($C50,'Input 3.1_2019VOL-YTD'!$R$4:$R$300,0),MATCH(AC$2,'Input 3.1_2019VOL-YTD'!$C$1:$N$1,0))/INDEX('Input 3_2019CUST-YTD'!$C$4:$N$300,MATCH($C50,'Input 3_2019CUST-YTD'!$S$4:$S$300,0),MATCH(AC$2,'Input 3_2019CUST-YTD'!$C$1:$N$1,0)),0)</f>
        <v>143.97999999999999</v>
      </c>
      <c r="AD50" s="5">
        <f>IFERROR(INDEX('Input 3.1_2019VOL-YTD'!$C$4:$N$300, MATCH($C50,'Input 3.1_2019VOL-YTD'!$R$4:$R$300,0),MATCH(AD$2,'Input 3.1_2019VOL-YTD'!$C$1:$N$1,0))/INDEX('Input 3_2019CUST-YTD'!$C$4:$N$300,MATCH($C50,'Input 3_2019CUST-YTD'!$S$4:$S$300,0),MATCH(AD$2,'Input 3_2019CUST-YTD'!$C$1:$N$1,0)),0)</f>
        <v>148.31900000000002</v>
      </c>
      <c r="AE50" s="272">
        <f>MAX(S50:AD50)</f>
        <v>171.71454545454546</v>
      </c>
      <c r="AF50" s="261">
        <f>INDEX($AH$2:$AS$2,MATCH(AE50,S50:AD50,0))</f>
        <v>2</v>
      </c>
      <c r="AH50" s="262">
        <f>IFERROR(INDEX('Input 4.1_2020VOL-YTD'!$C$4:$O$300, MATCH($C50,'Input 4.1_2020VOL-YTD'!$R$4:$R$300,0),MATCH(AH$2,'Input 4.1_2020VOL-YTD'!$C$1:$O$1,0))/INDEX('Input 4_2020CUST-YTD'!$C$4:O$300,MATCH($C50,'Input 4_2020CUST-YTD'!$S$4:$S$300,0),MATCH(AH$2,'Input 4_2020CUST-YTD'!$C$1:$O$1,0)),0)</f>
        <v>145.42400000000001</v>
      </c>
      <c r="AI50" s="262">
        <f>IFERROR(INDEX('Input 4.1_2020VOL-YTD'!$C$4:$O$300, MATCH($C50,'Input 4.1_2020VOL-YTD'!$R$4:$R$300,0),MATCH(AI$2,'Input 4.1_2020VOL-YTD'!$C$1:$O$1,0))/INDEX('Input 4_2020CUST-YTD'!$C$4:P$300,MATCH($C50,'Input 4_2020CUST-YTD'!$S$4:$S$300,0),MATCH(AI$2,'Input 4_2020CUST-YTD'!$C$1:$O$1,0)),0)</f>
        <v>146.80199999999999</v>
      </c>
      <c r="AJ50" s="262">
        <f>IFERROR(INDEX('Input 4.1_2020VOL-YTD'!$C$4:$O$300, MATCH($C50,'Input 4.1_2020VOL-YTD'!$R$4:$R$300,0),MATCH(AJ$2,'Input 4.1_2020VOL-YTD'!$C$1:$O$1,0))/INDEX('Input 4_2020CUST-YTD'!$C$4:Q$300,MATCH($C50,'Input 4_2020CUST-YTD'!$S$4:$S$300,0),MATCH(AJ$2,'Input 4_2020CUST-YTD'!$C$1:$O$1,0)),0)</f>
        <v>141.631</v>
      </c>
      <c r="AK50" s="262">
        <f>IFERROR(INDEX('Input 4.1_2020VOL-YTD'!$C$4:$O$300, MATCH($C50,'Input 4.1_2020VOL-YTD'!$R$4:$R$300,0),MATCH(AK$2,'Input 4.1_2020VOL-YTD'!$C$1:$O$1,0))/INDEX('Input 4_2020CUST-YTD'!$C$4:R$300,MATCH($C50,'Input 4_2020CUST-YTD'!$S$4:$S$300,0),MATCH(AK$2,'Input 4_2020CUST-YTD'!$C$1:$O$1,0)),0)</f>
        <v>86.838999999999999</v>
      </c>
      <c r="AL50" s="262">
        <f>IFERROR(INDEX('Input 4.1_2020VOL-YTD'!$C$4:$O$300, MATCH($C50,'Input 4.1_2020VOL-YTD'!$R$4:$R$300,0),MATCH(AL$2,'Input 4.1_2020VOL-YTD'!$C$1:$O$1,0))/INDEX('Input 4_2020CUST-YTD'!$C$4:S$300,MATCH($C50,'Input 4_2020CUST-YTD'!$S$4:$S$300,0),MATCH(AL$2,'Input 4_2020CUST-YTD'!$C$1:$O$1,0)),0)</f>
        <v>86.722999999999999</v>
      </c>
      <c r="AM50" s="262">
        <f>IFERROR(INDEX('Input 4.1_2020VOL-YTD'!$C$4:$O$300, MATCH($C50,'Input 4.1_2020VOL-YTD'!$R$4:$R$300,0),MATCH(AM$2,'Input 4.1_2020VOL-YTD'!$C$1:$O$1,0))/INDEX('Input 4_2020CUST-YTD'!$C$4:T$300,MATCH($C50,'Input 4_2020CUST-YTD'!$S$4:$S$300,0),MATCH(AM$2,'Input 4_2020CUST-YTD'!$C$1:$O$1,0)),0)</f>
        <v>116.73099999999999</v>
      </c>
      <c r="AN50" s="262">
        <f>IFERROR(INDEX('Input 4.1_2020VOL-YTD'!$C$4:$O$300, MATCH($C50,'Input 4.1_2020VOL-YTD'!$R$4:$R$300,0),MATCH(AN$2,'Input 4.1_2020VOL-YTD'!$C$1:$O$1,0))/INDEX('Input 4_2020CUST-YTD'!$C$4:U$300,MATCH($C50,'Input 4_2020CUST-YTD'!$S$4:$S$300,0),MATCH(AN$2,'Input 4_2020CUST-YTD'!$C$1:$O$1,0)),0)</f>
        <v>116.70399999999999</v>
      </c>
      <c r="AO50" s="262">
        <f>IFERROR(INDEX('Input 4.1_2020VOL-YTD'!$C$4:$O$300, MATCH($C50,'Input 4.1_2020VOL-YTD'!$R$4:$R$300,0),MATCH(AO$2,'Input 4.1_2020VOL-YTD'!$C$1:$O$1,0))/INDEX('Input 4_2020CUST-YTD'!$C$4:V$300,MATCH($C50,'Input 4_2020CUST-YTD'!$S$4:$S$300,0),MATCH(AO$2,'Input 4_2020CUST-YTD'!$C$1:$O$1,0)),0)</f>
        <v>116.098</v>
      </c>
      <c r="AP50" s="262">
        <f>IFERROR(INDEX('Input 4.1_2020VOL-YTD'!$C$4:$O$300, MATCH($C50,'Input 4.1_2020VOL-YTD'!$R$4:$R$300,0),MATCH(AP$2,'Input 4.1_2020VOL-YTD'!$C$1:$O$1,0))/INDEX('Input 4_2020CUST-YTD'!$C$4:W$300,MATCH($C50,'Input 4_2020CUST-YTD'!$S$4:$S$300,0),MATCH(AP$2,'Input 4_2020CUST-YTD'!$C$1:$O$1,0)),0)</f>
        <v>99.997</v>
      </c>
      <c r="AQ50" s="262">
        <f>IFERROR(INDEX('Input 4.1_2020VOL-YTD'!$C$4:$O$300, MATCH($C50,'Input 4.1_2020VOL-YTD'!$R$4:$R$300,0),MATCH(AQ$2,'Input 4.1_2020VOL-YTD'!$C$1:$O$1,0))/INDEX('Input 4_2020CUST-YTD'!$C$4:X$300,MATCH($C50,'Input 4_2020CUST-YTD'!$S$4:$S$300,0),MATCH(AQ$2,'Input 4_2020CUST-YTD'!$C$1:$O$1,0)),0)</f>
        <v>101.76222222222222</v>
      </c>
      <c r="AR50" s="262">
        <f>IFERROR(INDEX('Input 4.1_2020VOL-YTD'!$C$4:$O$300, MATCH($C50,'Input 4.1_2020VOL-YTD'!$R$4:$R$300,0),MATCH(AR$2,'Input 4.1_2020VOL-YTD'!$C$1:$O$1,0))/INDEX('Input 4_2020CUST-YTD'!$C$4:Y$300,MATCH($C50,'Input 4_2020CUST-YTD'!$S$4:$S$300,0),MATCH(AR$2,'Input 4_2020CUST-YTD'!$C$1:$O$1,0)),0)</f>
        <v>110.925</v>
      </c>
      <c r="AS50" s="262">
        <f>IFERROR(INDEX('Input 4.1_2020VOL-YTD'!$C$4:$O$300, MATCH($C50,'Input 4.1_2020VOL-YTD'!$R$4:$R$300,0),MATCH(AS$2,'Input 4.1_2020VOL-YTD'!$C$1:$O$1,0))/INDEX('Input 4_2020CUST-YTD'!$C$4:Z$300,MATCH($C50,'Input 4_2020CUST-YTD'!$S$4:$S$300,0),MATCH(AS$2,'Input 4_2020CUST-YTD'!$C$1:$O$1,0)),0)</f>
        <v>125.16500000000001</v>
      </c>
      <c r="AT50" s="190">
        <f t="shared" si="14"/>
        <v>146.80199999999999</v>
      </c>
      <c r="AU50" s="261">
        <f t="shared" si="15"/>
        <v>2</v>
      </c>
      <c r="AW50" s="1">
        <f>IFERROR(INDEX('Input 5.1_2021VOL-YTD'!$C$3:$N$150, MATCH($C50,'Input 5.1_2021VOL-YTD'!$R$3:$R$150,0),MATCH(AW$2,'Input 5.1_2021VOL-YTD'!$C$1:$N$1,0))/INDEX('Input 5_2021CUST-YTD'!$C$3:$N$150,MATCH($C50,'Input 5_2021CUST-YTD'!$S$3:$S$150,0),MATCH(AW$2,'Input 5_2021CUST-YTD'!$C$1:$N$1,0)),0)</f>
        <v>172.41199999999998</v>
      </c>
      <c r="AX50" s="1">
        <f>IFERROR(INDEX('Input 5.1_2021VOL-YTD'!$C$3:$N$150, MATCH($C50,'Input 5.1_2021VOL-YTD'!$R$3:$R$150,0),MATCH(AX$2,'Input 5.1_2021VOL-YTD'!$C$1:$N$1,0))/INDEX('Input 5_2021CUST-YTD'!$C$3:$N$150,MATCH($C50,'Input 5_2021CUST-YTD'!$S$3:$S$150,0),MATCH(AX$2,'Input 5_2021CUST-YTD'!$C$1:$N$1,0)),0)</f>
        <v>160.09</v>
      </c>
      <c r="AY50" s="1">
        <f>IFERROR(INDEX('Input 5.1_2021VOL-YTD'!$C$3:$N$150, MATCH($C50,'Input 5.1_2021VOL-YTD'!$R$3:$R$150,0),MATCH(AY$2,'Input 5.1_2021VOL-YTD'!$C$1:$N$1,0))/INDEX('Input 5_2021CUST-YTD'!$C$3:$N$150,MATCH($C50,'Input 5_2021CUST-YTD'!$S$3:$S$150,0),MATCH(AY$2,'Input 5_2021CUST-YTD'!$C$1:$N$1,0)),0)</f>
        <v>145.00636363636363</v>
      </c>
      <c r="AZ50" s="1">
        <f>IFERROR(INDEX('Input 5.1_2021VOL-YTD'!$C$3:$N$150, MATCH($C50,'Input 5.1_2021VOL-YTD'!$R$3:$R$150,0),MATCH(AZ$2,'Input 5.1_2021VOL-YTD'!$C$1:$N$1,0))/INDEX('Input 5_2021CUST-YTD'!$C$3:$N$150,MATCH($C50,'Input 5_2021CUST-YTD'!$S$3:$S$150,0),MATCH(AZ$2,'Input 5_2021CUST-YTD'!$C$1:$N$1,0)),0)</f>
        <v>205.95100000000002</v>
      </c>
      <c r="BA50" s="1">
        <f>IFERROR(INDEX('Input 5.1_2021VOL-YTD'!$C$3:$N$150, MATCH($C50,'Input 5.1_2021VOL-YTD'!$R$3:$R$150,0),MATCH(BA$2,'Input 5.1_2021VOL-YTD'!$C$1:$N$1,0))/INDEX('Input 5_2021CUST-YTD'!$C$3:$N$150,MATCH($C50,'Input 5_2021CUST-YTD'!$S$3:$S$150,0),MATCH(BA$2,'Input 5_2021CUST-YTD'!$C$1:$N$1,0)),0)</f>
        <v>172.63900000000001</v>
      </c>
      <c r="BB50" s="1">
        <f>IFERROR(INDEX('Input 5.1_2021VOL-YTD'!$C$3:$N$150, MATCH($C50,'Input 5.1_2021VOL-YTD'!$R$3:$R$150,0),MATCH(BB$2,'Input 5.1_2021VOL-YTD'!$C$1:$N$1,0))/INDEX('Input 5_2021CUST-YTD'!$C$3:$N$150,MATCH($C50,'Input 5_2021CUST-YTD'!$S$3:$S$150,0),MATCH(BB$2,'Input 5_2021CUST-YTD'!$C$1:$N$1,0)),0)</f>
        <v>153.56300000000002</v>
      </c>
      <c r="BC50" s="1">
        <f>IFERROR(INDEX('Input 5.1_2021VOL-YTD'!$C$3:$N$150, MATCH($C50,'Input 5.1_2021VOL-YTD'!$R$3:$R$150,0),MATCH(BC$2,'Input 5.1_2021VOL-YTD'!$C$1:$N$1,0))/INDEX('Input 5_2021CUST-YTD'!$C$3:$N$150,MATCH($C50,'Input 5_2021CUST-YTD'!$S$3:$S$150,0),MATCH(BC$2,'Input 5_2021CUST-YTD'!$C$1:$N$1,0)),0)</f>
        <v>142.41400000000002</v>
      </c>
      <c r="BD50" s="1">
        <f>IFERROR(INDEX('Input 5.1_2021VOL-YTD'!$C$3:$N$150, MATCH($C50,'Input 5.1_2021VOL-YTD'!$R$3:$R$150,0),MATCH(BD$2,'Input 5.1_2021VOL-YTD'!$C$1:$N$1,0))/INDEX('Input 5_2021CUST-YTD'!$C$3:$N$150,MATCH($C50,'Input 5_2021CUST-YTD'!$S$3:$S$150,0),MATCH(BD$2,'Input 5_2021CUST-YTD'!$C$1:$N$1,0)),0)</f>
        <v>130.02727272727273</v>
      </c>
      <c r="BE50" s="1">
        <f>IFERROR(INDEX('Input 5.1_2021VOL-YTD'!$C$3:$N$150, MATCH($C50,'Input 5.1_2021VOL-YTD'!$R$3:$R$150,0),MATCH(BE$2,'Input 5.1_2021VOL-YTD'!$C$1:$N$1,0))/INDEX('Input 5_2021CUST-YTD'!$C$3:$N$150,MATCH($C50,'Input 5_2021CUST-YTD'!$S$3:$S$150,0),MATCH(BE$2,'Input 5_2021CUST-YTD'!$C$1:$N$1,0)),0)</f>
        <v>133.595</v>
      </c>
      <c r="BF50" s="1">
        <f>IFERROR(INDEX('Input 5.1_2021VOL-YTD'!$C$3:$N$150, MATCH($C50,'Input 5.1_2021VOL-YTD'!$R$3:$R$150,0),MATCH(BF$2,'Input 5.1_2021VOL-YTD'!$C$1:$N$1,0))/INDEX('Input 5_2021CUST-YTD'!$C$3:$N$150,MATCH($C50,'Input 5_2021CUST-YTD'!$S$3:$S$150,0),MATCH(BF$2,'Input 5_2021CUST-YTD'!$C$1:$N$1,0)),0)</f>
        <v>116.699</v>
      </c>
      <c r="BG50" s="1">
        <f>IFERROR(INDEX('Input 5.1_2021VOL-YTD'!$C$3:$N$150, MATCH($C50,'Input 5.1_2021VOL-YTD'!$R$3:$R$150,0),MATCH(BG$2,'Input 5.1_2021VOL-YTD'!$C$1:$N$1,0))/INDEX('Input 5_2021CUST-YTD'!$C$3:$N$150,MATCH($C50,'Input 5_2021CUST-YTD'!$S$3:$S$150,0),MATCH(BG$2,'Input 5_2021CUST-YTD'!$C$1:$N$1,0)),0)</f>
        <v>104.03</v>
      </c>
      <c r="BH50" s="1">
        <f>IFERROR(INDEX('Input 5.1_2021VOL-YTD'!$C$3:$N$150, MATCH($C50,'Input 5.1_2021VOL-YTD'!$R$3:$R$150,0),MATCH(BH$2,'Input 5.1_2021VOL-YTD'!$C$1:$N$1,0))/INDEX('Input 5_2021CUST-YTD'!$C$3:$N$150,MATCH($C50,'Input 5_2021CUST-YTD'!$S$3:$S$150,0),MATCH(BH$2,'Input 5_2021CUST-YTD'!$C$1:$N$1,0)),0)</f>
        <v>131.46700000000001</v>
      </c>
      <c r="BI50" s="190">
        <f t="shared" si="7"/>
        <v>205.95100000000002</v>
      </c>
      <c r="BJ50" s="261">
        <f t="shared" si="8"/>
        <v>4</v>
      </c>
    </row>
    <row r="51" spans="1:62">
      <c r="A51" s="261" t="s">
        <v>1245</v>
      </c>
      <c r="B51" s="261" t="s">
        <v>17</v>
      </c>
      <c r="C51" s="261" t="s">
        <v>1392</v>
      </c>
      <c r="D51" s="5">
        <f>IFERROR(INDEX('Input 16.1_2018VOL-YTD'!$C$4:$N$300, MATCH($C51,'Input 16.1_2018VOL-YTD'!$R$4:$R$300,0),MATCH(D$2,'Input 16.1_2018VOL-YTD'!$C$1:$N$1,0))/INDEX('Input 16_2018CUST-YTD'!$D$4:$O$300,MATCH($C51,'Input 16_2018CUST-YTD'!$S$4:$S$300,0),MATCH(D$2,'Input 16_2018CUST-YTD'!$C$1:$O$1,0)),0)</f>
        <v>257.78601990049748</v>
      </c>
      <c r="E51" s="5">
        <f>IFERROR(INDEX('Input 16.1_2018VOL-YTD'!$C$4:$N$300, MATCH($C51,'Input 16.1_2018VOL-YTD'!$R$4:$R$300,0),MATCH(E$2,'Input 16.1_2018VOL-YTD'!$C$1:$N$1,0))/INDEX('Input 16_2018CUST-YTD'!$D$4:$O$300,MATCH($C51,'Input 16_2018CUST-YTD'!$S$4:$S$300,0),MATCH(E$2,'Input 16_2018CUST-YTD'!$C$1:$O$1,0)),0)</f>
        <v>222.92517412935322</v>
      </c>
      <c r="F51" s="5">
        <f>IFERROR(INDEX('Input 16.1_2018VOL-YTD'!$C$4:$N$300, MATCH($C51,'Input 16.1_2018VOL-YTD'!$R$4:$R$300,0),MATCH(F$2,'Input 16.1_2018VOL-YTD'!$C$1:$N$1,0))/INDEX('Input 16_2018CUST-YTD'!$D$4:$O$300,MATCH($C51,'Input 16_2018CUST-YTD'!$S$4:$S$300,0),MATCH(F$2,'Input 16_2018CUST-YTD'!$C$1:$O$1,0)),0)</f>
        <v>223.29381443298968</v>
      </c>
      <c r="G51" s="5">
        <f>IFERROR(INDEX('Input 16.1_2018VOL-YTD'!$C$4:$N$300, MATCH($C51,'Input 16.1_2018VOL-YTD'!$R$4:$R$300,0),MATCH(G$2,'Input 16.1_2018VOL-YTD'!$C$1:$N$1,0))/INDEX('Input 16_2018CUST-YTD'!$D$4:$O$300,MATCH($C51,'Input 16_2018CUST-YTD'!$S$4:$S$300,0),MATCH(G$2,'Input 16_2018CUST-YTD'!$C$1:$O$1,0)),0)</f>
        <v>163.9146700507614</v>
      </c>
      <c r="H51" s="5">
        <f>IFERROR(INDEX('Input 16.1_2018VOL-YTD'!$C$4:$N$300, MATCH($C51,'Input 16.1_2018VOL-YTD'!$R$4:$R$300,0),MATCH(H$2,'Input 16.1_2018VOL-YTD'!$C$1:$N$1,0))/INDEX('Input 16_2018CUST-YTD'!$D$4:$O$300,MATCH($C51,'Input 16_2018CUST-YTD'!$S$4:$S$300,0),MATCH(H$2,'Input 16_2018CUST-YTD'!$C$1:$O$1,0)),0)</f>
        <v>146.43938461538463</v>
      </c>
      <c r="I51" s="5">
        <f>IFERROR(INDEX('Input 16.1_2018VOL-YTD'!$C$4:$N$300, MATCH($C51,'Input 16.1_2018VOL-YTD'!$R$4:$R$300,0),MATCH(I$2,'Input 16.1_2018VOL-YTD'!$C$1:$N$1,0))/INDEX('Input 16_2018CUST-YTD'!$D$4:$O$300,MATCH($C51,'Input 16_2018CUST-YTD'!$S$4:$S$300,0),MATCH(I$2,'Input 16_2018CUST-YTD'!$C$1:$O$1,0)),0)</f>
        <v>134.14407216494845</v>
      </c>
      <c r="J51" s="5">
        <f>IFERROR(INDEX('Input 16.1_2018VOL-YTD'!$C$4:$N$300, MATCH($C51,'Input 16.1_2018VOL-YTD'!$R$4:$R$300,0),MATCH(J$2,'Input 16.1_2018VOL-YTD'!$C$1:$N$1,0))/INDEX('Input 16_2018CUST-YTD'!$D$4:$O$300,MATCH($C51,'Input 16_2018CUST-YTD'!$S$4:$S$300,0),MATCH(J$2,'Input 16_2018CUST-YTD'!$C$1:$O$1,0)),0)</f>
        <v>116.14213197969544</v>
      </c>
      <c r="K51" s="5">
        <f>IFERROR(INDEX('Input 16.1_2018VOL-YTD'!$C$4:$N$300, MATCH($C51,'Input 16.1_2018VOL-YTD'!$R$4:$R$300,0),MATCH(K$2,'Input 16.1_2018VOL-YTD'!$C$1:$N$1,0))/INDEX('Input 16_2018CUST-YTD'!$D$4:$O$300,MATCH($C51,'Input 16_2018CUST-YTD'!$S$4:$S$300,0),MATCH(K$2,'Input 16_2018CUST-YTD'!$C$1:$O$1,0)),0)</f>
        <v>128.64345177664973</v>
      </c>
      <c r="L51" s="5">
        <f>IFERROR(INDEX('Input 16.1_2018VOL-YTD'!$C$4:$N$300, MATCH($C51,'Input 16.1_2018VOL-YTD'!$R$4:$R$300,0),MATCH(L$2,'Input 16.1_2018VOL-YTD'!$C$1:$N$1,0))/INDEX('Input 16_2018CUST-YTD'!$D$4:$O$300,MATCH($C51,'Input 16_2018CUST-YTD'!$S$4:$S$300,0),MATCH(L$2,'Input 16_2018CUST-YTD'!$C$1:$O$1,0)),0)</f>
        <v>145.18056410256409</v>
      </c>
      <c r="M51" s="5">
        <f>IFERROR(INDEX('Input 16.1_2018VOL-YTD'!$C$4:$N$300, MATCH($C51,'Input 16.1_2018VOL-YTD'!$R$4:$R$300,0),MATCH(M$2,'Input 16.1_2018VOL-YTD'!$C$1:$N$1,0))/INDEX('Input 16_2018CUST-YTD'!$D$4:$O$300,MATCH($C51,'Input 16_2018CUST-YTD'!$S$4:$S$300,0),MATCH(M$2,'Input 16_2018CUST-YTD'!$C$1:$O$1,0)),0)</f>
        <v>138.60172588832486</v>
      </c>
      <c r="N51" s="5">
        <f>IFERROR(INDEX('Input 16.1_2018VOL-YTD'!$C$4:$N$300, MATCH($C51,'Input 16.1_2018VOL-YTD'!$R$4:$R$300,0),MATCH(N$2,'Input 16.1_2018VOL-YTD'!$C$1:$N$1,0))/INDEX('Input 16_2018CUST-YTD'!$D$4:$O$300,MATCH($C51,'Input 16_2018CUST-YTD'!$S$4:$S$300,0),MATCH(N$2,'Input 16_2018CUST-YTD'!$C$1:$O$1,0)),0)</f>
        <v>141.59490740740742</v>
      </c>
      <c r="O51" s="5">
        <f>IFERROR(INDEX('Input 16.1_2018VOL-YTD'!$C$4:$N$300, MATCH($C51,'Input 16.1_2018VOL-YTD'!$R$4:$R$300,0),MATCH(O$2,'Input 16.1_2018VOL-YTD'!$C$1:$N$1,0))/INDEX('Input 16_2018CUST-YTD'!$D$4:$O$300,MATCH($C51,'Input 16_2018CUST-YTD'!$S$4:$S$300,0),MATCH(O$2,'Input 16_2018CUST-YTD'!$C$1:$O$1,0)),0)</f>
        <v>187.01247798742139</v>
      </c>
      <c r="P51" s="271">
        <f t="shared" si="1"/>
        <v>257.78601990049748</v>
      </c>
      <c r="Q51" s="261">
        <f t="shared" si="2"/>
        <v>1</v>
      </c>
      <c r="S51" s="5">
        <f>IFERROR(INDEX('Input 3.1_2019VOL-YTD'!$C$4:$N$300, MATCH($C51,'Input 3.1_2019VOL-YTD'!$R$4:$R$300,0),MATCH(S$2,'Input 3.1_2019VOL-YTD'!$C$1:$N$1,0))/INDEX('Input 3_2019CUST-YTD'!$C$4:$N$300,MATCH($C51,'Input 3_2019CUST-YTD'!$S$4:$S$300,0),MATCH(S$2,'Input 3_2019CUST-YTD'!$C$1:$N$1,0)),0)</f>
        <v>189.64515463917527</v>
      </c>
      <c r="T51" s="5">
        <f>IFERROR(INDEX('Input 3.1_2019VOL-YTD'!$C$4:$N$300, MATCH($C51,'Input 3.1_2019VOL-YTD'!$R$4:$R$300,0),MATCH(T$2,'Input 3.1_2019VOL-YTD'!$C$1:$N$1,0))/INDEX('Input 3_2019CUST-YTD'!$C$4:$N$300,MATCH($C51,'Input 3_2019CUST-YTD'!$S$4:$S$300,0),MATCH(T$2,'Input 3_2019CUST-YTD'!$C$1:$N$1,0)),0)</f>
        <v>185.68494897959184</v>
      </c>
      <c r="U51" s="5">
        <f>IFERROR(INDEX('Input 3.1_2019VOL-YTD'!$C$4:$N$300, MATCH($C51,'Input 3.1_2019VOL-YTD'!$R$4:$R$300,0),MATCH(U$2,'Input 3.1_2019VOL-YTD'!$C$1:$N$1,0))/INDEX('Input 3_2019CUST-YTD'!$C$4:$N$300,MATCH($C51,'Input 3_2019CUST-YTD'!$S$4:$S$300,0),MATCH(U$2,'Input 3_2019CUST-YTD'!$C$1:$N$1,0)),0)</f>
        <v>178.73745</v>
      </c>
      <c r="V51" s="5">
        <f>IFERROR(INDEX('Input 3.1_2019VOL-YTD'!$C$4:$N$300, MATCH($C51,'Input 3.1_2019VOL-YTD'!$R$4:$R$300,0),MATCH(V$2,'Input 3.1_2019VOL-YTD'!$C$1:$N$1,0))/INDEX('Input 3_2019CUST-YTD'!$C$4:$N$300,MATCH($C51,'Input 3_2019CUST-YTD'!$S$4:$S$300,0),MATCH(V$2,'Input 3_2019CUST-YTD'!$C$1:$N$1,0)),0)</f>
        <v>144.93106060606061</v>
      </c>
      <c r="W51" s="5">
        <f>IFERROR(INDEX('Input 3.1_2019VOL-YTD'!$C$4:$N$300, MATCH($C51,'Input 3.1_2019VOL-YTD'!$R$4:$R$300,0),MATCH(W$2,'Input 3.1_2019VOL-YTD'!$C$1:$N$1,0))/INDEX('Input 3_2019CUST-YTD'!$C$4:$N$300,MATCH($C51,'Input 3_2019CUST-YTD'!$S$4:$S$300,0),MATCH(W$2,'Input 3_2019CUST-YTD'!$C$1:$N$1,0)),0)</f>
        <v>165.74798994974873</v>
      </c>
      <c r="X51" s="5">
        <f>IFERROR(INDEX('Input 3.1_2019VOL-YTD'!$C$4:$N$300, MATCH($C51,'Input 3.1_2019VOL-YTD'!$R$4:$R$300,0),MATCH(X$2,'Input 3.1_2019VOL-YTD'!$C$1:$N$1,0))/INDEX('Input 3_2019CUST-YTD'!$C$4:$N$300,MATCH($C51,'Input 3_2019CUST-YTD'!$S$4:$S$300,0),MATCH(X$2,'Input 3_2019CUST-YTD'!$C$1:$N$1,0)),0)</f>
        <v>142.48939698492461</v>
      </c>
      <c r="Y51" s="5">
        <f>IFERROR(INDEX('Input 3.1_2019VOL-YTD'!$C$4:$N$300, MATCH($C51,'Input 3.1_2019VOL-YTD'!$R$4:$R$300,0),MATCH(Y$2,'Input 3.1_2019VOL-YTD'!$C$1:$N$1,0))/INDEX('Input 3_2019CUST-YTD'!$C$4:$N$300,MATCH($C51,'Input 3_2019CUST-YTD'!$S$4:$S$300,0),MATCH(Y$2,'Input 3_2019CUST-YTD'!$C$1:$N$1,0)),0)</f>
        <v>118.55358208955224</v>
      </c>
      <c r="Z51" s="5">
        <f>IFERROR(INDEX('Input 3.1_2019VOL-YTD'!$C$4:$N$300, MATCH($C51,'Input 3.1_2019VOL-YTD'!$R$4:$R$300,0),MATCH(Z$2,'Input 3.1_2019VOL-YTD'!$C$1:$N$1,0))/INDEX('Input 3_2019CUST-YTD'!$C$4:$N$300,MATCH($C51,'Input 3_2019CUST-YTD'!$S$4:$S$300,0),MATCH(Z$2,'Input 3_2019CUST-YTD'!$C$1:$N$1,0)),0)</f>
        <v>132.20029268292683</v>
      </c>
      <c r="AA51" s="5">
        <f>IFERROR(INDEX('Input 3.1_2019VOL-YTD'!$C$4:$N$300, MATCH($C51,'Input 3.1_2019VOL-YTD'!$R$4:$R$300,0),MATCH(AA$2,'Input 3.1_2019VOL-YTD'!$C$1:$N$1,0))/INDEX('Input 3_2019CUST-YTD'!$C$4:$N$300,MATCH($C51,'Input 3_2019CUST-YTD'!$S$4:$S$300,0),MATCH(AA$2,'Input 3_2019CUST-YTD'!$C$1:$N$1,0)),0)</f>
        <v>145.63876847290641</v>
      </c>
      <c r="AB51" s="5">
        <f>IFERROR(INDEX('Input 3.1_2019VOL-YTD'!$C$4:$N$300, MATCH($C51,'Input 3.1_2019VOL-YTD'!$R$4:$R$300,0),MATCH(AB$2,'Input 3.1_2019VOL-YTD'!$C$1:$N$1,0))/INDEX('Input 3_2019CUST-YTD'!$C$4:$N$300,MATCH($C51,'Input 3_2019CUST-YTD'!$S$4:$S$300,0),MATCH(AB$2,'Input 3_2019CUST-YTD'!$C$1:$N$1,0)),0)</f>
        <v>146.24019801980199</v>
      </c>
      <c r="AC51" s="5">
        <f>IFERROR(INDEX('Input 3.1_2019VOL-YTD'!$C$4:$N$300, MATCH($C51,'Input 3.1_2019VOL-YTD'!$R$4:$R$300,0),MATCH(AC$2,'Input 3.1_2019VOL-YTD'!$C$1:$N$1,0))/INDEX('Input 3_2019CUST-YTD'!$C$4:$N$300,MATCH($C51,'Input 3_2019CUST-YTD'!$S$4:$S$300,0),MATCH(AC$2,'Input 3_2019CUST-YTD'!$C$1:$N$1,0)),0)</f>
        <v>154.39605769230769</v>
      </c>
      <c r="AD51" s="5">
        <f>IFERROR(INDEX('Input 3.1_2019VOL-YTD'!$C$4:$N$300, MATCH($C51,'Input 3.1_2019VOL-YTD'!$R$4:$R$300,0),MATCH(AD$2,'Input 3.1_2019VOL-YTD'!$C$1:$N$1,0))/INDEX('Input 3_2019CUST-YTD'!$C$4:$N$300,MATCH($C51,'Input 3_2019CUST-YTD'!$S$4:$S$300,0),MATCH(AD$2,'Input 3_2019CUST-YTD'!$C$1:$N$1,0)),0)</f>
        <v>177.20280952380952</v>
      </c>
      <c r="AE51" s="272">
        <f t="shared" ref="AE51:AE62" si="16">MAX(S51:AD51)</f>
        <v>189.64515463917527</v>
      </c>
      <c r="AF51" s="261">
        <f t="shared" ref="AF51:AF62" si="17">INDEX($AH$2:$AS$2,MATCH(AE51,S51:AD51,0))</f>
        <v>1</v>
      </c>
      <c r="AH51" s="262">
        <f>IFERROR(INDEX('Input 4.1_2020VOL-YTD'!$C$4:$O$300, MATCH($C51,'Input 4.1_2020VOL-YTD'!$R$4:$R$300,0),MATCH(AH$2,'Input 4.1_2020VOL-YTD'!$C$1:$O$1,0))/INDEX('Input 4_2020CUST-YTD'!$C$4:O$300,MATCH($C51,'Input 4_2020CUST-YTD'!$S$4:$S$300,0),MATCH(AH$2,'Input 4_2020CUST-YTD'!$C$1:$O$1,0)),0)</f>
        <v>175.98561904761905</v>
      </c>
      <c r="AI51" s="262">
        <f>IFERROR(INDEX('Input 4.1_2020VOL-YTD'!$C$4:$O$300, MATCH($C51,'Input 4.1_2020VOL-YTD'!$R$4:$R$300,0),MATCH(AI$2,'Input 4.1_2020VOL-YTD'!$C$1:$O$1,0))/INDEX('Input 4_2020CUST-YTD'!$C$4:P$300,MATCH($C51,'Input 4_2020CUST-YTD'!$S$4:$S$300,0),MATCH(AI$2,'Input 4_2020CUST-YTD'!$C$1:$O$1,0)),0)</f>
        <v>173.63971428571426</v>
      </c>
      <c r="AJ51" s="262">
        <f>IFERROR(INDEX('Input 4.1_2020VOL-YTD'!$C$4:$O$300, MATCH($C51,'Input 4.1_2020VOL-YTD'!$R$4:$R$300,0),MATCH(AJ$2,'Input 4.1_2020VOL-YTD'!$C$1:$O$1,0))/INDEX('Input 4_2020CUST-YTD'!$C$4:Q$300,MATCH($C51,'Input 4_2020CUST-YTD'!$S$4:$S$300,0),MATCH(AJ$2,'Input 4_2020CUST-YTD'!$C$1:$O$1,0)),0)</f>
        <v>154.18336492890995</v>
      </c>
      <c r="AK51" s="262">
        <f>IFERROR(INDEX('Input 4.1_2020VOL-YTD'!$C$4:$O$300, MATCH($C51,'Input 4.1_2020VOL-YTD'!$R$4:$R$300,0),MATCH(AK$2,'Input 4.1_2020VOL-YTD'!$C$1:$O$1,0))/INDEX('Input 4_2020CUST-YTD'!$C$4:R$300,MATCH($C51,'Input 4_2020CUST-YTD'!$S$4:$S$300,0),MATCH(AK$2,'Input 4_2020CUST-YTD'!$C$1:$O$1,0)),0)</f>
        <v>117.96622641509434</v>
      </c>
      <c r="AL51" s="262">
        <f>IFERROR(INDEX('Input 4.1_2020VOL-YTD'!$C$4:$O$300, MATCH($C51,'Input 4.1_2020VOL-YTD'!$R$4:$R$300,0),MATCH(AL$2,'Input 4.1_2020VOL-YTD'!$C$1:$O$1,0))/INDEX('Input 4_2020CUST-YTD'!$C$4:S$300,MATCH($C51,'Input 4_2020CUST-YTD'!$S$4:$S$300,0),MATCH(AL$2,'Input 4_2020CUST-YTD'!$C$1:$O$1,0)),0)</f>
        <v>132.30976303317536</v>
      </c>
      <c r="AM51" s="262">
        <f>IFERROR(INDEX('Input 4.1_2020VOL-YTD'!$C$4:$O$300, MATCH($C51,'Input 4.1_2020VOL-YTD'!$R$4:$R$300,0),MATCH(AM$2,'Input 4.1_2020VOL-YTD'!$C$1:$O$1,0))/INDEX('Input 4_2020CUST-YTD'!$C$4:T$300,MATCH($C51,'Input 4_2020CUST-YTD'!$S$4:$S$300,0),MATCH(AM$2,'Input 4_2020CUST-YTD'!$C$1:$O$1,0)),0)</f>
        <v>130.79547619047619</v>
      </c>
      <c r="AN51" s="262">
        <f>IFERROR(INDEX('Input 4.1_2020VOL-YTD'!$C$4:$O$300, MATCH($C51,'Input 4.1_2020VOL-YTD'!$R$4:$R$300,0),MATCH(AN$2,'Input 4.1_2020VOL-YTD'!$C$1:$O$1,0))/INDEX('Input 4_2020CUST-YTD'!$C$4:U$300,MATCH($C51,'Input 4_2020CUST-YTD'!$S$4:$S$300,0),MATCH(AN$2,'Input 4_2020CUST-YTD'!$C$1:$O$1,0)),0)</f>
        <v>135.06172248803827</v>
      </c>
      <c r="AO51" s="262">
        <f>IFERROR(INDEX('Input 4.1_2020VOL-YTD'!$C$4:$O$300, MATCH($C51,'Input 4.1_2020VOL-YTD'!$R$4:$R$300,0),MATCH(AO$2,'Input 4.1_2020VOL-YTD'!$C$1:$O$1,0))/INDEX('Input 4_2020CUST-YTD'!$C$4:V$300,MATCH($C51,'Input 4_2020CUST-YTD'!$S$4:$S$300,0),MATCH(AO$2,'Input 4_2020CUST-YTD'!$C$1:$O$1,0)),0)</f>
        <v>122.63660287081339</v>
      </c>
      <c r="AP51" s="262">
        <f>IFERROR(INDEX('Input 4.1_2020VOL-YTD'!$C$4:$O$300, MATCH($C51,'Input 4.1_2020VOL-YTD'!$R$4:$R$300,0),MATCH(AP$2,'Input 4.1_2020VOL-YTD'!$C$1:$O$1,0))/INDEX('Input 4_2020CUST-YTD'!$C$4:W$300,MATCH($C51,'Input 4_2020CUST-YTD'!$S$4:$S$300,0),MATCH(AP$2,'Input 4_2020CUST-YTD'!$C$1:$O$1,0)),0)</f>
        <v>158.48139423076921</v>
      </c>
      <c r="AQ51" s="262">
        <f>IFERROR(INDEX('Input 4.1_2020VOL-YTD'!$C$4:$O$300, MATCH($C51,'Input 4.1_2020VOL-YTD'!$R$4:$R$300,0),MATCH(AQ$2,'Input 4.1_2020VOL-YTD'!$C$1:$O$1,0))/INDEX('Input 4_2020CUST-YTD'!$C$4:X$300,MATCH($C51,'Input 4_2020CUST-YTD'!$S$4:$S$300,0),MATCH(AQ$2,'Input 4_2020CUST-YTD'!$C$1:$O$1,0)),0)</f>
        <v>153.15261904761905</v>
      </c>
      <c r="AR51" s="262">
        <f>IFERROR(INDEX('Input 4.1_2020VOL-YTD'!$C$4:$O$300, MATCH($C51,'Input 4.1_2020VOL-YTD'!$R$4:$R$300,0),MATCH(AR$2,'Input 4.1_2020VOL-YTD'!$C$1:$O$1,0))/INDEX('Input 4_2020CUST-YTD'!$C$4:Y$300,MATCH($C51,'Input 4_2020CUST-YTD'!$S$4:$S$300,0),MATCH(AR$2,'Input 4_2020CUST-YTD'!$C$1:$O$1,0)),0)</f>
        <v>142.5773953488372</v>
      </c>
      <c r="AS51" s="262">
        <f>IFERROR(INDEX('Input 4.1_2020VOL-YTD'!$C$4:$O$300, MATCH($C51,'Input 4.1_2020VOL-YTD'!$R$4:$R$300,0),MATCH(AS$2,'Input 4.1_2020VOL-YTD'!$C$1:$O$1,0))/INDEX('Input 4_2020CUST-YTD'!$C$4:Z$300,MATCH($C51,'Input 4_2020CUST-YTD'!$S$4:$S$300,0),MATCH(AS$2,'Input 4_2020CUST-YTD'!$C$1:$O$1,0)),0)</f>
        <v>183.50177570093456</v>
      </c>
      <c r="AT51" s="190">
        <f t="shared" si="14"/>
        <v>183.50177570093456</v>
      </c>
      <c r="AU51" s="261">
        <f t="shared" si="15"/>
        <v>12</v>
      </c>
      <c r="AW51" s="1">
        <f>IFERROR(INDEX('Input 5.1_2021VOL-YTD'!$C$3:$N$150, MATCH($C51,'Input 5.1_2021VOL-YTD'!$R$3:$R$150,0),MATCH(AW$2,'Input 5.1_2021VOL-YTD'!$C$1:$N$1,0))/INDEX('Input 5_2021CUST-YTD'!$C$3:$N$150,MATCH($C51,'Input 5_2021CUST-YTD'!$S$3:$S$150,0),MATCH(AW$2,'Input 5_2021CUST-YTD'!$C$1:$N$1,0)),0)</f>
        <v>194.90679069767441</v>
      </c>
      <c r="AX51" s="1">
        <f>IFERROR(INDEX('Input 5.1_2021VOL-YTD'!$C$3:$N$150, MATCH($C51,'Input 5.1_2021VOL-YTD'!$R$3:$R$150,0),MATCH(AX$2,'Input 5.1_2021VOL-YTD'!$C$1:$N$1,0))/INDEX('Input 5_2021CUST-YTD'!$C$3:$N$150,MATCH($C51,'Input 5_2021CUST-YTD'!$S$3:$S$150,0),MATCH(AX$2,'Input 5_2021CUST-YTD'!$C$1:$N$1,0)),0)</f>
        <v>170.00327102803737</v>
      </c>
      <c r="AY51" s="1">
        <f>IFERROR(INDEX('Input 5.1_2021VOL-YTD'!$C$3:$N$150, MATCH($C51,'Input 5.1_2021VOL-YTD'!$R$3:$R$150,0),MATCH(AY$2,'Input 5.1_2021VOL-YTD'!$C$1:$N$1,0))/INDEX('Input 5_2021CUST-YTD'!$C$3:$N$150,MATCH($C51,'Input 5_2021CUST-YTD'!$S$3:$S$150,0),MATCH(AY$2,'Input 5_2021CUST-YTD'!$C$1:$N$1,0)),0)</f>
        <v>159.89144186046514</v>
      </c>
      <c r="AZ51" s="1">
        <f>IFERROR(INDEX('Input 5.1_2021VOL-YTD'!$C$3:$N$150, MATCH($C51,'Input 5.1_2021VOL-YTD'!$R$3:$R$150,0),MATCH(AZ$2,'Input 5.1_2021VOL-YTD'!$C$1:$N$1,0))/INDEX('Input 5_2021CUST-YTD'!$C$3:$N$150,MATCH($C51,'Input 5_2021CUST-YTD'!$S$3:$S$150,0),MATCH(AZ$2,'Input 5_2021CUST-YTD'!$C$1:$N$1,0)),0)</f>
        <v>175.95308755760368</v>
      </c>
      <c r="BA51" s="1">
        <f>IFERROR(INDEX('Input 5.1_2021VOL-YTD'!$C$3:$N$150, MATCH($C51,'Input 5.1_2021VOL-YTD'!$R$3:$R$150,0),MATCH(BA$2,'Input 5.1_2021VOL-YTD'!$C$1:$N$1,0))/INDEX('Input 5_2021CUST-YTD'!$C$3:$N$150,MATCH($C51,'Input 5_2021CUST-YTD'!$S$3:$S$150,0),MATCH(BA$2,'Input 5_2021CUST-YTD'!$C$1:$N$1,0)),0)</f>
        <v>138.49826484018266</v>
      </c>
      <c r="BB51" s="1">
        <f>IFERROR(INDEX('Input 5.1_2021VOL-YTD'!$C$3:$N$150, MATCH($C51,'Input 5.1_2021VOL-YTD'!$R$3:$R$150,0),MATCH(BB$2,'Input 5.1_2021VOL-YTD'!$C$1:$N$1,0))/INDEX('Input 5_2021CUST-YTD'!$C$3:$N$150,MATCH($C51,'Input 5_2021CUST-YTD'!$S$3:$S$150,0),MATCH(BB$2,'Input 5_2021CUST-YTD'!$C$1:$N$1,0)),0)</f>
        <v>130.01177272727273</v>
      </c>
      <c r="BC51" s="1">
        <f>IFERROR(INDEX('Input 5.1_2021VOL-YTD'!$C$3:$N$150, MATCH($C51,'Input 5.1_2021VOL-YTD'!$R$3:$R$150,0),MATCH(BC$2,'Input 5.1_2021VOL-YTD'!$C$1:$N$1,0))/INDEX('Input 5_2021CUST-YTD'!$C$3:$N$150,MATCH($C51,'Input 5_2021CUST-YTD'!$S$3:$S$150,0),MATCH(BC$2,'Input 5_2021CUST-YTD'!$C$1:$N$1,0)),0)</f>
        <v>131.3610909090909</v>
      </c>
      <c r="BD51" s="1">
        <f>IFERROR(INDEX('Input 5.1_2021VOL-YTD'!$C$3:$N$150, MATCH($C51,'Input 5.1_2021VOL-YTD'!$R$3:$R$150,0),MATCH(BD$2,'Input 5.1_2021VOL-YTD'!$C$1:$N$1,0))/INDEX('Input 5_2021CUST-YTD'!$C$3:$N$150,MATCH($C51,'Input 5_2021CUST-YTD'!$S$3:$S$150,0),MATCH(BD$2,'Input 5_2021CUST-YTD'!$C$1:$N$1,0)),0)</f>
        <v>132.36095022624434</v>
      </c>
      <c r="BE51" s="1">
        <f>IFERROR(INDEX('Input 5.1_2021VOL-YTD'!$C$3:$N$150, MATCH($C51,'Input 5.1_2021VOL-YTD'!$R$3:$R$150,0),MATCH(BE$2,'Input 5.1_2021VOL-YTD'!$C$1:$N$1,0))/INDEX('Input 5_2021CUST-YTD'!$C$3:$N$150,MATCH($C51,'Input 5_2021CUST-YTD'!$S$3:$S$150,0),MATCH(BE$2,'Input 5_2021CUST-YTD'!$C$1:$N$1,0)),0)</f>
        <v>137.41565610859729</v>
      </c>
      <c r="BF51" s="1">
        <f>IFERROR(INDEX('Input 5.1_2021VOL-YTD'!$C$3:$N$150, MATCH($C51,'Input 5.1_2021VOL-YTD'!$R$3:$R$150,0),MATCH(BF$2,'Input 5.1_2021VOL-YTD'!$C$1:$N$1,0))/INDEX('Input 5_2021CUST-YTD'!$C$3:$N$150,MATCH($C51,'Input 5_2021CUST-YTD'!$S$3:$S$150,0),MATCH(BF$2,'Input 5_2021CUST-YTD'!$C$1:$N$1,0)),0)</f>
        <v>133.34457399103138</v>
      </c>
      <c r="BG51" s="1">
        <f>IFERROR(INDEX('Input 5.1_2021VOL-YTD'!$C$3:$N$150, MATCH($C51,'Input 5.1_2021VOL-YTD'!$R$3:$R$150,0),MATCH(BG$2,'Input 5.1_2021VOL-YTD'!$C$1:$N$1,0))/INDEX('Input 5_2021CUST-YTD'!$C$3:$N$150,MATCH($C51,'Input 5_2021CUST-YTD'!$S$3:$S$150,0),MATCH(BG$2,'Input 5_2021CUST-YTD'!$C$1:$N$1,0)),0)</f>
        <v>132.20499999999998</v>
      </c>
      <c r="BH51" s="1">
        <f>IFERROR(INDEX('Input 5.1_2021VOL-YTD'!$C$3:$N$150, MATCH($C51,'Input 5.1_2021VOL-YTD'!$R$3:$R$150,0),MATCH(BH$2,'Input 5.1_2021VOL-YTD'!$C$1:$N$1,0))/INDEX('Input 5_2021CUST-YTD'!$C$3:$N$150,MATCH($C51,'Input 5_2021CUST-YTD'!$S$3:$S$150,0),MATCH(BH$2,'Input 5_2021CUST-YTD'!$C$1:$N$1,0)),0)</f>
        <v>180.4542600896861</v>
      </c>
      <c r="BI51" s="190">
        <f t="shared" si="7"/>
        <v>194.90679069767441</v>
      </c>
      <c r="BJ51" s="261">
        <f t="shared" si="8"/>
        <v>1</v>
      </c>
    </row>
    <row r="52" spans="1:62">
      <c r="A52" s="261" t="s">
        <v>1245</v>
      </c>
      <c r="B52" s="261" t="s">
        <v>17</v>
      </c>
      <c r="C52" s="261" t="s">
        <v>1381</v>
      </c>
      <c r="D52" s="5">
        <f>IFERROR(INDEX('Input 16.1_2018VOL-YTD'!$C$4:$N$300, MATCH($C52,'Input 16.1_2018VOL-YTD'!$R$4:$R$300,0),MATCH(D$2,'Input 16.1_2018VOL-YTD'!$C$1:$N$1,0))/INDEX('Input 16_2018CUST-YTD'!$D$4:$O$300,MATCH($C52,'Input 16_2018CUST-YTD'!$S$4:$S$300,0),MATCH(D$2,'Input 16_2018CUST-YTD'!$C$1:$O$1,0)),0)</f>
        <v>276.26437499999997</v>
      </c>
      <c r="E52" s="5">
        <f>IFERROR(INDEX('Input 16.1_2018VOL-YTD'!$C$4:$N$300, MATCH($C52,'Input 16.1_2018VOL-YTD'!$R$4:$R$300,0),MATCH(E$2,'Input 16.1_2018VOL-YTD'!$C$1:$N$1,0))/INDEX('Input 16_2018CUST-YTD'!$D$4:$O$300,MATCH($C52,'Input 16_2018CUST-YTD'!$S$4:$S$300,0),MATCH(E$2,'Input 16_2018CUST-YTD'!$C$1:$O$1,0)),0)</f>
        <v>278.51937500000003</v>
      </c>
      <c r="F52" s="5">
        <f>IFERROR(INDEX('Input 16.1_2018VOL-YTD'!$C$4:$N$300, MATCH($C52,'Input 16.1_2018VOL-YTD'!$R$4:$R$300,0),MATCH(F$2,'Input 16.1_2018VOL-YTD'!$C$1:$N$1,0))/INDEX('Input 16_2018CUST-YTD'!$D$4:$O$300,MATCH($C52,'Input 16_2018CUST-YTD'!$S$4:$S$300,0),MATCH(F$2,'Input 16_2018CUST-YTD'!$C$1:$O$1,0)),0)</f>
        <v>257.2535294117647</v>
      </c>
      <c r="G52" s="5">
        <f>IFERROR(INDEX('Input 16.1_2018VOL-YTD'!$C$4:$N$300, MATCH($C52,'Input 16.1_2018VOL-YTD'!$R$4:$R$300,0),MATCH(G$2,'Input 16.1_2018VOL-YTD'!$C$1:$N$1,0))/INDEX('Input 16_2018CUST-YTD'!$D$4:$O$300,MATCH($C52,'Input 16_2018CUST-YTD'!$S$4:$S$300,0),MATCH(G$2,'Input 16_2018CUST-YTD'!$C$1:$O$1,0)),0)</f>
        <v>307.17666666666668</v>
      </c>
      <c r="H52" s="5">
        <f>IFERROR(INDEX('Input 16.1_2018VOL-YTD'!$C$4:$N$300, MATCH($C52,'Input 16.1_2018VOL-YTD'!$R$4:$R$300,0),MATCH(H$2,'Input 16.1_2018VOL-YTD'!$C$1:$N$1,0))/INDEX('Input 16_2018CUST-YTD'!$D$4:$O$300,MATCH($C52,'Input 16_2018CUST-YTD'!$S$4:$S$300,0),MATCH(H$2,'Input 16_2018CUST-YTD'!$C$1:$O$1,0)),0)</f>
        <v>270.1935294117647</v>
      </c>
      <c r="I52" s="5">
        <f>IFERROR(INDEX('Input 16.1_2018VOL-YTD'!$C$4:$N$300, MATCH($C52,'Input 16.1_2018VOL-YTD'!$R$4:$R$300,0),MATCH(I$2,'Input 16.1_2018VOL-YTD'!$C$1:$N$1,0))/INDEX('Input 16_2018CUST-YTD'!$D$4:$O$300,MATCH($C52,'Input 16_2018CUST-YTD'!$S$4:$S$300,0),MATCH(I$2,'Input 16_2018CUST-YTD'!$C$1:$O$1,0)),0)</f>
        <v>295.98529411764707</v>
      </c>
      <c r="J52" s="5">
        <f>IFERROR(INDEX('Input 16.1_2018VOL-YTD'!$C$4:$N$300, MATCH($C52,'Input 16.1_2018VOL-YTD'!$R$4:$R$300,0),MATCH(J$2,'Input 16.1_2018VOL-YTD'!$C$1:$N$1,0))/INDEX('Input 16_2018CUST-YTD'!$D$4:$O$300,MATCH($C52,'Input 16_2018CUST-YTD'!$S$4:$S$300,0),MATCH(J$2,'Input 16_2018CUST-YTD'!$C$1:$O$1,0)),0)</f>
        <v>270.47058823529414</v>
      </c>
      <c r="K52" s="5">
        <f>IFERROR(INDEX('Input 16.1_2018VOL-YTD'!$C$4:$N$300, MATCH($C52,'Input 16.1_2018VOL-YTD'!$R$4:$R$300,0),MATCH(K$2,'Input 16.1_2018VOL-YTD'!$C$1:$N$1,0))/INDEX('Input 16_2018CUST-YTD'!$D$4:$O$300,MATCH($C52,'Input 16_2018CUST-YTD'!$S$4:$S$300,0),MATCH(K$2,'Input 16_2018CUST-YTD'!$C$1:$O$1,0)),0)</f>
        <v>289.78529411764708</v>
      </c>
      <c r="L52" s="5">
        <f>IFERROR(INDEX('Input 16.1_2018VOL-YTD'!$C$4:$N$300, MATCH($C52,'Input 16.1_2018VOL-YTD'!$R$4:$R$300,0),MATCH(L$2,'Input 16.1_2018VOL-YTD'!$C$1:$N$1,0))/INDEX('Input 16_2018CUST-YTD'!$D$4:$O$300,MATCH($C52,'Input 16_2018CUST-YTD'!$S$4:$S$300,0),MATCH(L$2,'Input 16_2018CUST-YTD'!$C$1:$O$1,0)),0)</f>
        <v>285.05882352941177</v>
      </c>
      <c r="M52" s="5">
        <f>IFERROR(INDEX('Input 16.1_2018VOL-YTD'!$C$4:$N$300, MATCH($C52,'Input 16.1_2018VOL-YTD'!$R$4:$R$300,0),MATCH(M$2,'Input 16.1_2018VOL-YTD'!$C$1:$N$1,0))/INDEX('Input 16_2018CUST-YTD'!$D$4:$O$300,MATCH($C52,'Input 16_2018CUST-YTD'!$S$4:$S$300,0),MATCH(M$2,'Input 16_2018CUST-YTD'!$C$1:$O$1,0)),0)</f>
        <v>256.10941176470584</v>
      </c>
      <c r="N52" s="5">
        <f>IFERROR(INDEX('Input 16.1_2018VOL-YTD'!$C$4:$N$300, MATCH($C52,'Input 16.1_2018VOL-YTD'!$R$4:$R$300,0),MATCH(N$2,'Input 16.1_2018VOL-YTD'!$C$1:$N$1,0))/INDEX('Input 16_2018CUST-YTD'!$D$4:$O$300,MATCH($C52,'Input 16_2018CUST-YTD'!$S$4:$S$300,0),MATCH(N$2,'Input 16_2018CUST-YTD'!$C$1:$O$1,0)),0)</f>
        <v>315.26529411764704</v>
      </c>
      <c r="O52" s="5">
        <f>IFERROR(INDEX('Input 16.1_2018VOL-YTD'!$C$4:$N$300, MATCH($C52,'Input 16.1_2018VOL-YTD'!$R$4:$R$300,0),MATCH(O$2,'Input 16.1_2018VOL-YTD'!$C$1:$N$1,0))/INDEX('Input 16_2018CUST-YTD'!$D$4:$O$300,MATCH($C52,'Input 16_2018CUST-YTD'!$S$4:$S$300,0),MATCH(O$2,'Input 16_2018CUST-YTD'!$C$1:$O$1,0)),0)</f>
        <v>257.94237623762376</v>
      </c>
      <c r="P52" s="271">
        <f t="shared" si="1"/>
        <v>315.26529411764704</v>
      </c>
      <c r="Q52" s="261">
        <f t="shared" si="2"/>
        <v>11</v>
      </c>
      <c r="S52" s="5">
        <f>IFERROR(INDEX('Input 3.1_2019VOL-YTD'!$C$4:$N$300, MATCH($C52,'Input 3.1_2019VOL-YTD'!$R$4:$R$300,0),MATCH(S$2,'Input 3.1_2019VOL-YTD'!$C$1:$N$1,0))/INDEX('Input 3_2019CUST-YTD'!$C$4:$N$300,MATCH($C52,'Input 3_2019CUST-YTD'!$S$4:$S$300,0),MATCH(S$2,'Input 3_2019CUST-YTD'!$C$1:$N$1,0)),0)</f>
        <v>281.315</v>
      </c>
      <c r="T52" s="5">
        <f>IFERROR(INDEX('Input 3.1_2019VOL-YTD'!$C$4:$N$300, MATCH($C52,'Input 3.1_2019VOL-YTD'!$R$4:$R$300,0),MATCH(T$2,'Input 3.1_2019VOL-YTD'!$C$1:$N$1,0))/INDEX('Input 3_2019CUST-YTD'!$C$4:$N$300,MATCH($C52,'Input 3_2019CUST-YTD'!$S$4:$S$300,0),MATCH(T$2,'Input 3_2019CUST-YTD'!$C$1:$N$1,0)),0)</f>
        <v>288.10058823529414</v>
      </c>
      <c r="U52" s="5">
        <f>IFERROR(INDEX('Input 3.1_2019VOL-YTD'!$C$4:$N$300, MATCH($C52,'Input 3.1_2019VOL-YTD'!$R$4:$R$300,0),MATCH(U$2,'Input 3.1_2019VOL-YTD'!$C$1:$N$1,0))/INDEX('Input 3_2019CUST-YTD'!$C$4:$N$300,MATCH($C52,'Input 3_2019CUST-YTD'!$S$4:$S$300,0),MATCH(U$2,'Input 3_2019CUST-YTD'!$C$1:$N$1,0)),0)</f>
        <v>305.32823529411763</v>
      </c>
      <c r="V52" s="5">
        <f>IFERROR(INDEX('Input 3.1_2019VOL-YTD'!$C$4:$N$300, MATCH($C52,'Input 3.1_2019VOL-YTD'!$R$4:$R$300,0),MATCH(V$2,'Input 3.1_2019VOL-YTD'!$C$1:$N$1,0))/INDEX('Input 3_2019CUST-YTD'!$C$4:$N$300,MATCH($C52,'Input 3_2019CUST-YTD'!$S$4:$S$300,0),MATCH(V$2,'Input 3_2019CUST-YTD'!$C$1:$N$1,0)),0)</f>
        <v>305.97352941176473</v>
      </c>
      <c r="W52" s="5">
        <f>IFERROR(INDEX('Input 3.1_2019VOL-YTD'!$C$4:$N$300, MATCH($C52,'Input 3.1_2019VOL-YTD'!$R$4:$R$300,0),MATCH(W$2,'Input 3.1_2019VOL-YTD'!$C$1:$N$1,0))/INDEX('Input 3_2019CUST-YTD'!$C$4:$N$300,MATCH($C52,'Input 3_2019CUST-YTD'!$S$4:$S$300,0),MATCH(W$2,'Input 3_2019CUST-YTD'!$C$1:$N$1,0)),0)</f>
        <v>315.4588235294118</v>
      </c>
      <c r="X52" s="5">
        <f>IFERROR(INDEX('Input 3.1_2019VOL-YTD'!$C$4:$N$300, MATCH($C52,'Input 3.1_2019VOL-YTD'!$R$4:$R$300,0),MATCH(X$2,'Input 3.1_2019VOL-YTD'!$C$1:$N$1,0))/INDEX('Input 3_2019CUST-YTD'!$C$4:$N$300,MATCH($C52,'Input 3_2019CUST-YTD'!$S$4:$S$300,0),MATCH(X$2,'Input 3_2019CUST-YTD'!$C$1:$N$1,0)),0)</f>
        <v>311.70999999999998</v>
      </c>
      <c r="Y52" s="5">
        <f>IFERROR(INDEX('Input 3.1_2019VOL-YTD'!$C$4:$N$300, MATCH($C52,'Input 3.1_2019VOL-YTD'!$R$4:$R$300,0),MATCH(Y$2,'Input 3.1_2019VOL-YTD'!$C$1:$N$1,0))/INDEX('Input 3_2019CUST-YTD'!$C$4:$N$300,MATCH($C52,'Input 3_2019CUST-YTD'!$S$4:$S$300,0),MATCH(Y$2,'Input 3_2019CUST-YTD'!$C$1:$N$1,0)),0)</f>
        <v>265.96555555555557</v>
      </c>
      <c r="Z52" s="5">
        <f>IFERROR(INDEX('Input 3.1_2019VOL-YTD'!$C$4:$N$300, MATCH($C52,'Input 3.1_2019VOL-YTD'!$R$4:$R$300,0),MATCH(Z$2,'Input 3.1_2019VOL-YTD'!$C$1:$N$1,0))/INDEX('Input 3_2019CUST-YTD'!$C$4:$N$300,MATCH($C52,'Input 3_2019CUST-YTD'!$S$4:$S$300,0),MATCH(Z$2,'Input 3_2019CUST-YTD'!$C$1:$N$1,0)),0)</f>
        <v>301.05388888888888</v>
      </c>
      <c r="AA52" s="5">
        <f>IFERROR(INDEX('Input 3.1_2019VOL-YTD'!$C$4:$N$300, MATCH($C52,'Input 3.1_2019VOL-YTD'!$R$4:$R$300,0),MATCH(AA$2,'Input 3.1_2019VOL-YTD'!$C$1:$N$1,0))/INDEX('Input 3_2019CUST-YTD'!$C$4:$N$300,MATCH($C52,'Input 3_2019CUST-YTD'!$S$4:$S$300,0),MATCH(AA$2,'Input 3_2019CUST-YTD'!$C$1:$N$1,0)),0)</f>
        <v>316.59722222222223</v>
      </c>
      <c r="AB52" s="5">
        <f>IFERROR(INDEX('Input 3.1_2019VOL-YTD'!$C$4:$N$300, MATCH($C52,'Input 3.1_2019VOL-YTD'!$R$4:$R$300,0),MATCH(AB$2,'Input 3.1_2019VOL-YTD'!$C$1:$N$1,0))/INDEX('Input 3_2019CUST-YTD'!$C$4:$N$300,MATCH($C52,'Input 3_2019CUST-YTD'!$S$4:$S$300,0),MATCH(AB$2,'Input 3_2019CUST-YTD'!$C$1:$N$1,0)),0)</f>
        <v>304.51666666666665</v>
      </c>
      <c r="AC52" s="5">
        <f>IFERROR(INDEX('Input 3.1_2019VOL-YTD'!$C$4:$N$300, MATCH($C52,'Input 3.1_2019VOL-YTD'!$R$4:$R$300,0),MATCH(AC$2,'Input 3.1_2019VOL-YTD'!$C$1:$N$1,0))/INDEX('Input 3_2019CUST-YTD'!$C$4:$N$300,MATCH($C52,'Input 3_2019CUST-YTD'!$S$4:$S$300,0),MATCH(AC$2,'Input 3_2019CUST-YTD'!$C$1:$N$1,0)),0)</f>
        <v>327.31736842105261</v>
      </c>
      <c r="AD52" s="5">
        <f>IFERROR(INDEX('Input 3.1_2019VOL-YTD'!$C$4:$N$300, MATCH($C52,'Input 3.1_2019VOL-YTD'!$R$4:$R$300,0),MATCH(AD$2,'Input 3.1_2019VOL-YTD'!$C$1:$N$1,0))/INDEX('Input 3_2019CUST-YTD'!$C$4:$N$300,MATCH($C52,'Input 3_2019CUST-YTD'!$S$4:$S$300,0),MATCH(AD$2,'Input 3_2019CUST-YTD'!$C$1:$N$1,0)),0)</f>
        <v>304.88</v>
      </c>
      <c r="AE52" s="272">
        <f t="shared" si="16"/>
        <v>327.31736842105261</v>
      </c>
      <c r="AF52" s="261">
        <f t="shared" si="17"/>
        <v>11</v>
      </c>
      <c r="AH52" s="262">
        <f>IFERROR(INDEX('Input 4.1_2020VOL-YTD'!$C$4:$O$300, MATCH($C52,'Input 4.1_2020VOL-YTD'!$R$4:$R$300,0),MATCH(AH$2,'Input 4.1_2020VOL-YTD'!$C$1:$O$1,0))/INDEX('Input 4_2020CUST-YTD'!$C$4:O$300,MATCH($C52,'Input 4_2020CUST-YTD'!$S$4:$S$300,0),MATCH(AH$2,'Input 4_2020CUST-YTD'!$C$1:$O$1,0)),0)</f>
        <v>283.18799999999999</v>
      </c>
      <c r="AI52" s="262">
        <f>IFERROR(INDEX('Input 4.1_2020VOL-YTD'!$C$4:$O$300, MATCH($C52,'Input 4.1_2020VOL-YTD'!$R$4:$R$300,0),MATCH(AI$2,'Input 4.1_2020VOL-YTD'!$C$1:$O$1,0))/INDEX('Input 4_2020CUST-YTD'!$C$4:P$300,MATCH($C52,'Input 4_2020CUST-YTD'!$S$4:$S$300,0),MATCH(AI$2,'Input 4_2020CUST-YTD'!$C$1:$O$1,0)),0)</f>
        <v>271.9136842105263</v>
      </c>
      <c r="AJ52" s="262">
        <f>IFERROR(INDEX('Input 4.1_2020VOL-YTD'!$C$4:$O$300, MATCH($C52,'Input 4.1_2020VOL-YTD'!$R$4:$R$300,0),MATCH(AJ$2,'Input 4.1_2020VOL-YTD'!$C$1:$O$1,0))/INDEX('Input 4_2020CUST-YTD'!$C$4:Q$300,MATCH($C52,'Input 4_2020CUST-YTD'!$S$4:$S$300,0),MATCH(AJ$2,'Input 4_2020CUST-YTD'!$C$1:$O$1,0)),0)</f>
        <v>253.94421052631577</v>
      </c>
      <c r="AK52" s="262">
        <f>IFERROR(INDEX('Input 4.1_2020VOL-YTD'!$C$4:$O$300, MATCH($C52,'Input 4.1_2020VOL-YTD'!$R$4:$R$300,0),MATCH(AK$2,'Input 4.1_2020VOL-YTD'!$C$1:$O$1,0))/INDEX('Input 4_2020CUST-YTD'!$C$4:R$300,MATCH($C52,'Input 4_2020CUST-YTD'!$S$4:$S$300,0),MATCH(AK$2,'Input 4_2020CUST-YTD'!$C$1:$O$1,0)),0)</f>
        <v>180.16947368421052</v>
      </c>
      <c r="AL52" s="262">
        <f>IFERROR(INDEX('Input 4.1_2020VOL-YTD'!$C$4:$O$300, MATCH($C52,'Input 4.1_2020VOL-YTD'!$R$4:$R$300,0),MATCH(AL$2,'Input 4.1_2020VOL-YTD'!$C$1:$O$1,0))/INDEX('Input 4_2020CUST-YTD'!$C$4:S$300,MATCH($C52,'Input 4_2020CUST-YTD'!$S$4:$S$300,0),MATCH(AL$2,'Input 4_2020CUST-YTD'!$C$1:$O$1,0)),0)</f>
        <v>226.47</v>
      </c>
      <c r="AM52" s="262">
        <f>IFERROR(INDEX('Input 4.1_2020VOL-YTD'!$C$4:$O$300, MATCH($C52,'Input 4.1_2020VOL-YTD'!$R$4:$R$300,0),MATCH(AM$2,'Input 4.1_2020VOL-YTD'!$C$1:$O$1,0))/INDEX('Input 4_2020CUST-YTD'!$C$4:T$300,MATCH($C52,'Input 4_2020CUST-YTD'!$S$4:$S$300,0),MATCH(AM$2,'Input 4_2020CUST-YTD'!$C$1:$O$1,0)),0)</f>
        <v>267.67941176470589</v>
      </c>
      <c r="AN52" s="262">
        <f>IFERROR(INDEX('Input 4.1_2020VOL-YTD'!$C$4:$O$300, MATCH($C52,'Input 4.1_2020VOL-YTD'!$R$4:$R$300,0),MATCH(AN$2,'Input 4.1_2020VOL-YTD'!$C$1:$O$1,0))/INDEX('Input 4_2020CUST-YTD'!$C$4:U$300,MATCH($C52,'Input 4_2020CUST-YTD'!$S$4:$S$300,0),MATCH(AN$2,'Input 4_2020CUST-YTD'!$C$1:$O$1,0)),0)</f>
        <v>284.29588235294113</v>
      </c>
      <c r="AO52" s="262">
        <f>IFERROR(INDEX('Input 4.1_2020VOL-YTD'!$C$4:$O$300, MATCH($C52,'Input 4.1_2020VOL-YTD'!$R$4:$R$300,0),MATCH(AO$2,'Input 4.1_2020VOL-YTD'!$C$1:$O$1,0))/INDEX('Input 4_2020CUST-YTD'!$C$4:V$300,MATCH($C52,'Input 4_2020CUST-YTD'!$S$4:$S$300,0),MATCH(AO$2,'Input 4_2020CUST-YTD'!$C$1:$O$1,0)),0)</f>
        <v>273.09352941176473</v>
      </c>
      <c r="AP52" s="262">
        <f>IFERROR(INDEX('Input 4.1_2020VOL-YTD'!$C$4:$O$300, MATCH($C52,'Input 4.1_2020VOL-YTD'!$R$4:$R$300,0),MATCH(AP$2,'Input 4.1_2020VOL-YTD'!$C$1:$O$1,0))/INDEX('Input 4_2020CUST-YTD'!$C$4:W$300,MATCH($C52,'Input 4_2020CUST-YTD'!$S$4:$S$300,0),MATCH(AP$2,'Input 4_2020CUST-YTD'!$C$1:$O$1,0)),0)</f>
        <v>268.93764705882353</v>
      </c>
      <c r="AQ52" s="262">
        <f>IFERROR(INDEX('Input 4.1_2020VOL-YTD'!$C$4:$O$300, MATCH($C52,'Input 4.1_2020VOL-YTD'!$R$4:$R$300,0),MATCH(AQ$2,'Input 4.1_2020VOL-YTD'!$C$1:$O$1,0))/INDEX('Input 4_2020CUST-YTD'!$C$4:X$300,MATCH($C52,'Input 4_2020CUST-YTD'!$S$4:$S$300,0),MATCH(AQ$2,'Input 4_2020CUST-YTD'!$C$1:$O$1,0)),0)</f>
        <v>265.34117647058827</v>
      </c>
      <c r="AR52" s="262">
        <f>IFERROR(INDEX('Input 4.1_2020VOL-YTD'!$C$4:$O$300, MATCH($C52,'Input 4.1_2020VOL-YTD'!$R$4:$R$300,0),MATCH(AR$2,'Input 4.1_2020VOL-YTD'!$C$1:$O$1,0))/INDEX('Input 4_2020CUST-YTD'!$C$4:Y$300,MATCH($C52,'Input 4_2020CUST-YTD'!$S$4:$S$300,0),MATCH(AR$2,'Input 4_2020CUST-YTD'!$C$1:$O$1,0)),0)</f>
        <v>295.18058823529412</v>
      </c>
      <c r="AS52" s="262">
        <f>IFERROR(INDEX('Input 4.1_2020VOL-YTD'!$C$4:$O$300, MATCH($C52,'Input 4.1_2020VOL-YTD'!$R$4:$R$300,0),MATCH(AS$2,'Input 4.1_2020VOL-YTD'!$C$1:$O$1,0))/INDEX('Input 4_2020CUST-YTD'!$C$4:Z$300,MATCH($C52,'Input 4_2020CUST-YTD'!$S$4:$S$300,0),MATCH(AS$2,'Input 4_2020CUST-YTD'!$C$1:$O$1,0)),0)</f>
        <v>299.47647058823532</v>
      </c>
      <c r="AT52" s="190">
        <f t="shared" si="14"/>
        <v>299.47647058823532</v>
      </c>
      <c r="AU52" s="261">
        <f t="shared" si="15"/>
        <v>12</v>
      </c>
      <c r="AW52" s="1">
        <f>IFERROR(INDEX('Input 5.1_2021VOL-YTD'!$C$3:$N$150, MATCH($C52,'Input 5.1_2021VOL-YTD'!$R$3:$R$150,0),MATCH(AW$2,'Input 5.1_2021VOL-YTD'!$C$1:$N$1,0))/INDEX('Input 5_2021CUST-YTD'!$C$3:$N$150,MATCH($C52,'Input 5_2021CUST-YTD'!$S$3:$S$150,0),MATCH(AW$2,'Input 5_2021CUST-YTD'!$C$1:$N$1,0)),0)</f>
        <v>300.46470588235292</v>
      </c>
      <c r="AX52" s="1">
        <f>IFERROR(INDEX('Input 5.1_2021VOL-YTD'!$C$3:$N$150, MATCH($C52,'Input 5.1_2021VOL-YTD'!$R$3:$R$150,0),MATCH(AX$2,'Input 5.1_2021VOL-YTD'!$C$1:$N$1,0))/INDEX('Input 5_2021CUST-YTD'!$C$3:$N$150,MATCH($C52,'Input 5_2021CUST-YTD'!$S$3:$S$150,0),MATCH(AX$2,'Input 5_2021CUST-YTD'!$C$1:$N$1,0)),0)</f>
        <v>261.4435294117647</v>
      </c>
      <c r="AY52" s="1">
        <f>IFERROR(INDEX('Input 5.1_2021VOL-YTD'!$C$3:$N$150, MATCH($C52,'Input 5.1_2021VOL-YTD'!$R$3:$R$150,0),MATCH(AY$2,'Input 5.1_2021VOL-YTD'!$C$1:$N$1,0))/INDEX('Input 5_2021CUST-YTD'!$C$3:$N$150,MATCH($C52,'Input 5_2021CUST-YTD'!$S$3:$S$150,0),MATCH(AY$2,'Input 5_2021CUST-YTD'!$C$1:$N$1,0)),0)</f>
        <v>272.38470588235293</v>
      </c>
      <c r="AZ52" s="1">
        <f>IFERROR(INDEX('Input 5.1_2021VOL-YTD'!$C$3:$N$150, MATCH($C52,'Input 5.1_2021VOL-YTD'!$R$3:$R$150,0),MATCH(AZ$2,'Input 5.1_2021VOL-YTD'!$C$1:$N$1,0))/INDEX('Input 5_2021CUST-YTD'!$C$3:$N$150,MATCH($C52,'Input 5_2021CUST-YTD'!$S$3:$S$150,0),MATCH(AZ$2,'Input 5_2021CUST-YTD'!$C$1:$N$1,0)),0)</f>
        <v>325.97117647058826</v>
      </c>
      <c r="BA52" s="1">
        <f>IFERROR(INDEX('Input 5.1_2021VOL-YTD'!$C$3:$N$150, MATCH($C52,'Input 5.1_2021VOL-YTD'!$R$3:$R$150,0),MATCH(BA$2,'Input 5.1_2021VOL-YTD'!$C$1:$N$1,0))/INDEX('Input 5_2021CUST-YTD'!$C$3:$N$150,MATCH($C52,'Input 5_2021CUST-YTD'!$S$3:$S$150,0),MATCH(BA$2,'Input 5_2021CUST-YTD'!$C$1:$N$1,0)),0)</f>
        <v>281.12941176470588</v>
      </c>
      <c r="BB52" s="1">
        <f>IFERROR(INDEX('Input 5.1_2021VOL-YTD'!$C$3:$N$150, MATCH($C52,'Input 5.1_2021VOL-YTD'!$R$3:$R$150,0),MATCH(BB$2,'Input 5.1_2021VOL-YTD'!$C$1:$N$1,0))/INDEX('Input 5_2021CUST-YTD'!$C$3:$N$150,MATCH($C52,'Input 5_2021CUST-YTD'!$S$3:$S$150,0),MATCH(BB$2,'Input 5_2021CUST-YTD'!$C$1:$N$1,0)),0)</f>
        <v>286.31058823529412</v>
      </c>
      <c r="BC52" s="1">
        <f>IFERROR(INDEX('Input 5.1_2021VOL-YTD'!$C$3:$N$150, MATCH($C52,'Input 5.1_2021VOL-YTD'!$R$3:$R$150,0),MATCH(BC$2,'Input 5.1_2021VOL-YTD'!$C$1:$N$1,0))/INDEX('Input 5_2021CUST-YTD'!$C$3:$N$150,MATCH($C52,'Input 5_2021CUST-YTD'!$S$3:$S$150,0),MATCH(BC$2,'Input 5_2021CUST-YTD'!$C$1:$N$1,0)),0)</f>
        <v>289.37823529411764</v>
      </c>
      <c r="BD52" s="1">
        <f>IFERROR(INDEX('Input 5.1_2021VOL-YTD'!$C$3:$N$150, MATCH($C52,'Input 5.1_2021VOL-YTD'!$R$3:$R$150,0),MATCH(BD$2,'Input 5.1_2021VOL-YTD'!$C$1:$N$1,0))/INDEX('Input 5_2021CUST-YTD'!$C$3:$N$150,MATCH($C52,'Input 5_2021CUST-YTD'!$S$3:$S$150,0),MATCH(BD$2,'Input 5_2021CUST-YTD'!$C$1:$N$1,0)),0)</f>
        <v>283.06411764705882</v>
      </c>
      <c r="BE52" s="1">
        <f>IFERROR(INDEX('Input 5.1_2021VOL-YTD'!$C$3:$N$150, MATCH($C52,'Input 5.1_2021VOL-YTD'!$R$3:$R$150,0),MATCH(BE$2,'Input 5.1_2021VOL-YTD'!$C$1:$N$1,0))/INDEX('Input 5_2021CUST-YTD'!$C$3:$N$150,MATCH($C52,'Input 5_2021CUST-YTD'!$S$3:$S$150,0),MATCH(BE$2,'Input 5_2021CUST-YTD'!$C$1:$N$1,0)),0)</f>
        <v>286.13058823529411</v>
      </c>
      <c r="BF52" s="1">
        <f>IFERROR(INDEX('Input 5.1_2021VOL-YTD'!$C$3:$N$150, MATCH($C52,'Input 5.1_2021VOL-YTD'!$R$3:$R$150,0),MATCH(BF$2,'Input 5.1_2021VOL-YTD'!$C$1:$N$1,0))/INDEX('Input 5_2021CUST-YTD'!$C$3:$N$150,MATCH($C52,'Input 5_2021CUST-YTD'!$S$3:$S$150,0),MATCH(BF$2,'Input 5_2021CUST-YTD'!$C$1:$N$1,0)),0)</f>
        <v>291.12235294117647</v>
      </c>
      <c r="BG52" s="1">
        <f>IFERROR(INDEX('Input 5.1_2021VOL-YTD'!$C$3:$N$150, MATCH($C52,'Input 5.1_2021VOL-YTD'!$R$3:$R$150,0),MATCH(BG$2,'Input 5.1_2021VOL-YTD'!$C$1:$N$1,0))/INDEX('Input 5_2021CUST-YTD'!$C$3:$N$150,MATCH($C52,'Input 5_2021CUST-YTD'!$S$3:$S$150,0),MATCH(BG$2,'Input 5_2021CUST-YTD'!$C$1:$N$1,0)),0)</f>
        <v>274.35117647058826</v>
      </c>
      <c r="BH52" s="1">
        <f>IFERROR(INDEX('Input 5.1_2021VOL-YTD'!$C$3:$N$150, MATCH($C52,'Input 5.1_2021VOL-YTD'!$R$3:$R$150,0),MATCH(BH$2,'Input 5.1_2021VOL-YTD'!$C$1:$N$1,0))/INDEX('Input 5_2021CUST-YTD'!$C$3:$N$150,MATCH($C52,'Input 5_2021CUST-YTD'!$S$3:$S$150,0),MATCH(BH$2,'Input 5_2021CUST-YTD'!$C$1:$N$1,0)),0)</f>
        <v>370.81812500000001</v>
      </c>
      <c r="BI52" s="190">
        <f t="shared" si="7"/>
        <v>370.81812500000001</v>
      </c>
      <c r="BJ52" s="261">
        <f t="shared" si="8"/>
        <v>12</v>
      </c>
    </row>
    <row r="53" spans="1:62">
      <c r="A53" s="261" t="s">
        <v>1245</v>
      </c>
      <c r="B53" s="261" t="s">
        <v>17</v>
      </c>
      <c r="C53" s="261" t="s">
        <v>1384</v>
      </c>
      <c r="D53" s="5">
        <f>IFERROR(INDEX('Input 16.1_2018VOL-YTD'!$C$4:$N$300, MATCH($C53,'Input 16.1_2018VOL-YTD'!$R$4:$R$300,0),MATCH(D$2,'Input 16.1_2018VOL-YTD'!$C$1:$N$1,0))/INDEX('Input 16_2018CUST-YTD'!$D$4:$O$300,MATCH($C53,'Input 16_2018CUST-YTD'!$S$4:$S$300,0),MATCH(D$2,'Input 16_2018CUST-YTD'!$C$1:$O$1,0)),0)</f>
        <v>401.94461538461542</v>
      </c>
      <c r="E53" s="5">
        <f>IFERROR(INDEX('Input 16.1_2018VOL-YTD'!$C$4:$N$300, MATCH($C53,'Input 16.1_2018VOL-YTD'!$R$4:$R$300,0),MATCH(E$2,'Input 16.1_2018VOL-YTD'!$C$1:$N$1,0))/INDEX('Input 16_2018CUST-YTD'!$D$4:$O$300,MATCH($C53,'Input 16_2018CUST-YTD'!$S$4:$S$300,0),MATCH(E$2,'Input 16_2018CUST-YTD'!$C$1:$O$1,0)),0)</f>
        <v>362.71497991967868</v>
      </c>
      <c r="F53" s="5">
        <f>IFERROR(INDEX('Input 16.1_2018VOL-YTD'!$C$4:$N$300, MATCH($C53,'Input 16.1_2018VOL-YTD'!$R$4:$R$300,0),MATCH(F$2,'Input 16.1_2018VOL-YTD'!$C$1:$N$1,0))/INDEX('Input 16_2018CUST-YTD'!$D$4:$O$300,MATCH($C53,'Input 16_2018CUST-YTD'!$S$4:$S$300,0),MATCH(F$2,'Input 16_2018CUST-YTD'!$C$1:$O$1,0)),0)</f>
        <v>356.69411764705882</v>
      </c>
      <c r="G53" s="5">
        <f>IFERROR(INDEX('Input 16.1_2018VOL-YTD'!$C$4:$N$300, MATCH($C53,'Input 16.1_2018VOL-YTD'!$R$4:$R$300,0),MATCH(G$2,'Input 16.1_2018VOL-YTD'!$C$1:$N$1,0))/INDEX('Input 16_2018CUST-YTD'!$D$4:$O$300,MATCH($C53,'Input 16_2018CUST-YTD'!$S$4:$S$300,0),MATCH(G$2,'Input 16_2018CUST-YTD'!$C$1:$O$1,0)),0)</f>
        <v>346.50626459143967</v>
      </c>
      <c r="H53" s="5">
        <f>IFERROR(INDEX('Input 16.1_2018VOL-YTD'!$C$4:$N$300, MATCH($C53,'Input 16.1_2018VOL-YTD'!$R$4:$R$300,0),MATCH(H$2,'Input 16.1_2018VOL-YTD'!$C$1:$N$1,0))/INDEX('Input 16_2018CUST-YTD'!$D$4:$O$300,MATCH($C53,'Input 16_2018CUST-YTD'!$S$4:$S$300,0),MATCH(H$2,'Input 16_2018CUST-YTD'!$C$1:$O$1,0)),0)</f>
        <v>316.63015564202294</v>
      </c>
      <c r="I53" s="5">
        <f>IFERROR(INDEX('Input 16.1_2018VOL-YTD'!$C$4:$N$300, MATCH($C53,'Input 16.1_2018VOL-YTD'!$R$4:$R$300,0),MATCH(I$2,'Input 16.1_2018VOL-YTD'!$C$1:$N$1,0))/INDEX('Input 16_2018CUST-YTD'!$D$4:$O$300,MATCH($C53,'Input 16_2018CUST-YTD'!$S$4:$S$300,0),MATCH(I$2,'Input 16_2018CUST-YTD'!$C$1:$O$1,0)),0)</f>
        <v>314.41673228346457</v>
      </c>
      <c r="J53" s="5">
        <f>IFERROR(INDEX('Input 16.1_2018VOL-YTD'!$C$4:$N$300, MATCH($C53,'Input 16.1_2018VOL-YTD'!$R$4:$R$300,0),MATCH(J$2,'Input 16.1_2018VOL-YTD'!$C$1:$N$1,0))/INDEX('Input 16_2018CUST-YTD'!$D$4:$O$300,MATCH($C53,'Input 16_2018CUST-YTD'!$S$4:$S$300,0),MATCH(J$2,'Input 16_2018CUST-YTD'!$C$1:$O$1,0)),0)</f>
        <v>279.7509881422925</v>
      </c>
      <c r="K53" s="5">
        <f>IFERROR(INDEX('Input 16.1_2018VOL-YTD'!$C$4:$N$300, MATCH($C53,'Input 16.1_2018VOL-YTD'!$R$4:$R$300,0),MATCH(K$2,'Input 16.1_2018VOL-YTD'!$C$1:$N$1,0))/INDEX('Input 16_2018CUST-YTD'!$D$4:$O$300,MATCH($C53,'Input 16_2018CUST-YTD'!$S$4:$S$300,0),MATCH(K$2,'Input 16_2018CUST-YTD'!$C$1:$O$1,0)),0)</f>
        <v>287.56546511627909</v>
      </c>
      <c r="L53" s="5">
        <f>IFERROR(INDEX('Input 16.1_2018VOL-YTD'!$C$4:$N$300, MATCH($C53,'Input 16.1_2018VOL-YTD'!$R$4:$R$300,0),MATCH(L$2,'Input 16.1_2018VOL-YTD'!$C$1:$N$1,0))/INDEX('Input 16_2018CUST-YTD'!$D$4:$O$300,MATCH($C53,'Input 16_2018CUST-YTD'!$S$4:$S$300,0),MATCH(L$2,'Input 16_2018CUST-YTD'!$C$1:$O$1,0)),0)</f>
        <v>311.32370229007671</v>
      </c>
      <c r="M53" s="5">
        <f>IFERROR(INDEX('Input 16.1_2018VOL-YTD'!$C$4:$N$300, MATCH($C53,'Input 16.1_2018VOL-YTD'!$R$4:$R$300,0),MATCH(M$2,'Input 16.1_2018VOL-YTD'!$C$1:$N$1,0))/INDEX('Input 16_2018CUST-YTD'!$D$4:$O$300,MATCH($C53,'Input 16_2018CUST-YTD'!$S$4:$S$300,0),MATCH(M$2,'Input 16_2018CUST-YTD'!$C$1:$O$1,0)),0)</f>
        <v>283.64505660377398</v>
      </c>
      <c r="N53" s="5">
        <f>IFERROR(INDEX('Input 16.1_2018VOL-YTD'!$C$4:$N$300, MATCH($C53,'Input 16.1_2018VOL-YTD'!$R$4:$R$300,0),MATCH(N$2,'Input 16.1_2018VOL-YTD'!$C$1:$N$1,0))/INDEX('Input 16_2018CUST-YTD'!$D$4:$O$300,MATCH($C53,'Input 16_2018CUST-YTD'!$S$4:$S$300,0),MATCH(N$2,'Input 16_2018CUST-YTD'!$C$1:$O$1,0)),0)</f>
        <v>309.1317808219178</v>
      </c>
      <c r="O53" s="5">
        <f>IFERROR(INDEX('Input 16.1_2018VOL-YTD'!$C$4:$N$300, MATCH($C53,'Input 16.1_2018VOL-YTD'!$R$4:$R$300,0),MATCH(O$2,'Input 16.1_2018VOL-YTD'!$C$1:$N$1,0))/INDEX('Input 16_2018CUST-YTD'!$D$4:$O$300,MATCH($C53,'Input 16_2018CUST-YTD'!$S$4:$S$300,0),MATCH(O$2,'Input 16_2018CUST-YTD'!$C$1:$O$1,0)),0)</f>
        <v>357.6833990306946</v>
      </c>
      <c r="P53" s="271">
        <f t="shared" si="1"/>
        <v>401.94461538461542</v>
      </c>
      <c r="Q53" s="261">
        <f t="shared" si="2"/>
        <v>1</v>
      </c>
      <c r="S53" s="5">
        <f>IFERROR(INDEX('Input 3.1_2019VOL-YTD'!$C$4:$N$300, MATCH($C53,'Input 3.1_2019VOL-YTD'!$R$4:$R$300,0),MATCH(S$2,'Input 3.1_2019VOL-YTD'!$C$1:$N$1,0))/INDEX('Input 3_2019CUST-YTD'!$C$4:$N$300,MATCH($C53,'Input 3_2019CUST-YTD'!$S$4:$S$300,0),MATCH(S$2,'Input 3_2019CUST-YTD'!$C$1:$N$1,0)),0)</f>
        <v>348.38984905660413</v>
      </c>
      <c r="T53" s="5">
        <f>IFERROR(INDEX('Input 3.1_2019VOL-YTD'!$C$4:$N$300, MATCH($C53,'Input 3.1_2019VOL-YTD'!$R$4:$R$300,0),MATCH(T$2,'Input 3.1_2019VOL-YTD'!$C$1:$N$1,0))/INDEX('Input 3_2019CUST-YTD'!$C$4:$N$300,MATCH($C53,'Input 3_2019CUST-YTD'!$S$4:$S$300,0),MATCH(T$2,'Input 3_2019CUST-YTD'!$C$1:$N$1,0)),0)</f>
        <v>357.35003745318386</v>
      </c>
      <c r="U53" s="5">
        <f>IFERROR(INDEX('Input 3.1_2019VOL-YTD'!$C$4:$N$300, MATCH($C53,'Input 3.1_2019VOL-YTD'!$R$4:$R$300,0),MATCH(U$2,'Input 3.1_2019VOL-YTD'!$C$1:$N$1,0))/INDEX('Input 3_2019CUST-YTD'!$C$4:$N$300,MATCH($C53,'Input 3_2019CUST-YTD'!$S$4:$S$300,0),MATCH(U$2,'Input 3_2019CUST-YTD'!$C$1:$N$1,0)),0)</f>
        <v>322.82249999999999</v>
      </c>
      <c r="V53" s="5">
        <f>IFERROR(INDEX('Input 3.1_2019VOL-YTD'!$C$4:$N$300, MATCH($C53,'Input 3.1_2019VOL-YTD'!$R$4:$R$300,0),MATCH(V$2,'Input 3.1_2019VOL-YTD'!$C$1:$N$1,0))/INDEX('Input 3_2019CUST-YTD'!$C$4:$N$300,MATCH($C53,'Input 3_2019CUST-YTD'!$S$4:$S$300,0),MATCH(V$2,'Input 3_2019CUST-YTD'!$C$1:$N$1,0)),0)</f>
        <v>336.84713235294117</v>
      </c>
      <c r="W53" s="5">
        <f>IFERROR(INDEX('Input 3.1_2019VOL-YTD'!$C$4:$N$300, MATCH($C53,'Input 3.1_2019VOL-YTD'!$R$4:$R$300,0),MATCH(W$2,'Input 3.1_2019VOL-YTD'!$C$1:$N$1,0))/INDEX('Input 3_2019CUST-YTD'!$C$4:$N$300,MATCH($C53,'Input 3_2019CUST-YTD'!$S$4:$S$300,0),MATCH(W$2,'Input 3_2019CUST-YTD'!$C$1:$N$1,0)),0)</f>
        <v>324.6315671641791</v>
      </c>
      <c r="X53" s="5">
        <f>IFERROR(INDEX('Input 3.1_2019VOL-YTD'!$C$4:$N$300, MATCH($C53,'Input 3.1_2019VOL-YTD'!$R$4:$R$300,0),MATCH(X$2,'Input 3.1_2019VOL-YTD'!$C$1:$N$1,0))/INDEX('Input 3_2019CUST-YTD'!$C$4:$N$300,MATCH($C53,'Input 3_2019CUST-YTD'!$S$4:$S$300,0),MATCH(X$2,'Input 3_2019CUST-YTD'!$C$1:$N$1,0)),0)</f>
        <v>302.51811111111147</v>
      </c>
      <c r="Y53" s="5">
        <f>IFERROR(INDEX('Input 3.1_2019VOL-YTD'!$C$4:$N$300, MATCH($C53,'Input 3.1_2019VOL-YTD'!$R$4:$R$300,0),MATCH(Y$2,'Input 3.1_2019VOL-YTD'!$C$1:$N$1,0))/INDEX('Input 3_2019CUST-YTD'!$C$4:$N$300,MATCH($C53,'Input 3_2019CUST-YTD'!$S$4:$S$300,0),MATCH(Y$2,'Input 3_2019CUST-YTD'!$C$1:$N$1,0)),0)</f>
        <v>259.77098181818144</v>
      </c>
      <c r="Z53" s="5">
        <f>IFERROR(INDEX('Input 3.1_2019VOL-YTD'!$C$4:$N$300, MATCH($C53,'Input 3.1_2019VOL-YTD'!$R$4:$R$300,0),MATCH(Z$2,'Input 3.1_2019VOL-YTD'!$C$1:$N$1,0))/INDEX('Input 3_2019CUST-YTD'!$C$4:$N$300,MATCH($C53,'Input 3_2019CUST-YTD'!$S$4:$S$300,0),MATCH(Z$2,'Input 3_2019CUST-YTD'!$C$1:$N$1,0)),0)</f>
        <v>283.65787545787578</v>
      </c>
      <c r="AA53" s="5">
        <f>IFERROR(INDEX('Input 3.1_2019VOL-YTD'!$C$4:$N$300, MATCH($C53,'Input 3.1_2019VOL-YTD'!$R$4:$R$300,0),MATCH(AA$2,'Input 3.1_2019VOL-YTD'!$C$1:$N$1,0))/INDEX('Input 3_2019CUST-YTD'!$C$4:$N$300,MATCH($C53,'Input 3_2019CUST-YTD'!$S$4:$S$300,0),MATCH(AA$2,'Input 3_2019CUST-YTD'!$C$1:$N$1,0)),0)</f>
        <v>309.16188191881918</v>
      </c>
      <c r="AB53" s="5">
        <f>IFERROR(INDEX('Input 3.1_2019VOL-YTD'!$C$4:$N$300, MATCH($C53,'Input 3.1_2019VOL-YTD'!$R$4:$R$300,0),MATCH(AB$2,'Input 3.1_2019VOL-YTD'!$C$1:$N$1,0))/INDEX('Input 3_2019CUST-YTD'!$C$4:$N$300,MATCH($C53,'Input 3_2019CUST-YTD'!$S$4:$S$300,0),MATCH(AB$2,'Input 3_2019CUST-YTD'!$C$1:$N$1,0)),0)</f>
        <v>310.57007352941173</v>
      </c>
      <c r="AC53" s="5">
        <f>IFERROR(INDEX('Input 3.1_2019VOL-YTD'!$C$4:$N$300, MATCH($C53,'Input 3.1_2019VOL-YTD'!$R$4:$R$300,0),MATCH(AC$2,'Input 3.1_2019VOL-YTD'!$C$1:$N$1,0))/INDEX('Input 3_2019CUST-YTD'!$C$4:$N$300,MATCH($C53,'Input 3_2019CUST-YTD'!$S$4:$S$300,0),MATCH(AC$2,'Input 3_2019CUST-YTD'!$C$1:$N$1,0)),0)</f>
        <v>343.63563636363637</v>
      </c>
      <c r="AD53" s="5">
        <f>IFERROR(INDEX('Input 3.1_2019VOL-YTD'!$C$4:$N$300, MATCH($C53,'Input 3.1_2019VOL-YTD'!$R$4:$R$300,0),MATCH(AD$2,'Input 3.1_2019VOL-YTD'!$C$1:$N$1,0))/INDEX('Input 3_2019CUST-YTD'!$C$4:$N$300,MATCH($C53,'Input 3_2019CUST-YTD'!$S$4:$S$300,0),MATCH(AD$2,'Input 3_2019CUST-YTD'!$C$1:$N$1,0)),0)</f>
        <v>363.72974545454542</v>
      </c>
      <c r="AE53" s="272">
        <f t="shared" si="16"/>
        <v>363.72974545454542</v>
      </c>
      <c r="AF53" s="261">
        <f t="shared" si="17"/>
        <v>12</v>
      </c>
      <c r="AH53" s="262">
        <f>IFERROR(INDEX('Input 4.1_2020VOL-YTD'!$C$4:$O$300, MATCH($C53,'Input 4.1_2020VOL-YTD'!$R$4:$R$300,0),MATCH(AH$2,'Input 4.1_2020VOL-YTD'!$C$1:$O$1,0))/INDEX('Input 4_2020CUST-YTD'!$C$4:O$300,MATCH($C53,'Input 4_2020CUST-YTD'!$S$4:$S$300,0),MATCH(AH$2,'Input 4_2020CUST-YTD'!$C$1:$O$1,0)),0)</f>
        <v>354.83865942028984</v>
      </c>
      <c r="AI53" s="262">
        <f>IFERROR(INDEX('Input 4.1_2020VOL-YTD'!$C$4:$O$300, MATCH($C53,'Input 4.1_2020VOL-YTD'!$R$4:$R$300,0),MATCH(AI$2,'Input 4.1_2020VOL-YTD'!$C$1:$O$1,0))/INDEX('Input 4_2020CUST-YTD'!$C$4:P$300,MATCH($C53,'Input 4_2020CUST-YTD'!$S$4:$S$300,0),MATCH(AI$2,'Input 4_2020CUST-YTD'!$C$1:$O$1,0)),0)</f>
        <v>348.39606498194951</v>
      </c>
      <c r="AJ53" s="262">
        <f>IFERROR(INDEX('Input 4.1_2020VOL-YTD'!$C$4:$O$300, MATCH($C53,'Input 4.1_2020VOL-YTD'!$R$4:$R$300,0),MATCH(AJ$2,'Input 4.1_2020VOL-YTD'!$C$1:$O$1,0))/INDEX('Input 4_2020CUST-YTD'!$C$4:Q$300,MATCH($C53,'Input 4_2020CUST-YTD'!$S$4:$S$300,0),MATCH(AJ$2,'Input 4_2020CUST-YTD'!$C$1:$O$1,0)),0)</f>
        <v>328.82855595667939</v>
      </c>
      <c r="AK53" s="262">
        <f>IFERROR(INDEX('Input 4.1_2020VOL-YTD'!$C$4:$O$300, MATCH($C53,'Input 4.1_2020VOL-YTD'!$R$4:$R$300,0),MATCH(AK$2,'Input 4.1_2020VOL-YTD'!$C$1:$O$1,0))/INDEX('Input 4_2020CUST-YTD'!$C$4:R$300,MATCH($C53,'Input 4_2020CUST-YTD'!$S$4:$S$300,0),MATCH(AK$2,'Input 4_2020CUST-YTD'!$C$1:$O$1,0)),0)</f>
        <v>249.36228571428572</v>
      </c>
      <c r="AL53" s="262">
        <f>IFERROR(INDEX('Input 4.1_2020VOL-YTD'!$C$4:$O$300, MATCH($C53,'Input 4.1_2020VOL-YTD'!$R$4:$R$300,0),MATCH(AL$2,'Input 4.1_2020VOL-YTD'!$C$1:$O$1,0))/INDEX('Input 4_2020CUST-YTD'!$C$4:S$300,MATCH($C53,'Input 4_2020CUST-YTD'!$S$4:$S$300,0),MATCH(AL$2,'Input 4_2020CUST-YTD'!$C$1:$O$1,0)),0)</f>
        <v>261.02573476702509</v>
      </c>
      <c r="AM53" s="262">
        <f>IFERROR(INDEX('Input 4.1_2020VOL-YTD'!$C$4:$O$300, MATCH($C53,'Input 4.1_2020VOL-YTD'!$R$4:$R$300,0),MATCH(AM$2,'Input 4.1_2020VOL-YTD'!$C$1:$O$1,0))/INDEX('Input 4_2020CUST-YTD'!$C$4:T$300,MATCH($C53,'Input 4_2020CUST-YTD'!$S$4:$S$300,0),MATCH(AM$2,'Input 4_2020CUST-YTD'!$C$1:$O$1,0)),0)</f>
        <v>259.43685920577616</v>
      </c>
      <c r="AN53" s="262">
        <f>IFERROR(INDEX('Input 4.1_2020VOL-YTD'!$C$4:$O$300, MATCH($C53,'Input 4.1_2020VOL-YTD'!$R$4:$R$300,0),MATCH(AN$2,'Input 4.1_2020VOL-YTD'!$C$1:$O$1,0))/INDEX('Input 4_2020CUST-YTD'!$C$4:U$300,MATCH($C53,'Input 4_2020CUST-YTD'!$S$4:$S$300,0),MATCH(AN$2,'Input 4_2020CUST-YTD'!$C$1:$O$1,0)),0)</f>
        <v>284.03014388489208</v>
      </c>
      <c r="AO53" s="262">
        <f>IFERROR(INDEX('Input 4.1_2020VOL-YTD'!$C$4:$O$300, MATCH($C53,'Input 4.1_2020VOL-YTD'!$R$4:$R$300,0),MATCH(AO$2,'Input 4.1_2020VOL-YTD'!$C$1:$O$1,0))/INDEX('Input 4_2020CUST-YTD'!$C$4:V$300,MATCH($C53,'Input 4_2020CUST-YTD'!$S$4:$S$300,0),MATCH(AO$2,'Input 4_2020CUST-YTD'!$C$1:$O$1,0)),0)</f>
        <v>264.22267857142862</v>
      </c>
      <c r="AP53" s="262">
        <f>IFERROR(INDEX('Input 4.1_2020VOL-YTD'!$C$4:$O$300, MATCH($C53,'Input 4.1_2020VOL-YTD'!$R$4:$R$300,0),MATCH(AP$2,'Input 4.1_2020VOL-YTD'!$C$1:$O$1,0))/INDEX('Input 4_2020CUST-YTD'!$C$4:W$300,MATCH($C53,'Input 4_2020CUST-YTD'!$S$4:$S$300,0),MATCH(AP$2,'Input 4_2020CUST-YTD'!$C$1:$O$1,0)),0)</f>
        <v>279.90185714285718</v>
      </c>
      <c r="AQ53" s="262">
        <f>IFERROR(INDEX('Input 4.1_2020VOL-YTD'!$C$4:$O$300, MATCH($C53,'Input 4.1_2020VOL-YTD'!$R$4:$R$300,0),MATCH(AQ$2,'Input 4.1_2020VOL-YTD'!$C$1:$O$1,0))/INDEX('Input 4_2020CUST-YTD'!$C$4:X$300,MATCH($C53,'Input 4_2020CUST-YTD'!$S$4:$S$300,0),MATCH(AQ$2,'Input 4_2020CUST-YTD'!$C$1:$O$1,0)),0)</f>
        <v>280.40989399293284</v>
      </c>
      <c r="AR53" s="262">
        <f>IFERROR(INDEX('Input 4.1_2020VOL-YTD'!$C$4:$O$300, MATCH($C53,'Input 4.1_2020VOL-YTD'!$R$4:$R$300,0),MATCH(AR$2,'Input 4.1_2020VOL-YTD'!$C$1:$O$1,0))/INDEX('Input 4_2020CUST-YTD'!$C$4:Y$300,MATCH($C53,'Input 4_2020CUST-YTD'!$S$4:$S$300,0),MATCH(AR$2,'Input 4_2020CUST-YTD'!$C$1:$O$1,0)),0)</f>
        <v>313.04373665480426</v>
      </c>
      <c r="AS53" s="262">
        <f>IFERROR(INDEX('Input 4.1_2020VOL-YTD'!$C$4:$O$300, MATCH($C53,'Input 4.1_2020VOL-YTD'!$R$4:$R$300,0),MATCH(AS$2,'Input 4.1_2020VOL-YTD'!$C$1:$O$1,0))/INDEX('Input 4_2020CUST-YTD'!$C$4:Z$300,MATCH($C53,'Input 4_2020CUST-YTD'!$S$4:$S$300,0),MATCH(AS$2,'Input 4_2020CUST-YTD'!$C$1:$O$1,0)),0)</f>
        <v>339.07530035335691</v>
      </c>
      <c r="AT53" s="190">
        <f t="shared" si="14"/>
        <v>354.83865942028984</v>
      </c>
      <c r="AU53" s="261">
        <f t="shared" si="15"/>
        <v>1</v>
      </c>
      <c r="AW53" s="1">
        <f>IFERROR(INDEX('Input 5.1_2021VOL-YTD'!$C$3:$N$150, MATCH($C53,'Input 5.1_2021VOL-YTD'!$R$3:$R$150,0),MATCH(AW$2,'Input 5.1_2021VOL-YTD'!$C$1:$N$1,0))/INDEX('Input 5_2021CUST-YTD'!$C$3:$N$150,MATCH($C53,'Input 5_2021CUST-YTD'!$S$3:$S$150,0),MATCH(AW$2,'Input 5_2021CUST-YTD'!$C$1:$N$1,0)),0)</f>
        <v>358.40000000000003</v>
      </c>
      <c r="AX53" s="1">
        <f>IFERROR(INDEX('Input 5.1_2021VOL-YTD'!$C$3:$N$150, MATCH($C53,'Input 5.1_2021VOL-YTD'!$R$3:$R$150,0),MATCH(AX$2,'Input 5.1_2021VOL-YTD'!$C$1:$N$1,0))/INDEX('Input 5_2021CUST-YTD'!$C$3:$N$150,MATCH($C53,'Input 5_2021CUST-YTD'!$S$3:$S$150,0),MATCH(AX$2,'Input 5_2021CUST-YTD'!$C$1:$N$1,0)),0)</f>
        <v>311.98566433566469</v>
      </c>
      <c r="AY53" s="1">
        <f>IFERROR(INDEX('Input 5.1_2021VOL-YTD'!$C$3:$N$150, MATCH($C53,'Input 5.1_2021VOL-YTD'!$R$3:$R$150,0),MATCH(AY$2,'Input 5.1_2021VOL-YTD'!$C$1:$N$1,0))/INDEX('Input 5_2021CUST-YTD'!$C$3:$N$150,MATCH($C53,'Input 5_2021CUST-YTD'!$S$3:$S$150,0),MATCH(AY$2,'Input 5_2021CUST-YTD'!$C$1:$N$1,0)),0)</f>
        <v>318.58715789473683</v>
      </c>
      <c r="AZ53" s="1">
        <f>IFERROR(INDEX('Input 5.1_2021VOL-YTD'!$C$3:$N$150, MATCH($C53,'Input 5.1_2021VOL-YTD'!$R$3:$R$150,0),MATCH(AZ$2,'Input 5.1_2021VOL-YTD'!$C$1:$N$1,0))/INDEX('Input 5_2021CUST-YTD'!$C$3:$N$150,MATCH($C53,'Input 5_2021CUST-YTD'!$S$3:$S$150,0),MATCH(AZ$2,'Input 5_2021CUST-YTD'!$C$1:$N$1,0)),0)</f>
        <v>359.11707317073171</v>
      </c>
      <c r="BA53" s="1">
        <f>IFERROR(INDEX('Input 5.1_2021VOL-YTD'!$C$3:$N$150, MATCH($C53,'Input 5.1_2021VOL-YTD'!$R$3:$R$150,0),MATCH(BA$2,'Input 5.1_2021VOL-YTD'!$C$1:$N$1,0))/INDEX('Input 5_2021CUST-YTD'!$C$3:$N$150,MATCH($C53,'Input 5_2021CUST-YTD'!$S$3:$S$150,0),MATCH(BA$2,'Input 5_2021CUST-YTD'!$C$1:$N$1,0)),0)</f>
        <v>301.86340277777776</v>
      </c>
      <c r="BB53" s="1">
        <f>IFERROR(INDEX('Input 5.1_2021VOL-YTD'!$C$3:$N$150, MATCH($C53,'Input 5.1_2021VOL-YTD'!$R$3:$R$150,0),MATCH(BB$2,'Input 5.1_2021VOL-YTD'!$C$1:$N$1,0))/INDEX('Input 5_2021CUST-YTD'!$C$3:$N$150,MATCH($C53,'Input 5_2021CUST-YTD'!$S$3:$S$150,0),MATCH(BB$2,'Input 5_2021CUST-YTD'!$C$1:$N$1,0)),0)</f>
        <v>294.12418118466866</v>
      </c>
      <c r="BC53" s="1">
        <f>IFERROR(INDEX('Input 5.1_2021VOL-YTD'!$C$3:$N$150, MATCH($C53,'Input 5.1_2021VOL-YTD'!$R$3:$R$150,0),MATCH(BC$2,'Input 5.1_2021VOL-YTD'!$C$1:$N$1,0))/INDEX('Input 5_2021CUST-YTD'!$C$3:$N$150,MATCH($C53,'Input 5_2021CUST-YTD'!$S$3:$S$150,0),MATCH(BC$2,'Input 5_2021CUST-YTD'!$C$1:$N$1,0)),0)</f>
        <v>292.17752613240452</v>
      </c>
      <c r="BD53" s="1">
        <f>IFERROR(INDEX('Input 5.1_2021VOL-YTD'!$C$3:$N$150, MATCH($C53,'Input 5.1_2021VOL-YTD'!$R$3:$R$150,0),MATCH(BD$2,'Input 5.1_2021VOL-YTD'!$C$1:$N$1,0))/INDEX('Input 5_2021CUST-YTD'!$C$3:$N$150,MATCH($C53,'Input 5_2021CUST-YTD'!$S$3:$S$150,0),MATCH(BD$2,'Input 5_2021CUST-YTD'!$C$1:$N$1,0)),0)</f>
        <v>278.9669072164948</v>
      </c>
      <c r="BE53" s="1">
        <f>IFERROR(INDEX('Input 5.1_2021VOL-YTD'!$C$3:$N$150, MATCH($C53,'Input 5.1_2021VOL-YTD'!$R$3:$R$150,0),MATCH(BE$2,'Input 5.1_2021VOL-YTD'!$C$1:$N$1,0))/INDEX('Input 5_2021CUST-YTD'!$C$3:$N$150,MATCH($C53,'Input 5_2021CUST-YTD'!$S$3:$S$150,0),MATCH(BE$2,'Input 5_2021CUST-YTD'!$C$1:$N$1,0)),0)</f>
        <v>313.3466206896552</v>
      </c>
      <c r="BF53" s="1">
        <f>IFERROR(INDEX('Input 5.1_2021VOL-YTD'!$C$3:$N$150, MATCH($C53,'Input 5.1_2021VOL-YTD'!$R$3:$R$150,0),MATCH(BF$2,'Input 5.1_2021VOL-YTD'!$C$1:$N$1,0))/INDEX('Input 5_2021CUST-YTD'!$C$3:$N$150,MATCH($C53,'Input 5_2021CUST-YTD'!$S$3:$S$150,0),MATCH(BF$2,'Input 5_2021CUST-YTD'!$C$1:$N$1,0)),0)</f>
        <v>298.45160409556314</v>
      </c>
      <c r="BG53" s="1">
        <f>IFERROR(INDEX('Input 5.1_2021VOL-YTD'!$C$3:$N$150, MATCH($C53,'Input 5.1_2021VOL-YTD'!$R$3:$R$150,0),MATCH(BG$2,'Input 5.1_2021VOL-YTD'!$C$1:$N$1,0))/INDEX('Input 5_2021CUST-YTD'!$C$3:$N$150,MATCH($C53,'Input 5_2021CUST-YTD'!$S$3:$S$150,0),MATCH(BG$2,'Input 5_2021CUST-YTD'!$C$1:$N$1,0)),0)</f>
        <v>290.66034013605474</v>
      </c>
      <c r="BH53" s="1">
        <f>IFERROR(INDEX('Input 5.1_2021VOL-YTD'!$C$3:$N$150, MATCH($C53,'Input 5.1_2021VOL-YTD'!$R$3:$R$150,0),MATCH(BH$2,'Input 5.1_2021VOL-YTD'!$C$1:$N$1,0))/INDEX('Input 5_2021CUST-YTD'!$C$3:$N$150,MATCH($C53,'Input 5_2021CUST-YTD'!$S$3:$S$150,0),MATCH(BH$2,'Input 5_2021CUST-YTD'!$C$1:$N$1,0)),0)</f>
        <v>379.17208754208752</v>
      </c>
      <c r="BI53" s="190">
        <f t="shared" si="7"/>
        <v>379.17208754208752</v>
      </c>
      <c r="BJ53" s="261">
        <f t="shared" si="8"/>
        <v>12</v>
      </c>
    </row>
    <row r="54" spans="1:62">
      <c r="A54" s="261" t="s">
        <v>1245</v>
      </c>
      <c r="B54" s="261" t="s">
        <v>17</v>
      </c>
      <c r="C54" s="261" t="s">
        <v>1383</v>
      </c>
      <c r="D54" s="5">
        <f>IFERROR(INDEX('Input 16.1_2018VOL-YTD'!$C$4:$N$300, MATCH($C54,'Input 16.1_2018VOL-YTD'!$R$4:$R$300,0),MATCH(D$2,'Input 16.1_2018VOL-YTD'!$C$1:$N$1,0))/INDEX('Input 16_2018CUST-YTD'!$D$4:$O$300,MATCH($C54,'Input 16_2018CUST-YTD'!$S$4:$S$300,0),MATCH(D$2,'Input 16_2018CUST-YTD'!$C$1:$O$1,0)),0)</f>
        <v>546.13555555555558</v>
      </c>
      <c r="E54" s="5">
        <f>IFERROR(INDEX('Input 16.1_2018VOL-YTD'!$C$4:$N$300, MATCH($C54,'Input 16.1_2018VOL-YTD'!$R$4:$R$300,0),MATCH(E$2,'Input 16.1_2018VOL-YTD'!$C$1:$N$1,0))/INDEX('Input 16_2018CUST-YTD'!$D$4:$O$300,MATCH($C54,'Input 16_2018CUST-YTD'!$S$4:$S$300,0),MATCH(E$2,'Input 16_2018CUST-YTD'!$C$1:$O$1,0)),0)</f>
        <v>564.11333333333334</v>
      </c>
      <c r="F54" s="5">
        <f>IFERROR(INDEX('Input 16.1_2018VOL-YTD'!$C$4:$N$300, MATCH($C54,'Input 16.1_2018VOL-YTD'!$R$4:$R$300,0),MATCH(F$2,'Input 16.1_2018VOL-YTD'!$C$1:$N$1,0))/INDEX('Input 16_2018CUST-YTD'!$D$4:$O$300,MATCH($C54,'Input 16_2018CUST-YTD'!$S$4:$S$300,0),MATCH(F$2,'Input 16_2018CUST-YTD'!$C$1:$O$1,0)),0)</f>
        <v>717.91428571428571</v>
      </c>
      <c r="G54" s="5">
        <f>IFERROR(INDEX('Input 16.1_2018VOL-YTD'!$C$4:$N$300, MATCH($C54,'Input 16.1_2018VOL-YTD'!$R$4:$R$300,0),MATCH(G$2,'Input 16.1_2018VOL-YTD'!$C$1:$N$1,0))/INDEX('Input 16_2018CUST-YTD'!$D$4:$O$300,MATCH($C54,'Input 16_2018CUST-YTD'!$S$4:$S$300,0),MATCH(G$2,'Input 16_2018CUST-YTD'!$C$1:$O$1,0)),0)</f>
        <v>652.22</v>
      </c>
      <c r="H54" s="5">
        <f>IFERROR(INDEX('Input 16.1_2018VOL-YTD'!$C$4:$N$300, MATCH($C54,'Input 16.1_2018VOL-YTD'!$R$4:$R$300,0),MATCH(H$2,'Input 16.1_2018VOL-YTD'!$C$1:$N$1,0))/INDEX('Input 16_2018CUST-YTD'!$D$4:$O$300,MATCH($C54,'Input 16_2018CUST-YTD'!$S$4:$S$300,0),MATCH(H$2,'Input 16_2018CUST-YTD'!$C$1:$O$1,0)),0)</f>
        <v>553.44285714285718</v>
      </c>
      <c r="I54" s="5">
        <f>IFERROR(INDEX('Input 16.1_2018VOL-YTD'!$C$4:$N$300, MATCH($C54,'Input 16.1_2018VOL-YTD'!$R$4:$R$300,0),MATCH(I$2,'Input 16.1_2018VOL-YTD'!$C$1:$N$1,0))/INDEX('Input 16_2018CUST-YTD'!$D$4:$O$300,MATCH($C54,'Input 16_2018CUST-YTD'!$S$4:$S$300,0),MATCH(I$2,'Input 16_2018CUST-YTD'!$C$1:$O$1,0)),0)</f>
        <v>594.60857142857151</v>
      </c>
      <c r="J54" s="5">
        <f>IFERROR(INDEX('Input 16.1_2018VOL-YTD'!$C$4:$N$300, MATCH($C54,'Input 16.1_2018VOL-YTD'!$R$4:$R$300,0),MATCH(J$2,'Input 16.1_2018VOL-YTD'!$C$1:$N$1,0))/INDEX('Input 16_2018CUST-YTD'!$D$4:$O$300,MATCH($C54,'Input 16_2018CUST-YTD'!$S$4:$S$300,0),MATCH(J$2,'Input 16_2018CUST-YTD'!$C$1:$O$1,0)),0)</f>
        <v>518.71428571428567</v>
      </c>
      <c r="K54" s="5">
        <f>IFERROR(INDEX('Input 16.1_2018VOL-YTD'!$C$4:$N$300, MATCH($C54,'Input 16.1_2018VOL-YTD'!$R$4:$R$300,0),MATCH(K$2,'Input 16.1_2018VOL-YTD'!$C$1:$N$1,0))/INDEX('Input 16_2018CUST-YTD'!$D$4:$O$300,MATCH($C54,'Input 16_2018CUST-YTD'!$S$4:$S$300,0),MATCH(K$2,'Input 16_2018CUST-YTD'!$C$1:$O$1,0)),0)</f>
        <v>549.24714285714288</v>
      </c>
      <c r="L54" s="5">
        <f>IFERROR(INDEX('Input 16.1_2018VOL-YTD'!$C$4:$N$300, MATCH($C54,'Input 16.1_2018VOL-YTD'!$R$4:$R$300,0),MATCH(L$2,'Input 16.1_2018VOL-YTD'!$C$1:$N$1,0))/INDEX('Input 16_2018CUST-YTD'!$D$4:$O$300,MATCH($C54,'Input 16_2018CUST-YTD'!$S$4:$S$300,0),MATCH(L$2,'Input 16_2018CUST-YTD'!$C$1:$O$1,0)),0)</f>
        <v>572.14285714285711</v>
      </c>
      <c r="M54" s="5">
        <f>IFERROR(INDEX('Input 16.1_2018VOL-YTD'!$C$4:$N$300, MATCH($C54,'Input 16.1_2018VOL-YTD'!$R$4:$R$300,0),MATCH(M$2,'Input 16.1_2018VOL-YTD'!$C$1:$N$1,0))/INDEX('Input 16_2018CUST-YTD'!$D$4:$O$300,MATCH($C54,'Input 16_2018CUST-YTD'!$S$4:$S$300,0),MATCH(M$2,'Input 16_2018CUST-YTD'!$C$1:$O$1,0)),0)</f>
        <v>508.79</v>
      </c>
      <c r="N54" s="5">
        <f>IFERROR(INDEX('Input 16.1_2018VOL-YTD'!$C$4:$N$300, MATCH($C54,'Input 16.1_2018VOL-YTD'!$R$4:$R$300,0),MATCH(N$2,'Input 16.1_2018VOL-YTD'!$C$1:$N$1,0))/INDEX('Input 16_2018CUST-YTD'!$D$4:$O$300,MATCH($C54,'Input 16_2018CUST-YTD'!$S$4:$S$300,0),MATCH(N$2,'Input 16_2018CUST-YTD'!$C$1:$O$1,0)),0)</f>
        <v>618.68571428571431</v>
      </c>
      <c r="O54" s="5">
        <f>IFERROR(INDEX('Input 16.1_2018VOL-YTD'!$C$4:$N$300, MATCH($C54,'Input 16.1_2018VOL-YTD'!$R$4:$R$300,0),MATCH(O$2,'Input 16.1_2018VOL-YTD'!$C$1:$N$1,0))/INDEX('Input 16_2018CUST-YTD'!$D$4:$O$300,MATCH($C54,'Input 16_2018CUST-YTD'!$S$4:$S$300,0),MATCH(O$2,'Input 16_2018CUST-YTD'!$C$1:$O$1,0)),0)</f>
        <v>541.25333333333333</v>
      </c>
      <c r="P54" s="271">
        <f t="shared" si="1"/>
        <v>717.91428571428571</v>
      </c>
      <c r="Q54" s="261">
        <f t="shared" si="2"/>
        <v>3</v>
      </c>
      <c r="S54" s="5">
        <f>IFERROR(INDEX('Input 3.1_2019VOL-YTD'!$C$4:$N$300, MATCH($C54,'Input 3.1_2019VOL-YTD'!$R$4:$R$300,0),MATCH(S$2,'Input 3.1_2019VOL-YTD'!$C$1:$N$1,0))/INDEX('Input 3_2019CUST-YTD'!$C$4:$N$300,MATCH($C54,'Input 3_2019CUST-YTD'!$S$4:$S$300,0),MATCH(S$2,'Input 3_2019CUST-YTD'!$C$1:$N$1,0)),0)</f>
        <v>571.36714285714288</v>
      </c>
      <c r="T54" s="5">
        <f>IFERROR(INDEX('Input 3.1_2019VOL-YTD'!$C$4:$N$300, MATCH($C54,'Input 3.1_2019VOL-YTD'!$R$4:$R$300,0),MATCH(T$2,'Input 3.1_2019VOL-YTD'!$C$1:$N$1,0))/INDEX('Input 3_2019CUST-YTD'!$C$4:$N$300,MATCH($C54,'Input 3_2019CUST-YTD'!$S$4:$S$300,0),MATCH(T$2,'Input 3_2019CUST-YTD'!$C$1:$N$1,0)),0)</f>
        <v>631.55142857142857</v>
      </c>
      <c r="U54" s="5">
        <f>IFERROR(INDEX('Input 3.1_2019VOL-YTD'!$C$4:$N$300, MATCH($C54,'Input 3.1_2019VOL-YTD'!$R$4:$R$300,0),MATCH(U$2,'Input 3.1_2019VOL-YTD'!$C$1:$N$1,0))/INDEX('Input 3_2019CUST-YTD'!$C$4:$N$300,MATCH($C54,'Input 3_2019CUST-YTD'!$S$4:$S$300,0),MATCH(U$2,'Input 3_2019CUST-YTD'!$C$1:$N$1,0)),0)</f>
        <v>534.45142857142855</v>
      </c>
      <c r="V54" s="5">
        <f>IFERROR(INDEX('Input 3.1_2019VOL-YTD'!$C$4:$N$300, MATCH($C54,'Input 3.1_2019VOL-YTD'!$R$4:$R$300,0),MATCH(V$2,'Input 3.1_2019VOL-YTD'!$C$1:$N$1,0))/INDEX('Input 3_2019CUST-YTD'!$C$4:$N$300,MATCH($C54,'Input 3_2019CUST-YTD'!$S$4:$S$300,0),MATCH(V$2,'Input 3_2019CUST-YTD'!$C$1:$N$1,0)),0)</f>
        <v>610.6957142857143</v>
      </c>
      <c r="W54" s="5">
        <f>IFERROR(INDEX('Input 3.1_2019VOL-YTD'!$C$4:$N$300, MATCH($C54,'Input 3.1_2019VOL-YTD'!$R$4:$R$300,0),MATCH(W$2,'Input 3.1_2019VOL-YTD'!$C$1:$N$1,0))/INDEX('Input 3_2019CUST-YTD'!$C$4:$N$300,MATCH($C54,'Input 3_2019CUST-YTD'!$S$4:$S$300,0),MATCH(W$2,'Input 3_2019CUST-YTD'!$C$1:$N$1,0)),0)</f>
        <v>569.09714285714279</v>
      </c>
      <c r="X54" s="5">
        <f>IFERROR(INDEX('Input 3.1_2019VOL-YTD'!$C$4:$N$300, MATCH($C54,'Input 3.1_2019VOL-YTD'!$R$4:$R$300,0),MATCH(X$2,'Input 3.1_2019VOL-YTD'!$C$1:$N$1,0))/INDEX('Input 3_2019CUST-YTD'!$C$4:$N$300,MATCH($C54,'Input 3_2019CUST-YTD'!$S$4:$S$300,0),MATCH(X$2,'Input 3_2019CUST-YTD'!$C$1:$N$1,0)),0)</f>
        <v>563.12571428571425</v>
      </c>
      <c r="Y54" s="5">
        <f>IFERROR(INDEX('Input 3.1_2019VOL-YTD'!$C$4:$N$300, MATCH($C54,'Input 3.1_2019VOL-YTD'!$R$4:$R$300,0),MATCH(Y$2,'Input 3.1_2019VOL-YTD'!$C$1:$N$1,0))/INDEX('Input 3_2019CUST-YTD'!$C$4:$N$300,MATCH($C54,'Input 3_2019CUST-YTD'!$S$4:$S$300,0),MATCH(Y$2,'Input 3_2019CUST-YTD'!$C$1:$N$1,0)),0)</f>
        <v>482.12714285714281</v>
      </c>
      <c r="Z54" s="5">
        <f>IFERROR(INDEX('Input 3.1_2019VOL-YTD'!$C$4:$N$300, MATCH($C54,'Input 3.1_2019VOL-YTD'!$R$4:$R$300,0),MATCH(Z$2,'Input 3.1_2019VOL-YTD'!$C$1:$N$1,0))/INDEX('Input 3_2019CUST-YTD'!$C$4:$N$300,MATCH($C54,'Input 3_2019CUST-YTD'!$S$4:$S$300,0),MATCH(Z$2,'Input 3_2019CUST-YTD'!$C$1:$N$1,0)),0)</f>
        <v>475.26857142857142</v>
      </c>
      <c r="AA54" s="5">
        <f>IFERROR(INDEX('Input 3.1_2019VOL-YTD'!$C$4:$N$300, MATCH($C54,'Input 3.1_2019VOL-YTD'!$R$4:$R$300,0),MATCH(AA$2,'Input 3.1_2019VOL-YTD'!$C$1:$N$1,0))/INDEX('Input 3_2019CUST-YTD'!$C$4:$N$300,MATCH($C54,'Input 3_2019CUST-YTD'!$S$4:$S$300,0),MATCH(AA$2,'Input 3_2019CUST-YTD'!$C$1:$N$1,0)),0)</f>
        <v>565.61714285714288</v>
      </c>
      <c r="AB54" s="5">
        <f>IFERROR(INDEX('Input 3.1_2019VOL-YTD'!$C$4:$N$300, MATCH($C54,'Input 3.1_2019VOL-YTD'!$R$4:$R$300,0),MATCH(AB$2,'Input 3.1_2019VOL-YTD'!$C$1:$N$1,0))/INDEX('Input 3_2019CUST-YTD'!$C$4:$N$300,MATCH($C54,'Input 3_2019CUST-YTD'!$S$4:$S$300,0),MATCH(AB$2,'Input 3_2019CUST-YTD'!$C$1:$N$1,0)),0)</f>
        <v>525.21428571428567</v>
      </c>
      <c r="AC54" s="5">
        <f>IFERROR(INDEX('Input 3.1_2019VOL-YTD'!$C$4:$N$300, MATCH($C54,'Input 3.1_2019VOL-YTD'!$R$4:$R$300,0),MATCH(AC$2,'Input 3.1_2019VOL-YTD'!$C$1:$N$1,0))/INDEX('Input 3_2019CUST-YTD'!$C$4:$N$300,MATCH($C54,'Input 3_2019CUST-YTD'!$S$4:$S$300,0),MATCH(AC$2,'Input 3_2019CUST-YTD'!$C$1:$N$1,0)),0)</f>
        <v>595.62</v>
      </c>
      <c r="AD54" s="5">
        <f>IFERROR(INDEX('Input 3.1_2019VOL-YTD'!$C$4:$N$300, MATCH($C54,'Input 3.1_2019VOL-YTD'!$R$4:$R$300,0),MATCH(AD$2,'Input 3.1_2019VOL-YTD'!$C$1:$N$1,0))/INDEX('Input 3_2019CUST-YTD'!$C$4:$N$300,MATCH($C54,'Input 3_2019CUST-YTD'!$S$4:$S$300,0),MATCH(AD$2,'Input 3_2019CUST-YTD'!$C$1:$N$1,0)),0)</f>
        <v>574.38571428571424</v>
      </c>
      <c r="AE54" s="272">
        <f t="shared" si="16"/>
        <v>631.55142857142857</v>
      </c>
      <c r="AF54" s="261">
        <f t="shared" si="17"/>
        <v>2</v>
      </c>
      <c r="AH54" s="262">
        <f>IFERROR(INDEX('Input 4.1_2020VOL-YTD'!$C$4:$O$300, MATCH($C54,'Input 4.1_2020VOL-YTD'!$R$4:$R$300,0),MATCH(AH$2,'Input 4.1_2020VOL-YTD'!$C$1:$O$1,0))/INDEX('Input 4_2020CUST-YTD'!$C$4:O$300,MATCH($C54,'Input 4_2020CUST-YTD'!$S$4:$S$300,0),MATCH(AH$2,'Input 4_2020CUST-YTD'!$C$1:$O$1,0)),0)</f>
        <v>567.00428571428574</v>
      </c>
      <c r="AI54" s="262">
        <f>IFERROR(INDEX('Input 4.1_2020VOL-YTD'!$C$4:$O$300, MATCH($C54,'Input 4.1_2020VOL-YTD'!$R$4:$R$300,0),MATCH(AI$2,'Input 4.1_2020VOL-YTD'!$C$1:$O$1,0))/INDEX('Input 4_2020CUST-YTD'!$C$4:P$300,MATCH($C54,'Input 4_2020CUST-YTD'!$S$4:$S$300,0),MATCH(AI$2,'Input 4_2020CUST-YTD'!$C$1:$O$1,0)),0)</f>
        <v>560.54714285714283</v>
      </c>
      <c r="AJ54" s="262">
        <f>IFERROR(INDEX('Input 4.1_2020VOL-YTD'!$C$4:$O$300, MATCH($C54,'Input 4.1_2020VOL-YTD'!$R$4:$R$300,0),MATCH(AJ$2,'Input 4.1_2020VOL-YTD'!$C$1:$O$1,0))/INDEX('Input 4_2020CUST-YTD'!$C$4:Q$300,MATCH($C54,'Input 4_2020CUST-YTD'!$S$4:$S$300,0),MATCH(AJ$2,'Input 4_2020CUST-YTD'!$C$1:$O$1,0)),0)</f>
        <v>517.23571428571427</v>
      </c>
      <c r="AK54" s="262">
        <f>IFERROR(INDEX('Input 4.1_2020VOL-YTD'!$C$4:$O$300, MATCH($C54,'Input 4.1_2020VOL-YTD'!$R$4:$R$300,0),MATCH(AK$2,'Input 4.1_2020VOL-YTD'!$C$1:$O$1,0))/INDEX('Input 4_2020CUST-YTD'!$C$4:R$300,MATCH($C54,'Input 4_2020CUST-YTD'!$S$4:$S$300,0),MATCH(AK$2,'Input 4_2020CUST-YTD'!$C$1:$O$1,0)),0)</f>
        <v>225.50571428571428</v>
      </c>
      <c r="AL54" s="262">
        <f>IFERROR(INDEX('Input 4.1_2020VOL-YTD'!$C$4:$O$300, MATCH($C54,'Input 4.1_2020VOL-YTD'!$R$4:$R$300,0),MATCH(AL$2,'Input 4.1_2020VOL-YTD'!$C$1:$O$1,0))/INDEX('Input 4_2020CUST-YTD'!$C$4:S$300,MATCH($C54,'Input 4_2020CUST-YTD'!$S$4:$S$300,0),MATCH(AL$2,'Input 4_2020CUST-YTD'!$C$1:$O$1,0)),0)</f>
        <v>429.11428571428576</v>
      </c>
      <c r="AM54" s="262">
        <f>IFERROR(INDEX('Input 4.1_2020VOL-YTD'!$C$4:$O$300, MATCH($C54,'Input 4.1_2020VOL-YTD'!$R$4:$R$300,0),MATCH(AM$2,'Input 4.1_2020VOL-YTD'!$C$1:$O$1,0))/INDEX('Input 4_2020CUST-YTD'!$C$4:T$300,MATCH($C54,'Input 4_2020CUST-YTD'!$S$4:$S$300,0),MATCH(AM$2,'Input 4_2020CUST-YTD'!$C$1:$O$1,0)),0)</f>
        <v>473.83571428571429</v>
      </c>
      <c r="AN54" s="262">
        <f>IFERROR(INDEX('Input 4.1_2020VOL-YTD'!$C$4:$O$300, MATCH($C54,'Input 4.1_2020VOL-YTD'!$R$4:$R$300,0),MATCH(AN$2,'Input 4.1_2020VOL-YTD'!$C$1:$O$1,0))/INDEX('Input 4_2020CUST-YTD'!$C$4:U$300,MATCH($C54,'Input 4_2020CUST-YTD'!$S$4:$S$300,0),MATCH(AN$2,'Input 4_2020CUST-YTD'!$C$1:$O$1,0)),0)</f>
        <v>521.66</v>
      </c>
      <c r="AO54" s="262">
        <f>IFERROR(INDEX('Input 4.1_2020VOL-YTD'!$C$4:$O$300, MATCH($C54,'Input 4.1_2020VOL-YTD'!$R$4:$R$300,0),MATCH(AO$2,'Input 4.1_2020VOL-YTD'!$C$1:$O$1,0))/INDEX('Input 4_2020CUST-YTD'!$C$4:V$300,MATCH($C54,'Input 4_2020CUST-YTD'!$S$4:$S$300,0),MATCH(AO$2,'Input 4_2020CUST-YTD'!$C$1:$O$1,0)),0)</f>
        <v>423.5385714285714</v>
      </c>
      <c r="AP54" s="262">
        <f>IFERROR(INDEX('Input 4.1_2020VOL-YTD'!$C$4:$O$300, MATCH($C54,'Input 4.1_2020VOL-YTD'!$R$4:$R$300,0),MATCH(AP$2,'Input 4.1_2020VOL-YTD'!$C$1:$O$1,0))/INDEX('Input 4_2020CUST-YTD'!$C$4:W$300,MATCH($C54,'Input 4_2020CUST-YTD'!$S$4:$S$300,0),MATCH(AP$2,'Input 4_2020CUST-YTD'!$C$1:$O$1,0)),0)</f>
        <v>480.4242857142857</v>
      </c>
      <c r="AQ54" s="262">
        <f>IFERROR(INDEX('Input 4.1_2020VOL-YTD'!$C$4:$O$300, MATCH($C54,'Input 4.1_2020VOL-YTD'!$R$4:$R$300,0),MATCH(AQ$2,'Input 4.1_2020VOL-YTD'!$C$1:$O$1,0))/INDEX('Input 4_2020CUST-YTD'!$C$4:X$300,MATCH($C54,'Input 4_2020CUST-YTD'!$S$4:$S$300,0),MATCH(AQ$2,'Input 4_2020CUST-YTD'!$C$1:$O$1,0)),0)</f>
        <v>521.2928571428572</v>
      </c>
      <c r="AR54" s="262">
        <f>IFERROR(INDEX('Input 4.1_2020VOL-YTD'!$C$4:$O$300, MATCH($C54,'Input 4.1_2020VOL-YTD'!$R$4:$R$300,0),MATCH(AR$2,'Input 4.1_2020VOL-YTD'!$C$1:$O$1,0))/INDEX('Input 4_2020CUST-YTD'!$C$4:Y$300,MATCH($C54,'Input 4_2020CUST-YTD'!$S$4:$S$300,0),MATCH(AR$2,'Input 4_2020CUST-YTD'!$C$1:$O$1,0)),0)</f>
        <v>541.61</v>
      </c>
      <c r="AS54" s="262">
        <f>IFERROR(INDEX('Input 4.1_2020VOL-YTD'!$C$4:$O$300, MATCH($C54,'Input 4.1_2020VOL-YTD'!$R$4:$R$300,0),MATCH(AS$2,'Input 4.1_2020VOL-YTD'!$C$1:$O$1,0))/INDEX('Input 4_2020CUST-YTD'!$C$4:Z$300,MATCH($C54,'Input 4_2020CUST-YTD'!$S$4:$S$300,0),MATCH(AS$2,'Input 4_2020CUST-YTD'!$C$1:$O$1,0)),0)</f>
        <v>493.34857142857146</v>
      </c>
      <c r="AT54" s="190">
        <f t="shared" si="14"/>
        <v>567.00428571428574</v>
      </c>
      <c r="AU54" s="261">
        <f t="shared" si="15"/>
        <v>1</v>
      </c>
      <c r="AW54" s="1">
        <f>IFERROR(INDEX('Input 5.1_2021VOL-YTD'!$C$3:$N$150, MATCH($C54,'Input 5.1_2021VOL-YTD'!$R$3:$R$150,0),MATCH(AW$2,'Input 5.1_2021VOL-YTD'!$C$1:$N$1,0))/INDEX('Input 5_2021CUST-YTD'!$C$3:$N$150,MATCH($C54,'Input 5_2021CUST-YTD'!$S$3:$S$150,0),MATCH(AW$2,'Input 5_2021CUST-YTD'!$C$1:$N$1,0)),0)</f>
        <v>694.77571428571434</v>
      </c>
      <c r="AX54" s="1">
        <f>IFERROR(INDEX('Input 5.1_2021VOL-YTD'!$C$3:$N$150, MATCH($C54,'Input 5.1_2021VOL-YTD'!$R$3:$R$150,0),MATCH(AX$2,'Input 5.1_2021VOL-YTD'!$C$1:$N$1,0))/INDEX('Input 5_2021CUST-YTD'!$C$3:$N$150,MATCH($C54,'Input 5_2021CUST-YTD'!$S$3:$S$150,0),MATCH(AX$2,'Input 5_2021CUST-YTD'!$C$1:$N$1,0)),0)</f>
        <v>525.12285714285713</v>
      </c>
      <c r="AY54" s="1">
        <f>IFERROR(INDEX('Input 5.1_2021VOL-YTD'!$C$3:$N$150, MATCH($C54,'Input 5.1_2021VOL-YTD'!$R$3:$R$150,0),MATCH(AY$2,'Input 5.1_2021VOL-YTD'!$C$1:$N$1,0))/INDEX('Input 5_2021CUST-YTD'!$C$3:$N$150,MATCH($C54,'Input 5_2021CUST-YTD'!$S$3:$S$150,0),MATCH(AY$2,'Input 5_2021CUST-YTD'!$C$1:$N$1,0)),0)</f>
        <v>577.49571428571426</v>
      </c>
      <c r="AZ54" s="1">
        <f>IFERROR(INDEX('Input 5.1_2021VOL-YTD'!$C$3:$N$150, MATCH($C54,'Input 5.1_2021VOL-YTD'!$R$3:$R$150,0),MATCH(AZ$2,'Input 5.1_2021VOL-YTD'!$C$1:$N$1,0))/INDEX('Input 5_2021CUST-YTD'!$C$3:$N$150,MATCH($C54,'Input 5_2021CUST-YTD'!$S$3:$S$150,0),MATCH(AZ$2,'Input 5_2021CUST-YTD'!$C$1:$N$1,0)),0)</f>
        <v>545.99285714285713</v>
      </c>
      <c r="BA54" s="1">
        <f>IFERROR(INDEX('Input 5.1_2021VOL-YTD'!$C$3:$N$150, MATCH($C54,'Input 5.1_2021VOL-YTD'!$R$3:$R$150,0),MATCH(BA$2,'Input 5.1_2021VOL-YTD'!$C$1:$N$1,0))/INDEX('Input 5_2021CUST-YTD'!$C$3:$N$150,MATCH($C54,'Input 5_2021CUST-YTD'!$S$3:$S$150,0),MATCH(BA$2,'Input 5_2021CUST-YTD'!$C$1:$N$1,0)),0)</f>
        <v>495.33714285714285</v>
      </c>
      <c r="BB54" s="1">
        <f>IFERROR(INDEX('Input 5.1_2021VOL-YTD'!$C$3:$N$150, MATCH($C54,'Input 5.1_2021VOL-YTD'!$R$3:$R$150,0),MATCH(BB$2,'Input 5.1_2021VOL-YTD'!$C$1:$N$1,0))/INDEX('Input 5_2021CUST-YTD'!$C$3:$N$150,MATCH($C54,'Input 5_2021CUST-YTD'!$S$3:$S$150,0),MATCH(BB$2,'Input 5_2021CUST-YTD'!$C$1:$N$1,0)),0)</f>
        <v>516.70285714285717</v>
      </c>
      <c r="BC54" s="1">
        <f>IFERROR(INDEX('Input 5.1_2021VOL-YTD'!$C$3:$N$150, MATCH($C54,'Input 5.1_2021VOL-YTD'!$R$3:$R$150,0),MATCH(BC$2,'Input 5.1_2021VOL-YTD'!$C$1:$N$1,0))/INDEX('Input 5_2021CUST-YTD'!$C$3:$N$150,MATCH($C54,'Input 5_2021CUST-YTD'!$S$3:$S$150,0),MATCH(BC$2,'Input 5_2021CUST-YTD'!$C$1:$N$1,0)),0)</f>
        <v>529.28142857142859</v>
      </c>
      <c r="BD54" s="1">
        <f>IFERROR(INDEX('Input 5.1_2021VOL-YTD'!$C$3:$N$150, MATCH($C54,'Input 5.1_2021VOL-YTD'!$R$3:$R$150,0),MATCH(BD$2,'Input 5.1_2021VOL-YTD'!$C$1:$N$1,0))/INDEX('Input 5_2021CUST-YTD'!$C$3:$N$150,MATCH($C54,'Input 5_2021CUST-YTD'!$S$3:$S$150,0),MATCH(BD$2,'Input 5_2021CUST-YTD'!$C$1:$N$1,0)),0)</f>
        <v>430.61714285714288</v>
      </c>
      <c r="BE54" s="1">
        <f>IFERROR(INDEX('Input 5.1_2021VOL-YTD'!$C$3:$N$150, MATCH($C54,'Input 5.1_2021VOL-YTD'!$R$3:$R$150,0),MATCH(BE$2,'Input 5.1_2021VOL-YTD'!$C$1:$N$1,0))/INDEX('Input 5_2021CUST-YTD'!$C$3:$N$150,MATCH($C54,'Input 5_2021CUST-YTD'!$S$3:$S$150,0),MATCH(BE$2,'Input 5_2021CUST-YTD'!$C$1:$N$1,0)),0)</f>
        <v>937.79142857142858</v>
      </c>
      <c r="BF54" s="1">
        <f>IFERROR(INDEX('Input 5.1_2021VOL-YTD'!$C$3:$N$150, MATCH($C54,'Input 5.1_2021VOL-YTD'!$R$3:$R$150,0),MATCH(BF$2,'Input 5.1_2021VOL-YTD'!$C$1:$N$1,0))/INDEX('Input 5_2021CUST-YTD'!$C$3:$N$150,MATCH($C54,'Input 5_2021CUST-YTD'!$S$3:$S$150,0),MATCH(BF$2,'Input 5_2021CUST-YTD'!$C$1:$N$1,0)),0)</f>
        <v>574.30666666666673</v>
      </c>
      <c r="BG54" s="1">
        <f>IFERROR(INDEX('Input 5.1_2021VOL-YTD'!$C$3:$N$150, MATCH($C54,'Input 5.1_2021VOL-YTD'!$R$3:$R$150,0),MATCH(BG$2,'Input 5.1_2021VOL-YTD'!$C$1:$N$1,0))/INDEX('Input 5_2021CUST-YTD'!$C$3:$N$150,MATCH($C54,'Input 5_2021CUST-YTD'!$S$3:$S$150,0),MATCH(BG$2,'Input 5_2021CUST-YTD'!$C$1:$N$1,0)),0)</f>
        <v>466.21833333333331</v>
      </c>
      <c r="BH54" s="1">
        <f>IFERROR(INDEX('Input 5.1_2021VOL-YTD'!$C$3:$N$150, MATCH($C54,'Input 5.1_2021VOL-YTD'!$R$3:$R$150,0),MATCH(BH$2,'Input 5.1_2021VOL-YTD'!$C$1:$N$1,0))/INDEX('Input 5_2021CUST-YTD'!$C$3:$N$150,MATCH($C54,'Input 5_2021CUST-YTD'!$S$3:$S$150,0),MATCH(BH$2,'Input 5_2021CUST-YTD'!$C$1:$N$1,0)),0)</f>
        <v>754.5916666666667</v>
      </c>
      <c r="BI54" s="190">
        <f t="shared" si="7"/>
        <v>937.79142857142858</v>
      </c>
      <c r="BJ54" s="261">
        <f t="shared" si="8"/>
        <v>9</v>
      </c>
    </row>
    <row r="55" spans="1:62">
      <c r="A55" s="261" t="s">
        <v>1245</v>
      </c>
      <c r="B55" s="261" t="s">
        <v>17</v>
      </c>
      <c r="C55" s="261" t="s">
        <v>1382</v>
      </c>
      <c r="D55" s="5">
        <f>IFERROR(INDEX('Input 16.1_2018VOL-YTD'!$C$4:$N$300, MATCH($C55,'Input 16.1_2018VOL-YTD'!$R$4:$R$300,0),MATCH(D$2,'Input 16.1_2018VOL-YTD'!$C$1:$N$1,0))/INDEX('Input 16_2018CUST-YTD'!$D$4:$O$300,MATCH($C55,'Input 16_2018CUST-YTD'!$S$4:$S$300,0),MATCH(D$2,'Input 16_2018CUST-YTD'!$C$1:$O$1,0)),0)</f>
        <v>731.23311926605504</v>
      </c>
      <c r="E55" s="5">
        <f>IFERROR(INDEX('Input 16.1_2018VOL-YTD'!$C$4:$N$300, MATCH($C55,'Input 16.1_2018VOL-YTD'!$R$4:$R$300,0),MATCH(E$2,'Input 16.1_2018VOL-YTD'!$C$1:$N$1,0))/INDEX('Input 16_2018CUST-YTD'!$D$4:$O$300,MATCH($C55,'Input 16_2018CUST-YTD'!$S$4:$S$300,0),MATCH(E$2,'Input 16_2018CUST-YTD'!$C$1:$O$1,0)),0)</f>
        <v>709.96163076923074</v>
      </c>
      <c r="F55" s="5">
        <f>IFERROR(INDEX('Input 16.1_2018VOL-YTD'!$C$4:$N$300, MATCH($C55,'Input 16.1_2018VOL-YTD'!$R$4:$R$300,0),MATCH(F$2,'Input 16.1_2018VOL-YTD'!$C$1:$N$1,0))/INDEX('Input 16_2018CUST-YTD'!$D$4:$O$300,MATCH($C55,'Input 16_2018CUST-YTD'!$S$4:$S$300,0),MATCH(F$2,'Input 16_2018CUST-YTD'!$C$1:$O$1,0)),0)</f>
        <v>659.69253731343281</v>
      </c>
      <c r="G55" s="5">
        <f>IFERROR(INDEX('Input 16.1_2018VOL-YTD'!$C$4:$N$300, MATCH($C55,'Input 16.1_2018VOL-YTD'!$R$4:$R$300,0),MATCH(G$2,'Input 16.1_2018VOL-YTD'!$C$1:$N$1,0))/INDEX('Input 16_2018CUST-YTD'!$D$4:$O$300,MATCH($C55,'Input 16_2018CUST-YTD'!$S$4:$S$300,0),MATCH(G$2,'Input 16_2018CUST-YTD'!$C$1:$O$1,0)),0)</f>
        <v>665.62517964071856</v>
      </c>
      <c r="H55" s="5">
        <f>IFERROR(INDEX('Input 16.1_2018VOL-YTD'!$C$4:$N$300, MATCH($C55,'Input 16.1_2018VOL-YTD'!$R$4:$R$300,0),MATCH(H$2,'Input 16.1_2018VOL-YTD'!$C$1:$N$1,0))/INDEX('Input 16_2018CUST-YTD'!$D$4:$O$300,MATCH($C55,'Input 16_2018CUST-YTD'!$S$4:$S$300,0),MATCH(H$2,'Input 16_2018CUST-YTD'!$C$1:$O$1,0)),0)</f>
        <v>582.34151515151518</v>
      </c>
      <c r="I55" s="5">
        <f>IFERROR(INDEX('Input 16.1_2018VOL-YTD'!$C$4:$N$300, MATCH($C55,'Input 16.1_2018VOL-YTD'!$R$4:$R$300,0),MATCH(I$2,'Input 16.1_2018VOL-YTD'!$C$1:$N$1,0))/INDEX('Input 16_2018CUST-YTD'!$D$4:$O$300,MATCH($C55,'Input 16_2018CUST-YTD'!$S$4:$S$300,0),MATCH(I$2,'Input 16_2018CUST-YTD'!$C$1:$O$1,0)),0)</f>
        <v>594.43416413373859</v>
      </c>
      <c r="J55" s="5">
        <f>IFERROR(INDEX('Input 16.1_2018VOL-YTD'!$C$4:$N$300, MATCH($C55,'Input 16.1_2018VOL-YTD'!$R$4:$R$300,0),MATCH(J$2,'Input 16.1_2018VOL-YTD'!$C$1:$N$1,0))/INDEX('Input 16_2018CUST-YTD'!$D$4:$O$300,MATCH($C55,'Input 16_2018CUST-YTD'!$S$4:$S$300,0),MATCH(J$2,'Input 16_2018CUST-YTD'!$C$1:$O$1,0)),0)</f>
        <v>533.2293577981651</v>
      </c>
      <c r="K55" s="5">
        <f>IFERROR(INDEX('Input 16.1_2018VOL-YTD'!$C$4:$N$300, MATCH($C55,'Input 16.1_2018VOL-YTD'!$R$4:$R$300,0),MATCH(K$2,'Input 16.1_2018VOL-YTD'!$C$1:$N$1,0))/INDEX('Input 16_2018CUST-YTD'!$D$4:$O$300,MATCH($C55,'Input 16_2018CUST-YTD'!$S$4:$S$300,0),MATCH(K$2,'Input 16_2018CUST-YTD'!$C$1:$O$1,0)),0)</f>
        <v>545.70772307692312</v>
      </c>
      <c r="L55" s="5">
        <f>IFERROR(INDEX('Input 16.1_2018VOL-YTD'!$C$4:$N$300, MATCH($C55,'Input 16.1_2018VOL-YTD'!$R$4:$R$300,0),MATCH(L$2,'Input 16.1_2018VOL-YTD'!$C$1:$N$1,0))/INDEX('Input 16_2018CUST-YTD'!$D$4:$O$300,MATCH($C55,'Input 16_2018CUST-YTD'!$S$4:$S$300,0),MATCH(L$2,'Input 16_2018CUST-YTD'!$C$1:$O$1,0)),0)</f>
        <v>553.9968902439025</v>
      </c>
      <c r="M55" s="5">
        <f>IFERROR(INDEX('Input 16.1_2018VOL-YTD'!$C$4:$N$300, MATCH($C55,'Input 16.1_2018VOL-YTD'!$R$4:$R$300,0),MATCH(M$2,'Input 16.1_2018VOL-YTD'!$C$1:$N$1,0))/INDEX('Input 16_2018CUST-YTD'!$D$4:$O$300,MATCH($C55,'Input 16_2018CUST-YTD'!$S$4:$S$300,0),MATCH(M$2,'Input 16_2018CUST-YTD'!$C$1:$O$1,0)),0)</f>
        <v>508.06933534743206</v>
      </c>
      <c r="N55" s="5">
        <f>IFERROR(INDEX('Input 16.1_2018VOL-YTD'!$C$4:$N$300, MATCH($C55,'Input 16.1_2018VOL-YTD'!$R$4:$R$300,0),MATCH(N$2,'Input 16.1_2018VOL-YTD'!$C$1:$N$1,0))/INDEX('Input 16_2018CUST-YTD'!$D$4:$O$300,MATCH($C55,'Input 16_2018CUST-YTD'!$S$4:$S$300,0),MATCH(N$2,'Input 16_2018CUST-YTD'!$C$1:$O$1,0)),0)</f>
        <v>614.24862686567167</v>
      </c>
      <c r="O55" s="5">
        <f>IFERROR(INDEX('Input 16.1_2018VOL-YTD'!$C$4:$N$300, MATCH($C55,'Input 16.1_2018VOL-YTD'!$R$4:$R$300,0),MATCH(O$2,'Input 16.1_2018VOL-YTD'!$C$1:$N$1,0))/INDEX('Input 16_2018CUST-YTD'!$D$4:$O$300,MATCH($C55,'Input 16_2018CUST-YTD'!$S$4:$S$300,0),MATCH(O$2,'Input 16_2018CUST-YTD'!$C$1:$O$1,0)),0)</f>
        <v>648.9737012658228</v>
      </c>
      <c r="P55" s="271">
        <f t="shared" si="1"/>
        <v>731.23311926605504</v>
      </c>
      <c r="Q55" s="261">
        <f t="shared" si="2"/>
        <v>1</v>
      </c>
      <c r="S55" s="5">
        <f>IFERROR(INDEX('Input 3.1_2019VOL-YTD'!$C$4:$N$300, MATCH($C55,'Input 3.1_2019VOL-YTD'!$R$4:$R$300,0),MATCH(S$2,'Input 3.1_2019VOL-YTD'!$C$1:$N$1,0))/INDEX('Input 3_2019CUST-YTD'!$C$4:$N$300,MATCH($C55,'Input 3_2019CUST-YTD'!$S$4:$S$300,0),MATCH(S$2,'Input 3_2019CUST-YTD'!$C$1:$N$1,0)),0)</f>
        <v>677.4848484848485</v>
      </c>
      <c r="T55" s="5">
        <f>IFERROR(INDEX('Input 3.1_2019VOL-YTD'!$C$4:$N$300, MATCH($C55,'Input 3.1_2019VOL-YTD'!$R$4:$R$300,0),MATCH(T$2,'Input 3.1_2019VOL-YTD'!$C$1:$N$1,0))/INDEX('Input 3_2019CUST-YTD'!$C$4:$N$300,MATCH($C55,'Input 3_2019CUST-YTD'!$S$4:$S$300,0),MATCH(T$2,'Input 3_2019CUST-YTD'!$C$1:$N$1,0)),0)</f>
        <v>686.50954407294842</v>
      </c>
      <c r="U55" s="5">
        <f>IFERROR(INDEX('Input 3.1_2019VOL-YTD'!$C$4:$N$300, MATCH($C55,'Input 3.1_2019VOL-YTD'!$R$4:$R$300,0),MATCH(U$2,'Input 3.1_2019VOL-YTD'!$C$1:$N$1,0))/INDEX('Input 3_2019CUST-YTD'!$C$4:$N$300,MATCH($C55,'Input 3_2019CUST-YTD'!$S$4:$S$300,0),MATCH(U$2,'Input 3_2019CUST-YTD'!$C$1:$N$1,0)),0)</f>
        <v>612.88160606060603</v>
      </c>
      <c r="V55" s="5">
        <f>IFERROR(INDEX('Input 3.1_2019VOL-YTD'!$C$4:$N$300, MATCH($C55,'Input 3.1_2019VOL-YTD'!$R$4:$R$300,0),MATCH(V$2,'Input 3.1_2019VOL-YTD'!$C$1:$N$1,0))/INDEX('Input 3_2019CUST-YTD'!$C$4:$N$300,MATCH($C55,'Input 3_2019CUST-YTD'!$S$4:$S$300,0),MATCH(V$2,'Input 3_2019CUST-YTD'!$C$1:$N$1,0)),0)</f>
        <v>608.27673652694614</v>
      </c>
      <c r="W55" s="5">
        <f>IFERROR(INDEX('Input 3.1_2019VOL-YTD'!$C$4:$N$300, MATCH($C55,'Input 3.1_2019VOL-YTD'!$R$4:$R$300,0),MATCH(W$2,'Input 3.1_2019VOL-YTD'!$C$1:$N$1,0))/INDEX('Input 3_2019CUST-YTD'!$C$4:$N$300,MATCH($C55,'Input 3_2019CUST-YTD'!$S$4:$S$300,0),MATCH(W$2,'Input 3_2019CUST-YTD'!$C$1:$N$1,0)),0)</f>
        <v>591.96419161676647</v>
      </c>
      <c r="X55" s="5">
        <f>IFERROR(INDEX('Input 3.1_2019VOL-YTD'!$C$4:$N$300, MATCH($C55,'Input 3.1_2019VOL-YTD'!$R$4:$R$300,0),MATCH(X$2,'Input 3.1_2019VOL-YTD'!$C$1:$N$1,0))/INDEX('Input 3_2019CUST-YTD'!$C$4:$N$300,MATCH($C55,'Input 3_2019CUST-YTD'!$S$4:$S$300,0),MATCH(X$2,'Input 3_2019CUST-YTD'!$C$1:$N$1,0)),0)</f>
        <v>617.1692424242425</v>
      </c>
      <c r="Y55" s="5">
        <f>IFERROR(INDEX('Input 3.1_2019VOL-YTD'!$C$4:$N$300, MATCH($C55,'Input 3.1_2019VOL-YTD'!$R$4:$R$300,0),MATCH(Y$2,'Input 3.1_2019VOL-YTD'!$C$1:$N$1,0))/INDEX('Input 3_2019CUST-YTD'!$C$4:$N$300,MATCH($C55,'Input 3_2019CUST-YTD'!$S$4:$S$300,0),MATCH(Y$2,'Input 3_2019CUST-YTD'!$C$1:$N$1,0)),0)</f>
        <v>519.88157099697878</v>
      </c>
      <c r="Z55" s="5">
        <f>IFERROR(INDEX('Input 3.1_2019VOL-YTD'!$C$4:$N$300, MATCH($C55,'Input 3.1_2019VOL-YTD'!$R$4:$R$300,0),MATCH(Z$2,'Input 3.1_2019VOL-YTD'!$C$1:$N$1,0))/INDEX('Input 3_2019CUST-YTD'!$C$4:$N$300,MATCH($C55,'Input 3_2019CUST-YTD'!$S$4:$S$300,0),MATCH(Z$2,'Input 3_2019CUST-YTD'!$C$1:$N$1,0)),0)</f>
        <v>524.94117824773411</v>
      </c>
      <c r="AA55" s="5">
        <f>IFERROR(INDEX('Input 3.1_2019VOL-YTD'!$C$4:$N$300, MATCH($C55,'Input 3.1_2019VOL-YTD'!$R$4:$R$300,0),MATCH(AA$2,'Input 3.1_2019VOL-YTD'!$C$1:$N$1,0))/INDEX('Input 3_2019CUST-YTD'!$C$4:$N$300,MATCH($C55,'Input 3_2019CUST-YTD'!$S$4:$S$300,0),MATCH(AA$2,'Input 3_2019CUST-YTD'!$C$1:$N$1,0)),0)</f>
        <v>561.65498480243161</v>
      </c>
      <c r="AB55" s="5">
        <f>IFERROR(INDEX('Input 3.1_2019VOL-YTD'!$C$4:$N$300, MATCH($C55,'Input 3.1_2019VOL-YTD'!$R$4:$R$300,0),MATCH(AB$2,'Input 3.1_2019VOL-YTD'!$C$1:$N$1,0))/INDEX('Input 3_2019CUST-YTD'!$C$4:$N$300,MATCH($C55,'Input 3_2019CUST-YTD'!$S$4:$S$300,0),MATCH(AB$2,'Input 3_2019CUST-YTD'!$C$1:$N$1,0)),0)</f>
        <v>540.05984802431612</v>
      </c>
      <c r="AC55" s="5">
        <f>IFERROR(INDEX('Input 3.1_2019VOL-YTD'!$C$4:$N$300, MATCH($C55,'Input 3.1_2019VOL-YTD'!$R$4:$R$300,0),MATCH(AC$2,'Input 3.1_2019VOL-YTD'!$C$1:$N$1,0))/INDEX('Input 3_2019CUST-YTD'!$C$4:$N$300,MATCH($C55,'Input 3_2019CUST-YTD'!$S$4:$S$300,0),MATCH(AC$2,'Input 3_2019CUST-YTD'!$C$1:$N$1,0)),0)</f>
        <v>580.77174311926603</v>
      </c>
      <c r="AD55" s="5">
        <f>IFERROR(INDEX('Input 3.1_2019VOL-YTD'!$C$4:$N$300, MATCH($C55,'Input 3.1_2019VOL-YTD'!$R$4:$R$300,0),MATCH(AD$2,'Input 3.1_2019VOL-YTD'!$C$1:$N$1,0))/INDEX('Input 3_2019CUST-YTD'!$C$4:$N$300,MATCH($C55,'Input 3_2019CUST-YTD'!$S$4:$S$300,0),MATCH(AD$2,'Input 3_2019CUST-YTD'!$C$1:$N$1,0)),0)</f>
        <v>662.74546546546549</v>
      </c>
      <c r="AE55" s="272">
        <f t="shared" si="16"/>
        <v>686.50954407294842</v>
      </c>
      <c r="AF55" s="261">
        <f t="shared" si="17"/>
        <v>2</v>
      </c>
      <c r="AH55" s="262">
        <f>IFERROR(INDEX('Input 4.1_2020VOL-YTD'!$C$4:$O$300, MATCH($C55,'Input 4.1_2020VOL-YTD'!$R$4:$R$300,0),MATCH(AH$2,'Input 4.1_2020VOL-YTD'!$C$1:$O$1,0))/INDEX('Input 4_2020CUST-YTD'!$C$4:O$300,MATCH($C55,'Input 4_2020CUST-YTD'!$S$4:$S$300,0),MATCH(AH$2,'Input 4_2020CUST-YTD'!$C$1:$O$1,0)),0)</f>
        <v>749.22169642857136</v>
      </c>
      <c r="AI55" s="262">
        <f>IFERROR(INDEX('Input 4.1_2020VOL-YTD'!$C$4:$O$300, MATCH($C55,'Input 4.1_2020VOL-YTD'!$R$4:$R$300,0),MATCH(AI$2,'Input 4.1_2020VOL-YTD'!$C$1:$O$1,0))/INDEX('Input 4_2020CUST-YTD'!$C$4:P$300,MATCH($C55,'Input 4_2020CUST-YTD'!$S$4:$S$300,0),MATCH(AI$2,'Input 4_2020CUST-YTD'!$C$1:$O$1,0)),0)</f>
        <v>587.53976261127593</v>
      </c>
      <c r="AJ55" s="262">
        <f>IFERROR(INDEX('Input 4.1_2020VOL-YTD'!$C$4:$O$300, MATCH($C55,'Input 4.1_2020VOL-YTD'!$R$4:$R$300,0),MATCH(AJ$2,'Input 4.1_2020VOL-YTD'!$C$1:$O$1,0))/INDEX('Input 4_2020CUST-YTD'!$C$4:Q$300,MATCH($C55,'Input 4_2020CUST-YTD'!$S$4:$S$300,0),MATCH(AJ$2,'Input 4_2020CUST-YTD'!$C$1:$O$1,0)),0)</f>
        <v>594.84437869822489</v>
      </c>
      <c r="AK55" s="262">
        <f>IFERROR(INDEX('Input 4.1_2020VOL-YTD'!$C$4:$O$300, MATCH($C55,'Input 4.1_2020VOL-YTD'!$R$4:$R$300,0),MATCH(AK$2,'Input 4.1_2020VOL-YTD'!$C$1:$O$1,0))/INDEX('Input 4_2020CUST-YTD'!$C$4:R$300,MATCH($C55,'Input 4_2020CUST-YTD'!$S$4:$S$300,0),MATCH(AK$2,'Input 4_2020CUST-YTD'!$C$1:$O$1,0)),0)</f>
        <v>423.71890207715131</v>
      </c>
      <c r="AL55" s="262">
        <f>IFERROR(INDEX('Input 4.1_2020VOL-YTD'!$C$4:$O$300, MATCH($C55,'Input 4.1_2020VOL-YTD'!$R$4:$R$300,0),MATCH(AL$2,'Input 4.1_2020VOL-YTD'!$C$1:$O$1,0))/INDEX('Input 4_2020CUST-YTD'!$C$4:S$300,MATCH($C55,'Input 4_2020CUST-YTD'!$S$4:$S$300,0),MATCH(AL$2,'Input 4_2020CUST-YTD'!$C$1:$O$1,0)),0)</f>
        <v>451.64139465875371</v>
      </c>
      <c r="AM55" s="262">
        <f>IFERROR(INDEX('Input 4.1_2020VOL-YTD'!$C$4:$O$300, MATCH($C55,'Input 4.1_2020VOL-YTD'!$R$4:$R$300,0),MATCH(AM$2,'Input 4.1_2020VOL-YTD'!$C$1:$O$1,0))/INDEX('Input 4_2020CUST-YTD'!$C$4:T$300,MATCH($C55,'Input 4_2020CUST-YTD'!$S$4:$S$300,0),MATCH(AM$2,'Input 4_2020CUST-YTD'!$C$1:$O$1,0)),0)</f>
        <v>488.87827380952382</v>
      </c>
      <c r="AN55" s="262">
        <f>IFERROR(INDEX('Input 4.1_2020VOL-YTD'!$C$4:$O$300, MATCH($C55,'Input 4.1_2020VOL-YTD'!$R$4:$R$300,0),MATCH(AN$2,'Input 4.1_2020VOL-YTD'!$C$1:$O$1,0))/INDEX('Input 4_2020CUST-YTD'!$C$4:U$300,MATCH($C55,'Input 4_2020CUST-YTD'!$S$4:$S$300,0),MATCH(AN$2,'Input 4_2020CUST-YTD'!$C$1:$O$1,0)),0)</f>
        <v>518.98997005988019</v>
      </c>
      <c r="AO55" s="262">
        <f>IFERROR(INDEX('Input 4.1_2020VOL-YTD'!$C$4:$O$300, MATCH($C55,'Input 4.1_2020VOL-YTD'!$R$4:$R$300,0),MATCH(AO$2,'Input 4.1_2020VOL-YTD'!$C$1:$O$1,0))/INDEX('Input 4_2020CUST-YTD'!$C$4:V$300,MATCH($C55,'Input 4_2020CUST-YTD'!$S$4:$S$300,0),MATCH(AO$2,'Input 4_2020CUST-YTD'!$C$1:$O$1,0)),0)</f>
        <v>491.04738235294116</v>
      </c>
      <c r="AP55" s="262">
        <f>IFERROR(INDEX('Input 4.1_2020VOL-YTD'!$C$4:$O$300, MATCH($C55,'Input 4.1_2020VOL-YTD'!$R$4:$R$300,0),MATCH(AP$2,'Input 4.1_2020VOL-YTD'!$C$1:$O$1,0))/INDEX('Input 4_2020CUST-YTD'!$C$4:W$300,MATCH($C55,'Input 4_2020CUST-YTD'!$S$4:$S$300,0),MATCH(AP$2,'Input 4_2020CUST-YTD'!$C$1:$O$1,0)),0)</f>
        <v>500.51808383233538</v>
      </c>
      <c r="AQ55" s="262">
        <f>IFERROR(INDEX('Input 4.1_2020VOL-YTD'!$C$4:$O$300, MATCH($C55,'Input 4.1_2020VOL-YTD'!$R$4:$R$300,0),MATCH(AQ$2,'Input 4.1_2020VOL-YTD'!$C$1:$O$1,0))/INDEX('Input 4_2020CUST-YTD'!$C$4:X$300,MATCH($C55,'Input 4_2020CUST-YTD'!$S$4:$S$300,0),MATCH(AQ$2,'Input 4_2020CUST-YTD'!$C$1:$O$1,0)),0)</f>
        <v>502.17452662721888</v>
      </c>
      <c r="AR55" s="262">
        <f>IFERROR(INDEX('Input 4.1_2020VOL-YTD'!$C$4:$O$300, MATCH($C55,'Input 4.1_2020VOL-YTD'!$R$4:$R$300,0),MATCH(AR$2,'Input 4.1_2020VOL-YTD'!$C$1:$O$1,0))/INDEX('Input 4_2020CUST-YTD'!$C$4:Y$300,MATCH($C55,'Input 4_2020CUST-YTD'!$S$4:$S$300,0),MATCH(AR$2,'Input 4_2020CUST-YTD'!$C$1:$O$1,0)),0)</f>
        <v>557.43913173652697</v>
      </c>
      <c r="AS55" s="262">
        <f>IFERROR(INDEX('Input 4.1_2020VOL-YTD'!$C$4:$O$300, MATCH($C55,'Input 4.1_2020VOL-YTD'!$R$4:$R$300,0),MATCH(AS$2,'Input 4.1_2020VOL-YTD'!$C$1:$O$1,0))/INDEX('Input 4_2020CUST-YTD'!$C$4:Z$300,MATCH($C55,'Input 4_2020CUST-YTD'!$S$4:$S$300,0),MATCH(AS$2,'Input 4_2020CUST-YTD'!$C$1:$O$1,0)),0)</f>
        <v>645.19180722891565</v>
      </c>
      <c r="AT55" s="190">
        <f t="shared" si="14"/>
        <v>749.22169642857136</v>
      </c>
      <c r="AU55" s="261">
        <f t="shared" si="15"/>
        <v>1</v>
      </c>
      <c r="AW55" s="1">
        <f>IFERROR(INDEX('Input 5.1_2021VOL-YTD'!$C$3:$N$150, MATCH($C55,'Input 5.1_2021VOL-YTD'!$R$3:$R$150,0),MATCH(AW$2,'Input 5.1_2021VOL-YTD'!$C$1:$N$1,0))/INDEX('Input 5_2021CUST-YTD'!$C$3:$N$150,MATCH($C55,'Input 5_2021CUST-YTD'!$S$3:$S$150,0),MATCH(AW$2,'Input 5_2021CUST-YTD'!$C$1:$N$1,0)),0)</f>
        <v>691.97423880597012</v>
      </c>
      <c r="AX55" s="1">
        <f>IFERROR(INDEX('Input 5.1_2021VOL-YTD'!$C$3:$N$150, MATCH($C55,'Input 5.1_2021VOL-YTD'!$R$3:$R$150,0),MATCH(AX$2,'Input 5.1_2021VOL-YTD'!$C$1:$N$1,0))/INDEX('Input 5_2021CUST-YTD'!$C$3:$N$150,MATCH($C55,'Input 5_2021CUST-YTD'!$S$3:$S$150,0),MATCH(AX$2,'Input 5_2021CUST-YTD'!$C$1:$N$1,0)),0)</f>
        <v>565.8200595238095</v>
      </c>
      <c r="AY55" s="1">
        <f>IFERROR(INDEX('Input 5.1_2021VOL-YTD'!$C$3:$N$150, MATCH($C55,'Input 5.1_2021VOL-YTD'!$R$3:$R$150,0),MATCH(AY$2,'Input 5.1_2021VOL-YTD'!$C$1:$N$1,0))/INDEX('Input 5_2021CUST-YTD'!$C$3:$N$150,MATCH($C55,'Input 5_2021CUST-YTD'!$S$3:$S$150,0),MATCH(AY$2,'Input 5_2021CUST-YTD'!$C$1:$N$1,0)),0)</f>
        <v>607.06857566765575</v>
      </c>
      <c r="AZ55" s="1">
        <f>IFERROR(INDEX('Input 5.1_2021VOL-YTD'!$C$3:$N$150, MATCH($C55,'Input 5.1_2021VOL-YTD'!$R$3:$R$150,0),MATCH(AZ$2,'Input 5.1_2021VOL-YTD'!$C$1:$N$1,0))/INDEX('Input 5_2021CUST-YTD'!$C$3:$N$150,MATCH($C55,'Input 5_2021CUST-YTD'!$S$3:$S$150,0),MATCH(AZ$2,'Input 5_2021CUST-YTD'!$C$1:$N$1,0)),0)</f>
        <v>669.53032934131738</v>
      </c>
      <c r="BA55" s="1">
        <f>IFERROR(INDEX('Input 5.1_2021VOL-YTD'!$C$3:$N$150, MATCH($C55,'Input 5.1_2021VOL-YTD'!$R$3:$R$150,0),MATCH(BA$2,'Input 5.1_2021VOL-YTD'!$C$1:$N$1,0))/INDEX('Input 5_2021CUST-YTD'!$C$3:$N$150,MATCH($C55,'Input 5_2021CUST-YTD'!$S$3:$S$150,0),MATCH(BA$2,'Input 5_2021CUST-YTD'!$C$1:$N$1,0)),0)</f>
        <v>554.85078078078072</v>
      </c>
      <c r="BB55" s="1">
        <f>IFERROR(INDEX('Input 5.1_2021VOL-YTD'!$C$3:$N$150, MATCH($C55,'Input 5.1_2021VOL-YTD'!$R$3:$R$150,0),MATCH(BB$2,'Input 5.1_2021VOL-YTD'!$C$1:$N$1,0))/INDEX('Input 5_2021CUST-YTD'!$C$3:$N$150,MATCH($C55,'Input 5_2021CUST-YTD'!$S$3:$S$150,0),MATCH(BB$2,'Input 5_2021CUST-YTD'!$C$1:$N$1,0)),0)</f>
        <v>548.19528358208959</v>
      </c>
      <c r="BC55" s="1">
        <f>IFERROR(INDEX('Input 5.1_2021VOL-YTD'!$C$3:$N$150, MATCH($C55,'Input 5.1_2021VOL-YTD'!$R$3:$R$150,0),MATCH(BC$2,'Input 5.1_2021VOL-YTD'!$C$1:$N$1,0))/INDEX('Input 5_2021CUST-YTD'!$C$3:$N$150,MATCH($C55,'Input 5_2021CUST-YTD'!$S$3:$S$150,0),MATCH(BC$2,'Input 5_2021CUST-YTD'!$C$1:$N$1,0)),0)</f>
        <v>567.29567073170733</v>
      </c>
      <c r="BD55" s="1">
        <f>IFERROR(INDEX('Input 5.1_2021VOL-YTD'!$C$3:$N$150, MATCH($C55,'Input 5.1_2021VOL-YTD'!$R$3:$R$150,0),MATCH(BD$2,'Input 5.1_2021VOL-YTD'!$C$1:$N$1,0))/INDEX('Input 5_2021CUST-YTD'!$C$3:$N$150,MATCH($C55,'Input 5_2021CUST-YTD'!$S$3:$S$150,0),MATCH(BD$2,'Input 5_2021CUST-YTD'!$C$1:$N$1,0)),0)</f>
        <v>539.77921212121214</v>
      </c>
      <c r="BE55" s="1">
        <f>IFERROR(INDEX('Input 5.1_2021VOL-YTD'!$C$3:$N$150, MATCH($C55,'Input 5.1_2021VOL-YTD'!$R$3:$R$150,0),MATCH(BE$2,'Input 5.1_2021VOL-YTD'!$C$1:$N$1,0))/INDEX('Input 5_2021CUST-YTD'!$C$3:$N$150,MATCH($C55,'Input 5_2021CUST-YTD'!$S$3:$S$150,0),MATCH(BE$2,'Input 5_2021CUST-YTD'!$C$1:$N$1,0)),0)</f>
        <v>559.13750750750751</v>
      </c>
      <c r="BF55" s="1">
        <f>IFERROR(INDEX('Input 5.1_2021VOL-YTD'!$C$3:$N$150, MATCH($C55,'Input 5.1_2021VOL-YTD'!$R$3:$R$150,0),MATCH(BF$2,'Input 5.1_2021VOL-YTD'!$C$1:$N$1,0))/INDEX('Input 5_2021CUST-YTD'!$C$3:$N$150,MATCH($C55,'Input 5_2021CUST-YTD'!$S$3:$S$150,0),MATCH(BF$2,'Input 5_2021CUST-YTD'!$C$1:$N$1,0)),0)</f>
        <v>545.4712688821752</v>
      </c>
      <c r="BG55" s="1">
        <f>IFERROR(INDEX('Input 5.1_2021VOL-YTD'!$C$3:$N$150, MATCH($C55,'Input 5.1_2021VOL-YTD'!$R$3:$R$150,0),MATCH(BG$2,'Input 5.1_2021VOL-YTD'!$C$1:$N$1,0))/INDEX('Input 5_2021CUST-YTD'!$C$3:$N$150,MATCH($C55,'Input 5_2021CUST-YTD'!$S$3:$S$150,0),MATCH(BG$2,'Input 5_2021CUST-YTD'!$C$1:$N$1,0)),0)</f>
        <v>552.09903323262836</v>
      </c>
      <c r="BH55" s="1">
        <f>IFERROR(INDEX('Input 5.1_2021VOL-YTD'!$C$3:$N$150, MATCH($C55,'Input 5.1_2021VOL-YTD'!$R$3:$R$150,0),MATCH(BH$2,'Input 5.1_2021VOL-YTD'!$C$1:$N$1,0))/INDEX('Input 5_2021CUST-YTD'!$C$3:$N$150,MATCH($C55,'Input 5_2021CUST-YTD'!$S$3:$S$150,0),MATCH(BH$2,'Input 5_2021CUST-YTD'!$C$1:$N$1,0)),0)</f>
        <v>725.86706231454014</v>
      </c>
      <c r="BI55" s="190">
        <f t="shared" si="7"/>
        <v>725.86706231454014</v>
      </c>
      <c r="BJ55" s="261">
        <f t="shared" si="8"/>
        <v>12</v>
      </c>
    </row>
    <row r="56" spans="1:62">
      <c r="A56" s="261" t="s">
        <v>1245</v>
      </c>
      <c r="B56" s="261" t="s">
        <v>17</v>
      </c>
      <c r="C56" s="261" t="s">
        <v>66</v>
      </c>
      <c r="D56" s="5">
        <f>IFERROR(INDEX('Input 16.1_2018VOL-YTD'!$C$4:$N$300, MATCH($C56,'Input 16.1_2018VOL-YTD'!$R$4:$R$300,0),MATCH(D$2,'Input 16.1_2018VOL-YTD'!$C$1:$N$1,0))/INDEX('Input 16_2018CUST-YTD'!$D$4:$O$300,MATCH($C56,'Input 16_2018CUST-YTD'!$S$4:$S$300,0),MATCH(D$2,'Input 16_2018CUST-YTD'!$C$1:$O$1,0)),0)</f>
        <v>1587.3217258883249</v>
      </c>
      <c r="E56" s="5">
        <f>IFERROR(INDEX('Input 16.1_2018VOL-YTD'!$C$4:$N$300, MATCH($C56,'Input 16.1_2018VOL-YTD'!$R$4:$R$300,0),MATCH(E$2,'Input 16.1_2018VOL-YTD'!$C$1:$N$1,0))/INDEX('Input 16_2018CUST-YTD'!$D$4:$O$300,MATCH($C56,'Input 16_2018CUST-YTD'!$S$4:$S$300,0),MATCH(E$2,'Input 16_2018CUST-YTD'!$C$1:$O$1,0)),0)</f>
        <v>1369.8141000000001</v>
      </c>
      <c r="F56" s="5">
        <f>IFERROR(INDEX('Input 16.1_2018VOL-YTD'!$C$4:$N$300, MATCH($C56,'Input 16.1_2018VOL-YTD'!$R$4:$R$300,0),MATCH(F$2,'Input 16.1_2018VOL-YTD'!$C$1:$N$1,0))/INDEX('Input 16_2018CUST-YTD'!$D$4:$O$300,MATCH($C56,'Input 16_2018CUST-YTD'!$S$4:$S$300,0),MATCH(F$2,'Input 16_2018CUST-YTD'!$C$1:$O$1,0)),0)</f>
        <v>1291.2450980392157</v>
      </c>
      <c r="G56" s="5">
        <f>IFERROR(INDEX('Input 16.1_2018VOL-YTD'!$C$4:$N$300, MATCH($C56,'Input 16.1_2018VOL-YTD'!$R$4:$R$300,0),MATCH(G$2,'Input 16.1_2018VOL-YTD'!$C$1:$N$1,0))/INDEX('Input 16_2018CUST-YTD'!$D$4:$O$300,MATCH($C56,'Input 16_2018CUST-YTD'!$S$4:$S$300,0),MATCH(G$2,'Input 16_2018CUST-YTD'!$C$1:$O$1,0)),0)</f>
        <v>1491.3239215686276</v>
      </c>
      <c r="H56" s="5">
        <f>IFERROR(INDEX('Input 16.1_2018VOL-YTD'!$C$4:$N$300, MATCH($C56,'Input 16.1_2018VOL-YTD'!$R$4:$R$300,0),MATCH(H$2,'Input 16.1_2018VOL-YTD'!$C$1:$N$1,0))/INDEX('Input 16_2018CUST-YTD'!$D$4:$O$300,MATCH($C56,'Input 16_2018CUST-YTD'!$S$4:$S$300,0),MATCH(H$2,'Input 16_2018CUST-YTD'!$C$1:$O$1,0)),0)</f>
        <v>1094.835512195122</v>
      </c>
      <c r="I56" s="5">
        <f>IFERROR(INDEX('Input 16.1_2018VOL-YTD'!$C$4:$N$300, MATCH($C56,'Input 16.1_2018VOL-YTD'!$R$4:$R$300,0),MATCH(I$2,'Input 16.1_2018VOL-YTD'!$C$1:$N$1,0))/INDEX('Input 16_2018CUST-YTD'!$D$4:$O$300,MATCH($C56,'Input 16_2018CUST-YTD'!$S$4:$S$300,0),MATCH(I$2,'Input 16_2018CUST-YTD'!$C$1:$O$1,0)),0)</f>
        <v>1186.7355609756098</v>
      </c>
      <c r="J56" s="5">
        <f>IFERROR(INDEX('Input 16.1_2018VOL-YTD'!$C$4:$N$300, MATCH($C56,'Input 16.1_2018VOL-YTD'!$R$4:$R$300,0),MATCH(J$2,'Input 16.1_2018VOL-YTD'!$C$1:$N$1,0))/INDEX('Input 16_2018CUST-YTD'!$D$4:$O$300,MATCH($C56,'Input 16_2018CUST-YTD'!$S$4:$S$300,0),MATCH(J$2,'Input 16_2018CUST-YTD'!$C$1:$O$1,0)),0)</f>
        <v>1015.3073170731707</v>
      </c>
      <c r="K56" s="5">
        <f>IFERROR(INDEX('Input 16.1_2018VOL-YTD'!$C$4:$N$300, MATCH($C56,'Input 16.1_2018VOL-YTD'!$R$4:$R$300,0),MATCH(K$2,'Input 16.1_2018VOL-YTD'!$C$1:$N$1,0))/INDEX('Input 16_2018CUST-YTD'!$D$4:$O$300,MATCH($C56,'Input 16_2018CUST-YTD'!$S$4:$S$300,0),MATCH(K$2,'Input 16_2018CUST-YTD'!$C$1:$O$1,0)),0)</f>
        <v>1008.3292233009709</v>
      </c>
      <c r="L56" s="5">
        <f>IFERROR(INDEX('Input 16.1_2018VOL-YTD'!$C$4:$N$300, MATCH($C56,'Input 16.1_2018VOL-YTD'!$R$4:$R$300,0),MATCH(L$2,'Input 16.1_2018VOL-YTD'!$C$1:$N$1,0))/INDEX('Input 16_2018CUST-YTD'!$D$4:$O$300,MATCH($C56,'Input 16_2018CUST-YTD'!$S$4:$S$300,0),MATCH(L$2,'Input 16_2018CUST-YTD'!$C$1:$O$1,0)),0)</f>
        <v>1089.2622058823529</v>
      </c>
      <c r="M56" s="5">
        <f>IFERROR(INDEX('Input 16.1_2018VOL-YTD'!$C$4:$N$300, MATCH($C56,'Input 16.1_2018VOL-YTD'!$R$4:$R$300,0),MATCH(M$2,'Input 16.1_2018VOL-YTD'!$C$1:$N$1,0))/INDEX('Input 16_2018CUST-YTD'!$D$4:$O$300,MATCH($C56,'Input 16_2018CUST-YTD'!$S$4:$S$300,0),MATCH(M$2,'Input 16_2018CUST-YTD'!$C$1:$O$1,0)),0)</f>
        <v>1116.063024390244</v>
      </c>
      <c r="N56" s="5">
        <f>IFERROR(INDEX('Input 16.1_2018VOL-YTD'!$C$4:$N$300, MATCH($C56,'Input 16.1_2018VOL-YTD'!$R$4:$R$300,0),MATCH(N$2,'Input 16.1_2018VOL-YTD'!$C$1:$N$1,0))/INDEX('Input 16_2018CUST-YTD'!$D$4:$O$300,MATCH($C56,'Input 16_2018CUST-YTD'!$S$4:$S$300,0),MATCH(N$2,'Input 16_2018CUST-YTD'!$C$1:$O$1,0)),0)</f>
        <v>1324.7564903846153</v>
      </c>
      <c r="O56" s="5">
        <f>IFERROR(INDEX('Input 16.1_2018VOL-YTD'!$C$4:$N$300, MATCH($C56,'Input 16.1_2018VOL-YTD'!$R$4:$R$300,0),MATCH(O$2,'Input 16.1_2018VOL-YTD'!$C$1:$N$1,0))/INDEX('Input 16_2018CUST-YTD'!$D$4:$O$300,MATCH($C56,'Input 16_2018CUST-YTD'!$S$4:$S$300,0),MATCH(O$2,'Input 16_2018CUST-YTD'!$C$1:$O$1,0)),0)</f>
        <v>1544.6252950819671</v>
      </c>
      <c r="P56" s="271">
        <f t="shared" si="1"/>
        <v>1587.3217258883249</v>
      </c>
      <c r="Q56" s="261">
        <f t="shared" si="2"/>
        <v>1</v>
      </c>
      <c r="S56" s="5">
        <f>IFERROR(INDEX('Input 3.1_2019VOL-YTD'!$C$4:$N$300, MATCH($C56,'Input 3.1_2019VOL-YTD'!$R$4:$R$300,0),MATCH(S$2,'Input 3.1_2019VOL-YTD'!$C$1:$N$1,0))/INDEX('Input 3_2019CUST-YTD'!$C$4:$N$300,MATCH($C56,'Input 3_2019CUST-YTD'!$S$4:$S$300,0),MATCH(S$2,'Input 3_2019CUST-YTD'!$C$1:$N$1,0)),0)</f>
        <v>1551.3023557692309</v>
      </c>
      <c r="T56" s="5">
        <f>IFERROR(INDEX('Input 3.1_2019VOL-YTD'!$C$4:$N$300, MATCH($C56,'Input 3.1_2019VOL-YTD'!$R$4:$R$300,0),MATCH(T$2,'Input 3.1_2019VOL-YTD'!$C$1:$N$1,0))/INDEX('Input 3_2019CUST-YTD'!$C$4:$N$300,MATCH($C56,'Input 3_2019CUST-YTD'!$S$4:$S$300,0),MATCH(T$2,'Input 3_2019CUST-YTD'!$C$1:$N$1,0)),0)</f>
        <v>1483.8792307692308</v>
      </c>
      <c r="U56" s="5">
        <f>IFERROR(INDEX('Input 3.1_2019VOL-YTD'!$C$4:$N$300, MATCH($C56,'Input 3.1_2019VOL-YTD'!$R$4:$R$300,0),MATCH(U$2,'Input 3.1_2019VOL-YTD'!$C$1:$N$1,0))/INDEX('Input 3_2019CUST-YTD'!$C$4:$N$300,MATCH($C56,'Input 3_2019CUST-YTD'!$S$4:$S$300,0),MATCH(U$2,'Input 3_2019CUST-YTD'!$C$1:$N$1,0)),0)</f>
        <v>1342.1235096153846</v>
      </c>
      <c r="V56" s="5">
        <f>IFERROR(INDEX('Input 3.1_2019VOL-YTD'!$C$4:$N$300, MATCH($C56,'Input 3.1_2019VOL-YTD'!$R$4:$R$300,0),MATCH(V$2,'Input 3.1_2019VOL-YTD'!$C$1:$N$1,0))/INDEX('Input 3_2019CUST-YTD'!$C$4:$N$300,MATCH($C56,'Input 3_2019CUST-YTD'!$S$4:$S$300,0),MATCH(V$2,'Input 3_2019CUST-YTD'!$C$1:$N$1,0)),0)</f>
        <v>1334.0336792452831</v>
      </c>
      <c r="W56" s="5">
        <f>IFERROR(INDEX('Input 3.1_2019VOL-YTD'!$C$4:$N$300, MATCH($C56,'Input 3.1_2019VOL-YTD'!$R$4:$R$300,0),MATCH(W$2,'Input 3.1_2019VOL-YTD'!$C$1:$N$1,0))/INDEX('Input 3_2019CUST-YTD'!$C$4:$N$300,MATCH($C56,'Input 3_2019CUST-YTD'!$S$4:$S$300,0),MATCH(W$2,'Input 3_2019CUST-YTD'!$C$1:$N$1,0)),0)</f>
        <v>1185.3595673076923</v>
      </c>
      <c r="X56" s="5">
        <f>IFERROR(INDEX('Input 3.1_2019VOL-YTD'!$C$4:$N$300, MATCH($C56,'Input 3.1_2019VOL-YTD'!$R$4:$R$300,0),MATCH(X$2,'Input 3.1_2019VOL-YTD'!$C$1:$N$1,0))/INDEX('Input 3_2019CUST-YTD'!$C$4:$N$300,MATCH($C56,'Input 3_2019CUST-YTD'!$S$4:$S$300,0),MATCH(X$2,'Input 3_2019CUST-YTD'!$C$1:$N$1,0)),0)</f>
        <v>1116.7902380952382</v>
      </c>
      <c r="Y56" s="5">
        <f>IFERROR(INDEX('Input 3.1_2019VOL-YTD'!$C$4:$N$300, MATCH($C56,'Input 3.1_2019VOL-YTD'!$R$4:$R$300,0),MATCH(Y$2,'Input 3.1_2019VOL-YTD'!$C$1:$N$1,0))/INDEX('Input 3_2019CUST-YTD'!$C$4:$N$300,MATCH($C56,'Input 3_2019CUST-YTD'!$S$4:$S$300,0),MATCH(Y$2,'Input 3_2019CUST-YTD'!$C$1:$N$1,0)),0)</f>
        <v>1061.5664928909953</v>
      </c>
      <c r="Z56" s="5">
        <f>IFERROR(INDEX('Input 3.1_2019VOL-YTD'!$C$4:$N$300, MATCH($C56,'Input 3.1_2019VOL-YTD'!$R$4:$R$300,0),MATCH(Z$2,'Input 3.1_2019VOL-YTD'!$C$1:$N$1,0))/INDEX('Input 3_2019CUST-YTD'!$C$4:$N$300,MATCH($C56,'Input 3_2019CUST-YTD'!$S$4:$S$300,0),MATCH(Z$2,'Input 3_2019CUST-YTD'!$C$1:$N$1,0)),0)</f>
        <v>928.88390697674424</v>
      </c>
      <c r="AA56" s="5">
        <f>IFERROR(INDEX('Input 3.1_2019VOL-YTD'!$C$4:$N$300, MATCH($C56,'Input 3.1_2019VOL-YTD'!$R$4:$R$300,0),MATCH(AA$2,'Input 3.1_2019VOL-YTD'!$C$1:$N$1,0))/INDEX('Input 3_2019CUST-YTD'!$C$4:$N$300,MATCH($C56,'Input 3_2019CUST-YTD'!$S$4:$S$300,0),MATCH(AA$2,'Input 3_2019CUST-YTD'!$C$1:$N$1,0)),0)</f>
        <v>1052.671142857143</v>
      </c>
      <c r="AB56" s="5">
        <f>IFERROR(INDEX('Input 3.1_2019VOL-YTD'!$C$4:$N$300, MATCH($C56,'Input 3.1_2019VOL-YTD'!$R$4:$R$300,0),MATCH(AB$2,'Input 3.1_2019VOL-YTD'!$C$1:$N$1,0))/INDEX('Input 3_2019CUST-YTD'!$C$4:$N$300,MATCH($C56,'Input 3_2019CUST-YTD'!$S$4:$S$300,0),MATCH(AB$2,'Input 3_2019CUST-YTD'!$C$1:$N$1,0)),0)</f>
        <v>1109.9722641509434</v>
      </c>
      <c r="AC56" s="5">
        <f>IFERROR(INDEX('Input 3.1_2019VOL-YTD'!$C$4:$N$300, MATCH($C56,'Input 3.1_2019VOL-YTD'!$R$4:$R$300,0),MATCH(AC$2,'Input 3.1_2019VOL-YTD'!$C$1:$N$1,0))/INDEX('Input 3_2019CUST-YTD'!$C$4:$N$300,MATCH($C56,'Input 3_2019CUST-YTD'!$S$4:$S$300,0),MATCH(AC$2,'Input 3_2019CUST-YTD'!$C$1:$N$1,0)),0)</f>
        <v>1315.1052380952381</v>
      </c>
      <c r="AD56" s="5">
        <f>IFERROR(INDEX('Input 3.1_2019VOL-YTD'!$C$4:$N$300, MATCH($C56,'Input 3.1_2019VOL-YTD'!$R$4:$R$300,0),MATCH(AD$2,'Input 3.1_2019VOL-YTD'!$C$1:$N$1,0))/INDEX('Input 3_2019CUST-YTD'!$C$4:$N$300,MATCH($C56,'Input 3_2019CUST-YTD'!$S$4:$S$300,0),MATCH(AD$2,'Input 3_2019CUST-YTD'!$C$1:$N$1,0)),0)</f>
        <v>1651.1330476190476</v>
      </c>
      <c r="AE56" s="272">
        <f t="shared" si="16"/>
        <v>1651.1330476190476</v>
      </c>
      <c r="AF56" s="261">
        <f t="shared" si="17"/>
        <v>12</v>
      </c>
      <c r="AH56" s="262">
        <f>IFERROR(INDEX('Input 4.1_2020VOL-YTD'!$C$4:$O$300, MATCH($C56,'Input 4.1_2020VOL-YTD'!$R$4:$R$300,0),MATCH(AH$2,'Input 4.1_2020VOL-YTD'!$C$1:$O$1,0))/INDEX('Input 4_2020CUST-YTD'!$C$4:O$300,MATCH($C56,'Input 4_2020CUST-YTD'!$S$4:$S$300,0),MATCH(AH$2,'Input 4_2020CUST-YTD'!$C$1:$O$1,0)),0)</f>
        <v>1500.1405714285715</v>
      </c>
      <c r="AI56" s="262">
        <f>IFERROR(INDEX('Input 4.1_2020VOL-YTD'!$C$4:$O$300, MATCH($C56,'Input 4.1_2020VOL-YTD'!$R$4:$R$300,0),MATCH(AI$2,'Input 4.1_2020VOL-YTD'!$C$1:$O$1,0))/INDEX('Input 4_2020CUST-YTD'!$C$4:P$300,MATCH($C56,'Input 4_2020CUST-YTD'!$S$4:$S$300,0),MATCH(AI$2,'Input 4_2020CUST-YTD'!$C$1:$O$1,0)),0)</f>
        <v>1389.9821904761905</v>
      </c>
      <c r="AJ56" s="262">
        <f>IFERROR(INDEX('Input 4.1_2020VOL-YTD'!$C$4:$O$300, MATCH($C56,'Input 4.1_2020VOL-YTD'!$R$4:$R$300,0),MATCH(AJ$2,'Input 4.1_2020VOL-YTD'!$C$1:$O$1,0))/INDEX('Input 4_2020CUST-YTD'!$C$4:Q$300,MATCH($C56,'Input 4_2020CUST-YTD'!$S$4:$S$300,0),MATCH(AJ$2,'Input 4_2020CUST-YTD'!$C$1:$O$1,0)),0)</f>
        <v>1241.5514354066986</v>
      </c>
      <c r="AK56" s="262">
        <f>IFERROR(INDEX('Input 4.1_2020VOL-YTD'!$C$4:$O$300, MATCH($C56,'Input 4.1_2020VOL-YTD'!$R$4:$R$300,0),MATCH(AK$2,'Input 4.1_2020VOL-YTD'!$C$1:$O$1,0))/INDEX('Input 4_2020CUST-YTD'!$C$4:R$300,MATCH($C56,'Input 4_2020CUST-YTD'!$S$4:$S$300,0),MATCH(AK$2,'Input 4_2020CUST-YTD'!$C$1:$O$1,0)),0)</f>
        <v>810.01923444976069</v>
      </c>
      <c r="AL56" s="262">
        <f>IFERROR(INDEX('Input 4.1_2020VOL-YTD'!$C$4:$O$300, MATCH($C56,'Input 4.1_2020VOL-YTD'!$R$4:$R$300,0),MATCH(AL$2,'Input 4.1_2020VOL-YTD'!$C$1:$O$1,0))/INDEX('Input 4_2020CUST-YTD'!$C$4:S$300,MATCH($C56,'Input 4_2020CUST-YTD'!$S$4:$S$300,0),MATCH(AL$2,'Input 4_2020CUST-YTD'!$C$1:$O$1,0)),0)</f>
        <v>852.11635071090041</v>
      </c>
      <c r="AM56" s="262">
        <f>IFERROR(INDEX('Input 4.1_2020VOL-YTD'!$C$4:$O$300, MATCH($C56,'Input 4.1_2020VOL-YTD'!$R$4:$R$300,0),MATCH(AM$2,'Input 4.1_2020VOL-YTD'!$C$1:$O$1,0))/INDEX('Input 4_2020CUST-YTD'!$C$4:T$300,MATCH($C56,'Input 4_2020CUST-YTD'!$S$4:$S$300,0),MATCH(AM$2,'Input 4_2020CUST-YTD'!$C$1:$O$1,0)),0)</f>
        <v>971.96638095238097</v>
      </c>
      <c r="AN56" s="262">
        <f>IFERROR(INDEX('Input 4.1_2020VOL-YTD'!$C$4:$O$300, MATCH($C56,'Input 4.1_2020VOL-YTD'!$R$4:$R$300,0),MATCH(AN$2,'Input 4.1_2020VOL-YTD'!$C$1:$O$1,0))/INDEX('Input 4_2020CUST-YTD'!$C$4:U$300,MATCH($C56,'Input 4_2020CUST-YTD'!$S$4:$S$300,0),MATCH(AN$2,'Input 4_2020CUST-YTD'!$C$1:$O$1,0)),0)</f>
        <v>957.4499047619048</v>
      </c>
      <c r="AO56" s="262">
        <f>IFERROR(INDEX('Input 4.1_2020VOL-YTD'!$C$4:$O$300, MATCH($C56,'Input 4.1_2020VOL-YTD'!$R$4:$R$300,0),MATCH(AO$2,'Input 4.1_2020VOL-YTD'!$C$1:$O$1,0))/INDEX('Input 4_2020CUST-YTD'!$C$4:V$300,MATCH($C56,'Input 4_2020CUST-YTD'!$S$4:$S$300,0),MATCH(AO$2,'Input 4_2020CUST-YTD'!$C$1:$O$1,0)),0)</f>
        <v>912.3567298578198</v>
      </c>
      <c r="AP56" s="262">
        <f>IFERROR(INDEX('Input 4.1_2020VOL-YTD'!$C$4:$O$300, MATCH($C56,'Input 4.1_2020VOL-YTD'!$R$4:$R$300,0),MATCH(AP$2,'Input 4.1_2020VOL-YTD'!$C$1:$O$1,0))/INDEX('Input 4_2020CUST-YTD'!$C$4:W$300,MATCH($C56,'Input 4_2020CUST-YTD'!$S$4:$S$300,0),MATCH(AP$2,'Input 4_2020CUST-YTD'!$C$1:$O$1,0)),0)</f>
        <v>993.58877358490565</v>
      </c>
      <c r="AQ56" s="262">
        <f>IFERROR(INDEX('Input 4.1_2020VOL-YTD'!$C$4:$O$300, MATCH($C56,'Input 4.1_2020VOL-YTD'!$R$4:$R$300,0),MATCH(AQ$2,'Input 4.1_2020VOL-YTD'!$C$1:$O$1,0))/INDEX('Input 4_2020CUST-YTD'!$C$4:X$300,MATCH($C56,'Input 4_2020CUST-YTD'!$S$4:$S$300,0),MATCH(AQ$2,'Input 4_2020CUST-YTD'!$C$1:$O$1,0)),0)</f>
        <v>955.53890995260656</v>
      </c>
      <c r="AR56" s="262">
        <f>IFERROR(INDEX('Input 4.1_2020VOL-YTD'!$C$4:$O$300, MATCH($C56,'Input 4.1_2020VOL-YTD'!$R$4:$R$300,0),MATCH(AR$2,'Input 4.1_2020VOL-YTD'!$C$1:$O$1,0))/INDEX('Input 4_2020CUST-YTD'!$C$4:Y$300,MATCH($C56,'Input 4_2020CUST-YTD'!$S$4:$S$300,0),MATCH(AR$2,'Input 4_2020CUST-YTD'!$C$1:$O$1,0)),0)</f>
        <v>1163.4670192307692</v>
      </c>
      <c r="AS56" s="262">
        <f>IFERROR(INDEX('Input 4.1_2020VOL-YTD'!$C$4:$O$300, MATCH($C56,'Input 4.1_2020VOL-YTD'!$R$4:$R$300,0),MATCH(AS$2,'Input 4.1_2020VOL-YTD'!$C$1:$O$1,0))/INDEX('Input 4_2020CUST-YTD'!$C$4:Z$300,MATCH($C56,'Input 4_2020CUST-YTD'!$S$4:$S$300,0),MATCH(AS$2,'Input 4_2020CUST-YTD'!$C$1:$O$1,0)),0)</f>
        <v>1439.0541428571428</v>
      </c>
      <c r="AT56" s="190">
        <f t="shared" si="14"/>
        <v>1500.1405714285715</v>
      </c>
      <c r="AU56" s="261">
        <f t="shared" si="15"/>
        <v>1</v>
      </c>
      <c r="AW56" s="1">
        <f>IFERROR(INDEX('Input 5.1_2021VOL-YTD'!$C$3:$N$150, MATCH($C56,'Input 5.1_2021VOL-YTD'!$R$3:$R$150,0),MATCH(AW$2,'Input 5.1_2021VOL-YTD'!$C$1:$N$1,0))/INDEX('Input 5_2021CUST-YTD'!$C$3:$N$150,MATCH($C56,'Input 5_2021CUST-YTD'!$S$3:$S$150,0),MATCH(AW$2,'Input 5_2021CUST-YTD'!$C$1:$N$1,0)),0)</f>
        <v>1508.2987677725118</v>
      </c>
      <c r="AX56" s="1">
        <f>IFERROR(INDEX('Input 5.1_2021VOL-YTD'!$C$3:$N$150, MATCH($C56,'Input 5.1_2021VOL-YTD'!$R$3:$R$150,0),MATCH(AX$2,'Input 5.1_2021VOL-YTD'!$C$1:$N$1,0))/INDEX('Input 5_2021CUST-YTD'!$C$3:$N$150,MATCH($C56,'Input 5_2021CUST-YTD'!$S$3:$S$150,0),MATCH(AX$2,'Input 5_2021CUST-YTD'!$C$1:$N$1,0)),0)</f>
        <v>1280.0980476190477</v>
      </c>
      <c r="AY56" s="1">
        <f>IFERROR(INDEX('Input 5.1_2021VOL-YTD'!$C$3:$N$150, MATCH($C56,'Input 5.1_2021VOL-YTD'!$R$3:$R$150,0),MATCH(AY$2,'Input 5.1_2021VOL-YTD'!$C$1:$N$1,0))/INDEX('Input 5_2021CUST-YTD'!$C$3:$N$150,MATCH($C56,'Input 5_2021CUST-YTD'!$S$3:$S$150,0),MATCH(AY$2,'Input 5_2021CUST-YTD'!$C$1:$N$1,0)),0)</f>
        <v>1250.4781516587677</v>
      </c>
      <c r="AZ56" s="1">
        <f>IFERROR(INDEX('Input 5.1_2021VOL-YTD'!$C$3:$N$150, MATCH($C56,'Input 5.1_2021VOL-YTD'!$R$3:$R$150,0),MATCH(AZ$2,'Input 5.1_2021VOL-YTD'!$C$1:$N$1,0))/INDEX('Input 5_2021CUST-YTD'!$C$3:$N$150,MATCH($C56,'Input 5_2021CUST-YTD'!$S$3:$S$150,0),MATCH(AZ$2,'Input 5_2021CUST-YTD'!$C$1:$N$1,0)),0)</f>
        <v>1349.2827230046946</v>
      </c>
      <c r="BA56" s="1">
        <f>IFERROR(INDEX('Input 5.1_2021VOL-YTD'!$C$3:$N$150, MATCH($C56,'Input 5.1_2021VOL-YTD'!$R$3:$R$150,0),MATCH(BA$2,'Input 5.1_2021VOL-YTD'!$C$1:$N$1,0))/INDEX('Input 5_2021CUST-YTD'!$C$3:$N$150,MATCH($C56,'Input 5_2021CUST-YTD'!$S$3:$S$150,0),MATCH(BA$2,'Input 5_2021CUST-YTD'!$C$1:$N$1,0)),0)</f>
        <v>1049.5985915492959</v>
      </c>
      <c r="BB56" s="1">
        <f>IFERROR(INDEX('Input 5.1_2021VOL-YTD'!$C$3:$N$150, MATCH($C56,'Input 5.1_2021VOL-YTD'!$R$3:$R$150,0),MATCH(BB$2,'Input 5.1_2021VOL-YTD'!$C$1:$N$1,0))/INDEX('Input 5_2021CUST-YTD'!$C$3:$N$150,MATCH($C56,'Input 5_2021CUST-YTD'!$S$3:$S$150,0),MATCH(BB$2,'Input 5_2021CUST-YTD'!$C$1:$N$1,0)),0)</f>
        <v>1062.614882629108</v>
      </c>
      <c r="BC56" s="1">
        <f>IFERROR(INDEX('Input 5.1_2021VOL-YTD'!$C$3:$N$150, MATCH($C56,'Input 5.1_2021VOL-YTD'!$R$3:$R$150,0),MATCH(BC$2,'Input 5.1_2021VOL-YTD'!$C$1:$N$1,0))/INDEX('Input 5_2021CUST-YTD'!$C$3:$N$150,MATCH($C56,'Input 5_2021CUST-YTD'!$S$3:$S$150,0),MATCH(BC$2,'Input 5_2021CUST-YTD'!$C$1:$N$1,0)),0)</f>
        <v>1028.5661682242992</v>
      </c>
      <c r="BD56" s="1">
        <f>IFERROR(INDEX('Input 5.1_2021VOL-YTD'!$C$3:$N$150, MATCH($C56,'Input 5.1_2021VOL-YTD'!$R$3:$R$150,0),MATCH(BD$2,'Input 5.1_2021VOL-YTD'!$C$1:$N$1,0))/INDEX('Input 5_2021CUST-YTD'!$C$3:$N$150,MATCH($C56,'Input 5_2021CUST-YTD'!$S$3:$S$150,0),MATCH(BD$2,'Input 5_2021CUST-YTD'!$C$1:$N$1,0)),0)</f>
        <v>947.28327102803735</v>
      </c>
      <c r="BE56" s="1">
        <f>IFERROR(INDEX('Input 5.1_2021VOL-YTD'!$C$3:$N$150, MATCH($C56,'Input 5.1_2021VOL-YTD'!$R$3:$R$150,0),MATCH(BE$2,'Input 5.1_2021VOL-YTD'!$C$1:$N$1,0))/INDEX('Input 5_2021CUST-YTD'!$C$3:$N$150,MATCH($C56,'Input 5_2021CUST-YTD'!$S$3:$S$150,0),MATCH(BE$2,'Input 5_2021CUST-YTD'!$C$1:$N$1,0)),0)</f>
        <v>1037.6235813953488</v>
      </c>
      <c r="BF56" s="1">
        <f>IFERROR(INDEX('Input 5.1_2021VOL-YTD'!$C$3:$N$150, MATCH($C56,'Input 5.1_2021VOL-YTD'!$R$3:$R$150,0),MATCH(BF$2,'Input 5.1_2021VOL-YTD'!$C$1:$N$1,0))/INDEX('Input 5_2021CUST-YTD'!$C$3:$N$150,MATCH($C56,'Input 5_2021CUST-YTD'!$S$3:$S$150,0),MATCH(BF$2,'Input 5_2021CUST-YTD'!$C$1:$N$1,0)),0)</f>
        <v>1035.6195370370372</v>
      </c>
      <c r="BG56" s="1">
        <f>IFERROR(INDEX('Input 5.1_2021VOL-YTD'!$C$3:$N$150, MATCH($C56,'Input 5.1_2021VOL-YTD'!$R$3:$R$150,0),MATCH(BG$2,'Input 5.1_2021VOL-YTD'!$C$1:$N$1,0))/INDEX('Input 5_2021CUST-YTD'!$C$3:$N$150,MATCH($C56,'Input 5_2021CUST-YTD'!$S$3:$S$150,0),MATCH(BG$2,'Input 5_2021CUST-YTD'!$C$1:$N$1,0)),0)</f>
        <v>1186.0913551401868</v>
      </c>
      <c r="BH56" s="1">
        <f>IFERROR(INDEX('Input 5.1_2021VOL-YTD'!$C$3:$N$150, MATCH($C56,'Input 5.1_2021VOL-YTD'!$R$3:$R$150,0),MATCH(BH$2,'Input 5.1_2021VOL-YTD'!$C$1:$N$1,0))/INDEX('Input 5_2021CUST-YTD'!$C$3:$N$150,MATCH($C56,'Input 5_2021CUST-YTD'!$S$3:$S$150,0),MATCH(BH$2,'Input 5_2021CUST-YTD'!$C$1:$N$1,0)),0)</f>
        <v>1522.0097641509435</v>
      </c>
      <c r="BI56" s="190">
        <f t="shared" si="7"/>
        <v>1522.0097641509435</v>
      </c>
      <c r="BJ56" s="261">
        <f t="shared" si="8"/>
        <v>12</v>
      </c>
    </row>
    <row r="57" spans="1:62">
      <c r="A57" s="261" t="s">
        <v>1245</v>
      </c>
      <c r="B57" s="261" t="s">
        <v>17</v>
      </c>
      <c r="C57" s="261" t="s">
        <v>68</v>
      </c>
      <c r="D57" s="5">
        <f>IFERROR(INDEX('Input 16.1_2018VOL-YTD'!$C$4:$N$300, MATCH($C57,'Input 16.1_2018VOL-YTD'!$R$4:$R$300,0),MATCH(D$2,'Input 16.1_2018VOL-YTD'!$C$1:$N$1,0))/INDEX('Input 16_2018CUST-YTD'!$D$4:$O$300,MATCH($C57,'Input 16_2018CUST-YTD'!$S$4:$S$300,0),MATCH(D$2,'Input 16_2018CUST-YTD'!$C$1:$O$1,0)),0)</f>
        <v>3721.7708108108104</v>
      </c>
      <c r="E57" s="5">
        <f>IFERROR(INDEX('Input 16.1_2018VOL-YTD'!$C$4:$N$300, MATCH($C57,'Input 16.1_2018VOL-YTD'!$R$4:$R$300,0),MATCH(E$2,'Input 16.1_2018VOL-YTD'!$C$1:$N$1,0))/INDEX('Input 16_2018CUST-YTD'!$D$4:$O$300,MATCH($C57,'Input 16_2018CUST-YTD'!$S$4:$S$300,0),MATCH(E$2,'Input 16_2018CUST-YTD'!$C$1:$O$1,0)),0)</f>
        <v>3587.8754054054057</v>
      </c>
      <c r="F57" s="5">
        <f>IFERROR(INDEX('Input 16.1_2018VOL-YTD'!$C$4:$N$300, MATCH($C57,'Input 16.1_2018VOL-YTD'!$R$4:$R$300,0),MATCH(F$2,'Input 16.1_2018VOL-YTD'!$C$1:$N$1,0))/INDEX('Input 16_2018CUST-YTD'!$D$4:$O$300,MATCH($C57,'Input 16_2018CUST-YTD'!$S$4:$S$300,0),MATCH(F$2,'Input 16_2018CUST-YTD'!$C$1:$O$1,0)),0)</f>
        <v>4240.757575757576</v>
      </c>
      <c r="G57" s="5">
        <f>IFERROR(INDEX('Input 16.1_2018VOL-YTD'!$C$4:$N$300, MATCH($C57,'Input 16.1_2018VOL-YTD'!$R$4:$R$300,0),MATCH(G$2,'Input 16.1_2018VOL-YTD'!$C$1:$N$1,0))/INDEX('Input 16_2018CUST-YTD'!$D$4:$O$300,MATCH($C57,'Input 16_2018CUST-YTD'!$S$4:$S$300,0),MATCH(G$2,'Input 16_2018CUST-YTD'!$C$1:$O$1,0)),0)</f>
        <v>3131.1057575757577</v>
      </c>
      <c r="H57" s="5">
        <f>IFERROR(INDEX('Input 16.1_2018VOL-YTD'!$C$4:$N$300, MATCH($C57,'Input 16.1_2018VOL-YTD'!$R$4:$R$300,0),MATCH(H$2,'Input 16.1_2018VOL-YTD'!$C$1:$N$1,0))/INDEX('Input 16_2018CUST-YTD'!$D$4:$O$300,MATCH($C57,'Input 16_2018CUST-YTD'!$S$4:$S$300,0),MATCH(H$2,'Input 16_2018CUST-YTD'!$C$1:$O$1,0)),0)</f>
        <v>2334.5448484848484</v>
      </c>
      <c r="I57" s="5">
        <f>IFERROR(INDEX('Input 16.1_2018VOL-YTD'!$C$4:$N$300, MATCH($C57,'Input 16.1_2018VOL-YTD'!$R$4:$R$300,0),MATCH(I$2,'Input 16.1_2018VOL-YTD'!$C$1:$N$1,0))/INDEX('Input 16_2018CUST-YTD'!$D$4:$O$300,MATCH($C57,'Input 16_2018CUST-YTD'!$S$4:$S$300,0),MATCH(I$2,'Input 16_2018CUST-YTD'!$C$1:$O$1,0)),0)</f>
        <v>2407.3418181818183</v>
      </c>
      <c r="J57" s="5">
        <f>IFERROR(INDEX('Input 16.1_2018VOL-YTD'!$C$4:$N$300, MATCH($C57,'Input 16.1_2018VOL-YTD'!$R$4:$R$300,0),MATCH(J$2,'Input 16.1_2018VOL-YTD'!$C$1:$N$1,0))/INDEX('Input 16_2018CUST-YTD'!$D$4:$O$300,MATCH($C57,'Input 16_2018CUST-YTD'!$S$4:$S$300,0),MATCH(J$2,'Input 16_2018CUST-YTD'!$C$1:$O$1,0)),0)</f>
        <v>2155.2647058823532</v>
      </c>
      <c r="K57" s="5">
        <f>IFERROR(INDEX('Input 16.1_2018VOL-YTD'!$C$4:$N$300, MATCH($C57,'Input 16.1_2018VOL-YTD'!$R$4:$R$300,0),MATCH(K$2,'Input 16.1_2018VOL-YTD'!$C$1:$N$1,0))/INDEX('Input 16_2018CUST-YTD'!$D$4:$O$300,MATCH($C57,'Input 16_2018CUST-YTD'!$S$4:$S$300,0),MATCH(K$2,'Input 16_2018CUST-YTD'!$C$1:$O$1,0)),0)</f>
        <v>2313.9958823529414</v>
      </c>
      <c r="L57" s="5">
        <f>IFERROR(INDEX('Input 16.1_2018VOL-YTD'!$C$4:$N$300, MATCH($C57,'Input 16.1_2018VOL-YTD'!$R$4:$R$300,0),MATCH(L$2,'Input 16.1_2018VOL-YTD'!$C$1:$N$1,0))/INDEX('Input 16_2018CUST-YTD'!$D$4:$O$300,MATCH($C57,'Input 16_2018CUST-YTD'!$S$4:$S$300,0),MATCH(L$2,'Input 16_2018CUST-YTD'!$C$1:$O$1,0)),0)</f>
        <v>2294.0847058823529</v>
      </c>
      <c r="M57" s="5">
        <f>IFERROR(INDEX('Input 16.1_2018VOL-YTD'!$C$4:$N$300, MATCH($C57,'Input 16.1_2018VOL-YTD'!$R$4:$R$300,0),MATCH(M$2,'Input 16.1_2018VOL-YTD'!$C$1:$N$1,0))/INDEX('Input 16_2018CUST-YTD'!$D$4:$O$300,MATCH($C57,'Input 16_2018CUST-YTD'!$S$4:$S$300,0),MATCH(M$2,'Input 16_2018CUST-YTD'!$C$1:$O$1,0)),0)</f>
        <v>2180.5023529411765</v>
      </c>
      <c r="N57" s="5">
        <f>IFERROR(INDEX('Input 16.1_2018VOL-YTD'!$C$4:$N$300, MATCH($C57,'Input 16.1_2018VOL-YTD'!$R$4:$R$300,0),MATCH(N$2,'Input 16.1_2018VOL-YTD'!$C$1:$N$1,0))/INDEX('Input 16_2018CUST-YTD'!$D$4:$O$300,MATCH($C57,'Input 16_2018CUST-YTD'!$S$4:$S$300,0),MATCH(N$2,'Input 16_2018CUST-YTD'!$C$1:$O$1,0)),0)</f>
        <v>2732.6026470588235</v>
      </c>
      <c r="O57" s="5">
        <f>IFERROR(INDEX('Input 16.1_2018VOL-YTD'!$C$4:$N$300, MATCH($C57,'Input 16.1_2018VOL-YTD'!$R$4:$R$300,0),MATCH(O$2,'Input 16.1_2018VOL-YTD'!$C$1:$N$1,0))/INDEX('Input 16_2018CUST-YTD'!$D$4:$O$300,MATCH($C57,'Input 16_2018CUST-YTD'!$S$4:$S$300,0),MATCH(O$2,'Input 16_2018CUST-YTD'!$C$1:$O$1,0)),0)</f>
        <v>2914.1699270072995</v>
      </c>
      <c r="P57" s="271">
        <f t="shared" si="1"/>
        <v>4240.757575757576</v>
      </c>
      <c r="Q57" s="261">
        <f t="shared" si="2"/>
        <v>3</v>
      </c>
      <c r="S57" s="5">
        <f>IFERROR(INDEX('Input 3.1_2019VOL-YTD'!$C$4:$N$300, MATCH($C57,'Input 3.1_2019VOL-YTD'!$R$4:$R$300,0),MATCH(S$2,'Input 3.1_2019VOL-YTD'!$C$1:$N$1,0))/INDEX('Input 3_2019CUST-YTD'!$C$4:$N$300,MATCH($C57,'Input 3_2019CUST-YTD'!$S$4:$S$300,0),MATCH(S$2,'Input 3_2019CUST-YTD'!$C$1:$N$1,0)),0)</f>
        <v>3310.3658823529413</v>
      </c>
      <c r="T57" s="5">
        <f>IFERROR(INDEX('Input 3.1_2019VOL-YTD'!$C$4:$N$300, MATCH($C57,'Input 3.1_2019VOL-YTD'!$R$4:$R$300,0),MATCH(T$2,'Input 3.1_2019VOL-YTD'!$C$1:$N$1,0))/INDEX('Input 3_2019CUST-YTD'!$C$4:$N$300,MATCH($C57,'Input 3_2019CUST-YTD'!$S$4:$S$300,0),MATCH(T$2,'Input 3_2019CUST-YTD'!$C$1:$N$1,0)),0)</f>
        <v>2872.14</v>
      </c>
      <c r="U57" s="5">
        <f>IFERROR(INDEX('Input 3.1_2019VOL-YTD'!$C$4:$N$300, MATCH($C57,'Input 3.1_2019VOL-YTD'!$R$4:$R$300,0),MATCH(U$2,'Input 3.1_2019VOL-YTD'!$C$1:$N$1,0))/INDEX('Input 3_2019CUST-YTD'!$C$4:$N$300,MATCH($C57,'Input 3_2019CUST-YTD'!$S$4:$S$300,0),MATCH(U$2,'Input 3_2019CUST-YTD'!$C$1:$N$1,0)),0)</f>
        <v>2897.4794117647061</v>
      </c>
      <c r="V57" s="5">
        <f>IFERROR(INDEX('Input 3.1_2019VOL-YTD'!$C$4:$N$300, MATCH($C57,'Input 3.1_2019VOL-YTD'!$R$4:$R$300,0),MATCH(V$2,'Input 3.1_2019VOL-YTD'!$C$1:$N$1,0))/INDEX('Input 3_2019CUST-YTD'!$C$4:$N$300,MATCH($C57,'Input 3_2019CUST-YTD'!$S$4:$S$300,0),MATCH(V$2,'Input 3_2019CUST-YTD'!$C$1:$N$1,0)),0)</f>
        <v>2711.8873529411762</v>
      </c>
      <c r="W57" s="5">
        <f>IFERROR(INDEX('Input 3.1_2019VOL-YTD'!$C$4:$N$300, MATCH($C57,'Input 3.1_2019VOL-YTD'!$R$4:$R$300,0),MATCH(W$2,'Input 3.1_2019VOL-YTD'!$C$1:$N$1,0))/INDEX('Input 3_2019CUST-YTD'!$C$4:$N$300,MATCH($C57,'Input 3_2019CUST-YTD'!$S$4:$S$300,0),MATCH(W$2,'Input 3_2019CUST-YTD'!$C$1:$N$1,0)),0)</f>
        <v>2804.8558823529415</v>
      </c>
      <c r="X57" s="5">
        <f>IFERROR(INDEX('Input 3.1_2019VOL-YTD'!$C$4:$N$300, MATCH($C57,'Input 3.1_2019VOL-YTD'!$R$4:$R$300,0),MATCH(X$2,'Input 3.1_2019VOL-YTD'!$C$1:$N$1,0))/INDEX('Input 3_2019CUST-YTD'!$C$4:$N$300,MATCH($C57,'Input 3_2019CUST-YTD'!$S$4:$S$300,0),MATCH(X$2,'Input 3_2019CUST-YTD'!$C$1:$N$1,0)),0)</f>
        <v>2359.508823529412</v>
      </c>
      <c r="Y57" s="5">
        <f>IFERROR(INDEX('Input 3.1_2019VOL-YTD'!$C$4:$N$300, MATCH($C57,'Input 3.1_2019VOL-YTD'!$R$4:$R$300,0),MATCH(Y$2,'Input 3.1_2019VOL-YTD'!$C$1:$N$1,0))/INDEX('Input 3_2019CUST-YTD'!$C$4:$N$300,MATCH($C57,'Input 3_2019CUST-YTD'!$S$4:$S$300,0),MATCH(Y$2,'Input 3_2019CUST-YTD'!$C$1:$N$1,0)),0)</f>
        <v>2120.8561111111112</v>
      </c>
      <c r="Z57" s="5">
        <f>IFERROR(INDEX('Input 3.1_2019VOL-YTD'!$C$4:$N$300, MATCH($C57,'Input 3.1_2019VOL-YTD'!$R$4:$R$300,0),MATCH(Z$2,'Input 3.1_2019VOL-YTD'!$C$1:$N$1,0))/INDEX('Input 3_2019CUST-YTD'!$C$4:$N$300,MATCH($C57,'Input 3_2019CUST-YTD'!$S$4:$S$300,0),MATCH(Z$2,'Input 3_2019CUST-YTD'!$C$1:$N$1,0)),0)</f>
        <v>2189.0485294117643</v>
      </c>
      <c r="AA57" s="5">
        <f>IFERROR(INDEX('Input 3.1_2019VOL-YTD'!$C$4:$N$300, MATCH($C57,'Input 3.1_2019VOL-YTD'!$R$4:$R$300,0),MATCH(AA$2,'Input 3.1_2019VOL-YTD'!$C$1:$N$1,0))/INDEX('Input 3_2019CUST-YTD'!$C$4:$N$300,MATCH($C57,'Input 3_2019CUST-YTD'!$S$4:$S$300,0),MATCH(AA$2,'Input 3_2019CUST-YTD'!$C$1:$N$1,0)),0)</f>
        <v>2370.7152941176473</v>
      </c>
      <c r="AB57" s="5">
        <f>IFERROR(INDEX('Input 3.1_2019VOL-YTD'!$C$4:$N$300, MATCH($C57,'Input 3.1_2019VOL-YTD'!$R$4:$R$300,0),MATCH(AB$2,'Input 3.1_2019VOL-YTD'!$C$1:$N$1,0))/INDEX('Input 3_2019CUST-YTD'!$C$4:$N$300,MATCH($C57,'Input 3_2019CUST-YTD'!$S$4:$S$300,0),MATCH(AB$2,'Input 3_2019CUST-YTD'!$C$1:$N$1,0)),0)</f>
        <v>1993.93</v>
      </c>
      <c r="AC57" s="5">
        <f>IFERROR(INDEX('Input 3.1_2019VOL-YTD'!$C$4:$N$300, MATCH($C57,'Input 3.1_2019VOL-YTD'!$R$4:$R$300,0),MATCH(AC$2,'Input 3.1_2019VOL-YTD'!$C$1:$N$1,0))/INDEX('Input 3_2019CUST-YTD'!$C$4:$N$300,MATCH($C57,'Input 3_2019CUST-YTD'!$S$4:$S$300,0),MATCH(AC$2,'Input 3_2019CUST-YTD'!$C$1:$N$1,0)),0)</f>
        <v>2428.6959999999999</v>
      </c>
      <c r="AD57" s="5">
        <f>IFERROR(INDEX('Input 3.1_2019VOL-YTD'!$C$4:$N$300, MATCH($C57,'Input 3.1_2019VOL-YTD'!$R$4:$R$300,0),MATCH(AD$2,'Input 3.1_2019VOL-YTD'!$C$1:$N$1,0))/INDEX('Input 3_2019CUST-YTD'!$C$4:$N$300,MATCH($C57,'Input 3_2019CUST-YTD'!$S$4:$S$300,0),MATCH(AD$2,'Input 3_2019CUST-YTD'!$C$1:$N$1,0)),0)</f>
        <v>2575.1041666666665</v>
      </c>
      <c r="AE57" s="272">
        <f t="shared" si="16"/>
        <v>3310.3658823529413</v>
      </c>
      <c r="AF57" s="261">
        <f t="shared" si="17"/>
        <v>1</v>
      </c>
      <c r="AH57" s="262">
        <f>IFERROR(INDEX('Input 4.1_2020VOL-YTD'!$C$4:$O$300, MATCH($C57,'Input 4.1_2020VOL-YTD'!$R$4:$R$300,0),MATCH(AH$2,'Input 4.1_2020VOL-YTD'!$C$1:$O$1,0))/INDEX('Input 4_2020CUST-YTD'!$C$4:O$300,MATCH($C57,'Input 4_2020CUST-YTD'!$S$4:$S$300,0),MATCH(AH$2,'Input 4_2020CUST-YTD'!$C$1:$O$1,0)),0)</f>
        <v>2678.9994444444442</v>
      </c>
      <c r="AI57" s="262">
        <f>IFERROR(INDEX('Input 4.1_2020VOL-YTD'!$C$4:$O$300, MATCH($C57,'Input 4.1_2020VOL-YTD'!$R$4:$R$300,0),MATCH(AI$2,'Input 4.1_2020VOL-YTD'!$C$1:$O$1,0))/INDEX('Input 4_2020CUST-YTD'!$C$4:P$300,MATCH($C57,'Input 4_2020CUST-YTD'!$S$4:$S$300,0),MATCH(AI$2,'Input 4_2020CUST-YTD'!$C$1:$O$1,0)),0)</f>
        <v>2636.2219444444445</v>
      </c>
      <c r="AJ57" s="262">
        <f>IFERROR(INDEX('Input 4.1_2020VOL-YTD'!$C$4:$O$300, MATCH($C57,'Input 4.1_2020VOL-YTD'!$R$4:$R$300,0),MATCH(AJ$2,'Input 4.1_2020VOL-YTD'!$C$1:$O$1,0))/INDEX('Input 4_2020CUST-YTD'!$C$4:Q$300,MATCH($C57,'Input 4_2020CUST-YTD'!$S$4:$S$300,0),MATCH(AJ$2,'Input 4_2020CUST-YTD'!$C$1:$O$1,0)),0)</f>
        <v>2684.4752777777776</v>
      </c>
      <c r="AK57" s="262">
        <f>IFERROR(INDEX('Input 4.1_2020VOL-YTD'!$C$4:$O$300, MATCH($C57,'Input 4.1_2020VOL-YTD'!$R$4:$R$300,0),MATCH(AK$2,'Input 4.1_2020VOL-YTD'!$C$1:$O$1,0))/INDEX('Input 4_2020CUST-YTD'!$C$4:R$300,MATCH($C57,'Input 4_2020CUST-YTD'!$S$4:$S$300,0),MATCH(AK$2,'Input 4_2020CUST-YTD'!$C$1:$O$1,0)),0)</f>
        <v>2844.6405555555557</v>
      </c>
      <c r="AL57" s="262">
        <f>IFERROR(INDEX('Input 4.1_2020VOL-YTD'!$C$4:$O$300, MATCH($C57,'Input 4.1_2020VOL-YTD'!$R$4:$R$300,0),MATCH(AL$2,'Input 4.1_2020VOL-YTD'!$C$1:$O$1,0))/INDEX('Input 4_2020CUST-YTD'!$C$4:S$300,MATCH($C57,'Input 4_2020CUST-YTD'!$S$4:$S$300,0),MATCH(AL$2,'Input 4_2020CUST-YTD'!$C$1:$O$1,0)),0)</f>
        <v>2210.0419444444442</v>
      </c>
      <c r="AM57" s="262">
        <f>IFERROR(INDEX('Input 4.1_2020VOL-YTD'!$C$4:$O$300, MATCH($C57,'Input 4.1_2020VOL-YTD'!$R$4:$R$300,0),MATCH(AM$2,'Input 4.1_2020VOL-YTD'!$C$1:$O$1,0))/INDEX('Input 4_2020CUST-YTD'!$C$4:T$300,MATCH($C57,'Input 4_2020CUST-YTD'!$S$4:$S$300,0),MATCH(AM$2,'Input 4_2020CUST-YTD'!$C$1:$O$1,0)),0)</f>
        <v>1990.4038888888888</v>
      </c>
      <c r="AN57" s="262">
        <f>IFERROR(INDEX('Input 4.1_2020VOL-YTD'!$C$4:$O$300, MATCH($C57,'Input 4.1_2020VOL-YTD'!$R$4:$R$300,0),MATCH(AN$2,'Input 4.1_2020VOL-YTD'!$C$1:$O$1,0))/INDEX('Input 4_2020CUST-YTD'!$C$4:U$300,MATCH($C57,'Input 4_2020CUST-YTD'!$S$4:$S$300,0),MATCH(AN$2,'Input 4_2020CUST-YTD'!$C$1:$O$1,0)),0)</f>
        <v>2049.056111111111</v>
      </c>
      <c r="AO57" s="262">
        <f>IFERROR(INDEX('Input 4.1_2020VOL-YTD'!$C$4:$O$300, MATCH($C57,'Input 4.1_2020VOL-YTD'!$R$4:$R$300,0),MATCH(AO$2,'Input 4.1_2020VOL-YTD'!$C$1:$O$1,0))/INDEX('Input 4_2020CUST-YTD'!$C$4:V$300,MATCH($C57,'Input 4_2020CUST-YTD'!$S$4:$S$300,0),MATCH(AO$2,'Input 4_2020CUST-YTD'!$C$1:$O$1,0)),0)</f>
        <v>2177.839722222222</v>
      </c>
      <c r="AP57" s="262">
        <f>IFERROR(INDEX('Input 4.1_2020VOL-YTD'!$C$4:$O$300, MATCH($C57,'Input 4.1_2020VOL-YTD'!$R$4:$R$300,0),MATCH(AP$2,'Input 4.1_2020VOL-YTD'!$C$1:$O$1,0))/INDEX('Input 4_2020CUST-YTD'!$C$4:W$300,MATCH($C57,'Input 4_2020CUST-YTD'!$S$4:$S$300,0),MATCH(AP$2,'Input 4_2020CUST-YTD'!$C$1:$O$1,0)),0)</f>
        <v>2150.549722222222</v>
      </c>
      <c r="AQ57" s="262">
        <f>IFERROR(INDEX('Input 4.1_2020VOL-YTD'!$C$4:$O$300, MATCH($C57,'Input 4.1_2020VOL-YTD'!$R$4:$R$300,0),MATCH(AQ$2,'Input 4.1_2020VOL-YTD'!$C$1:$O$1,0))/INDEX('Input 4_2020CUST-YTD'!$C$4:X$300,MATCH($C57,'Input 4_2020CUST-YTD'!$S$4:$S$300,0),MATCH(AQ$2,'Input 4_2020CUST-YTD'!$C$1:$O$1,0)),0)</f>
        <v>2085.1577777777775</v>
      </c>
      <c r="AR57" s="262">
        <f>IFERROR(INDEX('Input 4.1_2020VOL-YTD'!$C$4:$O$300, MATCH($C57,'Input 4.1_2020VOL-YTD'!$R$4:$R$300,0),MATCH(AR$2,'Input 4.1_2020VOL-YTD'!$C$1:$O$1,0))/INDEX('Input 4_2020CUST-YTD'!$C$4:Y$300,MATCH($C57,'Input 4_2020CUST-YTD'!$S$4:$S$300,0),MATCH(AR$2,'Input 4_2020CUST-YTD'!$C$1:$O$1,0)),0)</f>
        <v>2274.0100000000002</v>
      </c>
      <c r="AS57" s="262">
        <f>IFERROR(INDEX('Input 4.1_2020VOL-YTD'!$C$4:$O$300, MATCH($C57,'Input 4.1_2020VOL-YTD'!$R$4:$R$300,0),MATCH(AS$2,'Input 4.1_2020VOL-YTD'!$C$1:$O$1,0))/INDEX('Input 4_2020CUST-YTD'!$C$4:Z$300,MATCH($C57,'Input 4_2020CUST-YTD'!$S$4:$S$300,0),MATCH(AS$2,'Input 4_2020CUST-YTD'!$C$1:$O$1,0)),0)</f>
        <v>2798.7666666666669</v>
      </c>
      <c r="AT57" s="190">
        <f t="shared" ref="AT57:AT66" si="18">MAX(AH57:AS57)</f>
        <v>2844.6405555555557</v>
      </c>
      <c r="AU57" s="261">
        <f t="shared" ref="AU57:AU66" si="19">INDEX($AH$2:$AS$2,MATCH(AT57,AH57:AS57,0))</f>
        <v>4</v>
      </c>
      <c r="AW57" s="1">
        <f>IFERROR(INDEX('Input 5.1_2021VOL-YTD'!$C$3:$N$150, MATCH($C57,'Input 5.1_2021VOL-YTD'!$R$3:$R$150,0),MATCH(AW$2,'Input 5.1_2021VOL-YTD'!$C$1:$N$1,0))/INDEX('Input 5_2021CUST-YTD'!$C$3:$N$150,MATCH($C57,'Input 5_2021CUST-YTD'!$S$3:$S$150,0),MATCH(AW$2,'Input 5_2021CUST-YTD'!$C$1:$N$1,0)),0)</f>
        <v>2937.8266666666664</v>
      </c>
      <c r="AX57" s="1">
        <f>IFERROR(INDEX('Input 5.1_2021VOL-YTD'!$C$3:$N$150, MATCH($C57,'Input 5.1_2021VOL-YTD'!$R$3:$R$150,0),MATCH(AX$2,'Input 5.1_2021VOL-YTD'!$C$1:$N$1,0))/INDEX('Input 5_2021CUST-YTD'!$C$3:$N$150,MATCH($C57,'Input 5_2021CUST-YTD'!$S$3:$S$150,0),MATCH(AX$2,'Input 5_2021CUST-YTD'!$C$1:$N$1,0)),0)</f>
        <v>2748.8502777777776</v>
      </c>
      <c r="AY57" s="1">
        <f>IFERROR(INDEX('Input 5.1_2021VOL-YTD'!$C$3:$N$150, MATCH($C57,'Input 5.1_2021VOL-YTD'!$R$3:$R$150,0),MATCH(AY$2,'Input 5.1_2021VOL-YTD'!$C$1:$N$1,0))/INDEX('Input 5_2021CUST-YTD'!$C$3:$N$150,MATCH($C57,'Input 5_2021CUST-YTD'!$S$3:$S$150,0),MATCH(AY$2,'Input 5_2021CUST-YTD'!$C$1:$N$1,0)),0)</f>
        <v>3459.0774999999999</v>
      </c>
      <c r="AZ57" s="1">
        <f>IFERROR(INDEX('Input 5.1_2021VOL-YTD'!$C$3:$N$150, MATCH($C57,'Input 5.1_2021VOL-YTD'!$R$3:$R$150,0),MATCH(AZ$2,'Input 5.1_2021VOL-YTD'!$C$1:$N$1,0))/INDEX('Input 5_2021CUST-YTD'!$C$3:$N$150,MATCH($C57,'Input 5_2021CUST-YTD'!$S$3:$S$150,0),MATCH(AZ$2,'Input 5_2021CUST-YTD'!$C$1:$N$1,0)),0)</f>
        <v>2550.3483333333334</v>
      </c>
      <c r="BA57" s="1">
        <f>IFERROR(INDEX('Input 5.1_2021VOL-YTD'!$C$3:$N$150, MATCH($C57,'Input 5.1_2021VOL-YTD'!$R$3:$R$150,0),MATCH(BA$2,'Input 5.1_2021VOL-YTD'!$C$1:$N$1,0))/INDEX('Input 5_2021CUST-YTD'!$C$3:$N$150,MATCH($C57,'Input 5_2021CUST-YTD'!$S$3:$S$150,0),MATCH(BA$2,'Input 5_2021CUST-YTD'!$C$1:$N$1,0)),0)</f>
        <v>2010.5933333333332</v>
      </c>
      <c r="BB57" s="1">
        <f>IFERROR(INDEX('Input 5.1_2021VOL-YTD'!$C$3:$N$150, MATCH($C57,'Input 5.1_2021VOL-YTD'!$R$3:$R$150,0),MATCH(BB$2,'Input 5.1_2021VOL-YTD'!$C$1:$N$1,0))/INDEX('Input 5_2021CUST-YTD'!$C$3:$N$150,MATCH($C57,'Input 5_2021CUST-YTD'!$S$3:$S$150,0),MATCH(BB$2,'Input 5_2021CUST-YTD'!$C$1:$N$1,0)),0)</f>
        <v>1868.194722222222</v>
      </c>
      <c r="BC57" s="1">
        <f>IFERROR(INDEX('Input 5.1_2021VOL-YTD'!$C$3:$N$150, MATCH($C57,'Input 5.1_2021VOL-YTD'!$R$3:$R$150,0),MATCH(BC$2,'Input 5.1_2021VOL-YTD'!$C$1:$N$1,0))/INDEX('Input 5_2021CUST-YTD'!$C$3:$N$150,MATCH($C57,'Input 5_2021CUST-YTD'!$S$3:$S$150,0),MATCH(BC$2,'Input 5_2021CUST-YTD'!$C$1:$N$1,0)),0)</f>
        <v>1994.5954285714286</v>
      </c>
      <c r="BD57" s="1">
        <f>IFERROR(INDEX('Input 5.1_2021VOL-YTD'!$C$3:$N$150, MATCH($C57,'Input 5.1_2021VOL-YTD'!$R$3:$R$150,0),MATCH(BD$2,'Input 5.1_2021VOL-YTD'!$C$1:$N$1,0))/INDEX('Input 5_2021CUST-YTD'!$C$3:$N$150,MATCH($C57,'Input 5_2021CUST-YTD'!$S$3:$S$150,0),MATCH(BD$2,'Input 5_2021CUST-YTD'!$C$1:$N$1,0)),0)</f>
        <v>1816.38</v>
      </c>
      <c r="BE57" s="1">
        <f>IFERROR(INDEX('Input 5.1_2021VOL-YTD'!$C$3:$N$150, MATCH($C57,'Input 5.1_2021VOL-YTD'!$R$3:$R$150,0),MATCH(BE$2,'Input 5.1_2021VOL-YTD'!$C$1:$N$1,0))/INDEX('Input 5_2021CUST-YTD'!$C$3:$N$150,MATCH($C57,'Input 5_2021CUST-YTD'!$S$3:$S$150,0),MATCH(BE$2,'Input 5_2021CUST-YTD'!$C$1:$N$1,0)),0)</f>
        <v>2098.9997222222223</v>
      </c>
      <c r="BF57" s="1">
        <f>IFERROR(INDEX('Input 5.1_2021VOL-YTD'!$C$3:$N$150, MATCH($C57,'Input 5.1_2021VOL-YTD'!$R$3:$R$150,0),MATCH(BF$2,'Input 5.1_2021VOL-YTD'!$C$1:$N$1,0))/INDEX('Input 5_2021CUST-YTD'!$C$3:$N$150,MATCH($C57,'Input 5_2021CUST-YTD'!$S$3:$S$150,0),MATCH(BF$2,'Input 5_2021CUST-YTD'!$C$1:$N$1,0)),0)</f>
        <v>2586.9950000000003</v>
      </c>
      <c r="BG57" s="1">
        <f>IFERROR(INDEX('Input 5.1_2021VOL-YTD'!$C$3:$N$150, MATCH($C57,'Input 5.1_2021VOL-YTD'!$R$3:$R$150,0),MATCH(BG$2,'Input 5.1_2021VOL-YTD'!$C$1:$N$1,0))/INDEX('Input 5_2021CUST-YTD'!$C$3:$N$150,MATCH($C57,'Input 5_2021CUST-YTD'!$S$3:$S$150,0),MATCH(BG$2,'Input 5_2021CUST-YTD'!$C$1:$N$1,0)),0)</f>
        <v>2229.5852777777782</v>
      </c>
      <c r="BH57" s="1">
        <f>IFERROR(INDEX('Input 5.1_2021VOL-YTD'!$C$3:$N$150, MATCH($C57,'Input 5.1_2021VOL-YTD'!$R$3:$R$150,0),MATCH(BH$2,'Input 5.1_2021VOL-YTD'!$C$1:$N$1,0))/INDEX('Input 5_2021CUST-YTD'!$C$3:$N$150,MATCH($C57,'Input 5_2021CUST-YTD'!$S$3:$S$150,0),MATCH(BH$2,'Input 5_2021CUST-YTD'!$C$1:$N$1,0)),0)</f>
        <v>2750.1694594594596</v>
      </c>
      <c r="BI57" s="190">
        <f t="shared" si="7"/>
        <v>3459.0774999999999</v>
      </c>
      <c r="BJ57" s="261">
        <f t="shared" si="8"/>
        <v>3</v>
      </c>
    </row>
    <row r="58" spans="1:62">
      <c r="A58" s="261" t="s">
        <v>1245</v>
      </c>
      <c r="B58" s="261" t="s">
        <v>17</v>
      </c>
      <c r="C58" s="261" t="s">
        <v>70</v>
      </c>
      <c r="D58" s="5">
        <f>IFERROR(INDEX('Input 16.1_2018VOL-YTD'!$C$4:$N$300, MATCH($C58,'Input 16.1_2018VOL-YTD'!$R$4:$R$300,0),MATCH(D$2,'Input 16.1_2018VOL-YTD'!$C$1:$N$1,0))/INDEX('Input 16_2018CUST-YTD'!$D$4:$O$300,MATCH($C58,'Input 16_2018CUST-YTD'!$S$4:$S$300,0),MATCH(D$2,'Input 16_2018CUST-YTD'!$C$1:$O$1,0)),0)</f>
        <v>6397.0862500000003</v>
      </c>
      <c r="E58" s="5">
        <f>IFERROR(INDEX('Input 16.1_2018VOL-YTD'!$C$4:$N$300, MATCH($C58,'Input 16.1_2018VOL-YTD'!$R$4:$R$300,0),MATCH(E$2,'Input 16.1_2018VOL-YTD'!$C$1:$N$1,0))/INDEX('Input 16_2018CUST-YTD'!$D$4:$O$300,MATCH($C58,'Input 16_2018CUST-YTD'!$S$4:$S$300,0),MATCH(E$2,'Input 16_2018CUST-YTD'!$C$1:$O$1,0)),0)</f>
        <v>5096.5859999999993</v>
      </c>
      <c r="F58" s="5">
        <f>IFERROR(INDEX('Input 16.1_2018VOL-YTD'!$C$4:$N$300, MATCH($C58,'Input 16.1_2018VOL-YTD'!$R$4:$R$300,0),MATCH(F$2,'Input 16.1_2018VOL-YTD'!$C$1:$N$1,0))/INDEX('Input 16_2018CUST-YTD'!$D$4:$O$300,MATCH($C58,'Input 16_2018CUST-YTD'!$S$4:$S$300,0),MATCH(F$2,'Input 16_2018CUST-YTD'!$C$1:$O$1,0)),0)</f>
        <v>5274.2357692307696</v>
      </c>
      <c r="G58" s="5">
        <f>IFERROR(INDEX('Input 16.1_2018VOL-YTD'!$C$4:$N$300, MATCH($C58,'Input 16.1_2018VOL-YTD'!$R$4:$R$300,0),MATCH(G$2,'Input 16.1_2018VOL-YTD'!$C$1:$N$1,0))/INDEX('Input 16_2018CUST-YTD'!$D$4:$O$300,MATCH($C58,'Input 16_2018CUST-YTD'!$S$4:$S$300,0),MATCH(G$2,'Input 16_2018CUST-YTD'!$C$1:$O$1,0)),0)</f>
        <v>4925.1930769230767</v>
      </c>
      <c r="H58" s="5">
        <f>IFERROR(INDEX('Input 16.1_2018VOL-YTD'!$C$4:$N$300, MATCH($C58,'Input 16.1_2018VOL-YTD'!$R$4:$R$300,0),MATCH(H$2,'Input 16.1_2018VOL-YTD'!$C$1:$N$1,0))/INDEX('Input 16_2018CUST-YTD'!$D$4:$O$300,MATCH($C58,'Input 16_2018CUST-YTD'!$S$4:$S$300,0),MATCH(H$2,'Input 16_2018CUST-YTD'!$C$1:$O$1,0)),0)</f>
        <v>4838.2680769230774</v>
      </c>
      <c r="I58" s="5">
        <f>IFERROR(INDEX('Input 16.1_2018VOL-YTD'!$C$4:$N$300, MATCH($C58,'Input 16.1_2018VOL-YTD'!$R$4:$R$300,0),MATCH(I$2,'Input 16.1_2018VOL-YTD'!$C$1:$N$1,0))/INDEX('Input 16_2018CUST-YTD'!$D$4:$O$300,MATCH($C58,'Input 16_2018CUST-YTD'!$S$4:$S$300,0),MATCH(I$2,'Input 16_2018CUST-YTD'!$C$1:$O$1,0)),0)</f>
        <v>4356.4019230769227</v>
      </c>
      <c r="J58" s="5">
        <f>IFERROR(INDEX('Input 16.1_2018VOL-YTD'!$C$4:$N$300, MATCH($C58,'Input 16.1_2018VOL-YTD'!$R$4:$R$300,0),MATCH(J$2,'Input 16.1_2018VOL-YTD'!$C$1:$N$1,0))/INDEX('Input 16_2018CUST-YTD'!$D$4:$O$300,MATCH($C58,'Input 16_2018CUST-YTD'!$S$4:$S$300,0),MATCH(J$2,'Input 16_2018CUST-YTD'!$C$1:$O$1,0)),0)</f>
        <v>3950.9230769230771</v>
      </c>
      <c r="K58" s="5">
        <f>IFERROR(INDEX('Input 16.1_2018VOL-YTD'!$C$4:$N$300, MATCH($C58,'Input 16.1_2018VOL-YTD'!$R$4:$R$300,0),MATCH(K$2,'Input 16.1_2018VOL-YTD'!$C$1:$N$1,0))/INDEX('Input 16_2018CUST-YTD'!$D$4:$O$300,MATCH($C58,'Input 16_2018CUST-YTD'!$S$4:$S$300,0),MATCH(K$2,'Input 16_2018CUST-YTD'!$C$1:$O$1,0)),0)</f>
        <v>4552.3696153846158</v>
      </c>
      <c r="L58" s="5">
        <f>IFERROR(INDEX('Input 16.1_2018VOL-YTD'!$C$4:$N$300, MATCH($C58,'Input 16.1_2018VOL-YTD'!$R$4:$R$300,0),MATCH(L$2,'Input 16.1_2018VOL-YTD'!$C$1:$N$1,0))/INDEX('Input 16_2018CUST-YTD'!$D$4:$O$300,MATCH($C58,'Input 16_2018CUST-YTD'!$S$4:$S$300,0),MATCH(L$2,'Input 16_2018CUST-YTD'!$C$1:$O$1,0)),0)</f>
        <v>5561.6481481481478</v>
      </c>
      <c r="M58" s="5">
        <f>IFERROR(INDEX('Input 16.1_2018VOL-YTD'!$C$4:$N$300, MATCH($C58,'Input 16.1_2018VOL-YTD'!$R$4:$R$300,0),MATCH(M$2,'Input 16.1_2018VOL-YTD'!$C$1:$N$1,0))/INDEX('Input 16_2018CUST-YTD'!$D$4:$O$300,MATCH($C58,'Input 16_2018CUST-YTD'!$S$4:$S$300,0),MATCH(M$2,'Input 16_2018CUST-YTD'!$C$1:$O$1,0)),0)</f>
        <v>4902.7085185185188</v>
      </c>
      <c r="N58" s="5">
        <f>IFERROR(INDEX('Input 16.1_2018VOL-YTD'!$C$4:$N$300, MATCH($C58,'Input 16.1_2018VOL-YTD'!$R$4:$R$300,0),MATCH(N$2,'Input 16.1_2018VOL-YTD'!$C$1:$N$1,0))/INDEX('Input 16_2018CUST-YTD'!$D$4:$O$300,MATCH($C58,'Input 16_2018CUST-YTD'!$S$4:$S$300,0),MATCH(N$2,'Input 16_2018CUST-YTD'!$C$1:$O$1,0)),0)</f>
        <v>4997.6246153846159</v>
      </c>
      <c r="O58" s="5">
        <f>IFERROR(INDEX('Input 16.1_2018VOL-YTD'!$C$4:$N$300, MATCH($C58,'Input 16.1_2018VOL-YTD'!$R$4:$R$300,0),MATCH(O$2,'Input 16.1_2018VOL-YTD'!$C$1:$N$1,0))/INDEX('Input 16_2018CUST-YTD'!$D$4:$O$300,MATCH($C58,'Input 16_2018CUST-YTD'!$S$4:$S$300,0),MATCH(O$2,'Input 16_2018CUST-YTD'!$C$1:$O$1,0)),0)</f>
        <v>6480.4476623376613</v>
      </c>
      <c r="P58" s="271">
        <f t="shared" si="1"/>
        <v>6480.4476623376613</v>
      </c>
      <c r="Q58" s="261">
        <f t="shared" si="2"/>
        <v>12</v>
      </c>
      <c r="S58" s="5">
        <f>IFERROR(INDEX('Input 3.1_2019VOL-YTD'!$C$4:$N$300, MATCH($C58,'Input 3.1_2019VOL-YTD'!$R$4:$R$300,0),MATCH(S$2,'Input 3.1_2019VOL-YTD'!$C$1:$N$1,0))/INDEX('Input 3_2019CUST-YTD'!$C$4:$N$300,MATCH($C58,'Input 3_2019CUST-YTD'!$S$4:$S$300,0),MATCH(S$2,'Input 3_2019CUST-YTD'!$C$1:$N$1,0)),0)</f>
        <v>7171.418846153847</v>
      </c>
      <c r="T58" s="5">
        <f>IFERROR(INDEX('Input 3.1_2019VOL-YTD'!$C$4:$N$300, MATCH($C58,'Input 3.1_2019VOL-YTD'!$R$4:$R$300,0),MATCH(T$2,'Input 3.1_2019VOL-YTD'!$C$1:$N$1,0))/INDEX('Input 3_2019CUST-YTD'!$C$4:$N$300,MATCH($C58,'Input 3_2019CUST-YTD'!$S$4:$S$300,0),MATCH(T$2,'Input 3_2019CUST-YTD'!$C$1:$N$1,0)),0)</f>
        <v>5661.1976923076927</v>
      </c>
      <c r="U58" s="5">
        <f>IFERROR(INDEX('Input 3.1_2019VOL-YTD'!$C$4:$N$300, MATCH($C58,'Input 3.1_2019VOL-YTD'!$R$4:$R$300,0),MATCH(U$2,'Input 3.1_2019VOL-YTD'!$C$1:$N$1,0))/INDEX('Input 3_2019CUST-YTD'!$C$4:$N$300,MATCH($C58,'Input 3_2019CUST-YTD'!$S$4:$S$300,0),MATCH(U$2,'Input 3_2019CUST-YTD'!$C$1:$N$1,0)),0)</f>
        <v>5260.4815384615376</v>
      </c>
      <c r="V58" s="5">
        <f>IFERROR(INDEX('Input 3.1_2019VOL-YTD'!$C$4:$N$300, MATCH($C58,'Input 3.1_2019VOL-YTD'!$R$4:$R$300,0),MATCH(V$2,'Input 3.1_2019VOL-YTD'!$C$1:$N$1,0))/INDEX('Input 3_2019CUST-YTD'!$C$4:$N$300,MATCH($C58,'Input 3_2019CUST-YTD'!$S$4:$S$300,0),MATCH(V$2,'Input 3_2019CUST-YTD'!$C$1:$N$1,0)),0)</f>
        <v>6170.0480769230771</v>
      </c>
      <c r="W58" s="5">
        <f>IFERROR(INDEX('Input 3.1_2019VOL-YTD'!$C$4:$N$300, MATCH($C58,'Input 3.1_2019VOL-YTD'!$R$4:$R$300,0),MATCH(W$2,'Input 3.1_2019VOL-YTD'!$C$1:$N$1,0))/INDEX('Input 3_2019CUST-YTD'!$C$4:$N$300,MATCH($C58,'Input 3_2019CUST-YTD'!$S$4:$S$300,0),MATCH(W$2,'Input 3_2019CUST-YTD'!$C$1:$N$1,0)),0)</f>
        <v>5716.2173076923073</v>
      </c>
      <c r="X58" s="5">
        <f>IFERROR(INDEX('Input 3.1_2019VOL-YTD'!$C$4:$N$300, MATCH($C58,'Input 3.1_2019VOL-YTD'!$R$4:$R$300,0),MATCH(X$2,'Input 3.1_2019VOL-YTD'!$C$1:$N$1,0))/INDEX('Input 3_2019CUST-YTD'!$C$4:$N$300,MATCH($C58,'Input 3_2019CUST-YTD'!$S$4:$S$300,0),MATCH(X$2,'Input 3_2019CUST-YTD'!$C$1:$N$1,0)),0)</f>
        <v>5486.2769230769236</v>
      </c>
      <c r="Y58" s="5">
        <f>IFERROR(INDEX('Input 3.1_2019VOL-YTD'!$C$4:$N$300, MATCH($C58,'Input 3.1_2019VOL-YTD'!$R$4:$R$300,0),MATCH(Y$2,'Input 3.1_2019VOL-YTD'!$C$1:$N$1,0))/INDEX('Input 3_2019CUST-YTD'!$C$4:$N$300,MATCH($C58,'Input 3_2019CUST-YTD'!$S$4:$S$300,0),MATCH(Y$2,'Input 3_2019CUST-YTD'!$C$1:$N$1,0)),0)</f>
        <v>5735.1980769230768</v>
      </c>
      <c r="Z58" s="5">
        <f>IFERROR(INDEX('Input 3.1_2019VOL-YTD'!$C$4:$N$300, MATCH($C58,'Input 3.1_2019VOL-YTD'!$R$4:$R$300,0),MATCH(Z$2,'Input 3.1_2019VOL-YTD'!$C$1:$N$1,0))/INDEX('Input 3_2019CUST-YTD'!$C$4:$N$300,MATCH($C58,'Input 3_2019CUST-YTD'!$S$4:$S$300,0),MATCH(Z$2,'Input 3_2019CUST-YTD'!$C$1:$N$1,0)),0)</f>
        <v>5435.5807407407401</v>
      </c>
      <c r="AA58" s="5">
        <f>IFERROR(INDEX('Input 3.1_2019VOL-YTD'!$C$4:$N$300, MATCH($C58,'Input 3.1_2019VOL-YTD'!$R$4:$R$300,0),MATCH(AA$2,'Input 3.1_2019VOL-YTD'!$C$1:$N$1,0))/INDEX('Input 3_2019CUST-YTD'!$C$4:$N$300,MATCH($C58,'Input 3_2019CUST-YTD'!$S$4:$S$300,0),MATCH(AA$2,'Input 3_2019CUST-YTD'!$C$1:$N$1,0)),0)</f>
        <v>5411.4164000000001</v>
      </c>
      <c r="AB58" s="5">
        <f>IFERROR(INDEX('Input 3.1_2019VOL-YTD'!$C$4:$N$300, MATCH($C58,'Input 3.1_2019VOL-YTD'!$R$4:$R$300,0),MATCH(AB$2,'Input 3.1_2019VOL-YTD'!$C$1:$N$1,0))/INDEX('Input 3_2019CUST-YTD'!$C$4:$N$300,MATCH($C58,'Input 3_2019CUST-YTD'!$S$4:$S$300,0),MATCH(AB$2,'Input 3_2019CUST-YTD'!$C$1:$N$1,0)),0)</f>
        <v>4997.2619230769233</v>
      </c>
      <c r="AC58" s="5">
        <f>IFERROR(INDEX('Input 3.1_2019VOL-YTD'!$C$4:$N$300, MATCH($C58,'Input 3.1_2019VOL-YTD'!$R$4:$R$300,0),MATCH(AC$2,'Input 3.1_2019VOL-YTD'!$C$1:$N$1,0))/INDEX('Input 3_2019CUST-YTD'!$C$4:$N$300,MATCH($C58,'Input 3_2019CUST-YTD'!$S$4:$S$300,0),MATCH(AC$2,'Input 3_2019CUST-YTD'!$C$1:$N$1,0)),0)</f>
        <v>5166.9915384615388</v>
      </c>
      <c r="AD58" s="5">
        <f>IFERROR(INDEX('Input 3.1_2019VOL-YTD'!$C$4:$N$300, MATCH($C58,'Input 3.1_2019VOL-YTD'!$R$4:$R$300,0),MATCH(AD$2,'Input 3.1_2019VOL-YTD'!$C$1:$N$1,0))/INDEX('Input 3_2019CUST-YTD'!$C$4:$N$300,MATCH($C58,'Input 3_2019CUST-YTD'!$S$4:$S$300,0),MATCH(AD$2,'Input 3_2019CUST-YTD'!$C$1:$N$1,0)),0)</f>
        <v>5733.7553846153851</v>
      </c>
      <c r="AE58" s="272">
        <f t="shared" si="16"/>
        <v>7171.418846153847</v>
      </c>
      <c r="AF58" s="261">
        <f t="shared" si="17"/>
        <v>1</v>
      </c>
      <c r="AH58" s="262">
        <f>IFERROR(INDEX('Input 4.1_2020VOL-YTD'!$C$4:$O$300, MATCH($C58,'Input 4.1_2020VOL-YTD'!$R$4:$R$300,0),MATCH(AH$2,'Input 4.1_2020VOL-YTD'!$C$1:$O$1,0))/INDEX('Input 4_2020CUST-YTD'!$C$4:O$300,MATCH($C58,'Input 4_2020CUST-YTD'!$S$4:$S$300,0),MATCH(AH$2,'Input 4_2020CUST-YTD'!$C$1:$O$1,0)),0)</f>
        <v>6538.4115384615388</v>
      </c>
      <c r="AI58" s="262">
        <f>IFERROR(INDEX('Input 4.1_2020VOL-YTD'!$C$4:$O$300, MATCH($C58,'Input 4.1_2020VOL-YTD'!$R$4:$R$300,0),MATCH(AI$2,'Input 4.1_2020VOL-YTD'!$C$1:$O$1,0))/INDEX('Input 4_2020CUST-YTD'!$C$4:P$300,MATCH($C58,'Input 4_2020CUST-YTD'!$S$4:$S$300,0),MATCH(AI$2,'Input 4_2020CUST-YTD'!$C$1:$O$1,0)),0)</f>
        <v>6203.5377777777776</v>
      </c>
      <c r="AJ58" s="262">
        <f>IFERROR(INDEX('Input 4.1_2020VOL-YTD'!$C$4:$O$300, MATCH($C58,'Input 4.1_2020VOL-YTD'!$R$4:$R$300,0),MATCH(AJ$2,'Input 4.1_2020VOL-YTD'!$C$1:$O$1,0))/INDEX('Input 4_2020CUST-YTD'!$C$4:Q$300,MATCH($C58,'Input 4_2020CUST-YTD'!$S$4:$S$300,0),MATCH(AJ$2,'Input 4_2020CUST-YTD'!$C$1:$O$1,0)),0)</f>
        <v>5475.5876923076921</v>
      </c>
      <c r="AK58" s="262">
        <f>IFERROR(INDEX('Input 4.1_2020VOL-YTD'!$C$4:$O$300, MATCH($C58,'Input 4.1_2020VOL-YTD'!$R$4:$R$300,0),MATCH(AK$2,'Input 4.1_2020VOL-YTD'!$C$1:$O$1,0))/INDEX('Input 4_2020CUST-YTD'!$C$4:R$300,MATCH($C58,'Input 4_2020CUST-YTD'!$S$4:$S$300,0),MATCH(AK$2,'Input 4_2020CUST-YTD'!$C$1:$O$1,0)),0)</f>
        <v>4756.2914814814812</v>
      </c>
      <c r="AL58" s="262">
        <f>IFERROR(INDEX('Input 4.1_2020VOL-YTD'!$C$4:$O$300, MATCH($C58,'Input 4.1_2020VOL-YTD'!$R$4:$R$300,0),MATCH(AL$2,'Input 4.1_2020VOL-YTD'!$C$1:$O$1,0))/INDEX('Input 4_2020CUST-YTD'!$C$4:S$300,MATCH($C58,'Input 4_2020CUST-YTD'!$S$4:$S$300,0),MATCH(AL$2,'Input 4_2020CUST-YTD'!$C$1:$O$1,0)),0)</f>
        <v>5218.597777777778</v>
      </c>
      <c r="AM58" s="262">
        <f>IFERROR(INDEX('Input 4.1_2020VOL-YTD'!$C$4:$O$300, MATCH($C58,'Input 4.1_2020VOL-YTD'!$R$4:$R$300,0),MATCH(AM$2,'Input 4.1_2020VOL-YTD'!$C$1:$O$1,0))/INDEX('Input 4_2020CUST-YTD'!$C$4:T$300,MATCH($C58,'Input 4_2020CUST-YTD'!$S$4:$S$300,0),MATCH(AM$2,'Input 4_2020CUST-YTD'!$C$1:$O$1,0)),0)</f>
        <v>4904.8355555555554</v>
      </c>
      <c r="AN58" s="262">
        <f>IFERROR(INDEX('Input 4.1_2020VOL-YTD'!$C$4:$O$300, MATCH($C58,'Input 4.1_2020VOL-YTD'!$R$4:$R$300,0),MATCH(AN$2,'Input 4.1_2020VOL-YTD'!$C$1:$O$1,0))/INDEX('Input 4_2020CUST-YTD'!$C$4:U$300,MATCH($C58,'Input 4_2020CUST-YTD'!$S$4:$S$300,0),MATCH(AN$2,'Input 4_2020CUST-YTD'!$C$1:$O$1,0)),0)</f>
        <v>4493.5514814814815</v>
      </c>
      <c r="AO58" s="262">
        <f>IFERROR(INDEX('Input 4.1_2020VOL-YTD'!$C$4:$O$300, MATCH($C58,'Input 4.1_2020VOL-YTD'!$R$4:$R$300,0),MATCH(AO$2,'Input 4.1_2020VOL-YTD'!$C$1:$O$1,0))/INDEX('Input 4_2020CUST-YTD'!$C$4:V$300,MATCH($C58,'Input 4_2020CUST-YTD'!$S$4:$S$300,0),MATCH(AO$2,'Input 4_2020CUST-YTD'!$C$1:$O$1,0)),0)</f>
        <v>4751.7739285714288</v>
      </c>
      <c r="AP58" s="262">
        <f>IFERROR(INDEX('Input 4.1_2020VOL-YTD'!$C$4:$O$300, MATCH($C58,'Input 4.1_2020VOL-YTD'!$R$4:$R$300,0),MATCH(AP$2,'Input 4.1_2020VOL-YTD'!$C$1:$O$1,0))/INDEX('Input 4_2020CUST-YTD'!$C$4:W$300,MATCH($C58,'Input 4_2020CUST-YTD'!$S$4:$S$300,0),MATCH(AP$2,'Input 4_2020CUST-YTD'!$C$1:$O$1,0)),0)</f>
        <v>5704.5551724137931</v>
      </c>
      <c r="AQ58" s="262">
        <f>IFERROR(INDEX('Input 4.1_2020VOL-YTD'!$C$4:$O$300, MATCH($C58,'Input 4.1_2020VOL-YTD'!$R$4:$R$300,0),MATCH(AQ$2,'Input 4.1_2020VOL-YTD'!$C$1:$O$1,0))/INDEX('Input 4_2020CUST-YTD'!$C$4:X$300,MATCH($C58,'Input 4_2020CUST-YTD'!$S$4:$S$300,0),MATCH(AQ$2,'Input 4_2020CUST-YTD'!$C$1:$O$1,0)),0)</f>
        <v>6616.4960714285717</v>
      </c>
      <c r="AR58" s="262">
        <f>IFERROR(INDEX('Input 4.1_2020VOL-YTD'!$C$4:$O$300, MATCH($C58,'Input 4.1_2020VOL-YTD'!$R$4:$R$300,0),MATCH(AR$2,'Input 4.1_2020VOL-YTD'!$C$1:$O$1,0))/INDEX('Input 4_2020CUST-YTD'!$C$4:Y$300,MATCH($C58,'Input 4_2020CUST-YTD'!$S$4:$S$300,0),MATCH(AR$2,'Input 4_2020CUST-YTD'!$C$1:$O$1,0)),0)</f>
        <v>5296.4913793103451</v>
      </c>
      <c r="AS58" s="262">
        <f>IFERROR(INDEX('Input 4.1_2020VOL-YTD'!$C$4:$O$300, MATCH($C58,'Input 4.1_2020VOL-YTD'!$R$4:$R$300,0),MATCH(AS$2,'Input 4.1_2020VOL-YTD'!$C$1:$O$1,0))/INDEX('Input 4_2020CUST-YTD'!$C$4:Z$300,MATCH($C58,'Input 4_2020CUST-YTD'!$S$4:$S$300,0),MATCH(AS$2,'Input 4_2020CUST-YTD'!$C$1:$O$1,0)),0)</f>
        <v>6651.7382758620688</v>
      </c>
      <c r="AT58" s="190">
        <f t="shared" si="18"/>
        <v>6651.7382758620688</v>
      </c>
      <c r="AU58" s="261">
        <f t="shared" si="19"/>
        <v>12</v>
      </c>
      <c r="AW58" s="1">
        <f>IFERROR(INDEX('Input 5.1_2021VOL-YTD'!$C$3:$N$150, MATCH($C58,'Input 5.1_2021VOL-YTD'!$R$3:$R$150,0),MATCH(AW$2,'Input 5.1_2021VOL-YTD'!$C$1:$N$1,0))/INDEX('Input 5_2021CUST-YTD'!$C$3:$N$150,MATCH($C58,'Input 5_2021CUST-YTD'!$S$3:$S$150,0),MATCH(AW$2,'Input 5_2021CUST-YTD'!$C$1:$N$1,0)),0)</f>
        <v>7506.1953571428576</v>
      </c>
      <c r="AX58" s="1">
        <f>IFERROR(INDEX('Input 5.1_2021VOL-YTD'!$C$3:$N$150, MATCH($C58,'Input 5.1_2021VOL-YTD'!$R$3:$R$150,0),MATCH(AX$2,'Input 5.1_2021VOL-YTD'!$C$1:$N$1,0))/INDEX('Input 5_2021CUST-YTD'!$C$3:$N$150,MATCH($C58,'Input 5_2021CUST-YTD'!$S$3:$S$150,0),MATCH(AX$2,'Input 5_2021CUST-YTD'!$C$1:$N$1,0)),0)</f>
        <v>6934.2193103448271</v>
      </c>
      <c r="AY58" s="1">
        <f>IFERROR(INDEX('Input 5.1_2021VOL-YTD'!$C$3:$N$150, MATCH($C58,'Input 5.1_2021VOL-YTD'!$R$3:$R$150,0),MATCH(AY$2,'Input 5.1_2021VOL-YTD'!$C$1:$N$1,0))/INDEX('Input 5_2021CUST-YTD'!$C$3:$N$150,MATCH($C58,'Input 5_2021CUST-YTD'!$S$3:$S$150,0),MATCH(AY$2,'Input 5_2021CUST-YTD'!$C$1:$N$1,0)),0)</f>
        <v>6827.5014285714287</v>
      </c>
      <c r="AZ58" s="1">
        <f>IFERROR(INDEX('Input 5.1_2021VOL-YTD'!$C$3:$N$150, MATCH($C58,'Input 5.1_2021VOL-YTD'!$R$3:$R$150,0),MATCH(AZ$2,'Input 5.1_2021VOL-YTD'!$C$1:$N$1,0))/INDEX('Input 5_2021CUST-YTD'!$C$3:$N$150,MATCH($C58,'Input 5_2021CUST-YTD'!$S$3:$S$150,0),MATCH(AZ$2,'Input 5_2021CUST-YTD'!$C$1:$N$1,0)),0)</f>
        <v>6673.6986666666662</v>
      </c>
      <c r="BA58" s="1">
        <f>IFERROR(INDEX('Input 5.1_2021VOL-YTD'!$C$3:$N$150, MATCH($C58,'Input 5.1_2021VOL-YTD'!$R$3:$R$150,0),MATCH(BA$2,'Input 5.1_2021VOL-YTD'!$C$1:$N$1,0))/INDEX('Input 5_2021CUST-YTD'!$C$3:$N$150,MATCH($C58,'Input 5_2021CUST-YTD'!$S$3:$S$150,0),MATCH(BA$2,'Input 5_2021CUST-YTD'!$C$1:$N$1,0)),0)</f>
        <v>5023.1196666666665</v>
      </c>
      <c r="BB58" s="1">
        <f>IFERROR(INDEX('Input 5.1_2021VOL-YTD'!$C$3:$N$150, MATCH($C58,'Input 5.1_2021VOL-YTD'!$R$3:$R$150,0),MATCH(BB$2,'Input 5.1_2021VOL-YTD'!$C$1:$N$1,0))/INDEX('Input 5_2021CUST-YTD'!$C$3:$N$150,MATCH($C58,'Input 5_2021CUST-YTD'!$S$3:$S$150,0),MATCH(BB$2,'Input 5_2021CUST-YTD'!$C$1:$N$1,0)),0)</f>
        <v>5582.4299999999994</v>
      </c>
      <c r="BC58" s="1">
        <f>IFERROR(INDEX('Input 5.1_2021VOL-YTD'!$C$3:$N$150, MATCH($C58,'Input 5.1_2021VOL-YTD'!$R$3:$R$150,0),MATCH(BC$2,'Input 5.1_2021VOL-YTD'!$C$1:$N$1,0))/INDEX('Input 5_2021CUST-YTD'!$C$3:$N$150,MATCH($C58,'Input 5_2021CUST-YTD'!$S$3:$S$150,0),MATCH(BC$2,'Input 5_2021CUST-YTD'!$C$1:$N$1,0)),0)</f>
        <v>5933.8016666666663</v>
      </c>
      <c r="BD58" s="1">
        <f>IFERROR(INDEX('Input 5.1_2021VOL-YTD'!$C$3:$N$150, MATCH($C58,'Input 5.1_2021VOL-YTD'!$R$3:$R$150,0),MATCH(BD$2,'Input 5.1_2021VOL-YTD'!$C$1:$N$1,0))/INDEX('Input 5_2021CUST-YTD'!$C$3:$N$150,MATCH($C58,'Input 5_2021CUST-YTD'!$S$3:$S$150,0),MATCH(BD$2,'Input 5_2021CUST-YTD'!$C$1:$N$1,0)),0)</f>
        <v>6600.7280645161291</v>
      </c>
      <c r="BE58" s="1">
        <f>IFERROR(INDEX('Input 5.1_2021VOL-YTD'!$C$3:$N$150, MATCH($C58,'Input 5.1_2021VOL-YTD'!$R$3:$R$150,0),MATCH(BE$2,'Input 5.1_2021VOL-YTD'!$C$1:$N$1,0))/INDEX('Input 5_2021CUST-YTD'!$C$3:$N$150,MATCH($C58,'Input 5_2021CUST-YTD'!$S$3:$S$150,0),MATCH(BE$2,'Input 5_2021CUST-YTD'!$C$1:$N$1,0)),0)</f>
        <v>8025.4063333333334</v>
      </c>
      <c r="BF58" s="1">
        <f>IFERROR(INDEX('Input 5.1_2021VOL-YTD'!$C$3:$N$150, MATCH($C58,'Input 5.1_2021VOL-YTD'!$R$3:$R$150,0),MATCH(BF$2,'Input 5.1_2021VOL-YTD'!$C$1:$N$1,0))/INDEX('Input 5_2021CUST-YTD'!$C$3:$N$150,MATCH($C58,'Input 5_2021CUST-YTD'!$S$3:$S$150,0),MATCH(BF$2,'Input 5_2021CUST-YTD'!$C$1:$N$1,0)),0)</f>
        <v>8976.7625806451615</v>
      </c>
      <c r="BG58" s="1">
        <f>IFERROR(INDEX('Input 5.1_2021VOL-YTD'!$C$3:$N$150, MATCH($C58,'Input 5.1_2021VOL-YTD'!$R$3:$R$150,0),MATCH(BG$2,'Input 5.1_2021VOL-YTD'!$C$1:$N$1,0))/INDEX('Input 5_2021CUST-YTD'!$C$3:$N$150,MATCH($C58,'Input 5_2021CUST-YTD'!$S$3:$S$150,0),MATCH(BG$2,'Input 5_2021CUST-YTD'!$C$1:$N$1,0)),0)</f>
        <v>7246.7734375</v>
      </c>
      <c r="BH58" s="1">
        <f>IFERROR(INDEX('Input 5.1_2021VOL-YTD'!$C$3:$N$150, MATCH($C58,'Input 5.1_2021VOL-YTD'!$R$3:$R$150,0),MATCH(BH$2,'Input 5.1_2021VOL-YTD'!$C$1:$N$1,0))/INDEX('Input 5_2021CUST-YTD'!$C$3:$N$150,MATCH($C58,'Input 5_2021CUST-YTD'!$S$3:$S$150,0),MATCH(BH$2,'Input 5_2021CUST-YTD'!$C$1:$N$1,0)),0)</f>
        <v>7331.4409677419362</v>
      </c>
      <c r="BI58" s="190">
        <f t="shared" si="7"/>
        <v>8976.7625806451615</v>
      </c>
      <c r="BJ58" s="261">
        <f t="shared" si="8"/>
        <v>10</v>
      </c>
    </row>
    <row r="59" spans="1:62">
      <c r="A59" s="261" t="s">
        <v>1245</v>
      </c>
      <c r="B59" s="261" t="s">
        <v>17</v>
      </c>
      <c r="C59" s="261" t="s">
        <v>72</v>
      </c>
      <c r="D59" s="5">
        <f>IFERROR(INDEX('Input 16.1_2018VOL-YTD'!$C$4:$N$300, MATCH($C59,'Input 16.1_2018VOL-YTD'!$R$4:$R$300,0),MATCH(D$2,'Input 16.1_2018VOL-YTD'!$C$1:$N$1,0))/INDEX('Input 16_2018CUST-YTD'!$D$4:$O$300,MATCH($C59,'Input 16_2018CUST-YTD'!$S$4:$S$300,0),MATCH(D$2,'Input 16_2018CUST-YTD'!$C$1:$O$1,0)),0)</f>
        <v>18408.375909090912</v>
      </c>
      <c r="E59" s="5">
        <f>IFERROR(INDEX('Input 16.1_2018VOL-YTD'!$C$4:$N$300, MATCH($C59,'Input 16.1_2018VOL-YTD'!$R$4:$R$300,0),MATCH(E$2,'Input 16.1_2018VOL-YTD'!$C$1:$N$1,0))/INDEX('Input 16_2018CUST-YTD'!$D$4:$O$300,MATCH($C59,'Input 16_2018CUST-YTD'!$S$4:$S$300,0),MATCH(E$2,'Input 16_2018CUST-YTD'!$C$1:$O$1,0)),0)</f>
        <v>12822.118636363635</v>
      </c>
      <c r="F59" s="5">
        <f>IFERROR(INDEX('Input 16.1_2018VOL-YTD'!$C$4:$N$300, MATCH($C59,'Input 16.1_2018VOL-YTD'!$R$4:$R$300,0),MATCH(F$2,'Input 16.1_2018VOL-YTD'!$C$1:$N$1,0))/INDEX('Input 16_2018CUST-YTD'!$D$4:$O$300,MATCH($C59,'Input 16_2018CUST-YTD'!$S$4:$S$300,0),MATCH(F$2,'Input 16_2018CUST-YTD'!$C$1:$O$1,0)),0)</f>
        <v>14320.571428571429</v>
      </c>
      <c r="G59" s="5">
        <f>IFERROR(INDEX('Input 16.1_2018VOL-YTD'!$C$4:$N$300, MATCH($C59,'Input 16.1_2018VOL-YTD'!$R$4:$R$300,0),MATCH(G$2,'Input 16.1_2018VOL-YTD'!$C$1:$N$1,0))/INDEX('Input 16_2018CUST-YTD'!$D$4:$O$300,MATCH($C59,'Input 16_2018CUST-YTD'!$S$4:$S$300,0),MATCH(G$2,'Input 16_2018CUST-YTD'!$C$1:$O$1,0)),0)</f>
        <v>12578.319999999998</v>
      </c>
      <c r="H59" s="5">
        <f>IFERROR(INDEX('Input 16.1_2018VOL-YTD'!$C$4:$N$300, MATCH($C59,'Input 16.1_2018VOL-YTD'!$R$4:$R$300,0),MATCH(H$2,'Input 16.1_2018VOL-YTD'!$C$1:$N$1,0))/INDEX('Input 16_2018CUST-YTD'!$D$4:$O$300,MATCH($C59,'Input 16_2018CUST-YTD'!$S$4:$S$300,0),MATCH(H$2,'Input 16_2018CUST-YTD'!$C$1:$O$1,0)),0)</f>
        <v>13686.899130434782</v>
      </c>
      <c r="I59" s="5">
        <f>IFERROR(INDEX('Input 16.1_2018VOL-YTD'!$C$4:$N$300, MATCH($C59,'Input 16.1_2018VOL-YTD'!$R$4:$R$300,0),MATCH(I$2,'Input 16.1_2018VOL-YTD'!$C$1:$N$1,0))/INDEX('Input 16_2018CUST-YTD'!$D$4:$O$300,MATCH($C59,'Input 16_2018CUST-YTD'!$S$4:$S$300,0),MATCH(I$2,'Input 16_2018CUST-YTD'!$C$1:$O$1,0)),0)</f>
        <v>11711.058636363638</v>
      </c>
      <c r="J59" s="5">
        <f>IFERROR(INDEX('Input 16.1_2018VOL-YTD'!$C$4:$N$300, MATCH($C59,'Input 16.1_2018VOL-YTD'!$R$4:$R$300,0),MATCH(J$2,'Input 16.1_2018VOL-YTD'!$C$1:$N$1,0))/INDEX('Input 16_2018CUST-YTD'!$D$4:$O$300,MATCH($C59,'Input 16_2018CUST-YTD'!$S$4:$S$300,0),MATCH(J$2,'Input 16_2018CUST-YTD'!$C$1:$O$1,0)),0)</f>
        <v>12554.451818181818</v>
      </c>
      <c r="K59" s="5">
        <f>IFERROR(INDEX('Input 16.1_2018VOL-YTD'!$C$4:$N$300, MATCH($C59,'Input 16.1_2018VOL-YTD'!$R$4:$R$300,0),MATCH(K$2,'Input 16.1_2018VOL-YTD'!$C$1:$N$1,0))/INDEX('Input 16_2018CUST-YTD'!$D$4:$O$300,MATCH($C59,'Input 16_2018CUST-YTD'!$S$4:$S$300,0),MATCH(K$2,'Input 16_2018CUST-YTD'!$C$1:$O$1,0)),0)</f>
        <v>12893.081818181818</v>
      </c>
      <c r="L59" s="5">
        <f>IFERROR(INDEX('Input 16.1_2018VOL-YTD'!$C$4:$N$300, MATCH($C59,'Input 16.1_2018VOL-YTD'!$R$4:$R$300,0),MATCH(L$2,'Input 16.1_2018VOL-YTD'!$C$1:$N$1,0))/INDEX('Input 16_2018CUST-YTD'!$D$4:$O$300,MATCH($C59,'Input 16_2018CUST-YTD'!$S$4:$S$300,0),MATCH(L$2,'Input 16_2018CUST-YTD'!$C$1:$O$1,0)),0)</f>
        <v>11287.201818181818</v>
      </c>
      <c r="M59" s="5">
        <f>IFERROR(INDEX('Input 16.1_2018VOL-YTD'!$C$4:$N$300, MATCH($C59,'Input 16.1_2018VOL-YTD'!$R$4:$R$300,0),MATCH(M$2,'Input 16.1_2018VOL-YTD'!$C$1:$N$1,0))/INDEX('Input 16_2018CUST-YTD'!$D$4:$O$300,MATCH($C59,'Input 16_2018CUST-YTD'!$S$4:$S$300,0),MATCH(M$2,'Input 16_2018CUST-YTD'!$C$1:$O$1,0)),0)</f>
        <v>13023.018181818183</v>
      </c>
      <c r="N59" s="5">
        <f>IFERROR(INDEX('Input 16.1_2018VOL-YTD'!$C$4:$N$300, MATCH($C59,'Input 16.1_2018VOL-YTD'!$R$4:$R$300,0),MATCH(N$2,'Input 16.1_2018VOL-YTD'!$C$1:$N$1,0))/INDEX('Input 16_2018CUST-YTD'!$D$4:$O$300,MATCH($C59,'Input 16_2018CUST-YTD'!$S$4:$S$300,0),MATCH(N$2,'Input 16_2018CUST-YTD'!$C$1:$O$1,0)),0)</f>
        <v>13264.999545454544</v>
      </c>
      <c r="O59" s="5">
        <f>IFERROR(INDEX('Input 16.1_2018VOL-YTD'!$C$4:$N$300, MATCH($C59,'Input 16.1_2018VOL-YTD'!$R$4:$R$300,0),MATCH(O$2,'Input 16.1_2018VOL-YTD'!$C$1:$N$1,0))/INDEX('Input 16_2018CUST-YTD'!$D$4:$O$300,MATCH($C59,'Input 16_2018CUST-YTD'!$S$4:$S$300,0),MATCH(O$2,'Input 16_2018CUST-YTD'!$C$1:$O$1,0)),0)</f>
        <v>14058.69090909091</v>
      </c>
      <c r="P59" s="271">
        <f t="shared" si="1"/>
        <v>18408.375909090912</v>
      </c>
      <c r="Q59" s="261">
        <f t="shared" si="2"/>
        <v>1</v>
      </c>
      <c r="S59" s="5">
        <f>IFERROR(INDEX('Input 3.1_2019VOL-YTD'!$C$4:$N$300, MATCH($C59,'Input 3.1_2019VOL-YTD'!$R$4:$R$300,0),MATCH(S$2,'Input 3.1_2019VOL-YTD'!$C$1:$N$1,0))/INDEX('Input 3_2019CUST-YTD'!$C$4:$N$300,MATCH($C59,'Input 3_2019CUST-YTD'!$S$4:$S$300,0),MATCH(S$2,'Input 3_2019CUST-YTD'!$C$1:$N$1,0)),0)</f>
        <v>16544.710454545453</v>
      </c>
      <c r="T59" s="5">
        <f>IFERROR(INDEX('Input 3.1_2019VOL-YTD'!$C$4:$N$300, MATCH($C59,'Input 3.1_2019VOL-YTD'!$R$4:$R$300,0),MATCH(T$2,'Input 3.1_2019VOL-YTD'!$C$1:$N$1,0))/INDEX('Input 3_2019CUST-YTD'!$C$4:$N$300,MATCH($C59,'Input 3_2019CUST-YTD'!$S$4:$S$300,0),MATCH(T$2,'Input 3_2019CUST-YTD'!$C$1:$N$1,0)),0)</f>
        <v>14415.92090909091</v>
      </c>
      <c r="U59" s="5">
        <f>IFERROR(INDEX('Input 3.1_2019VOL-YTD'!$C$4:$N$300, MATCH($C59,'Input 3.1_2019VOL-YTD'!$R$4:$R$300,0),MATCH(U$2,'Input 3.1_2019VOL-YTD'!$C$1:$N$1,0))/INDEX('Input 3_2019CUST-YTD'!$C$4:$N$300,MATCH($C59,'Input 3_2019CUST-YTD'!$S$4:$S$300,0),MATCH(U$2,'Input 3_2019CUST-YTD'!$C$1:$N$1,0)),0)</f>
        <v>15002.451818181818</v>
      </c>
      <c r="V59" s="5">
        <f>IFERROR(INDEX('Input 3.1_2019VOL-YTD'!$C$4:$N$300, MATCH($C59,'Input 3.1_2019VOL-YTD'!$R$4:$R$300,0),MATCH(V$2,'Input 3.1_2019VOL-YTD'!$C$1:$N$1,0))/INDEX('Input 3_2019CUST-YTD'!$C$4:$N$300,MATCH($C59,'Input 3_2019CUST-YTD'!$S$4:$S$300,0),MATCH(V$2,'Input 3_2019CUST-YTD'!$C$1:$N$1,0)),0)</f>
        <v>14016.824090909091</v>
      </c>
      <c r="W59" s="5">
        <f>IFERROR(INDEX('Input 3.1_2019VOL-YTD'!$C$4:$N$300, MATCH($C59,'Input 3.1_2019VOL-YTD'!$R$4:$R$300,0),MATCH(W$2,'Input 3.1_2019VOL-YTD'!$C$1:$N$1,0))/INDEX('Input 3_2019CUST-YTD'!$C$4:$N$300,MATCH($C59,'Input 3_2019CUST-YTD'!$S$4:$S$300,0),MATCH(W$2,'Input 3_2019CUST-YTD'!$C$1:$N$1,0)),0)</f>
        <v>13700.113636363636</v>
      </c>
      <c r="X59" s="5">
        <f>IFERROR(INDEX('Input 3.1_2019VOL-YTD'!$C$4:$N$300, MATCH($C59,'Input 3.1_2019VOL-YTD'!$R$4:$R$300,0),MATCH(X$2,'Input 3.1_2019VOL-YTD'!$C$1:$N$1,0))/INDEX('Input 3_2019CUST-YTD'!$C$4:$N$300,MATCH($C59,'Input 3_2019CUST-YTD'!$S$4:$S$300,0),MATCH(X$2,'Input 3_2019CUST-YTD'!$C$1:$N$1,0)),0)</f>
        <v>12338.904999999999</v>
      </c>
      <c r="Y59" s="5">
        <f>IFERROR(INDEX('Input 3.1_2019VOL-YTD'!$C$4:$N$300, MATCH($C59,'Input 3.1_2019VOL-YTD'!$R$4:$R$300,0),MATCH(Y$2,'Input 3.1_2019VOL-YTD'!$C$1:$N$1,0))/INDEX('Input 3_2019CUST-YTD'!$C$4:$N$300,MATCH($C59,'Input 3_2019CUST-YTD'!$S$4:$S$300,0),MATCH(Y$2,'Input 3_2019CUST-YTD'!$C$1:$N$1,0)),0)</f>
        <v>12774.37590909091</v>
      </c>
      <c r="Z59" s="5">
        <f>IFERROR(INDEX('Input 3.1_2019VOL-YTD'!$C$4:$N$300, MATCH($C59,'Input 3.1_2019VOL-YTD'!$R$4:$R$300,0),MATCH(Z$2,'Input 3.1_2019VOL-YTD'!$C$1:$N$1,0))/INDEX('Input 3_2019CUST-YTD'!$C$4:$N$300,MATCH($C59,'Input 3_2019CUST-YTD'!$S$4:$S$300,0),MATCH(Z$2,'Input 3_2019CUST-YTD'!$C$1:$N$1,0)),0)</f>
        <v>11384.232</v>
      </c>
      <c r="AA59" s="5">
        <f>IFERROR(INDEX('Input 3.1_2019VOL-YTD'!$C$4:$N$300, MATCH($C59,'Input 3.1_2019VOL-YTD'!$R$4:$R$300,0),MATCH(AA$2,'Input 3.1_2019VOL-YTD'!$C$1:$N$1,0))/INDEX('Input 3_2019CUST-YTD'!$C$4:$N$300,MATCH($C59,'Input 3_2019CUST-YTD'!$S$4:$S$300,0),MATCH(AA$2,'Input 3_2019CUST-YTD'!$C$1:$N$1,0)),0)</f>
        <v>11700.033913043479</v>
      </c>
      <c r="AB59" s="5">
        <f>IFERROR(INDEX('Input 3.1_2019VOL-YTD'!$C$4:$N$300, MATCH($C59,'Input 3.1_2019VOL-YTD'!$R$4:$R$300,0),MATCH(AB$2,'Input 3.1_2019VOL-YTD'!$C$1:$N$1,0))/INDEX('Input 3_2019CUST-YTD'!$C$4:$N$300,MATCH($C59,'Input 3_2019CUST-YTD'!$S$4:$S$300,0),MATCH(AB$2,'Input 3_2019CUST-YTD'!$C$1:$N$1,0)),0)</f>
        <v>13616.254782608696</v>
      </c>
      <c r="AC59" s="5">
        <f>IFERROR(INDEX('Input 3.1_2019VOL-YTD'!$C$4:$N$300, MATCH($C59,'Input 3.1_2019VOL-YTD'!$R$4:$R$300,0),MATCH(AC$2,'Input 3.1_2019VOL-YTD'!$C$1:$N$1,0))/INDEX('Input 3_2019CUST-YTD'!$C$4:$N$300,MATCH($C59,'Input 3_2019CUST-YTD'!$S$4:$S$300,0),MATCH(AC$2,'Input 3_2019CUST-YTD'!$C$1:$N$1,0)),0)</f>
        <v>13352.87043478261</v>
      </c>
      <c r="AD59" s="5">
        <f>IFERROR(INDEX('Input 3.1_2019VOL-YTD'!$C$4:$N$300, MATCH($C59,'Input 3.1_2019VOL-YTD'!$R$4:$R$300,0),MATCH(AD$2,'Input 3.1_2019VOL-YTD'!$C$1:$N$1,0))/INDEX('Input 3_2019CUST-YTD'!$C$4:$N$300,MATCH($C59,'Input 3_2019CUST-YTD'!$S$4:$S$300,0),MATCH(AD$2,'Input 3_2019CUST-YTD'!$C$1:$N$1,0)),0)</f>
        <v>14081.327826086956</v>
      </c>
      <c r="AE59" s="272">
        <f t="shared" si="16"/>
        <v>16544.710454545453</v>
      </c>
      <c r="AF59" s="261">
        <f t="shared" si="17"/>
        <v>1</v>
      </c>
      <c r="AH59" s="262">
        <f>IFERROR(INDEX('Input 4.1_2020VOL-YTD'!$C$4:$O$300, MATCH($C59,'Input 4.1_2020VOL-YTD'!$R$4:$R$300,0),MATCH(AH$2,'Input 4.1_2020VOL-YTD'!$C$1:$O$1,0))/INDEX('Input 4_2020CUST-YTD'!$C$4:O$300,MATCH($C59,'Input 4_2020CUST-YTD'!$S$4:$S$300,0),MATCH(AH$2,'Input 4_2020CUST-YTD'!$C$1:$O$1,0)),0)</f>
        <v>13842.4828</v>
      </c>
      <c r="AI59" s="262">
        <f>IFERROR(INDEX('Input 4.1_2020VOL-YTD'!$C$4:$O$300, MATCH($C59,'Input 4.1_2020VOL-YTD'!$R$4:$R$300,0),MATCH(AI$2,'Input 4.1_2020VOL-YTD'!$C$1:$O$1,0))/INDEX('Input 4_2020CUST-YTD'!$C$4:P$300,MATCH($C59,'Input 4_2020CUST-YTD'!$S$4:$S$300,0),MATCH(AI$2,'Input 4_2020CUST-YTD'!$C$1:$O$1,0)),0)</f>
        <v>13115.87</v>
      </c>
      <c r="AJ59" s="262">
        <f>IFERROR(INDEX('Input 4.1_2020VOL-YTD'!$C$4:$O$300, MATCH($C59,'Input 4.1_2020VOL-YTD'!$R$4:$R$300,0),MATCH(AJ$2,'Input 4.1_2020VOL-YTD'!$C$1:$O$1,0))/INDEX('Input 4_2020CUST-YTD'!$C$4:Q$300,MATCH($C59,'Input 4_2020CUST-YTD'!$S$4:$S$300,0),MATCH(AJ$2,'Input 4_2020CUST-YTD'!$C$1:$O$1,0)),0)</f>
        <v>13570.496399999998</v>
      </c>
      <c r="AK59" s="262">
        <f>IFERROR(INDEX('Input 4.1_2020VOL-YTD'!$C$4:$O$300, MATCH($C59,'Input 4.1_2020VOL-YTD'!$R$4:$R$300,0),MATCH(AK$2,'Input 4.1_2020VOL-YTD'!$C$1:$O$1,0))/INDEX('Input 4_2020CUST-YTD'!$C$4:R$300,MATCH($C59,'Input 4_2020CUST-YTD'!$S$4:$S$300,0),MATCH(AK$2,'Input 4_2020CUST-YTD'!$C$1:$O$1,0)),0)</f>
        <v>10897.469166666668</v>
      </c>
      <c r="AL59" s="262">
        <f>IFERROR(INDEX('Input 4.1_2020VOL-YTD'!$C$4:$O$300, MATCH($C59,'Input 4.1_2020VOL-YTD'!$R$4:$R$300,0),MATCH(AL$2,'Input 4.1_2020VOL-YTD'!$C$1:$O$1,0))/INDEX('Input 4_2020CUST-YTD'!$C$4:S$300,MATCH($C59,'Input 4_2020CUST-YTD'!$S$4:$S$300,0),MATCH(AL$2,'Input 4_2020CUST-YTD'!$C$1:$O$1,0)),0)</f>
        <v>11508.196153846153</v>
      </c>
      <c r="AM59" s="262">
        <f>IFERROR(INDEX('Input 4.1_2020VOL-YTD'!$C$4:$O$300, MATCH($C59,'Input 4.1_2020VOL-YTD'!$R$4:$R$300,0),MATCH(AM$2,'Input 4.1_2020VOL-YTD'!$C$1:$O$1,0))/INDEX('Input 4_2020CUST-YTD'!$C$4:T$300,MATCH($C59,'Input 4_2020CUST-YTD'!$S$4:$S$300,0),MATCH(AM$2,'Input 4_2020CUST-YTD'!$C$1:$O$1,0)),0)</f>
        <v>12368.757600000001</v>
      </c>
      <c r="AN59" s="262">
        <f>IFERROR(INDEX('Input 4.1_2020VOL-YTD'!$C$4:$O$300, MATCH($C59,'Input 4.1_2020VOL-YTD'!$R$4:$R$300,0),MATCH(AN$2,'Input 4.1_2020VOL-YTD'!$C$1:$O$1,0))/INDEX('Input 4_2020CUST-YTD'!$C$4:U$300,MATCH($C59,'Input 4_2020CUST-YTD'!$S$4:$S$300,0),MATCH(AN$2,'Input 4_2020CUST-YTD'!$C$1:$O$1,0)),0)</f>
        <v>11405.1944</v>
      </c>
      <c r="AO59" s="262">
        <f>IFERROR(INDEX('Input 4.1_2020VOL-YTD'!$C$4:$O$300, MATCH($C59,'Input 4.1_2020VOL-YTD'!$R$4:$R$300,0),MATCH(AO$2,'Input 4.1_2020VOL-YTD'!$C$1:$O$1,0))/INDEX('Input 4_2020CUST-YTD'!$C$4:V$300,MATCH($C59,'Input 4_2020CUST-YTD'!$S$4:$S$300,0),MATCH(AO$2,'Input 4_2020CUST-YTD'!$C$1:$O$1,0)),0)</f>
        <v>11400.371200000001</v>
      </c>
      <c r="AP59" s="262">
        <f>IFERROR(INDEX('Input 4.1_2020VOL-YTD'!$C$4:$O$300, MATCH($C59,'Input 4.1_2020VOL-YTD'!$R$4:$R$300,0),MATCH(AP$2,'Input 4.1_2020VOL-YTD'!$C$1:$O$1,0))/INDEX('Input 4_2020CUST-YTD'!$C$4:W$300,MATCH($C59,'Input 4_2020CUST-YTD'!$S$4:$S$300,0),MATCH(AP$2,'Input 4_2020CUST-YTD'!$C$1:$O$1,0)),0)</f>
        <v>11870.938799999998</v>
      </c>
      <c r="AQ59" s="262">
        <f>IFERROR(INDEX('Input 4.1_2020VOL-YTD'!$C$4:$O$300, MATCH($C59,'Input 4.1_2020VOL-YTD'!$R$4:$R$300,0),MATCH(AQ$2,'Input 4.1_2020VOL-YTD'!$C$1:$O$1,0))/INDEX('Input 4_2020CUST-YTD'!$C$4:X$300,MATCH($C59,'Input 4_2020CUST-YTD'!$S$4:$S$300,0),MATCH(AQ$2,'Input 4_2020CUST-YTD'!$C$1:$O$1,0)),0)</f>
        <v>12109.492692307693</v>
      </c>
      <c r="AR59" s="262">
        <f>IFERROR(INDEX('Input 4.1_2020VOL-YTD'!$C$4:$O$300, MATCH($C59,'Input 4.1_2020VOL-YTD'!$R$4:$R$300,0),MATCH(AR$2,'Input 4.1_2020VOL-YTD'!$C$1:$O$1,0))/INDEX('Input 4_2020CUST-YTD'!$C$4:Y$300,MATCH($C59,'Input 4_2020CUST-YTD'!$S$4:$S$300,0),MATCH(AR$2,'Input 4_2020CUST-YTD'!$C$1:$O$1,0)),0)</f>
        <v>12627.173461538461</v>
      </c>
      <c r="AS59" s="262">
        <f>IFERROR(INDEX('Input 4.1_2020VOL-YTD'!$C$4:$O$300, MATCH($C59,'Input 4.1_2020VOL-YTD'!$R$4:$R$300,0),MATCH(AS$2,'Input 4.1_2020VOL-YTD'!$C$1:$O$1,0))/INDEX('Input 4_2020CUST-YTD'!$C$4:Z$300,MATCH($C59,'Input 4_2020CUST-YTD'!$S$4:$S$300,0),MATCH(AS$2,'Input 4_2020CUST-YTD'!$C$1:$O$1,0)),0)</f>
        <v>14300.893461538461</v>
      </c>
      <c r="AT59" s="190">
        <f t="shared" si="18"/>
        <v>14300.893461538461</v>
      </c>
      <c r="AU59" s="261">
        <f t="shared" si="19"/>
        <v>12</v>
      </c>
      <c r="AW59" s="1">
        <f>IFERROR(INDEX('Input 5.1_2021VOL-YTD'!$C$3:$N$150, MATCH($C59,'Input 5.1_2021VOL-YTD'!$R$3:$R$150,0),MATCH(AW$2,'Input 5.1_2021VOL-YTD'!$C$1:$N$1,0))/INDEX('Input 5_2021CUST-YTD'!$C$3:$N$150,MATCH($C59,'Input 5_2021CUST-YTD'!$S$3:$S$150,0),MATCH(AW$2,'Input 5_2021CUST-YTD'!$C$1:$N$1,0)),0)</f>
        <v>14956.400769230768</v>
      </c>
      <c r="AX59" s="1">
        <f>IFERROR(INDEX('Input 5.1_2021VOL-YTD'!$C$3:$N$150, MATCH($C59,'Input 5.1_2021VOL-YTD'!$R$3:$R$150,0),MATCH(AX$2,'Input 5.1_2021VOL-YTD'!$C$1:$N$1,0))/INDEX('Input 5_2021CUST-YTD'!$C$3:$N$150,MATCH($C59,'Input 5_2021CUST-YTD'!$S$3:$S$150,0),MATCH(AX$2,'Input 5_2021CUST-YTD'!$C$1:$N$1,0)),0)</f>
        <v>13759.786153846155</v>
      </c>
      <c r="AY59" s="1">
        <f>IFERROR(INDEX('Input 5.1_2021VOL-YTD'!$C$3:$N$150, MATCH($C59,'Input 5.1_2021VOL-YTD'!$R$3:$R$150,0),MATCH(AY$2,'Input 5.1_2021VOL-YTD'!$C$1:$N$1,0))/INDEX('Input 5_2021CUST-YTD'!$C$3:$N$150,MATCH($C59,'Input 5_2021CUST-YTD'!$S$3:$S$150,0),MATCH(AY$2,'Input 5_2021CUST-YTD'!$C$1:$N$1,0)),0)</f>
        <v>14608.024615384616</v>
      </c>
      <c r="AZ59" s="1">
        <f>IFERROR(INDEX('Input 5.1_2021VOL-YTD'!$C$3:$N$150, MATCH($C59,'Input 5.1_2021VOL-YTD'!$R$3:$R$150,0),MATCH(AZ$2,'Input 5.1_2021VOL-YTD'!$C$1:$N$1,0))/INDEX('Input 5_2021CUST-YTD'!$C$3:$N$150,MATCH($C59,'Input 5_2021CUST-YTD'!$S$3:$S$150,0),MATCH(AZ$2,'Input 5_2021CUST-YTD'!$C$1:$N$1,0)),0)</f>
        <v>13146.644615384615</v>
      </c>
      <c r="BA59" s="1">
        <f>IFERROR(INDEX('Input 5.1_2021VOL-YTD'!$C$3:$N$150, MATCH($C59,'Input 5.1_2021VOL-YTD'!$R$3:$R$150,0),MATCH(BA$2,'Input 5.1_2021VOL-YTD'!$C$1:$N$1,0))/INDEX('Input 5_2021CUST-YTD'!$C$3:$N$150,MATCH($C59,'Input 5_2021CUST-YTD'!$S$3:$S$150,0),MATCH(BA$2,'Input 5_2021CUST-YTD'!$C$1:$N$1,0)),0)</f>
        <v>12335.083461538461</v>
      </c>
      <c r="BB59" s="1">
        <f>IFERROR(INDEX('Input 5.1_2021VOL-YTD'!$C$3:$N$150, MATCH($C59,'Input 5.1_2021VOL-YTD'!$R$3:$R$150,0),MATCH(BB$2,'Input 5.1_2021VOL-YTD'!$C$1:$N$1,0))/INDEX('Input 5_2021CUST-YTD'!$C$3:$N$150,MATCH($C59,'Input 5_2021CUST-YTD'!$S$3:$S$150,0),MATCH(BB$2,'Input 5_2021CUST-YTD'!$C$1:$N$1,0)),0)</f>
        <v>13040.793076923077</v>
      </c>
      <c r="BC59" s="1">
        <f>IFERROR(INDEX('Input 5.1_2021VOL-YTD'!$C$3:$N$150, MATCH($C59,'Input 5.1_2021VOL-YTD'!$R$3:$R$150,0),MATCH(BC$2,'Input 5.1_2021VOL-YTD'!$C$1:$N$1,0))/INDEX('Input 5_2021CUST-YTD'!$C$3:$N$150,MATCH($C59,'Input 5_2021CUST-YTD'!$S$3:$S$150,0),MATCH(BC$2,'Input 5_2021CUST-YTD'!$C$1:$N$1,0)),0)</f>
        <v>12826.705384615385</v>
      </c>
      <c r="BD59" s="1">
        <f>IFERROR(INDEX('Input 5.1_2021VOL-YTD'!$C$3:$N$150, MATCH($C59,'Input 5.1_2021VOL-YTD'!$R$3:$R$150,0),MATCH(BD$2,'Input 5.1_2021VOL-YTD'!$C$1:$N$1,0))/INDEX('Input 5_2021CUST-YTD'!$C$3:$N$150,MATCH($C59,'Input 5_2021CUST-YTD'!$S$3:$S$150,0),MATCH(BD$2,'Input 5_2021CUST-YTD'!$C$1:$N$1,0)),0)</f>
        <v>13803.99153846154</v>
      </c>
      <c r="BE59" s="1">
        <f>IFERROR(INDEX('Input 5.1_2021VOL-YTD'!$C$3:$N$150, MATCH($C59,'Input 5.1_2021VOL-YTD'!$R$3:$R$150,0),MATCH(BE$2,'Input 5.1_2021VOL-YTD'!$C$1:$N$1,0))/INDEX('Input 5_2021CUST-YTD'!$C$3:$N$150,MATCH($C59,'Input 5_2021CUST-YTD'!$S$3:$S$150,0),MATCH(BE$2,'Input 5_2021CUST-YTD'!$C$1:$N$1,0)),0)</f>
        <v>13221.06</v>
      </c>
      <c r="BF59" s="1">
        <f>IFERROR(INDEX('Input 5.1_2021VOL-YTD'!$C$3:$N$150, MATCH($C59,'Input 5.1_2021VOL-YTD'!$R$3:$R$150,0),MATCH(BF$2,'Input 5.1_2021VOL-YTD'!$C$1:$N$1,0))/INDEX('Input 5_2021CUST-YTD'!$C$3:$N$150,MATCH($C59,'Input 5_2021CUST-YTD'!$S$3:$S$150,0),MATCH(BF$2,'Input 5_2021CUST-YTD'!$C$1:$N$1,0)),0)</f>
        <v>13233.601153846153</v>
      </c>
      <c r="BG59" s="1">
        <f>IFERROR(INDEX('Input 5.1_2021VOL-YTD'!$C$3:$N$150, MATCH($C59,'Input 5.1_2021VOL-YTD'!$R$3:$R$150,0),MATCH(BG$2,'Input 5.1_2021VOL-YTD'!$C$1:$N$1,0))/INDEX('Input 5_2021CUST-YTD'!$C$3:$N$150,MATCH($C59,'Input 5_2021CUST-YTD'!$S$3:$S$150,0),MATCH(BG$2,'Input 5_2021CUST-YTD'!$C$1:$N$1,0)),0)</f>
        <v>15799.266153846153</v>
      </c>
      <c r="BH59" s="1">
        <f>IFERROR(INDEX('Input 5.1_2021VOL-YTD'!$C$3:$N$150, MATCH($C59,'Input 5.1_2021VOL-YTD'!$R$3:$R$150,0),MATCH(BH$2,'Input 5.1_2021VOL-YTD'!$C$1:$N$1,0))/INDEX('Input 5_2021CUST-YTD'!$C$3:$N$150,MATCH($C59,'Input 5_2021CUST-YTD'!$S$3:$S$150,0),MATCH(BH$2,'Input 5_2021CUST-YTD'!$C$1:$N$1,0)),0)</f>
        <v>14439.380384615386</v>
      </c>
      <c r="BI59" s="190">
        <f t="shared" si="7"/>
        <v>15799.266153846153</v>
      </c>
      <c r="BJ59" s="261">
        <f t="shared" si="8"/>
        <v>11</v>
      </c>
    </row>
    <row r="60" spans="1:62">
      <c r="A60" s="261" t="s">
        <v>1245</v>
      </c>
      <c r="B60" s="261" t="s">
        <v>17</v>
      </c>
      <c r="C60" s="261" t="s">
        <v>74</v>
      </c>
      <c r="D60" s="5">
        <f>IFERROR(INDEX('Input 16.1_2018VOL-YTD'!$C$4:$N$300, MATCH($C60,'Input 16.1_2018VOL-YTD'!$R$4:$R$300,0),MATCH(D$2,'Input 16.1_2018VOL-YTD'!$C$1:$N$1,0))/INDEX('Input 16_2018CUST-YTD'!$D$4:$O$300,MATCH($C60,'Input 16_2018CUST-YTD'!$S$4:$S$300,0),MATCH(D$2,'Input 16_2018CUST-YTD'!$C$1:$O$1,0)),0)</f>
        <v>32532.318749999999</v>
      </c>
      <c r="E60" s="5">
        <f>IFERROR(INDEX('Input 16.1_2018VOL-YTD'!$C$4:$N$300, MATCH($C60,'Input 16.1_2018VOL-YTD'!$R$4:$R$300,0),MATCH(E$2,'Input 16.1_2018VOL-YTD'!$C$1:$N$1,0))/INDEX('Input 16_2018CUST-YTD'!$D$4:$O$300,MATCH($C60,'Input 16_2018CUST-YTD'!$S$4:$S$300,0),MATCH(E$2,'Input 16_2018CUST-YTD'!$C$1:$O$1,0)),0)</f>
        <v>27363.859375</v>
      </c>
      <c r="F60" s="5">
        <f>IFERROR(INDEX('Input 16.1_2018VOL-YTD'!$C$4:$N$300, MATCH($C60,'Input 16.1_2018VOL-YTD'!$R$4:$R$300,0),MATCH(F$2,'Input 16.1_2018VOL-YTD'!$C$1:$N$1,0))/INDEX('Input 16_2018CUST-YTD'!$D$4:$O$300,MATCH($C60,'Input 16_2018CUST-YTD'!$S$4:$S$300,0),MATCH(F$2,'Input 16_2018CUST-YTD'!$C$1:$O$1,0)),0)</f>
        <v>26558.540555555555</v>
      </c>
      <c r="G60" s="5">
        <f>IFERROR(INDEX('Input 16.1_2018VOL-YTD'!$C$4:$N$300, MATCH($C60,'Input 16.1_2018VOL-YTD'!$R$4:$R$300,0),MATCH(G$2,'Input 16.1_2018VOL-YTD'!$C$1:$N$1,0))/INDEX('Input 16_2018CUST-YTD'!$D$4:$O$300,MATCH($C60,'Input 16_2018CUST-YTD'!$S$4:$S$300,0),MATCH(G$2,'Input 16_2018CUST-YTD'!$C$1:$O$1,0)),0)</f>
        <v>21880.997777777779</v>
      </c>
      <c r="H60" s="5">
        <f>IFERROR(INDEX('Input 16.1_2018VOL-YTD'!$C$4:$N$300, MATCH($C60,'Input 16.1_2018VOL-YTD'!$R$4:$R$300,0),MATCH(H$2,'Input 16.1_2018VOL-YTD'!$C$1:$N$1,0))/INDEX('Input 16_2018CUST-YTD'!$D$4:$O$300,MATCH($C60,'Input 16_2018CUST-YTD'!$S$4:$S$300,0),MATCH(H$2,'Input 16_2018CUST-YTD'!$C$1:$O$1,0)),0)</f>
        <v>22108.383333333335</v>
      </c>
      <c r="I60" s="5">
        <f>IFERROR(INDEX('Input 16.1_2018VOL-YTD'!$C$4:$N$300, MATCH($C60,'Input 16.1_2018VOL-YTD'!$R$4:$R$300,0),MATCH(I$2,'Input 16.1_2018VOL-YTD'!$C$1:$N$1,0))/INDEX('Input 16_2018CUST-YTD'!$D$4:$O$300,MATCH($C60,'Input 16_2018CUST-YTD'!$S$4:$S$300,0),MATCH(I$2,'Input 16_2018CUST-YTD'!$C$1:$O$1,0)),0)</f>
        <v>19808.908888888887</v>
      </c>
      <c r="J60" s="5">
        <f>IFERROR(INDEX('Input 16.1_2018VOL-YTD'!$C$4:$N$300, MATCH($C60,'Input 16.1_2018VOL-YTD'!$R$4:$R$300,0),MATCH(J$2,'Input 16.1_2018VOL-YTD'!$C$1:$N$1,0))/INDEX('Input 16_2018CUST-YTD'!$D$4:$O$300,MATCH($C60,'Input 16_2018CUST-YTD'!$S$4:$S$300,0),MATCH(J$2,'Input 16_2018CUST-YTD'!$C$1:$O$1,0)),0)</f>
        <v>21878.06111111111</v>
      </c>
      <c r="K60" s="5">
        <f>IFERROR(INDEX('Input 16.1_2018VOL-YTD'!$C$4:$N$300, MATCH($C60,'Input 16.1_2018VOL-YTD'!$R$4:$R$300,0),MATCH(K$2,'Input 16.1_2018VOL-YTD'!$C$1:$N$1,0))/INDEX('Input 16_2018CUST-YTD'!$D$4:$O$300,MATCH($C60,'Input 16_2018CUST-YTD'!$S$4:$S$300,0),MATCH(K$2,'Input 16_2018CUST-YTD'!$C$1:$O$1,0)),0)</f>
        <v>20612.920555555556</v>
      </c>
      <c r="L60" s="5">
        <f>IFERROR(INDEX('Input 16.1_2018VOL-YTD'!$C$4:$N$300, MATCH($C60,'Input 16.1_2018VOL-YTD'!$R$4:$R$300,0),MATCH(L$2,'Input 16.1_2018VOL-YTD'!$C$1:$N$1,0))/INDEX('Input 16_2018CUST-YTD'!$D$4:$O$300,MATCH($C60,'Input 16_2018CUST-YTD'!$S$4:$S$300,0),MATCH(L$2,'Input 16_2018CUST-YTD'!$C$1:$O$1,0)),0)</f>
        <v>19053.39</v>
      </c>
      <c r="M60" s="5">
        <f>IFERROR(INDEX('Input 16.1_2018VOL-YTD'!$C$4:$N$300, MATCH($C60,'Input 16.1_2018VOL-YTD'!$R$4:$R$300,0),MATCH(M$2,'Input 16.1_2018VOL-YTD'!$C$1:$N$1,0))/INDEX('Input 16_2018CUST-YTD'!$D$4:$O$300,MATCH($C60,'Input 16_2018CUST-YTD'!$S$4:$S$300,0),MATCH(M$2,'Input 16_2018CUST-YTD'!$C$1:$O$1,0)),0)</f>
        <v>24137.942941176472</v>
      </c>
      <c r="N60" s="5">
        <f>IFERROR(INDEX('Input 16.1_2018VOL-YTD'!$C$4:$N$300, MATCH($C60,'Input 16.1_2018VOL-YTD'!$R$4:$R$300,0),MATCH(N$2,'Input 16.1_2018VOL-YTD'!$C$1:$N$1,0))/INDEX('Input 16_2018CUST-YTD'!$D$4:$O$300,MATCH($C60,'Input 16_2018CUST-YTD'!$S$4:$S$300,0),MATCH(N$2,'Input 16_2018CUST-YTD'!$C$1:$O$1,0)),0)</f>
        <v>23085.198888888888</v>
      </c>
      <c r="O60" s="5">
        <f>IFERROR(INDEX('Input 16.1_2018VOL-YTD'!$C$4:$N$300, MATCH($C60,'Input 16.1_2018VOL-YTD'!$R$4:$R$300,0),MATCH(O$2,'Input 16.1_2018VOL-YTD'!$C$1:$N$1,0))/INDEX('Input 16_2018CUST-YTD'!$D$4:$O$300,MATCH($C60,'Input 16_2018CUST-YTD'!$S$4:$S$300,0),MATCH(O$2,'Input 16_2018CUST-YTD'!$C$1:$O$1,0)),0)</f>
        <v>24701.786411483252</v>
      </c>
      <c r="P60" s="271">
        <f t="shared" si="1"/>
        <v>32532.318749999999</v>
      </c>
      <c r="Q60" s="261">
        <f t="shared" si="2"/>
        <v>1</v>
      </c>
      <c r="S60" s="5">
        <f>IFERROR(INDEX('Input 3.1_2019VOL-YTD'!$C$4:$N$300, MATCH($C60,'Input 3.1_2019VOL-YTD'!$R$4:$R$300,0),MATCH(S$2,'Input 3.1_2019VOL-YTD'!$C$1:$N$1,0))/INDEX('Input 3_2019CUST-YTD'!$C$4:$N$300,MATCH($C60,'Input 3_2019CUST-YTD'!$S$4:$S$300,0),MATCH(S$2,'Input 3_2019CUST-YTD'!$C$1:$N$1,0)),0)</f>
        <v>28791.135294117645</v>
      </c>
      <c r="T60" s="5">
        <f>IFERROR(INDEX('Input 3.1_2019VOL-YTD'!$C$4:$N$300, MATCH($C60,'Input 3.1_2019VOL-YTD'!$R$4:$R$300,0),MATCH(T$2,'Input 3.1_2019VOL-YTD'!$C$1:$N$1,0))/INDEX('Input 3_2019CUST-YTD'!$C$4:$N$300,MATCH($C60,'Input 3_2019CUST-YTD'!$S$4:$S$300,0),MATCH(T$2,'Input 3_2019CUST-YTD'!$C$1:$N$1,0)),0)</f>
        <v>25764.521764705882</v>
      </c>
      <c r="U60" s="5">
        <f>IFERROR(INDEX('Input 3.1_2019VOL-YTD'!$C$4:$N$300, MATCH($C60,'Input 3.1_2019VOL-YTD'!$R$4:$R$300,0),MATCH(U$2,'Input 3.1_2019VOL-YTD'!$C$1:$N$1,0))/INDEX('Input 3_2019CUST-YTD'!$C$4:$N$300,MATCH($C60,'Input 3_2019CUST-YTD'!$S$4:$S$300,0),MATCH(U$2,'Input 3_2019CUST-YTD'!$C$1:$N$1,0)),0)</f>
        <v>28286.915882352943</v>
      </c>
      <c r="V60" s="5">
        <f>IFERROR(INDEX('Input 3.1_2019VOL-YTD'!$C$4:$N$300, MATCH($C60,'Input 3.1_2019VOL-YTD'!$R$4:$R$300,0),MATCH(V$2,'Input 3.1_2019VOL-YTD'!$C$1:$N$1,0))/INDEX('Input 3_2019CUST-YTD'!$C$4:$N$300,MATCH($C60,'Input 3_2019CUST-YTD'!$S$4:$S$300,0),MATCH(V$2,'Input 3_2019CUST-YTD'!$C$1:$N$1,0)),0)</f>
        <v>21966.390588235296</v>
      </c>
      <c r="W60" s="5">
        <f>IFERROR(INDEX('Input 3.1_2019VOL-YTD'!$C$4:$N$300, MATCH($C60,'Input 3.1_2019VOL-YTD'!$R$4:$R$300,0),MATCH(W$2,'Input 3.1_2019VOL-YTD'!$C$1:$N$1,0))/INDEX('Input 3_2019CUST-YTD'!$C$4:$N$300,MATCH($C60,'Input 3_2019CUST-YTD'!$S$4:$S$300,0),MATCH(W$2,'Input 3_2019CUST-YTD'!$C$1:$N$1,0)),0)</f>
        <v>20675.389411764707</v>
      </c>
      <c r="X60" s="5">
        <f>IFERROR(INDEX('Input 3.1_2019VOL-YTD'!$C$4:$N$300, MATCH($C60,'Input 3.1_2019VOL-YTD'!$R$4:$R$300,0),MATCH(X$2,'Input 3.1_2019VOL-YTD'!$C$1:$N$1,0))/INDEX('Input 3_2019CUST-YTD'!$C$4:$N$300,MATCH($C60,'Input 3_2019CUST-YTD'!$S$4:$S$300,0),MATCH(X$2,'Input 3_2019CUST-YTD'!$C$1:$N$1,0)),0)</f>
        <v>22311.908823529411</v>
      </c>
      <c r="Y60" s="5">
        <f>IFERROR(INDEX('Input 3.1_2019VOL-YTD'!$C$4:$N$300, MATCH($C60,'Input 3.1_2019VOL-YTD'!$R$4:$R$300,0),MATCH(Y$2,'Input 3.1_2019VOL-YTD'!$C$1:$N$1,0))/INDEX('Input 3_2019CUST-YTD'!$C$4:$N$300,MATCH($C60,'Input 3_2019CUST-YTD'!$S$4:$S$300,0),MATCH(Y$2,'Input 3_2019CUST-YTD'!$C$1:$N$1,0)),0)</f>
        <v>19437.873157894737</v>
      </c>
      <c r="Z60" s="5">
        <f>IFERROR(INDEX('Input 3.1_2019VOL-YTD'!$C$4:$N$300, MATCH($C60,'Input 3.1_2019VOL-YTD'!$R$4:$R$300,0),MATCH(Z$2,'Input 3.1_2019VOL-YTD'!$C$1:$N$1,0))/INDEX('Input 3_2019CUST-YTD'!$C$4:$N$300,MATCH($C60,'Input 3_2019CUST-YTD'!$S$4:$S$300,0),MATCH(Z$2,'Input 3_2019CUST-YTD'!$C$1:$N$1,0)),0)</f>
        <v>21852.171666666669</v>
      </c>
      <c r="AA60" s="5">
        <f>IFERROR(INDEX('Input 3.1_2019VOL-YTD'!$C$4:$N$300, MATCH($C60,'Input 3.1_2019VOL-YTD'!$R$4:$R$300,0),MATCH(AA$2,'Input 3.1_2019VOL-YTD'!$C$1:$N$1,0))/INDEX('Input 3_2019CUST-YTD'!$C$4:$N$300,MATCH($C60,'Input 3_2019CUST-YTD'!$S$4:$S$300,0),MATCH(AA$2,'Input 3_2019CUST-YTD'!$C$1:$N$1,0)),0)</f>
        <v>20580.262941176468</v>
      </c>
      <c r="AB60" s="5">
        <f>IFERROR(INDEX('Input 3.1_2019VOL-YTD'!$C$4:$N$300, MATCH($C60,'Input 3.1_2019VOL-YTD'!$R$4:$R$300,0),MATCH(AB$2,'Input 3.1_2019VOL-YTD'!$C$1:$N$1,0))/INDEX('Input 3_2019CUST-YTD'!$C$4:$N$300,MATCH($C60,'Input 3_2019CUST-YTD'!$S$4:$S$300,0),MATCH(AB$2,'Input 3_2019CUST-YTD'!$C$1:$N$1,0)),0)</f>
        <v>24983.191764705884</v>
      </c>
      <c r="AC60" s="5">
        <f>IFERROR(INDEX('Input 3.1_2019VOL-YTD'!$C$4:$N$300, MATCH($C60,'Input 3.1_2019VOL-YTD'!$R$4:$R$300,0),MATCH(AC$2,'Input 3.1_2019VOL-YTD'!$C$1:$N$1,0))/INDEX('Input 3_2019CUST-YTD'!$C$4:$N$300,MATCH($C60,'Input 3_2019CUST-YTD'!$S$4:$S$300,0),MATCH(AC$2,'Input 3_2019CUST-YTD'!$C$1:$N$1,0)),0)</f>
        <v>27098.591874999998</v>
      </c>
      <c r="AD60" s="5">
        <f>IFERROR(INDEX('Input 3.1_2019VOL-YTD'!$C$4:$N$300, MATCH($C60,'Input 3.1_2019VOL-YTD'!$R$4:$R$300,0),MATCH(AD$2,'Input 3.1_2019VOL-YTD'!$C$1:$N$1,0))/INDEX('Input 3_2019CUST-YTD'!$C$4:$N$300,MATCH($C60,'Input 3_2019CUST-YTD'!$S$4:$S$300,0),MATCH(AD$2,'Input 3_2019CUST-YTD'!$C$1:$N$1,0)),0)</f>
        <v>27282.751111111113</v>
      </c>
      <c r="AE60" s="272">
        <f t="shared" si="16"/>
        <v>28791.135294117645</v>
      </c>
      <c r="AF60" s="261">
        <f t="shared" si="17"/>
        <v>1</v>
      </c>
      <c r="AH60" s="262">
        <f>IFERROR(INDEX('Input 4.1_2020VOL-YTD'!$C$4:$O$300, MATCH($C60,'Input 4.1_2020VOL-YTD'!$R$4:$R$300,0),MATCH(AH$2,'Input 4.1_2020VOL-YTD'!$C$1:$O$1,0))/INDEX('Input 4_2020CUST-YTD'!$C$4:O$300,MATCH($C60,'Input 4_2020CUST-YTD'!$S$4:$S$300,0),MATCH(AH$2,'Input 4_2020CUST-YTD'!$C$1:$O$1,0)),0)</f>
        <v>32257.446315789472</v>
      </c>
      <c r="AI60" s="262">
        <f>IFERROR(INDEX('Input 4.1_2020VOL-YTD'!$C$4:$O$300, MATCH($C60,'Input 4.1_2020VOL-YTD'!$R$4:$R$300,0),MATCH(AI$2,'Input 4.1_2020VOL-YTD'!$C$1:$O$1,0))/INDEX('Input 4_2020CUST-YTD'!$C$4:P$300,MATCH($C60,'Input 4_2020CUST-YTD'!$S$4:$S$300,0),MATCH(AI$2,'Input 4_2020CUST-YTD'!$C$1:$O$1,0)),0)</f>
        <v>29553.89875</v>
      </c>
      <c r="AJ60" s="262">
        <f>IFERROR(INDEX('Input 4.1_2020VOL-YTD'!$C$4:$O$300, MATCH($C60,'Input 4.1_2020VOL-YTD'!$R$4:$R$300,0),MATCH(AJ$2,'Input 4.1_2020VOL-YTD'!$C$1:$O$1,0))/INDEX('Input 4_2020CUST-YTD'!$C$4:Q$300,MATCH($C60,'Input 4_2020CUST-YTD'!$S$4:$S$300,0),MATCH(AJ$2,'Input 4_2020CUST-YTD'!$C$1:$O$1,0)),0)</f>
        <v>28433.71</v>
      </c>
      <c r="AK60" s="262">
        <f>IFERROR(INDEX('Input 4.1_2020VOL-YTD'!$C$4:$O$300, MATCH($C60,'Input 4.1_2020VOL-YTD'!$R$4:$R$300,0),MATCH(AK$2,'Input 4.1_2020VOL-YTD'!$C$1:$O$1,0))/INDEX('Input 4_2020CUST-YTD'!$C$4:R$300,MATCH($C60,'Input 4_2020CUST-YTD'!$S$4:$S$300,0),MATCH(AK$2,'Input 4_2020CUST-YTD'!$C$1:$O$1,0)),0)</f>
        <v>20514.908823529411</v>
      </c>
      <c r="AL60" s="262">
        <f>IFERROR(INDEX('Input 4.1_2020VOL-YTD'!$C$4:$O$300, MATCH($C60,'Input 4.1_2020VOL-YTD'!$R$4:$R$300,0),MATCH(AL$2,'Input 4.1_2020VOL-YTD'!$C$1:$O$1,0))/INDEX('Input 4_2020CUST-YTD'!$C$4:S$300,MATCH($C60,'Input 4_2020CUST-YTD'!$S$4:$S$300,0),MATCH(AL$2,'Input 4_2020CUST-YTD'!$C$1:$O$1,0)),0)</f>
        <v>21262.638235294115</v>
      </c>
      <c r="AM60" s="262">
        <f>IFERROR(INDEX('Input 4.1_2020VOL-YTD'!$C$4:$O$300, MATCH($C60,'Input 4.1_2020VOL-YTD'!$R$4:$R$300,0),MATCH(AM$2,'Input 4.1_2020VOL-YTD'!$C$1:$O$1,0))/INDEX('Input 4_2020CUST-YTD'!$C$4:T$300,MATCH($C60,'Input 4_2020CUST-YTD'!$S$4:$S$300,0),MATCH(AM$2,'Input 4_2020CUST-YTD'!$C$1:$O$1,0)),0)</f>
        <v>22117.82</v>
      </c>
      <c r="AN60" s="262">
        <f>IFERROR(INDEX('Input 4.1_2020VOL-YTD'!$C$4:$O$300, MATCH($C60,'Input 4.1_2020VOL-YTD'!$R$4:$R$300,0),MATCH(AN$2,'Input 4.1_2020VOL-YTD'!$C$1:$O$1,0))/INDEX('Input 4_2020CUST-YTD'!$C$4:U$300,MATCH($C60,'Input 4_2020CUST-YTD'!$S$4:$S$300,0),MATCH(AN$2,'Input 4_2020CUST-YTD'!$C$1:$O$1,0)),0)</f>
        <v>24063.880588235294</v>
      </c>
      <c r="AO60" s="262">
        <f>IFERROR(INDEX('Input 4.1_2020VOL-YTD'!$C$4:$O$300, MATCH($C60,'Input 4.1_2020VOL-YTD'!$R$4:$R$300,0),MATCH(AO$2,'Input 4.1_2020VOL-YTD'!$C$1:$O$1,0))/INDEX('Input 4_2020CUST-YTD'!$C$4:V$300,MATCH($C60,'Input 4_2020CUST-YTD'!$S$4:$S$300,0),MATCH(AO$2,'Input 4_2020CUST-YTD'!$C$1:$O$1,0)),0)</f>
        <v>23896.093529411766</v>
      </c>
      <c r="AP60" s="262">
        <f>IFERROR(INDEX('Input 4.1_2020VOL-YTD'!$C$4:$O$300, MATCH($C60,'Input 4.1_2020VOL-YTD'!$R$4:$R$300,0),MATCH(AP$2,'Input 4.1_2020VOL-YTD'!$C$1:$O$1,0))/INDEX('Input 4_2020CUST-YTD'!$C$4:W$300,MATCH($C60,'Input 4_2020CUST-YTD'!$S$4:$S$300,0),MATCH(AP$2,'Input 4_2020CUST-YTD'!$C$1:$O$1,0)),0)</f>
        <v>23461.74</v>
      </c>
      <c r="AQ60" s="262">
        <f>IFERROR(INDEX('Input 4.1_2020VOL-YTD'!$C$4:$O$300, MATCH($C60,'Input 4.1_2020VOL-YTD'!$R$4:$R$300,0),MATCH(AQ$2,'Input 4.1_2020VOL-YTD'!$C$1:$O$1,0))/INDEX('Input 4_2020CUST-YTD'!$C$4:X$300,MATCH($C60,'Input 4_2020CUST-YTD'!$S$4:$S$300,0),MATCH(AQ$2,'Input 4_2020CUST-YTD'!$C$1:$O$1,0)),0)</f>
        <v>25417.215882352939</v>
      </c>
      <c r="AR60" s="262">
        <f>IFERROR(INDEX('Input 4.1_2020VOL-YTD'!$C$4:$O$300, MATCH($C60,'Input 4.1_2020VOL-YTD'!$R$4:$R$300,0),MATCH(AR$2,'Input 4.1_2020VOL-YTD'!$C$1:$O$1,0))/INDEX('Input 4_2020CUST-YTD'!$C$4:Y$300,MATCH($C60,'Input 4_2020CUST-YTD'!$S$4:$S$300,0),MATCH(AR$2,'Input 4_2020CUST-YTD'!$C$1:$O$1,0)),0)</f>
        <v>25860.436470588233</v>
      </c>
      <c r="AS60" s="262">
        <f>IFERROR(INDEX('Input 4.1_2020VOL-YTD'!$C$4:$O$300, MATCH($C60,'Input 4.1_2020VOL-YTD'!$R$4:$R$300,0),MATCH(AS$2,'Input 4.1_2020VOL-YTD'!$C$1:$O$1,0))/INDEX('Input 4_2020CUST-YTD'!$C$4:Z$300,MATCH($C60,'Input 4_2020CUST-YTD'!$S$4:$S$300,0),MATCH(AS$2,'Input 4_2020CUST-YTD'!$C$1:$O$1,0)),0)</f>
        <v>28647.054117647058</v>
      </c>
      <c r="AT60" s="190">
        <f t="shared" si="18"/>
        <v>32257.446315789472</v>
      </c>
      <c r="AU60" s="261">
        <f t="shared" si="19"/>
        <v>1</v>
      </c>
      <c r="AW60" s="1">
        <f>IFERROR(INDEX('Input 5.1_2021VOL-YTD'!$C$3:$N$150, MATCH($C60,'Input 5.1_2021VOL-YTD'!$R$3:$R$150,0),MATCH(AW$2,'Input 5.1_2021VOL-YTD'!$C$1:$N$1,0))/INDEX('Input 5_2021CUST-YTD'!$C$3:$N$150,MATCH($C60,'Input 5_2021CUST-YTD'!$S$3:$S$150,0),MATCH(AW$2,'Input 5_2021CUST-YTD'!$C$1:$N$1,0)),0)</f>
        <v>28498.691764705884</v>
      </c>
      <c r="AX60" s="1">
        <f>IFERROR(INDEX('Input 5.1_2021VOL-YTD'!$C$3:$N$150, MATCH($C60,'Input 5.1_2021VOL-YTD'!$R$3:$R$150,0),MATCH(AX$2,'Input 5.1_2021VOL-YTD'!$C$1:$N$1,0))/INDEX('Input 5_2021CUST-YTD'!$C$3:$N$150,MATCH($C60,'Input 5_2021CUST-YTD'!$S$3:$S$150,0),MATCH(AX$2,'Input 5_2021CUST-YTD'!$C$1:$N$1,0)),0)</f>
        <v>26413.014705882353</v>
      </c>
      <c r="AY60" s="1">
        <f>IFERROR(INDEX('Input 5.1_2021VOL-YTD'!$C$3:$N$150, MATCH($C60,'Input 5.1_2021VOL-YTD'!$R$3:$R$150,0),MATCH(AY$2,'Input 5.1_2021VOL-YTD'!$C$1:$N$1,0))/INDEX('Input 5_2021CUST-YTD'!$C$3:$N$150,MATCH($C60,'Input 5_2021CUST-YTD'!$S$3:$S$150,0),MATCH(AY$2,'Input 5_2021CUST-YTD'!$C$1:$N$1,0)),0)</f>
        <v>27848.054117647058</v>
      </c>
      <c r="AZ60" s="1">
        <f>IFERROR(INDEX('Input 5.1_2021VOL-YTD'!$C$3:$N$150, MATCH($C60,'Input 5.1_2021VOL-YTD'!$R$3:$R$150,0),MATCH(AZ$2,'Input 5.1_2021VOL-YTD'!$C$1:$N$1,0))/INDEX('Input 5_2021CUST-YTD'!$C$3:$N$150,MATCH($C60,'Input 5_2021CUST-YTD'!$S$3:$S$150,0),MATCH(AZ$2,'Input 5_2021CUST-YTD'!$C$1:$N$1,0)),0)</f>
        <v>25055.509411764706</v>
      </c>
      <c r="BA60" s="1">
        <f>IFERROR(INDEX('Input 5.1_2021VOL-YTD'!$C$3:$N$150, MATCH($C60,'Input 5.1_2021VOL-YTD'!$R$3:$R$150,0),MATCH(BA$2,'Input 5.1_2021VOL-YTD'!$C$1:$N$1,0))/INDEX('Input 5_2021CUST-YTD'!$C$3:$N$150,MATCH($C60,'Input 5_2021CUST-YTD'!$S$3:$S$150,0),MATCH(BA$2,'Input 5_2021CUST-YTD'!$C$1:$N$1,0)),0)</f>
        <v>24925.261764705883</v>
      </c>
      <c r="BB60" s="1">
        <f>IFERROR(INDEX('Input 5.1_2021VOL-YTD'!$C$3:$N$150, MATCH($C60,'Input 5.1_2021VOL-YTD'!$R$3:$R$150,0),MATCH(BB$2,'Input 5.1_2021VOL-YTD'!$C$1:$N$1,0))/INDEX('Input 5_2021CUST-YTD'!$C$3:$N$150,MATCH($C60,'Input 5_2021CUST-YTD'!$S$3:$S$150,0),MATCH(BB$2,'Input 5_2021CUST-YTD'!$C$1:$N$1,0)),0)</f>
        <v>22841.829411764706</v>
      </c>
      <c r="BC60" s="1">
        <f>IFERROR(INDEX('Input 5.1_2021VOL-YTD'!$C$3:$N$150, MATCH($C60,'Input 5.1_2021VOL-YTD'!$R$3:$R$150,0),MATCH(BC$2,'Input 5.1_2021VOL-YTD'!$C$1:$N$1,0))/INDEX('Input 5_2021CUST-YTD'!$C$3:$N$150,MATCH($C60,'Input 5_2021CUST-YTD'!$S$3:$S$150,0),MATCH(BC$2,'Input 5_2021CUST-YTD'!$C$1:$N$1,0)),0)</f>
        <v>20645.188823529414</v>
      </c>
      <c r="BD60" s="1">
        <f>IFERROR(INDEX('Input 5.1_2021VOL-YTD'!$C$3:$N$150, MATCH($C60,'Input 5.1_2021VOL-YTD'!$R$3:$R$150,0),MATCH(BD$2,'Input 5.1_2021VOL-YTD'!$C$1:$N$1,0))/INDEX('Input 5_2021CUST-YTD'!$C$3:$N$150,MATCH($C60,'Input 5_2021CUST-YTD'!$S$3:$S$150,0),MATCH(BD$2,'Input 5_2021CUST-YTD'!$C$1:$N$1,0)),0)</f>
        <v>19499.627058823527</v>
      </c>
      <c r="BE60" s="1">
        <f>IFERROR(INDEX('Input 5.1_2021VOL-YTD'!$C$3:$N$150, MATCH($C60,'Input 5.1_2021VOL-YTD'!$R$3:$R$150,0),MATCH(BE$2,'Input 5.1_2021VOL-YTD'!$C$1:$N$1,0))/INDEX('Input 5_2021CUST-YTD'!$C$3:$N$150,MATCH($C60,'Input 5_2021CUST-YTD'!$S$3:$S$150,0),MATCH(BE$2,'Input 5_2021CUST-YTD'!$C$1:$N$1,0)),0)</f>
        <v>18774.506470588236</v>
      </c>
      <c r="BF60" s="1">
        <f>IFERROR(INDEX('Input 5.1_2021VOL-YTD'!$C$3:$N$150, MATCH($C60,'Input 5.1_2021VOL-YTD'!$R$3:$R$150,0),MATCH(BF$2,'Input 5.1_2021VOL-YTD'!$C$1:$N$1,0))/INDEX('Input 5_2021CUST-YTD'!$C$3:$N$150,MATCH($C60,'Input 5_2021CUST-YTD'!$S$3:$S$150,0),MATCH(BF$2,'Input 5_2021CUST-YTD'!$C$1:$N$1,0)),0)</f>
        <v>24316.966470588235</v>
      </c>
      <c r="BG60" s="1">
        <f>IFERROR(INDEX('Input 5.1_2021VOL-YTD'!$C$3:$N$150, MATCH($C60,'Input 5.1_2021VOL-YTD'!$R$3:$R$150,0),MATCH(BG$2,'Input 5.1_2021VOL-YTD'!$C$1:$N$1,0))/INDEX('Input 5_2021CUST-YTD'!$C$3:$N$150,MATCH($C60,'Input 5_2021CUST-YTD'!$S$3:$S$150,0),MATCH(BG$2,'Input 5_2021CUST-YTD'!$C$1:$N$1,0)),0)</f>
        <v>29301.263529411764</v>
      </c>
      <c r="BH60" s="1">
        <f>IFERROR(INDEX('Input 5.1_2021VOL-YTD'!$C$3:$N$150, MATCH($C60,'Input 5.1_2021VOL-YTD'!$R$3:$R$150,0),MATCH(BH$2,'Input 5.1_2021VOL-YTD'!$C$1:$N$1,0))/INDEX('Input 5_2021CUST-YTD'!$C$3:$N$150,MATCH($C60,'Input 5_2021CUST-YTD'!$S$3:$S$150,0),MATCH(BH$2,'Input 5_2021CUST-YTD'!$C$1:$N$1,0)),0)</f>
        <v>24938.344117647059</v>
      </c>
      <c r="BI60" s="190">
        <f t="shared" si="7"/>
        <v>29301.263529411764</v>
      </c>
      <c r="BJ60" s="261">
        <f t="shared" si="8"/>
        <v>11</v>
      </c>
    </row>
    <row r="61" spans="1:62">
      <c r="A61" s="261" t="s">
        <v>1245</v>
      </c>
      <c r="B61" s="261" t="s">
        <v>17</v>
      </c>
      <c r="C61" s="261" t="s">
        <v>76</v>
      </c>
      <c r="D61" s="5">
        <f>IFERROR(INDEX('Input 16.1_2018VOL-YTD'!$C$4:$N$300, MATCH($C61,'Input 16.1_2018VOL-YTD'!$R$4:$R$300,0),MATCH(D$2,'Input 16.1_2018VOL-YTD'!$C$1:$N$1,0))/INDEX('Input 16_2018CUST-YTD'!$D$4:$O$300,MATCH($C61,'Input 16_2018CUST-YTD'!$S$4:$S$300,0),MATCH(D$2,'Input 16_2018CUST-YTD'!$C$1:$O$1,0)),0)</f>
        <v>54409.305</v>
      </c>
      <c r="E61" s="5">
        <f>IFERROR(INDEX('Input 16.1_2018VOL-YTD'!$C$4:$N$300, MATCH($C61,'Input 16.1_2018VOL-YTD'!$R$4:$R$300,0),MATCH(E$2,'Input 16.1_2018VOL-YTD'!$C$1:$N$1,0))/INDEX('Input 16_2018CUST-YTD'!$D$4:$O$300,MATCH($C61,'Input 16_2018CUST-YTD'!$S$4:$S$300,0),MATCH(E$2,'Input 16_2018CUST-YTD'!$C$1:$O$1,0)),0)</f>
        <v>49523.764999999999</v>
      </c>
      <c r="F61" s="5">
        <f>IFERROR(INDEX('Input 16.1_2018VOL-YTD'!$C$4:$N$300, MATCH($C61,'Input 16.1_2018VOL-YTD'!$R$4:$R$300,0),MATCH(F$2,'Input 16.1_2018VOL-YTD'!$C$1:$N$1,0))/INDEX('Input 16_2018CUST-YTD'!$D$4:$O$300,MATCH($C61,'Input 16_2018CUST-YTD'!$S$4:$S$300,0),MATCH(F$2,'Input 16_2018CUST-YTD'!$C$1:$O$1,0)),0)</f>
        <v>55472.438571428575</v>
      </c>
      <c r="G61" s="5">
        <f>IFERROR(INDEX('Input 16.1_2018VOL-YTD'!$C$4:$N$300, MATCH($C61,'Input 16.1_2018VOL-YTD'!$R$4:$R$300,0),MATCH(G$2,'Input 16.1_2018VOL-YTD'!$C$1:$N$1,0))/INDEX('Input 16_2018CUST-YTD'!$D$4:$O$300,MATCH($C61,'Input 16_2018CUST-YTD'!$S$4:$S$300,0),MATCH(G$2,'Input 16_2018CUST-YTD'!$C$1:$O$1,0)),0)</f>
        <v>47312.678571428572</v>
      </c>
      <c r="H61" s="5">
        <f>IFERROR(INDEX('Input 16.1_2018VOL-YTD'!$C$4:$N$300, MATCH($C61,'Input 16.1_2018VOL-YTD'!$R$4:$R$300,0),MATCH(H$2,'Input 16.1_2018VOL-YTD'!$C$1:$N$1,0))/INDEX('Input 16_2018CUST-YTD'!$D$4:$O$300,MATCH($C61,'Input 16_2018CUST-YTD'!$S$4:$S$300,0),MATCH(H$2,'Input 16_2018CUST-YTD'!$C$1:$O$1,0)),0)</f>
        <v>47457.51142857143</v>
      </c>
      <c r="I61" s="5">
        <f>IFERROR(INDEX('Input 16.1_2018VOL-YTD'!$C$4:$N$300, MATCH($C61,'Input 16.1_2018VOL-YTD'!$R$4:$R$300,0),MATCH(I$2,'Input 16.1_2018VOL-YTD'!$C$1:$N$1,0))/INDEX('Input 16_2018CUST-YTD'!$D$4:$O$300,MATCH($C61,'Input 16_2018CUST-YTD'!$S$4:$S$300,0),MATCH(I$2,'Input 16_2018CUST-YTD'!$C$1:$O$1,0)),0)</f>
        <v>45346.595714285715</v>
      </c>
      <c r="J61" s="5">
        <f>IFERROR(INDEX('Input 16.1_2018VOL-YTD'!$C$4:$N$300, MATCH($C61,'Input 16.1_2018VOL-YTD'!$R$4:$R$300,0),MATCH(J$2,'Input 16.1_2018VOL-YTD'!$C$1:$N$1,0))/INDEX('Input 16_2018CUST-YTD'!$D$4:$O$300,MATCH($C61,'Input 16_2018CUST-YTD'!$S$4:$S$300,0),MATCH(J$2,'Input 16_2018CUST-YTD'!$C$1:$O$1,0)),0)</f>
        <v>46178.334285714292</v>
      </c>
      <c r="K61" s="5">
        <f>IFERROR(INDEX('Input 16.1_2018VOL-YTD'!$C$4:$N$300, MATCH($C61,'Input 16.1_2018VOL-YTD'!$R$4:$R$300,0),MATCH(K$2,'Input 16.1_2018VOL-YTD'!$C$1:$N$1,0))/INDEX('Input 16_2018CUST-YTD'!$D$4:$O$300,MATCH($C61,'Input 16_2018CUST-YTD'!$S$4:$S$300,0),MATCH(K$2,'Input 16_2018CUST-YTD'!$C$1:$O$1,0)),0)</f>
        <v>45589.48857142857</v>
      </c>
      <c r="L61" s="5">
        <f>IFERROR(INDEX('Input 16.1_2018VOL-YTD'!$C$4:$N$300, MATCH($C61,'Input 16.1_2018VOL-YTD'!$R$4:$R$300,0),MATCH(L$2,'Input 16.1_2018VOL-YTD'!$C$1:$N$1,0))/INDEX('Input 16_2018CUST-YTD'!$D$4:$O$300,MATCH($C61,'Input 16_2018CUST-YTD'!$S$4:$S$300,0),MATCH(L$2,'Input 16_2018CUST-YTD'!$C$1:$O$1,0)),0)</f>
        <v>43122.615714285712</v>
      </c>
      <c r="M61" s="5">
        <f>IFERROR(INDEX('Input 16.1_2018VOL-YTD'!$C$4:$N$300, MATCH($C61,'Input 16.1_2018VOL-YTD'!$R$4:$R$300,0),MATCH(M$2,'Input 16.1_2018VOL-YTD'!$C$1:$N$1,0))/INDEX('Input 16_2018CUST-YTD'!$D$4:$O$300,MATCH($C61,'Input 16_2018CUST-YTD'!$S$4:$S$300,0),MATCH(M$2,'Input 16_2018CUST-YTD'!$C$1:$O$1,0)),0)</f>
        <v>46022.771428571432</v>
      </c>
      <c r="N61" s="5">
        <f>IFERROR(INDEX('Input 16.1_2018VOL-YTD'!$C$4:$N$300, MATCH($C61,'Input 16.1_2018VOL-YTD'!$R$4:$R$300,0),MATCH(N$2,'Input 16.1_2018VOL-YTD'!$C$1:$N$1,0))/INDEX('Input 16_2018CUST-YTD'!$D$4:$O$300,MATCH($C61,'Input 16_2018CUST-YTD'!$S$4:$S$300,0),MATCH(N$2,'Input 16_2018CUST-YTD'!$C$1:$O$1,0)),0)</f>
        <v>43121.602857142854</v>
      </c>
      <c r="O61" s="5">
        <f>IFERROR(INDEX('Input 16.1_2018VOL-YTD'!$C$4:$N$300, MATCH($C61,'Input 16.1_2018VOL-YTD'!$R$4:$R$300,0),MATCH(O$2,'Input 16.1_2018VOL-YTD'!$C$1:$N$1,0))/INDEX('Input 16_2018CUST-YTD'!$D$4:$O$300,MATCH($C61,'Input 16_2018CUST-YTD'!$S$4:$S$300,0),MATCH(O$2,'Input 16_2018CUST-YTD'!$C$1:$O$1,0)),0)</f>
        <v>44762.102068965512</v>
      </c>
      <c r="P61" s="271">
        <f t="shared" si="1"/>
        <v>55472.438571428575</v>
      </c>
      <c r="Q61" s="261">
        <f t="shared" si="2"/>
        <v>3</v>
      </c>
      <c r="S61" s="5">
        <f>IFERROR(INDEX('Input 3.1_2019VOL-YTD'!$C$4:$N$300, MATCH($C61,'Input 3.1_2019VOL-YTD'!$R$4:$R$300,0),MATCH(S$2,'Input 3.1_2019VOL-YTD'!$C$1:$N$1,0))/INDEX('Input 3_2019CUST-YTD'!$C$4:$N$300,MATCH($C61,'Input 3_2019CUST-YTD'!$S$4:$S$300,0),MATCH(S$2,'Input 3_2019CUST-YTD'!$C$1:$N$1,0)),0)</f>
        <v>51574.6</v>
      </c>
      <c r="T61" s="5">
        <f>IFERROR(INDEX('Input 3.1_2019VOL-YTD'!$C$4:$N$300, MATCH($C61,'Input 3.1_2019VOL-YTD'!$R$4:$R$300,0),MATCH(T$2,'Input 3.1_2019VOL-YTD'!$C$1:$N$1,0))/INDEX('Input 3_2019CUST-YTD'!$C$4:$N$300,MATCH($C61,'Input 3_2019CUST-YTD'!$S$4:$S$300,0),MATCH(T$2,'Input 3_2019CUST-YTD'!$C$1:$N$1,0)),0)</f>
        <v>45411.44</v>
      </c>
      <c r="U61" s="5">
        <f>IFERROR(INDEX('Input 3.1_2019VOL-YTD'!$C$4:$N$300, MATCH($C61,'Input 3.1_2019VOL-YTD'!$R$4:$R$300,0),MATCH(U$2,'Input 3.1_2019VOL-YTD'!$C$1:$N$1,0))/INDEX('Input 3_2019CUST-YTD'!$C$4:$N$300,MATCH($C61,'Input 3_2019CUST-YTD'!$S$4:$S$300,0),MATCH(U$2,'Input 3_2019CUST-YTD'!$C$1:$N$1,0)),0)</f>
        <v>46233.201428571425</v>
      </c>
      <c r="V61" s="5">
        <f>IFERROR(INDEX('Input 3.1_2019VOL-YTD'!$C$4:$N$300, MATCH($C61,'Input 3.1_2019VOL-YTD'!$R$4:$R$300,0),MATCH(V$2,'Input 3.1_2019VOL-YTD'!$C$1:$N$1,0))/INDEX('Input 3_2019CUST-YTD'!$C$4:$N$300,MATCH($C61,'Input 3_2019CUST-YTD'!$S$4:$S$300,0),MATCH(V$2,'Input 3_2019CUST-YTD'!$C$1:$N$1,0)),0)</f>
        <v>46190.181428571428</v>
      </c>
      <c r="W61" s="5">
        <f>IFERROR(INDEX('Input 3.1_2019VOL-YTD'!$C$4:$N$300, MATCH($C61,'Input 3.1_2019VOL-YTD'!$R$4:$R$300,0),MATCH(W$2,'Input 3.1_2019VOL-YTD'!$C$1:$N$1,0))/INDEX('Input 3_2019CUST-YTD'!$C$4:$N$300,MATCH($C61,'Input 3_2019CUST-YTD'!$S$4:$S$300,0),MATCH(W$2,'Input 3_2019CUST-YTD'!$C$1:$N$1,0)),0)</f>
        <v>44889.615714285712</v>
      </c>
      <c r="X61" s="5">
        <f>IFERROR(INDEX('Input 3.1_2019VOL-YTD'!$C$4:$N$300, MATCH($C61,'Input 3.1_2019VOL-YTD'!$R$4:$R$300,0),MATCH(X$2,'Input 3.1_2019VOL-YTD'!$C$1:$N$1,0))/INDEX('Input 3_2019CUST-YTD'!$C$4:$N$300,MATCH($C61,'Input 3_2019CUST-YTD'!$S$4:$S$300,0),MATCH(X$2,'Input 3_2019CUST-YTD'!$C$1:$N$1,0)),0)</f>
        <v>43205.587142857141</v>
      </c>
      <c r="Y61" s="5">
        <f>IFERROR(INDEX('Input 3.1_2019VOL-YTD'!$C$4:$N$300, MATCH($C61,'Input 3.1_2019VOL-YTD'!$R$4:$R$300,0),MATCH(Y$2,'Input 3.1_2019VOL-YTD'!$C$1:$N$1,0))/INDEX('Input 3_2019CUST-YTD'!$C$4:$N$300,MATCH($C61,'Input 3_2019CUST-YTD'!$S$4:$S$300,0),MATCH(Y$2,'Input 3_2019CUST-YTD'!$C$1:$N$1,0)),0)</f>
        <v>43259.128571428577</v>
      </c>
      <c r="Z61" s="5">
        <f>IFERROR(INDEX('Input 3.1_2019VOL-YTD'!$C$4:$N$300, MATCH($C61,'Input 3.1_2019VOL-YTD'!$R$4:$R$300,0),MATCH(Z$2,'Input 3.1_2019VOL-YTD'!$C$1:$N$1,0))/INDEX('Input 3_2019CUST-YTD'!$C$4:$N$300,MATCH($C61,'Input 3_2019CUST-YTD'!$S$4:$S$300,0),MATCH(Z$2,'Input 3_2019CUST-YTD'!$C$1:$N$1,0)),0)</f>
        <v>50882.598333333335</v>
      </c>
      <c r="AA61" s="5">
        <f>IFERROR(INDEX('Input 3.1_2019VOL-YTD'!$C$4:$N$300, MATCH($C61,'Input 3.1_2019VOL-YTD'!$R$4:$R$300,0),MATCH(AA$2,'Input 3.1_2019VOL-YTD'!$C$1:$N$1,0))/INDEX('Input 3_2019CUST-YTD'!$C$4:$N$300,MATCH($C61,'Input 3_2019CUST-YTD'!$S$4:$S$300,0),MATCH(AA$2,'Input 3_2019CUST-YTD'!$C$1:$N$1,0)),0)</f>
        <v>48370.29</v>
      </c>
      <c r="AB61" s="5">
        <f>IFERROR(INDEX('Input 3.1_2019VOL-YTD'!$C$4:$N$300, MATCH($C61,'Input 3.1_2019VOL-YTD'!$R$4:$R$300,0),MATCH(AB$2,'Input 3.1_2019VOL-YTD'!$C$1:$N$1,0))/INDEX('Input 3_2019CUST-YTD'!$C$4:$N$300,MATCH($C61,'Input 3_2019CUST-YTD'!$S$4:$S$300,0),MATCH(AB$2,'Input 3_2019CUST-YTD'!$C$1:$N$1,0)),0)</f>
        <v>53777.453333333331</v>
      </c>
      <c r="AC61" s="5">
        <f>IFERROR(INDEX('Input 3.1_2019VOL-YTD'!$C$4:$N$300, MATCH($C61,'Input 3.1_2019VOL-YTD'!$R$4:$R$300,0),MATCH(AC$2,'Input 3.1_2019VOL-YTD'!$C$1:$N$1,0))/INDEX('Input 3_2019CUST-YTD'!$C$4:$N$300,MATCH($C61,'Input 3_2019CUST-YTD'!$S$4:$S$300,0),MATCH(AC$2,'Input 3_2019CUST-YTD'!$C$1:$N$1,0)),0)</f>
        <v>49481.758333333331</v>
      </c>
      <c r="AD61" s="5">
        <f>IFERROR(INDEX('Input 3.1_2019VOL-YTD'!$C$4:$N$300, MATCH($C61,'Input 3.1_2019VOL-YTD'!$R$4:$R$300,0),MATCH(AD$2,'Input 3.1_2019VOL-YTD'!$C$1:$N$1,0))/INDEX('Input 3_2019CUST-YTD'!$C$4:$N$300,MATCH($C61,'Input 3_2019CUST-YTD'!$S$4:$S$300,0),MATCH(AD$2,'Input 3_2019CUST-YTD'!$C$1:$N$1,0)),0)</f>
        <v>50800.994999999995</v>
      </c>
      <c r="AE61" s="272">
        <f t="shared" si="16"/>
        <v>53777.453333333331</v>
      </c>
      <c r="AF61" s="261">
        <f t="shared" si="17"/>
        <v>10</v>
      </c>
      <c r="AH61" s="262">
        <f>IFERROR(INDEX('Input 4.1_2020VOL-YTD'!$C$4:$O$300, MATCH($C61,'Input 4.1_2020VOL-YTD'!$R$4:$R$300,0),MATCH(AH$2,'Input 4.1_2020VOL-YTD'!$C$1:$O$1,0))/INDEX('Input 4_2020CUST-YTD'!$C$4:O$300,MATCH($C61,'Input 4_2020CUST-YTD'!$S$4:$S$300,0),MATCH(AH$2,'Input 4_2020CUST-YTD'!$C$1:$O$1,0)),0)</f>
        <v>53092.584999999999</v>
      </c>
      <c r="AI61" s="262">
        <f>IFERROR(INDEX('Input 4.1_2020VOL-YTD'!$C$4:$O$300, MATCH($C61,'Input 4.1_2020VOL-YTD'!$R$4:$R$300,0),MATCH(AI$2,'Input 4.1_2020VOL-YTD'!$C$1:$O$1,0))/INDEX('Input 4_2020CUST-YTD'!$C$4:P$300,MATCH($C61,'Input 4_2020CUST-YTD'!$S$4:$S$300,0),MATCH(AI$2,'Input 4_2020CUST-YTD'!$C$1:$O$1,0)),0)</f>
        <v>51913.515000000007</v>
      </c>
      <c r="AJ61" s="262">
        <f>IFERROR(INDEX('Input 4.1_2020VOL-YTD'!$C$4:$O$300, MATCH($C61,'Input 4.1_2020VOL-YTD'!$R$4:$R$300,0),MATCH(AJ$2,'Input 4.1_2020VOL-YTD'!$C$1:$O$1,0))/INDEX('Input 4_2020CUST-YTD'!$C$4:Q$300,MATCH($C61,'Input 4_2020CUST-YTD'!$S$4:$S$300,0),MATCH(AJ$2,'Input 4_2020CUST-YTD'!$C$1:$O$1,0)),0)</f>
        <v>51939.118333333339</v>
      </c>
      <c r="AK61" s="262">
        <f>IFERROR(INDEX('Input 4.1_2020VOL-YTD'!$C$4:$O$300, MATCH($C61,'Input 4.1_2020VOL-YTD'!$R$4:$R$300,0),MATCH(AK$2,'Input 4.1_2020VOL-YTD'!$C$1:$O$1,0))/INDEX('Input 4_2020CUST-YTD'!$C$4:R$300,MATCH($C61,'Input 4_2020CUST-YTD'!$S$4:$S$300,0),MATCH(AK$2,'Input 4_2020CUST-YTD'!$C$1:$O$1,0)),0)</f>
        <v>41205.794999999998</v>
      </c>
      <c r="AL61" s="262">
        <f>IFERROR(INDEX('Input 4.1_2020VOL-YTD'!$C$4:$O$300, MATCH($C61,'Input 4.1_2020VOL-YTD'!$R$4:$R$300,0),MATCH(AL$2,'Input 4.1_2020VOL-YTD'!$C$1:$O$1,0))/INDEX('Input 4_2020CUST-YTD'!$C$4:S$300,MATCH($C61,'Input 4_2020CUST-YTD'!$S$4:$S$300,0),MATCH(AL$2,'Input 4_2020CUST-YTD'!$C$1:$O$1,0)),0)</f>
        <v>43459.534999999996</v>
      </c>
      <c r="AM61" s="262">
        <f>IFERROR(INDEX('Input 4.1_2020VOL-YTD'!$C$4:$O$300, MATCH($C61,'Input 4.1_2020VOL-YTD'!$R$4:$R$300,0),MATCH(AM$2,'Input 4.1_2020VOL-YTD'!$C$1:$O$1,0))/INDEX('Input 4_2020CUST-YTD'!$C$4:T$300,MATCH($C61,'Input 4_2020CUST-YTD'!$S$4:$S$300,0),MATCH(AM$2,'Input 4_2020CUST-YTD'!$C$1:$O$1,0)),0)</f>
        <v>43122.456666666665</v>
      </c>
      <c r="AN61" s="262">
        <f>IFERROR(INDEX('Input 4.1_2020VOL-YTD'!$C$4:$O$300, MATCH($C61,'Input 4.1_2020VOL-YTD'!$R$4:$R$300,0),MATCH(AN$2,'Input 4.1_2020VOL-YTD'!$C$1:$O$1,0))/INDEX('Input 4_2020CUST-YTD'!$C$4:U$300,MATCH($C61,'Input 4_2020CUST-YTD'!$S$4:$S$300,0),MATCH(AN$2,'Input 4_2020CUST-YTD'!$C$1:$O$1,0)),0)</f>
        <v>46828.343333333331</v>
      </c>
      <c r="AO61" s="262">
        <f>IFERROR(INDEX('Input 4.1_2020VOL-YTD'!$C$4:$O$300, MATCH($C61,'Input 4.1_2020VOL-YTD'!$R$4:$R$300,0),MATCH(AO$2,'Input 4.1_2020VOL-YTD'!$C$1:$O$1,0))/INDEX('Input 4_2020CUST-YTD'!$C$4:V$300,MATCH($C61,'Input 4_2020CUST-YTD'!$S$4:$S$300,0),MATCH(AO$2,'Input 4_2020CUST-YTD'!$C$1:$O$1,0)),0)</f>
        <v>44492.013333333336</v>
      </c>
      <c r="AP61" s="262">
        <f>IFERROR(INDEX('Input 4.1_2020VOL-YTD'!$C$4:$O$300, MATCH($C61,'Input 4.1_2020VOL-YTD'!$R$4:$R$300,0),MATCH(AP$2,'Input 4.1_2020VOL-YTD'!$C$1:$O$1,0))/INDEX('Input 4_2020CUST-YTD'!$C$4:W$300,MATCH($C61,'Input 4_2020CUST-YTD'!$S$4:$S$300,0),MATCH(AP$2,'Input 4_2020CUST-YTD'!$C$1:$O$1,0)),0)</f>
        <v>44172.005000000005</v>
      </c>
      <c r="AQ61" s="262">
        <f>IFERROR(INDEX('Input 4.1_2020VOL-YTD'!$C$4:$O$300, MATCH($C61,'Input 4.1_2020VOL-YTD'!$R$4:$R$300,0),MATCH(AQ$2,'Input 4.1_2020VOL-YTD'!$C$1:$O$1,0))/INDEX('Input 4_2020CUST-YTD'!$C$4:X$300,MATCH($C61,'Input 4_2020CUST-YTD'!$S$4:$S$300,0),MATCH(AQ$2,'Input 4_2020CUST-YTD'!$C$1:$O$1,0)),0)</f>
        <v>44862.853333333333</v>
      </c>
      <c r="AR61" s="262">
        <f>IFERROR(INDEX('Input 4.1_2020VOL-YTD'!$C$4:$O$300, MATCH($C61,'Input 4.1_2020VOL-YTD'!$R$4:$R$300,0),MATCH(AR$2,'Input 4.1_2020VOL-YTD'!$C$1:$O$1,0))/INDEX('Input 4_2020CUST-YTD'!$C$4:Y$300,MATCH($C61,'Input 4_2020CUST-YTD'!$S$4:$S$300,0),MATCH(AR$2,'Input 4_2020CUST-YTD'!$C$1:$O$1,0)),0)</f>
        <v>39262.934285714284</v>
      </c>
      <c r="AS61" s="262">
        <f>IFERROR(INDEX('Input 4.1_2020VOL-YTD'!$C$4:$O$300, MATCH($C61,'Input 4.1_2020VOL-YTD'!$R$4:$R$300,0),MATCH(AS$2,'Input 4.1_2020VOL-YTD'!$C$1:$O$1,0))/INDEX('Input 4_2020CUST-YTD'!$C$4:Z$300,MATCH($C61,'Input 4_2020CUST-YTD'!$S$4:$S$300,0),MATCH(AS$2,'Input 4_2020CUST-YTD'!$C$1:$O$1,0)),0)</f>
        <v>51066.591666666667</v>
      </c>
      <c r="AT61" s="190">
        <f t="shared" si="18"/>
        <v>53092.584999999999</v>
      </c>
      <c r="AU61" s="261">
        <f t="shared" si="19"/>
        <v>1</v>
      </c>
      <c r="AW61" s="1">
        <f>IFERROR(INDEX('Input 5.1_2021VOL-YTD'!$C$3:$N$150, MATCH($C61,'Input 5.1_2021VOL-YTD'!$R$3:$R$150,0),MATCH(AW$2,'Input 5.1_2021VOL-YTD'!$C$1:$N$1,0))/INDEX('Input 5_2021CUST-YTD'!$C$3:$N$150,MATCH($C61,'Input 5_2021CUST-YTD'!$S$3:$S$150,0),MATCH(AW$2,'Input 5_2021CUST-YTD'!$C$1:$N$1,0)),0)</f>
        <v>51809.841666666667</v>
      </c>
      <c r="AX61" s="1">
        <f>IFERROR(INDEX('Input 5.1_2021VOL-YTD'!$C$3:$N$150, MATCH($C61,'Input 5.1_2021VOL-YTD'!$R$3:$R$150,0),MATCH(AX$2,'Input 5.1_2021VOL-YTD'!$C$1:$N$1,0))/INDEX('Input 5_2021CUST-YTD'!$C$3:$N$150,MATCH($C61,'Input 5_2021CUST-YTD'!$S$3:$S$150,0),MATCH(AX$2,'Input 5_2021CUST-YTD'!$C$1:$N$1,0)),0)</f>
        <v>48004.22</v>
      </c>
      <c r="AY61" s="1">
        <f>IFERROR(INDEX('Input 5.1_2021VOL-YTD'!$C$3:$N$150, MATCH($C61,'Input 5.1_2021VOL-YTD'!$R$3:$R$150,0),MATCH(AY$2,'Input 5.1_2021VOL-YTD'!$C$1:$N$1,0))/INDEX('Input 5_2021CUST-YTD'!$C$3:$N$150,MATCH($C61,'Input 5_2021CUST-YTD'!$S$3:$S$150,0),MATCH(AY$2,'Input 5_2021CUST-YTD'!$C$1:$N$1,0)),0)</f>
        <v>53694.386666666665</v>
      </c>
      <c r="AZ61" s="1">
        <f>IFERROR(INDEX('Input 5.1_2021VOL-YTD'!$C$3:$N$150, MATCH($C61,'Input 5.1_2021VOL-YTD'!$R$3:$R$150,0),MATCH(AZ$2,'Input 5.1_2021VOL-YTD'!$C$1:$N$1,0))/INDEX('Input 5_2021CUST-YTD'!$C$3:$N$150,MATCH($C61,'Input 5_2021CUST-YTD'!$S$3:$S$150,0),MATCH(AZ$2,'Input 5_2021CUST-YTD'!$C$1:$N$1,0)),0)</f>
        <v>49369.388333333336</v>
      </c>
      <c r="BA61" s="1">
        <f>IFERROR(INDEX('Input 5.1_2021VOL-YTD'!$C$3:$N$150, MATCH($C61,'Input 5.1_2021VOL-YTD'!$R$3:$R$150,0),MATCH(BA$2,'Input 5.1_2021VOL-YTD'!$C$1:$N$1,0))/INDEX('Input 5_2021CUST-YTD'!$C$3:$N$150,MATCH($C61,'Input 5_2021CUST-YTD'!$S$3:$S$150,0),MATCH(BA$2,'Input 5_2021CUST-YTD'!$C$1:$N$1,0)),0)</f>
        <v>49233.445</v>
      </c>
      <c r="BB61" s="1">
        <f>IFERROR(INDEX('Input 5.1_2021VOL-YTD'!$C$3:$N$150, MATCH($C61,'Input 5.1_2021VOL-YTD'!$R$3:$R$150,0),MATCH(BB$2,'Input 5.1_2021VOL-YTD'!$C$1:$N$1,0))/INDEX('Input 5_2021CUST-YTD'!$C$3:$N$150,MATCH($C61,'Input 5_2021CUST-YTD'!$S$3:$S$150,0),MATCH(BB$2,'Input 5_2021CUST-YTD'!$C$1:$N$1,0)),0)</f>
        <v>47730.482857142859</v>
      </c>
      <c r="BC61" s="1">
        <f>IFERROR(INDEX('Input 5.1_2021VOL-YTD'!$C$3:$N$150, MATCH($C61,'Input 5.1_2021VOL-YTD'!$R$3:$R$150,0),MATCH(BC$2,'Input 5.1_2021VOL-YTD'!$C$1:$N$1,0))/INDEX('Input 5_2021CUST-YTD'!$C$3:$N$150,MATCH($C61,'Input 5_2021CUST-YTD'!$S$3:$S$150,0),MATCH(BC$2,'Input 5_2021CUST-YTD'!$C$1:$N$1,0)),0)</f>
        <v>39123.943749999999</v>
      </c>
      <c r="BD61" s="1">
        <f>IFERROR(INDEX('Input 5.1_2021VOL-YTD'!$C$3:$N$150, MATCH($C61,'Input 5.1_2021VOL-YTD'!$R$3:$R$150,0),MATCH(BD$2,'Input 5.1_2021VOL-YTD'!$C$1:$N$1,0))/INDEX('Input 5_2021CUST-YTD'!$C$3:$N$150,MATCH($C61,'Input 5_2021CUST-YTD'!$S$3:$S$150,0),MATCH(BD$2,'Input 5_2021CUST-YTD'!$C$1:$N$1,0)),0)</f>
        <v>38114.129999999997</v>
      </c>
      <c r="BE61" s="1">
        <f>IFERROR(INDEX('Input 5.1_2021VOL-YTD'!$C$3:$N$150, MATCH($C61,'Input 5.1_2021VOL-YTD'!$R$3:$R$150,0),MATCH(BE$2,'Input 5.1_2021VOL-YTD'!$C$1:$N$1,0))/INDEX('Input 5_2021CUST-YTD'!$C$3:$N$150,MATCH($C61,'Input 5_2021CUST-YTD'!$S$3:$S$150,0),MATCH(BE$2,'Input 5_2021CUST-YTD'!$C$1:$N$1,0)),0)</f>
        <v>34178.3125</v>
      </c>
      <c r="BF61" s="1">
        <f>IFERROR(INDEX('Input 5.1_2021VOL-YTD'!$C$3:$N$150, MATCH($C61,'Input 5.1_2021VOL-YTD'!$R$3:$R$150,0),MATCH(BF$2,'Input 5.1_2021VOL-YTD'!$C$1:$N$1,0))/INDEX('Input 5_2021CUST-YTD'!$C$3:$N$150,MATCH($C61,'Input 5_2021CUST-YTD'!$S$3:$S$150,0),MATCH(BF$2,'Input 5_2021CUST-YTD'!$C$1:$N$1,0)),0)</f>
        <v>38000.358749999999</v>
      </c>
      <c r="BG61" s="1">
        <f>IFERROR(INDEX('Input 5.1_2021VOL-YTD'!$C$3:$N$150, MATCH($C61,'Input 5.1_2021VOL-YTD'!$R$3:$R$150,0),MATCH(BG$2,'Input 5.1_2021VOL-YTD'!$C$1:$N$1,0))/INDEX('Input 5_2021CUST-YTD'!$C$3:$N$150,MATCH($C61,'Input 5_2021CUST-YTD'!$S$3:$S$150,0),MATCH(BG$2,'Input 5_2021CUST-YTD'!$C$1:$N$1,0)),0)</f>
        <v>40926.916250000002</v>
      </c>
      <c r="BH61" s="1">
        <f>IFERROR(INDEX('Input 5.1_2021VOL-YTD'!$C$3:$N$150, MATCH($C61,'Input 5.1_2021VOL-YTD'!$R$3:$R$150,0),MATCH(BH$2,'Input 5.1_2021VOL-YTD'!$C$1:$N$1,0))/INDEX('Input 5_2021CUST-YTD'!$C$3:$N$150,MATCH($C61,'Input 5_2021CUST-YTD'!$S$3:$S$150,0),MATCH(BH$2,'Input 5_2021CUST-YTD'!$C$1:$N$1,0)),0)</f>
        <v>41724.051249999997</v>
      </c>
      <c r="BI61" s="190">
        <f t="shared" si="7"/>
        <v>53694.386666666665</v>
      </c>
      <c r="BJ61" s="261">
        <f t="shared" si="8"/>
        <v>3</v>
      </c>
    </row>
    <row r="62" spans="1:62">
      <c r="A62" s="261" t="s">
        <v>1245</v>
      </c>
      <c r="B62" s="261" t="s">
        <v>17</v>
      </c>
      <c r="C62" s="261" t="s">
        <v>1377</v>
      </c>
      <c r="D62" s="5">
        <f>IFERROR(INDEX('Input 16.1_2018VOL-YTD'!$C$4:$N$300, MATCH($C62,'Input 16.1_2018VOL-YTD'!$R$4:$R$300,0),MATCH(D$2,'Input 16.1_2018VOL-YTD'!$C$1:$N$1,0))/INDEX('Input 16_2018CUST-YTD'!$D$4:$O$300,MATCH($C62,'Input 16_2018CUST-YTD'!$S$4:$S$300,0),MATCH(D$2,'Input 16_2018CUST-YTD'!$C$1:$O$1,0)),0)</f>
        <v>0</v>
      </c>
      <c r="E62" s="5">
        <f>IFERROR(INDEX('Input 16.1_2018VOL-YTD'!$C$4:$N$300, MATCH($C62,'Input 16.1_2018VOL-YTD'!$R$4:$R$300,0),MATCH(E$2,'Input 16.1_2018VOL-YTD'!$C$1:$N$1,0))/INDEX('Input 16_2018CUST-YTD'!$D$4:$O$300,MATCH($C62,'Input 16_2018CUST-YTD'!$S$4:$S$300,0),MATCH(E$2,'Input 16_2018CUST-YTD'!$C$1:$O$1,0)),0)</f>
        <v>0</v>
      </c>
      <c r="F62" s="5">
        <f>IFERROR(INDEX('Input 16.1_2018VOL-YTD'!$C$4:$N$300, MATCH($C62,'Input 16.1_2018VOL-YTD'!$R$4:$R$300,0),MATCH(F$2,'Input 16.1_2018VOL-YTD'!$C$1:$N$1,0))/INDEX('Input 16_2018CUST-YTD'!$D$4:$O$300,MATCH($C62,'Input 16_2018CUST-YTD'!$S$4:$S$300,0),MATCH(F$2,'Input 16_2018CUST-YTD'!$C$1:$O$1,0)),0)</f>
        <v>0</v>
      </c>
      <c r="G62" s="5">
        <f>IFERROR(INDEX('Input 16.1_2018VOL-YTD'!$C$4:$N$300, MATCH($C62,'Input 16.1_2018VOL-YTD'!$R$4:$R$300,0),MATCH(G$2,'Input 16.1_2018VOL-YTD'!$C$1:$N$1,0))/INDEX('Input 16_2018CUST-YTD'!$D$4:$O$300,MATCH($C62,'Input 16_2018CUST-YTD'!$S$4:$S$300,0),MATCH(G$2,'Input 16_2018CUST-YTD'!$C$1:$O$1,0)),0)</f>
        <v>0</v>
      </c>
      <c r="H62" s="5">
        <f>IFERROR(INDEX('Input 16.1_2018VOL-YTD'!$C$4:$N$300, MATCH($C62,'Input 16.1_2018VOL-YTD'!$R$4:$R$300,0),MATCH(H$2,'Input 16.1_2018VOL-YTD'!$C$1:$N$1,0))/INDEX('Input 16_2018CUST-YTD'!$D$4:$O$300,MATCH($C62,'Input 16_2018CUST-YTD'!$S$4:$S$300,0),MATCH(H$2,'Input 16_2018CUST-YTD'!$C$1:$O$1,0)),0)</f>
        <v>0</v>
      </c>
      <c r="I62" s="5">
        <f>IFERROR(INDEX('Input 16.1_2018VOL-YTD'!$C$4:$N$300, MATCH($C62,'Input 16.1_2018VOL-YTD'!$R$4:$R$300,0),MATCH(I$2,'Input 16.1_2018VOL-YTD'!$C$1:$N$1,0))/INDEX('Input 16_2018CUST-YTD'!$D$4:$O$300,MATCH($C62,'Input 16_2018CUST-YTD'!$S$4:$S$300,0),MATCH(I$2,'Input 16_2018CUST-YTD'!$C$1:$O$1,0)),0)</f>
        <v>0</v>
      </c>
      <c r="J62" s="5">
        <f>IFERROR(INDEX('Input 16.1_2018VOL-YTD'!$C$4:$N$300, MATCH($C62,'Input 16.1_2018VOL-YTD'!$R$4:$R$300,0),MATCH(J$2,'Input 16.1_2018VOL-YTD'!$C$1:$N$1,0))/INDEX('Input 16_2018CUST-YTD'!$D$4:$O$300,MATCH($C62,'Input 16_2018CUST-YTD'!$S$4:$S$300,0),MATCH(J$2,'Input 16_2018CUST-YTD'!$C$1:$O$1,0)),0)</f>
        <v>0</v>
      </c>
      <c r="K62" s="5">
        <f>IFERROR(INDEX('Input 16.1_2018VOL-YTD'!$C$4:$N$300, MATCH($C62,'Input 16.1_2018VOL-YTD'!$R$4:$R$300,0),MATCH(K$2,'Input 16.1_2018VOL-YTD'!$C$1:$N$1,0))/INDEX('Input 16_2018CUST-YTD'!$D$4:$O$300,MATCH($C62,'Input 16_2018CUST-YTD'!$S$4:$S$300,0),MATCH(K$2,'Input 16_2018CUST-YTD'!$C$1:$O$1,0)),0)</f>
        <v>0</v>
      </c>
      <c r="L62" s="5">
        <f>IFERROR(INDEX('Input 16.1_2018VOL-YTD'!$C$4:$N$300, MATCH($C62,'Input 16.1_2018VOL-YTD'!$R$4:$R$300,0),MATCH(L$2,'Input 16.1_2018VOL-YTD'!$C$1:$N$1,0))/INDEX('Input 16_2018CUST-YTD'!$D$4:$O$300,MATCH($C62,'Input 16_2018CUST-YTD'!$S$4:$S$300,0),MATCH(L$2,'Input 16_2018CUST-YTD'!$C$1:$O$1,0)),0)</f>
        <v>0</v>
      </c>
      <c r="M62" s="5">
        <f>IFERROR(INDEX('Input 16.1_2018VOL-YTD'!$C$4:$N$300, MATCH($C62,'Input 16.1_2018VOL-YTD'!$R$4:$R$300,0),MATCH(M$2,'Input 16.1_2018VOL-YTD'!$C$1:$N$1,0))/INDEX('Input 16_2018CUST-YTD'!$D$4:$O$300,MATCH($C62,'Input 16_2018CUST-YTD'!$S$4:$S$300,0),MATCH(M$2,'Input 16_2018CUST-YTD'!$C$1:$O$1,0)),0)</f>
        <v>0</v>
      </c>
      <c r="N62" s="5">
        <f>IFERROR(INDEX('Input 16.1_2018VOL-YTD'!$C$4:$N$300, MATCH($C62,'Input 16.1_2018VOL-YTD'!$R$4:$R$300,0),MATCH(N$2,'Input 16.1_2018VOL-YTD'!$C$1:$N$1,0))/INDEX('Input 16_2018CUST-YTD'!$D$4:$O$300,MATCH($C62,'Input 16_2018CUST-YTD'!$S$4:$S$300,0),MATCH(N$2,'Input 16_2018CUST-YTD'!$C$1:$O$1,0)),0)</f>
        <v>0</v>
      </c>
      <c r="O62" s="5">
        <f>IFERROR(INDEX('Input 16.1_2018VOL-YTD'!$C$4:$N$300, MATCH($C62,'Input 16.1_2018VOL-YTD'!$R$4:$R$300,0),MATCH(O$2,'Input 16.1_2018VOL-YTD'!$C$1:$N$1,0))/INDEX('Input 16_2018CUST-YTD'!$D$4:$O$300,MATCH($C62,'Input 16_2018CUST-YTD'!$S$4:$S$300,0),MATCH(O$2,'Input 16_2018CUST-YTD'!$C$1:$O$1,0)),0)</f>
        <v>0</v>
      </c>
      <c r="P62" s="271">
        <f t="shared" si="1"/>
        <v>0</v>
      </c>
      <c r="Q62" s="261">
        <f t="shared" si="2"/>
        <v>0</v>
      </c>
      <c r="S62" s="5">
        <f>IFERROR(INDEX('Input 3.1_2019VOL-YTD'!$C$4:$N$300, MATCH($C62,'Input 3.1_2019VOL-YTD'!$R$4:$R$300,0),MATCH(S$2,'Input 3.1_2019VOL-YTD'!$C$1:$N$1,0))/INDEX('Input 3_2019CUST-YTD'!$C$4:$N$300,MATCH($C62,'Input 3_2019CUST-YTD'!$S$4:$S$300,0),MATCH(S$2,'Input 3_2019CUST-YTD'!$C$1:$N$1,0)),0)</f>
        <v>0</v>
      </c>
      <c r="T62" s="5">
        <f>IFERROR(INDEX('Input 3.1_2019VOL-YTD'!$C$4:$N$300, MATCH($C62,'Input 3.1_2019VOL-YTD'!$R$4:$R$300,0),MATCH(T$2,'Input 3.1_2019VOL-YTD'!$C$1:$N$1,0))/INDEX('Input 3_2019CUST-YTD'!$C$4:$N$300,MATCH($C62,'Input 3_2019CUST-YTD'!$S$4:$S$300,0),MATCH(T$2,'Input 3_2019CUST-YTD'!$C$1:$N$1,0)),0)</f>
        <v>0</v>
      </c>
      <c r="U62" s="5">
        <f>IFERROR(INDEX('Input 3.1_2019VOL-YTD'!$C$4:$N$300, MATCH($C62,'Input 3.1_2019VOL-YTD'!$R$4:$R$300,0),MATCH(U$2,'Input 3.1_2019VOL-YTD'!$C$1:$N$1,0))/INDEX('Input 3_2019CUST-YTD'!$C$4:$N$300,MATCH($C62,'Input 3_2019CUST-YTD'!$S$4:$S$300,0),MATCH(U$2,'Input 3_2019CUST-YTD'!$C$1:$N$1,0)),0)</f>
        <v>0</v>
      </c>
      <c r="V62" s="5">
        <f>IFERROR(INDEX('Input 3.1_2019VOL-YTD'!$C$4:$N$300, MATCH($C62,'Input 3.1_2019VOL-YTD'!$R$4:$R$300,0),MATCH(V$2,'Input 3.1_2019VOL-YTD'!$C$1:$N$1,0))/INDEX('Input 3_2019CUST-YTD'!$C$4:$N$300,MATCH($C62,'Input 3_2019CUST-YTD'!$S$4:$S$300,0),MATCH(V$2,'Input 3_2019CUST-YTD'!$C$1:$N$1,0)),0)</f>
        <v>0</v>
      </c>
      <c r="W62" s="5">
        <f>IFERROR(INDEX('Input 3.1_2019VOL-YTD'!$C$4:$N$300, MATCH($C62,'Input 3.1_2019VOL-YTD'!$R$4:$R$300,0),MATCH(W$2,'Input 3.1_2019VOL-YTD'!$C$1:$N$1,0))/INDEX('Input 3_2019CUST-YTD'!$C$4:$N$300,MATCH($C62,'Input 3_2019CUST-YTD'!$S$4:$S$300,0),MATCH(W$2,'Input 3_2019CUST-YTD'!$C$1:$N$1,0)),0)</f>
        <v>0</v>
      </c>
      <c r="X62" s="5">
        <f>IFERROR(INDEX('Input 3.1_2019VOL-YTD'!$C$4:$N$300, MATCH($C62,'Input 3.1_2019VOL-YTD'!$R$4:$R$300,0),MATCH(X$2,'Input 3.1_2019VOL-YTD'!$C$1:$N$1,0))/INDEX('Input 3_2019CUST-YTD'!$C$4:$N$300,MATCH($C62,'Input 3_2019CUST-YTD'!$S$4:$S$300,0),MATCH(X$2,'Input 3_2019CUST-YTD'!$C$1:$N$1,0)),0)</f>
        <v>0</v>
      </c>
      <c r="Y62" s="5">
        <f>IFERROR(INDEX('Input 3.1_2019VOL-YTD'!$C$4:$N$300, MATCH($C62,'Input 3.1_2019VOL-YTD'!$R$4:$R$300,0),MATCH(Y$2,'Input 3.1_2019VOL-YTD'!$C$1:$N$1,0))/INDEX('Input 3_2019CUST-YTD'!$C$4:$N$300,MATCH($C62,'Input 3_2019CUST-YTD'!$S$4:$S$300,0),MATCH(Y$2,'Input 3_2019CUST-YTD'!$C$1:$N$1,0)),0)</f>
        <v>0</v>
      </c>
      <c r="Z62" s="5">
        <f>IFERROR(INDEX('Input 3.1_2019VOL-YTD'!$C$4:$N$300, MATCH($C62,'Input 3.1_2019VOL-YTD'!$R$4:$R$300,0),MATCH(Z$2,'Input 3.1_2019VOL-YTD'!$C$1:$N$1,0))/INDEX('Input 3_2019CUST-YTD'!$C$4:$N$300,MATCH($C62,'Input 3_2019CUST-YTD'!$S$4:$S$300,0),MATCH(Z$2,'Input 3_2019CUST-YTD'!$C$1:$N$1,0)),0)</f>
        <v>0</v>
      </c>
      <c r="AA62" s="5">
        <f>IFERROR(INDEX('Input 3.1_2019VOL-YTD'!$C$4:$N$300, MATCH($C62,'Input 3.1_2019VOL-YTD'!$R$4:$R$300,0),MATCH(AA$2,'Input 3.1_2019VOL-YTD'!$C$1:$N$1,0))/INDEX('Input 3_2019CUST-YTD'!$C$4:$N$300,MATCH($C62,'Input 3_2019CUST-YTD'!$S$4:$S$300,0),MATCH(AA$2,'Input 3_2019CUST-YTD'!$C$1:$N$1,0)),0)</f>
        <v>0</v>
      </c>
      <c r="AB62" s="5">
        <f>IFERROR(INDEX('Input 3.1_2019VOL-YTD'!$C$4:$N$300, MATCH($C62,'Input 3.1_2019VOL-YTD'!$R$4:$R$300,0),MATCH(AB$2,'Input 3.1_2019VOL-YTD'!$C$1:$N$1,0))/INDEX('Input 3_2019CUST-YTD'!$C$4:$N$300,MATCH($C62,'Input 3_2019CUST-YTD'!$S$4:$S$300,0),MATCH(AB$2,'Input 3_2019CUST-YTD'!$C$1:$N$1,0)),0)</f>
        <v>0</v>
      </c>
      <c r="AC62" s="5">
        <f>IFERROR(INDEX('Input 3.1_2019VOL-YTD'!$C$4:$N$300, MATCH($C62,'Input 3.1_2019VOL-YTD'!$R$4:$R$300,0),MATCH(AC$2,'Input 3.1_2019VOL-YTD'!$C$1:$N$1,0))/INDEX('Input 3_2019CUST-YTD'!$C$4:$N$300,MATCH($C62,'Input 3_2019CUST-YTD'!$S$4:$S$300,0),MATCH(AC$2,'Input 3_2019CUST-YTD'!$C$1:$N$1,0)),0)</f>
        <v>0</v>
      </c>
      <c r="AD62" s="5">
        <f>IFERROR(INDEX('Input 3.1_2019VOL-YTD'!$C$4:$N$300, MATCH($C62,'Input 3.1_2019VOL-YTD'!$R$4:$R$300,0),MATCH(AD$2,'Input 3.1_2019VOL-YTD'!$C$1:$N$1,0))/INDEX('Input 3_2019CUST-YTD'!$C$4:$N$300,MATCH($C62,'Input 3_2019CUST-YTD'!$S$4:$S$300,0),MATCH(AD$2,'Input 3_2019CUST-YTD'!$C$1:$N$1,0)),0)</f>
        <v>0</v>
      </c>
      <c r="AE62" s="272">
        <f t="shared" si="16"/>
        <v>0</v>
      </c>
      <c r="AF62" s="261">
        <f t="shared" si="17"/>
        <v>1</v>
      </c>
      <c r="AH62" s="262">
        <f>IFERROR(INDEX('Input 4.1_2020VOL-YTD'!$C$4:$O$300, MATCH($C62,'Input 4.1_2020VOL-YTD'!$R$4:$R$300,0),MATCH(AH$2,'Input 4.1_2020VOL-YTD'!$C$1:$O$1,0))/INDEX('Input 4_2020CUST-YTD'!$C$4:O$300,MATCH($C62,'Input 4_2020CUST-YTD'!$S$4:$S$300,0),MATCH(AH$2,'Input 4_2020CUST-YTD'!$C$1:$O$1,0)),0)</f>
        <v>0</v>
      </c>
      <c r="AI62" s="262">
        <f>IFERROR(INDEX('Input 4.1_2020VOL-YTD'!$C$4:$O$300, MATCH($C62,'Input 4.1_2020VOL-YTD'!$R$4:$R$300,0),MATCH(AI$2,'Input 4.1_2020VOL-YTD'!$C$1:$O$1,0))/INDEX('Input 4_2020CUST-YTD'!$C$4:P$300,MATCH($C62,'Input 4_2020CUST-YTD'!$S$4:$S$300,0),MATCH(AI$2,'Input 4_2020CUST-YTD'!$C$1:$O$1,0)),0)</f>
        <v>0</v>
      </c>
      <c r="AJ62" s="262">
        <f>IFERROR(INDEX('Input 4.1_2020VOL-YTD'!$C$4:$O$300, MATCH($C62,'Input 4.1_2020VOL-YTD'!$R$4:$R$300,0),MATCH(AJ$2,'Input 4.1_2020VOL-YTD'!$C$1:$O$1,0))/INDEX('Input 4_2020CUST-YTD'!$C$4:Q$300,MATCH($C62,'Input 4_2020CUST-YTD'!$S$4:$S$300,0),MATCH(AJ$2,'Input 4_2020CUST-YTD'!$C$1:$O$1,0)),0)</f>
        <v>0</v>
      </c>
      <c r="AK62" s="262">
        <f>IFERROR(INDEX('Input 4.1_2020VOL-YTD'!$C$4:$O$300, MATCH($C62,'Input 4.1_2020VOL-YTD'!$R$4:$R$300,0),MATCH(AK$2,'Input 4.1_2020VOL-YTD'!$C$1:$O$1,0))/INDEX('Input 4_2020CUST-YTD'!$C$4:R$300,MATCH($C62,'Input 4_2020CUST-YTD'!$S$4:$S$300,0),MATCH(AK$2,'Input 4_2020CUST-YTD'!$C$1:$O$1,0)),0)</f>
        <v>0</v>
      </c>
      <c r="AL62" s="262">
        <f>IFERROR(INDEX('Input 4.1_2020VOL-YTD'!$C$4:$O$300, MATCH($C62,'Input 4.1_2020VOL-YTD'!$R$4:$R$300,0),MATCH(AL$2,'Input 4.1_2020VOL-YTD'!$C$1:$O$1,0))/INDEX('Input 4_2020CUST-YTD'!$C$4:S$300,MATCH($C62,'Input 4_2020CUST-YTD'!$S$4:$S$300,0),MATCH(AL$2,'Input 4_2020CUST-YTD'!$C$1:$O$1,0)),0)</f>
        <v>0</v>
      </c>
      <c r="AM62" s="262">
        <f>IFERROR(INDEX('Input 4.1_2020VOL-YTD'!$C$4:$O$300, MATCH($C62,'Input 4.1_2020VOL-YTD'!$R$4:$R$300,0),MATCH(AM$2,'Input 4.1_2020VOL-YTD'!$C$1:$O$1,0))/INDEX('Input 4_2020CUST-YTD'!$C$4:T$300,MATCH($C62,'Input 4_2020CUST-YTD'!$S$4:$S$300,0),MATCH(AM$2,'Input 4_2020CUST-YTD'!$C$1:$O$1,0)),0)</f>
        <v>0</v>
      </c>
      <c r="AN62" s="262">
        <f>IFERROR(INDEX('Input 4.1_2020VOL-YTD'!$C$4:$O$300, MATCH($C62,'Input 4.1_2020VOL-YTD'!$R$4:$R$300,0),MATCH(AN$2,'Input 4.1_2020VOL-YTD'!$C$1:$O$1,0))/INDEX('Input 4_2020CUST-YTD'!$C$4:U$300,MATCH($C62,'Input 4_2020CUST-YTD'!$S$4:$S$300,0),MATCH(AN$2,'Input 4_2020CUST-YTD'!$C$1:$O$1,0)),0)</f>
        <v>0</v>
      </c>
      <c r="AO62" s="262">
        <f>IFERROR(INDEX('Input 4.1_2020VOL-YTD'!$C$4:$O$300, MATCH($C62,'Input 4.1_2020VOL-YTD'!$R$4:$R$300,0),MATCH(AO$2,'Input 4.1_2020VOL-YTD'!$C$1:$O$1,0))/INDEX('Input 4_2020CUST-YTD'!$C$4:V$300,MATCH($C62,'Input 4_2020CUST-YTD'!$S$4:$S$300,0),MATCH(AO$2,'Input 4_2020CUST-YTD'!$C$1:$O$1,0)),0)</f>
        <v>0</v>
      </c>
      <c r="AP62" s="262">
        <f>IFERROR(INDEX('Input 4.1_2020VOL-YTD'!$C$4:$O$300, MATCH($C62,'Input 4.1_2020VOL-YTD'!$R$4:$R$300,0),MATCH(AP$2,'Input 4.1_2020VOL-YTD'!$C$1:$O$1,0))/INDEX('Input 4_2020CUST-YTD'!$C$4:W$300,MATCH($C62,'Input 4_2020CUST-YTD'!$S$4:$S$300,0),MATCH(AP$2,'Input 4_2020CUST-YTD'!$C$1:$O$1,0)),0)</f>
        <v>0</v>
      </c>
      <c r="AQ62" s="262">
        <f>IFERROR(INDEX('Input 4.1_2020VOL-YTD'!$C$4:$O$300, MATCH($C62,'Input 4.1_2020VOL-YTD'!$R$4:$R$300,0),MATCH(AQ$2,'Input 4.1_2020VOL-YTD'!$C$1:$O$1,0))/INDEX('Input 4_2020CUST-YTD'!$C$4:X$300,MATCH($C62,'Input 4_2020CUST-YTD'!$S$4:$S$300,0),MATCH(AQ$2,'Input 4_2020CUST-YTD'!$C$1:$O$1,0)),0)</f>
        <v>0</v>
      </c>
      <c r="AR62" s="262">
        <f>IFERROR(INDEX('Input 4.1_2020VOL-YTD'!$C$4:$O$300, MATCH($C62,'Input 4.1_2020VOL-YTD'!$R$4:$R$300,0),MATCH(AR$2,'Input 4.1_2020VOL-YTD'!$C$1:$O$1,0))/INDEX('Input 4_2020CUST-YTD'!$C$4:Y$300,MATCH($C62,'Input 4_2020CUST-YTD'!$S$4:$S$300,0),MATCH(AR$2,'Input 4_2020CUST-YTD'!$C$1:$O$1,0)),0)</f>
        <v>0</v>
      </c>
      <c r="AS62" s="262">
        <f>IFERROR(INDEX('Input 4.1_2020VOL-YTD'!$C$4:$O$300, MATCH($C62,'Input 4.1_2020VOL-YTD'!$R$4:$R$300,0),MATCH(AS$2,'Input 4.1_2020VOL-YTD'!$C$1:$O$1,0))/INDEX('Input 4_2020CUST-YTD'!$C$4:Z$300,MATCH($C62,'Input 4_2020CUST-YTD'!$S$4:$S$300,0),MATCH(AS$2,'Input 4_2020CUST-YTD'!$C$1:$O$1,0)),0)</f>
        <v>0</v>
      </c>
      <c r="AT62" s="190">
        <f t="shared" si="18"/>
        <v>0</v>
      </c>
      <c r="AU62" s="261">
        <f t="shared" si="19"/>
        <v>1</v>
      </c>
      <c r="AW62" s="1">
        <f>IFERROR(INDEX('Input 5.1_2021VOL-YTD'!$C$3:$N$150, MATCH($C62,'Input 5.1_2021VOL-YTD'!$R$3:$R$150,0),MATCH(AW$2,'Input 5.1_2021VOL-YTD'!$C$1:$N$1,0))/INDEX('Input 5_2021CUST-YTD'!$C$3:$N$150,MATCH($C62,'Input 5_2021CUST-YTD'!$S$3:$S$150,0),MATCH(AW$2,'Input 5_2021CUST-YTD'!$C$1:$N$1,0)),0)</f>
        <v>0</v>
      </c>
      <c r="AX62" s="1">
        <f>IFERROR(INDEX('Input 5.1_2021VOL-YTD'!$C$3:$N$150, MATCH($C62,'Input 5.1_2021VOL-YTD'!$R$3:$R$150,0),MATCH(AX$2,'Input 5.1_2021VOL-YTD'!$C$1:$N$1,0))/INDEX('Input 5_2021CUST-YTD'!$C$3:$N$150,MATCH($C62,'Input 5_2021CUST-YTD'!$S$3:$S$150,0),MATCH(AX$2,'Input 5_2021CUST-YTD'!$C$1:$N$1,0)),0)</f>
        <v>0</v>
      </c>
      <c r="AY62" s="1">
        <f>IFERROR(INDEX('Input 5.1_2021VOL-YTD'!$C$3:$N$150, MATCH($C62,'Input 5.1_2021VOL-YTD'!$R$3:$R$150,0),MATCH(AY$2,'Input 5.1_2021VOL-YTD'!$C$1:$N$1,0))/INDEX('Input 5_2021CUST-YTD'!$C$3:$N$150,MATCH($C62,'Input 5_2021CUST-YTD'!$S$3:$S$150,0),MATCH(AY$2,'Input 5_2021CUST-YTD'!$C$1:$N$1,0)),0)</f>
        <v>0</v>
      </c>
      <c r="AZ62" s="1">
        <f>IFERROR(INDEX('Input 5.1_2021VOL-YTD'!$C$3:$N$150, MATCH($C62,'Input 5.1_2021VOL-YTD'!$R$3:$R$150,0),MATCH(AZ$2,'Input 5.1_2021VOL-YTD'!$C$1:$N$1,0))/INDEX('Input 5_2021CUST-YTD'!$C$3:$N$150,MATCH($C62,'Input 5_2021CUST-YTD'!$S$3:$S$150,0),MATCH(AZ$2,'Input 5_2021CUST-YTD'!$C$1:$N$1,0)),0)</f>
        <v>0</v>
      </c>
      <c r="BA62" s="1">
        <f>IFERROR(INDEX('Input 5.1_2021VOL-YTD'!$C$3:$N$150, MATCH($C62,'Input 5.1_2021VOL-YTD'!$R$3:$R$150,0),MATCH(BA$2,'Input 5.1_2021VOL-YTD'!$C$1:$N$1,0))/INDEX('Input 5_2021CUST-YTD'!$C$3:$N$150,MATCH($C62,'Input 5_2021CUST-YTD'!$S$3:$S$150,0),MATCH(BA$2,'Input 5_2021CUST-YTD'!$C$1:$N$1,0)),0)</f>
        <v>0</v>
      </c>
      <c r="BB62" s="1">
        <f>IFERROR(INDEX('Input 5.1_2021VOL-YTD'!$C$3:$N$150, MATCH($C62,'Input 5.1_2021VOL-YTD'!$R$3:$R$150,0),MATCH(BB$2,'Input 5.1_2021VOL-YTD'!$C$1:$N$1,0))/INDEX('Input 5_2021CUST-YTD'!$C$3:$N$150,MATCH($C62,'Input 5_2021CUST-YTD'!$S$3:$S$150,0),MATCH(BB$2,'Input 5_2021CUST-YTD'!$C$1:$N$1,0)),0)</f>
        <v>0</v>
      </c>
      <c r="BC62" s="1">
        <f>IFERROR(INDEX('Input 5.1_2021VOL-YTD'!$C$3:$N$150, MATCH($C62,'Input 5.1_2021VOL-YTD'!$R$3:$R$150,0),MATCH(BC$2,'Input 5.1_2021VOL-YTD'!$C$1:$N$1,0))/INDEX('Input 5_2021CUST-YTD'!$C$3:$N$150,MATCH($C62,'Input 5_2021CUST-YTD'!$S$3:$S$150,0),MATCH(BC$2,'Input 5_2021CUST-YTD'!$C$1:$N$1,0)),0)</f>
        <v>0</v>
      </c>
      <c r="BD62" s="1">
        <f>IFERROR(INDEX('Input 5.1_2021VOL-YTD'!$C$3:$N$150, MATCH($C62,'Input 5.1_2021VOL-YTD'!$R$3:$R$150,0),MATCH(BD$2,'Input 5.1_2021VOL-YTD'!$C$1:$N$1,0))/INDEX('Input 5_2021CUST-YTD'!$C$3:$N$150,MATCH($C62,'Input 5_2021CUST-YTD'!$S$3:$S$150,0),MATCH(BD$2,'Input 5_2021CUST-YTD'!$C$1:$N$1,0)),0)</f>
        <v>0</v>
      </c>
      <c r="BE62" s="1">
        <f>IFERROR(INDEX('Input 5.1_2021VOL-YTD'!$C$3:$N$150, MATCH($C62,'Input 5.1_2021VOL-YTD'!$R$3:$R$150,0),MATCH(BE$2,'Input 5.1_2021VOL-YTD'!$C$1:$N$1,0))/INDEX('Input 5_2021CUST-YTD'!$C$3:$N$150,MATCH($C62,'Input 5_2021CUST-YTD'!$S$3:$S$150,0),MATCH(BE$2,'Input 5_2021CUST-YTD'!$C$1:$N$1,0)),0)</f>
        <v>0</v>
      </c>
      <c r="BF62" s="1">
        <f>IFERROR(INDEX('Input 5.1_2021VOL-YTD'!$C$3:$N$150, MATCH($C62,'Input 5.1_2021VOL-YTD'!$R$3:$R$150,0),MATCH(BF$2,'Input 5.1_2021VOL-YTD'!$C$1:$N$1,0))/INDEX('Input 5_2021CUST-YTD'!$C$3:$N$150,MATCH($C62,'Input 5_2021CUST-YTD'!$S$3:$S$150,0),MATCH(BF$2,'Input 5_2021CUST-YTD'!$C$1:$N$1,0)),0)</f>
        <v>0</v>
      </c>
      <c r="BG62" s="1">
        <f>IFERROR(INDEX('Input 5.1_2021VOL-YTD'!$C$3:$N$150, MATCH($C62,'Input 5.1_2021VOL-YTD'!$R$3:$R$150,0),MATCH(BG$2,'Input 5.1_2021VOL-YTD'!$C$1:$N$1,0))/INDEX('Input 5_2021CUST-YTD'!$C$3:$N$150,MATCH($C62,'Input 5_2021CUST-YTD'!$S$3:$S$150,0),MATCH(BG$2,'Input 5_2021CUST-YTD'!$C$1:$N$1,0)),0)</f>
        <v>0</v>
      </c>
      <c r="BH62" s="1">
        <f>IFERROR(INDEX('Input 5.1_2021VOL-YTD'!$C$3:$N$150, MATCH($C62,'Input 5.1_2021VOL-YTD'!$R$3:$R$150,0),MATCH(BH$2,'Input 5.1_2021VOL-YTD'!$C$1:$N$1,0))/INDEX('Input 5_2021CUST-YTD'!$C$3:$N$150,MATCH($C62,'Input 5_2021CUST-YTD'!$S$3:$S$150,0),MATCH(BH$2,'Input 5_2021CUST-YTD'!$C$1:$N$1,0)),0)</f>
        <v>0</v>
      </c>
      <c r="BI62" s="190">
        <f t="shared" si="7"/>
        <v>0</v>
      </c>
      <c r="BJ62" s="261">
        <f t="shared" si="8"/>
        <v>1</v>
      </c>
    </row>
    <row r="63" spans="1:62">
      <c r="A63" s="261" t="s">
        <v>1245</v>
      </c>
      <c r="B63" s="261" t="s">
        <v>17</v>
      </c>
      <c r="C63" s="261" t="s">
        <v>1385</v>
      </c>
      <c r="D63" s="5">
        <f>IFERROR(INDEX('Input 16.1_2018VOL-YTD'!$C$4:$N$300, MATCH($C63,'Input 16.1_2018VOL-YTD'!$R$4:$R$300,0),MATCH(D$2,'Input 16.1_2018VOL-YTD'!$C$1:$N$1,0))/INDEX('Input 16_2018CUST-YTD'!$D$4:$O$300,MATCH($C63,'Input 16_2018CUST-YTD'!$S$4:$S$300,0),MATCH(D$2,'Input 16_2018CUST-YTD'!$C$1:$O$1,0)),0)</f>
        <v>9.1733333333333338</v>
      </c>
      <c r="E63" s="5">
        <f>IFERROR(INDEX('Input 16.1_2018VOL-YTD'!$C$4:$N$300, MATCH($C63,'Input 16.1_2018VOL-YTD'!$R$4:$R$300,0),MATCH(E$2,'Input 16.1_2018VOL-YTD'!$C$1:$N$1,0))/INDEX('Input 16_2018CUST-YTD'!$D$4:$O$300,MATCH($C63,'Input 16_2018CUST-YTD'!$S$4:$S$300,0),MATCH(E$2,'Input 16_2018CUST-YTD'!$C$1:$O$1,0)),0)</f>
        <v>3.0283333333333338</v>
      </c>
      <c r="F63" s="5">
        <f>IFERROR(INDEX('Input 16.1_2018VOL-YTD'!$C$4:$N$300, MATCH($C63,'Input 16.1_2018VOL-YTD'!$R$4:$R$300,0),MATCH(F$2,'Input 16.1_2018VOL-YTD'!$C$1:$N$1,0))/INDEX('Input 16_2018CUST-YTD'!$D$4:$O$300,MATCH($C63,'Input 16_2018CUST-YTD'!$S$4:$S$300,0),MATCH(F$2,'Input 16_2018CUST-YTD'!$C$1:$O$1,0)),0)</f>
        <v>3.4649999999999999</v>
      </c>
      <c r="G63" s="5">
        <f>IFERROR(INDEX('Input 16.1_2018VOL-YTD'!$C$4:$N$300, MATCH($C63,'Input 16.1_2018VOL-YTD'!$R$4:$R$300,0),MATCH(G$2,'Input 16.1_2018VOL-YTD'!$C$1:$N$1,0))/INDEX('Input 16_2018CUST-YTD'!$D$4:$O$300,MATCH($C63,'Input 16_2018CUST-YTD'!$S$4:$S$300,0),MATCH(G$2,'Input 16_2018CUST-YTD'!$C$1:$O$1,0)),0)</f>
        <v>3.5525000000000002</v>
      </c>
      <c r="H63" s="5">
        <f>IFERROR(INDEX('Input 16.1_2018VOL-YTD'!$C$4:$N$300, MATCH($C63,'Input 16.1_2018VOL-YTD'!$R$4:$R$300,0),MATCH(H$2,'Input 16.1_2018VOL-YTD'!$C$1:$N$1,0))/INDEX('Input 16_2018CUST-YTD'!$D$4:$O$300,MATCH($C63,'Input 16_2018CUST-YTD'!$S$4:$S$300,0),MATCH(H$2,'Input 16_2018CUST-YTD'!$C$1:$O$1,0)),0)</f>
        <v>2.9408333333333334</v>
      </c>
      <c r="I63" s="5">
        <f>IFERROR(INDEX('Input 16.1_2018VOL-YTD'!$C$4:$N$300, MATCH($C63,'Input 16.1_2018VOL-YTD'!$R$4:$R$300,0),MATCH(I$2,'Input 16.1_2018VOL-YTD'!$C$1:$N$1,0))/INDEX('Input 16_2018CUST-YTD'!$D$4:$O$300,MATCH($C63,'Input 16_2018CUST-YTD'!$S$4:$S$300,0),MATCH(I$2,'Input 16_2018CUST-YTD'!$C$1:$O$1,0)),0)</f>
        <v>10.134166666666667</v>
      </c>
      <c r="J63" s="5">
        <f>IFERROR(INDEX('Input 16.1_2018VOL-YTD'!$C$4:$N$300, MATCH($C63,'Input 16.1_2018VOL-YTD'!$R$4:$R$300,0),MATCH(J$2,'Input 16.1_2018VOL-YTD'!$C$1:$N$1,0))/INDEX('Input 16_2018CUST-YTD'!$D$4:$O$300,MATCH($C63,'Input 16_2018CUST-YTD'!$S$4:$S$300,0),MATCH(J$2,'Input 16_2018CUST-YTD'!$C$1:$O$1,0)),0)</f>
        <v>2</v>
      </c>
      <c r="K63" s="5">
        <f>IFERROR(INDEX('Input 16.1_2018VOL-YTD'!$C$4:$N$300, MATCH($C63,'Input 16.1_2018VOL-YTD'!$R$4:$R$300,0),MATCH(K$2,'Input 16.1_2018VOL-YTD'!$C$1:$N$1,0))/INDEX('Input 16_2018CUST-YTD'!$D$4:$O$300,MATCH($C63,'Input 16_2018CUST-YTD'!$S$4:$S$300,0),MATCH(K$2,'Input 16_2018CUST-YTD'!$C$1:$O$1,0)),0)</f>
        <v>2.1591666666666667</v>
      </c>
      <c r="L63" s="5">
        <f>IFERROR(INDEX('Input 16.1_2018VOL-YTD'!$C$4:$N$300, MATCH($C63,'Input 16.1_2018VOL-YTD'!$R$4:$R$300,0),MATCH(L$2,'Input 16.1_2018VOL-YTD'!$C$1:$N$1,0))/INDEX('Input 16_2018CUST-YTD'!$D$4:$O$300,MATCH($C63,'Input 16_2018CUST-YTD'!$S$4:$S$300,0),MATCH(L$2,'Input 16_2018CUST-YTD'!$C$1:$O$1,0)),0)</f>
        <v>2.1625000000000001</v>
      </c>
      <c r="M63" s="5">
        <f>IFERROR(INDEX('Input 16.1_2018VOL-YTD'!$C$4:$N$300, MATCH($C63,'Input 16.1_2018VOL-YTD'!$R$4:$R$300,0),MATCH(M$2,'Input 16.1_2018VOL-YTD'!$C$1:$N$1,0))/INDEX('Input 16_2018CUST-YTD'!$D$4:$O$300,MATCH($C63,'Input 16_2018CUST-YTD'!$S$4:$S$300,0),MATCH(M$2,'Input 16_2018CUST-YTD'!$C$1:$O$1,0)),0)</f>
        <v>2.2508333333333335</v>
      </c>
      <c r="N63" s="5">
        <f>IFERROR(INDEX('Input 16.1_2018VOL-YTD'!$C$4:$N$300, MATCH($C63,'Input 16.1_2018VOL-YTD'!$R$4:$R$300,0),MATCH(N$2,'Input 16.1_2018VOL-YTD'!$C$1:$N$1,0))/INDEX('Input 16_2018CUST-YTD'!$D$4:$O$300,MATCH($C63,'Input 16_2018CUST-YTD'!$S$4:$S$300,0),MATCH(N$2,'Input 16_2018CUST-YTD'!$C$1:$O$1,0)),0)</f>
        <v>3.1183333333333336</v>
      </c>
      <c r="O63" s="5">
        <f>IFERROR(INDEX('Input 16.1_2018VOL-YTD'!$C$4:$N$300, MATCH($C63,'Input 16.1_2018VOL-YTD'!$R$4:$R$300,0),MATCH(O$2,'Input 16.1_2018VOL-YTD'!$C$1:$N$1,0))/INDEX('Input 16_2018CUST-YTD'!$D$4:$O$300,MATCH($C63,'Input 16_2018CUST-YTD'!$S$4:$S$300,0),MATCH(O$2,'Input 16_2018CUST-YTD'!$C$1:$O$1,0)),0)</f>
        <v>3.3624827586206898</v>
      </c>
      <c r="P63" s="271">
        <f t="shared" si="1"/>
        <v>10.134166666666667</v>
      </c>
      <c r="Q63" s="261">
        <f t="shared" si="2"/>
        <v>6</v>
      </c>
      <c r="S63" s="5">
        <f>IFERROR(INDEX('Input 3.1_2019VOL-YTD'!$C$4:$N$300, MATCH($C63,'Input 3.1_2019VOL-YTD'!$R$4:$R$300,0),MATCH(S$2,'Input 3.1_2019VOL-YTD'!$C$1:$N$1,0))/INDEX('Input 3_2019CUST-YTD'!$C$4:$N$300,MATCH($C63,'Input 3_2019CUST-YTD'!$S$4:$S$300,0),MATCH(S$2,'Input 3_2019CUST-YTD'!$C$1:$N$1,0)),0)</f>
        <v>2.4208333333333334</v>
      </c>
      <c r="T63" s="5">
        <f>IFERROR(INDEX('Input 3.1_2019VOL-YTD'!$C$4:$N$300, MATCH($C63,'Input 3.1_2019VOL-YTD'!$R$4:$R$300,0),MATCH(T$2,'Input 3.1_2019VOL-YTD'!$C$1:$N$1,0))/INDEX('Input 3_2019CUST-YTD'!$C$4:$N$300,MATCH($C63,'Input 3_2019CUST-YTD'!$S$4:$S$300,0),MATCH(T$2,'Input 3_2019CUST-YTD'!$C$1:$N$1,0)),0)</f>
        <v>2.9408333333333334</v>
      </c>
      <c r="U63" s="5">
        <f>IFERROR(INDEX('Input 3.1_2019VOL-YTD'!$C$4:$N$300, MATCH($C63,'Input 3.1_2019VOL-YTD'!$R$4:$R$300,0),MATCH(U$2,'Input 3.1_2019VOL-YTD'!$C$1:$N$1,0))/INDEX('Input 3_2019CUST-YTD'!$C$4:$N$300,MATCH($C63,'Input 3_2019CUST-YTD'!$S$4:$S$300,0),MATCH(U$2,'Input 3_2019CUST-YTD'!$C$1:$N$1,0)),0)</f>
        <v>3.1141666666666663</v>
      </c>
      <c r="V63" s="5">
        <f>IFERROR(INDEX('Input 3.1_2019VOL-YTD'!$C$4:$N$300, MATCH($C63,'Input 3.1_2019VOL-YTD'!$R$4:$R$300,0),MATCH(V$2,'Input 3.1_2019VOL-YTD'!$C$1:$N$1,0))/INDEX('Input 3_2019CUST-YTD'!$C$4:$N$300,MATCH($C63,'Input 3_2019CUST-YTD'!$S$4:$S$300,0),MATCH(V$2,'Input 3_2019CUST-YTD'!$C$1:$N$1,0)),0)</f>
        <v>2.4183333333333334</v>
      </c>
      <c r="W63" s="5">
        <f>IFERROR(INDEX('Input 3.1_2019VOL-YTD'!$C$4:$N$300, MATCH($C63,'Input 3.1_2019VOL-YTD'!$R$4:$R$300,0),MATCH(W$2,'Input 3.1_2019VOL-YTD'!$C$1:$N$1,0))/INDEX('Input 3_2019CUST-YTD'!$C$4:$N$300,MATCH($C63,'Input 3_2019CUST-YTD'!$S$4:$S$300,0),MATCH(W$2,'Input 3_2019CUST-YTD'!$C$1:$N$1,0)),0)</f>
        <v>2.5427272727272725</v>
      </c>
      <c r="X63" s="5">
        <f>IFERROR(INDEX('Input 3.1_2019VOL-YTD'!$C$4:$N$300, MATCH($C63,'Input 3.1_2019VOL-YTD'!$R$4:$R$300,0),MATCH(X$2,'Input 3.1_2019VOL-YTD'!$C$1:$N$1,0))/INDEX('Input 3_2019CUST-YTD'!$C$4:$N$300,MATCH($C63,'Input 3_2019CUST-YTD'!$S$4:$S$300,0),MATCH(X$2,'Input 3_2019CUST-YTD'!$C$1:$N$1,0)),0)</f>
        <v>2.3563636363636364</v>
      </c>
      <c r="Y63" s="5">
        <f>IFERROR(INDEX('Input 3.1_2019VOL-YTD'!$C$4:$N$300, MATCH($C63,'Input 3.1_2019VOL-YTD'!$R$4:$R$300,0),MATCH(Y$2,'Input 3.1_2019VOL-YTD'!$C$1:$N$1,0))/INDEX('Input 3_2019CUST-YTD'!$C$4:$N$300,MATCH($C63,'Input 3_2019CUST-YTD'!$S$4:$S$300,0),MATCH(Y$2,'Input 3_2019CUST-YTD'!$C$1:$N$1,0)),0)</f>
        <v>2.6918181818181819</v>
      </c>
      <c r="Z63" s="5">
        <f>IFERROR(INDEX('Input 3.1_2019VOL-YTD'!$C$4:$N$300, MATCH($C63,'Input 3.1_2019VOL-YTD'!$R$4:$R$300,0),MATCH(Z$2,'Input 3.1_2019VOL-YTD'!$C$1:$N$1,0))/INDEX('Input 3_2019CUST-YTD'!$C$4:$N$300,MATCH($C63,'Input 3_2019CUST-YTD'!$S$4:$S$300,0),MATCH(Z$2,'Input 3_2019CUST-YTD'!$C$1:$N$1,0)),0)</f>
        <v>2.790909090909091</v>
      </c>
      <c r="AA63" s="5">
        <f>IFERROR(INDEX('Input 3.1_2019VOL-YTD'!$C$4:$N$300, MATCH($C63,'Input 3.1_2019VOL-YTD'!$R$4:$R$300,0),MATCH(AA$2,'Input 3.1_2019VOL-YTD'!$C$1:$N$1,0))/INDEX('Input 3_2019CUST-YTD'!$C$4:$N$300,MATCH($C63,'Input 3_2019CUST-YTD'!$S$4:$S$300,0),MATCH(AA$2,'Input 3_2019CUST-YTD'!$C$1:$N$1,0)),0)</f>
        <v>3.3127272727272725</v>
      </c>
      <c r="AB63" s="5">
        <f>IFERROR(INDEX('Input 3.1_2019VOL-YTD'!$C$4:$N$300, MATCH($C63,'Input 3.1_2019VOL-YTD'!$R$4:$R$300,0),MATCH(AB$2,'Input 3.1_2019VOL-YTD'!$C$1:$N$1,0))/INDEX('Input 3_2019CUST-YTD'!$C$4:$N$300,MATCH($C63,'Input 3_2019CUST-YTD'!$S$4:$S$300,0),MATCH(AB$2,'Input 3_2019CUST-YTD'!$C$1:$N$1,0)),0)</f>
        <v>2.080909090909091</v>
      </c>
      <c r="AC63" s="5">
        <f>IFERROR(INDEX('Input 3.1_2019VOL-YTD'!$C$4:$N$300, MATCH($C63,'Input 3.1_2019VOL-YTD'!$R$4:$R$300,0),MATCH(AC$2,'Input 3.1_2019VOL-YTD'!$C$1:$N$1,0))/INDEX('Input 3_2019CUST-YTD'!$C$4:$N$300,MATCH($C63,'Input 3_2019CUST-YTD'!$S$4:$S$300,0),MATCH(AC$2,'Input 3_2019CUST-YTD'!$C$1:$N$1,0)),0)</f>
        <v>2.7454545454545456</v>
      </c>
      <c r="AD63" s="5">
        <f>IFERROR(INDEX('Input 3.1_2019VOL-YTD'!$C$4:$N$300, MATCH($C63,'Input 3.1_2019VOL-YTD'!$R$4:$R$300,0),MATCH(AD$2,'Input 3.1_2019VOL-YTD'!$C$1:$N$1,0))/INDEX('Input 3_2019CUST-YTD'!$C$4:$N$300,MATCH($C63,'Input 3_2019CUST-YTD'!$S$4:$S$300,0),MATCH(AD$2,'Input 3_2019CUST-YTD'!$C$1:$N$1,0)),0)</f>
        <v>3.5380000000000003</v>
      </c>
      <c r="AE63" s="272">
        <f>MAX(S63:AD63)</f>
        <v>3.5380000000000003</v>
      </c>
      <c r="AF63" s="261">
        <f>INDEX($AH$2:$AS$2,MATCH(AE63,S63:AD63,0))</f>
        <v>12</v>
      </c>
      <c r="AH63" s="262">
        <f>IFERROR(INDEX('Input 4.1_2020VOL-YTD'!$C$4:$O$300, MATCH($C63,'Input 4.1_2020VOL-YTD'!$R$4:$R$300,0),MATCH(AH$2,'Input 4.1_2020VOL-YTD'!$C$1:$O$1,0))/INDEX('Input 4_2020CUST-YTD'!$C$4:O$300,MATCH($C63,'Input 4_2020CUST-YTD'!$S$4:$S$300,0),MATCH(AH$2,'Input 4_2020CUST-YTD'!$C$1:$O$1,0)),0)</f>
        <v>3.3289999999999997</v>
      </c>
      <c r="AI63" s="262">
        <f>IFERROR(INDEX('Input 4.1_2020VOL-YTD'!$C$4:$O$300, MATCH($C63,'Input 4.1_2020VOL-YTD'!$R$4:$R$300,0),MATCH(AI$2,'Input 4.1_2020VOL-YTD'!$C$1:$O$1,0))/INDEX('Input 4_2020CUST-YTD'!$C$4:P$300,MATCH($C63,'Input 4_2020CUST-YTD'!$S$4:$S$300,0),MATCH(AI$2,'Input 4_2020CUST-YTD'!$C$1:$O$1,0)),0)</f>
        <v>3.8619999999999997</v>
      </c>
      <c r="AJ63" s="262">
        <f>IFERROR(INDEX('Input 4.1_2020VOL-YTD'!$C$4:$O$300, MATCH($C63,'Input 4.1_2020VOL-YTD'!$R$4:$R$300,0),MATCH(AJ$2,'Input 4.1_2020VOL-YTD'!$C$1:$O$1,0))/INDEX('Input 4_2020CUST-YTD'!$C$4:Q$300,MATCH($C63,'Input 4_2020CUST-YTD'!$S$4:$S$300,0),MATCH(AJ$2,'Input 4_2020CUST-YTD'!$C$1:$O$1,0)),0)</f>
        <v>3.4380000000000002</v>
      </c>
      <c r="AK63" s="262">
        <f>IFERROR(INDEX('Input 4.1_2020VOL-YTD'!$C$4:$O$300, MATCH($C63,'Input 4.1_2020VOL-YTD'!$R$4:$R$300,0),MATCH(AK$2,'Input 4.1_2020VOL-YTD'!$C$1:$O$1,0))/INDEX('Input 4_2020CUST-YTD'!$C$4:R$300,MATCH($C63,'Input 4_2020CUST-YTD'!$S$4:$S$300,0),MATCH(AK$2,'Input 4_2020CUST-YTD'!$C$1:$O$1,0)),0)</f>
        <v>2.42</v>
      </c>
      <c r="AL63" s="262">
        <f>IFERROR(INDEX('Input 4.1_2020VOL-YTD'!$C$4:$O$300, MATCH($C63,'Input 4.1_2020VOL-YTD'!$R$4:$R$300,0),MATCH(AL$2,'Input 4.1_2020VOL-YTD'!$C$1:$O$1,0))/INDEX('Input 4_2020CUST-YTD'!$C$4:S$300,MATCH($C63,'Input 4_2020CUST-YTD'!$S$4:$S$300,0),MATCH(AL$2,'Input 4_2020CUST-YTD'!$C$1:$O$1,0)),0)</f>
        <v>2.0940000000000003</v>
      </c>
      <c r="AM63" s="262">
        <f>IFERROR(INDEX('Input 4.1_2020VOL-YTD'!$C$4:$O$300, MATCH($C63,'Input 4.1_2020VOL-YTD'!$R$4:$R$300,0),MATCH(AM$2,'Input 4.1_2020VOL-YTD'!$C$1:$O$1,0))/INDEX('Input 4_2020CUST-YTD'!$C$4:T$300,MATCH($C63,'Input 4_2020CUST-YTD'!$S$4:$S$300,0),MATCH(AM$2,'Input 4_2020CUST-YTD'!$C$1:$O$1,0)),0)</f>
        <v>1.8820000000000001</v>
      </c>
      <c r="AN63" s="262">
        <f>IFERROR(INDEX('Input 4.1_2020VOL-YTD'!$C$4:$O$300, MATCH($C63,'Input 4.1_2020VOL-YTD'!$R$4:$R$300,0),MATCH(AN$2,'Input 4.1_2020VOL-YTD'!$C$1:$O$1,0))/INDEX('Input 4_2020CUST-YTD'!$C$4:U$300,MATCH($C63,'Input 4_2020CUST-YTD'!$S$4:$S$300,0),MATCH(AN$2,'Input 4_2020CUST-YTD'!$C$1:$O$1,0)),0)</f>
        <v>2.3180000000000001</v>
      </c>
      <c r="AO63" s="262">
        <f>IFERROR(INDEX('Input 4.1_2020VOL-YTD'!$C$4:$O$300, MATCH($C63,'Input 4.1_2020VOL-YTD'!$R$4:$R$300,0),MATCH(AO$2,'Input 4.1_2020VOL-YTD'!$C$1:$O$1,0))/INDEX('Input 4_2020CUST-YTD'!$C$4:V$300,MATCH($C63,'Input 4_2020CUST-YTD'!$S$4:$S$300,0),MATCH(AO$2,'Input 4_2020CUST-YTD'!$C$1:$O$1,0)),0)</f>
        <v>1.8829999999999998</v>
      </c>
      <c r="AP63" s="262">
        <f>IFERROR(INDEX('Input 4.1_2020VOL-YTD'!$C$4:$O$300, MATCH($C63,'Input 4.1_2020VOL-YTD'!$R$4:$R$300,0),MATCH(AP$2,'Input 4.1_2020VOL-YTD'!$C$1:$O$1,0))/INDEX('Input 4_2020CUST-YTD'!$C$4:W$300,MATCH($C63,'Input 4_2020CUST-YTD'!$S$4:$S$300,0),MATCH(AP$2,'Input 4_2020CUST-YTD'!$C$1:$O$1,0)),0)</f>
        <v>2.1960000000000002</v>
      </c>
      <c r="AQ63" s="262">
        <f>IFERROR(INDEX('Input 4.1_2020VOL-YTD'!$C$4:$O$300, MATCH($C63,'Input 4.1_2020VOL-YTD'!$R$4:$R$300,0),MATCH(AQ$2,'Input 4.1_2020VOL-YTD'!$C$1:$O$1,0))/INDEX('Input 4_2020CUST-YTD'!$C$4:X$300,MATCH($C63,'Input 4_2020CUST-YTD'!$S$4:$S$300,0),MATCH(AQ$2,'Input 4_2020CUST-YTD'!$C$1:$O$1,0)),0)</f>
        <v>2.1890000000000001</v>
      </c>
      <c r="AR63" s="262">
        <f>IFERROR(INDEX('Input 4.1_2020VOL-YTD'!$C$4:$O$300, MATCH($C63,'Input 4.1_2020VOL-YTD'!$R$4:$R$300,0),MATCH(AR$2,'Input 4.1_2020VOL-YTD'!$C$1:$O$1,0))/INDEX('Input 4_2020CUST-YTD'!$C$4:Y$300,MATCH($C63,'Input 4_2020CUST-YTD'!$S$4:$S$300,0),MATCH(AR$2,'Input 4_2020CUST-YTD'!$C$1:$O$1,0)),0)</f>
        <v>2.1079999999999997</v>
      </c>
      <c r="AS63" s="262">
        <f>IFERROR(INDEX('Input 4.1_2020VOL-YTD'!$C$4:$O$300, MATCH($C63,'Input 4.1_2020VOL-YTD'!$R$4:$R$300,0),MATCH(AS$2,'Input 4.1_2020VOL-YTD'!$C$1:$O$1,0))/INDEX('Input 4_2020CUST-YTD'!$C$4:Z$300,MATCH($C63,'Input 4_2020CUST-YTD'!$S$4:$S$300,0),MATCH(AS$2,'Input 4_2020CUST-YTD'!$C$1:$O$1,0)),0)</f>
        <v>4.7</v>
      </c>
      <c r="AT63" s="190">
        <f t="shared" si="18"/>
        <v>4.7</v>
      </c>
      <c r="AU63" s="261">
        <f t="shared" si="19"/>
        <v>12</v>
      </c>
      <c r="AW63" s="1">
        <f>IFERROR(INDEX('Input 5.1_2021VOL-YTD'!$C$3:$N$150, MATCH($C63,'Input 5.1_2021VOL-YTD'!$R$3:$R$150,0),MATCH(AW$2,'Input 5.1_2021VOL-YTD'!$C$1:$N$1,0))/INDEX('Input 5_2021CUST-YTD'!$C$3:$N$150,MATCH($C63,'Input 5_2021CUST-YTD'!$S$3:$S$150,0),MATCH(AW$2,'Input 5_2021CUST-YTD'!$C$1:$N$1,0)),0)</f>
        <v>10.564545454545454</v>
      </c>
      <c r="AX63" s="1">
        <f>IFERROR(INDEX('Input 5.1_2021VOL-YTD'!$C$3:$N$150, MATCH($C63,'Input 5.1_2021VOL-YTD'!$R$3:$R$150,0),MATCH(AX$2,'Input 5.1_2021VOL-YTD'!$C$1:$N$1,0))/INDEX('Input 5_2021CUST-YTD'!$C$3:$N$150,MATCH($C63,'Input 5_2021CUST-YTD'!$S$3:$S$150,0),MATCH(AX$2,'Input 5_2021CUST-YTD'!$C$1:$N$1,0)),0)</f>
        <v>4.4863636363636363</v>
      </c>
      <c r="AY63" s="1">
        <f>IFERROR(INDEX('Input 5.1_2021VOL-YTD'!$C$3:$N$150, MATCH($C63,'Input 5.1_2021VOL-YTD'!$R$3:$R$150,0),MATCH(AY$2,'Input 5.1_2021VOL-YTD'!$C$1:$N$1,0))/INDEX('Input 5_2021CUST-YTD'!$C$3:$N$150,MATCH($C63,'Input 5_2021CUST-YTD'!$S$3:$S$150,0),MATCH(AY$2,'Input 5_2021CUST-YTD'!$C$1:$N$1,0)),0)</f>
        <v>2.2036363636363636</v>
      </c>
      <c r="AZ63" s="1">
        <f>IFERROR(INDEX('Input 5.1_2021VOL-YTD'!$C$3:$N$150, MATCH($C63,'Input 5.1_2021VOL-YTD'!$R$3:$R$150,0),MATCH(AZ$2,'Input 5.1_2021VOL-YTD'!$C$1:$N$1,0))/INDEX('Input 5_2021CUST-YTD'!$C$3:$N$150,MATCH($C63,'Input 5_2021CUST-YTD'!$S$3:$S$150,0),MATCH(AZ$2,'Input 5_2021CUST-YTD'!$C$1:$N$1,0)),0)</f>
        <v>2.5645454545454545</v>
      </c>
      <c r="BA63" s="1">
        <f>IFERROR(INDEX('Input 5.1_2021VOL-YTD'!$C$3:$N$150, MATCH($C63,'Input 5.1_2021VOL-YTD'!$R$3:$R$150,0),MATCH(BA$2,'Input 5.1_2021VOL-YTD'!$C$1:$N$1,0))/INDEX('Input 5_2021CUST-YTD'!$C$3:$N$150,MATCH($C63,'Input 5_2021CUST-YTD'!$S$3:$S$150,0),MATCH(BA$2,'Input 5_2021CUST-YTD'!$C$1:$N$1,0)),0)</f>
        <v>2.0027272727272729</v>
      </c>
      <c r="BB63" s="1">
        <f>IFERROR(INDEX('Input 5.1_2021VOL-YTD'!$C$3:$N$150, MATCH($C63,'Input 5.1_2021VOL-YTD'!$R$3:$R$150,0),MATCH(BB$2,'Input 5.1_2021VOL-YTD'!$C$1:$N$1,0))/INDEX('Input 5_2021CUST-YTD'!$C$3:$N$150,MATCH($C63,'Input 5_2021CUST-YTD'!$S$3:$S$150,0),MATCH(BB$2,'Input 5_2021CUST-YTD'!$C$1:$N$1,0)),0)</f>
        <v>1.9027272727272726</v>
      </c>
      <c r="BC63" s="1">
        <f>IFERROR(INDEX('Input 5.1_2021VOL-YTD'!$C$3:$N$150, MATCH($C63,'Input 5.1_2021VOL-YTD'!$R$3:$R$150,0),MATCH(BC$2,'Input 5.1_2021VOL-YTD'!$C$1:$N$1,0))/INDEX('Input 5_2021CUST-YTD'!$C$3:$N$150,MATCH($C63,'Input 5_2021CUST-YTD'!$S$3:$S$150,0),MATCH(BC$2,'Input 5_2021CUST-YTD'!$C$1:$N$1,0)),0)</f>
        <v>2.080909090909091</v>
      </c>
      <c r="BD63" s="1">
        <f>IFERROR(INDEX('Input 5.1_2021VOL-YTD'!$C$3:$N$150, MATCH($C63,'Input 5.1_2021VOL-YTD'!$R$3:$R$150,0),MATCH(BD$2,'Input 5.1_2021VOL-YTD'!$C$1:$N$1,0))/INDEX('Input 5_2021CUST-YTD'!$C$3:$N$150,MATCH($C63,'Input 5_2021CUST-YTD'!$S$3:$S$150,0),MATCH(BD$2,'Input 5_2021CUST-YTD'!$C$1:$N$1,0)),0)</f>
        <v>1.7990909090909091</v>
      </c>
      <c r="BE63" s="1">
        <f>IFERROR(INDEX('Input 5.1_2021VOL-YTD'!$C$3:$N$150, MATCH($C63,'Input 5.1_2021VOL-YTD'!$R$3:$R$150,0),MATCH(BE$2,'Input 5.1_2021VOL-YTD'!$C$1:$N$1,0))/INDEX('Input 5_2021CUST-YTD'!$C$3:$N$150,MATCH($C63,'Input 5_2021CUST-YTD'!$S$3:$S$150,0),MATCH(BE$2,'Input 5_2021CUST-YTD'!$C$1:$N$1,0)),0)</f>
        <v>2.4700000000000002</v>
      </c>
      <c r="BF63" s="1">
        <f>IFERROR(INDEX('Input 5.1_2021VOL-YTD'!$C$3:$N$150, MATCH($C63,'Input 5.1_2021VOL-YTD'!$R$3:$R$150,0),MATCH(BF$2,'Input 5.1_2021VOL-YTD'!$C$1:$N$1,0))/INDEX('Input 5_2021CUST-YTD'!$C$3:$N$150,MATCH($C63,'Input 5_2021CUST-YTD'!$S$3:$S$150,0),MATCH(BF$2,'Input 5_2021CUST-YTD'!$C$1:$N$1,0)),0)</f>
        <v>1.7981818181818183</v>
      </c>
      <c r="BG63" s="1">
        <f>IFERROR(INDEX('Input 5.1_2021VOL-YTD'!$C$3:$N$150, MATCH($C63,'Input 5.1_2021VOL-YTD'!$R$3:$R$150,0),MATCH(BG$2,'Input 5.1_2021VOL-YTD'!$C$1:$N$1,0))/INDEX('Input 5_2021CUST-YTD'!$C$3:$N$150,MATCH($C63,'Input 5_2021CUST-YTD'!$S$3:$S$150,0),MATCH(BG$2,'Input 5_2021CUST-YTD'!$C$1:$N$1,0)),0)</f>
        <v>2.270909090909091</v>
      </c>
      <c r="BH63" s="1">
        <f>IFERROR(INDEX('Input 5.1_2021VOL-YTD'!$C$3:$N$150, MATCH($C63,'Input 5.1_2021VOL-YTD'!$R$3:$R$150,0),MATCH(BH$2,'Input 5.1_2021VOL-YTD'!$C$1:$N$1,0))/INDEX('Input 5_2021CUST-YTD'!$C$3:$N$150,MATCH($C63,'Input 5_2021CUST-YTD'!$S$3:$S$150,0),MATCH(BH$2,'Input 5_2021CUST-YTD'!$C$1:$N$1,0)),0)</f>
        <v>2.9400000000000004</v>
      </c>
      <c r="BI63" s="190">
        <f t="shared" si="7"/>
        <v>10.564545454545454</v>
      </c>
      <c r="BJ63" s="261">
        <f t="shared" si="8"/>
        <v>1</v>
      </c>
    </row>
    <row r="64" spans="1:62">
      <c r="A64" s="261" t="s">
        <v>1245</v>
      </c>
      <c r="B64" s="261" t="s">
        <v>17</v>
      </c>
      <c r="C64" s="261" t="s">
        <v>1294</v>
      </c>
      <c r="D64" s="5">
        <f>IFERROR(INDEX('Input 16.1_2018VOL-YTD'!$C$4:$N$300, MATCH($C64,'Input 16.1_2018VOL-YTD'!$R$4:$R$300,0),MATCH(D$2,'Input 16.1_2018VOL-YTD'!$C$1:$N$1,0))/INDEX('Input 16_2018CUST-YTD'!$D$4:$O$300,MATCH($C64,'Input 16_2018CUST-YTD'!$S$4:$S$300,0),MATCH(D$2,'Input 16_2018CUST-YTD'!$C$1:$O$1,0)),0)</f>
        <v>2.0699999999999998</v>
      </c>
      <c r="E64" s="5">
        <f>IFERROR(INDEX('Input 16.1_2018VOL-YTD'!$C$4:$N$300, MATCH($C64,'Input 16.1_2018VOL-YTD'!$R$4:$R$300,0),MATCH(E$2,'Input 16.1_2018VOL-YTD'!$C$1:$N$1,0))/INDEX('Input 16_2018CUST-YTD'!$D$4:$O$300,MATCH($C64,'Input 16_2018CUST-YTD'!$S$4:$S$300,0),MATCH(E$2,'Input 16_2018CUST-YTD'!$C$1:$O$1,0)),0)</f>
        <v>2.0699999999999998</v>
      </c>
      <c r="F64" s="5">
        <f>IFERROR(INDEX('Input 16.1_2018VOL-YTD'!$C$4:$N$300, MATCH($C64,'Input 16.1_2018VOL-YTD'!$R$4:$R$300,0),MATCH(F$2,'Input 16.1_2018VOL-YTD'!$C$1:$N$1,0))/INDEX('Input 16_2018CUST-YTD'!$D$4:$O$300,MATCH($C64,'Input 16_2018CUST-YTD'!$S$4:$S$300,0),MATCH(F$2,'Input 16_2018CUST-YTD'!$C$1:$O$1,0)),0)</f>
        <v>1.03</v>
      </c>
      <c r="G64" s="5">
        <f>IFERROR(INDEX('Input 16.1_2018VOL-YTD'!$C$4:$N$300, MATCH($C64,'Input 16.1_2018VOL-YTD'!$R$4:$R$300,0),MATCH(G$2,'Input 16.1_2018VOL-YTD'!$C$1:$N$1,0))/INDEX('Input 16_2018CUST-YTD'!$D$4:$O$300,MATCH($C64,'Input 16_2018CUST-YTD'!$S$4:$S$300,0),MATCH(G$2,'Input 16_2018CUST-YTD'!$C$1:$O$1,0)),0)</f>
        <v>1.03</v>
      </c>
      <c r="H64" s="5">
        <f>IFERROR(INDEX('Input 16.1_2018VOL-YTD'!$C$4:$N$300, MATCH($C64,'Input 16.1_2018VOL-YTD'!$R$4:$R$300,0),MATCH(H$2,'Input 16.1_2018VOL-YTD'!$C$1:$N$1,0))/INDEX('Input 16_2018CUST-YTD'!$D$4:$O$300,MATCH($C64,'Input 16_2018CUST-YTD'!$S$4:$S$300,0),MATCH(H$2,'Input 16_2018CUST-YTD'!$C$1:$O$1,0)),0)</f>
        <v>1.03</v>
      </c>
      <c r="I64" s="5">
        <f>IFERROR(INDEX('Input 16.1_2018VOL-YTD'!$C$4:$N$300, MATCH($C64,'Input 16.1_2018VOL-YTD'!$R$4:$R$300,0),MATCH(I$2,'Input 16.1_2018VOL-YTD'!$C$1:$N$1,0))/INDEX('Input 16_2018CUST-YTD'!$D$4:$O$300,MATCH($C64,'Input 16_2018CUST-YTD'!$S$4:$S$300,0),MATCH(I$2,'Input 16_2018CUST-YTD'!$C$1:$O$1,0)),0)</f>
        <v>1.03</v>
      </c>
      <c r="J64" s="5">
        <f>IFERROR(INDEX('Input 16.1_2018VOL-YTD'!$C$4:$N$300, MATCH($C64,'Input 16.1_2018VOL-YTD'!$R$4:$R$300,0),MATCH(J$2,'Input 16.1_2018VOL-YTD'!$C$1:$N$1,0))/INDEX('Input 16_2018CUST-YTD'!$D$4:$O$300,MATCH($C64,'Input 16_2018CUST-YTD'!$S$4:$S$300,0),MATCH(J$2,'Input 16_2018CUST-YTD'!$C$1:$O$1,0)),0)</f>
        <v>1</v>
      </c>
      <c r="K64" s="5">
        <f>IFERROR(INDEX('Input 16.1_2018VOL-YTD'!$C$4:$N$300, MATCH($C64,'Input 16.1_2018VOL-YTD'!$R$4:$R$300,0),MATCH(K$2,'Input 16.1_2018VOL-YTD'!$C$1:$N$1,0))/INDEX('Input 16_2018CUST-YTD'!$D$4:$O$300,MATCH($C64,'Input 16_2018CUST-YTD'!$S$4:$S$300,0),MATCH(K$2,'Input 16_2018CUST-YTD'!$C$1:$O$1,0)),0)</f>
        <v>0</v>
      </c>
      <c r="L64" s="5">
        <f>IFERROR(INDEX('Input 16.1_2018VOL-YTD'!$C$4:$N$300, MATCH($C64,'Input 16.1_2018VOL-YTD'!$R$4:$R$300,0),MATCH(L$2,'Input 16.1_2018VOL-YTD'!$C$1:$N$1,0))/INDEX('Input 16_2018CUST-YTD'!$D$4:$O$300,MATCH($C64,'Input 16_2018CUST-YTD'!$S$4:$S$300,0),MATCH(L$2,'Input 16_2018CUST-YTD'!$C$1:$O$1,0)),0)</f>
        <v>1.03</v>
      </c>
      <c r="M64" s="5">
        <f>IFERROR(INDEX('Input 16.1_2018VOL-YTD'!$C$4:$N$300, MATCH($C64,'Input 16.1_2018VOL-YTD'!$R$4:$R$300,0),MATCH(M$2,'Input 16.1_2018VOL-YTD'!$C$1:$N$1,0))/INDEX('Input 16_2018CUST-YTD'!$D$4:$O$300,MATCH($C64,'Input 16_2018CUST-YTD'!$S$4:$S$300,0),MATCH(M$2,'Input 16_2018CUST-YTD'!$C$1:$O$1,0)),0)</f>
        <v>2.0699999999999998</v>
      </c>
      <c r="N64" s="5">
        <f>IFERROR(INDEX('Input 16.1_2018VOL-YTD'!$C$4:$N$300, MATCH($C64,'Input 16.1_2018VOL-YTD'!$R$4:$R$300,0),MATCH(N$2,'Input 16.1_2018VOL-YTD'!$C$1:$N$1,0))/INDEX('Input 16_2018CUST-YTD'!$D$4:$O$300,MATCH($C64,'Input 16_2018CUST-YTD'!$S$4:$S$300,0),MATCH(N$2,'Input 16_2018CUST-YTD'!$C$1:$O$1,0)),0)</f>
        <v>2.0699999999999998</v>
      </c>
      <c r="O64" s="5">
        <f>IFERROR(INDEX('Input 16.1_2018VOL-YTD'!$C$4:$N$300, MATCH($C64,'Input 16.1_2018VOL-YTD'!$R$4:$R$300,0),MATCH(O$2,'Input 16.1_2018VOL-YTD'!$C$1:$N$1,0))/INDEX('Input 16_2018CUST-YTD'!$D$4:$O$300,MATCH($C64,'Input 16_2018CUST-YTD'!$S$4:$S$300,0),MATCH(O$2,'Input 16_2018CUST-YTD'!$C$1:$O$1,0)),0)</f>
        <v>2.08</v>
      </c>
      <c r="P64" s="271">
        <f t="shared" si="1"/>
        <v>2.08</v>
      </c>
      <c r="Q64" s="261">
        <f t="shared" si="2"/>
        <v>12</v>
      </c>
      <c r="S64" s="5">
        <f>IFERROR(INDEX('Input 3.1_2019VOL-YTD'!$C$4:$N$300, MATCH($C64,'Input 3.1_2019VOL-YTD'!$R$4:$R$300,0),MATCH(S$2,'Input 3.1_2019VOL-YTD'!$C$1:$N$1,0))/INDEX('Input 3_2019CUST-YTD'!$C$4:$N$300,MATCH($C64,'Input 3_2019CUST-YTD'!$S$4:$S$300,0),MATCH(S$2,'Input 3_2019CUST-YTD'!$C$1:$N$1,0)),0)</f>
        <v>2.0699999999999998</v>
      </c>
      <c r="T64" s="5">
        <f>IFERROR(INDEX('Input 3.1_2019VOL-YTD'!$C$4:$N$300, MATCH($C64,'Input 3.1_2019VOL-YTD'!$R$4:$R$300,0),MATCH(T$2,'Input 3.1_2019VOL-YTD'!$C$1:$N$1,0))/INDEX('Input 3_2019CUST-YTD'!$C$4:$N$300,MATCH($C64,'Input 3_2019CUST-YTD'!$S$4:$S$300,0),MATCH(T$2,'Input 3_2019CUST-YTD'!$C$1:$N$1,0)),0)</f>
        <v>1.03</v>
      </c>
      <c r="U64" s="5">
        <f>IFERROR(INDEX('Input 3.1_2019VOL-YTD'!$C$4:$N$300, MATCH($C64,'Input 3.1_2019VOL-YTD'!$R$4:$R$300,0),MATCH(U$2,'Input 3.1_2019VOL-YTD'!$C$1:$N$1,0))/INDEX('Input 3_2019CUST-YTD'!$C$4:$N$300,MATCH($C64,'Input 3_2019CUST-YTD'!$S$4:$S$300,0),MATCH(U$2,'Input 3_2019CUST-YTD'!$C$1:$N$1,0)),0)</f>
        <v>2.0699999999999998</v>
      </c>
      <c r="V64" s="5">
        <f>IFERROR(INDEX('Input 3.1_2019VOL-YTD'!$C$4:$N$300, MATCH($C64,'Input 3.1_2019VOL-YTD'!$R$4:$R$300,0),MATCH(V$2,'Input 3.1_2019VOL-YTD'!$C$1:$N$1,0))/INDEX('Input 3_2019CUST-YTD'!$C$4:$N$300,MATCH($C64,'Input 3_2019CUST-YTD'!$S$4:$S$300,0),MATCH(V$2,'Input 3_2019CUST-YTD'!$C$1:$N$1,0)),0)</f>
        <v>2.0699999999999998</v>
      </c>
      <c r="W64" s="5">
        <f>IFERROR(INDEX('Input 3.1_2019VOL-YTD'!$C$4:$N$300, MATCH($C64,'Input 3.1_2019VOL-YTD'!$R$4:$R$300,0),MATCH(W$2,'Input 3.1_2019VOL-YTD'!$C$1:$N$1,0))/INDEX('Input 3_2019CUST-YTD'!$C$4:$N$300,MATCH($C64,'Input 3_2019CUST-YTD'!$S$4:$S$300,0),MATCH(W$2,'Input 3_2019CUST-YTD'!$C$1:$N$1,0)),0)</f>
        <v>1.03</v>
      </c>
      <c r="X64" s="5">
        <f>IFERROR(INDEX('Input 3.1_2019VOL-YTD'!$C$4:$N$300, MATCH($C64,'Input 3.1_2019VOL-YTD'!$R$4:$R$300,0),MATCH(X$2,'Input 3.1_2019VOL-YTD'!$C$1:$N$1,0))/INDEX('Input 3_2019CUST-YTD'!$C$4:$N$300,MATCH($C64,'Input 3_2019CUST-YTD'!$S$4:$S$300,0),MATCH(X$2,'Input 3_2019CUST-YTD'!$C$1:$N$1,0)),0)</f>
        <v>2.0699999999999998</v>
      </c>
      <c r="Y64" s="5">
        <f>IFERROR(INDEX('Input 3.1_2019VOL-YTD'!$C$4:$N$300, MATCH($C64,'Input 3.1_2019VOL-YTD'!$R$4:$R$300,0),MATCH(Y$2,'Input 3.1_2019VOL-YTD'!$C$1:$N$1,0))/INDEX('Input 3_2019CUST-YTD'!$C$4:$N$300,MATCH($C64,'Input 3_2019CUST-YTD'!$S$4:$S$300,0),MATCH(Y$2,'Input 3_2019CUST-YTD'!$C$1:$N$1,0)),0)</f>
        <v>1.03</v>
      </c>
      <c r="Z64" s="5">
        <f>IFERROR(INDEX('Input 3.1_2019VOL-YTD'!$C$4:$N$300, MATCH($C64,'Input 3.1_2019VOL-YTD'!$R$4:$R$300,0),MATCH(Z$2,'Input 3.1_2019VOL-YTD'!$C$1:$N$1,0))/INDEX('Input 3_2019CUST-YTD'!$C$4:$N$300,MATCH($C64,'Input 3_2019CUST-YTD'!$S$4:$S$300,0),MATCH(Z$2,'Input 3_2019CUST-YTD'!$C$1:$N$1,0)),0)</f>
        <v>2.08</v>
      </c>
      <c r="AA64" s="5">
        <f>IFERROR(INDEX('Input 3.1_2019VOL-YTD'!$C$4:$N$300, MATCH($C64,'Input 3.1_2019VOL-YTD'!$R$4:$R$300,0),MATCH(AA$2,'Input 3.1_2019VOL-YTD'!$C$1:$N$1,0))/INDEX('Input 3_2019CUST-YTD'!$C$4:$N$300,MATCH($C64,'Input 3_2019CUST-YTD'!$S$4:$S$300,0),MATCH(AA$2,'Input 3_2019CUST-YTD'!$C$1:$N$1,0)),0)</f>
        <v>2.08</v>
      </c>
      <c r="AB64" s="5">
        <f>IFERROR(INDEX('Input 3.1_2019VOL-YTD'!$C$4:$N$300, MATCH($C64,'Input 3.1_2019VOL-YTD'!$R$4:$R$300,0),MATCH(AB$2,'Input 3.1_2019VOL-YTD'!$C$1:$N$1,0))/INDEX('Input 3_2019CUST-YTD'!$C$4:$N$300,MATCH($C64,'Input 3_2019CUST-YTD'!$S$4:$S$300,0),MATCH(AB$2,'Input 3_2019CUST-YTD'!$C$1:$N$1,0)),0)</f>
        <v>1.03</v>
      </c>
      <c r="AC64" s="5">
        <f>IFERROR(INDEX('Input 3.1_2019VOL-YTD'!$C$4:$N$300, MATCH($C64,'Input 3.1_2019VOL-YTD'!$R$4:$R$300,0),MATCH(AC$2,'Input 3.1_2019VOL-YTD'!$C$1:$N$1,0))/INDEX('Input 3_2019CUST-YTD'!$C$4:$N$300,MATCH($C64,'Input 3_2019CUST-YTD'!$S$4:$S$300,0),MATCH(AC$2,'Input 3_2019CUST-YTD'!$C$1:$N$1,0)),0)</f>
        <v>1.03</v>
      </c>
      <c r="AD64" s="5">
        <f>IFERROR(INDEX('Input 3.1_2019VOL-YTD'!$C$4:$N$300, MATCH($C64,'Input 3.1_2019VOL-YTD'!$R$4:$R$300,0),MATCH(AD$2,'Input 3.1_2019VOL-YTD'!$C$1:$N$1,0))/INDEX('Input 3_2019CUST-YTD'!$C$4:$N$300,MATCH($C64,'Input 3_2019CUST-YTD'!$S$4:$S$300,0),MATCH(AD$2,'Input 3_2019CUST-YTD'!$C$1:$N$1,0)),0)</f>
        <v>2.0699999999999998</v>
      </c>
      <c r="AE64" s="272">
        <f>MAX(S64:AD64)</f>
        <v>2.08</v>
      </c>
      <c r="AF64" s="261">
        <f>INDEX($AH$2:$AS$2,MATCH(AE64,S64:AD64,0))</f>
        <v>8</v>
      </c>
      <c r="AH64" s="262">
        <f>IFERROR(INDEX('Input 4.1_2020VOL-YTD'!$C$4:$O$300, MATCH($C64,'Input 4.1_2020VOL-YTD'!$R$4:$R$300,0),MATCH(AH$2,'Input 4.1_2020VOL-YTD'!$C$1:$O$1,0))/INDEX('Input 4_2020CUST-YTD'!$C$4:O$300,MATCH($C64,'Input 4_2020CUST-YTD'!$S$4:$S$300,0),MATCH(AH$2,'Input 4_2020CUST-YTD'!$C$1:$O$1,0)),0)</f>
        <v>1.03</v>
      </c>
      <c r="AI64" s="262">
        <f>IFERROR(INDEX('Input 4.1_2020VOL-YTD'!$C$4:$O$300, MATCH($C64,'Input 4.1_2020VOL-YTD'!$R$4:$R$300,0),MATCH(AI$2,'Input 4.1_2020VOL-YTD'!$C$1:$O$1,0))/INDEX('Input 4_2020CUST-YTD'!$C$4:P$300,MATCH($C64,'Input 4_2020CUST-YTD'!$S$4:$S$300,0),MATCH(AI$2,'Input 4_2020CUST-YTD'!$C$1:$O$1,0)),0)</f>
        <v>1.03</v>
      </c>
      <c r="AJ64" s="262">
        <f>IFERROR(INDEX('Input 4.1_2020VOL-YTD'!$C$4:$O$300, MATCH($C64,'Input 4.1_2020VOL-YTD'!$R$4:$R$300,0),MATCH(AJ$2,'Input 4.1_2020VOL-YTD'!$C$1:$O$1,0))/INDEX('Input 4_2020CUST-YTD'!$C$4:Q$300,MATCH($C64,'Input 4_2020CUST-YTD'!$S$4:$S$300,0),MATCH(AJ$2,'Input 4_2020CUST-YTD'!$C$1:$O$1,0)),0)</f>
        <v>2.08</v>
      </c>
      <c r="AK64" s="262">
        <f>IFERROR(INDEX('Input 4.1_2020VOL-YTD'!$C$4:$O$300, MATCH($C64,'Input 4.1_2020VOL-YTD'!$R$4:$R$300,0),MATCH(AK$2,'Input 4.1_2020VOL-YTD'!$C$1:$O$1,0))/INDEX('Input 4_2020CUST-YTD'!$C$4:R$300,MATCH($C64,'Input 4_2020CUST-YTD'!$S$4:$S$300,0),MATCH(AK$2,'Input 4_2020CUST-YTD'!$C$1:$O$1,0)),0)</f>
        <v>2.08</v>
      </c>
      <c r="AL64" s="262">
        <f>IFERROR(INDEX('Input 4.1_2020VOL-YTD'!$C$4:$O$300, MATCH($C64,'Input 4.1_2020VOL-YTD'!$R$4:$R$300,0),MATCH(AL$2,'Input 4.1_2020VOL-YTD'!$C$1:$O$1,0))/INDEX('Input 4_2020CUST-YTD'!$C$4:S$300,MATCH($C64,'Input 4_2020CUST-YTD'!$S$4:$S$300,0),MATCH(AL$2,'Input 4_2020CUST-YTD'!$C$1:$O$1,0)),0)</f>
        <v>1.03</v>
      </c>
      <c r="AM64" s="262">
        <f>IFERROR(INDEX('Input 4.1_2020VOL-YTD'!$C$4:$O$300, MATCH($C64,'Input 4.1_2020VOL-YTD'!$R$4:$R$300,0),MATCH(AM$2,'Input 4.1_2020VOL-YTD'!$C$1:$O$1,0))/INDEX('Input 4_2020CUST-YTD'!$C$4:T$300,MATCH($C64,'Input 4_2020CUST-YTD'!$S$4:$S$300,0),MATCH(AM$2,'Input 4_2020CUST-YTD'!$C$1:$O$1,0)),0)</f>
        <v>1.03</v>
      </c>
      <c r="AN64" s="262">
        <f>IFERROR(INDEX('Input 4.1_2020VOL-YTD'!$C$4:$O$300, MATCH($C64,'Input 4.1_2020VOL-YTD'!$R$4:$R$300,0),MATCH(AN$2,'Input 4.1_2020VOL-YTD'!$C$1:$O$1,0))/INDEX('Input 4_2020CUST-YTD'!$C$4:U$300,MATCH($C64,'Input 4_2020CUST-YTD'!$S$4:$S$300,0),MATCH(AN$2,'Input 4_2020CUST-YTD'!$C$1:$O$1,0)),0)</f>
        <v>3.11</v>
      </c>
      <c r="AO64" s="262">
        <f>IFERROR(INDEX('Input 4.1_2020VOL-YTD'!$C$4:$O$300, MATCH($C64,'Input 4.1_2020VOL-YTD'!$R$4:$R$300,0),MATCH(AO$2,'Input 4.1_2020VOL-YTD'!$C$1:$O$1,0))/INDEX('Input 4_2020CUST-YTD'!$C$4:V$300,MATCH($C64,'Input 4_2020CUST-YTD'!$S$4:$S$300,0),MATCH(AO$2,'Input 4_2020CUST-YTD'!$C$1:$O$1,0)),0)</f>
        <v>2.08</v>
      </c>
      <c r="AP64" s="262">
        <f>IFERROR(INDEX('Input 4.1_2020VOL-YTD'!$C$4:$O$300, MATCH($C64,'Input 4.1_2020VOL-YTD'!$R$4:$R$300,0),MATCH(AP$2,'Input 4.1_2020VOL-YTD'!$C$1:$O$1,0))/INDEX('Input 4_2020CUST-YTD'!$C$4:W$300,MATCH($C64,'Input 4_2020CUST-YTD'!$S$4:$S$300,0),MATCH(AP$2,'Input 4_2020CUST-YTD'!$C$1:$O$1,0)),0)</f>
        <v>1.03</v>
      </c>
      <c r="AQ64" s="262">
        <f>IFERROR(INDEX('Input 4.1_2020VOL-YTD'!$C$4:$O$300, MATCH($C64,'Input 4.1_2020VOL-YTD'!$R$4:$R$300,0),MATCH(AQ$2,'Input 4.1_2020VOL-YTD'!$C$1:$O$1,0))/INDEX('Input 4_2020CUST-YTD'!$C$4:X$300,MATCH($C64,'Input 4_2020CUST-YTD'!$S$4:$S$300,0),MATCH(AQ$2,'Input 4_2020CUST-YTD'!$C$1:$O$1,0)),0)</f>
        <v>2.08</v>
      </c>
      <c r="AR64" s="262">
        <f>IFERROR(INDEX('Input 4.1_2020VOL-YTD'!$C$4:$O$300, MATCH($C64,'Input 4.1_2020VOL-YTD'!$R$4:$R$300,0),MATCH(AR$2,'Input 4.1_2020VOL-YTD'!$C$1:$O$1,0))/INDEX('Input 4_2020CUST-YTD'!$C$4:Y$300,MATCH($C64,'Input 4_2020CUST-YTD'!$S$4:$S$300,0),MATCH(AR$2,'Input 4_2020CUST-YTD'!$C$1:$O$1,0)),0)</f>
        <v>2.08</v>
      </c>
      <c r="AS64" s="262">
        <f>IFERROR(INDEX('Input 4.1_2020VOL-YTD'!$C$4:$O$300, MATCH($C64,'Input 4.1_2020VOL-YTD'!$R$4:$R$300,0),MATCH(AS$2,'Input 4.1_2020VOL-YTD'!$C$1:$O$1,0))/INDEX('Input 4_2020CUST-YTD'!$C$4:Z$300,MATCH($C64,'Input 4_2020CUST-YTD'!$S$4:$S$300,0),MATCH(AS$2,'Input 4_2020CUST-YTD'!$C$1:$O$1,0)),0)</f>
        <v>2.08</v>
      </c>
      <c r="AT64" s="190">
        <f t="shared" si="18"/>
        <v>3.11</v>
      </c>
      <c r="AU64" s="261">
        <f t="shared" si="19"/>
        <v>7</v>
      </c>
      <c r="AW64" s="1">
        <f>IFERROR(INDEX('Input 5.1_2021VOL-YTD'!$C$3:$N$150, MATCH($C64,'Input 5.1_2021VOL-YTD'!$R$3:$R$150,0),MATCH(AW$2,'Input 5.1_2021VOL-YTD'!$C$1:$N$1,0))/INDEX('Input 5_2021CUST-YTD'!$C$3:$N$150,MATCH($C64,'Input 5_2021CUST-YTD'!$S$3:$S$150,0),MATCH(AW$2,'Input 5_2021CUST-YTD'!$C$1:$N$1,0)),0)</f>
        <v>2.08</v>
      </c>
      <c r="AX64" s="1">
        <f>IFERROR(INDEX('Input 5.1_2021VOL-YTD'!$C$3:$N$150, MATCH($C64,'Input 5.1_2021VOL-YTD'!$R$3:$R$150,0),MATCH(AX$2,'Input 5.1_2021VOL-YTD'!$C$1:$N$1,0))/INDEX('Input 5_2021CUST-YTD'!$C$3:$N$150,MATCH($C64,'Input 5_2021CUST-YTD'!$S$3:$S$150,0),MATCH(AX$2,'Input 5_2021CUST-YTD'!$C$1:$N$1,0)),0)</f>
        <v>1.03</v>
      </c>
      <c r="AY64" s="1">
        <f>IFERROR(INDEX('Input 5.1_2021VOL-YTD'!$C$3:$N$150, MATCH($C64,'Input 5.1_2021VOL-YTD'!$R$3:$R$150,0),MATCH(AY$2,'Input 5.1_2021VOL-YTD'!$C$1:$N$1,0))/INDEX('Input 5_2021CUST-YTD'!$C$3:$N$150,MATCH($C64,'Input 5_2021CUST-YTD'!$S$3:$S$150,0),MATCH(AY$2,'Input 5_2021CUST-YTD'!$C$1:$N$1,0)),0)</f>
        <v>2.08</v>
      </c>
      <c r="AZ64" s="1">
        <f>IFERROR(INDEX('Input 5.1_2021VOL-YTD'!$C$3:$N$150, MATCH($C64,'Input 5.1_2021VOL-YTD'!$R$3:$R$150,0),MATCH(AZ$2,'Input 5.1_2021VOL-YTD'!$C$1:$N$1,0))/INDEX('Input 5_2021CUST-YTD'!$C$3:$N$150,MATCH($C64,'Input 5_2021CUST-YTD'!$S$3:$S$150,0),MATCH(AZ$2,'Input 5_2021CUST-YTD'!$C$1:$N$1,0)),0)</f>
        <v>2.08</v>
      </c>
      <c r="BA64" s="1">
        <f>IFERROR(INDEX('Input 5.1_2021VOL-YTD'!$C$3:$N$150, MATCH($C64,'Input 5.1_2021VOL-YTD'!$R$3:$R$150,0),MATCH(BA$2,'Input 5.1_2021VOL-YTD'!$C$1:$N$1,0))/INDEX('Input 5_2021CUST-YTD'!$C$3:$N$150,MATCH($C64,'Input 5_2021CUST-YTD'!$S$3:$S$150,0),MATCH(BA$2,'Input 5_2021CUST-YTD'!$C$1:$N$1,0)),0)</f>
        <v>1.03</v>
      </c>
      <c r="BB64" s="1">
        <f>IFERROR(INDEX('Input 5.1_2021VOL-YTD'!$C$3:$N$150, MATCH($C64,'Input 5.1_2021VOL-YTD'!$R$3:$R$150,0),MATCH(BB$2,'Input 5.1_2021VOL-YTD'!$C$1:$N$1,0))/INDEX('Input 5_2021CUST-YTD'!$C$3:$N$150,MATCH($C64,'Input 5_2021CUST-YTD'!$S$3:$S$150,0),MATCH(BB$2,'Input 5_2021CUST-YTD'!$C$1:$N$1,0)),0)</f>
        <v>1.03</v>
      </c>
      <c r="BC64" s="1">
        <f>IFERROR(INDEX('Input 5.1_2021VOL-YTD'!$C$3:$N$150, MATCH($C64,'Input 5.1_2021VOL-YTD'!$R$3:$R$150,0),MATCH(BC$2,'Input 5.1_2021VOL-YTD'!$C$1:$N$1,0))/INDEX('Input 5_2021CUST-YTD'!$C$3:$N$150,MATCH($C64,'Input 5_2021CUST-YTD'!$S$3:$S$150,0),MATCH(BC$2,'Input 5_2021CUST-YTD'!$C$1:$N$1,0)),0)</f>
        <v>2.08</v>
      </c>
      <c r="BD64" s="1">
        <f>IFERROR(INDEX('Input 5.1_2021VOL-YTD'!$C$3:$N$150, MATCH($C64,'Input 5.1_2021VOL-YTD'!$R$3:$R$150,0),MATCH(BD$2,'Input 5.1_2021VOL-YTD'!$C$1:$N$1,0))/INDEX('Input 5_2021CUST-YTD'!$C$3:$N$150,MATCH($C64,'Input 5_2021CUST-YTD'!$S$3:$S$150,0),MATCH(BD$2,'Input 5_2021CUST-YTD'!$C$1:$N$1,0)),0)</f>
        <v>2.08</v>
      </c>
      <c r="BE64" s="1">
        <f>IFERROR(INDEX('Input 5.1_2021VOL-YTD'!$C$3:$N$150, MATCH($C64,'Input 5.1_2021VOL-YTD'!$R$3:$R$150,0),MATCH(BE$2,'Input 5.1_2021VOL-YTD'!$C$1:$N$1,0))/INDEX('Input 5_2021CUST-YTD'!$C$3:$N$150,MATCH($C64,'Input 5_2021CUST-YTD'!$S$3:$S$150,0),MATCH(BE$2,'Input 5_2021CUST-YTD'!$C$1:$N$1,0)),0)</f>
        <v>2.08</v>
      </c>
      <c r="BF64" s="1">
        <f>IFERROR(INDEX('Input 5.1_2021VOL-YTD'!$C$3:$N$150, MATCH($C64,'Input 5.1_2021VOL-YTD'!$R$3:$R$150,0),MATCH(BF$2,'Input 5.1_2021VOL-YTD'!$C$1:$N$1,0))/INDEX('Input 5_2021CUST-YTD'!$C$3:$N$150,MATCH($C64,'Input 5_2021CUST-YTD'!$S$3:$S$150,0),MATCH(BF$2,'Input 5_2021CUST-YTD'!$C$1:$N$1,0)),0)</f>
        <v>2.08</v>
      </c>
      <c r="BG64" s="1">
        <f>IFERROR(INDEX('Input 5.1_2021VOL-YTD'!$C$3:$N$150, MATCH($C64,'Input 5.1_2021VOL-YTD'!$R$3:$R$150,0),MATCH(BG$2,'Input 5.1_2021VOL-YTD'!$C$1:$N$1,0))/INDEX('Input 5_2021CUST-YTD'!$C$3:$N$150,MATCH($C64,'Input 5_2021CUST-YTD'!$S$3:$S$150,0),MATCH(BG$2,'Input 5_2021CUST-YTD'!$C$1:$N$1,0)),0)</f>
        <v>2.08</v>
      </c>
      <c r="BH64" s="1">
        <f>IFERROR(INDEX('Input 5.1_2021VOL-YTD'!$C$3:$N$150, MATCH($C64,'Input 5.1_2021VOL-YTD'!$R$3:$R$150,0),MATCH(BH$2,'Input 5.1_2021VOL-YTD'!$C$1:$N$1,0))/INDEX('Input 5_2021CUST-YTD'!$C$3:$N$150,MATCH($C64,'Input 5_2021CUST-YTD'!$S$3:$S$150,0),MATCH(BH$2,'Input 5_2021CUST-YTD'!$C$1:$N$1,0)),0)</f>
        <v>2.0699999999999998</v>
      </c>
      <c r="BI64" s="190">
        <f t="shared" si="7"/>
        <v>2.08</v>
      </c>
      <c r="BJ64" s="261">
        <f t="shared" si="8"/>
        <v>1</v>
      </c>
    </row>
    <row r="65" spans="1:62">
      <c r="A65" s="261" t="s">
        <v>1245</v>
      </c>
      <c r="B65" s="261" t="s">
        <v>17</v>
      </c>
      <c r="C65" s="261" t="s">
        <v>1386</v>
      </c>
      <c r="D65" s="5">
        <f>IFERROR(INDEX('Input 16.1_2018VOL-YTD'!$C$4:$N$300, MATCH($C65,'Input 16.1_2018VOL-YTD'!$R$4:$R$300,0),MATCH(D$2,'Input 16.1_2018VOL-YTD'!$C$1:$N$1,0))/INDEX('Input 16_2018CUST-YTD'!$D$4:$O$300,MATCH($C65,'Input 16_2018CUST-YTD'!$S$4:$S$300,0),MATCH(D$2,'Input 16_2018CUST-YTD'!$C$1:$O$1,0)),0)</f>
        <v>20.016249999999999</v>
      </c>
      <c r="E65" s="5">
        <f>IFERROR(INDEX('Input 16.1_2018VOL-YTD'!$C$4:$N$300, MATCH($C65,'Input 16.1_2018VOL-YTD'!$R$4:$R$300,0),MATCH(E$2,'Input 16.1_2018VOL-YTD'!$C$1:$N$1,0))/INDEX('Input 16_2018CUST-YTD'!$D$4:$O$300,MATCH($C65,'Input 16_2018CUST-YTD'!$S$4:$S$300,0),MATCH(E$2,'Input 16_2018CUST-YTD'!$C$1:$O$1,0)),0)</f>
        <v>19.838750000000001</v>
      </c>
      <c r="F65" s="5">
        <f>IFERROR(INDEX('Input 16.1_2018VOL-YTD'!$C$4:$N$300, MATCH($C65,'Input 16.1_2018VOL-YTD'!$R$4:$R$300,0),MATCH(F$2,'Input 16.1_2018VOL-YTD'!$C$1:$N$1,0))/INDEX('Input 16_2018CUST-YTD'!$D$4:$O$300,MATCH($C65,'Input 16_2018CUST-YTD'!$S$4:$S$300,0),MATCH(F$2,'Input 16_2018CUST-YTD'!$C$1:$O$1,0)),0)</f>
        <v>7.4675000000000002</v>
      </c>
      <c r="G65" s="5">
        <f>IFERROR(INDEX('Input 16.1_2018VOL-YTD'!$C$4:$N$300, MATCH($C65,'Input 16.1_2018VOL-YTD'!$R$4:$R$300,0),MATCH(G$2,'Input 16.1_2018VOL-YTD'!$C$1:$N$1,0))/INDEX('Input 16_2018CUST-YTD'!$D$4:$O$300,MATCH($C65,'Input 16_2018CUST-YTD'!$S$4:$S$300,0),MATCH(G$2,'Input 16_2018CUST-YTD'!$C$1:$O$1,0)),0)</f>
        <v>9.0887499999999992</v>
      </c>
      <c r="H65" s="5">
        <f>IFERROR(INDEX('Input 16.1_2018VOL-YTD'!$C$4:$N$300, MATCH($C65,'Input 16.1_2018VOL-YTD'!$R$4:$R$300,0),MATCH(H$2,'Input 16.1_2018VOL-YTD'!$C$1:$N$1,0))/INDEX('Input 16_2018CUST-YTD'!$D$4:$O$300,MATCH($C65,'Input 16_2018CUST-YTD'!$S$4:$S$300,0),MATCH(H$2,'Input 16_2018CUST-YTD'!$C$1:$O$1,0)),0)</f>
        <v>7.6271428571428572</v>
      </c>
      <c r="I65" s="5">
        <f>IFERROR(INDEX('Input 16.1_2018VOL-YTD'!$C$4:$N$300, MATCH($C65,'Input 16.1_2018VOL-YTD'!$R$4:$R$300,0),MATCH(I$2,'Input 16.1_2018VOL-YTD'!$C$1:$N$1,0))/INDEX('Input 16_2018CUST-YTD'!$D$4:$O$300,MATCH($C65,'Input 16_2018CUST-YTD'!$S$4:$S$300,0),MATCH(I$2,'Input 16_2018CUST-YTD'!$C$1:$O$1,0)),0)</f>
        <v>8.3214285714285712</v>
      </c>
      <c r="J65" s="5">
        <f>IFERROR(INDEX('Input 16.1_2018VOL-YTD'!$C$4:$N$300, MATCH($C65,'Input 16.1_2018VOL-YTD'!$R$4:$R$300,0),MATCH(J$2,'Input 16.1_2018VOL-YTD'!$C$1:$N$1,0))/INDEX('Input 16_2018CUST-YTD'!$D$4:$O$300,MATCH($C65,'Input 16_2018CUST-YTD'!$S$4:$S$300,0),MATCH(J$2,'Input 16_2018CUST-YTD'!$C$1:$O$1,0)),0)</f>
        <v>10.428571428571429</v>
      </c>
      <c r="K65" s="5">
        <f>IFERROR(INDEX('Input 16.1_2018VOL-YTD'!$C$4:$N$300, MATCH($C65,'Input 16.1_2018VOL-YTD'!$R$4:$R$300,0),MATCH(K$2,'Input 16.1_2018VOL-YTD'!$C$1:$N$1,0))/INDEX('Input 16_2018CUST-YTD'!$D$4:$O$300,MATCH($C65,'Input 16_2018CUST-YTD'!$S$4:$S$300,0),MATCH(K$2,'Input 16_2018CUST-YTD'!$C$1:$O$1,0)),0)</f>
        <v>7.8514285714285714</v>
      </c>
      <c r="L65" s="5">
        <f>IFERROR(INDEX('Input 16.1_2018VOL-YTD'!$C$4:$N$300, MATCH($C65,'Input 16.1_2018VOL-YTD'!$R$4:$R$300,0),MATCH(L$2,'Input 16.1_2018VOL-YTD'!$C$1:$N$1,0))/INDEX('Input 16_2018CUST-YTD'!$D$4:$O$300,MATCH($C65,'Input 16_2018CUST-YTD'!$S$4:$S$300,0),MATCH(L$2,'Input 16_2018CUST-YTD'!$C$1:$O$1,0)),0)</f>
        <v>7.6285714285714281</v>
      </c>
      <c r="M65" s="5">
        <f>IFERROR(INDEX('Input 16.1_2018VOL-YTD'!$C$4:$N$300, MATCH($C65,'Input 16.1_2018VOL-YTD'!$R$4:$R$300,0),MATCH(M$2,'Input 16.1_2018VOL-YTD'!$C$1:$N$1,0))/INDEX('Input 16_2018CUST-YTD'!$D$4:$O$300,MATCH($C65,'Input 16_2018CUST-YTD'!$S$4:$S$300,0),MATCH(M$2,'Input 16_2018CUST-YTD'!$C$1:$O$1,0)),0)</f>
        <v>7.0071428571428571</v>
      </c>
      <c r="N65" s="5">
        <f>IFERROR(INDEX('Input 16.1_2018VOL-YTD'!$C$4:$N$300, MATCH($C65,'Input 16.1_2018VOL-YTD'!$R$4:$R$300,0),MATCH(N$2,'Input 16.1_2018VOL-YTD'!$C$1:$N$1,0))/INDEX('Input 16_2018CUST-YTD'!$D$4:$O$300,MATCH($C65,'Input 16_2018CUST-YTD'!$S$4:$S$300,0),MATCH(N$2,'Input 16_2018CUST-YTD'!$C$1:$O$1,0)),0)</f>
        <v>9.2900000000000009</v>
      </c>
      <c r="O65" s="5">
        <f>IFERROR(INDEX('Input 16.1_2018VOL-YTD'!$C$4:$N$300, MATCH($C65,'Input 16.1_2018VOL-YTD'!$R$4:$R$300,0),MATCH(O$2,'Input 16.1_2018VOL-YTD'!$C$1:$N$1,0))/INDEX('Input 16_2018CUST-YTD'!$D$4:$O$300,MATCH($C65,'Input 16_2018CUST-YTD'!$S$4:$S$300,0),MATCH(O$2,'Input 16_2018CUST-YTD'!$C$1:$O$1,0)),0)</f>
        <v>13.023370786516853</v>
      </c>
      <c r="P65" s="271">
        <f t="shared" si="1"/>
        <v>20.016249999999999</v>
      </c>
      <c r="Q65" s="261">
        <f t="shared" si="2"/>
        <v>1</v>
      </c>
      <c r="S65" s="5">
        <f>IFERROR(INDEX('Input 3.1_2019VOL-YTD'!$C$4:$N$300, MATCH($C65,'Input 3.1_2019VOL-YTD'!$R$4:$R$300,0),MATCH(S$2,'Input 3.1_2019VOL-YTD'!$C$1:$N$1,0))/INDEX('Input 3_2019CUST-YTD'!$C$4:$N$300,MATCH($C65,'Input 3_2019CUST-YTD'!$S$4:$S$300,0),MATCH(S$2,'Input 3_2019CUST-YTD'!$C$1:$N$1,0)),0)</f>
        <v>15.631428571428572</v>
      </c>
      <c r="T65" s="5">
        <f>IFERROR(INDEX('Input 3.1_2019VOL-YTD'!$C$4:$N$300, MATCH($C65,'Input 3.1_2019VOL-YTD'!$R$4:$R$300,0),MATCH(T$2,'Input 3.1_2019VOL-YTD'!$C$1:$N$1,0))/INDEX('Input 3_2019CUST-YTD'!$C$4:$N$300,MATCH($C65,'Input 3_2019CUST-YTD'!$S$4:$S$300,0),MATCH(T$2,'Input 3_2019CUST-YTD'!$C$1:$N$1,0)),0)</f>
        <v>12.544285714285715</v>
      </c>
      <c r="U65" s="5">
        <f>IFERROR(INDEX('Input 3.1_2019VOL-YTD'!$C$4:$N$300, MATCH($C65,'Input 3.1_2019VOL-YTD'!$R$4:$R$300,0),MATCH(U$2,'Input 3.1_2019VOL-YTD'!$C$1:$N$1,0))/INDEX('Input 3_2019CUST-YTD'!$C$4:$N$300,MATCH($C65,'Input 3_2019CUST-YTD'!$S$4:$S$300,0),MATCH(U$2,'Input 3_2019CUST-YTD'!$C$1:$N$1,0)),0)</f>
        <v>9.1014285714285723</v>
      </c>
      <c r="V65" s="5">
        <f>IFERROR(INDEX('Input 3.1_2019VOL-YTD'!$C$4:$N$300, MATCH($C65,'Input 3.1_2019VOL-YTD'!$R$4:$R$300,0),MATCH(V$2,'Input 3.1_2019VOL-YTD'!$C$1:$N$1,0))/INDEX('Input 3_2019CUST-YTD'!$C$4:$N$300,MATCH($C65,'Input 3_2019CUST-YTD'!$S$4:$S$300,0),MATCH(V$2,'Input 3_2019CUST-YTD'!$C$1:$N$1,0)),0)</f>
        <v>10.008571428571429</v>
      </c>
      <c r="W65" s="5">
        <f>IFERROR(INDEX('Input 3.1_2019VOL-YTD'!$C$4:$N$300, MATCH($C65,'Input 3.1_2019VOL-YTD'!$R$4:$R$300,0),MATCH(W$2,'Input 3.1_2019VOL-YTD'!$C$1:$N$1,0))/INDEX('Input 3_2019CUST-YTD'!$C$4:$N$300,MATCH($C65,'Input 3_2019CUST-YTD'!$S$4:$S$300,0),MATCH(W$2,'Input 3_2019CUST-YTD'!$C$1:$N$1,0)),0)</f>
        <v>7.0285714285714294</v>
      </c>
      <c r="X65" s="5">
        <f>IFERROR(INDEX('Input 3.1_2019VOL-YTD'!$C$4:$N$300, MATCH($C65,'Input 3.1_2019VOL-YTD'!$R$4:$R$300,0),MATCH(X$2,'Input 3.1_2019VOL-YTD'!$C$1:$N$1,0))/INDEX('Input 3_2019CUST-YTD'!$C$4:$N$300,MATCH($C65,'Input 3_2019CUST-YTD'!$S$4:$S$300,0),MATCH(X$2,'Input 3_2019CUST-YTD'!$C$1:$N$1,0)),0)</f>
        <v>8.8816666666666659</v>
      </c>
      <c r="Y65" s="5">
        <f>IFERROR(INDEX('Input 3.1_2019VOL-YTD'!$C$4:$N$300, MATCH($C65,'Input 3.1_2019VOL-YTD'!$R$4:$R$300,0),MATCH(Y$2,'Input 3.1_2019VOL-YTD'!$C$1:$N$1,0))/INDEX('Input 3_2019CUST-YTD'!$C$4:$N$300,MATCH($C65,'Input 3_2019CUST-YTD'!$S$4:$S$300,0),MATCH(Y$2,'Input 3_2019CUST-YTD'!$C$1:$N$1,0)),0)</f>
        <v>7.6416666666666666</v>
      </c>
      <c r="Z65" s="5">
        <f>IFERROR(INDEX('Input 3.1_2019VOL-YTD'!$C$4:$N$300, MATCH($C65,'Input 3.1_2019VOL-YTD'!$R$4:$R$300,0),MATCH(Z$2,'Input 3.1_2019VOL-YTD'!$C$1:$N$1,0))/INDEX('Input 3_2019CUST-YTD'!$C$4:$N$300,MATCH($C65,'Input 3_2019CUST-YTD'!$S$4:$S$300,0),MATCH(Z$2,'Input 3_2019CUST-YTD'!$C$1:$N$1,0)),0)</f>
        <v>7.458333333333333</v>
      </c>
      <c r="AA65" s="5">
        <f>IFERROR(INDEX('Input 3.1_2019VOL-YTD'!$C$4:$N$300, MATCH($C65,'Input 3.1_2019VOL-YTD'!$R$4:$R$300,0),MATCH(AA$2,'Input 3.1_2019VOL-YTD'!$C$1:$N$1,0))/INDEX('Input 3_2019CUST-YTD'!$C$4:$N$300,MATCH($C65,'Input 3_2019CUST-YTD'!$S$4:$S$300,0),MATCH(AA$2,'Input 3_2019CUST-YTD'!$C$1:$N$1,0)),0)</f>
        <v>8.58</v>
      </c>
      <c r="AB65" s="5">
        <f>IFERROR(INDEX('Input 3.1_2019VOL-YTD'!$C$4:$N$300, MATCH($C65,'Input 3.1_2019VOL-YTD'!$R$4:$R$300,0),MATCH(AB$2,'Input 3.1_2019VOL-YTD'!$C$1:$N$1,0))/INDEX('Input 3_2019CUST-YTD'!$C$4:$N$300,MATCH($C65,'Input 3_2019CUST-YTD'!$S$4:$S$300,0),MATCH(AB$2,'Input 3_2019CUST-YTD'!$C$1:$N$1,0)),0)</f>
        <v>8.3916666666666675</v>
      </c>
      <c r="AC65" s="5">
        <f>IFERROR(INDEX('Input 3.1_2019VOL-YTD'!$C$4:$N$300, MATCH($C65,'Input 3.1_2019VOL-YTD'!$R$4:$R$300,0),MATCH(AC$2,'Input 3.1_2019VOL-YTD'!$C$1:$N$1,0))/INDEX('Input 3_2019CUST-YTD'!$C$4:$N$300,MATCH($C65,'Input 3_2019CUST-YTD'!$S$4:$S$300,0),MATCH(AC$2,'Input 3_2019CUST-YTD'!$C$1:$N$1,0)),0)</f>
        <v>8.7028571428571428</v>
      </c>
      <c r="AD65" s="5">
        <f>IFERROR(INDEX('Input 3.1_2019VOL-YTD'!$C$4:$N$300, MATCH($C65,'Input 3.1_2019VOL-YTD'!$R$4:$R$300,0),MATCH(AD$2,'Input 3.1_2019VOL-YTD'!$C$1:$N$1,0))/INDEX('Input 3_2019CUST-YTD'!$C$4:$N$300,MATCH($C65,'Input 3_2019CUST-YTD'!$S$4:$S$300,0),MATCH(AD$2,'Input 3_2019CUST-YTD'!$C$1:$N$1,0)),0)</f>
        <v>10.44</v>
      </c>
      <c r="AE65" s="272">
        <f>MAX(S65:AD65)</f>
        <v>15.631428571428572</v>
      </c>
      <c r="AF65" s="261">
        <f>INDEX($AH$2:$AS$2,MATCH(AE65,S65:AD65,0))</f>
        <v>1</v>
      </c>
      <c r="AH65" s="262">
        <f>IFERROR(INDEX('Input 4.1_2020VOL-YTD'!$C$4:$O$300, MATCH($C65,'Input 4.1_2020VOL-YTD'!$R$4:$R$300,0),MATCH(AH$2,'Input 4.1_2020VOL-YTD'!$C$1:$O$1,0))/INDEX('Input 4_2020CUST-YTD'!$C$4:O$300,MATCH($C65,'Input 4_2020CUST-YTD'!$S$4:$S$300,0),MATCH(AH$2,'Input 4_2020CUST-YTD'!$C$1:$O$1,0)),0)</f>
        <v>14.047142857142857</v>
      </c>
      <c r="AI65" s="262">
        <f>IFERROR(INDEX('Input 4.1_2020VOL-YTD'!$C$4:$O$300, MATCH($C65,'Input 4.1_2020VOL-YTD'!$R$4:$R$300,0),MATCH(AI$2,'Input 4.1_2020VOL-YTD'!$C$1:$O$1,0))/INDEX('Input 4_2020CUST-YTD'!$C$4:P$300,MATCH($C65,'Input 4_2020CUST-YTD'!$S$4:$S$300,0),MATCH(AI$2,'Input 4_2020CUST-YTD'!$C$1:$O$1,0)),0)</f>
        <v>10.932857142857143</v>
      </c>
      <c r="AJ65" s="262">
        <f>IFERROR(INDEX('Input 4.1_2020VOL-YTD'!$C$4:$O$300, MATCH($C65,'Input 4.1_2020VOL-YTD'!$R$4:$R$300,0),MATCH(AJ$2,'Input 4.1_2020VOL-YTD'!$C$1:$O$1,0))/INDEX('Input 4_2020CUST-YTD'!$C$4:Q$300,MATCH($C65,'Input 4_2020CUST-YTD'!$S$4:$S$300,0),MATCH(AJ$2,'Input 4_2020CUST-YTD'!$C$1:$O$1,0)),0)</f>
        <v>9.3714285714285701</v>
      </c>
      <c r="AK65" s="262">
        <f>IFERROR(INDEX('Input 4.1_2020VOL-YTD'!$C$4:$O$300, MATCH($C65,'Input 4.1_2020VOL-YTD'!$R$4:$R$300,0),MATCH(AK$2,'Input 4.1_2020VOL-YTD'!$C$1:$O$1,0))/INDEX('Input 4_2020CUST-YTD'!$C$4:R$300,MATCH($C65,'Input 4_2020CUST-YTD'!$S$4:$S$300,0),MATCH(AK$2,'Input 4_2020CUST-YTD'!$C$1:$O$1,0)),0)</f>
        <v>10.276666666666666</v>
      </c>
      <c r="AL65" s="262">
        <f>IFERROR(INDEX('Input 4.1_2020VOL-YTD'!$C$4:$O$300, MATCH($C65,'Input 4.1_2020VOL-YTD'!$R$4:$R$300,0),MATCH(AL$2,'Input 4.1_2020VOL-YTD'!$C$1:$O$1,0))/INDEX('Input 4_2020CUST-YTD'!$C$4:S$300,MATCH($C65,'Input 4_2020CUST-YTD'!$S$4:$S$300,0),MATCH(AL$2,'Input 4_2020CUST-YTD'!$C$1:$O$1,0)),0)</f>
        <v>9.1983333333333324</v>
      </c>
      <c r="AM65" s="262">
        <f>IFERROR(INDEX('Input 4.1_2020VOL-YTD'!$C$4:$O$300, MATCH($C65,'Input 4.1_2020VOL-YTD'!$R$4:$R$300,0),MATCH(AM$2,'Input 4.1_2020VOL-YTD'!$C$1:$O$1,0))/INDEX('Input 4_2020CUST-YTD'!$C$4:T$300,MATCH($C65,'Input 4_2020CUST-YTD'!$S$4:$S$300,0),MATCH(AM$2,'Input 4_2020CUST-YTD'!$C$1:$O$1,0)),0)</f>
        <v>8.8383333333333329</v>
      </c>
      <c r="AN65" s="262">
        <f>IFERROR(INDEX('Input 4.1_2020VOL-YTD'!$C$4:$O$300, MATCH($C65,'Input 4.1_2020VOL-YTD'!$R$4:$R$300,0),MATCH(AN$2,'Input 4.1_2020VOL-YTD'!$C$1:$O$1,0))/INDEX('Input 4_2020CUST-YTD'!$C$4:U$300,MATCH($C65,'Input 4_2020CUST-YTD'!$S$4:$S$300,0),MATCH(AN$2,'Input 4_2020CUST-YTD'!$C$1:$O$1,0)),0)</f>
        <v>9.8816666666666659</v>
      </c>
      <c r="AO65" s="262">
        <f>IFERROR(INDEX('Input 4.1_2020VOL-YTD'!$C$4:$O$300, MATCH($C65,'Input 4.1_2020VOL-YTD'!$R$4:$R$300,0),MATCH(AO$2,'Input 4.1_2020VOL-YTD'!$C$1:$O$1,0))/INDEX('Input 4_2020CUST-YTD'!$C$4:V$300,MATCH($C65,'Input 4_2020CUST-YTD'!$S$4:$S$300,0),MATCH(AO$2,'Input 4_2020CUST-YTD'!$C$1:$O$1,0)),0)</f>
        <v>8.8650000000000002</v>
      </c>
      <c r="AP65" s="262">
        <f>IFERROR(INDEX('Input 4.1_2020VOL-YTD'!$C$4:$O$300, MATCH($C65,'Input 4.1_2020VOL-YTD'!$R$4:$R$300,0),MATCH(AP$2,'Input 4.1_2020VOL-YTD'!$C$1:$O$1,0))/INDEX('Input 4_2020CUST-YTD'!$C$4:W$300,MATCH($C65,'Input 4_2020CUST-YTD'!$S$4:$S$300,0),MATCH(AP$2,'Input 4_2020CUST-YTD'!$C$1:$O$1,0)),0)</f>
        <v>9.2149999999999999</v>
      </c>
      <c r="AQ65" s="262">
        <f>IFERROR(INDEX('Input 4.1_2020VOL-YTD'!$C$4:$O$300, MATCH($C65,'Input 4.1_2020VOL-YTD'!$R$4:$R$300,0),MATCH(AQ$2,'Input 4.1_2020VOL-YTD'!$C$1:$O$1,0))/INDEX('Input 4_2020CUST-YTD'!$C$4:X$300,MATCH($C65,'Input 4_2020CUST-YTD'!$S$4:$S$300,0),MATCH(AQ$2,'Input 4_2020CUST-YTD'!$C$1:$O$1,0)),0)</f>
        <v>9.9083333333333332</v>
      </c>
      <c r="AR65" s="262">
        <f>IFERROR(INDEX('Input 4.1_2020VOL-YTD'!$C$4:$O$300, MATCH($C65,'Input 4.1_2020VOL-YTD'!$R$4:$R$300,0),MATCH(AR$2,'Input 4.1_2020VOL-YTD'!$C$1:$O$1,0))/INDEX('Input 4_2020CUST-YTD'!$C$4:Y$300,MATCH($C65,'Input 4_2020CUST-YTD'!$S$4:$S$300,0),MATCH(AR$2,'Input 4_2020CUST-YTD'!$C$1:$O$1,0)),0)</f>
        <v>10.799999999999999</v>
      </c>
      <c r="AS65" s="262">
        <f>IFERROR(INDEX('Input 4.1_2020VOL-YTD'!$C$4:$O$300, MATCH($C65,'Input 4.1_2020VOL-YTD'!$R$4:$R$300,0),MATCH(AS$2,'Input 4.1_2020VOL-YTD'!$C$1:$O$1,0))/INDEX('Input 4_2020CUST-YTD'!$C$4:Z$300,MATCH($C65,'Input 4_2020CUST-YTD'!$S$4:$S$300,0),MATCH(AS$2,'Input 4_2020CUST-YTD'!$C$1:$O$1,0)),0)</f>
        <v>18.669999999999998</v>
      </c>
      <c r="AT65" s="190">
        <f t="shared" si="18"/>
        <v>18.669999999999998</v>
      </c>
      <c r="AU65" s="261">
        <f t="shared" si="19"/>
        <v>12</v>
      </c>
      <c r="AW65" s="1">
        <f>IFERROR(INDEX('Input 5.1_2021VOL-YTD'!$C$3:$N$150, MATCH($C65,'Input 5.1_2021VOL-YTD'!$R$3:$R$150,0),MATCH(AW$2,'Input 5.1_2021VOL-YTD'!$C$1:$N$1,0))/INDEX('Input 5_2021CUST-YTD'!$C$3:$N$150,MATCH($C65,'Input 5_2021CUST-YTD'!$S$3:$S$150,0),MATCH(AW$2,'Input 5_2021CUST-YTD'!$C$1:$N$1,0)),0)</f>
        <v>17.775714285714287</v>
      </c>
      <c r="AX65" s="1">
        <f>IFERROR(INDEX('Input 5.1_2021VOL-YTD'!$C$3:$N$150, MATCH($C65,'Input 5.1_2021VOL-YTD'!$R$3:$R$150,0),MATCH(AX$2,'Input 5.1_2021VOL-YTD'!$C$1:$N$1,0))/INDEX('Input 5_2021CUST-YTD'!$C$3:$N$150,MATCH($C65,'Input 5_2021CUST-YTD'!$S$3:$S$150,0),MATCH(AX$2,'Input 5_2021CUST-YTD'!$C$1:$N$1,0)),0)</f>
        <v>14.761428571428571</v>
      </c>
      <c r="AY65" s="1">
        <f>IFERROR(INDEX('Input 5.1_2021VOL-YTD'!$C$3:$N$150, MATCH($C65,'Input 5.1_2021VOL-YTD'!$R$3:$R$150,0),MATCH(AY$2,'Input 5.1_2021VOL-YTD'!$C$1:$N$1,0))/INDEX('Input 5_2021CUST-YTD'!$C$3:$N$150,MATCH($C65,'Input 5_2021CUST-YTD'!$S$3:$S$150,0),MATCH(AY$2,'Input 5_2021CUST-YTD'!$C$1:$N$1,0)),0)</f>
        <v>7.8857142857142861</v>
      </c>
      <c r="AZ65" s="1">
        <f>IFERROR(INDEX('Input 5.1_2021VOL-YTD'!$C$3:$N$150, MATCH($C65,'Input 5.1_2021VOL-YTD'!$R$3:$R$150,0),MATCH(AZ$2,'Input 5.1_2021VOL-YTD'!$C$1:$N$1,0))/INDEX('Input 5_2021CUST-YTD'!$C$3:$N$150,MATCH($C65,'Input 5_2021CUST-YTD'!$S$3:$S$150,0),MATCH(AZ$2,'Input 5_2021CUST-YTD'!$C$1:$N$1,0)),0)</f>
        <v>8.8114285714285714</v>
      </c>
      <c r="BA65" s="1">
        <f>IFERROR(INDEX('Input 5.1_2021VOL-YTD'!$C$3:$N$150, MATCH($C65,'Input 5.1_2021VOL-YTD'!$R$3:$R$150,0),MATCH(BA$2,'Input 5.1_2021VOL-YTD'!$C$1:$N$1,0))/INDEX('Input 5_2021CUST-YTD'!$C$3:$N$150,MATCH($C65,'Input 5_2021CUST-YTD'!$S$3:$S$150,0),MATCH(BA$2,'Input 5_2021CUST-YTD'!$C$1:$N$1,0)),0)</f>
        <v>7.5671428571428567</v>
      </c>
      <c r="BB65" s="1">
        <f>IFERROR(INDEX('Input 5.1_2021VOL-YTD'!$C$3:$N$150, MATCH($C65,'Input 5.1_2021VOL-YTD'!$R$3:$R$150,0),MATCH(BB$2,'Input 5.1_2021VOL-YTD'!$C$1:$N$1,0))/INDEX('Input 5_2021CUST-YTD'!$C$3:$N$150,MATCH($C65,'Input 5_2021CUST-YTD'!$S$3:$S$150,0),MATCH(BB$2,'Input 5_2021CUST-YTD'!$C$1:$N$1,0)),0)</f>
        <v>7.6483333333333334</v>
      </c>
      <c r="BC65" s="1">
        <f>IFERROR(INDEX('Input 5.1_2021VOL-YTD'!$C$3:$N$150, MATCH($C65,'Input 5.1_2021VOL-YTD'!$R$3:$R$150,0),MATCH(BC$2,'Input 5.1_2021VOL-YTD'!$C$1:$N$1,0))/INDEX('Input 5_2021CUST-YTD'!$C$3:$N$150,MATCH($C65,'Input 5_2021CUST-YTD'!$S$3:$S$150,0),MATCH(BC$2,'Input 5_2021CUST-YTD'!$C$1:$N$1,0)),0)</f>
        <v>8.1583333333333332</v>
      </c>
      <c r="BD65" s="1">
        <f>IFERROR(INDEX('Input 5.1_2021VOL-YTD'!$C$3:$N$150, MATCH($C65,'Input 5.1_2021VOL-YTD'!$R$3:$R$150,0),MATCH(BD$2,'Input 5.1_2021VOL-YTD'!$C$1:$N$1,0))/INDEX('Input 5_2021CUST-YTD'!$C$3:$N$150,MATCH($C65,'Input 5_2021CUST-YTD'!$S$3:$S$150,0),MATCH(BD$2,'Input 5_2021CUST-YTD'!$C$1:$N$1,0)),0)</f>
        <v>8.0283333333333342</v>
      </c>
      <c r="BE65" s="1">
        <f>IFERROR(INDEX('Input 5.1_2021VOL-YTD'!$C$3:$N$150, MATCH($C65,'Input 5.1_2021VOL-YTD'!$R$3:$R$150,0),MATCH(BE$2,'Input 5.1_2021VOL-YTD'!$C$1:$N$1,0))/INDEX('Input 5_2021CUST-YTD'!$C$3:$N$150,MATCH($C65,'Input 5_2021CUST-YTD'!$S$3:$S$150,0),MATCH(BE$2,'Input 5_2021CUST-YTD'!$C$1:$N$1,0)),0)</f>
        <v>8.6733333333333338</v>
      </c>
      <c r="BF65" s="1">
        <f>IFERROR(INDEX('Input 5.1_2021VOL-YTD'!$C$3:$N$150, MATCH($C65,'Input 5.1_2021VOL-YTD'!$R$3:$R$150,0),MATCH(BF$2,'Input 5.1_2021VOL-YTD'!$C$1:$N$1,0))/INDEX('Input 5_2021CUST-YTD'!$C$3:$N$150,MATCH($C65,'Input 5_2021CUST-YTD'!$S$3:$S$150,0),MATCH(BF$2,'Input 5_2021CUST-YTD'!$C$1:$N$1,0)),0)</f>
        <v>7.8083333333333336</v>
      </c>
      <c r="BG65" s="1">
        <f>IFERROR(INDEX('Input 5.1_2021VOL-YTD'!$C$3:$N$150, MATCH($C65,'Input 5.1_2021VOL-YTD'!$R$3:$R$150,0),MATCH(BG$2,'Input 5.1_2021VOL-YTD'!$C$1:$N$1,0))/INDEX('Input 5_2021CUST-YTD'!$C$3:$N$150,MATCH($C65,'Input 5_2021CUST-YTD'!$S$3:$S$150,0),MATCH(BG$2,'Input 5_2021CUST-YTD'!$C$1:$N$1,0)),0)</f>
        <v>7.9616666666666669</v>
      </c>
      <c r="BH65" s="1">
        <f>IFERROR(INDEX('Input 5.1_2021VOL-YTD'!$C$3:$N$150, MATCH($C65,'Input 5.1_2021VOL-YTD'!$R$3:$R$150,0),MATCH(BH$2,'Input 5.1_2021VOL-YTD'!$C$1:$N$1,0))/INDEX('Input 5_2021CUST-YTD'!$C$3:$N$150,MATCH($C65,'Input 5_2021CUST-YTD'!$S$3:$S$150,0),MATCH(BH$2,'Input 5_2021CUST-YTD'!$C$1:$N$1,0)),0)</f>
        <v>9.7799999999999994</v>
      </c>
      <c r="BI65" s="190">
        <f t="shared" si="7"/>
        <v>17.775714285714287</v>
      </c>
      <c r="BJ65" s="261">
        <f t="shared" si="8"/>
        <v>1</v>
      </c>
    </row>
    <row r="66" spans="1:62">
      <c r="A66" s="261" t="s">
        <v>1245</v>
      </c>
      <c r="B66" s="261" t="s">
        <v>17</v>
      </c>
      <c r="C66" s="261" t="s">
        <v>84</v>
      </c>
      <c r="D66" s="5">
        <f>IFERROR(INDEX('Input 16.1_2018VOL-YTD'!$C$4:$N$300, MATCH($C66,'Input 16.1_2018VOL-YTD'!$R$4:$R$300,0),MATCH(D$2,'Input 16.1_2018VOL-YTD'!$C$1:$N$1,0))/INDEX('Input 16_2018CUST-YTD'!$D$4:$O$300,MATCH($C66,'Input 16_2018CUST-YTD'!$S$4:$S$300,0),MATCH(D$2,'Input 16_2018CUST-YTD'!$C$1:$O$1,0)),0)</f>
        <v>0</v>
      </c>
      <c r="E66" s="5">
        <f>IFERROR(INDEX('Input 16.1_2018VOL-YTD'!$C$4:$N$300, MATCH($C66,'Input 16.1_2018VOL-YTD'!$R$4:$R$300,0),MATCH(E$2,'Input 16.1_2018VOL-YTD'!$C$1:$N$1,0))/INDEX('Input 16_2018CUST-YTD'!$D$4:$O$300,MATCH($C66,'Input 16_2018CUST-YTD'!$S$4:$S$300,0),MATCH(E$2,'Input 16_2018CUST-YTD'!$C$1:$O$1,0)),0)</f>
        <v>0</v>
      </c>
      <c r="F66" s="5">
        <f>IFERROR(INDEX('Input 16.1_2018VOL-YTD'!$C$4:$N$300, MATCH($C66,'Input 16.1_2018VOL-YTD'!$R$4:$R$300,0),MATCH(F$2,'Input 16.1_2018VOL-YTD'!$C$1:$N$1,0))/INDEX('Input 16_2018CUST-YTD'!$D$4:$O$300,MATCH($C66,'Input 16_2018CUST-YTD'!$S$4:$S$300,0),MATCH(F$2,'Input 16_2018CUST-YTD'!$C$1:$O$1,0)),0)</f>
        <v>0</v>
      </c>
      <c r="G66" s="5">
        <f>IFERROR(INDEX('Input 16.1_2018VOL-YTD'!$C$4:$N$300, MATCH($C66,'Input 16.1_2018VOL-YTD'!$R$4:$R$300,0),MATCH(G$2,'Input 16.1_2018VOL-YTD'!$C$1:$N$1,0))/INDEX('Input 16_2018CUST-YTD'!$D$4:$O$300,MATCH($C66,'Input 16_2018CUST-YTD'!$S$4:$S$300,0),MATCH(G$2,'Input 16_2018CUST-YTD'!$C$1:$O$1,0)),0)</f>
        <v>0</v>
      </c>
      <c r="H66" s="5">
        <f>IFERROR(INDEX('Input 16.1_2018VOL-YTD'!$C$4:$N$300, MATCH($C66,'Input 16.1_2018VOL-YTD'!$R$4:$R$300,0),MATCH(H$2,'Input 16.1_2018VOL-YTD'!$C$1:$N$1,0))/INDEX('Input 16_2018CUST-YTD'!$D$4:$O$300,MATCH($C66,'Input 16_2018CUST-YTD'!$S$4:$S$300,0),MATCH(H$2,'Input 16_2018CUST-YTD'!$C$1:$O$1,0)),0)</f>
        <v>0</v>
      </c>
      <c r="I66" s="5">
        <f>IFERROR(INDEX('Input 16.1_2018VOL-YTD'!$C$4:$N$300, MATCH($C66,'Input 16.1_2018VOL-YTD'!$R$4:$R$300,0),MATCH(I$2,'Input 16.1_2018VOL-YTD'!$C$1:$N$1,0))/INDEX('Input 16_2018CUST-YTD'!$D$4:$O$300,MATCH($C66,'Input 16_2018CUST-YTD'!$S$4:$S$300,0),MATCH(I$2,'Input 16_2018CUST-YTD'!$C$1:$O$1,0)),0)</f>
        <v>0</v>
      </c>
      <c r="J66" s="5">
        <f>IFERROR(INDEX('Input 16.1_2018VOL-YTD'!$C$4:$N$300, MATCH($C66,'Input 16.1_2018VOL-YTD'!$R$4:$R$300,0),MATCH(J$2,'Input 16.1_2018VOL-YTD'!$C$1:$N$1,0))/INDEX('Input 16_2018CUST-YTD'!$D$4:$O$300,MATCH($C66,'Input 16_2018CUST-YTD'!$S$4:$S$300,0),MATCH(J$2,'Input 16_2018CUST-YTD'!$C$1:$O$1,0)),0)</f>
        <v>0</v>
      </c>
      <c r="K66" s="5">
        <f>IFERROR(INDEX('Input 16.1_2018VOL-YTD'!$C$4:$N$300, MATCH($C66,'Input 16.1_2018VOL-YTD'!$R$4:$R$300,0),MATCH(K$2,'Input 16.1_2018VOL-YTD'!$C$1:$N$1,0))/INDEX('Input 16_2018CUST-YTD'!$D$4:$O$300,MATCH($C66,'Input 16_2018CUST-YTD'!$S$4:$S$300,0),MATCH(K$2,'Input 16_2018CUST-YTD'!$C$1:$O$1,0)),0)</f>
        <v>0</v>
      </c>
      <c r="L66" s="5">
        <f>IFERROR(INDEX('Input 16.1_2018VOL-YTD'!$C$4:$N$300, MATCH($C66,'Input 16.1_2018VOL-YTD'!$R$4:$R$300,0),MATCH(L$2,'Input 16.1_2018VOL-YTD'!$C$1:$N$1,0))/INDEX('Input 16_2018CUST-YTD'!$D$4:$O$300,MATCH($C66,'Input 16_2018CUST-YTD'!$S$4:$S$300,0),MATCH(L$2,'Input 16_2018CUST-YTD'!$C$1:$O$1,0)),0)</f>
        <v>0</v>
      </c>
      <c r="M66" s="5">
        <f>IFERROR(INDEX('Input 16.1_2018VOL-YTD'!$C$4:$N$300, MATCH($C66,'Input 16.1_2018VOL-YTD'!$R$4:$R$300,0),MATCH(M$2,'Input 16.1_2018VOL-YTD'!$C$1:$N$1,0))/INDEX('Input 16_2018CUST-YTD'!$D$4:$O$300,MATCH($C66,'Input 16_2018CUST-YTD'!$S$4:$S$300,0),MATCH(M$2,'Input 16_2018CUST-YTD'!$C$1:$O$1,0)),0)</f>
        <v>0</v>
      </c>
      <c r="N66" s="5">
        <f>IFERROR(INDEX('Input 16.1_2018VOL-YTD'!$C$4:$N$300, MATCH($C66,'Input 16.1_2018VOL-YTD'!$R$4:$R$300,0),MATCH(N$2,'Input 16.1_2018VOL-YTD'!$C$1:$N$1,0))/INDEX('Input 16_2018CUST-YTD'!$D$4:$O$300,MATCH($C66,'Input 16_2018CUST-YTD'!$S$4:$S$300,0),MATCH(N$2,'Input 16_2018CUST-YTD'!$C$1:$O$1,0)),0)</f>
        <v>0</v>
      </c>
      <c r="O66" s="5">
        <f>IFERROR(INDEX('Input 16.1_2018VOL-YTD'!$C$4:$N$300, MATCH($C66,'Input 16.1_2018VOL-YTD'!$R$4:$R$300,0),MATCH(O$2,'Input 16.1_2018VOL-YTD'!$C$1:$N$1,0))/INDEX('Input 16_2018CUST-YTD'!$D$4:$O$300,MATCH($C66,'Input 16_2018CUST-YTD'!$S$4:$S$300,0),MATCH(O$2,'Input 16_2018CUST-YTD'!$C$1:$O$1,0)),0)</f>
        <v>0</v>
      </c>
      <c r="P66" s="271">
        <f t="shared" si="1"/>
        <v>0</v>
      </c>
      <c r="Q66" s="261">
        <f t="shared" si="2"/>
        <v>0</v>
      </c>
      <c r="S66" s="5">
        <f>IFERROR(INDEX('Input 3.1_2019VOL-YTD'!$C$4:$N$300, MATCH($C66,'Input 3.1_2019VOL-YTD'!$R$4:$R$300,0),MATCH(S$2,'Input 3.1_2019VOL-YTD'!$C$1:$N$1,0))/INDEX('Input 3_2019CUST-YTD'!$C$4:$N$300,MATCH($C66,'Input 3_2019CUST-YTD'!$S$4:$S$300,0),MATCH(S$2,'Input 3_2019CUST-YTD'!$C$1:$N$1,0)),0)</f>
        <v>0</v>
      </c>
      <c r="T66" s="5">
        <f>IFERROR(INDEX('Input 3.1_2019VOL-YTD'!$C$4:$N$300, MATCH($C66,'Input 3.1_2019VOL-YTD'!$R$4:$R$300,0),MATCH(T$2,'Input 3.1_2019VOL-YTD'!$C$1:$N$1,0))/INDEX('Input 3_2019CUST-YTD'!$C$4:$N$300,MATCH($C66,'Input 3_2019CUST-YTD'!$S$4:$S$300,0),MATCH(T$2,'Input 3_2019CUST-YTD'!$C$1:$N$1,0)),0)</f>
        <v>0</v>
      </c>
      <c r="U66" s="5">
        <f>IFERROR(INDEX('Input 3.1_2019VOL-YTD'!$C$4:$N$300, MATCH($C66,'Input 3.1_2019VOL-YTD'!$R$4:$R$300,0),MATCH(U$2,'Input 3.1_2019VOL-YTD'!$C$1:$N$1,0))/INDEX('Input 3_2019CUST-YTD'!$C$4:$N$300,MATCH($C66,'Input 3_2019CUST-YTD'!$S$4:$S$300,0),MATCH(U$2,'Input 3_2019CUST-YTD'!$C$1:$N$1,0)),0)</f>
        <v>0</v>
      </c>
      <c r="V66" s="5">
        <f>IFERROR(INDEX('Input 3.1_2019VOL-YTD'!$C$4:$N$300, MATCH($C66,'Input 3.1_2019VOL-YTD'!$R$4:$R$300,0),MATCH(V$2,'Input 3.1_2019VOL-YTD'!$C$1:$N$1,0))/INDEX('Input 3_2019CUST-YTD'!$C$4:$N$300,MATCH($C66,'Input 3_2019CUST-YTD'!$S$4:$S$300,0),MATCH(V$2,'Input 3_2019CUST-YTD'!$C$1:$N$1,0)),0)</f>
        <v>190819</v>
      </c>
      <c r="W66" s="5">
        <f>IFERROR(INDEX('Input 3.1_2019VOL-YTD'!$C$4:$N$300, MATCH($C66,'Input 3.1_2019VOL-YTD'!$R$4:$R$300,0),MATCH(W$2,'Input 3.1_2019VOL-YTD'!$C$1:$N$1,0))/INDEX('Input 3_2019CUST-YTD'!$C$4:$N$300,MATCH($C66,'Input 3_2019CUST-YTD'!$S$4:$S$300,0),MATCH(W$2,'Input 3_2019CUST-YTD'!$C$1:$N$1,0)),0)</f>
        <v>202376</v>
      </c>
      <c r="X66" s="5">
        <f>IFERROR(INDEX('Input 3.1_2019VOL-YTD'!$C$4:$N$300, MATCH($C66,'Input 3.1_2019VOL-YTD'!$R$4:$R$300,0),MATCH(X$2,'Input 3.1_2019VOL-YTD'!$C$1:$N$1,0))/INDEX('Input 3_2019CUST-YTD'!$C$4:$N$300,MATCH($C66,'Input 3_2019CUST-YTD'!$S$4:$S$300,0),MATCH(X$2,'Input 3_2019CUST-YTD'!$C$1:$N$1,0)),0)</f>
        <v>193570</v>
      </c>
      <c r="Y66" s="5">
        <f>IFERROR(INDEX('Input 3.1_2019VOL-YTD'!$C$4:$N$300, MATCH($C66,'Input 3.1_2019VOL-YTD'!$R$4:$R$300,0),MATCH(Y$2,'Input 3.1_2019VOL-YTD'!$C$1:$N$1,0))/INDEX('Input 3_2019CUST-YTD'!$C$4:$N$300,MATCH($C66,'Input 3_2019CUST-YTD'!$S$4:$S$300,0),MATCH(Y$2,'Input 3_2019CUST-YTD'!$C$1:$N$1,0)),0)</f>
        <v>203154</v>
      </c>
      <c r="Z66" s="5">
        <f>IFERROR(INDEX('Input 3.1_2019VOL-YTD'!$C$4:$N$300, MATCH($C66,'Input 3.1_2019VOL-YTD'!$R$4:$R$300,0),MATCH(Z$2,'Input 3.1_2019VOL-YTD'!$C$1:$N$1,0))/INDEX('Input 3_2019CUST-YTD'!$C$4:$N$300,MATCH($C66,'Input 3_2019CUST-YTD'!$S$4:$S$300,0),MATCH(Z$2,'Input 3_2019CUST-YTD'!$C$1:$N$1,0)),0)</f>
        <v>196843</v>
      </c>
      <c r="AA66" s="5">
        <f>IFERROR(INDEX('Input 3.1_2019VOL-YTD'!$C$4:$N$300, MATCH($C66,'Input 3.1_2019VOL-YTD'!$R$4:$R$300,0),MATCH(AA$2,'Input 3.1_2019VOL-YTD'!$C$1:$N$1,0))/INDEX('Input 3_2019CUST-YTD'!$C$4:$N$300,MATCH($C66,'Input 3_2019CUST-YTD'!$S$4:$S$300,0),MATCH(AA$2,'Input 3_2019CUST-YTD'!$C$1:$N$1,0)),0)</f>
        <v>192031</v>
      </c>
      <c r="AB66" s="5">
        <f>IFERROR(INDEX('Input 3.1_2019VOL-YTD'!$C$4:$N$300, MATCH($C66,'Input 3.1_2019VOL-YTD'!$R$4:$R$300,0),MATCH(AB$2,'Input 3.1_2019VOL-YTD'!$C$1:$N$1,0))/INDEX('Input 3_2019CUST-YTD'!$C$4:$N$300,MATCH($C66,'Input 3_2019CUST-YTD'!$S$4:$S$300,0),MATCH(AB$2,'Input 3_2019CUST-YTD'!$C$1:$N$1,0)),0)</f>
        <v>175928.4</v>
      </c>
      <c r="AC66" s="5">
        <f>IFERROR(INDEX('Input 3.1_2019VOL-YTD'!$C$4:$N$300, MATCH($C66,'Input 3.1_2019VOL-YTD'!$R$4:$R$300,0),MATCH(AC$2,'Input 3.1_2019VOL-YTD'!$C$1:$N$1,0))/INDEX('Input 3_2019CUST-YTD'!$C$4:$N$300,MATCH($C66,'Input 3_2019CUST-YTD'!$S$4:$S$300,0),MATCH(AC$2,'Input 3_2019CUST-YTD'!$C$1:$N$1,0)),0)</f>
        <v>151375.10999999999</v>
      </c>
      <c r="AD66" s="5">
        <f>IFERROR(INDEX('Input 3.1_2019VOL-YTD'!$C$4:$N$300, MATCH($C66,'Input 3.1_2019VOL-YTD'!$R$4:$R$300,0),MATCH(AD$2,'Input 3.1_2019VOL-YTD'!$C$1:$N$1,0))/INDEX('Input 3_2019CUST-YTD'!$C$4:$N$300,MATCH($C66,'Input 3_2019CUST-YTD'!$S$4:$S$300,0),MATCH(AD$2,'Input 3_2019CUST-YTD'!$C$1:$N$1,0)),0)</f>
        <v>139744.84</v>
      </c>
      <c r="AE66" s="272">
        <f>MAX(S66:AD66)</f>
        <v>203154</v>
      </c>
      <c r="AF66" s="261">
        <f>INDEX($AH$2:$AS$2,MATCH(AE66,S66:AD66,0))</f>
        <v>7</v>
      </c>
      <c r="AH66" s="262">
        <f>IFERROR(INDEX('Input 4.1_2020VOL-YTD'!$C$4:$O$300, MATCH($C66,'Input 4.1_2020VOL-YTD'!$R$4:$R$300,0),MATCH(AH$2,'Input 4.1_2020VOL-YTD'!$C$1:$O$1,0))/INDEX('Input 4_2020CUST-YTD'!$C$4:O$300,MATCH($C66,'Input 4_2020CUST-YTD'!$S$4:$S$300,0),MATCH(AH$2,'Input 4_2020CUST-YTD'!$C$1:$O$1,0)),0)</f>
        <v>153010.59</v>
      </c>
      <c r="AI66" s="262">
        <f>IFERROR(INDEX('Input 4.1_2020VOL-YTD'!$C$4:$O$300, MATCH($C66,'Input 4.1_2020VOL-YTD'!$R$4:$R$300,0),MATCH(AI$2,'Input 4.1_2020VOL-YTD'!$C$1:$O$1,0))/INDEX('Input 4_2020CUST-YTD'!$C$4:P$300,MATCH($C66,'Input 4_2020CUST-YTD'!$S$4:$S$300,0),MATCH(AI$2,'Input 4_2020CUST-YTD'!$C$1:$O$1,0)),0)</f>
        <v>156994.46</v>
      </c>
      <c r="AJ66" s="262">
        <f>IFERROR(INDEX('Input 4.1_2020VOL-YTD'!$C$4:$O$300, MATCH($C66,'Input 4.1_2020VOL-YTD'!$R$4:$R$300,0),MATCH(AJ$2,'Input 4.1_2020VOL-YTD'!$C$1:$O$1,0))/INDEX('Input 4_2020CUST-YTD'!$C$4:Q$300,MATCH($C66,'Input 4_2020CUST-YTD'!$S$4:$S$300,0),MATCH(AJ$2,'Input 4_2020CUST-YTD'!$C$1:$O$1,0)),0)</f>
        <v>174294.91</v>
      </c>
      <c r="AK66" s="262">
        <f>IFERROR(INDEX('Input 4.1_2020VOL-YTD'!$C$4:$O$300, MATCH($C66,'Input 4.1_2020VOL-YTD'!$R$4:$R$300,0),MATCH(AK$2,'Input 4.1_2020VOL-YTD'!$C$1:$O$1,0))/INDEX('Input 4_2020CUST-YTD'!$C$4:R$300,MATCH($C66,'Input 4_2020CUST-YTD'!$S$4:$S$300,0),MATCH(AK$2,'Input 4_2020CUST-YTD'!$C$1:$O$1,0)),0)</f>
        <v>160792.45000000001</v>
      </c>
      <c r="AL66" s="262">
        <f>IFERROR(INDEX('Input 4.1_2020VOL-YTD'!$C$4:$O$300, MATCH($C66,'Input 4.1_2020VOL-YTD'!$R$4:$R$300,0),MATCH(AL$2,'Input 4.1_2020VOL-YTD'!$C$1:$O$1,0))/INDEX('Input 4_2020CUST-YTD'!$C$4:S$300,MATCH($C66,'Input 4_2020CUST-YTD'!$S$4:$S$300,0),MATCH(AL$2,'Input 4_2020CUST-YTD'!$C$1:$O$1,0)),0)</f>
        <v>163273.72</v>
      </c>
      <c r="AM66" s="262">
        <f>IFERROR(INDEX('Input 4.1_2020VOL-YTD'!$C$4:$O$300, MATCH($C66,'Input 4.1_2020VOL-YTD'!$R$4:$R$300,0),MATCH(AM$2,'Input 4.1_2020VOL-YTD'!$C$1:$O$1,0))/INDEX('Input 4_2020CUST-YTD'!$C$4:T$300,MATCH($C66,'Input 4_2020CUST-YTD'!$S$4:$S$300,0),MATCH(AM$2,'Input 4_2020CUST-YTD'!$C$1:$O$1,0)),0)</f>
        <v>113851.97</v>
      </c>
      <c r="AN66" s="262">
        <f>IFERROR(INDEX('Input 4.1_2020VOL-YTD'!$C$4:$O$300, MATCH($C66,'Input 4.1_2020VOL-YTD'!$R$4:$R$300,0),MATCH(AN$2,'Input 4.1_2020VOL-YTD'!$C$1:$O$1,0))/INDEX('Input 4_2020CUST-YTD'!$C$4:U$300,MATCH($C66,'Input 4_2020CUST-YTD'!$S$4:$S$300,0),MATCH(AN$2,'Input 4_2020CUST-YTD'!$C$1:$O$1,0)),0)</f>
        <v>130017.39</v>
      </c>
      <c r="AO66" s="262">
        <f>IFERROR(INDEX('Input 4.1_2020VOL-YTD'!$C$4:$O$300, MATCH($C66,'Input 4.1_2020VOL-YTD'!$R$4:$R$300,0),MATCH(AO$2,'Input 4.1_2020VOL-YTD'!$C$1:$O$1,0))/INDEX('Input 4_2020CUST-YTD'!$C$4:V$300,MATCH($C66,'Input 4_2020CUST-YTD'!$S$4:$S$300,0),MATCH(AO$2,'Input 4_2020CUST-YTD'!$C$1:$O$1,0)),0)</f>
        <v>137359.85</v>
      </c>
      <c r="AP66" s="262">
        <f>IFERROR(INDEX('Input 4.1_2020VOL-YTD'!$C$4:$O$300, MATCH($C66,'Input 4.1_2020VOL-YTD'!$R$4:$R$300,0),MATCH(AP$2,'Input 4.1_2020VOL-YTD'!$C$1:$O$1,0))/INDEX('Input 4_2020CUST-YTD'!$C$4:W$300,MATCH($C66,'Input 4_2020CUST-YTD'!$S$4:$S$300,0),MATCH(AP$2,'Input 4_2020CUST-YTD'!$C$1:$O$1,0)),0)</f>
        <v>113729.2</v>
      </c>
      <c r="AQ66" s="262">
        <f>IFERROR(INDEX('Input 4.1_2020VOL-YTD'!$C$4:$O$300, MATCH($C66,'Input 4.1_2020VOL-YTD'!$R$4:$R$300,0),MATCH(AQ$2,'Input 4.1_2020VOL-YTD'!$C$1:$O$1,0))/INDEX('Input 4_2020CUST-YTD'!$C$4:X$300,MATCH($C66,'Input 4_2020CUST-YTD'!$S$4:$S$300,0),MATCH(AQ$2,'Input 4_2020CUST-YTD'!$C$1:$O$1,0)),0)</f>
        <v>117563.31</v>
      </c>
      <c r="AR66" s="262">
        <f>IFERROR(INDEX('Input 4.1_2020VOL-YTD'!$C$4:$O$300, MATCH($C66,'Input 4.1_2020VOL-YTD'!$R$4:$R$300,0),MATCH(AR$2,'Input 4.1_2020VOL-YTD'!$C$1:$O$1,0))/INDEX('Input 4_2020CUST-YTD'!$C$4:Y$300,MATCH($C66,'Input 4_2020CUST-YTD'!$S$4:$S$300,0),MATCH(AR$2,'Input 4_2020CUST-YTD'!$C$1:$O$1,0)),0)</f>
        <v>101686.91</v>
      </c>
      <c r="AS66" s="262">
        <f>IFERROR(INDEX('Input 4.1_2020VOL-YTD'!$C$4:$O$300, MATCH($C66,'Input 4.1_2020VOL-YTD'!$R$4:$R$300,0),MATCH(AS$2,'Input 4.1_2020VOL-YTD'!$C$1:$O$1,0))/INDEX('Input 4_2020CUST-YTD'!$C$4:Z$300,MATCH($C66,'Input 4_2020CUST-YTD'!$S$4:$S$300,0),MATCH(AS$2,'Input 4_2020CUST-YTD'!$C$1:$O$1,0)),0)</f>
        <v>103266.51</v>
      </c>
      <c r="AT66" s="190">
        <f t="shared" si="18"/>
        <v>174294.91</v>
      </c>
      <c r="AU66" s="261">
        <f t="shared" si="19"/>
        <v>3</v>
      </c>
      <c r="AW66" s="1">
        <f>IFERROR(INDEX('Input 5.1_2021VOL-YTD'!$C$3:$N$150, MATCH($C66,'Input 5.1_2021VOL-YTD'!$R$3:$R$150,0),MATCH(AW$2,'Input 5.1_2021VOL-YTD'!$C$1:$N$1,0))/INDEX('Input 5_2021CUST-YTD'!$C$3:$N$150,MATCH($C66,'Input 5_2021CUST-YTD'!$S$3:$S$150,0),MATCH(AW$2,'Input 5_2021CUST-YTD'!$C$1:$N$1,0)),0)</f>
        <v>109372.81</v>
      </c>
      <c r="AX66" s="1">
        <f>IFERROR(INDEX('Input 5.1_2021VOL-YTD'!$C$3:$N$150, MATCH($C66,'Input 5.1_2021VOL-YTD'!$R$3:$R$150,0),MATCH(AX$2,'Input 5.1_2021VOL-YTD'!$C$1:$N$1,0))/INDEX('Input 5_2021CUST-YTD'!$C$3:$N$150,MATCH($C66,'Input 5_2021CUST-YTD'!$S$3:$S$150,0),MATCH(AX$2,'Input 5_2021CUST-YTD'!$C$1:$N$1,0)),0)</f>
        <v>86166.25</v>
      </c>
      <c r="AY66" s="1">
        <f>IFERROR(INDEX('Input 5.1_2021VOL-YTD'!$C$3:$N$150, MATCH($C66,'Input 5.1_2021VOL-YTD'!$R$3:$R$150,0),MATCH(AY$2,'Input 5.1_2021VOL-YTD'!$C$1:$N$1,0))/INDEX('Input 5_2021CUST-YTD'!$C$3:$N$150,MATCH($C66,'Input 5_2021CUST-YTD'!$S$3:$S$150,0),MATCH(AY$2,'Input 5_2021CUST-YTD'!$C$1:$N$1,0)),0)</f>
        <v>107271.21</v>
      </c>
      <c r="AZ66" s="1">
        <f>IFERROR(INDEX('Input 5.1_2021VOL-YTD'!$C$3:$N$150, MATCH($C66,'Input 5.1_2021VOL-YTD'!$R$3:$R$150,0),MATCH(AZ$2,'Input 5.1_2021VOL-YTD'!$C$1:$N$1,0))/INDEX('Input 5_2021CUST-YTD'!$C$3:$N$150,MATCH($C66,'Input 5_2021CUST-YTD'!$S$3:$S$150,0),MATCH(AZ$2,'Input 5_2021CUST-YTD'!$C$1:$N$1,0)),0)</f>
        <v>106948.86</v>
      </c>
      <c r="BA66" s="1">
        <f>IFERROR(INDEX('Input 5.1_2021VOL-YTD'!$C$3:$N$150, MATCH($C66,'Input 5.1_2021VOL-YTD'!$R$3:$R$150,0),MATCH(BA$2,'Input 5.1_2021VOL-YTD'!$C$1:$N$1,0))/INDEX('Input 5_2021CUST-YTD'!$C$3:$N$150,MATCH($C66,'Input 5_2021CUST-YTD'!$S$3:$S$150,0),MATCH(BA$2,'Input 5_2021CUST-YTD'!$C$1:$N$1,0)),0)</f>
        <v>112719.72</v>
      </c>
      <c r="BB66" s="1">
        <f>IFERROR(INDEX('Input 5.1_2021VOL-YTD'!$C$3:$N$150, MATCH($C66,'Input 5.1_2021VOL-YTD'!$R$3:$R$150,0),MATCH(BB$2,'Input 5.1_2021VOL-YTD'!$C$1:$N$1,0))/INDEX('Input 5_2021CUST-YTD'!$C$3:$N$150,MATCH($C66,'Input 5_2021CUST-YTD'!$S$3:$S$150,0),MATCH(BB$2,'Input 5_2021CUST-YTD'!$C$1:$N$1,0)),0)</f>
        <v>107101.34</v>
      </c>
      <c r="BC66" s="1">
        <f>IFERROR(INDEX('Input 5.1_2021VOL-YTD'!$C$3:$N$150, MATCH($C66,'Input 5.1_2021VOL-YTD'!$R$3:$R$150,0),MATCH(BC$2,'Input 5.1_2021VOL-YTD'!$C$1:$N$1,0))/INDEX('Input 5_2021CUST-YTD'!$C$3:$N$150,MATCH($C66,'Input 5_2021CUST-YTD'!$S$3:$S$150,0),MATCH(BC$2,'Input 5_2021CUST-YTD'!$C$1:$N$1,0)),0)</f>
        <v>99590.88</v>
      </c>
      <c r="BD66" s="1">
        <f>IFERROR(INDEX('Input 5.1_2021VOL-YTD'!$C$3:$N$150, MATCH($C66,'Input 5.1_2021VOL-YTD'!$R$3:$R$150,0),MATCH(BD$2,'Input 5.1_2021VOL-YTD'!$C$1:$N$1,0))/INDEX('Input 5_2021CUST-YTD'!$C$3:$N$150,MATCH($C66,'Input 5_2021CUST-YTD'!$S$3:$S$150,0),MATCH(BD$2,'Input 5_2021CUST-YTD'!$C$1:$N$1,0)),0)</f>
        <v>91881.31</v>
      </c>
      <c r="BE66" s="1">
        <f>IFERROR(INDEX('Input 5.1_2021VOL-YTD'!$C$3:$N$150, MATCH($C66,'Input 5.1_2021VOL-YTD'!$R$3:$R$150,0),MATCH(BE$2,'Input 5.1_2021VOL-YTD'!$C$1:$N$1,0))/INDEX('Input 5_2021CUST-YTD'!$C$3:$N$150,MATCH($C66,'Input 5_2021CUST-YTD'!$S$3:$S$150,0),MATCH(BE$2,'Input 5_2021CUST-YTD'!$C$1:$N$1,0)),0)</f>
        <v>11157.62</v>
      </c>
      <c r="BF66" s="1">
        <f>IFERROR(INDEX('Input 5.1_2021VOL-YTD'!$C$3:$N$150, MATCH($C66,'Input 5.1_2021VOL-YTD'!$R$3:$R$150,0),MATCH(BF$2,'Input 5.1_2021VOL-YTD'!$C$1:$N$1,0))/INDEX('Input 5_2021CUST-YTD'!$C$3:$N$150,MATCH($C66,'Input 5_2021CUST-YTD'!$S$3:$S$150,0),MATCH(BF$2,'Input 5_2021CUST-YTD'!$C$1:$N$1,0)),0)</f>
        <v>15188.44</v>
      </c>
      <c r="BG66" s="1">
        <f>IFERROR(INDEX('Input 5.1_2021VOL-YTD'!$C$3:$N$150, MATCH($C66,'Input 5.1_2021VOL-YTD'!$R$3:$R$150,0),MATCH(BG$2,'Input 5.1_2021VOL-YTD'!$C$1:$N$1,0))/INDEX('Input 5_2021CUST-YTD'!$C$3:$N$150,MATCH($C66,'Input 5_2021CUST-YTD'!$S$3:$S$150,0),MATCH(BG$2,'Input 5_2021CUST-YTD'!$C$1:$N$1,0)),0)</f>
        <v>17541.689999999999</v>
      </c>
      <c r="BH66" s="1">
        <f>IFERROR(INDEX('Input 5.1_2021VOL-YTD'!$C$3:$N$150, MATCH($C66,'Input 5.1_2021VOL-YTD'!$R$3:$R$150,0),MATCH(BH$2,'Input 5.1_2021VOL-YTD'!$C$1:$N$1,0))/INDEX('Input 5_2021CUST-YTD'!$C$3:$N$150,MATCH($C66,'Input 5_2021CUST-YTD'!$S$3:$S$150,0),MATCH(BH$2,'Input 5_2021CUST-YTD'!$C$1:$N$1,0)),0)</f>
        <v>22866.55</v>
      </c>
      <c r="BI66" s="190">
        <f t="shared" si="7"/>
        <v>112719.72</v>
      </c>
      <c r="BJ66" s="261">
        <f t="shared" si="8"/>
        <v>5</v>
      </c>
    </row>
    <row r="67" spans="1:62"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</row>
    <row r="72" spans="1:62">
      <c r="C72" s="261">
        <v>1</v>
      </c>
      <c r="Q72" s="261">
        <f>SUMIF(Q$3:Q$66,C72)</f>
        <v>32</v>
      </c>
    </row>
    <row r="73" spans="1:62">
      <c r="C73" s="261">
        <f>C72+1</f>
        <v>2</v>
      </c>
      <c r="Q73" s="261">
        <f t="shared" ref="Q73:Q83" si="20">SUMIF(Q$3:Q$66,C73)</f>
        <v>0</v>
      </c>
      <c r="AQ73" s="1"/>
    </row>
    <row r="74" spans="1:62">
      <c r="C74" s="261">
        <f t="shared" ref="C74:C82" si="21">C73+1</f>
        <v>3</v>
      </c>
      <c r="Q74" s="261">
        <f t="shared" si="20"/>
        <v>15</v>
      </c>
    </row>
    <row r="75" spans="1:62">
      <c r="C75" s="261">
        <f t="shared" si="21"/>
        <v>4</v>
      </c>
      <c r="Q75" s="261">
        <f t="shared" si="20"/>
        <v>4</v>
      </c>
    </row>
    <row r="76" spans="1:62">
      <c r="C76" s="261">
        <f t="shared" si="21"/>
        <v>5</v>
      </c>
      <c r="Q76" s="261">
        <f t="shared" si="20"/>
        <v>10</v>
      </c>
    </row>
    <row r="77" spans="1:62">
      <c r="C77" s="261">
        <f t="shared" si="21"/>
        <v>6</v>
      </c>
      <c r="Q77" s="261">
        <f t="shared" si="20"/>
        <v>6</v>
      </c>
    </row>
    <row r="78" spans="1:62">
      <c r="C78" s="261">
        <f t="shared" si="21"/>
        <v>7</v>
      </c>
      <c r="Q78" s="261">
        <f t="shared" si="20"/>
        <v>0</v>
      </c>
    </row>
    <row r="79" spans="1:62">
      <c r="C79" s="261">
        <f t="shared" si="21"/>
        <v>8</v>
      </c>
      <c r="Q79" s="261">
        <f t="shared" si="20"/>
        <v>0</v>
      </c>
    </row>
    <row r="80" spans="1:62">
      <c r="C80" s="261">
        <f t="shared" si="21"/>
        <v>9</v>
      </c>
      <c r="Q80" s="261">
        <f t="shared" si="20"/>
        <v>9</v>
      </c>
    </row>
    <row r="81" spans="3:17">
      <c r="C81" s="261">
        <f t="shared" si="21"/>
        <v>10</v>
      </c>
      <c r="Q81" s="261">
        <f t="shared" si="20"/>
        <v>20</v>
      </c>
    </row>
    <row r="82" spans="3:17">
      <c r="C82" s="261">
        <f t="shared" si="21"/>
        <v>11</v>
      </c>
      <c r="Q82" s="261">
        <f t="shared" si="20"/>
        <v>33</v>
      </c>
    </row>
    <row r="83" spans="3:17">
      <c r="C83" s="261">
        <f>C82+1</f>
        <v>12</v>
      </c>
      <c r="Q83" s="261">
        <f t="shared" si="20"/>
        <v>60</v>
      </c>
    </row>
    <row r="138" spans="4:15"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</row>
    <row r="139" spans="4:15"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</row>
    <row r="140" spans="4:15"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</row>
    <row r="141" spans="4:15"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</row>
    <row r="142" spans="4:15"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</row>
    <row r="143" spans="4:15"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</row>
    <row r="144" spans="4:15"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</row>
    <row r="145" spans="4:15"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</row>
    <row r="146" spans="4:15"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</row>
    <row r="147" spans="4:15"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</row>
    <row r="148" spans="4:15"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</row>
    <row r="149" spans="4:15"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</row>
    <row r="150" spans="4:15"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</row>
    <row r="151" spans="4:15"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</row>
    <row r="152" spans="4:15"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</row>
    <row r="153" spans="4:15"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</row>
    <row r="154" spans="4:15">
      <c r="D154" s="264"/>
      <c r="E154" s="264"/>
      <c r="F154" s="264"/>
      <c r="G154" s="264"/>
      <c r="H154" s="264"/>
      <c r="I154" s="264"/>
      <c r="J154" s="264"/>
      <c r="K154" s="264"/>
      <c r="L154" s="264"/>
      <c r="M154" s="264"/>
      <c r="N154" s="264"/>
      <c r="O154" s="264"/>
    </row>
    <row r="155" spans="4:15"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</row>
    <row r="156" spans="4:15"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</row>
    <row r="157" spans="4:15"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</row>
    <row r="158" spans="4:15"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</row>
    <row r="159" spans="4:15"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</row>
    <row r="160" spans="4:15"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</row>
    <row r="161" spans="4:15"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</row>
    <row r="162" spans="4:15"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</row>
    <row r="163" spans="4:15">
      <c r="D163" s="264"/>
      <c r="E163" s="264"/>
      <c r="F163" s="264"/>
      <c r="G163" s="264"/>
      <c r="H163" s="264"/>
      <c r="I163" s="264"/>
      <c r="J163" s="264"/>
      <c r="K163" s="264"/>
      <c r="L163" s="264"/>
      <c r="M163" s="264"/>
      <c r="N163" s="264"/>
      <c r="O163" s="264"/>
    </row>
    <row r="164" spans="4:15"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</row>
    <row r="165" spans="4:15"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</row>
    <row r="166" spans="4:15"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</row>
    <row r="167" spans="4:15"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</row>
    <row r="168" spans="4:15"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</row>
    <row r="169" spans="4:15"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</row>
    <row r="170" spans="4:15"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</row>
    <row r="171" spans="4:15"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</row>
    <row r="172" spans="4:15"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</row>
    <row r="173" spans="4:15"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</row>
    <row r="174" spans="4:15"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</row>
    <row r="175" spans="4:15">
      <c r="D175" s="264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</row>
    <row r="176" spans="4:15"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</row>
    <row r="177" spans="4:15"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</row>
    <row r="178" spans="4:15">
      <c r="D178" s="264"/>
      <c r="E178" s="264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</row>
  </sheetData>
  <autoFilter ref="A2:BK66" xr:uid="{E2C304E1-E954-4068-90F1-5A0FD79444BA}"/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38D15-3820-421F-9CC8-A6A6E5BF8340}">
  <sheetPr codeName="Sheet8">
    <tabColor theme="0" tint="-0.34998626667073579"/>
  </sheetPr>
  <dimension ref="A3:L359"/>
  <sheetViews>
    <sheetView workbookViewId="0">
      <selection activeCell="A5" sqref="A5:XFD359"/>
    </sheetView>
  </sheetViews>
  <sheetFormatPr defaultColWidth="8.85546875" defaultRowHeight="12.75"/>
  <cols>
    <col min="1" max="1" width="8.85546875" style="108"/>
    <col min="2" max="2" width="8.5703125" style="108" bestFit="1" customWidth="1"/>
    <col min="3" max="3" width="12.28515625" style="108" bestFit="1" customWidth="1"/>
    <col min="4" max="4" width="33.5703125" style="108" bestFit="1" customWidth="1"/>
    <col min="5" max="5" width="29.85546875" style="108" bestFit="1" customWidth="1"/>
    <col min="6" max="6" width="10.42578125" style="108" customWidth="1"/>
    <col min="7" max="7" width="15.5703125" style="108" bestFit="1" customWidth="1"/>
    <col min="8" max="8" width="9.85546875" style="109" bestFit="1" customWidth="1"/>
    <col min="9" max="9" width="9.85546875" style="110" bestFit="1" customWidth="1"/>
    <col min="10" max="10" width="8.85546875" style="110" bestFit="1" customWidth="1"/>
    <col min="11" max="11" width="13.42578125" style="108" bestFit="1" customWidth="1"/>
    <col min="12" max="12" width="11.28515625" style="108" bestFit="1" customWidth="1"/>
    <col min="13" max="16384" width="8.85546875" style="108"/>
  </cols>
  <sheetData>
    <row r="3" spans="1:12">
      <c r="A3" s="111" t="s">
        <v>283</v>
      </c>
      <c r="B3" s="111" t="s">
        <v>104</v>
      </c>
      <c r="C3" s="111" t="s">
        <v>284</v>
      </c>
      <c r="D3" s="111" t="s">
        <v>104</v>
      </c>
      <c r="E3" s="111" t="s">
        <v>285</v>
      </c>
      <c r="F3" s="111" t="s">
        <v>104</v>
      </c>
      <c r="G3" s="111" t="s">
        <v>286</v>
      </c>
      <c r="H3" s="112" t="s">
        <v>287</v>
      </c>
      <c r="I3" s="113" t="s">
        <v>104</v>
      </c>
      <c r="J3" s="113" t="s">
        <v>104</v>
      </c>
      <c r="K3" s="111" t="s">
        <v>288</v>
      </c>
      <c r="L3" s="111" t="s">
        <v>289</v>
      </c>
    </row>
    <row r="4" spans="1:12" ht="14.25" customHeight="1">
      <c r="A4" s="114" t="s">
        <v>19</v>
      </c>
      <c r="B4" s="114" t="s">
        <v>19</v>
      </c>
      <c r="C4" s="114" t="s">
        <v>123</v>
      </c>
      <c r="D4" s="114" t="s">
        <v>10</v>
      </c>
      <c r="E4" s="114" t="s">
        <v>10</v>
      </c>
      <c r="F4" s="114" t="s">
        <v>290</v>
      </c>
      <c r="G4" s="114" t="s">
        <v>129</v>
      </c>
      <c r="H4" s="115" t="s">
        <v>291</v>
      </c>
      <c r="I4" s="116" t="s">
        <v>292</v>
      </c>
      <c r="J4" s="116" t="s">
        <v>293</v>
      </c>
      <c r="K4" s="114" t="s">
        <v>123</v>
      </c>
      <c r="L4" s="114" t="s">
        <v>129</v>
      </c>
    </row>
    <row r="5" spans="1:12" s="180" customFormat="1">
      <c r="A5" s="180" t="s">
        <v>294</v>
      </c>
      <c r="B5" s="180" t="s">
        <v>295</v>
      </c>
      <c r="C5" s="180" t="s">
        <v>296</v>
      </c>
      <c r="D5" s="180" t="s">
        <v>297</v>
      </c>
      <c r="E5" s="180" t="s">
        <v>298</v>
      </c>
      <c r="F5" s="180" t="s">
        <v>112</v>
      </c>
      <c r="G5" s="180" t="s">
        <v>112</v>
      </c>
      <c r="H5" s="489">
        <v>11</v>
      </c>
      <c r="I5" s="490">
        <v>0.49828</v>
      </c>
      <c r="J5" s="490"/>
      <c r="L5" s="180" t="s">
        <v>299</v>
      </c>
    </row>
    <row r="6" spans="1:12" s="180" customFormat="1">
      <c r="A6" s="180" t="s">
        <v>294</v>
      </c>
      <c r="B6" s="180" t="s">
        <v>300</v>
      </c>
      <c r="C6" s="180" t="s">
        <v>301</v>
      </c>
      <c r="D6" s="180" t="s">
        <v>302</v>
      </c>
      <c r="E6" s="180" t="s">
        <v>298</v>
      </c>
      <c r="F6" s="180" t="s">
        <v>112</v>
      </c>
      <c r="G6" s="180" t="s">
        <v>112</v>
      </c>
      <c r="H6" s="489">
        <v>11</v>
      </c>
      <c r="I6" s="490">
        <v>0.49828</v>
      </c>
      <c r="J6" s="490"/>
      <c r="L6" s="180" t="s">
        <v>299</v>
      </c>
    </row>
    <row r="7" spans="1:12" s="180" customFormat="1">
      <c r="A7" s="180" t="s">
        <v>294</v>
      </c>
      <c r="B7" s="180" t="s">
        <v>303</v>
      </c>
      <c r="C7" s="180" t="s">
        <v>304</v>
      </c>
      <c r="D7" s="180" t="s">
        <v>305</v>
      </c>
      <c r="E7" s="180" t="s">
        <v>298</v>
      </c>
      <c r="F7" s="180" t="s">
        <v>112</v>
      </c>
      <c r="G7" s="180" t="s">
        <v>112</v>
      </c>
      <c r="H7" s="489">
        <v>11</v>
      </c>
      <c r="I7" s="490">
        <v>0.49828</v>
      </c>
      <c r="J7" s="490"/>
      <c r="L7" s="180" t="s">
        <v>299</v>
      </c>
    </row>
    <row r="8" spans="1:12" s="180" customFormat="1">
      <c r="A8" s="180" t="s">
        <v>294</v>
      </c>
      <c r="B8" s="180" t="s">
        <v>306</v>
      </c>
      <c r="C8" s="180" t="s">
        <v>307</v>
      </c>
      <c r="D8" s="180" t="s">
        <v>308</v>
      </c>
      <c r="E8" s="180" t="s">
        <v>298</v>
      </c>
      <c r="F8" s="180" t="s">
        <v>112</v>
      </c>
      <c r="G8" s="180" t="s">
        <v>112</v>
      </c>
      <c r="H8" s="489">
        <v>11</v>
      </c>
      <c r="I8" s="490">
        <v>0.49828</v>
      </c>
      <c r="J8" s="490"/>
      <c r="L8" s="180" t="s">
        <v>299</v>
      </c>
    </row>
    <row r="9" spans="1:12" s="180" customFormat="1">
      <c r="A9" s="180" t="s">
        <v>294</v>
      </c>
      <c r="B9" s="180" t="s">
        <v>309</v>
      </c>
      <c r="C9" s="180" t="s">
        <v>304</v>
      </c>
      <c r="D9" s="180" t="s">
        <v>310</v>
      </c>
      <c r="E9" s="180" t="s">
        <v>298</v>
      </c>
      <c r="F9" s="180" t="s">
        <v>112</v>
      </c>
      <c r="G9" s="180" t="s">
        <v>112</v>
      </c>
      <c r="H9" s="489">
        <v>11</v>
      </c>
      <c r="I9" s="490">
        <v>0.49828</v>
      </c>
      <c r="J9" s="490"/>
      <c r="L9" s="180" t="s">
        <v>299</v>
      </c>
    </row>
    <row r="10" spans="1:12" s="180" customFormat="1">
      <c r="A10" s="180" t="s">
        <v>294</v>
      </c>
      <c r="B10" s="180" t="s">
        <v>311</v>
      </c>
      <c r="C10" s="180" t="s">
        <v>304</v>
      </c>
      <c r="D10" s="180" t="s">
        <v>312</v>
      </c>
      <c r="E10" s="180" t="s">
        <v>298</v>
      </c>
      <c r="F10" s="180" t="s">
        <v>112</v>
      </c>
      <c r="G10" s="180" t="s">
        <v>112</v>
      </c>
      <c r="H10" s="489">
        <v>11</v>
      </c>
      <c r="I10" s="490">
        <v>0.49828</v>
      </c>
      <c r="J10" s="490"/>
      <c r="L10" s="180" t="s">
        <v>299</v>
      </c>
    </row>
    <row r="11" spans="1:12" s="180" customFormat="1">
      <c r="A11" s="180" t="s">
        <v>294</v>
      </c>
      <c r="B11" s="180" t="s">
        <v>313</v>
      </c>
      <c r="C11" s="180" t="s">
        <v>304</v>
      </c>
      <c r="D11" s="180" t="s">
        <v>314</v>
      </c>
      <c r="E11" s="180" t="s">
        <v>298</v>
      </c>
      <c r="F11" s="180" t="s">
        <v>112</v>
      </c>
      <c r="G11" s="180" t="s">
        <v>112</v>
      </c>
      <c r="H11" s="489">
        <v>11</v>
      </c>
      <c r="I11" s="490">
        <v>0.49828</v>
      </c>
      <c r="J11" s="490"/>
      <c r="L11" s="180" t="s">
        <v>299</v>
      </c>
    </row>
    <row r="12" spans="1:12" s="180" customFormat="1">
      <c r="A12" s="180" t="s">
        <v>294</v>
      </c>
      <c r="B12" s="180" t="s">
        <v>315</v>
      </c>
      <c r="C12" s="180" t="s">
        <v>304</v>
      </c>
      <c r="D12" s="180" t="s">
        <v>316</v>
      </c>
      <c r="E12" s="180" t="s">
        <v>298</v>
      </c>
      <c r="F12" s="180" t="s">
        <v>112</v>
      </c>
      <c r="G12" s="180" t="s">
        <v>112</v>
      </c>
      <c r="H12" s="489">
        <v>11</v>
      </c>
      <c r="I12" s="490">
        <v>0.49828</v>
      </c>
      <c r="J12" s="490"/>
      <c r="L12" s="180" t="s">
        <v>299</v>
      </c>
    </row>
    <row r="13" spans="1:12" s="180" customFormat="1">
      <c r="A13" s="180" t="s">
        <v>294</v>
      </c>
      <c r="B13" s="180" t="s">
        <v>317</v>
      </c>
      <c r="C13" s="180" t="s">
        <v>318</v>
      </c>
      <c r="D13" s="180" t="s">
        <v>319</v>
      </c>
      <c r="E13" s="180" t="s">
        <v>298</v>
      </c>
      <c r="F13" s="180" t="s">
        <v>112</v>
      </c>
      <c r="G13" s="180" t="s">
        <v>112</v>
      </c>
      <c r="H13" s="489">
        <v>11</v>
      </c>
      <c r="I13" s="490">
        <v>0.49828</v>
      </c>
      <c r="J13" s="490"/>
      <c r="L13" s="180" t="s">
        <v>299</v>
      </c>
    </row>
    <row r="14" spans="1:12" s="180" customFormat="1">
      <c r="A14" s="180" t="s">
        <v>294</v>
      </c>
      <c r="B14" s="180" t="s">
        <v>320</v>
      </c>
      <c r="C14" s="180" t="s">
        <v>321</v>
      </c>
      <c r="D14" s="180" t="s">
        <v>322</v>
      </c>
      <c r="E14" s="180" t="s">
        <v>298</v>
      </c>
      <c r="F14" s="180" t="s">
        <v>112</v>
      </c>
      <c r="G14" s="180" t="s">
        <v>112</v>
      </c>
      <c r="H14" s="489">
        <v>11</v>
      </c>
      <c r="I14" s="490">
        <v>0.78</v>
      </c>
      <c r="J14" s="490"/>
      <c r="L14" s="180" t="s">
        <v>299</v>
      </c>
    </row>
    <row r="15" spans="1:12" s="180" customFormat="1">
      <c r="A15" s="180" t="s">
        <v>294</v>
      </c>
      <c r="B15" s="180" t="s">
        <v>323</v>
      </c>
      <c r="C15" s="180" t="s">
        <v>324</v>
      </c>
      <c r="D15" s="180" t="s">
        <v>325</v>
      </c>
      <c r="E15" s="180" t="s">
        <v>298</v>
      </c>
      <c r="F15" s="180" t="s">
        <v>112</v>
      </c>
      <c r="G15" s="180" t="s">
        <v>112</v>
      </c>
      <c r="H15" s="489">
        <v>11</v>
      </c>
      <c r="I15" s="490">
        <v>0.49828</v>
      </c>
      <c r="J15" s="490"/>
      <c r="L15" s="180" t="s">
        <v>299</v>
      </c>
    </row>
    <row r="16" spans="1:12" s="180" customFormat="1">
      <c r="A16" s="180" t="s">
        <v>294</v>
      </c>
      <c r="B16" s="180" t="s">
        <v>326</v>
      </c>
      <c r="C16" s="180" t="s">
        <v>327</v>
      </c>
      <c r="D16" s="180" t="s">
        <v>328</v>
      </c>
      <c r="E16" s="180" t="s">
        <v>298</v>
      </c>
      <c r="F16" s="180" t="s">
        <v>112</v>
      </c>
      <c r="G16" s="180" t="s">
        <v>112</v>
      </c>
      <c r="H16" s="489">
        <v>11</v>
      </c>
      <c r="I16" s="490">
        <v>0.49828</v>
      </c>
      <c r="J16" s="490"/>
      <c r="L16" s="180" t="s">
        <v>299</v>
      </c>
    </row>
    <row r="17" spans="1:12" s="180" customFormat="1">
      <c r="A17" s="180" t="s">
        <v>294</v>
      </c>
      <c r="B17" s="180" t="s">
        <v>329</v>
      </c>
      <c r="C17" s="180" t="s">
        <v>304</v>
      </c>
      <c r="D17" s="180" t="s">
        <v>330</v>
      </c>
      <c r="E17" s="180" t="s">
        <v>298</v>
      </c>
      <c r="F17" s="180" t="s">
        <v>112</v>
      </c>
      <c r="G17" s="180" t="s">
        <v>112</v>
      </c>
      <c r="H17" s="489">
        <v>11</v>
      </c>
      <c r="I17" s="490">
        <v>0.49828</v>
      </c>
      <c r="J17" s="490"/>
      <c r="L17" s="180" t="s">
        <v>299</v>
      </c>
    </row>
    <row r="18" spans="1:12" s="180" customFormat="1">
      <c r="A18" s="180" t="s">
        <v>294</v>
      </c>
      <c r="B18" s="180" t="s">
        <v>331</v>
      </c>
      <c r="C18" s="180" t="s">
        <v>332</v>
      </c>
      <c r="D18" s="180" t="s">
        <v>333</v>
      </c>
      <c r="E18" s="180" t="s">
        <v>298</v>
      </c>
      <c r="F18" s="180" t="s">
        <v>112</v>
      </c>
      <c r="G18" s="180" t="s">
        <v>112</v>
      </c>
      <c r="H18" s="489">
        <v>11</v>
      </c>
      <c r="I18" s="490">
        <v>0.49828</v>
      </c>
      <c r="J18" s="490"/>
      <c r="L18" s="180" t="s">
        <v>299</v>
      </c>
    </row>
    <row r="19" spans="1:12" s="180" customFormat="1">
      <c r="A19" s="180" t="s">
        <v>294</v>
      </c>
      <c r="B19" s="180" t="s">
        <v>334</v>
      </c>
      <c r="C19" s="180" t="s">
        <v>335</v>
      </c>
      <c r="D19" s="180" t="s">
        <v>336</v>
      </c>
      <c r="E19" s="180" t="s">
        <v>298</v>
      </c>
      <c r="F19" s="180" t="s">
        <v>112</v>
      </c>
      <c r="G19" s="180" t="s">
        <v>112</v>
      </c>
      <c r="H19" s="489">
        <v>21.25</v>
      </c>
      <c r="I19" s="490"/>
      <c r="J19" s="490">
        <v>0.51792000000000005</v>
      </c>
    </row>
    <row r="20" spans="1:12" s="180" customFormat="1">
      <c r="A20" s="180" t="s">
        <v>294</v>
      </c>
      <c r="B20" s="180" t="s">
        <v>337</v>
      </c>
      <c r="C20" s="180" t="s">
        <v>338</v>
      </c>
      <c r="D20" s="180" t="s">
        <v>339</v>
      </c>
      <c r="E20" s="180" t="s">
        <v>298</v>
      </c>
      <c r="F20" s="180" t="s">
        <v>112</v>
      </c>
      <c r="G20" s="180" t="s">
        <v>112</v>
      </c>
      <c r="H20" s="489">
        <v>11</v>
      </c>
      <c r="I20" s="490">
        <v>0.49828</v>
      </c>
      <c r="J20" s="490"/>
      <c r="L20" s="180" t="s">
        <v>299</v>
      </c>
    </row>
    <row r="21" spans="1:12" s="180" customFormat="1">
      <c r="A21" s="180" t="s">
        <v>294</v>
      </c>
      <c r="B21" s="180" t="s">
        <v>340</v>
      </c>
      <c r="C21" s="180" t="s">
        <v>304</v>
      </c>
      <c r="D21" s="180" t="s">
        <v>341</v>
      </c>
      <c r="E21" s="180" t="s">
        <v>298</v>
      </c>
      <c r="F21" s="180" t="s">
        <v>112</v>
      </c>
      <c r="G21" s="180" t="s">
        <v>112</v>
      </c>
      <c r="H21" s="489">
        <v>11</v>
      </c>
      <c r="I21" s="490">
        <v>0.49828</v>
      </c>
      <c r="J21" s="490"/>
      <c r="L21" s="180" t="s">
        <v>299</v>
      </c>
    </row>
    <row r="22" spans="1:12" s="180" customFormat="1">
      <c r="A22" s="180" t="s">
        <v>294</v>
      </c>
      <c r="B22" s="180" t="s">
        <v>342</v>
      </c>
      <c r="C22" s="180" t="s">
        <v>343</v>
      </c>
      <c r="D22" s="180" t="s">
        <v>344</v>
      </c>
      <c r="E22" s="180" t="s">
        <v>298</v>
      </c>
      <c r="F22" s="180" t="s">
        <v>112</v>
      </c>
      <c r="G22" s="180" t="s">
        <v>112</v>
      </c>
      <c r="H22" s="489">
        <v>11</v>
      </c>
      <c r="I22" s="490">
        <v>0.49828</v>
      </c>
      <c r="J22" s="490"/>
      <c r="L22" s="180" t="s">
        <v>299</v>
      </c>
    </row>
    <row r="23" spans="1:12" s="180" customFormat="1">
      <c r="A23" s="180" t="s">
        <v>294</v>
      </c>
      <c r="B23" s="180" t="s">
        <v>345</v>
      </c>
      <c r="C23" s="180" t="s">
        <v>304</v>
      </c>
      <c r="D23" s="180" t="s">
        <v>346</v>
      </c>
      <c r="E23" s="180" t="s">
        <v>298</v>
      </c>
      <c r="F23" s="180" t="s">
        <v>112</v>
      </c>
      <c r="G23" s="180" t="s">
        <v>112</v>
      </c>
      <c r="H23" s="489">
        <v>11</v>
      </c>
      <c r="I23" s="490">
        <v>0.49828</v>
      </c>
      <c r="J23" s="490"/>
      <c r="L23" s="180" t="s">
        <v>299</v>
      </c>
    </row>
    <row r="24" spans="1:12" s="180" customFormat="1">
      <c r="A24" s="180" t="s">
        <v>294</v>
      </c>
      <c r="B24" s="180" t="s">
        <v>347</v>
      </c>
      <c r="C24" s="180" t="s">
        <v>348</v>
      </c>
      <c r="D24" s="180" t="s">
        <v>349</v>
      </c>
      <c r="E24" s="180" t="s">
        <v>298</v>
      </c>
      <c r="F24" s="180" t="s">
        <v>112</v>
      </c>
      <c r="G24" s="180" t="s">
        <v>112</v>
      </c>
      <c r="H24" s="489">
        <v>11</v>
      </c>
      <c r="I24" s="490">
        <v>0.49828</v>
      </c>
      <c r="J24" s="490"/>
      <c r="L24" s="180" t="s">
        <v>299</v>
      </c>
    </row>
    <row r="25" spans="1:12" s="180" customFormat="1">
      <c r="A25" s="180" t="s">
        <v>294</v>
      </c>
      <c r="B25" s="180" t="s">
        <v>350</v>
      </c>
      <c r="C25" s="180" t="s">
        <v>351</v>
      </c>
      <c r="D25" s="180" t="s">
        <v>352</v>
      </c>
      <c r="E25" s="180" t="s">
        <v>298</v>
      </c>
      <c r="F25" s="180" t="s">
        <v>112</v>
      </c>
      <c r="G25" s="180" t="s">
        <v>112</v>
      </c>
      <c r="H25" s="489">
        <v>11</v>
      </c>
      <c r="I25" s="490">
        <v>0.49828</v>
      </c>
      <c r="J25" s="490"/>
      <c r="L25" s="180" t="s">
        <v>299</v>
      </c>
    </row>
    <row r="26" spans="1:12" s="180" customFormat="1">
      <c r="A26" s="180" t="s">
        <v>294</v>
      </c>
      <c r="B26" s="180" t="s">
        <v>353</v>
      </c>
      <c r="C26" s="180" t="s">
        <v>304</v>
      </c>
      <c r="D26" s="180" t="s">
        <v>354</v>
      </c>
      <c r="E26" s="180" t="s">
        <v>298</v>
      </c>
      <c r="F26" s="180" t="s">
        <v>112</v>
      </c>
      <c r="G26" s="180" t="s">
        <v>112</v>
      </c>
      <c r="H26" s="489">
        <v>11</v>
      </c>
      <c r="I26" s="490">
        <v>0.49828</v>
      </c>
      <c r="J26" s="490"/>
      <c r="L26" s="180" t="s">
        <v>299</v>
      </c>
    </row>
    <row r="27" spans="1:12" s="180" customFormat="1">
      <c r="A27" s="180" t="s">
        <v>294</v>
      </c>
      <c r="B27" s="180" t="s">
        <v>355</v>
      </c>
      <c r="C27" s="180" t="s">
        <v>356</v>
      </c>
      <c r="D27" s="180" t="s">
        <v>357</v>
      </c>
      <c r="E27" s="180" t="s">
        <v>298</v>
      </c>
      <c r="F27" s="180" t="s">
        <v>112</v>
      </c>
      <c r="G27" s="180" t="s">
        <v>112</v>
      </c>
      <c r="H27" s="489">
        <v>11</v>
      </c>
      <c r="I27" s="490">
        <v>0.49828</v>
      </c>
      <c r="J27" s="490"/>
      <c r="L27" s="180" t="s">
        <v>299</v>
      </c>
    </row>
    <row r="28" spans="1:12" s="180" customFormat="1">
      <c r="A28" s="180" t="s">
        <v>294</v>
      </c>
      <c r="B28" s="180" t="s">
        <v>358</v>
      </c>
      <c r="C28" s="180" t="s">
        <v>351</v>
      </c>
      <c r="D28" s="180" t="s">
        <v>359</v>
      </c>
      <c r="E28" s="180" t="s">
        <v>298</v>
      </c>
      <c r="F28" s="180" t="s">
        <v>112</v>
      </c>
      <c r="G28" s="180" t="s">
        <v>112</v>
      </c>
      <c r="H28" s="489">
        <v>11</v>
      </c>
      <c r="I28" s="490">
        <v>0.49828</v>
      </c>
      <c r="J28" s="490"/>
      <c r="L28" s="180" t="s">
        <v>299</v>
      </c>
    </row>
    <row r="29" spans="1:12" s="180" customFormat="1">
      <c r="A29" s="180" t="s">
        <v>294</v>
      </c>
      <c r="B29" s="180" t="s">
        <v>360</v>
      </c>
      <c r="C29" s="180" t="s">
        <v>361</v>
      </c>
      <c r="D29" s="180" t="s">
        <v>362</v>
      </c>
      <c r="E29" s="180" t="s">
        <v>298</v>
      </c>
      <c r="F29" s="180" t="s">
        <v>112</v>
      </c>
      <c r="G29" s="180" t="s">
        <v>112</v>
      </c>
      <c r="H29" s="489">
        <v>11</v>
      </c>
      <c r="I29" s="490">
        <v>0.49828</v>
      </c>
      <c r="J29" s="490"/>
      <c r="L29" s="180" t="s">
        <v>299</v>
      </c>
    </row>
    <row r="30" spans="1:12" s="180" customFormat="1">
      <c r="A30" s="180" t="s">
        <v>294</v>
      </c>
      <c r="B30" s="180" t="s">
        <v>363</v>
      </c>
      <c r="C30" s="180" t="s">
        <v>304</v>
      </c>
      <c r="D30" s="180" t="s">
        <v>364</v>
      </c>
      <c r="E30" s="180" t="s">
        <v>298</v>
      </c>
      <c r="F30" s="180" t="s">
        <v>112</v>
      </c>
      <c r="G30" s="180" t="s">
        <v>112</v>
      </c>
      <c r="H30" s="489">
        <v>11</v>
      </c>
      <c r="I30" s="490">
        <v>0.49828</v>
      </c>
      <c r="J30" s="490"/>
      <c r="L30" s="180" t="s">
        <v>299</v>
      </c>
    </row>
    <row r="31" spans="1:12" s="180" customFormat="1">
      <c r="A31" s="180" t="s">
        <v>294</v>
      </c>
      <c r="B31" s="180" t="s">
        <v>365</v>
      </c>
      <c r="C31" s="180" t="s">
        <v>366</v>
      </c>
      <c r="D31" s="180" t="s">
        <v>367</v>
      </c>
      <c r="E31" s="180" t="s">
        <v>298</v>
      </c>
      <c r="F31" s="180" t="s">
        <v>112</v>
      </c>
      <c r="G31" s="180" t="s">
        <v>112</v>
      </c>
      <c r="H31" s="489">
        <v>11</v>
      </c>
      <c r="I31" s="490">
        <v>0.49828</v>
      </c>
      <c r="J31" s="490"/>
      <c r="L31" s="180" t="s">
        <v>299</v>
      </c>
    </row>
    <row r="32" spans="1:12" s="180" customFormat="1">
      <c r="A32" s="180" t="s">
        <v>294</v>
      </c>
      <c r="B32" s="180" t="s">
        <v>368</v>
      </c>
      <c r="C32" s="180" t="s">
        <v>304</v>
      </c>
      <c r="D32" s="180" t="s">
        <v>369</v>
      </c>
      <c r="E32" s="180" t="s">
        <v>298</v>
      </c>
      <c r="F32" s="180" t="s">
        <v>112</v>
      </c>
      <c r="G32" s="180" t="s">
        <v>112</v>
      </c>
      <c r="H32" s="489">
        <v>11</v>
      </c>
      <c r="I32" s="490">
        <v>0.49828</v>
      </c>
      <c r="J32" s="490"/>
      <c r="L32" s="180" t="s">
        <v>299</v>
      </c>
    </row>
    <row r="33" spans="1:12" s="180" customFormat="1">
      <c r="A33" s="180" t="s">
        <v>294</v>
      </c>
      <c r="B33" s="180" t="s">
        <v>370</v>
      </c>
      <c r="C33" s="180" t="s">
        <v>371</v>
      </c>
      <c r="D33" s="180" t="s">
        <v>372</v>
      </c>
      <c r="E33" s="180" t="s">
        <v>298</v>
      </c>
      <c r="F33" s="180" t="s">
        <v>112</v>
      </c>
      <c r="G33" s="180" t="s">
        <v>112</v>
      </c>
      <c r="H33" s="489">
        <v>11</v>
      </c>
      <c r="I33" s="490">
        <v>0.49828</v>
      </c>
      <c r="J33" s="490"/>
      <c r="L33" s="180" t="s">
        <v>299</v>
      </c>
    </row>
    <row r="34" spans="1:12" s="180" customFormat="1">
      <c r="A34" s="180" t="s">
        <v>294</v>
      </c>
      <c r="B34" s="180" t="s">
        <v>373</v>
      </c>
      <c r="C34" s="180" t="s">
        <v>374</v>
      </c>
      <c r="D34" s="180" t="s">
        <v>375</v>
      </c>
      <c r="E34" s="180" t="s">
        <v>376</v>
      </c>
      <c r="F34" s="180" t="s">
        <v>377</v>
      </c>
      <c r="G34" s="180" t="s">
        <v>100</v>
      </c>
      <c r="H34" s="489">
        <v>20</v>
      </c>
      <c r="I34" s="490">
        <v>0.39135999999999999</v>
      </c>
      <c r="J34" s="490"/>
      <c r="L34" s="180" t="s">
        <v>299</v>
      </c>
    </row>
    <row r="35" spans="1:12" s="180" customFormat="1">
      <c r="A35" s="180" t="s">
        <v>294</v>
      </c>
      <c r="B35" s="180" t="s">
        <v>378</v>
      </c>
      <c r="C35" s="180" t="s">
        <v>374</v>
      </c>
      <c r="D35" s="180" t="s">
        <v>379</v>
      </c>
      <c r="E35" s="180" t="s">
        <v>298</v>
      </c>
      <c r="F35" s="180" t="s">
        <v>112</v>
      </c>
      <c r="G35" s="180" t="s">
        <v>112</v>
      </c>
      <c r="H35" s="489">
        <v>11</v>
      </c>
      <c r="I35" s="490">
        <v>0.49828</v>
      </c>
      <c r="J35" s="490"/>
      <c r="L35" s="180" t="s">
        <v>299</v>
      </c>
    </row>
    <row r="36" spans="1:12" s="180" customFormat="1">
      <c r="A36" s="180" t="s">
        <v>294</v>
      </c>
      <c r="B36" s="180" t="s">
        <v>380</v>
      </c>
      <c r="C36" s="180" t="s">
        <v>374</v>
      </c>
      <c r="D36" s="180" t="s">
        <v>381</v>
      </c>
      <c r="E36" s="180" t="s">
        <v>382</v>
      </c>
      <c r="F36" s="180" t="s">
        <v>383</v>
      </c>
      <c r="G36" s="180" t="s">
        <v>101</v>
      </c>
      <c r="H36" s="489">
        <v>90</v>
      </c>
      <c r="I36" s="490">
        <v>0.35365999999999997</v>
      </c>
      <c r="J36" s="490"/>
      <c r="L36" s="180" t="s">
        <v>299</v>
      </c>
    </row>
    <row r="37" spans="1:12" s="180" customFormat="1">
      <c r="A37" s="180" t="s">
        <v>294</v>
      </c>
      <c r="B37" s="180" t="s">
        <v>384</v>
      </c>
      <c r="C37" s="180" t="s">
        <v>324</v>
      </c>
      <c r="D37" s="180" t="s">
        <v>325</v>
      </c>
      <c r="E37" s="180" t="s">
        <v>298</v>
      </c>
      <c r="F37" s="180" t="s">
        <v>112</v>
      </c>
      <c r="G37" s="180" t="s">
        <v>112</v>
      </c>
      <c r="H37" s="489">
        <v>11</v>
      </c>
      <c r="I37" s="490">
        <v>0.49828</v>
      </c>
      <c r="J37" s="490"/>
      <c r="L37" s="180" t="s">
        <v>299</v>
      </c>
    </row>
    <row r="38" spans="1:12" s="180" customFormat="1">
      <c r="A38" s="180" t="s">
        <v>294</v>
      </c>
      <c r="B38" s="180" t="s">
        <v>385</v>
      </c>
      <c r="C38" s="180" t="s">
        <v>304</v>
      </c>
      <c r="D38" s="180" t="s">
        <v>386</v>
      </c>
      <c r="E38" s="180" t="s">
        <v>298</v>
      </c>
      <c r="F38" s="180" t="s">
        <v>112</v>
      </c>
      <c r="G38" s="180" t="s">
        <v>112</v>
      </c>
      <c r="H38" s="489">
        <v>11</v>
      </c>
      <c r="I38" s="490">
        <v>0.49828</v>
      </c>
      <c r="J38" s="490"/>
      <c r="L38" s="180" t="s">
        <v>299</v>
      </c>
    </row>
    <row r="39" spans="1:12" s="180" customFormat="1">
      <c r="A39" s="180" t="s">
        <v>294</v>
      </c>
      <c r="B39" s="180" t="s">
        <v>387</v>
      </c>
      <c r="C39" s="180" t="s">
        <v>304</v>
      </c>
      <c r="D39" s="180" t="s">
        <v>388</v>
      </c>
      <c r="E39" s="180" t="s">
        <v>298</v>
      </c>
      <c r="F39" s="180" t="s">
        <v>112</v>
      </c>
      <c r="G39" s="180" t="s">
        <v>112</v>
      </c>
      <c r="H39" s="489">
        <v>11</v>
      </c>
      <c r="I39" s="490">
        <v>0.49828</v>
      </c>
      <c r="J39" s="490"/>
      <c r="L39" s="180" t="s">
        <v>299</v>
      </c>
    </row>
    <row r="40" spans="1:12" s="180" customFormat="1">
      <c r="A40" s="180" t="s">
        <v>294</v>
      </c>
      <c r="B40" s="180" t="s">
        <v>389</v>
      </c>
      <c r="C40" s="180" t="s">
        <v>390</v>
      </c>
      <c r="D40" s="180" t="s">
        <v>391</v>
      </c>
      <c r="E40" s="180" t="s">
        <v>298</v>
      </c>
      <c r="F40" s="180" t="s">
        <v>112</v>
      </c>
      <c r="G40" s="180" t="s">
        <v>112</v>
      </c>
      <c r="H40" s="489">
        <v>11</v>
      </c>
      <c r="I40" s="490">
        <v>0.49828</v>
      </c>
      <c r="J40" s="490"/>
      <c r="L40" s="180" t="s">
        <v>299</v>
      </c>
    </row>
    <row r="41" spans="1:12" s="180" customFormat="1">
      <c r="A41" s="180" t="s">
        <v>294</v>
      </c>
      <c r="B41" s="180" t="s">
        <v>392</v>
      </c>
      <c r="C41" s="180" t="s">
        <v>393</v>
      </c>
      <c r="D41" s="180" t="s">
        <v>394</v>
      </c>
      <c r="E41" s="180" t="s">
        <v>298</v>
      </c>
      <c r="F41" s="180" t="s">
        <v>112</v>
      </c>
      <c r="G41" s="180" t="s">
        <v>112</v>
      </c>
      <c r="H41" s="489">
        <v>11</v>
      </c>
      <c r="I41" s="490">
        <v>0.49828</v>
      </c>
      <c r="J41" s="490"/>
      <c r="L41" s="180" t="s">
        <v>299</v>
      </c>
    </row>
    <row r="42" spans="1:12" s="180" customFormat="1">
      <c r="A42" s="180" t="s">
        <v>294</v>
      </c>
      <c r="B42" s="180" t="s">
        <v>395</v>
      </c>
      <c r="C42" s="180" t="s">
        <v>304</v>
      </c>
      <c r="D42" s="180" t="s">
        <v>396</v>
      </c>
      <c r="E42" s="180" t="s">
        <v>298</v>
      </c>
      <c r="F42" s="180" t="s">
        <v>112</v>
      </c>
      <c r="G42" s="180" t="s">
        <v>112</v>
      </c>
      <c r="H42" s="489">
        <v>11</v>
      </c>
      <c r="I42" s="490">
        <v>0.49828</v>
      </c>
      <c r="J42" s="490"/>
      <c r="L42" s="180" t="s">
        <v>299</v>
      </c>
    </row>
    <row r="43" spans="1:12" s="180" customFormat="1">
      <c r="A43" s="180" t="s">
        <v>294</v>
      </c>
      <c r="B43" s="180" t="s">
        <v>397</v>
      </c>
      <c r="C43" s="180" t="s">
        <v>398</v>
      </c>
      <c r="D43" s="180" t="s">
        <v>399</v>
      </c>
      <c r="E43" s="180" t="s">
        <v>298</v>
      </c>
      <c r="F43" s="180" t="s">
        <v>112</v>
      </c>
      <c r="G43" s="180" t="s">
        <v>112</v>
      </c>
      <c r="H43" s="489">
        <v>11</v>
      </c>
      <c r="I43" s="490">
        <v>0.74222999999999995</v>
      </c>
      <c r="J43" s="490"/>
      <c r="L43" s="180" t="s">
        <v>299</v>
      </c>
    </row>
    <row r="44" spans="1:12" s="180" customFormat="1">
      <c r="A44" s="180" t="s">
        <v>294</v>
      </c>
      <c r="B44" s="180" t="s">
        <v>400</v>
      </c>
      <c r="C44" s="180" t="s">
        <v>304</v>
      </c>
      <c r="D44" s="180" t="s">
        <v>401</v>
      </c>
      <c r="E44" s="180" t="s">
        <v>298</v>
      </c>
      <c r="F44" s="180" t="s">
        <v>112</v>
      </c>
      <c r="G44" s="180" t="s">
        <v>112</v>
      </c>
      <c r="H44" s="489">
        <v>11</v>
      </c>
      <c r="I44" s="490">
        <v>0.49828</v>
      </c>
      <c r="J44" s="490"/>
      <c r="L44" s="180" t="s">
        <v>299</v>
      </c>
    </row>
    <row r="45" spans="1:12" s="180" customFormat="1">
      <c r="A45" s="180" t="s">
        <v>294</v>
      </c>
      <c r="B45" s="180" t="s">
        <v>402</v>
      </c>
      <c r="C45" s="180" t="s">
        <v>304</v>
      </c>
      <c r="D45" s="180" t="s">
        <v>403</v>
      </c>
      <c r="E45" s="180" t="s">
        <v>298</v>
      </c>
      <c r="F45" s="180" t="s">
        <v>112</v>
      </c>
      <c r="G45" s="180" t="s">
        <v>112</v>
      </c>
      <c r="H45" s="489">
        <v>11</v>
      </c>
      <c r="I45" s="490">
        <v>0.49828</v>
      </c>
      <c r="J45" s="490"/>
      <c r="L45" s="180" t="s">
        <v>299</v>
      </c>
    </row>
    <row r="46" spans="1:12" s="180" customFormat="1">
      <c r="A46" s="180" t="s">
        <v>294</v>
      </c>
      <c r="B46" s="180" t="s">
        <v>404</v>
      </c>
      <c r="C46" s="180" t="s">
        <v>324</v>
      </c>
      <c r="D46" s="180" t="s">
        <v>405</v>
      </c>
      <c r="E46" s="180" t="s">
        <v>298</v>
      </c>
      <c r="F46" s="180" t="s">
        <v>112</v>
      </c>
      <c r="G46" s="180" t="s">
        <v>112</v>
      </c>
      <c r="H46" s="489">
        <v>11</v>
      </c>
      <c r="I46" s="490">
        <v>0.49828</v>
      </c>
      <c r="J46" s="490"/>
      <c r="L46" s="180" t="s">
        <v>299</v>
      </c>
    </row>
    <row r="47" spans="1:12" s="180" customFormat="1">
      <c r="A47" s="180" t="s">
        <v>294</v>
      </c>
      <c r="B47" s="180" t="s">
        <v>406</v>
      </c>
      <c r="C47" s="180" t="s">
        <v>324</v>
      </c>
      <c r="D47" s="180" t="s">
        <v>407</v>
      </c>
      <c r="E47" s="180" t="s">
        <v>408</v>
      </c>
      <c r="F47" s="180" t="s">
        <v>377</v>
      </c>
      <c r="G47" s="180" t="s">
        <v>133</v>
      </c>
      <c r="H47" s="489">
        <v>33</v>
      </c>
      <c r="I47" s="490">
        <v>0.39135999999999999</v>
      </c>
      <c r="J47" s="490"/>
      <c r="L47" s="180" t="s">
        <v>299</v>
      </c>
    </row>
    <row r="48" spans="1:12" s="180" customFormat="1">
      <c r="A48" s="180" t="s">
        <v>294</v>
      </c>
      <c r="B48" s="180" t="s">
        <v>409</v>
      </c>
      <c r="C48" s="180" t="s">
        <v>410</v>
      </c>
      <c r="D48" s="180" t="s">
        <v>411</v>
      </c>
      <c r="E48" s="180" t="s">
        <v>412</v>
      </c>
      <c r="F48" s="180" t="s">
        <v>413</v>
      </c>
      <c r="G48" s="180" t="s">
        <v>102</v>
      </c>
      <c r="H48" s="489">
        <v>90</v>
      </c>
      <c r="I48" s="490">
        <v>0.35365999999999997</v>
      </c>
      <c r="J48" s="490"/>
      <c r="L48" s="180" t="s">
        <v>414</v>
      </c>
    </row>
    <row r="49" spans="1:12" s="180" customFormat="1">
      <c r="A49" s="180" t="s">
        <v>294</v>
      </c>
      <c r="B49" s="180" t="s">
        <v>415</v>
      </c>
      <c r="C49" s="180" t="s">
        <v>304</v>
      </c>
      <c r="D49" s="180" t="s">
        <v>416</v>
      </c>
      <c r="E49" s="180" t="s">
        <v>298</v>
      </c>
      <c r="F49" s="180" t="s">
        <v>112</v>
      </c>
      <c r="G49" s="180" t="s">
        <v>112</v>
      </c>
      <c r="H49" s="489">
        <v>11</v>
      </c>
      <c r="I49" s="490">
        <v>0.49828</v>
      </c>
      <c r="J49" s="490"/>
      <c r="L49" s="180" t="s">
        <v>299</v>
      </c>
    </row>
    <row r="50" spans="1:12" s="180" customFormat="1">
      <c r="A50" s="180" t="s">
        <v>294</v>
      </c>
      <c r="B50" s="180" t="s">
        <v>417</v>
      </c>
      <c r="C50" s="180" t="s">
        <v>351</v>
      </c>
      <c r="D50" s="180" t="s">
        <v>418</v>
      </c>
      <c r="E50" s="180" t="s">
        <v>298</v>
      </c>
      <c r="F50" s="180" t="s">
        <v>112</v>
      </c>
      <c r="G50" s="180" t="s">
        <v>112</v>
      </c>
      <c r="H50" s="489">
        <v>11</v>
      </c>
      <c r="I50" s="490">
        <v>0.49828</v>
      </c>
      <c r="J50" s="490"/>
      <c r="L50" s="180" t="s">
        <v>299</v>
      </c>
    </row>
    <row r="51" spans="1:12" s="180" customFormat="1">
      <c r="A51" s="180" t="s">
        <v>294</v>
      </c>
      <c r="B51" s="180" t="s">
        <v>419</v>
      </c>
      <c r="C51" s="180" t="s">
        <v>304</v>
      </c>
      <c r="D51" s="180" t="s">
        <v>420</v>
      </c>
      <c r="E51" s="180" t="s">
        <v>298</v>
      </c>
      <c r="F51" s="180" t="s">
        <v>112</v>
      </c>
      <c r="G51" s="180" t="s">
        <v>112</v>
      </c>
      <c r="H51" s="489">
        <v>11</v>
      </c>
      <c r="I51" s="490">
        <v>0.49828</v>
      </c>
      <c r="J51" s="490"/>
      <c r="L51" s="180" t="s">
        <v>299</v>
      </c>
    </row>
    <row r="52" spans="1:12" s="180" customFormat="1">
      <c r="A52" s="180" t="s">
        <v>294</v>
      </c>
      <c r="B52" s="180" t="s">
        <v>421</v>
      </c>
      <c r="C52" s="180" t="s">
        <v>304</v>
      </c>
      <c r="D52" s="180" t="s">
        <v>422</v>
      </c>
      <c r="E52" s="180" t="s">
        <v>298</v>
      </c>
      <c r="F52" s="180" t="s">
        <v>112</v>
      </c>
      <c r="G52" s="180" t="s">
        <v>112</v>
      </c>
      <c r="H52" s="489">
        <v>11</v>
      </c>
      <c r="I52" s="490">
        <v>0.49828</v>
      </c>
      <c r="J52" s="490"/>
      <c r="L52" s="180" t="s">
        <v>299</v>
      </c>
    </row>
    <row r="53" spans="1:12" s="180" customFormat="1">
      <c r="A53" s="180" t="s">
        <v>294</v>
      </c>
      <c r="B53" s="180" t="s">
        <v>423</v>
      </c>
      <c r="C53" s="180" t="s">
        <v>304</v>
      </c>
      <c r="D53" s="180" t="s">
        <v>424</v>
      </c>
      <c r="E53" s="180" t="s">
        <v>298</v>
      </c>
      <c r="F53" s="180" t="s">
        <v>112</v>
      </c>
      <c r="G53" s="180" t="s">
        <v>112</v>
      </c>
      <c r="H53" s="489">
        <v>11</v>
      </c>
      <c r="I53" s="490">
        <v>0.49828</v>
      </c>
      <c r="J53" s="490"/>
      <c r="L53" s="180" t="s">
        <v>299</v>
      </c>
    </row>
    <row r="54" spans="1:12" s="180" customFormat="1">
      <c r="A54" s="180" t="s">
        <v>294</v>
      </c>
      <c r="B54" s="180" t="s">
        <v>425</v>
      </c>
      <c r="C54" s="180" t="s">
        <v>304</v>
      </c>
      <c r="D54" s="180" t="s">
        <v>426</v>
      </c>
      <c r="E54" s="180" t="s">
        <v>298</v>
      </c>
      <c r="F54" s="180" t="s">
        <v>112</v>
      </c>
      <c r="G54" s="180" t="s">
        <v>112</v>
      </c>
      <c r="H54" s="489">
        <v>11</v>
      </c>
      <c r="I54" s="490">
        <v>0.49828</v>
      </c>
      <c r="J54" s="490"/>
      <c r="L54" s="180" t="s">
        <v>299</v>
      </c>
    </row>
    <row r="55" spans="1:12" s="180" customFormat="1">
      <c r="A55" s="180" t="s">
        <v>294</v>
      </c>
      <c r="B55" s="180" t="s">
        <v>427</v>
      </c>
      <c r="C55" s="180" t="s">
        <v>304</v>
      </c>
      <c r="D55" s="180" t="s">
        <v>428</v>
      </c>
      <c r="E55" s="180" t="s">
        <v>298</v>
      </c>
      <c r="F55" s="180" t="s">
        <v>112</v>
      </c>
      <c r="G55" s="180" t="s">
        <v>112</v>
      </c>
      <c r="H55" s="489">
        <v>11</v>
      </c>
      <c r="I55" s="490">
        <v>0.49828</v>
      </c>
      <c r="J55" s="490"/>
      <c r="L55" s="180" t="s">
        <v>299</v>
      </c>
    </row>
    <row r="56" spans="1:12" s="180" customFormat="1">
      <c r="A56" s="180" t="s">
        <v>294</v>
      </c>
      <c r="B56" s="180" t="s">
        <v>429</v>
      </c>
      <c r="C56" s="180" t="s">
        <v>307</v>
      </c>
      <c r="D56" s="180" t="s">
        <v>308</v>
      </c>
      <c r="E56" s="180" t="s">
        <v>298</v>
      </c>
      <c r="F56" s="180" t="s">
        <v>112</v>
      </c>
      <c r="G56" s="180" t="s">
        <v>112</v>
      </c>
      <c r="H56" s="489">
        <v>11</v>
      </c>
      <c r="I56" s="490">
        <v>0.49828</v>
      </c>
      <c r="J56" s="490"/>
      <c r="L56" s="180" t="s">
        <v>299</v>
      </c>
    </row>
    <row r="57" spans="1:12" s="180" customFormat="1">
      <c r="A57" s="180" t="s">
        <v>294</v>
      </c>
      <c r="B57" s="180" t="s">
        <v>430</v>
      </c>
      <c r="C57" s="180" t="s">
        <v>332</v>
      </c>
      <c r="D57" s="180" t="s">
        <v>431</v>
      </c>
      <c r="E57" s="180" t="s">
        <v>298</v>
      </c>
      <c r="F57" s="180" t="s">
        <v>112</v>
      </c>
      <c r="G57" s="180" t="s">
        <v>112</v>
      </c>
      <c r="H57" s="489">
        <v>11</v>
      </c>
      <c r="I57" s="490">
        <v>0.49828</v>
      </c>
      <c r="J57" s="490"/>
      <c r="L57" s="180" t="s">
        <v>299</v>
      </c>
    </row>
    <row r="58" spans="1:12" s="180" customFormat="1">
      <c r="A58" s="180" t="s">
        <v>294</v>
      </c>
      <c r="B58" s="180" t="s">
        <v>432</v>
      </c>
      <c r="C58" s="180" t="s">
        <v>433</v>
      </c>
      <c r="D58" s="180" t="s">
        <v>434</v>
      </c>
      <c r="E58" s="180" t="s">
        <v>298</v>
      </c>
      <c r="F58" s="180" t="s">
        <v>112</v>
      </c>
      <c r="G58" s="180" t="s">
        <v>112</v>
      </c>
      <c r="H58" s="489">
        <v>11</v>
      </c>
      <c r="I58" s="490">
        <v>0.49828</v>
      </c>
      <c r="J58" s="490"/>
      <c r="L58" s="180" t="s">
        <v>299</v>
      </c>
    </row>
    <row r="59" spans="1:12" s="180" customFormat="1">
      <c r="A59" s="180" t="s">
        <v>294</v>
      </c>
      <c r="B59" s="180" t="s">
        <v>435</v>
      </c>
      <c r="C59" s="180" t="s">
        <v>327</v>
      </c>
      <c r="D59" s="180" t="s">
        <v>436</v>
      </c>
      <c r="E59" s="180" t="s">
        <v>298</v>
      </c>
      <c r="F59" s="180" t="s">
        <v>112</v>
      </c>
      <c r="G59" s="180" t="s">
        <v>112</v>
      </c>
      <c r="H59" s="489">
        <v>11</v>
      </c>
      <c r="I59" s="490">
        <v>0.49828</v>
      </c>
      <c r="J59" s="490"/>
      <c r="L59" s="180" t="s">
        <v>299</v>
      </c>
    </row>
    <row r="60" spans="1:12" s="180" customFormat="1">
      <c r="A60" s="180" t="s">
        <v>294</v>
      </c>
      <c r="B60" s="180" t="s">
        <v>437</v>
      </c>
      <c r="C60" s="180" t="s">
        <v>438</v>
      </c>
      <c r="D60" s="180" t="s">
        <v>439</v>
      </c>
      <c r="E60" s="180" t="s">
        <v>298</v>
      </c>
      <c r="F60" s="180" t="s">
        <v>112</v>
      </c>
      <c r="G60" s="180" t="s">
        <v>112</v>
      </c>
      <c r="H60" s="489">
        <v>11</v>
      </c>
      <c r="I60" s="490">
        <v>0.49828</v>
      </c>
      <c r="J60" s="490"/>
      <c r="L60" s="180" t="s">
        <v>299</v>
      </c>
    </row>
    <row r="61" spans="1:12" s="180" customFormat="1">
      <c r="A61" s="180" t="s">
        <v>294</v>
      </c>
      <c r="B61" s="180" t="s">
        <v>440</v>
      </c>
      <c r="C61" s="180" t="s">
        <v>390</v>
      </c>
      <c r="D61" s="180" t="s">
        <v>441</v>
      </c>
      <c r="E61" s="180" t="s">
        <v>298</v>
      </c>
      <c r="F61" s="180" t="s">
        <v>112</v>
      </c>
      <c r="G61" s="180" t="s">
        <v>112</v>
      </c>
      <c r="H61" s="489">
        <v>11</v>
      </c>
      <c r="I61" s="490">
        <v>0.49828</v>
      </c>
      <c r="J61" s="490"/>
      <c r="L61" s="180" t="s">
        <v>299</v>
      </c>
    </row>
    <row r="62" spans="1:12" s="180" customFormat="1">
      <c r="A62" s="180" t="s">
        <v>294</v>
      </c>
      <c r="B62" s="180" t="s">
        <v>442</v>
      </c>
      <c r="C62" s="180" t="s">
        <v>443</v>
      </c>
      <c r="D62" s="180" t="s">
        <v>308</v>
      </c>
      <c r="E62" s="180" t="s">
        <v>298</v>
      </c>
      <c r="F62" s="180" t="s">
        <v>112</v>
      </c>
      <c r="G62" s="180" t="s">
        <v>112</v>
      </c>
      <c r="H62" s="489">
        <v>11</v>
      </c>
      <c r="I62" s="490">
        <v>0.78</v>
      </c>
      <c r="J62" s="490"/>
      <c r="L62" s="180" t="s">
        <v>299</v>
      </c>
    </row>
    <row r="63" spans="1:12" s="180" customFormat="1">
      <c r="A63" s="180" t="s">
        <v>294</v>
      </c>
      <c r="B63" s="180" t="s">
        <v>444</v>
      </c>
      <c r="C63" s="180" t="s">
        <v>348</v>
      </c>
      <c r="D63" s="180" t="s">
        <v>445</v>
      </c>
      <c r="E63" s="180" t="s">
        <v>298</v>
      </c>
      <c r="F63" s="180" t="s">
        <v>112</v>
      </c>
      <c r="G63" s="180" t="s">
        <v>112</v>
      </c>
      <c r="H63" s="489">
        <v>11</v>
      </c>
      <c r="I63" s="490">
        <v>0.49828</v>
      </c>
      <c r="J63" s="490"/>
      <c r="L63" s="180" t="s">
        <v>299</v>
      </c>
    </row>
    <row r="64" spans="1:12" s="180" customFormat="1">
      <c r="A64" s="180" t="s">
        <v>294</v>
      </c>
      <c r="B64" s="180" t="s">
        <v>446</v>
      </c>
      <c r="C64" s="180" t="s">
        <v>304</v>
      </c>
      <c r="D64" s="180" t="s">
        <v>447</v>
      </c>
      <c r="E64" s="180" t="s">
        <v>298</v>
      </c>
      <c r="F64" s="180" t="s">
        <v>112</v>
      </c>
      <c r="G64" s="180" t="s">
        <v>112</v>
      </c>
      <c r="H64" s="489">
        <v>11</v>
      </c>
      <c r="I64" s="490">
        <v>0.49828</v>
      </c>
      <c r="J64" s="490"/>
      <c r="L64" s="180" t="s">
        <v>299</v>
      </c>
    </row>
    <row r="65" spans="1:12" s="180" customFormat="1">
      <c r="A65" s="180" t="s">
        <v>294</v>
      </c>
      <c r="B65" s="180" t="s">
        <v>448</v>
      </c>
      <c r="C65" s="180" t="s">
        <v>348</v>
      </c>
      <c r="D65" s="180" t="s">
        <v>449</v>
      </c>
      <c r="E65" s="180" t="s">
        <v>298</v>
      </c>
      <c r="F65" s="180" t="s">
        <v>112</v>
      </c>
      <c r="G65" s="180" t="s">
        <v>112</v>
      </c>
      <c r="H65" s="489">
        <v>11</v>
      </c>
      <c r="I65" s="490">
        <v>0.49828</v>
      </c>
      <c r="J65" s="490"/>
      <c r="L65" s="180" t="s">
        <v>299</v>
      </c>
    </row>
    <row r="66" spans="1:12" s="180" customFormat="1">
      <c r="A66" s="180" t="s">
        <v>294</v>
      </c>
      <c r="B66" s="180" t="s">
        <v>450</v>
      </c>
      <c r="C66" s="180" t="s">
        <v>351</v>
      </c>
      <c r="D66" s="180" t="s">
        <v>451</v>
      </c>
      <c r="E66" s="180" t="s">
        <v>298</v>
      </c>
      <c r="F66" s="180" t="s">
        <v>112</v>
      </c>
      <c r="G66" s="180" t="s">
        <v>112</v>
      </c>
      <c r="H66" s="489">
        <v>11</v>
      </c>
      <c r="I66" s="490">
        <v>0.49828</v>
      </c>
      <c r="J66" s="490"/>
      <c r="L66" s="180" t="s">
        <v>299</v>
      </c>
    </row>
    <row r="67" spans="1:12" s="180" customFormat="1">
      <c r="A67" s="180" t="s">
        <v>294</v>
      </c>
      <c r="B67" s="180" t="s">
        <v>452</v>
      </c>
      <c r="C67" s="180" t="s">
        <v>374</v>
      </c>
      <c r="D67" s="180" t="s">
        <v>453</v>
      </c>
      <c r="E67" s="180" t="s">
        <v>298</v>
      </c>
      <c r="F67" s="180" t="s">
        <v>112</v>
      </c>
      <c r="G67" s="180" t="s">
        <v>112</v>
      </c>
      <c r="H67" s="489">
        <v>11</v>
      </c>
      <c r="I67" s="490">
        <v>0.49828</v>
      </c>
      <c r="J67" s="490"/>
      <c r="L67" s="180" t="s">
        <v>299</v>
      </c>
    </row>
    <row r="68" spans="1:12" s="180" customFormat="1">
      <c r="A68" s="180" t="s">
        <v>294</v>
      </c>
      <c r="B68" s="180" t="s">
        <v>454</v>
      </c>
      <c r="C68" s="180" t="s">
        <v>374</v>
      </c>
      <c r="D68" s="180" t="s">
        <v>455</v>
      </c>
      <c r="E68" s="180" t="s">
        <v>298</v>
      </c>
      <c r="F68" s="180" t="s">
        <v>112</v>
      </c>
      <c r="G68" s="180" t="s">
        <v>112</v>
      </c>
      <c r="H68" s="489">
        <v>11</v>
      </c>
      <c r="I68" s="490">
        <v>0.49828</v>
      </c>
      <c r="J68" s="490"/>
      <c r="L68" s="180" t="s">
        <v>299</v>
      </c>
    </row>
    <row r="69" spans="1:12" s="180" customFormat="1">
      <c r="A69" s="180" t="s">
        <v>294</v>
      </c>
      <c r="B69" s="180" t="s">
        <v>456</v>
      </c>
      <c r="C69" s="180" t="s">
        <v>374</v>
      </c>
      <c r="D69" s="180" t="s">
        <v>457</v>
      </c>
      <c r="E69" s="180" t="s">
        <v>376</v>
      </c>
      <c r="F69" s="180" t="s">
        <v>377</v>
      </c>
      <c r="G69" s="180" t="s">
        <v>100</v>
      </c>
      <c r="H69" s="489">
        <v>20</v>
      </c>
      <c r="I69" s="490">
        <v>0.39135999999999999</v>
      </c>
      <c r="J69" s="490"/>
      <c r="L69" s="180" t="s">
        <v>299</v>
      </c>
    </row>
    <row r="70" spans="1:12" s="180" customFormat="1">
      <c r="A70" s="180" t="s">
        <v>294</v>
      </c>
      <c r="B70" s="180" t="s">
        <v>458</v>
      </c>
      <c r="C70" s="180" t="s">
        <v>374</v>
      </c>
      <c r="D70" s="180" t="s">
        <v>453</v>
      </c>
      <c r="E70" s="180" t="s">
        <v>298</v>
      </c>
      <c r="F70" s="180" t="s">
        <v>112</v>
      </c>
      <c r="G70" s="180" t="s">
        <v>112</v>
      </c>
      <c r="H70" s="489">
        <v>11</v>
      </c>
      <c r="I70" s="490">
        <v>0.49828</v>
      </c>
      <c r="J70" s="490"/>
      <c r="L70" s="180" t="s">
        <v>299</v>
      </c>
    </row>
    <row r="71" spans="1:12" s="180" customFormat="1">
      <c r="A71" s="180" t="s">
        <v>294</v>
      </c>
      <c r="B71" s="180" t="s">
        <v>459</v>
      </c>
      <c r="C71" s="180" t="s">
        <v>374</v>
      </c>
      <c r="D71" s="180" t="s">
        <v>460</v>
      </c>
      <c r="E71" s="180" t="s">
        <v>382</v>
      </c>
      <c r="F71" s="180" t="s">
        <v>383</v>
      </c>
      <c r="G71" s="180" t="s">
        <v>101</v>
      </c>
      <c r="H71" s="489">
        <v>90</v>
      </c>
      <c r="I71" s="490">
        <v>0.35365999999999997</v>
      </c>
      <c r="J71" s="490"/>
      <c r="L71" s="180" t="s">
        <v>299</v>
      </c>
    </row>
    <row r="72" spans="1:12" s="180" customFormat="1">
      <c r="A72" s="180" t="s">
        <v>294</v>
      </c>
      <c r="B72" s="180" t="s">
        <v>461</v>
      </c>
      <c r="C72" s="180" t="s">
        <v>462</v>
      </c>
      <c r="D72" s="180" t="s">
        <v>463</v>
      </c>
      <c r="E72" s="180" t="s">
        <v>464</v>
      </c>
      <c r="F72" s="180" t="s">
        <v>465</v>
      </c>
      <c r="G72" s="180" t="s">
        <v>151</v>
      </c>
      <c r="H72" s="489">
        <v>20</v>
      </c>
      <c r="I72" s="490">
        <v>0.39135999999999999</v>
      </c>
      <c r="J72" s="490"/>
      <c r="L72" s="180" t="s">
        <v>299</v>
      </c>
    </row>
    <row r="73" spans="1:12" s="180" customFormat="1">
      <c r="A73" s="180" t="s">
        <v>294</v>
      </c>
      <c r="B73" s="180" t="s">
        <v>466</v>
      </c>
      <c r="C73" s="180" t="s">
        <v>410</v>
      </c>
      <c r="D73" s="180" t="s">
        <v>467</v>
      </c>
      <c r="E73" s="180" t="s">
        <v>412</v>
      </c>
      <c r="F73" s="180" t="s">
        <v>413</v>
      </c>
      <c r="G73" s="180" t="s">
        <v>102</v>
      </c>
      <c r="H73" s="489">
        <v>90</v>
      </c>
      <c r="I73" s="490">
        <v>0.35365999999999997</v>
      </c>
      <c r="J73" s="490"/>
      <c r="L73" s="180" t="s">
        <v>299</v>
      </c>
    </row>
    <row r="74" spans="1:12" s="180" customFormat="1">
      <c r="A74" s="180" t="s">
        <v>294</v>
      </c>
      <c r="B74" s="180" t="s">
        <v>466</v>
      </c>
      <c r="C74" s="180" t="s">
        <v>468</v>
      </c>
      <c r="D74" s="180" t="s">
        <v>467</v>
      </c>
      <c r="E74" s="180" t="s">
        <v>412</v>
      </c>
      <c r="F74" s="180" t="s">
        <v>469</v>
      </c>
      <c r="G74" s="180" t="s">
        <v>102</v>
      </c>
      <c r="H74" s="489">
        <v>45</v>
      </c>
      <c r="I74" s="490">
        <v>0.24883</v>
      </c>
      <c r="J74" s="490"/>
      <c r="L74" s="180" t="s">
        <v>299</v>
      </c>
    </row>
    <row r="75" spans="1:12" s="180" customFormat="1">
      <c r="A75" s="180" t="s">
        <v>294</v>
      </c>
      <c r="B75" s="180" t="s">
        <v>470</v>
      </c>
      <c r="C75" s="180" t="s">
        <v>374</v>
      </c>
      <c r="D75" s="180" t="s">
        <v>471</v>
      </c>
      <c r="E75" s="180" t="s">
        <v>472</v>
      </c>
      <c r="F75" s="180" t="s">
        <v>377</v>
      </c>
      <c r="G75" s="180" t="s">
        <v>473</v>
      </c>
      <c r="H75" s="489">
        <v>35.81</v>
      </c>
      <c r="I75" s="490"/>
      <c r="J75" s="490">
        <v>0.39135999999999999</v>
      </c>
      <c r="L75" s="180" t="s">
        <v>299</v>
      </c>
    </row>
    <row r="76" spans="1:12" s="180" customFormat="1">
      <c r="A76" s="180" t="s">
        <v>294</v>
      </c>
      <c r="B76" s="180" t="s">
        <v>474</v>
      </c>
      <c r="C76" s="180" t="s">
        <v>304</v>
      </c>
      <c r="D76" s="180" t="s">
        <v>475</v>
      </c>
      <c r="E76" s="180" t="s">
        <v>476</v>
      </c>
      <c r="F76" s="180" t="s">
        <v>477</v>
      </c>
      <c r="G76" s="180" t="s">
        <v>143</v>
      </c>
      <c r="H76" s="489">
        <v>100</v>
      </c>
      <c r="I76" s="490">
        <v>0.17111000000000001</v>
      </c>
      <c r="J76" s="490"/>
      <c r="L76" s="180" t="s">
        <v>414</v>
      </c>
    </row>
    <row r="77" spans="1:12" s="180" customFormat="1">
      <c r="A77" s="180" t="s">
        <v>294</v>
      </c>
      <c r="B77" s="180" t="s">
        <v>474</v>
      </c>
      <c r="C77" s="180" t="s">
        <v>478</v>
      </c>
      <c r="D77" s="180" t="s">
        <v>475</v>
      </c>
      <c r="E77" s="180" t="s">
        <v>476</v>
      </c>
      <c r="F77" s="180" t="s">
        <v>477</v>
      </c>
      <c r="G77" s="180" t="s">
        <v>143</v>
      </c>
      <c r="H77" s="489">
        <v>100</v>
      </c>
      <c r="I77" s="490">
        <v>0.17111000000000001</v>
      </c>
      <c r="J77" s="490"/>
      <c r="L77" s="180" t="s">
        <v>414</v>
      </c>
    </row>
    <row r="78" spans="1:12" s="180" customFormat="1">
      <c r="A78" s="180" t="s">
        <v>294</v>
      </c>
      <c r="B78" s="180" t="s">
        <v>479</v>
      </c>
      <c r="C78" s="180" t="s">
        <v>304</v>
      </c>
      <c r="D78" s="180" t="s">
        <v>480</v>
      </c>
      <c r="E78" s="180" t="s">
        <v>481</v>
      </c>
      <c r="F78" s="180">
        <v>11</v>
      </c>
      <c r="G78" s="180" t="s">
        <v>119</v>
      </c>
      <c r="H78" s="489">
        <v>108</v>
      </c>
      <c r="I78" s="490">
        <v>0.24102000000000001</v>
      </c>
      <c r="J78" s="490"/>
      <c r="L78" s="180" t="s">
        <v>414</v>
      </c>
    </row>
    <row r="79" spans="1:12" s="180" customFormat="1">
      <c r="A79" s="180" t="s">
        <v>294</v>
      </c>
      <c r="B79" s="180" t="s">
        <v>479</v>
      </c>
      <c r="C79" s="180" t="s">
        <v>410</v>
      </c>
      <c r="D79" s="180" t="s">
        <v>480</v>
      </c>
      <c r="E79" s="180" t="s">
        <v>481</v>
      </c>
      <c r="F79" s="180">
        <v>11</v>
      </c>
      <c r="G79" s="180" t="s">
        <v>119</v>
      </c>
      <c r="H79" s="489">
        <v>108</v>
      </c>
      <c r="I79" s="490">
        <v>0.24102000000000001</v>
      </c>
      <c r="J79" s="490"/>
      <c r="L79" s="180" t="s">
        <v>414</v>
      </c>
    </row>
    <row r="80" spans="1:12" s="180" customFormat="1">
      <c r="A80" s="180" t="s">
        <v>294</v>
      </c>
      <c r="B80" s="180" t="s">
        <v>482</v>
      </c>
      <c r="C80" s="180" t="s">
        <v>304</v>
      </c>
      <c r="D80" s="180" t="s">
        <v>480</v>
      </c>
      <c r="E80" s="180" t="s">
        <v>481</v>
      </c>
      <c r="F80" s="180">
        <v>11</v>
      </c>
      <c r="G80" s="180" t="s">
        <v>119</v>
      </c>
      <c r="H80" s="489">
        <v>108</v>
      </c>
      <c r="I80" s="490">
        <v>0.24102000000000001</v>
      </c>
      <c r="J80" s="490"/>
      <c r="L80" s="180" t="s">
        <v>414</v>
      </c>
    </row>
    <row r="81" spans="1:12" s="180" customFormat="1">
      <c r="A81" s="180" t="s">
        <v>294</v>
      </c>
      <c r="B81" s="180" t="s">
        <v>482</v>
      </c>
      <c r="C81" s="180" t="s">
        <v>410</v>
      </c>
      <c r="D81" s="180" t="s">
        <v>480</v>
      </c>
      <c r="E81" s="180" t="s">
        <v>481</v>
      </c>
      <c r="F81" s="180">
        <v>11</v>
      </c>
      <c r="G81" s="180" t="s">
        <v>119</v>
      </c>
      <c r="H81" s="489">
        <v>108</v>
      </c>
      <c r="I81" s="490">
        <v>0.24102000000000001</v>
      </c>
      <c r="J81" s="490"/>
      <c r="L81" s="180" t="s">
        <v>414</v>
      </c>
    </row>
    <row r="82" spans="1:12" s="180" customFormat="1">
      <c r="A82" s="180" t="s">
        <v>294</v>
      </c>
      <c r="B82" s="180" t="s">
        <v>483</v>
      </c>
      <c r="C82" s="180" t="s">
        <v>304</v>
      </c>
      <c r="D82" s="180" t="s">
        <v>484</v>
      </c>
      <c r="E82" s="180" t="s">
        <v>485</v>
      </c>
      <c r="F82" s="180">
        <v>11</v>
      </c>
      <c r="G82" s="180" t="s">
        <v>145</v>
      </c>
      <c r="H82" s="489">
        <v>1200</v>
      </c>
      <c r="I82" s="490">
        <v>0.11024</v>
      </c>
      <c r="J82" s="490"/>
      <c r="L82" s="180" t="s">
        <v>414</v>
      </c>
    </row>
    <row r="83" spans="1:12" s="180" customFormat="1">
      <c r="A83" s="180" t="s">
        <v>294</v>
      </c>
      <c r="B83" s="180" t="s">
        <v>483</v>
      </c>
      <c r="C83" s="180" t="s">
        <v>410</v>
      </c>
      <c r="D83" s="180" t="s">
        <v>484</v>
      </c>
      <c r="E83" s="180" t="s">
        <v>485</v>
      </c>
      <c r="F83" s="180">
        <v>11</v>
      </c>
      <c r="G83" s="180" t="s">
        <v>145</v>
      </c>
      <c r="H83" s="489">
        <v>1200</v>
      </c>
      <c r="I83" s="490">
        <v>0.11024</v>
      </c>
      <c r="J83" s="490"/>
      <c r="L83" s="180" t="s">
        <v>414</v>
      </c>
    </row>
    <row r="84" spans="1:12" s="180" customFormat="1">
      <c r="A84" s="180" t="s">
        <v>294</v>
      </c>
      <c r="B84" s="180" t="s">
        <v>486</v>
      </c>
      <c r="C84" s="180" t="s">
        <v>304</v>
      </c>
      <c r="D84" s="180" t="s">
        <v>487</v>
      </c>
      <c r="E84" s="180" t="s">
        <v>488</v>
      </c>
      <c r="F84" s="180">
        <v>11</v>
      </c>
      <c r="G84" s="180" t="s">
        <v>121</v>
      </c>
      <c r="H84" s="489">
        <v>210</v>
      </c>
      <c r="I84" s="490">
        <v>0.189</v>
      </c>
      <c r="J84" s="490"/>
      <c r="L84" s="180" t="s">
        <v>414</v>
      </c>
    </row>
    <row r="85" spans="1:12" s="180" customFormat="1">
      <c r="A85" s="180" t="s">
        <v>294</v>
      </c>
      <c r="B85" s="180" t="s">
        <v>486</v>
      </c>
      <c r="C85" s="180" t="s">
        <v>410</v>
      </c>
      <c r="D85" s="180" t="s">
        <v>487</v>
      </c>
      <c r="E85" s="180" t="s">
        <v>488</v>
      </c>
      <c r="F85" s="180">
        <v>11</v>
      </c>
      <c r="G85" s="180" t="s">
        <v>121</v>
      </c>
      <c r="H85" s="489">
        <v>210</v>
      </c>
      <c r="I85" s="490">
        <v>0.189</v>
      </c>
      <c r="J85" s="490"/>
      <c r="L85" s="180" t="s">
        <v>414</v>
      </c>
    </row>
    <row r="86" spans="1:12" s="180" customFormat="1">
      <c r="A86" s="180" t="s">
        <v>294</v>
      </c>
      <c r="B86" s="180" t="s">
        <v>489</v>
      </c>
      <c r="C86" s="180" t="s">
        <v>304</v>
      </c>
      <c r="D86" s="180" t="s">
        <v>490</v>
      </c>
      <c r="E86" s="180" t="s">
        <v>491</v>
      </c>
      <c r="F86" s="180">
        <v>11</v>
      </c>
      <c r="G86" s="180" t="s">
        <v>142</v>
      </c>
      <c r="H86" s="489">
        <v>380</v>
      </c>
      <c r="I86" s="490">
        <v>0.1658</v>
      </c>
      <c r="J86" s="490"/>
      <c r="L86" s="180" t="s">
        <v>414</v>
      </c>
    </row>
    <row r="87" spans="1:12" s="180" customFormat="1">
      <c r="A87" s="180" t="s">
        <v>294</v>
      </c>
      <c r="B87" s="180" t="s">
        <v>489</v>
      </c>
      <c r="C87" s="180" t="s">
        <v>410</v>
      </c>
      <c r="D87" s="180" t="s">
        <v>490</v>
      </c>
      <c r="E87" s="180" t="s">
        <v>491</v>
      </c>
      <c r="F87" s="180">
        <v>11</v>
      </c>
      <c r="G87" s="180" t="s">
        <v>142</v>
      </c>
      <c r="H87" s="489">
        <v>380</v>
      </c>
      <c r="I87" s="490">
        <v>0.1658</v>
      </c>
      <c r="J87" s="490"/>
      <c r="L87" s="180" t="s">
        <v>414</v>
      </c>
    </row>
    <row r="88" spans="1:12" s="180" customFormat="1">
      <c r="A88" s="180" t="s">
        <v>294</v>
      </c>
      <c r="B88" s="180" t="s">
        <v>492</v>
      </c>
      <c r="C88" s="180" t="s">
        <v>304</v>
      </c>
      <c r="D88" s="180" t="s">
        <v>493</v>
      </c>
      <c r="E88" s="180" t="s">
        <v>494</v>
      </c>
      <c r="F88" s="180">
        <v>11</v>
      </c>
      <c r="G88" s="180" t="s">
        <v>143</v>
      </c>
      <c r="H88" s="489">
        <v>600</v>
      </c>
      <c r="I88" s="490">
        <v>0.15137</v>
      </c>
      <c r="J88" s="490"/>
      <c r="L88" s="180" t="s">
        <v>414</v>
      </c>
    </row>
    <row r="89" spans="1:12" s="180" customFormat="1">
      <c r="A89" s="180" t="s">
        <v>294</v>
      </c>
      <c r="B89" s="180" t="s">
        <v>492</v>
      </c>
      <c r="C89" s="180" t="s">
        <v>410</v>
      </c>
      <c r="D89" s="180" t="s">
        <v>493</v>
      </c>
      <c r="E89" s="180" t="s">
        <v>494</v>
      </c>
      <c r="F89" s="180">
        <v>11</v>
      </c>
      <c r="G89" s="180" t="s">
        <v>143</v>
      </c>
      <c r="H89" s="489">
        <v>600</v>
      </c>
      <c r="I89" s="490">
        <v>0.15137</v>
      </c>
      <c r="J89" s="490"/>
      <c r="L89" s="180" t="s">
        <v>414</v>
      </c>
    </row>
    <row r="90" spans="1:12" s="180" customFormat="1">
      <c r="A90" s="180" t="s">
        <v>294</v>
      </c>
      <c r="B90" s="180" t="s">
        <v>495</v>
      </c>
      <c r="C90" s="180" t="s">
        <v>304</v>
      </c>
      <c r="D90" s="180" t="s">
        <v>496</v>
      </c>
      <c r="E90" s="180" t="s">
        <v>497</v>
      </c>
      <c r="F90" s="180">
        <v>11</v>
      </c>
      <c r="G90" s="180" t="s">
        <v>144</v>
      </c>
      <c r="H90" s="489">
        <v>700</v>
      </c>
      <c r="I90" s="490">
        <v>0.123</v>
      </c>
      <c r="J90" s="490"/>
      <c r="L90" s="180" t="s">
        <v>414</v>
      </c>
    </row>
    <row r="91" spans="1:12" s="180" customFormat="1">
      <c r="A91" s="180" t="s">
        <v>294</v>
      </c>
      <c r="B91" s="180" t="s">
        <v>495</v>
      </c>
      <c r="C91" s="180" t="s">
        <v>410</v>
      </c>
      <c r="D91" s="180" t="s">
        <v>496</v>
      </c>
      <c r="E91" s="180" t="s">
        <v>497</v>
      </c>
      <c r="F91" s="180">
        <v>11</v>
      </c>
      <c r="G91" s="180" t="s">
        <v>144</v>
      </c>
      <c r="H91" s="489">
        <v>700</v>
      </c>
      <c r="I91" s="490">
        <v>0.123</v>
      </c>
      <c r="J91" s="490"/>
      <c r="L91" s="180" t="s">
        <v>414</v>
      </c>
    </row>
    <row r="92" spans="1:12" s="180" customFormat="1">
      <c r="A92" s="180" t="s">
        <v>294</v>
      </c>
      <c r="B92" s="180" t="s">
        <v>498</v>
      </c>
      <c r="C92" s="180" t="s">
        <v>304</v>
      </c>
      <c r="D92" s="180" t="s">
        <v>499</v>
      </c>
      <c r="E92" s="180" t="s">
        <v>500</v>
      </c>
      <c r="F92" s="180">
        <v>11</v>
      </c>
      <c r="G92" s="180" t="s">
        <v>114</v>
      </c>
      <c r="H92" s="489">
        <v>13</v>
      </c>
      <c r="I92" s="490">
        <v>0.46357999999999999</v>
      </c>
      <c r="J92" s="490"/>
      <c r="L92" s="180" t="s">
        <v>414</v>
      </c>
    </row>
    <row r="93" spans="1:12" s="180" customFormat="1">
      <c r="A93" s="180" t="s">
        <v>294</v>
      </c>
      <c r="B93" s="180" t="s">
        <v>498</v>
      </c>
      <c r="C93" s="180" t="s">
        <v>410</v>
      </c>
      <c r="D93" s="180" t="s">
        <v>499</v>
      </c>
      <c r="E93" s="180" t="s">
        <v>500</v>
      </c>
      <c r="F93" s="180">
        <v>11</v>
      </c>
      <c r="G93" s="180" t="s">
        <v>114</v>
      </c>
      <c r="H93" s="489">
        <v>13</v>
      </c>
      <c r="I93" s="490">
        <v>0.46357999999999999</v>
      </c>
      <c r="J93" s="490"/>
      <c r="L93" s="180" t="s">
        <v>414</v>
      </c>
    </row>
    <row r="94" spans="1:12" s="180" customFormat="1">
      <c r="A94" s="180" t="s">
        <v>294</v>
      </c>
      <c r="B94" s="180" t="s">
        <v>501</v>
      </c>
      <c r="C94" s="180" t="s">
        <v>502</v>
      </c>
      <c r="D94" s="180" t="s">
        <v>503</v>
      </c>
      <c r="E94" s="180" t="s">
        <v>504</v>
      </c>
      <c r="F94" s="180">
        <v>11</v>
      </c>
      <c r="G94" s="180" t="s">
        <v>114</v>
      </c>
      <c r="H94" s="489">
        <v>17</v>
      </c>
      <c r="I94" s="490"/>
      <c r="J94" s="490"/>
      <c r="L94" s="180" t="s">
        <v>505</v>
      </c>
    </row>
    <row r="95" spans="1:12" s="180" customFormat="1">
      <c r="A95" s="180" t="s">
        <v>294</v>
      </c>
      <c r="B95" s="180" t="s">
        <v>501</v>
      </c>
      <c r="C95" s="180" t="s">
        <v>410</v>
      </c>
      <c r="D95" s="180" t="s">
        <v>503</v>
      </c>
      <c r="E95" s="180" t="s">
        <v>504</v>
      </c>
      <c r="F95" s="180">
        <v>11</v>
      </c>
      <c r="G95" s="180" t="s">
        <v>114</v>
      </c>
      <c r="H95" s="489">
        <v>17</v>
      </c>
      <c r="I95" s="490"/>
      <c r="J95" s="490"/>
      <c r="L95" s="180" t="s">
        <v>505</v>
      </c>
    </row>
    <row r="96" spans="1:12" s="180" customFormat="1">
      <c r="A96" s="180" t="s">
        <v>294</v>
      </c>
      <c r="B96" s="180" t="s">
        <v>506</v>
      </c>
      <c r="C96" s="180" t="s">
        <v>304</v>
      </c>
      <c r="D96" s="180" t="s">
        <v>507</v>
      </c>
      <c r="E96" s="180" t="s">
        <v>508</v>
      </c>
      <c r="F96" s="180">
        <v>11</v>
      </c>
      <c r="G96" s="180" t="s">
        <v>115</v>
      </c>
      <c r="H96" s="489">
        <v>15.5</v>
      </c>
      <c r="I96" s="490">
        <v>0.49286000000000002</v>
      </c>
      <c r="J96" s="490"/>
      <c r="L96" s="180" t="s">
        <v>414</v>
      </c>
    </row>
    <row r="97" spans="1:12" s="180" customFormat="1">
      <c r="A97" s="180" t="s">
        <v>294</v>
      </c>
      <c r="B97" s="180" t="s">
        <v>506</v>
      </c>
      <c r="C97" s="180" t="s">
        <v>410</v>
      </c>
      <c r="D97" s="180" t="s">
        <v>507</v>
      </c>
      <c r="E97" s="180" t="s">
        <v>508</v>
      </c>
      <c r="F97" s="180">
        <v>11</v>
      </c>
      <c r="G97" s="180" t="s">
        <v>115</v>
      </c>
      <c r="H97" s="489">
        <v>15.5</v>
      </c>
      <c r="I97" s="490">
        <v>0.49286000000000002</v>
      </c>
      <c r="J97" s="490"/>
      <c r="L97" s="180" t="s">
        <v>414</v>
      </c>
    </row>
    <row r="98" spans="1:12" s="180" customFormat="1">
      <c r="A98" s="180" t="s">
        <v>294</v>
      </c>
      <c r="B98" s="180" t="s">
        <v>509</v>
      </c>
      <c r="C98" s="180" t="s">
        <v>304</v>
      </c>
      <c r="D98" s="180" t="s">
        <v>510</v>
      </c>
      <c r="E98" s="180" t="s">
        <v>511</v>
      </c>
      <c r="F98" s="180">
        <v>11</v>
      </c>
      <c r="G98" s="180" t="s">
        <v>116</v>
      </c>
      <c r="H98" s="489">
        <v>19</v>
      </c>
      <c r="I98" s="490">
        <v>0.46310000000000001</v>
      </c>
      <c r="J98" s="490"/>
      <c r="L98" s="180" t="s">
        <v>414</v>
      </c>
    </row>
    <row r="99" spans="1:12" s="180" customFormat="1">
      <c r="A99" s="180" t="s">
        <v>294</v>
      </c>
      <c r="B99" s="180" t="s">
        <v>509</v>
      </c>
      <c r="C99" s="180" t="s">
        <v>410</v>
      </c>
      <c r="D99" s="180" t="s">
        <v>510</v>
      </c>
      <c r="E99" s="180" t="s">
        <v>511</v>
      </c>
      <c r="F99" s="180">
        <v>11</v>
      </c>
      <c r="G99" s="180" t="s">
        <v>116</v>
      </c>
      <c r="H99" s="489">
        <v>19</v>
      </c>
      <c r="I99" s="490">
        <v>0.46310000000000001</v>
      </c>
      <c r="J99" s="490"/>
      <c r="L99" s="180" t="s">
        <v>414</v>
      </c>
    </row>
    <row r="100" spans="1:12" s="180" customFormat="1">
      <c r="A100" s="180" t="s">
        <v>294</v>
      </c>
      <c r="B100" s="180" t="s">
        <v>512</v>
      </c>
      <c r="C100" s="180" t="s">
        <v>502</v>
      </c>
      <c r="D100" s="180" t="s">
        <v>513</v>
      </c>
      <c r="E100" s="180" t="s">
        <v>514</v>
      </c>
      <c r="F100" s="180">
        <v>11</v>
      </c>
      <c r="G100" s="180" t="s">
        <v>115</v>
      </c>
      <c r="H100" s="489">
        <v>23</v>
      </c>
      <c r="I100" s="490"/>
      <c r="J100" s="490"/>
      <c r="L100" s="180" t="s">
        <v>505</v>
      </c>
    </row>
    <row r="101" spans="1:12" s="180" customFormat="1">
      <c r="A101" s="180" t="s">
        <v>294</v>
      </c>
      <c r="B101" s="180" t="s">
        <v>512</v>
      </c>
      <c r="C101" s="180" t="s">
        <v>410</v>
      </c>
      <c r="D101" s="180" t="s">
        <v>513</v>
      </c>
      <c r="E101" s="180" t="s">
        <v>514</v>
      </c>
      <c r="F101" s="180">
        <v>11</v>
      </c>
      <c r="G101" s="180" t="s">
        <v>115</v>
      </c>
      <c r="H101" s="489">
        <v>23</v>
      </c>
      <c r="I101" s="490"/>
      <c r="J101" s="490"/>
      <c r="L101" s="180" t="s">
        <v>505</v>
      </c>
    </row>
    <row r="102" spans="1:12" s="180" customFormat="1">
      <c r="A102" s="180" t="s">
        <v>294</v>
      </c>
      <c r="B102" s="180" t="s">
        <v>515</v>
      </c>
      <c r="C102" s="180" t="s">
        <v>502</v>
      </c>
      <c r="D102" s="180" t="s">
        <v>516</v>
      </c>
      <c r="E102" s="180" t="s">
        <v>517</v>
      </c>
      <c r="F102" s="180">
        <v>11</v>
      </c>
      <c r="G102" s="180" t="s">
        <v>116</v>
      </c>
      <c r="H102" s="489">
        <v>29</v>
      </c>
      <c r="I102" s="490"/>
      <c r="J102" s="490"/>
      <c r="L102" s="180" t="s">
        <v>505</v>
      </c>
    </row>
    <row r="103" spans="1:12" s="180" customFormat="1">
      <c r="A103" s="180" t="s">
        <v>294</v>
      </c>
      <c r="B103" s="180" t="s">
        <v>515</v>
      </c>
      <c r="C103" s="180" t="s">
        <v>410</v>
      </c>
      <c r="D103" s="180" t="s">
        <v>516</v>
      </c>
      <c r="E103" s="180" t="s">
        <v>517</v>
      </c>
      <c r="F103" s="180">
        <v>11</v>
      </c>
      <c r="G103" s="180" t="s">
        <v>116</v>
      </c>
      <c r="H103" s="489">
        <v>29</v>
      </c>
      <c r="I103" s="490"/>
      <c r="J103" s="490"/>
      <c r="L103" s="180" t="s">
        <v>505</v>
      </c>
    </row>
    <row r="104" spans="1:12" s="180" customFormat="1">
      <c r="A104" s="180" t="s">
        <v>294</v>
      </c>
      <c r="B104" s="180" t="s">
        <v>518</v>
      </c>
      <c r="C104" s="180" t="s">
        <v>304</v>
      </c>
      <c r="D104" s="180" t="s">
        <v>519</v>
      </c>
      <c r="E104" s="180" t="s">
        <v>520</v>
      </c>
      <c r="F104" s="180">
        <v>11</v>
      </c>
      <c r="G104" s="180" t="s">
        <v>117</v>
      </c>
      <c r="H104" s="489">
        <v>34</v>
      </c>
      <c r="I104" s="490">
        <v>0.3196</v>
      </c>
      <c r="J104" s="490"/>
      <c r="L104" s="180" t="s">
        <v>414</v>
      </c>
    </row>
    <row r="105" spans="1:12" s="180" customFormat="1">
      <c r="A105" s="180" t="s">
        <v>294</v>
      </c>
      <c r="B105" s="180" t="s">
        <v>518</v>
      </c>
      <c r="C105" s="180" t="s">
        <v>410</v>
      </c>
      <c r="D105" s="180" t="s">
        <v>519</v>
      </c>
      <c r="E105" s="180" t="s">
        <v>520</v>
      </c>
      <c r="F105" s="180">
        <v>11</v>
      </c>
      <c r="G105" s="180" t="s">
        <v>117</v>
      </c>
      <c r="H105" s="489">
        <v>34</v>
      </c>
      <c r="I105" s="490">
        <v>0.3196</v>
      </c>
      <c r="J105" s="490"/>
      <c r="L105" s="180" t="s">
        <v>414</v>
      </c>
    </row>
    <row r="106" spans="1:12" s="180" customFormat="1">
      <c r="A106" s="180" t="s">
        <v>294</v>
      </c>
      <c r="B106" s="180" t="s">
        <v>521</v>
      </c>
      <c r="C106" s="180" t="s">
        <v>304</v>
      </c>
      <c r="D106" s="180" t="s">
        <v>522</v>
      </c>
      <c r="E106" s="180" t="s">
        <v>523</v>
      </c>
      <c r="F106" s="180">
        <v>11</v>
      </c>
      <c r="G106" s="180" t="s">
        <v>524</v>
      </c>
      <c r="H106" s="489">
        <v>40</v>
      </c>
      <c r="I106" s="490">
        <v>0.30826999999999999</v>
      </c>
      <c r="J106" s="490"/>
      <c r="L106" s="180" t="s">
        <v>414</v>
      </c>
    </row>
    <row r="107" spans="1:12" s="180" customFormat="1">
      <c r="A107" s="180" t="s">
        <v>294</v>
      </c>
      <c r="B107" s="180" t="s">
        <v>521</v>
      </c>
      <c r="C107" s="180" t="s">
        <v>410</v>
      </c>
      <c r="D107" s="180" t="s">
        <v>522</v>
      </c>
      <c r="E107" s="180" t="s">
        <v>523</v>
      </c>
      <c r="F107" s="180">
        <v>11</v>
      </c>
      <c r="G107" s="180" t="s">
        <v>524</v>
      </c>
      <c r="H107" s="489">
        <v>40</v>
      </c>
      <c r="I107" s="490">
        <v>0.30826999999999999</v>
      </c>
      <c r="J107" s="490"/>
      <c r="L107" s="180" t="s">
        <v>414</v>
      </c>
    </row>
    <row r="108" spans="1:12" s="180" customFormat="1">
      <c r="A108" s="180" t="s">
        <v>294</v>
      </c>
      <c r="B108" s="180" t="s">
        <v>525</v>
      </c>
      <c r="C108" s="180" t="s">
        <v>502</v>
      </c>
      <c r="D108" s="180" t="s">
        <v>526</v>
      </c>
      <c r="E108" s="180" t="s">
        <v>527</v>
      </c>
      <c r="F108" s="180">
        <v>11</v>
      </c>
      <c r="G108" s="180" t="s">
        <v>117</v>
      </c>
      <c r="H108" s="489">
        <v>48</v>
      </c>
      <c r="I108" s="490"/>
      <c r="J108" s="490"/>
      <c r="L108" s="180" t="s">
        <v>505</v>
      </c>
    </row>
    <row r="109" spans="1:12" s="180" customFormat="1">
      <c r="A109" s="180" t="s">
        <v>294</v>
      </c>
      <c r="B109" s="180" t="s">
        <v>525</v>
      </c>
      <c r="C109" s="180" t="s">
        <v>410</v>
      </c>
      <c r="D109" s="180" t="s">
        <v>526</v>
      </c>
      <c r="E109" s="180" t="s">
        <v>527</v>
      </c>
      <c r="F109" s="180">
        <v>11</v>
      </c>
      <c r="G109" s="180" t="s">
        <v>117</v>
      </c>
      <c r="H109" s="489">
        <v>48</v>
      </c>
      <c r="I109" s="490"/>
      <c r="J109" s="490"/>
      <c r="L109" s="180" t="s">
        <v>505</v>
      </c>
    </row>
    <row r="110" spans="1:12" s="180" customFormat="1">
      <c r="A110" s="180" t="s">
        <v>294</v>
      </c>
      <c r="B110" s="180" t="s">
        <v>528</v>
      </c>
      <c r="C110" s="180" t="s">
        <v>304</v>
      </c>
      <c r="D110" s="180" t="s">
        <v>529</v>
      </c>
      <c r="E110" s="180" t="s">
        <v>530</v>
      </c>
      <c r="F110" s="180">
        <v>11</v>
      </c>
      <c r="G110" s="180" t="s">
        <v>531</v>
      </c>
      <c r="H110" s="489">
        <v>134</v>
      </c>
      <c r="I110" s="490">
        <v>0.20383000000000001</v>
      </c>
      <c r="J110" s="490"/>
      <c r="L110" s="180" t="s">
        <v>414</v>
      </c>
    </row>
    <row r="111" spans="1:12" s="180" customFormat="1">
      <c r="A111" s="180" t="s">
        <v>294</v>
      </c>
      <c r="B111" s="180" t="s">
        <v>528</v>
      </c>
      <c r="C111" s="180" t="s">
        <v>410</v>
      </c>
      <c r="D111" s="180" t="s">
        <v>529</v>
      </c>
      <c r="E111" s="180" t="s">
        <v>530</v>
      </c>
      <c r="F111" s="180">
        <v>11</v>
      </c>
      <c r="G111" s="180" t="s">
        <v>531</v>
      </c>
      <c r="H111" s="489">
        <v>134</v>
      </c>
      <c r="I111" s="490">
        <v>0.20383000000000001</v>
      </c>
      <c r="J111" s="490"/>
      <c r="L111" s="180" t="s">
        <v>414</v>
      </c>
    </row>
    <row r="112" spans="1:12" s="180" customFormat="1">
      <c r="A112" s="180" t="s">
        <v>294</v>
      </c>
      <c r="B112" s="180" t="s">
        <v>532</v>
      </c>
      <c r="C112" s="180" t="s">
        <v>502</v>
      </c>
      <c r="D112" s="180" t="s">
        <v>533</v>
      </c>
      <c r="E112" s="180" t="s">
        <v>534</v>
      </c>
      <c r="F112" s="180">
        <v>11</v>
      </c>
      <c r="G112" s="180" t="s">
        <v>531</v>
      </c>
      <c r="H112" s="489">
        <v>263</v>
      </c>
      <c r="I112" s="490"/>
      <c r="J112" s="490"/>
      <c r="L112" s="180" t="s">
        <v>505</v>
      </c>
    </row>
    <row r="113" spans="1:12" s="180" customFormat="1">
      <c r="A113" s="180" t="s">
        <v>294</v>
      </c>
      <c r="B113" s="180" t="s">
        <v>532</v>
      </c>
      <c r="C113" s="180" t="s">
        <v>410</v>
      </c>
      <c r="D113" s="180" t="s">
        <v>533</v>
      </c>
      <c r="E113" s="180" t="s">
        <v>534</v>
      </c>
      <c r="F113" s="180">
        <v>11</v>
      </c>
      <c r="G113" s="180" t="s">
        <v>531</v>
      </c>
      <c r="H113" s="489">
        <v>263</v>
      </c>
      <c r="I113" s="490"/>
      <c r="J113" s="490"/>
      <c r="L113" s="180" t="s">
        <v>505</v>
      </c>
    </row>
    <row r="114" spans="1:12" s="180" customFormat="1">
      <c r="A114" s="180" t="s">
        <v>294</v>
      </c>
      <c r="B114" s="180" t="s">
        <v>535</v>
      </c>
      <c r="C114" s="180" t="s">
        <v>502</v>
      </c>
      <c r="D114" s="180" t="s">
        <v>536</v>
      </c>
      <c r="E114" s="180" t="s">
        <v>537</v>
      </c>
      <c r="F114" s="180">
        <v>11</v>
      </c>
      <c r="G114" s="180" t="s">
        <v>524</v>
      </c>
      <c r="H114" s="489">
        <v>87</v>
      </c>
      <c r="I114" s="490"/>
      <c r="J114" s="490"/>
      <c r="L114" s="180" t="s">
        <v>505</v>
      </c>
    </row>
    <row r="115" spans="1:12" s="180" customFormat="1">
      <c r="A115" s="180" t="s">
        <v>294</v>
      </c>
      <c r="B115" s="180" t="s">
        <v>535</v>
      </c>
      <c r="C115" s="180" t="s">
        <v>410</v>
      </c>
      <c r="D115" s="180" t="s">
        <v>536</v>
      </c>
      <c r="E115" s="180" t="s">
        <v>537</v>
      </c>
      <c r="F115" s="180">
        <v>11</v>
      </c>
      <c r="G115" s="180" t="s">
        <v>524</v>
      </c>
      <c r="H115" s="489">
        <v>87</v>
      </c>
      <c r="I115" s="490"/>
      <c r="J115" s="490"/>
      <c r="L115" s="180" t="s">
        <v>505</v>
      </c>
    </row>
    <row r="116" spans="1:12" s="180" customFormat="1">
      <c r="A116" s="180" t="s">
        <v>294</v>
      </c>
      <c r="B116" s="180" t="s">
        <v>538</v>
      </c>
      <c r="C116" s="180" t="s">
        <v>502</v>
      </c>
      <c r="D116" s="180" t="s">
        <v>539</v>
      </c>
      <c r="E116" s="180" t="s">
        <v>540</v>
      </c>
      <c r="F116" s="180">
        <v>11</v>
      </c>
      <c r="G116" s="180" t="s">
        <v>119</v>
      </c>
      <c r="H116" s="489">
        <v>162</v>
      </c>
      <c r="I116" s="490"/>
      <c r="J116" s="490"/>
      <c r="L116" s="180" t="s">
        <v>505</v>
      </c>
    </row>
    <row r="117" spans="1:12" s="180" customFormat="1">
      <c r="A117" s="180" t="s">
        <v>294</v>
      </c>
      <c r="B117" s="180" t="s">
        <v>538</v>
      </c>
      <c r="C117" s="180" t="s">
        <v>410</v>
      </c>
      <c r="D117" s="180" t="s">
        <v>539</v>
      </c>
      <c r="E117" s="180" t="s">
        <v>540</v>
      </c>
      <c r="F117" s="180">
        <v>11</v>
      </c>
      <c r="G117" s="180" t="s">
        <v>119</v>
      </c>
      <c r="H117" s="489">
        <v>162</v>
      </c>
      <c r="I117" s="490"/>
      <c r="J117" s="490"/>
      <c r="L117" s="180" t="s">
        <v>505</v>
      </c>
    </row>
    <row r="118" spans="1:12" s="180" customFormat="1">
      <c r="A118" s="180" t="s">
        <v>294</v>
      </c>
      <c r="B118" s="180" t="s">
        <v>541</v>
      </c>
      <c r="C118" s="180" t="s">
        <v>304</v>
      </c>
      <c r="D118" s="180" t="s">
        <v>542</v>
      </c>
      <c r="E118" s="180" t="s">
        <v>543</v>
      </c>
      <c r="F118" s="180">
        <v>11</v>
      </c>
      <c r="G118" s="180" t="s">
        <v>146</v>
      </c>
      <c r="H118" s="489">
        <v>2000</v>
      </c>
      <c r="I118" s="490">
        <v>9.1329999999999995E-2</v>
      </c>
      <c r="J118" s="490"/>
      <c r="L118" s="180" t="s">
        <v>414</v>
      </c>
    </row>
    <row r="119" spans="1:12" s="180" customFormat="1">
      <c r="A119" s="180" t="s">
        <v>294</v>
      </c>
      <c r="B119" s="180" t="s">
        <v>541</v>
      </c>
      <c r="C119" s="180" t="s">
        <v>410</v>
      </c>
      <c r="D119" s="180" t="s">
        <v>542</v>
      </c>
      <c r="E119" s="180" t="s">
        <v>543</v>
      </c>
      <c r="F119" s="180">
        <v>11</v>
      </c>
      <c r="G119" s="180" t="s">
        <v>146</v>
      </c>
      <c r="H119" s="489">
        <v>2000</v>
      </c>
      <c r="I119" s="490">
        <v>9.1329999999999995E-2</v>
      </c>
      <c r="J119" s="490"/>
      <c r="L119" s="180" t="s">
        <v>414</v>
      </c>
    </row>
    <row r="120" spans="1:12" s="180" customFormat="1">
      <c r="A120" s="180" t="s">
        <v>294</v>
      </c>
      <c r="B120" s="180" t="s">
        <v>544</v>
      </c>
      <c r="C120" s="180" t="s">
        <v>304</v>
      </c>
      <c r="D120" s="180" t="s">
        <v>545</v>
      </c>
      <c r="E120" s="180" t="s">
        <v>546</v>
      </c>
      <c r="F120" s="180">
        <v>11</v>
      </c>
      <c r="G120" s="180" t="s">
        <v>547</v>
      </c>
      <c r="H120" s="489">
        <v>3000</v>
      </c>
      <c r="I120" s="490">
        <v>8.3180000000000004E-2</v>
      </c>
      <c r="J120" s="490"/>
      <c r="L120" s="180" t="s">
        <v>414</v>
      </c>
    </row>
    <row r="121" spans="1:12" s="180" customFormat="1">
      <c r="A121" s="180" t="s">
        <v>294</v>
      </c>
      <c r="B121" s="180" t="s">
        <v>544</v>
      </c>
      <c r="C121" s="180" t="s">
        <v>410</v>
      </c>
      <c r="D121" s="180" t="s">
        <v>545</v>
      </c>
      <c r="E121" s="180" t="s">
        <v>546</v>
      </c>
      <c r="F121" s="180">
        <v>11</v>
      </c>
      <c r="G121" s="180" t="s">
        <v>547</v>
      </c>
      <c r="H121" s="489">
        <v>3000</v>
      </c>
      <c r="I121" s="490">
        <v>8.3180000000000004E-2</v>
      </c>
      <c r="J121" s="490"/>
      <c r="L121" s="180" t="s">
        <v>414</v>
      </c>
    </row>
    <row r="122" spans="1:12" s="180" customFormat="1">
      <c r="A122" s="180" t="s">
        <v>294</v>
      </c>
      <c r="B122" s="180" t="s">
        <v>548</v>
      </c>
      <c r="C122" s="180" t="s">
        <v>549</v>
      </c>
      <c r="D122" s="180" t="s">
        <v>550</v>
      </c>
      <c r="E122" s="180" t="s">
        <v>17</v>
      </c>
      <c r="F122" s="180">
        <v>11</v>
      </c>
      <c r="G122" s="180" t="s">
        <v>551</v>
      </c>
      <c r="H122" s="489"/>
      <c r="I122" s="490"/>
      <c r="J122" s="490"/>
    </row>
    <row r="123" spans="1:12" s="180" customFormat="1">
      <c r="A123" s="180" t="s">
        <v>294</v>
      </c>
      <c r="B123" s="180" t="s">
        <v>552</v>
      </c>
      <c r="C123" s="180" t="s">
        <v>374</v>
      </c>
      <c r="D123" s="180" t="s">
        <v>553</v>
      </c>
      <c r="E123" s="180" t="s">
        <v>472</v>
      </c>
      <c r="F123" s="180" t="s">
        <v>554</v>
      </c>
      <c r="G123" s="180" t="s">
        <v>473</v>
      </c>
      <c r="H123" s="489">
        <v>35.81</v>
      </c>
      <c r="I123" s="490"/>
      <c r="J123" s="490">
        <v>0.39135999999999999</v>
      </c>
      <c r="L123" s="180" t="s">
        <v>414</v>
      </c>
    </row>
    <row r="124" spans="1:12" s="180" customFormat="1">
      <c r="A124" s="180" t="s">
        <v>294</v>
      </c>
      <c r="B124" s="180" t="s">
        <v>555</v>
      </c>
      <c r="C124" s="180" t="s">
        <v>304</v>
      </c>
      <c r="D124" s="180" t="s">
        <v>556</v>
      </c>
      <c r="E124" s="180" t="s">
        <v>557</v>
      </c>
      <c r="F124" s="180">
        <v>12</v>
      </c>
      <c r="G124" s="180" t="s">
        <v>558</v>
      </c>
      <c r="H124" s="489"/>
      <c r="I124" s="490"/>
      <c r="J124" s="490"/>
      <c r="L124" s="180" t="s">
        <v>559</v>
      </c>
    </row>
    <row r="125" spans="1:12" s="180" customFormat="1">
      <c r="A125" s="180" t="s">
        <v>294</v>
      </c>
      <c r="B125" s="180" t="s">
        <v>560</v>
      </c>
      <c r="C125" s="180" t="s">
        <v>304</v>
      </c>
      <c r="D125" s="180" t="s">
        <v>561</v>
      </c>
      <c r="E125" s="180" t="s">
        <v>562</v>
      </c>
      <c r="F125" s="180">
        <v>12</v>
      </c>
      <c r="G125" s="180" t="s">
        <v>558</v>
      </c>
      <c r="H125" s="489"/>
      <c r="I125" s="490"/>
      <c r="J125" s="490"/>
      <c r="L125" s="180" t="s">
        <v>559</v>
      </c>
    </row>
    <row r="126" spans="1:12" s="180" customFormat="1">
      <c r="A126" s="180" t="s">
        <v>294</v>
      </c>
      <c r="B126" s="180" t="s">
        <v>563</v>
      </c>
      <c r="C126" s="180" t="s">
        <v>304</v>
      </c>
      <c r="D126" s="180" t="s">
        <v>564</v>
      </c>
      <c r="E126" s="180" t="s">
        <v>565</v>
      </c>
      <c r="F126" s="180">
        <v>12</v>
      </c>
      <c r="G126" s="180" t="s">
        <v>566</v>
      </c>
      <c r="H126" s="489">
        <v>16692.25</v>
      </c>
      <c r="I126" s="490"/>
      <c r="J126" s="490"/>
      <c r="L126" s="180" t="s">
        <v>414</v>
      </c>
    </row>
    <row r="127" spans="1:12" s="180" customFormat="1">
      <c r="A127" s="180" t="s">
        <v>294</v>
      </c>
      <c r="B127" s="180" t="s">
        <v>567</v>
      </c>
      <c r="C127" s="180" t="s">
        <v>304</v>
      </c>
      <c r="D127" s="180" t="s">
        <v>568</v>
      </c>
      <c r="E127" s="180" t="s">
        <v>569</v>
      </c>
      <c r="F127" s="180">
        <v>12</v>
      </c>
      <c r="G127" s="180" t="s">
        <v>558</v>
      </c>
      <c r="H127" s="489"/>
      <c r="I127" s="490">
        <v>1.4790000000000001E-3</v>
      </c>
      <c r="J127" s="490"/>
      <c r="L127" s="180" t="s">
        <v>559</v>
      </c>
    </row>
    <row r="128" spans="1:12" s="180" customFormat="1">
      <c r="A128" s="180" t="s">
        <v>294</v>
      </c>
      <c r="B128" s="180" t="s">
        <v>567</v>
      </c>
      <c r="C128" s="180" t="s">
        <v>570</v>
      </c>
      <c r="D128" s="180" t="s">
        <v>568</v>
      </c>
      <c r="E128" s="180" t="s">
        <v>569</v>
      </c>
      <c r="F128" s="180">
        <v>12</v>
      </c>
      <c r="G128" s="180" t="s">
        <v>558</v>
      </c>
      <c r="H128" s="489"/>
      <c r="I128" s="490"/>
      <c r="J128" s="490"/>
      <c r="L128" s="180" t="s">
        <v>559</v>
      </c>
    </row>
    <row r="129" spans="1:12" s="180" customFormat="1">
      <c r="A129" s="180" t="s">
        <v>294</v>
      </c>
      <c r="B129" s="180" t="s">
        <v>571</v>
      </c>
      <c r="C129" s="180" t="s">
        <v>304</v>
      </c>
      <c r="D129" s="180" t="s">
        <v>572</v>
      </c>
      <c r="E129" s="180" t="s">
        <v>573</v>
      </c>
      <c r="F129" s="180">
        <v>12</v>
      </c>
      <c r="G129" s="180" t="s">
        <v>558</v>
      </c>
      <c r="H129" s="489"/>
      <c r="I129" s="490"/>
      <c r="J129" s="490"/>
      <c r="L129" s="180" t="s">
        <v>559</v>
      </c>
    </row>
    <row r="130" spans="1:12" s="180" customFormat="1">
      <c r="A130" s="180" t="s">
        <v>294</v>
      </c>
      <c r="B130" s="180" t="s">
        <v>574</v>
      </c>
      <c r="C130" s="180" t="s">
        <v>304</v>
      </c>
      <c r="D130" s="180" t="s">
        <v>575</v>
      </c>
      <c r="E130" s="180" t="s">
        <v>576</v>
      </c>
      <c r="F130" s="180">
        <v>12</v>
      </c>
      <c r="G130" s="180" t="s">
        <v>558</v>
      </c>
      <c r="H130" s="489">
        <v>7125</v>
      </c>
      <c r="I130" s="490"/>
      <c r="J130" s="490"/>
      <c r="L130" s="180" t="s">
        <v>559</v>
      </c>
    </row>
    <row r="131" spans="1:12" s="180" customFormat="1">
      <c r="A131" s="180" t="s">
        <v>294</v>
      </c>
      <c r="B131" s="180" t="s">
        <v>574</v>
      </c>
      <c r="C131" s="180" t="s">
        <v>577</v>
      </c>
      <c r="D131" s="180" t="s">
        <v>575</v>
      </c>
      <c r="E131" s="180" t="s">
        <v>576</v>
      </c>
      <c r="F131" s="180">
        <v>12</v>
      </c>
      <c r="G131" s="180" t="s">
        <v>558</v>
      </c>
      <c r="H131" s="489">
        <v>500</v>
      </c>
      <c r="I131" s="490"/>
      <c r="J131" s="490"/>
      <c r="L131" s="180" t="s">
        <v>559</v>
      </c>
    </row>
    <row r="132" spans="1:12" s="180" customFormat="1">
      <c r="A132" s="180" t="s">
        <v>294</v>
      </c>
      <c r="B132" s="180" t="s">
        <v>574</v>
      </c>
      <c r="C132" s="180" t="s">
        <v>578</v>
      </c>
      <c r="D132" s="180" t="s">
        <v>575</v>
      </c>
      <c r="E132" s="180" t="s">
        <v>576</v>
      </c>
      <c r="F132" s="180">
        <v>12</v>
      </c>
      <c r="G132" s="180" t="s">
        <v>558</v>
      </c>
      <c r="H132" s="489">
        <v>18250</v>
      </c>
      <c r="I132" s="490"/>
      <c r="J132" s="490"/>
      <c r="L132" s="180" t="s">
        <v>559</v>
      </c>
    </row>
    <row r="133" spans="1:12" s="180" customFormat="1">
      <c r="A133" s="180" t="s">
        <v>294</v>
      </c>
      <c r="B133" s="180" t="s">
        <v>574</v>
      </c>
      <c r="C133" s="180" t="s">
        <v>579</v>
      </c>
      <c r="D133" s="180" t="s">
        <v>575</v>
      </c>
      <c r="E133" s="180" t="s">
        <v>576</v>
      </c>
      <c r="F133" s="180">
        <v>12</v>
      </c>
      <c r="G133" s="180" t="s">
        <v>558</v>
      </c>
      <c r="H133" s="489">
        <v>7125</v>
      </c>
      <c r="I133" s="490"/>
      <c r="J133" s="490"/>
      <c r="L133" s="180" t="s">
        <v>559</v>
      </c>
    </row>
    <row r="134" spans="1:12" s="180" customFormat="1">
      <c r="A134" s="180" t="s">
        <v>294</v>
      </c>
      <c r="B134" s="180" t="s">
        <v>574</v>
      </c>
      <c r="C134" s="180" t="s">
        <v>580</v>
      </c>
      <c r="D134" s="180" t="s">
        <v>575</v>
      </c>
      <c r="E134" s="180" t="s">
        <v>576</v>
      </c>
      <c r="F134" s="180">
        <v>12</v>
      </c>
      <c r="G134" s="180" t="s">
        <v>558</v>
      </c>
      <c r="H134" s="489">
        <v>9736</v>
      </c>
      <c r="I134" s="490"/>
      <c r="J134" s="490"/>
      <c r="L134" s="180" t="s">
        <v>559</v>
      </c>
    </row>
    <row r="135" spans="1:12" s="180" customFormat="1">
      <c r="A135" s="180" t="s">
        <v>294</v>
      </c>
      <c r="B135" s="180" t="s">
        <v>581</v>
      </c>
      <c r="C135" s="180" t="s">
        <v>304</v>
      </c>
      <c r="D135" s="180" t="s">
        <v>582</v>
      </c>
      <c r="E135" s="180" t="s">
        <v>583</v>
      </c>
      <c r="F135" s="180">
        <v>12</v>
      </c>
      <c r="G135" s="180" t="s">
        <v>584</v>
      </c>
      <c r="H135" s="489"/>
      <c r="I135" s="490"/>
      <c r="J135" s="490"/>
      <c r="L135" s="180" t="s">
        <v>585</v>
      </c>
    </row>
    <row r="136" spans="1:12" s="180" customFormat="1">
      <c r="A136" s="180" t="s">
        <v>294</v>
      </c>
      <c r="B136" s="180" t="s">
        <v>586</v>
      </c>
      <c r="C136" s="180" t="s">
        <v>304</v>
      </c>
      <c r="D136" s="180" t="s">
        <v>587</v>
      </c>
      <c r="E136" s="180" t="s">
        <v>588</v>
      </c>
      <c r="F136" s="180">
        <v>12</v>
      </c>
      <c r="G136" s="180" t="s">
        <v>558</v>
      </c>
      <c r="H136" s="489"/>
      <c r="I136" s="490"/>
      <c r="J136" s="490"/>
      <c r="L136" s="180" t="s">
        <v>559</v>
      </c>
    </row>
    <row r="137" spans="1:12" s="180" customFormat="1">
      <c r="A137" s="180" t="s">
        <v>294</v>
      </c>
      <c r="B137" s="180" t="s">
        <v>589</v>
      </c>
      <c r="C137" s="180" t="s">
        <v>304</v>
      </c>
      <c r="D137" s="180" t="s">
        <v>237</v>
      </c>
      <c r="E137" s="180" t="s">
        <v>590</v>
      </c>
      <c r="F137" s="180">
        <v>12</v>
      </c>
      <c r="G137" s="180" t="s">
        <v>558</v>
      </c>
      <c r="H137" s="489"/>
      <c r="I137" s="490"/>
      <c r="J137" s="490"/>
      <c r="L137" s="180" t="s">
        <v>559</v>
      </c>
    </row>
    <row r="138" spans="1:12" s="180" customFormat="1">
      <c r="A138" s="180" t="s">
        <v>294</v>
      </c>
      <c r="B138" s="180" t="s">
        <v>591</v>
      </c>
      <c r="C138" s="180" t="s">
        <v>592</v>
      </c>
      <c r="D138" s="180" t="s">
        <v>593</v>
      </c>
      <c r="E138" s="180" t="s">
        <v>594</v>
      </c>
      <c r="F138" s="180">
        <v>12</v>
      </c>
      <c r="G138" s="180" t="s">
        <v>558</v>
      </c>
      <c r="H138" s="489"/>
      <c r="I138" s="490"/>
      <c r="J138" s="490"/>
      <c r="L138" s="180" t="s">
        <v>414</v>
      </c>
    </row>
    <row r="139" spans="1:12" s="180" customFormat="1">
      <c r="A139" s="180" t="s">
        <v>294</v>
      </c>
      <c r="B139" s="180" t="s">
        <v>591</v>
      </c>
      <c r="C139" s="180" t="s">
        <v>595</v>
      </c>
      <c r="D139" s="180" t="s">
        <v>593</v>
      </c>
      <c r="E139" s="180" t="s">
        <v>594</v>
      </c>
      <c r="F139" s="180">
        <v>12</v>
      </c>
      <c r="G139" s="180" t="s">
        <v>558</v>
      </c>
      <c r="H139" s="489"/>
      <c r="I139" s="490"/>
      <c r="J139" s="490"/>
      <c r="L139" s="180" t="s">
        <v>414</v>
      </c>
    </row>
    <row r="140" spans="1:12" s="180" customFormat="1">
      <c r="A140" s="180" t="s">
        <v>294</v>
      </c>
      <c r="B140" s="180" t="s">
        <v>596</v>
      </c>
      <c r="C140" s="180" t="s">
        <v>304</v>
      </c>
      <c r="D140" s="180" t="s">
        <v>597</v>
      </c>
      <c r="E140" s="180" t="s">
        <v>598</v>
      </c>
      <c r="F140" s="180">
        <v>12</v>
      </c>
      <c r="G140" s="180" t="s">
        <v>599</v>
      </c>
      <c r="H140" s="489">
        <v>5500</v>
      </c>
      <c r="I140" s="490">
        <v>6.9769999999999999E-2</v>
      </c>
      <c r="J140" s="490"/>
      <c r="L140" s="180" t="s">
        <v>414</v>
      </c>
    </row>
    <row r="141" spans="1:12" s="180" customFormat="1">
      <c r="A141" s="180" t="s">
        <v>294</v>
      </c>
      <c r="B141" s="180" t="s">
        <v>596</v>
      </c>
      <c r="C141" s="180" t="s">
        <v>410</v>
      </c>
      <c r="D141" s="180" t="s">
        <v>597</v>
      </c>
      <c r="E141" s="180" t="s">
        <v>598</v>
      </c>
      <c r="F141" s="180">
        <v>12</v>
      </c>
      <c r="G141" s="180" t="s">
        <v>599</v>
      </c>
      <c r="H141" s="489">
        <v>5500</v>
      </c>
      <c r="I141" s="490">
        <v>6.9769999999999999E-2</v>
      </c>
      <c r="J141" s="490"/>
      <c r="L141" s="180" t="s">
        <v>414</v>
      </c>
    </row>
    <row r="142" spans="1:12" s="180" customFormat="1">
      <c r="A142" s="180" t="s">
        <v>294</v>
      </c>
      <c r="B142" s="180" t="s">
        <v>600</v>
      </c>
      <c r="C142" s="180" t="s">
        <v>304</v>
      </c>
      <c r="D142" s="180" t="s">
        <v>601</v>
      </c>
      <c r="E142" s="180" t="s">
        <v>602</v>
      </c>
      <c r="F142" s="180">
        <v>12</v>
      </c>
      <c r="G142" s="180" t="s">
        <v>603</v>
      </c>
      <c r="H142" s="489">
        <v>9000</v>
      </c>
      <c r="I142" s="490">
        <v>6.123E-2</v>
      </c>
      <c r="J142" s="490"/>
      <c r="L142" s="180" t="s">
        <v>414</v>
      </c>
    </row>
    <row r="143" spans="1:12" s="180" customFormat="1">
      <c r="A143" s="180" t="s">
        <v>294</v>
      </c>
      <c r="B143" s="180" t="s">
        <v>600</v>
      </c>
      <c r="C143" s="180" t="s">
        <v>410</v>
      </c>
      <c r="D143" s="180" t="s">
        <v>601</v>
      </c>
      <c r="E143" s="180" t="s">
        <v>602</v>
      </c>
      <c r="F143" s="180">
        <v>12</v>
      </c>
      <c r="G143" s="180" t="s">
        <v>603</v>
      </c>
      <c r="H143" s="489">
        <v>9000</v>
      </c>
      <c r="I143" s="490">
        <v>6.123E-2</v>
      </c>
      <c r="J143" s="490"/>
      <c r="L143" s="180" t="s">
        <v>414</v>
      </c>
    </row>
    <row r="144" spans="1:12" s="180" customFormat="1">
      <c r="A144" s="180" t="s">
        <v>294</v>
      </c>
      <c r="B144" s="180" t="s">
        <v>604</v>
      </c>
      <c r="C144" s="180" t="s">
        <v>304</v>
      </c>
      <c r="D144" s="180" t="s">
        <v>605</v>
      </c>
      <c r="E144" s="180" t="s">
        <v>606</v>
      </c>
      <c r="F144" s="180">
        <v>12</v>
      </c>
      <c r="G144" s="180" t="s">
        <v>584</v>
      </c>
      <c r="H144" s="489"/>
      <c r="I144" s="490"/>
      <c r="J144" s="490"/>
      <c r="L144" s="180" t="s">
        <v>585</v>
      </c>
    </row>
    <row r="145" spans="1:12" s="180" customFormat="1">
      <c r="A145" s="180" t="s">
        <v>294</v>
      </c>
      <c r="B145" s="180" t="s">
        <v>604</v>
      </c>
      <c r="C145" s="180" t="s">
        <v>607</v>
      </c>
      <c r="D145" s="180" t="s">
        <v>605</v>
      </c>
      <c r="E145" s="180" t="s">
        <v>606</v>
      </c>
      <c r="F145" s="180">
        <v>12</v>
      </c>
      <c r="G145" s="180" t="s">
        <v>584</v>
      </c>
      <c r="H145" s="489"/>
      <c r="I145" s="490"/>
      <c r="J145" s="490"/>
      <c r="L145" s="180" t="s">
        <v>585</v>
      </c>
    </row>
    <row r="146" spans="1:12" s="180" customFormat="1">
      <c r="A146" s="180" t="s">
        <v>294</v>
      </c>
      <c r="B146" s="180" t="s">
        <v>608</v>
      </c>
      <c r="C146" s="180" t="s">
        <v>304</v>
      </c>
      <c r="D146" s="180" t="s">
        <v>609</v>
      </c>
      <c r="E146" s="180" t="s">
        <v>610</v>
      </c>
      <c r="F146" s="180">
        <v>12</v>
      </c>
      <c r="G146" s="180" t="s">
        <v>558</v>
      </c>
      <c r="H146" s="489"/>
      <c r="I146" s="490"/>
      <c r="J146" s="490"/>
      <c r="L146" s="180" t="s">
        <v>559</v>
      </c>
    </row>
    <row r="147" spans="1:12" s="180" customFormat="1">
      <c r="A147" s="180" t="s">
        <v>294</v>
      </c>
      <c r="B147" s="180" t="s">
        <v>608</v>
      </c>
      <c r="C147" s="180" t="s">
        <v>607</v>
      </c>
      <c r="D147" s="180" t="s">
        <v>609</v>
      </c>
      <c r="E147" s="180" t="s">
        <v>610</v>
      </c>
      <c r="F147" s="180">
        <v>12</v>
      </c>
      <c r="G147" s="180" t="s">
        <v>558</v>
      </c>
      <c r="H147" s="489"/>
      <c r="I147" s="490"/>
      <c r="J147" s="490"/>
      <c r="L147" s="180" t="s">
        <v>559</v>
      </c>
    </row>
    <row r="148" spans="1:12" s="180" customFormat="1">
      <c r="A148" s="180" t="s">
        <v>294</v>
      </c>
      <c r="B148" s="180" t="s">
        <v>611</v>
      </c>
      <c r="C148" s="180" t="s">
        <v>304</v>
      </c>
      <c r="D148" s="180" t="s">
        <v>612</v>
      </c>
      <c r="E148" s="180" t="s">
        <v>613</v>
      </c>
      <c r="F148" s="180">
        <v>12</v>
      </c>
      <c r="G148" s="180" t="s">
        <v>558</v>
      </c>
      <c r="H148" s="489"/>
      <c r="I148" s="490"/>
      <c r="J148" s="490"/>
      <c r="L148" s="180" t="s">
        <v>559</v>
      </c>
    </row>
    <row r="149" spans="1:12" s="180" customFormat="1">
      <c r="A149" s="180" t="s">
        <v>294</v>
      </c>
      <c r="B149" s="180" t="s">
        <v>614</v>
      </c>
      <c r="C149" s="180" t="s">
        <v>304</v>
      </c>
      <c r="D149" s="180" t="s">
        <v>615</v>
      </c>
      <c r="E149" s="180" t="s">
        <v>616</v>
      </c>
      <c r="F149" s="180">
        <v>12</v>
      </c>
      <c r="G149" s="180" t="s">
        <v>558</v>
      </c>
      <c r="H149" s="489"/>
      <c r="I149" s="490">
        <v>0.02</v>
      </c>
      <c r="J149" s="490"/>
      <c r="L149" s="180" t="s">
        <v>559</v>
      </c>
    </row>
    <row r="150" spans="1:12" s="180" customFormat="1">
      <c r="A150" s="180" t="s">
        <v>294</v>
      </c>
      <c r="B150" s="180" t="s">
        <v>614</v>
      </c>
      <c r="C150" s="180" t="s">
        <v>607</v>
      </c>
      <c r="D150" s="180" t="s">
        <v>615</v>
      </c>
      <c r="E150" s="180" t="s">
        <v>616</v>
      </c>
      <c r="F150" s="180">
        <v>12</v>
      </c>
      <c r="G150" s="180" t="s">
        <v>558</v>
      </c>
      <c r="H150" s="489"/>
      <c r="I150" s="490">
        <v>0.02</v>
      </c>
      <c r="J150" s="490"/>
      <c r="L150" s="180" t="s">
        <v>559</v>
      </c>
    </row>
    <row r="151" spans="1:12" s="180" customFormat="1">
      <c r="A151" s="180" t="s">
        <v>294</v>
      </c>
      <c r="B151" s="180" t="s">
        <v>617</v>
      </c>
      <c r="C151" s="180" t="s">
        <v>304</v>
      </c>
      <c r="D151" s="180" t="s">
        <v>618</v>
      </c>
      <c r="E151" s="180" t="s">
        <v>497</v>
      </c>
      <c r="F151" s="180">
        <v>12</v>
      </c>
      <c r="G151" s="180" t="s">
        <v>144</v>
      </c>
      <c r="H151" s="489">
        <v>700</v>
      </c>
      <c r="I151" s="490">
        <v>0.123</v>
      </c>
      <c r="J151" s="490"/>
      <c r="L151" s="180" t="s">
        <v>414</v>
      </c>
    </row>
    <row r="152" spans="1:12" s="180" customFormat="1">
      <c r="A152" s="180" t="s">
        <v>294</v>
      </c>
      <c r="B152" s="180" t="s">
        <v>617</v>
      </c>
      <c r="C152" s="180" t="s">
        <v>410</v>
      </c>
      <c r="D152" s="180" t="s">
        <v>618</v>
      </c>
      <c r="E152" s="180" t="s">
        <v>497</v>
      </c>
      <c r="F152" s="180">
        <v>12</v>
      </c>
      <c r="G152" s="180" t="s">
        <v>144</v>
      </c>
      <c r="H152" s="489">
        <v>700</v>
      </c>
      <c r="I152" s="490">
        <v>0.123</v>
      </c>
      <c r="J152" s="490"/>
      <c r="L152" s="180" t="s">
        <v>414</v>
      </c>
    </row>
    <row r="153" spans="1:12" s="180" customFormat="1">
      <c r="A153" s="180" t="s">
        <v>294</v>
      </c>
      <c r="B153" s="180" t="s">
        <v>619</v>
      </c>
      <c r="C153" s="180" t="s">
        <v>304</v>
      </c>
      <c r="D153" s="180" t="s">
        <v>620</v>
      </c>
      <c r="E153" s="180" t="s">
        <v>621</v>
      </c>
      <c r="F153" s="180">
        <v>12</v>
      </c>
      <c r="G153" s="180" t="s">
        <v>558</v>
      </c>
      <c r="H153" s="489"/>
      <c r="I153" s="490"/>
      <c r="J153" s="490"/>
      <c r="L153" s="180" t="s">
        <v>559</v>
      </c>
    </row>
    <row r="154" spans="1:12" s="180" customFormat="1">
      <c r="A154" s="180" t="s">
        <v>294</v>
      </c>
      <c r="B154" s="180" t="s">
        <v>619</v>
      </c>
      <c r="C154" s="180" t="s">
        <v>607</v>
      </c>
      <c r="D154" s="180" t="s">
        <v>620</v>
      </c>
      <c r="E154" s="180" t="s">
        <v>621</v>
      </c>
      <c r="F154" s="180">
        <v>12</v>
      </c>
      <c r="G154" s="180" t="s">
        <v>558</v>
      </c>
      <c r="H154" s="489"/>
      <c r="I154" s="490"/>
      <c r="J154" s="490"/>
      <c r="L154" s="180" t="s">
        <v>559</v>
      </c>
    </row>
    <row r="155" spans="1:12" s="180" customFormat="1">
      <c r="A155" s="180" t="s">
        <v>294</v>
      </c>
      <c r="B155" s="180" t="s">
        <v>622</v>
      </c>
      <c r="C155" s="180" t="s">
        <v>304</v>
      </c>
      <c r="D155" s="180" t="s">
        <v>623</v>
      </c>
      <c r="E155" s="180" t="s">
        <v>624</v>
      </c>
      <c r="F155" s="180">
        <v>12</v>
      </c>
      <c r="G155" s="180" t="s">
        <v>119</v>
      </c>
      <c r="H155" s="489">
        <v>108</v>
      </c>
      <c r="I155" s="490">
        <v>0.24102000000000001</v>
      </c>
      <c r="J155" s="490"/>
      <c r="L155" s="180" t="s">
        <v>414</v>
      </c>
    </row>
    <row r="156" spans="1:12" s="180" customFormat="1">
      <c r="A156" s="180" t="s">
        <v>294</v>
      </c>
      <c r="B156" s="180" t="s">
        <v>622</v>
      </c>
      <c r="C156" s="180" t="s">
        <v>410</v>
      </c>
      <c r="D156" s="180" t="s">
        <v>623</v>
      </c>
      <c r="E156" s="180" t="s">
        <v>624</v>
      </c>
      <c r="F156" s="180">
        <v>12</v>
      </c>
      <c r="G156" s="180" t="s">
        <v>119</v>
      </c>
      <c r="H156" s="489">
        <v>108</v>
      </c>
      <c r="I156" s="490">
        <v>0.24102000000000001</v>
      </c>
      <c r="J156" s="490"/>
      <c r="L156" s="180" t="s">
        <v>414</v>
      </c>
    </row>
    <row r="157" spans="1:12" s="180" customFormat="1">
      <c r="A157" s="180" t="s">
        <v>294</v>
      </c>
      <c r="B157" s="180" t="s">
        <v>622</v>
      </c>
      <c r="C157" s="180" t="s">
        <v>625</v>
      </c>
      <c r="D157" s="180" t="s">
        <v>623</v>
      </c>
      <c r="E157" s="180" t="s">
        <v>624</v>
      </c>
      <c r="F157" s="180">
        <v>12</v>
      </c>
      <c r="G157" s="180" t="s">
        <v>119</v>
      </c>
      <c r="H157" s="489">
        <v>108</v>
      </c>
      <c r="I157" s="490">
        <v>0.24102000000000001</v>
      </c>
      <c r="J157" s="490"/>
      <c r="L157" s="180" t="s">
        <v>414</v>
      </c>
    </row>
    <row r="158" spans="1:12" s="180" customFormat="1">
      <c r="A158" s="180" t="s">
        <v>294</v>
      </c>
      <c r="B158" s="180" t="s">
        <v>626</v>
      </c>
      <c r="C158" s="180" t="s">
        <v>304</v>
      </c>
      <c r="D158" s="180" t="s">
        <v>627</v>
      </c>
      <c r="E158" s="180" t="s">
        <v>485</v>
      </c>
      <c r="F158" s="180">
        <v>12</v>
      </c>
      <c r="G158" s="180" t="s">
        <v>145</v>
      </c>
      <c r="H158" s="489">
        <v>1200</v>
      </c>
      <c r="I158" s="490">
        <v>0.11024</v>
      </c>
      <c r="J158" s="490"/>
      <c r="L158" s="180" t="s">
        <v>414</v>
      </c>
    </row>
    <row r="159" spans="1:12" s="180" customFormat="1">
      <c r="A159" s="180" t="s">
        <v>294</v>
      </c>
      <c r="B159" s="180" t="s">
        <v>626</v>
      </c>
      <c r="C159" s="180" t="s">
        <v>410</v>
      </c>
      <c r="D159" s="180" t="s">
        <v>627</v>
      </c>
      <c r="E159" s="180" t="s">
        <v>485</v>
      </c>
      <c r="F159" s="180">
        <v>12</v>
      </c>
      <c r="G159" s="180" t="s">
        <v>145</v>
      </c>
      <c r="H159" s="489">
        <v>1200</v>
      </c>
      <c r="I159" s="490">
        <v>0.11024</v>
      </c>
      <c r="J159" s="490"/>
      <c r="L159" s="180" t="s">
        <v>414</v>
      </c>
    </row>
    <row r="160" spans="1:12" s="180" customFormat="1">
      <c r="A160" s="180" t="s">
        <v>294</v>
      </c>
      <c r="B160" s="180" t="s">
        <v>628</v>
      </c>
      <c r="C160" s="180" t="s">
        <v>304</v>
      </c>
      <c r="D160" s="180" t="s">
        <v>629</v>
      </c>
      <c r="E160" s="180" t="s">
        <v>630</v>
      </c>
      <c r="F160" s="180">
        <v>12</v>
      </c>
      <c r="G160" s="180" t="s">
        <v>631</v>
      </c>
      <c r="H160" s="489">
        <v>600</v>
      </c>
      <c r="I160" s="490">
        <v>0.04</v>
      </c>
      <c r="J160" s="490"/>
      <c r="L160" s="180" t="s">
        <v>559</v>
      </c>
    </row>
    <row r="161" spans="1:12" s="180" customFormat="1">
      <c r="A161" s="180" t="s">
        <v>294</v>
      </c>
      <c r="B161" s="180" t="s">
        <v>632</v>
      </c>
      <c r="C161" s="180" t="s">
        <v>304</v>
      </c>
      <c r="D161" s="180" t="s">
        <v>633</v>
      </c>
      <c r="E161" s="180" t="s">
        <v>634</v>
      </c>
      <c r="F161" s="180">
        <v>12</v>
      </c>
      <c r="G161" s="180" t="s">
        <v>631</v>
      </c>
      <c r="H161" s="489">
        <v>700</v>
      </c>
      <c r="I161" s="490">
        <v>0.04</v>
      </c>
      <c r="J161" s="490"/>
      <c r="L161" s="180" t="s">
        <v>559</v>
      </c>
    </row>
    <row r="162" spans="1:12" s="180" customFormat="1">
      <c r="A162" s="180" t="s">
        <v>294</v>
      </c>
      <c r="B162" s="180" t="s">
        <v>635</v>
      </c>
      <c r="C162" s="180" t="s">
        <v>304</v>
      </c>
      <c r="D162" s="180" t="s">
        <v>636</v>
      </c>
      <c r="E162" s="180" t="s">
        <v>637</v>
      </c>
      <c r="F162" s="180">
        <v>12</v>
      </c>
      <c r="G162" s="180" t="s">
        <v>631</v>
      </c>
      <c r="H162" s="489">
        <v>1200</v>
      </c>
      <c r="I162" s="490">
        <v>0.04</v>
      </c>
      <c r="J162" s="490"/>
      <c r="L162" s="180" t="s">
        <v>559</v>
      </c>
    </row>
    <row r="163" spans="1:12" s="180" customFormat="1">
      <c r="A163" s="180" t="s">
        <v>294</v>
      </c>
      <c r="B163" s="180" t="s">
        <v>638</v>
      </c>
      <c r="C163" s="180" t="s">
        <v>304</v>
      </c>
      <c r="D163" s="180" t="s">
        <v>639</v>
      </c>
      <c r="E163" s="180" t="s">
        <v>488</v>
      </c>
      <c r="F163" s="180">
        <v>12</v>
      </c>
      <c r="G163" s="180" t="s">
        <v>121</v>
      </c>
      <c r="H163" s="489">
        <v>210</v>
      </c>
      <c r="I163" s="490">
        <v>0.189</v>
      </c>
      <c r="J163" s="490"/>
      <c r="L163" s="180" t="s">
        <v>414</v>
      </c>
    </row>
    <row r="164" spans="1:12" s="180" customFormat="1">
      <c r="A164" s="180" t="s">
        <v>294</v>
      </c>
      <c r="B164" s="180" t="s">
        <v>638</v>
      </c>
      <c r="C164" s="180" t="s">
        <v>410</v>
      </c>
      <c r="D164" s="180" t="s">
        <v>639</v>
      </c>
      <c r="E164" s="180" t="s">
        <v>488</v>
      </c>
      <c r="F164" s="180">
        <v>12</v>
      </c>
      <c r="G164" s="180" t="s">
        <v>121</v>
      </c>
      <c r="H164" s="489">
        <v>210</v>
      </c>
      <c r="I164" s="490">
        <v>0.189</v>
      </c>
      <c r="J164" s="490"/>
      <c r="L164" s="180" t="s">
        <v>414</v>
      </c>
    </row>
    <row r="165" spans="1:12" s="180" customFormat="1">
      <c r="A165" s="180" t="s">
        <v>294</v>
      </c>
      <c r="B165" s="180" t="s">
        <v>640</v>
      </c>
      <c r="C165" s="180" t="s">
        <v>304</v>
      </c>
      <c r="D165" s="180" t="s">
        <v>641</v>
      </c>
      <c r="E165" s="180" t="s">
        <v>491</v>
      </c>
      <c r="F165" s="180">
        <v>12</v>
      </c>
      <c r="G165" s="180" t="s">
        <v>142</v>
      </c>
      <c r="H165" s="489">
        <v>380</v>
      </c>
      <c r="I165" s="490">
        <v>0.1658</v>
      </c>
      <c r="J165" s="490"/>
      <c r="L165" s="180" t="s">
        <v>414</v>
      </c>
    </row>
    <row r="166" spans="1:12" s="180" customFormat="1">
      <c r="A166" s="180" t="s">
        <v>294</v>
      </c>
      <c r="B166" s="180" t="s">
        <v>640</v>
      </c>
      <c r="C166" s="180" t="s">
        <v>410</v>
      </c>
      <c r="D166" s="180" t="s">
        <v>641</v>
      </c>
      <c r="E166" s="180" t="s">
        <v>491</v>
      </c>
      <c r="F166" s="180">
        <v>12</v>
      </c>
      <c r="G166" s="180" t="s">
        <v>142</v>
      </c>
      <c r="H166" s="489">
        <v>380</v>
      </c>
      <c r="I166" s="490">
        <v>0.1658</v>
      </c>
      <c r="J166" s="490"/>
      <c r="L166" s="180" t="s">
        <v>414</v>
      </c>
    </row>
    <row r="167" spans="1:12" s="180" customFormat="1">
      <c r="A167" s="180" t="s">
        <v>294</v>
      </c>
      <c r="B167" s="180" t="s">
        <v>642</v>
      </c>
      <c r="C167" s="180" t="s">
        <v>304</v>
      </c>
      <c r="D167" s="180" t="s">
        <v>643</v>
      </c>
      <c r="E167" s="180" t="s">
        <v>494</v>
      </c>
      <c r="F167" s="180">
        <v>12</v>
      </c>
      <c r="G167" s="180" t="s">
        <v>143</v>
      </c>
      <c r="H167" s="489">
        <v>600</v>
      </c>
      <c r="I167" s="490">
        <v>0.15137</v>
      </c>
      <c r="J167" s="490"/>
      <c r="L167" s="180" t="s">
        <v>414</v>
      </c>
    </row>
    <row r="168" spans="1:12" s="180" customFormat="1">
      <c r="A168" s="180" t="s">
        <v>294</v>
      </c>
      <c r="B168" s="180" t="s">
        <v>642</v>
      </c>
      <c r="C168" s="180" t="s">
        <v>410</v>
      </c>
      <c r="D168" s="180" t="s">
        <v>643</v>
      </c>
      <c r="E168" s="180" t="s">
        <v>494</v>
      </c>
      <c r="F168" s="180">
        <v>12</v>
      </c>
      <c r="G168" s="180" t="s">
        <v>143</v>
      </c>
      <c r="H168" s="489">
        <v>600</v>
      </c>
      <c r="I168" s="490">
        <v>0.15137</v>
      </c>
      <c r="J168" s="490"/>
      <c r="L168" s="180" t="s">
        <v>414</v>
      </c>
    </row>
    <row r="169" spans="1:12" s="180" customFormat="1">
      <c r="A169" s="180" t="s">
        <v>294</v>
      </c>
      <c r="B169" s="180" t="s">
        <v>644</v>
      </c>
      <c r="C169" s="180" t="s">
        <v>304</v>
      </c>
      <c r="D169" s="180" t="s">
        <v>629</v>
      </c>
      <c r="E169" s="180" t="s">
        <v>630</v>
      </c>
      <c r="F169" s="180">
        <v>12</v>
      </c>
      <c r="G169" s="180" t="s">
        <v>631</v>
      </c>
      <c r="H169" s="489">
        <v>700</v>
      </c>
      <c r="I169" s="490">
        <v>0.04</v>
      </c>
      <c r="J169" s="490"/>
      <c r="L169" s="180" t="s">
        <v>559</v>
      </c>
    </row>
    <row r="170" spans="1:12" s="180" customFormat="1">
      <c r="A170" s="180" t="s">
        <v>294</v>
      </c>
      <c r="B170" s="180" t="s">
        <v>645</v>
      </c>
      <c r="C170" s="180" t="s">
        <v>304</v>
      </c>
      <c r="D170" s="180" t="s">
        <v>646</v>
      </c>
      <c r="E170" s="180" t="s">
        <v>523</v>
      </c>
      <c r="F170" s="180">
        <v>12</v>
      </c>
      <c r="G170" s="180" t="s">
        <v>524</v>
      </c>
      <c r="H170" s="489">
        <v>40</v>
      </c>
      <c r="I170" s="490">
        <v>0.30826999999999999</v>
      </c>
      <c r="J170" s="490"/>
      <c r="L170" s="180" t="s">
        <v>414</v>
      </c>
    </row>
    <row r="171" spans="1:12" s="180" customFormat="1">
      <c r="A171" s="180" t="s">
        <v>294</v>
      </c>
      <c r="B171" s="180" t="s">
        <v>647</v>
      </c>
      <c r="C171" s="180" t="s">
        <v>304</v>
      </c>
      <c r="D171" s="180" t="s">
        <v>648</v>
      </c>
      <c r="E171" s="180" t="s">
        <v>530</v>
      </c>
      <c r="F171" s="180">
        <v>12</v>
      </c>
      <c r="G171" s="180" t="s">
        <v>531</v>
      </c>
      <c r="H171" s="489">
        <v>134</v>
      </c>
      <c r="I171" s="490">
        <v>0.20383000000000001</v>
      </c>
      <c r="J171" s="490"/>
      <c r="L171" s="180" t="s">
        <v>414</v>
      </c>
    </row>
    <row r="172" spans="1:12" s="180" customFormat="1">
      <c r="A172" s="180" t="s">
        <v>294</v>
      </c>
      <c r="B172" s="180" t="s">
        <v>647</v>
      </c>
      <c r="C172" s="180" t="s">
        <v>410</v>
      </c>
      <c r="D172" s="180" t="s">
        <v>648</v>
      </c>
      <c r="E172" s="180" t="s">
        <v>530</v>
      </c>
      <c r="F172" s="180">
        <v>12</v>
      </c>
      <c r="G172" s="180" t="s">
        <v>531</v>
      </c>
      <c r="H172" s="489">
        <v>134</v>
      </c>
      <c r="I172" s="490">
        <v>0.20383000000000001</v>
      </c>
      <c r="J172" s="490"/>
      <c r="L172" s="180" t="s">
        <v>414</v>
      </c>
    </row>
    <row r="173" spans="1:12" s="180" customFormat="1">
      <c r="A173" s="180" t="s">
        <v>294</v>
      </c>
      <c r="B173" s="180" t="s">
        <v>649</v>
      </c>
      <c r="C173" s="180" t="s">
        <v>304</v>
      </c>
      <c r="D173" s="180" t="s">
        <v>650</v>
      </c>
      <c r="E173" s="180" t="s">
        <v>543</v>
      </c>
      <c r="F173" s="180">
        <v>12</v>
      </c>
      <c r="G173" s="180" t="s">
        <v>146</v>
      </c>
      <c r="H173" s="489">
        <v>2000</v>
      </c>
      <c r="I173" s="490">
        <v>9.1329999999999995E-2</v>
      </c>
      <c r="J173" s="490"/>
      <c r="L173" s="180" t="s">
        <v>414</v>
      </c>
    </row>
    <row r="174" spans="1:12" s="180" customFormat="1">
      <c r="A174" s="180" t="s">
        <v>294</v>
      </c>
      <c r="B174" s="180" t="s">
        <v>649</v>
      </c>
      <c r="C174" s="180" t="s">
        <v>410</v>
      </c>
      <c r="D174" s="180" t="s">
        <v>650</v>
      </c>
      <c r="E174" s="180" t="s">
        <v>543</v>
      </c>
      <c r="F174" s="180">
        <v>12</v>
      </c>
      <c r="G174" s="180" t="s">
        <v>146</v>
      </c>
      <c r="H174" s="489">
        <v>2000</v>
      </c>
      <c r="I174" s="490">
        <v>9.1329999999999995E-2</v>
      </c>
      <c r="J174" s="490"/>
      <c r="L174" s="180" t="s">
        <v>414</v>
      </c>
    </row>
    <row r="175" spans="1:12" s="180" customFormat="1">
      <c r="A175" s="180" t="s">
        <v>294</v>
      </c>
      <c r="B175" s="180" t="s">
        <v>651</v>
      </c>
      <c r="C175" s="180" t="s">
        <v>304</v>
      </c>
      <c r="D175" s="180" t="s">
        <v>652</v>
      </c>
      <c r="E175" s="180" t="s">
        <v>546</v>
      </c>
      <c r="F175" s="180">
        <v>12</v>
      </c>
      <c r="G175" s="180" t="s">
        <v>547</v>
      </c>
      <c r="H175" s="489">
        <v>3000</v>
      </c>
      <c r="I175" s="490">
        <v>8.3180000000000004E-2</v>
      </c>
      <c r="J175" s="490"/>
      <c r="L175" s="180" t="s">
        <v>414</v>
      </c>
    </row>
    <row r="176" spans="1:12" s="180" customFormat="1">
      <c r="A176" s="180" t="s">
        <v>294</v>
      </c>
      <c r="B176" s="180" t="s">
        <v>651</v>
      </c>
      <c r="C176" s="180" t="s">
        <v>410</v>
      </c>
      <c r="D176" s="180" t="s">
        <v>652</v>
      </c>
      <c r="E176" s="180" t="s">
        <v>546</v>
      </c>
      <c r="F176" s="180">
        <v>12</v>
      </c>
      <c r="G176" s="180" t="s">
        <v>547</v>
      </c>
      <c r="H176" s="489">
        <v>3000</v>
      </c>
      <c r="I176" s="490">
        <v>8.3180000000000004E-2</v>
      </c>
      <c r="J176" s="490"/>
      <c r="L176" s="180" t="s">
        <v>414</v>
      </c>
    </row>
    <row r="177" spans="1:12" s="180" customFormat="1">
      <c r="A177" s="180" t="s">
        <v>294</v>
      </c>
      <c r="B177" s="180" t="s">
        <v>653</v>
      </c>
      <c r="C177" s="180" t="s">
        <v>304</v>
      </c>
      <c r="D177" s="180" t="s">
        <v>654</v>
      </c>
      <c r="E177" s="180" t="s">
        <v>481</v>
      </c>
      <c r="F177" s="180">
        <v>10</v>
      </c>
      <c r="G177" s="180" t="s">
        <v>119</v>
      </c>
      <c r="H177" s="489">
        <v>108</v>
      </c>
      <c r="I177" s="490">
        <v>0.24102000000000001</v>
      </c>
      <c r="J177" s="490"/>
      <c r="L177" s="180" t="s">
        <v>414</v>
      </c>
    </row>
    <row r="178" spans="1:12" s="180" customFormat="1">
      <c r="A178" s="180" t="s">
        <v>294</v>
      </c>
      <c r="B178" s="180" t="s">
        <v>653</v>
      </c>
      <c r="C178" s="180" t="s">
        <v>410</v>
      </c>
      <c r="D178" s="180" t="s">
        <v>654</v>
      </c>
      <c r="E178" s="180" t="s">
        <v>481</v>
      </c>
      <c r="F178" s="180">
        <v>10</v>
      </c>
      <c r="G178" s="180" t="s">
        <v>119</v>
      </c>
      <c r="H178" s="489">
        <v>108</v>
      </c>
      <c r="I178" s="490">
        <v>0.24102000000000001</v>
      </c>
      <c r="J178" s="490"/>
      <c r="L178" s="180" t="s">
        <v>414</v>
      </c>
    </row>
    <row r="179" spans="1:12" s="180" customFormat="1">
      <c r="A179" s="180" t="s">
        <v>294</v>
      </c>
      <c r="B179" s="180" t="s">
        <v>655</v>
      </c>
      <c r="C179" s="180" t="s">
        <v>304</v>
      </c>
      <c r="D179" s="180" t="s">
        <v>656</v>
      </c>
      <c r="E179" s="180" t="s">
        <v>500</v>
      </c>
      <c r="F179" s="180">
        <v>10</v>
      </c>
      <c r="G179" s="180" t="s">
        <v>114</v>
      </c>
      <c r="H179" s="489">
        <v>13</v>
      </c>
      <c r="I179" s="490">
        <v>0.46357999999999999</v>
      </c>
      <c r="J179" s="490"/>
      <c r="L179" s="180" t="s">
        <v>414</v>
      </c>
    </row>
    <row r="180" spans="1:12" s="180" customFormat="1">
      <c r="A180" s="180" t="s">
        <v>294</v>
      </c>
      <c r="B180" s="180" t="s">
        <v>655</v>
      </c>
      <c r="C180" s="180" t="s">
        <v>410</v>
      </c>
      <c r="D180" s="180" t="s">
        <v>656</v>
      </c>
      <c r="E180" s="180" t="s">
        <v>500</v>
      </c>
      <c r="F180" s="180">
        <v>10</v>
      </c>
      <c r="G180" s="180" t="s">
        <v>114</v>
      </c>
      <c r="H180" s="489">
        <v>13</v>
      </c>
      <c r="I180" s="490">
        <v>0.46357999999999999</v>
      </c>
      <c r="J180" s="490"/>
      <c r="L180" s="180" t="s">
        <v>414</v>
      </c>
    </row>
    <row r="181" spans="1:12" s="180" customFormat="1">
      <c r="A181" s="180" t="s">
        <v>294</v>
      </c>
      <c r="B181" s="180" t="s">
        <v>657</v>
      </c>
      <c r="C181" s="180" t="s">
        <v>502</v>
      </c>
      <c r="D181" s="180" t="s">
        <v>658</v>
      </c>
      <c r="E181" s="180" t="s">
        <v>504</v>
      </c>
      <c r="F181" s="180">
        <v>10</v>
      </c>
      <c r="G181" s="180" t="s">
        <v>114</v>
      </c>
      <c r="H181" s="489">
        <v>17</v>
      </c>
      <c r="I181" s="490"/>
      <c r="J181" s="490"/>
      <c r="L181" s="180" t="s">
        <v>505</v>
      </c>
    </row>
    <row r="182" spans="1:12" s="180" customFormat="1">
      <c r="A182" s="180" t="s">
        <v>294</v>
      </c>
      <c r="B182" s="180" t="s">
        <v>657</v>
      </c>
      <c r="C182" s="180" t="s">
        <v>410</v>
      </c>
      <c r="D182" s="180" t="s">
        <v>658</v>
      </c>
      <c r="E182" s="180" t="s">
        <v>504</v>
      </c>
      <c r="F182" s="180">
        <v>10</v>
      </c>
      <c r="G182" s="180" t="s">
        <v>114</v>
      </c>
      <c r="H182" s="489">
        <v>17</v>
      </c>
      <c r="I182" s="490"/>
      <c r="J182" s="490"/>
      <c r="L182" s="180" t="s">
        <v>505</v>
      </c>
    </row>
    <row r="183" spans="1:12" s="180" customFormat="1">
      <c r="A183" s="180" t="s">
        <v>294</v>
      </c>
      <c r="B183" s="180" t="s">
        <v>659</v>
      </c>
      <c r="C183" s="180" t="s">
        <v>304</v>
      </c>
      <c r="D183" s="180" t="s">
        <v>660</v>
      </c>
      <c r="E183" s="180" t="s">
        <v>508</v>
      </c>
      <c r="F183" s="180">
        <v>10</v>
      </c>
      <c r="G183" s="180" t="s">
        <v>115</v>
      </c>
      <c r="H183" s="489">
        <v>15.5</v>
      </c>
      <c r="I183" s="490">
        <v>0.49286000000000002</v>
      </c>
      <c r="J183" s="490"/>
      <c r="L183" s="180" t="s">
        <v>414</v>
      </c>
    </row>
    <row r="184" spans="1:12" s="180" customFormat="1">
      <c r="A184" s="180" t="s">
        <v>294</v>
      </c>
      <c r="B184" s="180" t="s">
        <v>659</v>
      </c>
      <c r="C184" s="180" t="s">
        <v>410</v>
      </c>
      <c r="D184" s="180" t="s">
        <v>660</v>
      </c>
      <c r="E184" s="180" t="s">
        <v>508</v>
      </c>
      <c r="F184" s="180">
        <v>10</v>
      </c>
      <c r="G184" s="180" t="s">
        <v>115</v>
      </c>
      <c r="H184" s="489">
        <v>15.5</v>
      </c>
      <c r="I184" s="490">
        <v>0.49286000000000002</v>
      </c>
      <c r="J184" s="490"/>
      <c r="L184" s="180" t="s">
        <v>414</v>
      </c>
    </row>
    <row r="185" spans="1:12" s="180" customFormat="1">
      <c r="A185" s="180" t="s">
        <v>294</v>
      </c>
      <c r="B185" s="180" t="s">
        <v>661</v>
      </c>
      <c r="C185" s="180" t="s">
        <v>304</v>
      </c>
      <c r="D185" s="180" t="s">
        <v>662</v>
      </c>
      <c r="E185" s="180" t="s">
        <v>663</v>
      </c>
      <c r="F185" s="180">
        <v>10</v>
      </c>
      <c r="G185" s="180" t="s">
        <v>116</v>
      </c>
      <c r="H185" s="489">
        <v>19</v>
      </c>
      <c r="I185" s="490">
        <v>0.46310000000000001</v>
      </c>
      <c r="J185" s="490"/>
      <c r="L185" s="180" t="s">
        <v>414</v>
      </c>
    </row>
    <row r="186" spans="1:12" s="180" customFormat="1">
      <c r="A186" s="180" t="s">
        <v>294</v>
      </c>
      <c r="B186" s="180" t="s">
        <v>661</v>
      </c>
      <c r="C186" s="180" t="s">
        <v>410</v>
      </c>
      <c r="D186" s="180" t="s">
        <v>662</v>
      </c>
      <c r="E186" s="180" t="s">
        <v>663</v>
      </c>
      <c r="F186" s="180">
        <v>10</v>
      </c>
      <c r="G186" s="180" t="s">
        <v>116</v>
      </c>
      <c r="H186" s="489">
        <v>19</v>
      </c>
      <c r="I186" s="490">
        <v>0.46310000000000001</v>
      </c>
      <c r="J186" s="490"/>
      <c r="L186" s="180" t="s">
        <v>414</v>
      </c>
    </row>
    <row r="187" spans="1:12" s="180" customFormat="1">
      <c r="A187" s="180" t="s">
        <v>294</v>
      </c>
      <c r="B187" s="180" t="s">
        <v>664</v>
      </c>
      <c r="C187" s="180" t="s">
        <v>502</v>
      </c>
      <c r="D187" s="180" t="s">
        <v>665</v>
      </c>
      <c r="E187" s="180" t="s">
        <v>514</v>
      </c>
      <c r="F187" s="180">
        <v>10</v>
      </c>
      <c r="G187" s="180" t="s">
        <v>115</v>
      </c>
      <c r="H187" s="489">
        <v>23</v>
      </c>
      <c r="I187" s="490"/>
      <c r="J187" s="490"/>
      <c r="L187" s="180" t="s">
        <v>505</v>
      </c>
    </row>
    <row r="188" spans="1:12" s="180" customFormat="1">
      <c r="A188" s="180" t="s">
        <v>294</v>
      </c>
      <c r="B188" s="180" t="s">
        <v>664</v>
      </c>
      <c r="C188" s="180" t="s">
        <v>410</v>
      </c>
      <c r="D188" s="180" t="s">
        <v>665</v>
      </c>
      <c r="E188" s="180" t="s">
        <v>514</v>
      </c>
      <c r="F188" s="180">
        <v>10</v>
      </c>
      <c r="G188" s="180" t="s">
        <v>115</v>
      </c>
      <c r="H188" s="489">
        <v>23</v>
      </c>
      <c r="I188" s="490"/>
      <c r="J188" s="490"/>
      <c r="L188" s="180" t="s">
        <v>505</v>
      </c>
    </row>
    <row r="189" spans="1:12" s="180" customFormat="1">
      <c r="A189" s="180" t="s">
        <v>294</v>
      </c>
      <c r="B189" s="180" t="s">
        <v>666</v>
      </c>
      <c r="C189" s="180" t="s">
        <v>502</v>
      </c>
      <c r="D189" s="180" t="s">
        <v>667</v>
      </c>
      <c r="E189" s="180" t="s">
        <v>517</v>
      </c>
      <c r="F189" s="180">
        <v>10</v>
      </c>
      <c r="G189" s="180" t="s">
        <v>116</v>
      </c>
      <c r="H189" s="489">
        <v>29</v>
      </c>
      <c r="I189" s="490"/>
      <c r="J189" s="490"/>
      <c r="L189" s="180" t="s">
        <v>505</v>
      </c>
    </row>
    <row r="190" spans="1:12" s="180" customFormat="1">
      <c r="A190" s="180" t="s">
        <v>294</v>
      </c>
      <c r="B190" s="180" t="s">
        <v>666</v>
      </c>
      <c r="C190" s="180" t="s">
        <v>410</v>
      </c>
      <c r="D190" s="180" t="s">
        <v>667</v>
      </c>
      <c r="E190" s="180" t="s">
        <v>517</v>
      </c>
      <c r="F190" s="180">
        <v>10</v>
      </c>
      <c r="G190" s="180" t="s">
        <v>116</v>
      </c>
      <c r="H190" s="489">
        <v>29</v>
      </c>
      <c r="I190" s="490"/>
      <c r="J190" s="490"/>
      <c r="L190" s="180" t="s">
        <v>505</v>
      </c>
    </row>
    <row r="191" spans="1:12" s="180" customFormat="1">
      <c r="A191" s="180" t="s">
        <v>294</v>
      </c>
      <c r="B191" s="180" t="s">
        <v>668</v>
      </c>
      <c r="C191" s="180" t="s">
        <v>304</v>
      </c>
      <c r="D191" s="180" t="s">
        <v>669</v>
      </c>
      <c r="E191" s="180" t="s">
        <v>670</v>
      </c>
      <c r="F191" s="180">
        <v>10</v>
      </c>
      <c r="G191" s="180" t="s">
        <v>117</v>
      </c>
      <c r="H191" s="489">
        <v>34</v>
      </c>
      <c r="I191" s="490">
        <v>0.3196</v>
      </c>
      <c r="J191" s="490"/>
      <c r="L191" s="180" t="s">
        <v>414</v>
      </c>
    </row>
    <row r="192" spans="1:12" s="180" customFormat="1">
      <c r="A192" s="180" t="s">
        <v>294</v>
      </c>
      <c r="B192" s="180" t="s">
        <v>668</v>
      </c>
      <c r="C192" s="180" t="s">
        <v>410</v>
      </c>
      <c r="D192" s="180" t="s">
        <v>669</v>
      </c>
      <c r="E192" s="180" t="s">
        <v>670</v>
      </c>
      <c r="F192" s="180">
        <v>10</v>
      </c>
      <c r="G192" s="180" t="s">
        <v>117</v>
      </c>
      <c r="H192" s="489">
        <v>34</v>
      </c>
      <c r="I192" s="490">
        <v>0.3196</v>
      </c>
      <c r="J192" s="490"/>
      <c r="L192" s="180" t="s">
        <v>414</v>
      </c>
    </row>
    <row r="193" spans="1:12" s="180" customFormat="1">
      <c r="A193" s="180" t="s">
        <v>294</v>
      </c>
      <c r="B193" s="180" t="s">
        <v>671</v>
      </c>
      <c r="C193" s="180" t="s">
        <v>304</v>
      </c>
      <c r="D193" s="180" t="s">
        <v>672</v>
      </c>
      <c r="E193" s="180" t="s">
        <v>523</v>
      </c>
      <c r="F193" s="180">
        <v>10</v>
      </c>
      <c r="G193" s="180" t="s">
        <v>524</v>
      </c>
      <c r="H193" s="489">
        <v>40</v>
      </c>
      <c r="I193" s="490">
        <v>0.30826999999999999</v>
      </c>
      <c r="J193" s="490"/>
      <c r="L193" s="180" t="s">
        <v>414</v>
      </c>
    </row>
    <row r="194" spans="1:12" s="180" customFormat="1">
      <c r="A194" s="180" t="s">
        <v>294</v>
      </c>
      <c r="B194" s="180" t="s">
        <v>671</v>
      </c>
      <c r="C194" s="180" t="s">
        <v>410</v>
      </c>
      <c r="D194" s="180" t="s">
        <v>672</v>
      </c>
      <c r="E194" s="180" t="s">
        <v>523</v>
      </c>
      <c r="F194" s="180">
        <v>10</v>
      </c>
      <c r="G194" s="180" t="s">
        <v>524</v>
      </c>
      <c r="H194" s="489">
        <v>40</v>
      </c>
      <c r="I194" s="490">
        <v>0.30826999999999999</v>
      </c>
      <c r="J194" s="490"/>
      <c r="L194" s="180" t="s">
        <v>414</v>
      </c>
    </row>
    <row r="195" spans="1:12" s="180" customFormat="1">
      <c r="A195" s="180" t="s">
        <v>294</v>
      </c>
      <c r="B195" s="180" t="s">
        <v>673</v>
      </c>
      <c r="C195" s="180" t="s">
        <v>502</v>
      </c>
      <c r="D195" s="180" t="s">
        <v>674</v>
      </c>
      <c r="E195" s="180" t="s">
        <v>537</v>
      </c>
      <c r="F195" s="180">
        <v>10</v>
      </c>
      <c r="G195" s="180" t="s">
        <v>524</v>
      </c>
      <c r="H195" s="489">
        <v>87</v>
      </c>
      <c r="I195" s="490"/>
      <c r="J195" s="490"/>
      <c r="L195" s="180" t="s">
        <v>505</v>
      </c>
    </row>
    <row r="196" spans="1:12" s="180" customFormat="1">
      <c r="A196" s="180" t="s">
        <v>294</v>
      </c>
      <c r="B196" s="180" t="s">
        <v>673</v>
      </c>
      <c r="C196" s="180" t="s">
        <v>410</v>
      </c>
      <c r="D196" s="180" t="s">
        <v>674</v>
      </c>
      <c r="E196" s="180" t="s">
        <v>537</v>
      </c>
      <c r="F196" s="180">
        <v>10</v>
      </c>
      <c r="G196" s="180" t="s">
        <v>524</v>
      </c>
      <c r="H196" s="489">
        <v>87</v>
      </c>
      <c r="I196" s="490"/>
      <c r="J196" s="490"/>
      <c r="L196" s="180" t="s">
        <v>505</v>
      </c>
    </row>
    <row r="197" spans="1:12" s="180" customFormat="1">
      <c r="A197" s="180" t="s">
        <v>294</v>
      </c>
      <c r="B197" s="180" t="s">
        <v>675</v>
      </c>
      <c r="C197" s="180" t="s">
        <v>502</v>
      </c>
      <c r="D197" s="180" t="s">
        <v>676</v>
      </c>
      <c r="E197" s="180" t="s">
        <v>540</v>
      </c>
      <c r="F197" s="180">
        <v>10</v>
      </c>
      <c r="G197" s="180" t="s">
        <v>119</v>
      </c>
      <c r="H197" s="489">
        <v>162</v>
      </c>
      <c r="I197" s="490"/>
      <c r="J197" s="490"/>
      <c r="L197" s="180" t="s">
        <v>505</v>
      </c>
    </row>
    <row r="198" spans="1:12" s="180" customFormat="1">
      <c r="A198" s="180" t="s">
        <v>294</v>
      </c>
      <c r="B198" s="180" t="s">
        <v>675</v>
      </c>
      <c r="C198" s="180" t="s">
        <v>410</v>
      </c>
      <c r="D198" s="180" t="s">
        <v>676</v>
      </c>
      <c r="E198" s="180" t="s">
        <v>540</v>
      </c>
      <c r="F198" s="180">
        <v>10</v>
      </c>
      <c r="G198" s="180" t="s">
        <v>119</v>
      </c>
      <c r="H198" s="489">
        <v>162</v>
      </c>
      <c r="I198" s="490"/>
      <c r="J198" s="490"/>
      <c r="L198" s="180" t="s">
        <v>505</v>
      </c>
    </row>
    <row r="199" spans="1:12" s="180" customFormat="1">
      <c r="A199" s="180" t="s">
        <v>294</v>
      </c>
      <c r="B199" s="180" t="s">
        <v>677</v>
      </c>
      <c r="C199" s="180" t="s">
        <v>502</v>
      </c>
      <c r="D199" s="180" t="s">
        <v>678</v>
      </c>
      <c r="E199" s="180" t="s">
        <v>527</v>
      </c>
      <c r="F199" s="180">
        <v>10</v>
      </c>
      <c r="G199" s="180" t="s">
        <v>117</v>
      </c>
      <c r="H199" s="489">
        <v>48</v>
      </c>
      <c r="I199" s="490"/>
      <c r="J199" s="490"/>
      <c r="L199" s="180" t="s">
        <v>505</v>
      </c>
    </row>
    <row r="200" spans="1:12" s="180" customFormat="1">
      <c r="A200" s="180" t="s">
        <v>294</v>
      </c>
      <c r="B200" s="180" t="s">
        <v>677</v>
      </c>
      <c r="C200" s="180" t="s">
        <v>410</v>
      </c>
      <c r="D200" s="180" t="s">
        <v>678</v>
      </c>
      <c r="E200" s="180" t="s">
        <v>527</v>
      </c>
      <c r="F200" s="180">
        <v>10</v>
      </c>
      <c r="G200" s="180" t="s">
        <v>117</v>
      </c>
      <c r="H200" s="489">
        <v>48</v>
      </c>
      <c r="I200" s="490"/>
      <c r="J200" s="490"/>
      <c r="L200" s="180" t="s">
        <v>505</v>
      </c>
    </row>
    <row r="201" spans="1:12" s="180" customFormat="1">
      <c r="A201" s="180" t="s">
        <v>294</v>
      </c>
      <c r="B201" s="180" t="s">
        <v>679</v>
      </c>
      <c r="C201" s="180" t="s">
        <v>549</v>
      </c>
      <c r="D201" s="180" t="s">
        <v>680</v>
      </c>
      <c r="F201" s="180">
        <v>11</v>
      </c>
      <c r="H201" s="489"/>
      <c r="I201" s="490"/>
      <c r="J201" s="490"/>
    </row>
    <row r="202" spans="1:12" s="180" customFormat="1">
      <c r="A202" s="180" t="s">
        <v>294</v>
      </c>
      <c r="B202" s="180" t="s">
        <v>681</v>
      </c>
      <c r="C202" s="180" t="s">
        <v>549</v>
      </c>
      <c r="D202" s="180" t="s">
        <v>682</v>
      </c>
      <c r="H202" s="489"/>
      <c r="I202" s="490"/>
      <c r="J202" s="490"/>
    </row>
    <row r="203" spans="1:12" s="180" customFormat="1">
      <c r="A203" s="180" t="s">
        <v>294</v>
      </c>
      <c r="B203" s="180" t="s">
        <v>683</v>
      </c>
      <c r="C203" s="180" t="s">
        <v>304</v>
      </c>
      <c r="D203" s="180" t="s">
        <v>684</v>
      </c>
      <c r="H203" s="489"/>
      <c r="I203" s="490"/>
      <c r="J203" s="490"/>
    </row>
    <row r="204" spans="1:12" s="180" customFormat="1">
      <c r="A204" s="180" t="s">
        <v>294</v>
      </c>
      <c r="B204" s="180" t="s">
        <v>685</v>
      </c>
      <c r="C204" s="180" t="s">
        <v>549</v>
      </c>
      <c r="D204" s="180" t="s">
        <v>686</v>
      </c>
      <c r="H204" s="489"/>
      <c r="I204" s="490"/>
      <c r="J204" s="490"/>
    </row>
    <row r="205" spans="1:12" s="180" customFormat="1">
      <c r="A205" s="180" t="s">
        <v>294</v>
      </c>
      <c r="B205" s="180" t="s">
        <v>687</v>
      </c>
      <c r="C205" s="180" t="s">
        <v>549</v>
      </c>
      <c r="D205" s="180" t="s">
        <v>688</v>
      </c>
      <c r="H205" s="489"/>
      <c r="I205" s="490"/>
      <c r="J205" s="490"/>
    </row>
    <row r="206" spans="1:12" s="180" customFormat="1">
      <c r="A206" s="180" t="s">
        <v>294</v>
      </c>
      <c r="B206" s="180" t="s">
        <v>689</v>
      </c>
      <c r="C206" s="180" t="s">
        <v>549</v>
      </c>
      <c r="D206" s="180" t="s">
        <v>690</v>
      </c>
      <c r="H206" s="489"/>
      <c r="I206" s="490"/>
      <c r="J206" s="490"/>
    </row>
    <row r="207" spans="1:12" s="180" customFormat="1">
      <c r="A207" s="180" t="s">
        <v>294</v>
      </c>
      <c r="B207" s="180" t="s">
        <v>691</v>
      </c>
      <c r="C207" s="180" t="s">
        <v>549</v>
      </c>
      <c r="D207" s="180" t="s">
        <v>692</v>
      </c>
      <c r="H207" s="489"/>
      <c r="I207" s="490"/>
      <c r="J207" s="490"/>
    </row>
    <row r="208" spans="1:12" s="180" customFormat="1">
      <c r="A208" s="180" t="s">
        <v>294</v>
      </c>
      <c r="B208" s="180" t="s">
        <v>693</v>
      </c>
      <c r="C208" s="180" t="s">
        <v>327</v>
      </c>
      <c r="D208" s="180" t="s">
        <v>694</v>
      </c>
      <c r="E208" s="180" t="s">
        <v>695</v>
      </c>
      <c r="F208" s="180" t="s">
        <v>696</v>
      </c>
      <c r="G208" s="180" t="s">
        <v>584</v>
      </c>
      <c r="H208" s="489">
        <v>3900</v>
      </c>
      <c r="I208" s="490">
        <v>3.5000000000000003E-2</v>
      </c>
      <c r="J208" s="490"/>
      <c r="L208" s="180" t="s">
        <v>559</v>
      </c>
    </row>
    <row r="209" spans="1:12" s="180" customFormat="1">
      <c r="A209" s="180" t="s">
        <v>294</v>
      </c>
      <c r="B209" s="180" t="s">
        <v>697</v>
      </c>
      <c r="C209" s="180" t="s">
        <v>327</v>
      </c>
      <c r="D209" s="180" t="s">
        <v>698</v>
      </c>
      <c r="E209" s="180" t="s">
        <v>695</v>
      </c>
      <c r="F209" s="180" t="s">
        <v>696</v>
      </c>
      <c r="G209" s="180" t="s">
        <v>584</v>
      </c>
      <c r="H209" s="489"/>
      <c r="I209" s="490">
        <v>3.5000000000000003E-2</v>
      </c>
      <c r="J209" s="490"/>
      <c r="L209" s="180" t="s">
        <v>559</v>
      </c>
    </row>
    <row r="210" spans="1:12" s="180" customFormat="1">
      <c r="A210" s="180" t="s">
        <v>294</v>
      </c>
      <c r="B210" s="180" t="s">
        <v>699</v>
      </c>
      <c r="C210" s="180" t="s">
        <v>625</v>
      </c>
      <c r="D210" s="180" t="s">
        <v>700</v>
      </c>
      <c r="E210" s="180" t="s">
        <v>695</v>
      </c>
      <c r="F210" s="180" t="s">
        <v>696</v>
      </c>
      <c r="G210" s="180" t="s">
        <v>584</v>
      </c>
      <c r="H210" s="489"/>
      <c r="I210" s="490">
        <v>3.5000000000000003E-2</v>
      </c>
      <c r="J210" s="490"/>
      <c r="L210" s="180" t="s">
        <v>559</v>
      </c>
    </row>
    <row r="211" spans="1:12" s="180" customFormat="1">
      <c r="A211" s="180" t="s">
        <v>294</v>
      </c>
      <c r="B211" s="180" t="s">
        <v>701</v>
      </c>
      <c r="C211" s="180" t="s">
        <v>327</v>
      </c>
      <c r="D211" s="180" t="s">
        <v>702</v>
      </c>
      <c r="E211" s="180" t="s">
        <v>695</v>
      </c>
      <c r="F211" s="180" t="s">
        <v>696</v>
      </c>
      <c r="G211" s="180" t="s">
        <v>584</v>
      </c>
      <c r="H211" s="489">
        <v>8848</v>
      </c>
      <c r="I211" s="490"/>
      <c r="J211" s="490"/>
      <c r="L211" s="180" t="s">
        <v>559</v>
      </c>
    </row>
    <row r="212" spans="1:12" s="180" customFormat="1">
      <c r="A212" s="180" t="s">
        <v>294</v>
      </c>
      <c r="B212" s="180" t="s">
        <v>701</v>
      </c>
      <c r="C212" s="180" t="s">
        <v>703</v>
      </c>
      <c r="D212" s="180" t="s">
        <v>702</v>
      </c>
      <c r="E212" s="180" t="s">
        <v>695</v>
      </c>
      <c r="F212" s="180" t="s">
        <v>696</v>
      </c>
      <c r="G212" s="180" t="s">
        <v>584</v>
      </c>
      <c r="H212" s="489">
        <v>10552</v>
      </c>
      <c r="I212" s="490"/>
      <c r="J212" s="490"/>
      <c r="L212" s="180" t="s">
        <v>559</v>
      </c>
    </row>
    <row r="213" spans="1:12" s="180" customFormat="1">
      <c r="A213" s="180" t="s">
        <v>294</v>
      </c>
      <c r="B213" s="180" t="s">
        <v>701</v>
      </c>
      <c r="C213" s="180" t="s">
        <v>704</v>
      </c>
      <c r="D213" s="180" t="s">
        <v>702</v>
      </c>
      <c r="E213" s="180" t="s">
        <v>695</v>
      </c>
      <c r="F213" s="180" t="s">
        <v>696</v>
      </c>
      <c r="G213" s="180" t="s">
        <v>584</v>
      </c>
      <c r="H213" s="489">
        <v>12593</v>
      </c>
      <c r="I213" s="490"/>
      <c r="J213" s="490"/>
      <c r="L213" s="180" t="s">
        <v>559</v>
      </c>
    </row>
    <row r="214" spans="1:12" s="180" customFormat="1">
      <c r="A214" s="180" t="s">
        <v>294</v>
      </c>
      <c r="B214" s="180" t="s">
        <v>701</v>
      </c>
      <c r="C214" s="180" t="s">
        <v>705</v>
      </c>
      <c r="D214" s="180" t="s">
        <v>702</v>
      </c>
      <c r="E214" s="180" t="s">
        <v>695</v>
      </c>
      <c r="F214" s="180" t="s">
        <v>696</v>
      </c>
      <c r="G214" s="180" t="s">
        <v>584</v>
      </c>
      <c r="H214" s="489">
        <v>15996</v>
      </c>
      <c r="I214" s="490"/>
      <c r="J214" s="490"/>
      <c r="L214" s="180" t="s">
        <v>559</v>
      </c>
    </row>
    <row r="215" spans="1:12" s="180" customFormat="1">
      <c r="A215" s="180" t="s">
        <v>294</v>
      </c>
      <c r="B215" s="180" t="s">
        <v>706</v>
      </c>
      <c r="C215" s="180" t="s">
        <v>324</v>
      </c>
      <c r="D215" s="180" t="s">
        <v>707</v>
      </c>
      <c r="E215" s="180" t="s">
        <v>376</v>
      </c>
      <c r="F215" s="180">
        <v>24</v>
      </c>
      <c r="G215" s="180" t="s">
        <v>100</v>
      </c>
      <c r="H215" s="489">
        <v>17.5</v>
      </c>
      <c r="I215" s="490">
        <v>0.55700000000000005</v>
      </c>
      <c r="J215" s="490"/>
      <c r="L215" s="180" t="s">
        <v>414</v>
      </c>
    </row>
    <row r="216" spans="1:12" s="180" customFormat="1">
      <c r="A216" s="180" t="s">
        <v>294</v>
      </c>
      <c r="B216" s="180" t="s">
        <v>706</v>
      </c>
      <c r="C216" s="180" t="s">
        <v>708</v>
      </c>
      <c r="D216" s="180" t="s">
        <v>707</v>
      </c>
      <c r="E216" s="180" t="s">
        <v>376</v>
      </c>
      <c r="F216" s="180">
        <v>24</v>
      </c>
      <c r="G216" s="180" t="s">
        <v>100</v>
      </c>
      <c r="H216" s="489">
        <v>17.5</v>
      </c>
      <c r="I216" s="490">
        <v>0.55700000000000005</v>
      </c>
      <c r="J216" s="490"/>
      <c r="L216" s="180" t="s">
        <v>414</v>
      </c>
    </row>
    <row r="217" spans="1:12" s="180" customFormat="1">
      <c r="A217" s="180" t="s">
        <v>294</v>
      </c>
      <c r="B217" s="180" t="s">
        <v>709</v>
      </c>
      <c r="C217" s="180" t="s">
        <v>324</v>
      </c>
      <c r="D217" s="180" t="s">
        <v>710</v>
      </c>
      <c r="E217" s="180" t="s">
        <v>376</v>
      </c>
      <c r="F217" s="180">
        <v>25</v>
      </c>
      <c r="G217" s="180" t="s">
        <v>151</v>
      </c>
      <c r="H217" s="489">
        <v>17.5</v>
      </c>
      <c r="I217" s="490">
        <v>0.55700000000000005</v>
      </c>
      <c r="J217" s="490"/>
      <c r="L217" s="180" t="s">
        <v>414</v>
      </c>
    </row>
    <row r="218" spans="1:12" s="180" customFormat="1">
      <c r="A218" s="180" t="s">
        <v>294</v>
      </c>
      <c r="B218" s="180" t="s">
        <v>709</v>
      </c>
      <c r="C218" s="180" t="s">
        <v>708</v>
      </c>
      <c r="D218" s="180" t="s">
        <v>710</v>
      </c>
      <c r="E218" s="180" t="s">
        <v>376</v>
      </c>
      <c r="F218" s="180">
        <v>25</v>
      </c>
      <c r="G218" s="180" t="s">
        <v>151</v>
      </c>
      <c r="H218" s="489">
        <v>17.5</v>
      </c>
      <c r="I218" s="490">
        <v>0.55700000000000005</v>
      </c>
      <c r="J218" s="490"/>
      <c r="L218" s="180" t="s">
        <v>414</v>
      </c>
    </row>
    <row r="219" spans="1:12" s="180" customFormat="1">
      <c r="A219" s="180" t="s">
        <v>294</v>
      </c>
      <c r="B219" s="180" t="s">
        <v>709</v>
      </c>
      <c r="C219" s="180" t="s">
        <v>410</v>
      </c>
      <c r="D219" s="180" t="s">
        <v>710</v>
      </c>
      <c r="E219" s="180" t="s">
        <v>376</v>
      </c>
      <c r="F219" s="180">
        <v>25</v>
      </c>
      <c r="G219" s="180" t="s">
        <v>151</v>
      </c>
      <c r="H219" s="489">
        <v>17.5</v>
      </c>
      <c r="I219" s="490">
        <v>0.55700000000000005</v>
      </c>
      <c r="J219" s="490"/>
      <c r="L219" s="180" t="s">
        <v>414</v>
      </c>
    </row>
    <row r="220" spans="1:12" s="180" customFormat="1">
      <c r="A220" s="180" t="s">
        <v>294</v>
      </c>
      <c r="B220" s="180" t="s">
        <v>711</v>
      </c>
      <c r="C220" s="180" t="s">
        <v>712</v>
      </c>
      <c r="D220" s="180" t="s">
        <v>411</v>
      </c>
      <c r="E220" s="180" t="s">
        <v>412</v>
      </c>
      <c r="F220" s="180">
        <v>29</v>
      </c>
      <c r="G220" s="180" t="s">
        <v>102</v>
      </c>
      <c r="H220" s="489">
        <v>175</v>
      </c>
      <c r="I220" s="490">
        <v>0.218</v>
      </c>
      <c r="J220" s="490"/>
      <c r="L220" s="180" t="s">
        <v>414</v>
      </c>
    </row>
    <row r="221" spans="1:12" s="180" customFormat="1">
      <c r="A221" s="180" t="s">
        <v>294</v>
      </c>
      <c r="B221" s="180" t="s">
        <v>713</v>
      </c>
      <c r="C221" s="180" t="s">
        <v>714</v>
      </c>
      <c r="D221" s="180" t="s">
        <v>715</v>
      </c>
      <c r="E221" s="180" t="s">
        <v>382</v>
      </c>
      <c r="F221" s="180">
        <v>28</v>
      </c>
      <c r="G221" s="180" t="s">
        <v>101</v>
      </c>
      <c r="H221" s="489">
        <v>175</v>
      </c>
      <c r="I221" s="490">
        <v>0.218</v>
      </c>
      <c r="J221" s="490"/>
      <c r="L221" s="180" t="s">
        <v>414</v>
      </c>
    </row>
    <row r="222" spans="1:12" s="180" customFormat="1">
      <c r="A222" s="180" t="s">
        <v>294</v>
      </c>
      <c r="B222" s="180" t="s">
        <v>716</v>
      </c>
      <c r="C222" s="180" t="s">
        <v>324</v>
      </c>
      <c r="D222" s="180" t="s">
        <v>717</v>
      </c>
      <c r="E222" s="180" t="s">
        <v>376</v>
      </c>
      <c r="F222" s="180" t="s">
        <v>718</v>
      </c>
      <c r="G222" s="180" t="s">
        <v>100</v>
      </c>
      <c r="H222" s="489">
        <v>17.5</v>
      </c>
      <c r="I222" s="490">
        <v>0.55700000000000005</v>
      </c>
      <c r="J222" s="490"/>
      <c r="L222" s="180" t="s">
        <v>414</v>
      </c>
    </row>
    <row r="223" spans="1:12" s="180" customFormat="1">
      <c r="A223" s="180" t="s">
        <v>294</v>
      </c>
      <c r="B223" s="180" t="s">
        <v>716</v>
      </c>
      <c r="C223" s="180" t="s">
        <v>708</v>
      </c>
      <c r="D223" s="180" t="s">
        <v>717</v>
      </c>
      <c r="E223" s="180" t="s">
        <v>376</v>
      </c>
      <c r="F223" s="180" t="s">
        <v>718</v>
      </c>
      <c r="G223" s="180" t="s">
        <v>100</v>
      </c>
      <c r="H223" s="489">
        <v>17.5</v>
      </c>
      <c r="I223" s="490">
        <v>0.55700000000000005</v>
      </c>
      <c r="J223" s="490"/>
      <c r="L223" s="180" t="s">
        <v>414</v>
      </c>
    </row>
    <row r="224" spans="1:12" s="180" customFormat="1">
      <c r="A224" s="180" t="s">
        <v>294</v>
      </c>
      <c r="B224" s="180" t="s">
        <v>719</v>
      </c>
      <c r="C224" s="180" t="s">
        <v>324</v>
      </c>
      <c r="D224" s="180" t="s">
        <v>720</v>
      </c>
      <c r="E224" s="180" t="s">
        <v>376</v>
      </c>
      <c r="F224" s="180" t="s">
        <v>718</v>
      </c>
      <c r="G224" s="180" t="s">
        <v>151</v>
      </c>
      <c r="H224" s="489">
        <v>17.5</v>
      </c>
      <c r="I224" s="490">
        <v>0.55700000000000005</v>
      </c>
      <c r="J224" s="490"/>
      <c r="L224" s="180" t="s">
        <v>414</v>
      </c>
    </row>
    <row r="225" spans="1:12" s="180" customFormat="1">
      <c r="A225" s="180" t="s">
        <v>294</v>
      </c>
      <c r="B225" s="180" t="s">
        <v>719</v>
      </c>
      <c r="C225" s="180" t="s">
        <v>708</v>
      </c>
      <c r="D225" s="180" t="s">
        <v>720</v>
      </c>
      <c r="E225" s="180" t="s">
        <v>376</v>
      </c>
      <c r="F225" s="180" t="s">
        <v>718</v>
      </c>
      <c r="G225" s="180" t="s">
        <v>151</v>
      </c>
      <c r="H225" s="489">
        <v>17.5</v>
      </c>
      <c r="I225" s="490">
        <v>0.55700000000000005</v>
      </c>
      <c r="J225" s="490"/>
      <c r="L225" s="180" t="s">
        <v>414</v>
      </c>
    </row>
    <row r="226" spans="1:12" s="180" customFormat="1">
      <c r="A226" s="180" t="s">
        <v>294</v>
      </c>
      <c r="B226" s="180" t="s">
        <v>719</v>
      </c>
      <c r="C226" s="180" t="s">
        <v>410</v>
      </c>
      <c r="D226" s="180" t="s">
        <v>720</v>
      </c>
      <c r="E226" s="180" t="s">
        <v>376</v>
      </c>
      <c r="F226" s="180" t="s">
        <v>718</v>
      </c>
      <c r="G226" s="180" t="s">
        <v>151</v>
      </c>
      <c r="H226" s="489">
        <v>17.5</v>
      </c>
      <c r="I226" s="490">
        <v>0.55700000000000005</v>
      </c>
      <c r="J226" s="490"/>
      <c r="L226" s="180" t="s">
        <v>414</v>
      </c>
    </row>
    <row r="227" spans="1:12" s="180" customFormat="1">
      <c r="A227" s="180" t="s">
        <v>294</v>
      </c>
      <c r="B227" s="180" t="s">
        <v>721</v>
      </c>
      <c r="C227" s="180" t="s">
        <v>324</v>
      </c>
      <c r="D227" s="180" t="s">
        <v>722</v>
      </c>
      <c r="E227" s="180" t="s">
        <v>298</v>
      </c>
      <c r="F227" s="180">
        <v>22</v>
      </c>
      <c r="G227" s="180" t="s">
        <v>112</v>
      </c>
      <c r="H227" s="489">
        <v>8.5</v>
      </c>
      <c r="I227" s="490">
        <v>0.55700000000000005</v>
      </c>
      <c r="J227" s="490"/>
      <c r="L227" s="180" t="s">
        <v>414</v>
      </c>
    </row>
    <row r="228" spans="1:12" s="180" customFormat="1">
      <c r="A228" s="180" t="s">
        <v>294</v>
      </c>
      <c r="B228" s="180" t="s">
        <v>721</v>
      </c>
      <c r="C228" s="180" t="s">
        <v>708</v>
      </c>
      <c r="D228" s="180" t="s">
        <v>722</v>
      </c>
      <c r="E228" s="180" t="s">
        <v>298</v>
      </c>
      <c r="F228" s="180">
        <v>22</v>
      </c>
      <c r="G228" s="180" t="s">
        <v>112</v>
      </c>
      <c r="H228" s="489">
        <v>8.5</v>
      </c>
      <c r="I228" s="490">
        <v>0.55700000000000005</v>
      </c>
      <c r="J228" s="490"/>
      <c r="L228" s="180" t="s">
        <v>414</v>
      </c>
    </row>
    <row r="229" spans="1:12" s="180" customFormat="1">
      <c r="A229" s="180" t="s">
        <v>294</v>
      </c>
      <c r="B229" s="180" t="s">
        <v>723</v>
      </c>
      <c r="C229" s="180" t="s">
        <v>724</v>
      </c>
      <c r="D229" s="180" t="s">
        <v>725</v>
      </c>
      <c r="E229" s="180" t="s">
        <v>472</v>
      </c>
      <c r="F229" s="180" t="s">
        <v>377</v>
      </c>
      <c r="H229" s="489">
        <v>15</v>
      </c>
      <c r="I229" s="490">
        <v>0.23435</v>
      </c>
      <c r="J229" s="490"/>
    </row>
    <row r="230" spans="1:12" s="180" customFormat="1">
      <c r="A230" s="180" t="s">
        <v>294</v>
      </c>
      <c r="B230" s="180" t="s">
        <v>726</v>
      </c>
      <c r="C230" s="180" t="s">
        <v>724</v>
      </c>
      <c r="D230" s="180" t="s">
        <v>727</v>
      </c>
      <c r="E230" s="180" t="s">
        <v>298</v>
      </c>
      <c r="F230" s="180" t="s">
        <v>112</v>
      </c>
      <c r="H230" s="489">
        <v>8</v>
      </c>
      <c r="I230" s="490">
        <v>0.38514999999999999</v>
      </c>
      <c r="J230" s="490"/>
    </row>
    <row r="231" spans="1:12" s="180" customFormat="1">
      <c r="A231" s="180" t="s">
        <v>294</v>
      </c>
      <c r="B231" s="180" t="s">
        <v>728</v>
      </c>
      <c r="C231" s="180" t="s">
        <v>724</v>
      </c>
      <c r="D231" s="180" t="s">
        <v>729</v>
      </c>
      <c r="E231" s="180" t="s">
        <v>382</v>
      </c>
      <c r="F231" s="180" t="s">
        <v>383</v>
      </c>
      <c r="H231" s="489">
        <v>45</v>
      </c>
      <c r="I231" s="490">
        <v>0.16766</v>
      </c>
      <c r="J231" s="490"/>
    </row>
    <row r="232" spans="1:12" s="180" customFormat="1">
      <c r="A232" s="180" t="s">
        <v>294</v>
      </c>
      <c r="B232" s="180" t="s">
        <v>730</v>
      </c>
      <c r="C232" s="180" t="s">
        <v>374</v>
      </c>
      <c r="D232" s="180" t="s">
        <v>731</v>
      </c>
      <c r="E232" s="180" t="s">
        <v>376</v>
      </c>
      <c r="F232" s="180" t="s">
        <v>377</v>
      </c>
      <c r="G232" s="180" t="s">
        <v>100</v>
      </c>
      <c r="H232" s="489">
        <v>20</v>
      </c>
      <c r="I232" s="490">
        <v>0.39135999999999999</v>
      </c>
      <c r="J232" s="490"/>
      <c r="L232" s="180" t="s">
        <v>299</v>
      </c>
    </row>
    <row r="233" spans="1:12" s="180" customFormat="1">
      <c r="A233" s="180" t="s">
        <v>294</v>
      </c>
      <c r="B233" s="180" t="s">
        <v>730</v>
      </c>
      <c r="C233" s="180" t="s">
        <v>732</v>
      </c>
      <c r="D233" s="180" t="s">
        <v>731</v>
      </c>
      <c r="E233" s="180" t="s">
        <v>376</v>
      </c>
      <c r="F233" s="180" t="s">
        <v>377</v>
      </c>
      <c r="G233" s="180" t="s">
        <v>100</v>
      </c>
      <c r="H233" s="489">
        <v>20</v>
      </c>
      <c r="I233" s="490">
        <v>0.39135999999999999</v>
      </c>
      <c r="J233" s="490"/>
      <c r="L233" s="180" t="s">
        <v>299</v>
      </c>
    </row>
    <row r="234" spans="1:12" s="180" customFormat="1">
      <c r="A234" s="180" t="s">
        <v>294</v>
      </c>
      <c r="B234" s="180" t="s">
        <v>733</v>
      </c>
      <c r="C234" s="180" t="s">
        <v>374</v>
      </c>
      <c r="D234" s="180" t="s">
        <v>734</v>
      </c>
      <c r="E234" s="180" t="s">
        <v>298</v>
      </c>
      <c r="F234" s="180" t="s">
        <v>112</v>
      </c>
      <c r="G234" s="180" t="s">
        <v>112</v>
      </c>
      <c r="H234" s="489">
        <v>11</v>
      </c>
      <c r="I234" s="490">
        <v>0.49828</v>
      </c>
      <c r="J234" s="490"/>
      <c r="L234" s="180" t="s">
        <v>299</v>
      </c>
    </row>
    <row r="235" spans="1:12" s="180" customFormat="1">
      <c r="A235" s="180" t="s">
        <v>294</v>
      </c>
      <c r="B235" s="180" t="s">
        <v>735</v>
      </c>
      <c r="C235" s="180" t="s">
        <v>736</v>
      </c>
      <c r="D235" s="180" t="s">
        <v>731</v>
      </c>
      <c r="E235" s="180" t="s">
        <v>408</v>
      </c>
      <c r="F235" s="180" t="s">
        <v>377</v>
      </c>
      <c r="G235" s="180" t="s">
        <v>133</v>
      </c>
      <c r="H235" s="489">
        <v>33</v>
      </c>
      <c r="I235" s="490">
        <v>0.39135999999999999</v>
      </c>
      <c r="J235" s="490"/>
      <c r="L235" s="180" t="s">
        <v>299</v>
      </c>
    </row>
    <row r="236" spans="1:12" s="180" customFormat="1">
      <c r="A236" s="180" t="s">
        <v>294</v>
      </c>
      <c r="B236" s="180" t="s">
        <v>737</v>
      </c>
      <c r="C236" s="180" t="s">
        <v>374</v>
      </c>
      <c r="D236" s="180" t="s">
        <v>738</v>
      </c>
      <c r="E236" s="180" t="s">
        <v>382</v>
      </c>
      <c r="F236" s="180" t="s">
        <v>383</v>
      </c>
      <c r="G236" s="180" t="s">
        <v>101</v>
      </c>
      <c r="H236" s="489">
        <v>90</v>
      </c>
      <c r="I236" s="490">
        <v>0.35365999999999997</v>
      </c>
      <c r="J236" s="490"/>
      <c r="L236" s="180" t="s">
        <v>299</v>
      </c>
    </row>
    <row r="237" spans="1:12" s="180" customFormat="1">
      <c r="A237" s="180" t="s">
        <v>294</v>
      </c>
      <c r="B237" s="180" t="s">
        <v>739</v>
      </c>
      <c r="C237" s="180" t="s">
        <v>736</v>
      </c>
      <c r="D237" s="180" t="s">
        <v>740</v>
      </c>
      <c r="E237" s="180" t="s">
        <v>408</v>
      </c>
      <c r="F237" s="180" t="s">
        <v>377</v>
      </c>
      <c r="G237" s="180" t="s">
        <v>133</v>
      </c>
      <c r="H237" s="489">
        <v>33</v>
      </c>
      <c r="I237" s="490">
        <v>0.39135999999999999</v>
      </c>
      <c r="J237" s="490"/>
      <c r="L237" s="180" t="s">
        <v>299</v>
      </c>
    </row>
    <row r="238" spans="1:12" s="180" customFormat="1">
      <c r="A238" s="180" t="s">
        <v>294</v>
      </c>
      <c r="B238" s="180" t="s">
        <v>741</v>
      </c>
      <c r="C238" s="180" t="s">
        <v>304</v>
      </c>
      <c r="D238" s="180" t="s">
        <v>742</v>
      </c>
      <c r="E238" s="180" t="s">
        <v>743</v>
      </c>
      <c r="F238" s="180" t="s">
        <v>744</v>
      </c>
      <c r="G238" s="180" t="s">
        <v>100</v>
      </c>
      <c r="H238" s="489">
        <v>100</v>
      </c>
      <c r="I238" s="490">
        <v>0.17111000000000001</v>
      </c>
      <c r="J238" s="490"/>
      <c r="L238" s="180" t="s">
        <v>414</v>
      </c>
    </row>
    <row r="239" spans="1:12" s="180" customFormat="1">
      <c r="A239" s="180" t="s">
        <v>294</v>
      </c>
      <c r="B239" s="180" t="s">
        <v>741</v>
      </c>
      <c r="C239" s="180" t="s">
        <v>478</v>
      </c>
      <c r="D239" s="180" t="s">
        <v>742</v>
      </c>
      <c r="E239" s="180" t="s">
        <v>743</v>
      </c>
      <c r="F239" s="180" t="s">
        <v>744</v>
      </c>
      <c r="G239" s="180" t="s">
        <v>100</v>
      </c>
      <c r="H239" s="489">
        <v>100</v>
      </c>
      <c r="I239" s="490">
        <v>0.17111000000000001</v>
      </c>
      <c r="J239" s="490"/>
      <c r="L239" s="180" t="s">
        <v>414</v>
      </c>
    </row>
    <row r="240" spans="1:12" s="180" customFormat="1">
      <c r="A240" s="180" t="s">
        <v>294</v>
      </c>
      <c r="B240" s="180" t="s">
        <v>745</v>
      </c>
      <c r="C240" s="180" t="s">
        <v>374</v>
      </c>
      <c r="D240" s="180" t="s">
        <v>746</v>
      </c>
      <c r="E240" s="180" t="s">
        <v>376</v>
      </c>
      <c r="F240" s="180" t="s">
        <v>554</v>
      </c>
      <c r="G240" s="180" t="s">
        <v>151</v>
      </c>
      <c r="H240" s="489">
        <v>20</v>
      </c>
      <c r="I240" s="490">
        <v>0.39135999999999999</v>
      </c>
      <c r="J240" s="490"/>
    </row>
    <row r="241" spans="1:12" s="180" customFormat="1">
      <c r="A241" s="180" t="s">
        <v>294</v>
      </c>
      <c r="B241" s="180" t="s">
        <v>745</v>
      </c>
      <c r="C241" s="180" t="s">
        <v>410</v>
      </c>
      <c r="D241" s="180" t="s">
        <v>746</v>
      </c>
      <c r="E241" s="180" t="s">
        <v>376</v>
      </c>
      <c r="F241" s="180" t="s">
        <v>554</v>
      </c>
      <c r="G241" s="180" t="s">
        <v>151</v>
      </c>
      <c r="H241" s="489">
        <v>20</v>
      </c>
      <c r="I241" s="490">
        <v>0.39135999999999999</v>
      </c>
      <c r="J241" s="490"/>
    </row>
    <row r="242" spans="1:12" s="180" customFormat="1">
      <c r="A242" s="180" t="s">
        <v>294</v>
      </c>
      <c r="B242" s="180" t="s">
        <v>745</v>
      </c>
      <c r="C242" s="180" t="s">
        <v>462</v>
      </c>
      <c r="D242" s="180" t="s">
        <v>746</v>
      </c>
      <c r="E242" s="180" t="s">
        <v>376</v>
      </c>
      <c r="F242" s="180" t="s">
        <v>554</v>
      </c>
      <c r="G242" s="180" t="s">
        <v>151</v>
      </c>
      <c r="H242" s="489">
        <v>20</v>
      </c>
      <c r="I242" s="490">
        <v>0.39135999999999999</v>
      </c>
      <c r="J242" s="490"/>
    </row>
    <row r="243" spans="1:12" s="180" customFormat="1">
      <c r="A243" s="180" t="s">
        <v>294</v>
      </c>
      <c r="B243" s="180" t="s">
        <v>747</v>
      </c>
      <c r="C243" s="180" t="s">
        <v>736</v>
      </c>
      <c r="D243" s="180" t="s">
        <v>748</v>
      </c>
      <c r="E243" s="180" t="s">
        <v>408</v>
      </c>
      <c r="F243" s="180" t="s">
        <v>554</v>
      </c>
      <c r="G243" s="180" t="s">
        <v>749</v>
      </c>
      <c r="H243" s="489">
        <v>33</v>
      </c>
      <c r="I243" s="490">
        <v>0.39135999999999999</v>
      </c>
      <c r="J243" s="490"/>
      <c r="L243" s="180" t="s">
        <v>414</v>
      </c>
    </row>
    <row r="244" spans="1:12" s="180" customFormat="1">
      <c r="A244" s="180" t="s">
        <v>294</v>
      </c>
      <c r="B244" s="180" t="s">
        <v>747</v>
      </c>
      <c r="C244" s="180" t="s">
        <v>410</v>
      </c>
      <c r="D244" s="180" t="s">
        <v>748</v>
      </c>
      <c r="E244" s="180" t="s">
        <v>408</v>
      </c>
      <c r="F244" s="180" t="s">
        <v>554</v>
      </c>
      <c r="G244" s="180" t="s">
        <v>749</v>
      </c>
      <c r="H244" s="489">
        <v>33</v>
      </c>
      <c r="I244" s="490">
        <v>0.39135999999999999</v>
      </c>
      <c r="J244" s="490"/>
      <c r="L244" s="180" t="s">
        <v>414</v>
      </c>
    </row>
    <row r="245" spans="1:12" s="180" customFormat="1">
      <c r="A245" s="180" t="s">
        <v>294</v>
      </c>
      <c r="B245" s="180" t="s">
        <v>750</v>
      </c>
      <c r="C245" s="180" t="s">
        <v>374</v>
      </c>
      <c r="D245" s="180" t="s">
        <v>707</v>
      </c>
      <c r="E245" s="180" t="s">
        <v>376</v>
      </c>
      <c r="F245" s="180" t="s">
        <v>377</v>
      </c>
      <c r="G245" s="180" t="s">
        <v>100</v>
      </c>
      <c r="H245" s="489">
        <v>20</v>
      </c>
      <c r="I245" s="490">
        <v>0.39135999999999999</v>
      </c>
      <c r="J245" s="490"/>
      <c r="L245" s="180" t="s">
        <v>414</v>
      </c>
    </row>
    <row r="246" spans="1:12" s="180" customFormat="1">
      <c r="A246" s="180" t="s">
        <v>294</v>
      </c>
      <c r="B246" s="180" t="s">
        <v>751</v>
      </c>
      <c r="C246" s="180" t="s">
        <v>736</v>
      </c>
      <c r="D246" s="180" t="s">
        <v>752</v>
      </c>
      <c r="E246" s="180" t="s">
        <v>408</v>
      </c>
      <c r="F246" s="180" t="s">
        <v>377</v>
      </c>
      <c r="G246" s="180" t="s">
        <v>133</v>
      </c>
      <c r="H246" s="489">
        <v>33</v>
      </c>
      <c r="I246" s="490">
        <v>0.39135999999999999</v>
      </c>
      <c r="J246" s="490"/>
      <c r="L246" s="180" t="s">
        <v>414</v>
      </c>
    </row>
    <row r="247" spans="1:12" s="180" customFormat="1">
      <c r="A247" s="180" t="s">
        <v>294</v>
      </c>
      <c r="B247" s="180" t="s">
        <v>753</v>
      </c>
      <c r="C247" s="180" t="s">
        <v>374</v>
      </c>
      <c r="D247" s="180" t="s">
        <v>710</v>
      </c>
      <c r="E247" s="180" t="s">
        <v>376</v>
      </c>
      <c r="F247" s="180" t="s">
        <v>465</v>
      </c>
      <c r="G247" s="180" t="s">
        <v>151</v>
      </c>
      <c r="H247" s="489">
        <v>20</v>
      </c>
      <c r="I247" s="490"/>
      <c r="J247" s="490">
        <v>0.39135999999999999</v>
      </c>
      <c r="L247" s="180" t="s">
        <v>414</v>
      </c>
    </row>
    <row r="248" spans="1:12" s="180" customFormat="1">
      <c r="A248" s="180" t="s">
        <v>294</v>
      </c>
      <c r="B248" s="180" t="s">
        <v>753</v>
      </c>
      <c r="C248" s="180" t="s">
        <v>410</v>
      </c>
      <c r="D248" s="180" t="s">
        <v>710</v>
      </c>
      <c r="E248" s="180" t="s">
        <v>376</v>
      </c>
      <c r="F248" s="180" t="s">
        <v>465</v>
      </c>
      <c r="G248" s="180" t="s">
        <v>151</v>
      </c>
      <c r="H248" s="489">
        <v>20</v>
      </c>
      <c r="I248" s="490"/>
      <c r="J248" s="490">
        <v>0.39135999999999999</v>
      </c>
      <c r="L248" s="180" t="s">
        <v>414</v>
      </c>
    </row>
    <row r="249" spans="1:12" s="180" customFormat="1">
      <c r="A249" s="180" t="s">
        <v>294</v>
      </c>
      <c r="B249" s="180" t="s">
        <v>754</v>
      </c>
      <c r="C249" s="180" t="s">
        <v>374</v>
      </c>
      <c r="D249" s="180" t="s">
        <v>710</v>
      </c>
      <c r="E249" s="180" t="s">
        <v>376</v>
      </c>
      <c r="F249" s="180" t="s">
        <v>465</v>
      </c>
      <c r="G249" s="180" t="s">
        <v>151</v>
      </c>
      <c r="H249" s="489">
        <v>20</v>
      </c>
      <c r="I249" s="490">
        <v>0.39135999999999999</v>
      </c>
      <c r="J249" s="490"/>
    </row>
    <row r="250" spans="1:12" s="180" customFormat="1">
      <c r="A250" s="180" t="s">
        <v>294</v>
      </c>
      <c r="B250" s="180" t="s">
        <v>754</v>
      </c>
      <c r="C250" s="180" t="s">
        <v>410</v>
      </c>
      <c r="D250" s="180" t="s">
        <v>710</v>
      </c>
      <c r="E250" s="180" t="s">
        <v>376</v>
      </c>
      <c r="F250" s="180" t="s">
        <v>465</v>
      </c>
      <c r="G250" s="180" t="s">
        <v>151</v>
      </c>
      <c r="H250" s="489">
        <v>20</v>
      </c>
      <c r="I250" s="490">
        <v>0.39135999999999999</v>
      </c>
      <c r="J250" s="490"/>
    </row>
    <row r="251" spans="1:12" s="180" customFormat="1">
      <c r="A251" s="180" t="s">
        <v>294</v>
      </c>
      <c r="B251" s="180" t="s">
        <v>754</v>
      </c>
      <c r="C251" s="180" t="s">
        <v>462</v>
      </c>
      <c r="D251" s="180" t="s">
        <v>710</v>
      </c>
      <c r="E251" s="180" t="s">
        <v>376</v>
      </c>
      <c r="F251" s="180" t="s">
        <v>465</v>
      </c>
      <c r="G251" s="180" t="s">
        <v>151</v>
      </c>
      <c r="H251" s="489">
        <v>20</v>
      </c>
      <c r="I251" s="490">
        <v>0.39135999999999999</v>
      </c>
      <c r="J251" s="490"/>
    </row>
    <row r="252" spans="1:12" s="180" customFormat="1">
      <c r="A252" s="180" t="s">
        <v>294</v>
      </c>
      <c r="B252" s="180" t="s">
        <v>755</v>
      </c>
      <c r="C252" s="180" t="s">
        <v>736</v>
      </c>
      <c r="D252" s="180" t="s">
        <v>710</v>
      </c>
      <c r="E252" s="180" t="s">
        <v>408</v>
      </c>
      <c r="F252" s="180" t="s">
        <v>465</v>
      </c>
      <c r="G252" s="180" t="s">
        <v>749</v>
      </c>
      <c r="H252" s="489">
        <v>33</v>
      </c>
      <c r="I252" s="490">
        <v>0.39135999999999999</v>
      </c>
      <c r="J252" s="490"/>
      <c r="L252" s="180" t="s">
        <v>414</v>
      </c>
    </row>
    <row r="253" spans="1:12" s="180" customFormat="1">
      <c r="A253" s="180" t="s">
        <v>294</v>
      </c>
      <c r="B253" s="180" t="s">
        <v>755</v>
      </c>
      <c r="C253" s="180" t="s">
        <v>410</v>
      </c>
      <c r="D253" s="180" t="s">
        <v>710</v>
      </c>
      <c r="E253" s="180" t="s">
        <v>408</v>
      </c>
      <c r="F253" s="180" t="s">
        <v>465</v>
      </c>
      <c r="G253" s="180" t="s">
        <v>749</v>
      </c>
      <c r="H253" s="489">
        <v>33</v>
      </c>
      <c r="I253" s="490">
        <v>0.39135999999999999</v>
      </c>
      <c r="J253" s="490"/>
      <c r="L253" s="180" t="s">
        <v>414</v>
      </c>
    </row>
    <row r="254" spans="1:12" s="180" customFormat="1">
      <c r="A254" s="180" t="s">
        <v>294</v>
      </c>
      <c r="B254" s="180" t="s">
        <v>756</v>
      </c>
      <c r="C254" s="180" t="s">
        <v>374</v>
      </c>
      <c r="D254" s="180" t="s">
        <v>757</v>
      </c>
      <c r="E254" s="180" t="s">
        <v>376</v>
      </c>
      <c r="F254" s="180" t="s">
        <v>554</v>
      </c>
      <c r="G254" s="180" t="s">
        <v>100</v>
      </c>
      <c r="H254" s="489">
        <v>20</v>
      </c>
      <c r="I254" s="490"/>
      <c r="J254" s="490">
        <v>0.39135999999999999</v>
      </c>
      <c r="L254" s="180" t="s">
        <v>414</v>
      </c>
    </row>
    <row r="255" spans="1:12" s="180" customFormat="1">
      <c r="A255" s="180" t="s">
        <v>294</v>
      </c>
      <c r="B255" s="180" t="s">
        <v>758</v>
      </c>
      <c r="C255" s="180" t="s">
        <v>374</v>
      </c>
      <c r="D255" s="180" t="s">
        <v>748</v>
      </c>
      <c r="E255" s="180" t="s">
        <v>376</v>
      </c>
      <c r="F255" s="180" t="s">
        <v>554</v>
      </c>
      <c r="G255" s="180" t="s">
        <v>100</v>
      </c>
      <c r="H255" s="489">
        <v>20</v>
      </c>
      <c r="I255" s="490">
        <v>0.39135999999999999</v>
      </c>
      <c r="J255" s="490"/>
      <c r="L255" s="180" t="s">
        <v>414</v>
      </c>
    </row>
    <row r="256" spans="1:12" s="180" customFormat="1">
      <c r="A256" s="180" t="s">
        <v>294</v>
      </c>
      <c r="B256" s="180" t="s">
        <v>759</v>
      </c>
      <c r="C256" s="180" t="s">
        <v>736</v>
      </c>
      <c r="D256" s="180" t="s">
        <v>748</v>
      </c>
      <c r="E256" s="180" t="s">
        <v>408</v>
      </c>
      <c r="F256" s="180" t="s">
        <v>554</v>
      </c>
      <c r="G256" s="180" t="s">
        <v>133</v>
      </c>
      <c r="H256" s="489">
        <v>33</v>
      </c>
      <c r="I256" s="490">
        <v>0.39135999999999999</v>
      </c>
      <c r="J256" s="490"/>
      <c r="L256" s="180" t="s">
        <v>414</v>
      </c>
    </row>
    <row r="257" spans="1:12" s="180" customFormat="1">
      <c r="A257" s="180" t="s">
        <v>294</v>
      </c>
      <c r="B257" s="180" t="s">
        <v>760</v>
      </c>
      <c r="C257" s="180" t="s">
        <v>374</v>
      </c>
      <c r="D257" s="180" t="s">
        <v>553</v>
      </c>
      <c r="E257" s="180" t="s">
        <v>472</v>
      </c>
      <c r="F257" s="180" t="s">
        <v>377</v>
      </c>
      <c r="G257" s="180" t="s">
        <v>473</v>
      </c>
      <c r="H257" s="489">
        <v>35.81</v>
      </c>
      <c r="I257" s="490">
        <f>J257</f>
        <v>0.39135999999999999</v>
      </c>
      <c r="J257" s="490">
        <v>0.39135999999999999</v>
      </c>
      <c r="L257" s="180" t="s">
        <v>414</v>
      </c>
    </row>
    <row r="258" spans="1:12" s="180" customFormat="1">
      <c r="A258" s="180" t="s">
        <v>294</v>
      </c>
      <c r="B258" s="180" t="s">
        <v>761</v>
      </c>
      <c r="C258" s="180" t="s">
        <v>374</v>
      </c>
      <c r="D258" s="180" t="s">
        <v>762</v>
      </c>
      <c r="E258" s="180" t="s">
        <v>298</v>
      </c>
      <c r="F258" s="180" t="s">
        <v>112</v>
      </c>
      <c r="G258" s="180" t="s">
        <v>763</v>
      </c>
      <c r="H258" s="489">
        <v>21.25</v>
      </c>
      <c r="I258" s="490">
        <f>J258</f>
        <v>0.49828</v>
      </c>
      <c r="J258" s="490">
        <v>0.49828</v>
      </c>
      <c r="L258" s="180" t="s">
        <v>414</v>
      </c>
    </row>
    <row r="259" spans="1:12" s="180" customFormat="1">
      <c r="A259" s="180" t="s">
        <v>294</v>
      </c>
      <c r="B259" s="180" t="s">
        <v>764</v>
      </c>
      <c r="C259" s="180" t="s">
        <v>374</v>
      </c>
      <c r="D259" s="180" t="s">
        <v>765</v>
      </c>
      <c r="E259" s="180" t="s">
        <v>472</v>
      </c>
      <c r="F259" s="180" t="s">
        <v>465</v>
      </c>
      <c r="G259" s="180" t="s">
        <v>151</v>
      </c>
      <c r="H259" s="489">
        <v>35.81</v>
      </c>
      <c r="I259" s="490"/>
      <c r="J259" s="490">
        <v>0.39135999999999999</v>
      </c>
      <c r="L259" s="180" t="s">
        <v>414</v>
      </c>
    </row>
    <row r="260" spans="1:12" s="180" customFormat="1">
      <c r="A260" s="180" t="s">
        <v>294</v>
      </c>
      <c r="B260" s="180" t="s">
        <v>764</v>
      </c>
      <c r="C260" s="180" t="s">
        <v>410</v>
      </c>
      <c r="D260" s="180" t="s">
        <v>765</v>
      </c>
      <c r="E260" s="180" t="s">
        <v>472</v>
      </c>
      <c r="F260" s="180" t="s">
        <v>465</v>
      </c>
      <c r="G260" s="180" t="s">
        <v>151</v>
      </c>
      <c r="H260" s="489">
        <v>35.81</v>
      </c>
      <c r="I260" s="490"/>
      <c r="J260" s="490">
        <v>0.39135999999999999</v>
      </c>
      <c r="L260" s="180" t="s">
        <v>414</v>
      </c>
    </row>
    <row r="261" spans="1:12" s="180" customFormat="1">
      <c r="A261" s="180" t="s">
        <v>294</v>
      </c>
      <c r="B261" s="180" t="s">
        <v>766</v>
      </c>
      <c r="C261" s="180" t="s">
        <v>767</v>
      </c>
      <c r="D261" s="180" t="s">
        <v>768</v>
      </c>
      <c r="E261" s="180" t="s">
        <v>472</v>
      </c>
      <c r="F261" s="180" t="s">
        <v>769</v>
      </c>
      <c r="G261" s="180" t="s">
        <v>100</v>
      </c>
      <c r="H261" s="489"/>
      <c r="I261" s="490"/>
      <c r="J261" s="490"/>
      <c r="L261" s="180" t="s">
        <v>770</v>
      </c>
    </row>
    <row r="262" spans="1:12" s="180" customFormat="1">
      <c r="A262" s="180" t="s">
        <v>294</v>
      </c>
      <c r="B262" s="180" t="s">
        <v>771</v>
      </c>
      <c r="C262" s="180" t="s">
        <v>767</v>
      </c>
      <c r="D262" s="180" t="s">
        <v>772</v>
      </c>
      <c r="E262" s="180" t="s">
        <v>382</v>
      </c>
      <c r="F262" s="180" t="s">
        <v>769</v>
      </c>
      <c r="G262" s="180" t="s">
        <v>101</v>
      </c>
      <c r="H262" s="489"/>
      <c r="I262" s="490"/>
      <c r="J262" s="490"/>
      <c r="L262" s="180" t="s">
        <v>770</v>
      </c>
    </row>
    <row r="263" spans="1:12" s="180" customFormat="1">
      <c r="A263" s="180" t="s">
        <v>294</v>
      </c>
      <c r="B263" s="180" t="s">
        <v>773</v>
      </c>
      <c r="C263" s="180" t="s">
        <v>374</v>
      </c>
      <c r="D263" s="180" t="s">
        <v>774</v>
      </c>
      <c r="E263" s="180" t="s">
        <v>775</v>
      </c>
      <c r="F263" s="180" t="s">
        <v>776</v>
      </c>
      <c r="G263" s="180" t="s">
        <v>137</v>
      </c>
      <c r="H263" s="489">
        <v>280</v>
      </c>
      <c r="I263" s="490">
        <v>0.23080000000000001</v>
      </c>
      <c r="J263" s="490"/>
      <c r="L263" s="180" t="s">
        <v>414</v>
      </c>
    </row>
    <row r="264" spans="1:12" s="180" customFormat="1">
      <c r="A264" s="180" t="s">
        <v>294</v>
      </c>
      <c r="B264" s="180" t="s">
        <v>777</v>
      </c>
      <c r="C264" s="180" t="s">
        <v>374</v>
      </c>
      <c r="D264" s="180" t="s">
        <v>778</v>
      </c>
      <c r="E264" s="180" t="s">
        <v>779</v>
      </c>
      <c r="F264" s="180" t="s">
        <v>776</v>
      </c>
      <c r="G264" s="180" t="s">
        <v>138</v>
      </c>
      <c r="H264" s="489">
        <v>280</v>
      </c>
      <c r="I264" s="490">
        <v>0.23080000000000001</v>
      </c>
      <c r="J264" s="490"/>
      <c r="L264" s="180" t="s">
        <v>414</v>
      </c>
    </row>
    <row r="265" spans="1:12" s="180" customFormat="1">
      <c r="A265" s="180" t="s">
        <v>294</v>
      </c>
      <c r="B265" s="180" t="s">
        <v>780</v>
      </c>
      <c r="C265" s="180" t="s">
        <v>374</v>
      </c>
      <c r="D265" s="180" t="s">
        <v>781</v>
      </c>
      <c r="E265" s="180" t="s">
        <v>775</v>
      </c>
      <c r="F265" s="180" t="s">
        <v>782</v>
      </c>
      <c r="G265" s="180" t="s">
        <v>137</v>
      </c>
      <c r="H265" s="489">
        <v>280</v>
      </c>
      <c r="I265" s="490">
        <v>0.23080000000000001</v>
      </c>
      <c r="J265" s="490"/>
      <c r="L265" s="180" t="s">
        <v>414</v>
      </c>
    </row>
    <row r="266" spans="1:12" s="180" customFormat="1">
      <c r="A266" s="180" t="s">
        <v>294</v>
      </c>
      <c r="B266" s="180" t="s">
        <v>783</v>
      </c>
      <c r="C266" s="180" t="s">
        <v>374</v>
      </c>
      <c r="D266" s="180" t="s">
        <v>784</v>
      </c>
      <c r="E266" s="180" t="s">
        <v>779</v>
      </c>
      <c r="F266" s="180" t="s">
        <v>785</v>
      </c>
      <c r="G266" s="180" t="s">
        <v>138</v>
      </c>
      <c r="H266" s="489">
        <v>280</v>
      </c>
      <c r="I266" s="490">
        <v>0.23080000000000001</v>
      </c>
      <c r="J266" s="490"/>
      <c r="L266" s="180" t="s">
        <v>414</v>
      </c>
    </row>
    <row r="267" spans="1:12" s="180" customFormat="1">
      <c r="A267" s="180" t="s">
        <v>294</v>
      </c>
      <c r="B267" s="180" t="s">
        <v>786</v>
      </c>
      <c r="C267" s="180" t="s">
        <v>304</v>
      </c>
      <c r="D267" s="180" t="s">
        <v>411</v>
      </c>
      <c r="E267" s="180" t="s">
        <v>412</v>
      </c>
      <c r="F267" s="180" t="s">
        <v>554</v>
      </c>
      <c r="G267" s="180" t="s">
        <v>102</v>
      </c>
      <c r="H267" s="489">
        <v>90</v>
      </c>
      <c r="I267" s="490">
        <v>0.35365999999999997</v>
      </c>
      <c r="J267" s="490"/>
      <c r="L267" s="180" t="s">
        <v>414</v>
      </c>
    </row>
    <row r="268" spans="1:12" s="180" customFormat="1">
      <c r="A268" s="180" t="s">
        <v>294</v>
      </c>
      <c r="B268" s="180" t="s">
        <v>786</v>
      </c>
      <c r="C268" s="180" t="s">
        <v>410</v>
      </c>
      <c r="D268" s="180" t="s">
        <v>411</v>
      </c>
      <c r="E268" s="180" t="s">
        <v>412</v>
      </c>
      <c r="F268" s="180" t="s">
        <v>554</v>
      </c>
      <c r="G268" s="180" t="s">
        <v>102</v>
      </c>
      <c r="H268" s="489">
        <v>90</v>
      </c>
      <c r="I268" s="490">
        <v>0.35365999999999997</v>
      </c>
      <c r="J268" s="490"/>
      <c r="L268" s="180" t="s">
        <v>414</v>
      </c>
    </row>
    <row r="269" spans="1:12" s="180" customFormat="1">
      <c r="A269" s="180" t="s">
        <v>294</v>
      </c>
      <c r="B269" s="180" t="s">
        <v>787</v>
      </c>
      <c r="C269" s="180" t="s">
        <v>374</v>
      </c>
      <c r="D269" s="180" t="s">
        <v>788</v>
      </c>
      <c r="E269" s="180" t="s">
        <v>412</v>
      </c>
      <c r="F269" s="180" t="s">
        <v>789</v>
      </c>
      <c r="G269" s="180" t="s">
        <v>102</v>
      </c>
      <c r="H269" s="489">
        <v>90</v>
      </c>
      <c r="I269" s="490">
        <v>0.35365999999999997</v>
      </c>
      <c r="J269" s="490"/>
      <c r="L269" s="180" t="s">
        <v>414</v>
      </c>
    </row>
    <row r="270" spans="1:12" s="180" customFormat="1">
      <c r="A270" s="180" t="s">
        <v>294</v>
      </c>
      <c r="B270" s="180" t="s">
        <v>787</v>
      </c>
      <c r="C270" s="180" t="s">
        <v>410</v>
      </c>
      <c r="D270" s="180" t="s">
        <v>788</v>
      </c>
      <c r="E270" s="180" t="s">
        <v>412</v>
      </c>
      <c r="F270" s="180" t="s">
        <v>789</v>
      </c>
      <c r="G270" s="180" t="s">
        <v>102</v>
      </c>
      <c r="H270" s="489">
        <v>90</v>
      </c>
      <c r="I270" s="490">
        <v>0.35365999999999997</v>
      </c>
      <c r="J270" s="490"/>
      <c r="L270" s="180" t="s">
        <v>414</v>
      </c>
    </row>
    <row r="271" spans="1:12" s="180" customFormat="1">
      <c r="A271" s="180" t="s">
        <v>294</v>
      </c>
      <c r="B271" s="180" t="s">
        <v>790</v>
      </c>
      <c r="C271" s="180" t="s">
        <v>374</v>
      </c>
      <c r="D271" s="180" t="s">
        <v>411</v>
      </c>
      <c r="E271" s="180" t="s">
        <v>412</v>
      </c>
      <c r="F271" s="180" t="s">
        <v>413</v>
      </c>
      <c r="G271" s="180" t="s">
        <v>102</v>
      </c>
      <c r="H271" s="489">
        <v>90</v>
      </c>
      <c r="I271" s="490">
        <v>0.35365999999999997</v>
      </c>
      <c r="J271" s="490"/>
      <c r="L271" s="180" t="s">
        <v>414</v>
      </c>
    </row>
    <row r="272" spans="1:12" s="180" customFormat="1">
      <c r="A272" s="180" t="s">
        <v>294</v>
      </c>
      <c r="B272" s="180" t="s">
        <v>790</v>
      </c>
      <c r="C272" s="180" t="s">
        <v>410</v>
      </c>
      <c r="D272" s="180" t="s">
        <v>411</v>
      </c>
      <c r="E272" s="180" t="s">
        <v>412</v>
      </c>
      <c r="F272" s="180" t="s">
        <v>413</v>
      </c>
      <c r="G272" s="180" t="s">
        <v>102</v>
      </c>
      <c r="H272" s="489">
        <v>90</v>
      </c>
      <c r="I272" s="490">
        <v>0.35365999999999997</v>
      </c>
      <c r="J272" s="490"/>
      <c r="L272" s="180" t="s">
        <v>414</v>
      </c>
    </row>
    <row r="273" spans="1:12" s="180" customFormat="1">
      <c r="A273" s="180" t="s">
        <v>294</v>
      </c>
      <c r="B273" s="180" t="s">
        <v>790</v>
      </c>
      <c r="C273" s="180" t="s">
        <v>304</v>
      </c>
      <c r="D273" s="180" t="s">
        <v>791</v>
      </c>
      <c r="E273" s="180" t="s">
        <v>412</v>
      </c>
      <c r="F273" s="180" t="s">
        <v>469</v>
      </c>
      <c r="G273" s="180" t="s">
        <v>102</v>
      </c>
      <c r="H273" s="489"/>
      <c r="I273" s="490"/>
      <c r="J273" s="490"/>
      <c r="L273" s="180" t="s">
        <v>414</v>
      </c>
    </row>
    <row r="274" spans="1:12" s="180" customFormat="1">
      <c r="A274" s="180" t="s">
        <v>294</v>
      </c>
      <c r="B274" s="180" t="s">
        <v>792</v>
      </c>
      <c r="C274" s="180" t="s">
        <v>374</v>
      </c>
      <c r="D274" s="180" t="s">
        <v>793</v>
      </c>
      <c r="E274" s="180" t="s">
        <v>412</v>
      </c>
      <c r="F274" s="180" t="s">
        <v>794</v>
      </c>
      <c r="G274" s="180" t="s">
        <v>795</v>
      </c>
      <c r="H274" s="489">
        <v>90</v>
      </c>
      <c r="I274" s="490">
        <v>0.35365999999999997</v>
      </c>
      <c r="J274" s="490"/>
      <c r="L274" s="180" t="s">
        <v>414</v>
      </c>
    </row>
    <row r="275" spans="1:12" s="180" customFormat="1">
      <c r="A275" s="180" t="s">
        <v>294</v>
      </c>
      <c r="B275" s="180" t="s">
        <v>792</v>
      </c>
      <c r="C275" s="180" t="s">
        <v>410</v>
      </c>
      <c r="D275" s="180" t="s">
        <v>793</v>
      </c>
      <c r="E275" s="180" t="s">
        <v>412</v>
      </c>
      <c r="F275" s="180" t="s">
        <v>794</v>
      </c>
      <c r="G275" s="180" t="s">
        <v>795</v>
      </c>
      <c r="H275" s="489">
        <v>90</v>
      </c>
      <c r="I275" s="490">
        <v>0.35365999999999997</v>
      </c>
      <c r="J275" s="490"/>
      <c r="L275" s="180" t="s">
        <v>414</v>
      </c>
    </row>
    <row r="276" spans="1:12" s="180" customFormat="1">
      <c r="A276" s="180" t="s">
        <v>294</v>
      </c>
      <c r="B276" s="180" t="s">
        <v>796</v>
      </c>
      <c r="C276" s="180" t="s">
        <v>374</v>
      </c>
      <c r="D276" s="180" t="s">
        <v>797</v>
      </c>
      <c r="E276" s="180" t="s">
        <v>382</v>
      </c>
      <c r="F276" s="180" t="s">
        <v>383</v>
      </c>
      <c r="G276" s="180" t="s">
        <v>101</v>
      </c>
      <c r="H276" s="489">
        <v>90</v>
      </c>
      <c r="I276" s="490">
        <v>0.35365999999999997</v>
      </c>
      <c r="J276" s="490"/>
      <c r="L276" s="180" t="s">
        <v>414</v>
      </c>
    </row>
    <row r="277" spans="1:12" s="180" customFormat="1">
      <c r="A277" s="180" t="s">
        <v>294</v>
      </c>
      <c r="B277" s="180" t="s">
        <v>798</v>
      </c>
      <c r="C277" s="180" t="s">
        <v>374</v>
      </c>
      <c r="D277" s="180" t="s">
        <v>799</v>
      </c>
      <c r="E277" s="180" t="s">
        <v>382</v>
      </c>
      <c r="F277" s="180" t="s">
        <v>383</v>
      </c>
      <c r="G277" s="180" t="s">
        <v>101</v>
      </c>
      <c r="H277" s="489">
        <v>90</v>
      </c>
      <c r="I277" s="490">
        <v>0.35365999999999997</v>
      </c>
      <c r="J277" s="490"/>
      <c r="L277" s="180" t="s">
        <v>414</v>
      </c>
    </row>
    <row r="278" spans="1:12" s="180" customFormat="1">
      <c r="A278" s="180" t="s">
        <v>294</v>
      </c>
      <c r="B278" s="180" t="s">
        <v>800</v>
      </c>
      <c r="C278" s="180" t="s">
        <v>304</v>
      </c>
      <c r="D278" s="180" t="s">
        <v>801</v>
      </c>
      <c r="E278" s="180" t="s">
        <v>802</v>
      </c>
      <c r="F278" s="180" t="s">
        <v>803</v>
      </c>
      <c r="H278" s="489"/>
      <c r="I278" s="490"/>
      <c r="J278" s="490"/>
      <c r="L278" s="180" t="s">
        <v>804</v>
      </c>
    </row>
    <row r="279" spans="1:12" s="180" customFormat="1">
      <c r="A279" s="180" t="s">
        <v>294</v>
      </c>
      <c r="B279" s="180" t="s">
        <v>805</v>
      </c>
      <c r="C279" s="180" t="s">
        <v>806</v>
      </c>
      <c r="D279" s="180" t="s">
        <v>807</v>
      </c>
      <c r="E279" s="180" t="s">
        <v>298</v>
      </c>
      <c r="F279" s="180" t="s">
        <v>554</v>
      </c>
      <c r="H279" s="489">
        <v>8</v>
      </c>
      <c r="I279" s="490">
        <v>0.4834</v>
      </c>
      <c r="J279" s="490"/>
    </row>
    <row r="280" spans="1:12" s="180" customFormat="1">
      <c r="A280" s="180" t="s">
        <v>294</v>
      </c>
      <c r="B280" s="180" t="s">
        <v>808</v>
      </c>
      <c r="C280" s="180" t="s">
        <v>374</v>
      </c>
      <c r="D280" s="180" t="s">
        <v>722</v>
      </c>
      <c r="E280" s="180" t="s">
        <v>298</v>
      </c>
      <c r="F280" s="180" t="s">
        <v>112</v>
      </c>
      <c r="G280" s="180" t="s">
        <v>112</v>
      </c>
      <c r="H280" s="489">
        <v>11</v>
      </c>
      <c r="I280" s="490">
        <v>0.49828</v>
      </c>
      <c r="J280" s="490"/>
      <c r="L280" s="180" t="s">
        <v>414</v>
      </c>
    </row>
    <row r="281" spans="1:12" s="180" customFormat="1">
      <c r="A281" s="180" t="s">
        <v>294</v>
      </c>
      <c r="B281" s="180" t="s">
        <v>809</v>
      </c>
      <c r="C281" s="180" t="s">
        <v>304</v>
      </c>
      <c r="D281" s="180" t="s">
        <v>810</v>
      </c>
      <c r="E281" s="180" t="s">
        <v>298</v>
      </c>
      <c r="F281" s="180" t="s">
        <v>112</v>
      </c>
      <c r="H281" s="489"/>
      <c r="I281" s="490">
        <v>0.33511999999999997</v>
      </c>
      <c r="J281" s="490"/>
    </row>
    <row r="282" spans="1:12" s="180" customFormat="1">
      <c r="A282" s="180" t="s">
        <v>294</v>
      </c>
      <c r="B282" s="180" t="s">
        <v>811</v>
      </c>
      <c r="C282" s="180" t="s">
        <v>724</v>
      </c>
      <c r="D282" s="180" t="s">
        <v>812</v>
      </c>
      <c r="E282" s="180" t="s">
        <v>412</v>
      </c>
      <c r="F282" s="180" t="s">
        <v>413</v>
      </c>
      <c r="G282" s="180" t="s">
        <v>102</v>
      </c>
      <c r="H282" s="489">
        <v>45</v>
      </c>
      <c r="I282" s="490">
        <v>0.16766</v>
      </c>
      <c r="J282" s="490"/>
    </row>
    <row r="283" spans="1:12" s="180" customFormat="1">
      <c r="A283" s="180" t="s">
        <v>294</v>
      </c>
      <c r="B283" s="180" t="s">
        <v>813</v>
      </c>
      <c r="C283" s="180" t="s">
        <v>374</v>
      </c>
      <c r="D283" s="180" t="s">
        <v>814</v>
      </c>
      <c r="E283" s="180" t="s">
        <v>412</v>
      </c>
      <c r="F283" s="180" t="s">
        <v>413</v>
      </c>
      <c r="G283" s="180" t="s">
        <v>102</v>
      </c>
      <c r="H283" s="489">
        <v>90</v>
      </c>
      <c r="I283" s="490">
        <v>0.35365999999999997</v>
      </c>
      <c r="J283" s="490"/>
      <c r="L283" s="180" t="s">
        <v>815</v>
      </c>
    </row>
    <row r="284" spans="1:12" s="180" customFormat="1">
      <c r="A284" s="180" t="s">
        <v>294</v>
      </c>
      <c r="B284" s="180" t="s">
        <v>813</v>
      </c>
      <c r="C284" s="180" t="s">
        <v>410</v>
      </c>
      <c r="D284" s="180" t="s">
        <v>814</v>
      </c>
      <c r="E284" s="180" t="s">
        <v>412</v>
      </c>
      <c r="F284" s="180" t="s">
        <v>413</v>
      </c>
      <c r="G284" s="180" t="s">
        <v>102</v>
      </c>
      <c r="H284" s="489">
        <v>90</v>
      </c>
      <c r="I284" s="490">
        <v>0.35365999999999997</v>
      </c>
      <c r="J284" s="490"/>
      <c r="L284" s="180" t="s">
        <v>815</v>
      </c>
    </row>
    <row r="285" spans="1:12" s="180" customFormat="1">
      <c r="A285" s="180" t="s">
        <v>294</v>
      </c>
      <c r="B285" s="180" t="s">
        <v>816</v>
      </c>
      <c r="C285" s="180" t="s">
        <v>817</v>
      </c>
      <c r="D285" s="180" t="s">
        <v>818</v>
      </c>
      <c r="E285" s="180" t="s">
        <v>819</v>
      </c>
      <c r="F285" s="180" t="s">
        <v>820</v>
      </c>
      <c r="H285" s="489"/>
      <c r="I285" s="490"/>
      <c r="J285" s="490"/>
    </row>
    <row r="286" spans="1:12" s="180" customFormat="1">
      <c r="A286" s="180" t="s">
        <v>294</v>
      </c>
      <c r="B286" s="180" t="s">
        <v>821</v>
      </c>
      <c r="C286" s="180" t="s">
        <v>304</v>
      </c>
      <c r="D286" s="180" t="s">
        <v>822</v>
      </c>
      <c r="E286" s="180" t="s">
        <v>823</v>
      </c>
      <c r="F286" s="180" t="s">
        <v>824</v>
      </c>
      <c r="G286" s="180" t="s">
        <v>151</v>
      </c>
      <c r="H286" s="489">
        <v>100</v>
      </c>
      <c r="I286" s="490">
        <v>0.17111000000000001</v>
      </c>
      <c r="J286" s="490"/>
      <c r="L286" s="180" t="s">
        <v>414</v>
      </c>
    </row>
    <row r="287" spans="1:12" s="180" customFormat="1">
      <c r="A287" s="180" t="s">
        <v>294</v>
      </c>
      <c r="B287" s="180" t="s">
        <v>821</v>
      </c>
      <c r="C287" s="180" t="s">
        <v>478</v>
      </c>
      <c r="D287" s="180" t="s">
        <v>822</v>
      </c>
      <c r="E287" s="180" t="s">
        <v>823</v>
      </c>
      <c r="F287" s="180" t="s">
        <v>824</v>
      </c>
      <c r="G287" s="180" t="s">
        <v>151</v>
      </c>
      <c r="H287" s="489">
        <v>100</v>
      </c>
      <c r="I287" s="490">
        <v>0.17111000000000001</v>
      </c>
      <c r="J287" s="490"/>
      <c r="L287" s="180" t="s">
        <v>414</v>
      </c>
    </row>
    <row r="288" spans="1:12" s="180" customFormat="1">
      <c r="A288" s="180" t="s">
        <v>294</v>
      </c>
      <c r="B288" s="180" t="s">
        <v>821</v>
      </c>
      <c r="C288" s="180" t="s">
        <v>825</v>
      </c>
      <c r="D288" s="180" t="s">
        <v>822</v>
      </c>
      <c r="E288" s="180" t="s">
        <v>823</v>
      </c>
      <c r="F288" s="180" t="s">
        <v>824</v>
      </c>
      <c r="G288" s="180" t="s">
        <v>151</v>
      </c>
      <c r="H288" s="489">
        <v>100</v>
      </c>
      <c r="I288" s="490">
        <v>0.17111000000000001</v>
      </c>
      <c r="J288" s="490"/>
      <c r="L288" s="180" t="s">
        <v>414</v>
      </c>
    </row>
    <row r="289" spans="1:12" s="180" customFormat="1">
      <c r="A289" s="180" t="s">
        <v>294</v>
      </c>
      <c r="B289" s="180" t="s">
        <v>826</v>
      </c>
      <c r="C289" s="180" t="s">
        <v>304</v>
      </c>
      <c r="D289" s="180" t="s">
        <v>827</v>
      </c>
      <c r="G289" s="180" t="s">
        <v>138</v>
      </c>
      <c r="H289" s="489"/>
      <c r="I289" s="490"/>
      <c r="J289" s="490"/>
    </row>
    <row r="290" spans="1:12" s="180" customFormat="1">
      <c r="A290" s="180" t="s">
        <v>294</v>
      </c>
      <c r="B290" s="180" t="s">
        <v>826</v>
      </c>
      <c r="C290" s="180" t="s">
        <v>828</v>
      </c>
      <c r="D290" s="180" t="s">
        <v>827</v>
      </c>
      <c r="G290" s="180" t="s">
        <v>138</v>
      </c>
      <c r="H290" s="489"/>
      <c r="I290" s="490"/>
      <c r="J290" s="490"/>
    </row>
    <row r="291" spans="1:12" s="180" customFormat="1">
      <c r="A291" s="180" t="s">
        <v>294</v>
      </c>
      <c r="B291" s="180" t="s">
        <v>826</v>
      </c>
      <c r="C291" s="180" t="s">
        <v>625</v>
      </c>
      <c r="D291" s="180" t="s">
        <v>827</v>
      </c>
      <c r="G291" s="180" t="s">
        <v>138</v>
      </c>
      <c r="H291" s="489"/>
      <c r="I291" s="490"/>
      <c r="J291" s="490"/>
    </row>
    <row r="292" spans="1:12" s="180" customFormat="1">
      <c r="A292" s="180" t="s">
        <v>294</v>
      </c>
      <c r="B292" s="180" t="s">
        <v>829</v>
      </c>
      <c r="C292" s="180" t="s">
        <v>374</v>
      </c>
      <c r="D292" s="180" t="s">
        <v>830</v>
      </c>
      <c r="E292" s="180" t="s">
        <v>382</v>
      </c>
      <c r="F292" s="180" t="s">
        <v>554</v>
      </c>
      <c r="G292" s="180" t="s">
        <v>101</v>
      </c>
      <c r="H292" s="489">
        <v>90</v>
      </c>
      <c r="I292" s="490">
        <v>0.35365999999999997</v>
      </c>
      <c r="J292" s="490"/>
      <c r="L292" s="180" t="s">
        <v>414</v>
      </c>
    </row>
    <row r="293" spans="1:12" s="180" customFormat="1">
      <c r="A293" s="180" t="s">
        <v>294</v>
      </c>
      <c r="B293" s="180" t="s">
        <v>831</v>
      </c>
      <c r="C293" s="180" t="s">
        <v>374</v>
      </c>
      <c r="D293" s="180" t="s">
        <v>832</v>
      </c>
      <c r="E293" s="180" t="s">
        <v>376</v>
      </c>
      <c r="F293" s="180" t="s">
        <v>554</v>
      </c>
      <c r="G293" s="180" t="s">
        <v>151</v>
      </c>
      <c r="H293" s="489">
        <v>20</v>
      </c>
      <c r="I293" s="490">
        <v>0.39135999999999999</v>
      </c>
      <c r="J293" s="490"/>
      <c r="L293" s="180" t="s">
        <v>299</v>
      </c>
    </row>
    <row r="294" spans="1:12" s="180" customFormat="1">
      <c r="A294" s="180" t="s">
        <v>294</v>
      </c>
      <c r="B294" s="180" t="s">
        <v>831</v>
      </c>
      <c r="C294" s="180" t="s">
        <v>410</v>
      </c>
      <c r="D294" s="180" t="s">
        <v>832</v>
      </c>
      <c r="E294" s="180" t="s">
        <v>376</v>
      </c>
      <c r="F294" s="180" t="s">
        <v>554</v>
      </c>
      <c r="G294" s="180" t="s">
        <v>151</v>
      </c>
      <c r="H294" s="489">
        <v>20</v>
      </c>
      <c r="I294" s="490">
        <v>0.39135999999999999</v>
      </c>
      <c r="J294" s="490"/>
      <c r="L294" s="180" t="s">
        <v>299</v>
      </c>
    </row>
    <row r="295" spans="1:12" s="180" customFormat="1">
      <c r="A295" s="180" t="s">
        <v>294</v>
      </c>
      <c r="B295" s="180" t="s">
        <v>831</v>
      </c>
      <c r="C295" s="180" t="s">
        <v>462</v>
      </c>
      <c r="D295" s="180" t="s">
        <v>832</v>
      </c>
      <c r="E295" s="180" t="s">
        <v>376</v>
      </c>
      <c r="F295" s="180" t="s">
        <v>554</v>
      </c>
      <c r="G295" s="180" t="s">
        <v>151</v>
      </c>
      <c r="H295" s="489">
        <v>20</v>
      </c>
      <c r="I295" s="490">
        <v>0.39135999999999999</v>
      </c>
      <c r="J295" s="490"/>
      <c r="L295" s="180" t="s">
        <v>299</v>
      </c>
    </row>
    <row r="296" spans="1:12" s="180" customFormat="1">
      <c r="A296" s="180" t="s">
        <v>294</v>
      </c>
      <c r="B296" s="180" t="s">
        <v>833</v>
      </c>
      <c r="C296" s="180" t="s">
        <v>374</v>
      </c>
      <c r="D296" s="180" t="s">
        <v>834</v>
      </c>
      <c r="E296" s="180" t="s">
        <v>408</v>
      </c>
      <c r="F296" s="180" t="s">
        <v>554</v>
      </c>
      <c r="G296" s="180" t="s">
        <v>749</v>
      </c>
      <c r="H296" s="489">
        <v>33</v>
      </c>
      <c r="I296" s="490">
        <v>0.39135999999999999</v>
      </c>
      <c r="J296" s="490"/>
      <c r="L296" s="180" t="s">
        <v>299</v>
      </c>
    </row>
    <row r="297" spans="1:12" s="180" customFormat="1">
      <c r="A297" s="180" t="s">
        <v>294</v>
      </c>
      <c r="B297" s="180" t="s">
        <v>833</v>
      </c>
      <c r="C297" s="180" t="s">
        <v>410</v>
      </c>
      <c r="D297" s="180" t="s">
        <v>834</v>
      </c>
      <c r="E297" s="180" t="s">
        <v>408</v>
      </c>
      <c r="F297" s="180" t="s">
        <v>554</v>
      </c>
      <c r="G297" s="180" t="s">
        <v>749</v>
      </c>
      <c r="H297" s="489">
        <v>33</v>
      </c>
      <c r="I297" s="490">
        <v>0.39135999999999999</v>
      </c>
      <c r="J297" s="490"/>
      <c r="L297" s="180" t="s">
        <v>299</v>
      </c>
    </row>
    <row r="298" spans="1:12" s="180" customFormat="1">
      <c r="A298" s="180" t="s">
        <v>294</v>
      </c>
      <c r="B298" s="180" t="s">
        <v>833</v>
      </c>
      <c r="C298" s="180" t="s">
        <v>301</v>
      </c>
      <c r="D298" s="180" t="s">
        <v>834</v>
      </c>
      <c r="E298" s="180" t="s">
        <v>408</v>
      </c>
      <c r="F298" s="180" t="s">
        <v>554</v>
      </c>
      <c r="G298" s="180" t="s">
        <v>749</v>
      </c>
      <c r="H298" s="489">
        <v>33</v>
      </c>
      <c r="I298" s="490">
        <v>0.39135999999999999</v>
      </c>
      <c r="J298" s="490"/>
      <c r="L298" s="180" t="s">
        <v>299</v>
      </c>
    </row>
    <row r="299" spans="1:12" s="180" customFormat="1">
      <c r="A299" s="180" t="s">
        <v>294</v>
      </c>
      <c r="B299" s="180" t="s">
        <v>835</v>
      </c>
      <c r="C299" s="180" t="s">
        <v>374</v>
      </c>
      <c r="D299" s="180" t="s">
        <v>836</v>
      </c>
      <c r="E299" s="180" t="s">
        <v>376</v>
      </c>
      <c r="F299" s="180" t="s">
        <v>837</v>
      </c>
      <c r="G299" s="180" t="s">
        <v>100</v>
      </c>
      <c r="H299" s="489">
        <v>20</v>
      </c>
      <c r="I299" s="490">
        <v>0.39135999999999999</v>
      </c>
      <c r="J299" s="490"/>
      <c r="L299" s="180" t="s">
        <v>299</v>
      </c>
    </row>
    <row r="300" spans="1:12" s="180" customFormat="1">
      <c r="A300" s="180" t="s">
        <v>294</v>
      </c>
      <c r="B300" s="180" t="s">
        <v>838</v>
      </c>
      <c r="C300" s="180" t="s">
        <v>374</v>
      </c>
      <c r="D300" s="180" t="s">
        <v>839</v>
      </c>
      <c r="E300" s="180" t="s">
        <v>376</v>
      </c>
      <c r="F300" s="180" t="s">
        <v>837</v>
      </c>
      <c r="G300" s="180" t="s">
        <v>100</v>
      </c>
      <c r="H300" s="489">
        <v>20</v>
      </c>
      <c r="I300" s="490">
        <v>0.39135999999999999</v>
      </c>
      <c r="J300" s="490"/>
      <c r="L300" s="180" t="s">
        <v>414</v>
      </c>
    </row>
    <row r="301" spans="1:12" s="180" customFormat="1">
      <c r="A301" s="180" t="s">
        <v>294</v>
      </c>
      <c r="B301" s="180" t="s">
        <v>840</v>
      </c>
      <c r="C301" s="180" t="s">
        <v>736</v>
      </c>
      <c r="D301" s="180" t="s">
        <v>841</v>
      </c>
      <c r="E301" s="180" t="s">
        <v>408</v>
      </c>
      <c r="F301" s="180" t="s">
        <v>837</v>
      </c>
      <c r="G301" s="180" t="s">
        <v>133</v>
      </c>
      <c r="H301" s="489">
        <v>33</v>
      </c>
      <c r="I301" s="490">
        <v>0.39135999999999999</v>
      </c>
      <c r="J301" s="490"/>
      <c r="L301" s="180" t="s">
        <v>414</v>
      </c>
    </row>
    <row r="302" spans="1:12" s="180" customFormat="1">
      <c r="A302" s="180" t="s">
        <v>294</v>
      </c>
      <c r="B302" s="180" t="s">
        <v>842</v>
      </c>
      <c r="C302" s="180" t="s">
        <v>374</v>
      </c>
      <c r="D302" s="180" t="s">
        <v>843</v>
      </c>
      <c r="E302" s="180" t="s">
        <v>376</v>
      </c>
      <c r="F302" s="180" t="s">
        <v>844</v>
      </c>
      <c r="G302" s="180" t="s">
        <v>151</v>
      </c>
      <c r="H302" s="489">
        <v>20</v>
      </c>
      <c r="I302" s="490">
        <v>0.39135999999999999</v>
      </c>
      <c r="J302" s="490"/>
    </row>
    <row r="303" spans="1:12" s="180" customFormat="1">
      <c r="A303" s="180" t="s">
        <v>294</v>
      </c>
      <c r="B303" s="180" t="s">
        <v>842</v>
      </c>
      <c r="C303" s="180" t="s">
        <v>410</v>
      </c>
      <c r="D303" s="180" t="s">
        <v>843</v>
      </c>
      <c r="E303" s="180" t="s">
        <v>376</v>
      </c>
      <c r="F303" s="180" t="s">
        <v>844</v>
      </c>
      <c r="G303" s="180" t="s">
        <v>151</v>
      </c>
      <c r="H303" s="489">
        <v>20</v>
      </c>
      <c r="I303" s="490">
        <v>0.39135999999999999</v>
      </c>
      <c r="J303" s="490"/>
    </row>
    <row r="304" spans="1:12" s="180" customFormat="1">
      <c r="A304" s="180" t="s">
        <v>294</v>
      </c>
      <c r="B304" s="180" t="s">
        <v>845</v>
      </c>
      <c r="C304" s="180" t="s">
        <v>736</v>
      </c>
      <c r="D304" s="180" t="s">
        <v>846</v>
      </c>
      <c r="E304" s="180" t="s">
        <v>408</v>
      </c>
      <c r="F304" s="180" t="s">
        <v>844</v>
      </c>
      <c r="G304" s="180" t="s">
        <v>749</v>
      </c>
      <c r="H304" s="489">
        <v>33</v>
      </c>
      <c r="I304" s="490">
        <v>0.39135999999999999</v>
      </c>
      <c r="J304" s="490"/>
      <c r="L304" s="180" t="s">
        <v>414</v>
      </c>
    </row>
    <row r="305" spans="1:12" s="180" customFormat="1">
      <c r="A305" s="180" t="s">
        <v>294</v>
      </c>
      <c r="B305" s="180" t="s">
        <v>845</v>
      </c>
      <c r="C305" s="180" t="s">
        <v>410</v>
      </c>
      <c r="D305" s="180" t="s">
        <v>846</v>
      </c>
      <c r="E305" s="180" t="s">
        <v>408</v>
      </c>
      <c r="F305" s="180" t="s">
        <v>844</v>
      </c>
      <c r="G305" s="180" t="s">
        <v>749</v>
      </c>
      <c r="H305" s="489">
        <v>33</v>
      </c>
      <c r="I305" s="490">
        <v>0.39135999999999999</v>
      </c>
      <c r="J305" s="490"/>
      <c r="L305" s="180" t="s">
        <v>414</v>
      </c>
    </row>
    <row r="306" spans="1:12" s="180" customFormat="1">
      <c r="A306" s="180" t="s">
        <v>294</v>
      </c>
      <c r="B306" s="180" t="s">
        <v>847</v>
      </c>
      <c r="C306" s="180" t="s">
        <v>374</v>
      </c>
      <c r="D306" s="180" t="s">
        <v>848</v>
      </c>
      <c r="E306" s="180" t="s">
        <v>376</v>
      </c>
      <c r="F306" s="180" t="s">
        <v>837</v>
      </c>
      <c r="G306" s="180" t="s">
        <v>100</v>
      </c>
      <c r="H306" s="489">
        <v>20</v>
      </c>
      <c r="I306" s="490">
        <v>0.39135999999999999</v>
      </c>
      <c r="J306" s="490"/>
      <c r="L306" s="180" t="s">
        <v>414</v>
      </c>
    </row>
    <row r="307" spans="1:12" s="180" customFormat="1">
      <c r="A307" s="180" t="s">
        <v>294</v>
      </c>
      <c r="B307" s="180" t="s">
        <v>849</v>
      </c>
      <c r="C307" s="180" t="s">
        <v>736</v>
      </c>
      <c r="D307" s="180" t="s">
        <v>850</v>
      </c>
      <c r="E307" s="180" t="s">
        <v>408</v>
      </c>
      <c r="F307" s="180" t="s">
        <v>837</v>
      </c>
      <c r="G307" s="180" t="s">
        <v>133</v>
      </c>
      <c r="H307" s="489">
        <v>33</v>
      </c>
      <c r="I307" s="490">
        <v>0.39135999999999999</v>
      </c>
      <c r="J307" s="490"/>
      <c r="L307" s="180" t="s">
        <v>414</v>
      </c>
    </row>
    <row r="308" spans="1:12" s="180" customFormat="1">
      <c r="A308" s="180" t="s">
        <v>294</v>
      </c>
      <c r="B308" s="180" t="s">
        <v>851</v>
      </c>
      <c r="C308" s="180" t="s">
        <v>374</v>
      </c>
      <c r="D308" s="180" t="s">
        <v>852</v>
      </c>
      <c r="E308" s="180" t="s">
        <v>376</v>
      </c>
      <c r="F308" s="180" t="s">
        <v>853</v>
      </c>
      <c r="G308" s="180" t="s">
        <v>100</v>
      </c>
      <c r="H308" s="489"/>
      <c r="I308" s="490"/>
      <c r="J308" s="490"/>
      <c r="L308" s="180" t="s">
        <v>770</v>
      </c>
    </row>
    <row r="309" spans="1:12" s="180" customFormat="1">
      <c r="A309" s="180" t="s">
        <v>294</v>
      </c>
      <c r="B309" s="180" t="s">
        <v>854</v>
      </c>
      <c r="C309" s="180" t="s">
        <v>374</v>
      </c>
      <c r="D309" s="180" t="s">
        <v>855</v>
      </c>
      <c r="E309" s="180" t="s">
        <v>408</v>
      </c>
      <c r="F309" s="180" t="s">
        <v>853</v>
      </c>
      <c r="G309" s="180" t="s">
        <v>133</v>
      </c>
      <c r="H309" s="489"/>
      <c r="I309" s="490"/>
      <c r="J309" s="490"/>
      <c r="L309" s="180" t="s">
        <v>770</v>
      </c>
    </row>
    <row r="310" spans="1:12" s="180" customFormat="1">
      <c r="A310" s="180" t="s">
        <v>294</v>
      </c>
      <c r="B310" s="180" t="s">
        <v>856</v>
      </c>
      <c r="C310" s="180" t="s">
        <v>374</v>
      </c>
      <c r="D310" s="180" t="s">
        <v>857</v>
      </c>
      <c r="E310" s="180" t="s">
        <v>382</v>
      </c>
      <c r="F310" s="180" t="s">
        <v>853</v>
      </c>
      <c r="G310" s="180" t="s">
        <v>101</v>
      </c>
      <c r="H310" s="489"/>
      <c r="I310" s="490"/>
      <c r="J310" s="490"/>
      <c r="L310" s="180" t="s">
        <v>770</v>
      </c>
    </row>
    <row r="311" spans="1:12" s="180" customFormat="1">
      <c r="A311" s="180" t="s">
        <v>294</v>
      </c>
      <c r="B311" s="180" t="s">
        <v>858</v>
      </c>
      <c r="C311" s="180" t="s">
        <v>374</v>
      </c>
      <c r="D311" s="180" t="s">
        <v>859</v>
      </c>
      <c r="E311" s="180" t="s">
        <v>775</v>
      </c>
      <c r="F311" s="180" t="s">
        <v>860</v>
      </c>
      <c r="G311" s="180" t="s">
        <v>137</v>
      </c>
      <c r="H311" s="489">
        <v>280</v>
      </c>
      <c r="I311" s="490">
        <v>0.23080000000000001</v>
      </c>
      <c r="J311" s="490"/>
      <c r="L311" s="180" t="s">
        <v>414</v>
      </c>
    </row>
    <row r="312" spans="1:12" s="180" customFormat="1">
      <c r="A312" s="180" t="s">
        <v>294</v>
      </c>
      <c r="B312" s="180" t="s">
        <v>861</v>
      </c>
      <c r="C312" s="180" t="s">
        <v>374</v>
      </c>
      <c r="D312" s="180" t="s">
        <v>862</v>
      </c>
      <c r="E312" s="180" t="s">
        <v>779</v>
      </c>
      <c r="F312" s="180" t="s">
        <v>863</v>
      </c>
      <c r="G312" s="180" t="s">
        <v>138</v>
      </c>
      <c r="H312" s="489">
        <v>280</v>
      </c>
      <c r="I312" s="490">
        <v>0.23080000000000001</v>
      </c>
      <c r="J312" s="490"/>
      <c r="L312" s="180" t="s">
        <v>414</v>
      </c>
    </row>
    <row r="313" spans="1:12" s="180" customFormat="1">
      <c r="A313" s="180" t="s">
        <v>294</v>
      </c>
      <c r="B313" s="180" t="s">
        <v>864</v>
      </c>
      <c r="C313" s="180" t="s">
        <v>374</v>
      </c>
      <c r="D313" s="180" t="s">
        <v>797</v>
      </c>
      <c r="E313" s="180" t="s">
        <v>382</v>
      </c>
      <c r="F313" s="180" t="s">
        <v>554</v>
      </c>
      <c r="G313" s="180" t="s">
        <v>101</v>
      </c>
      <c r="H313" s="489">
        <v>90</v>
      </c>
      <c r="I313" s="490">
        <v>0.35365999999999997</v>
      </c>
      <c r="J313" s="490"/>
      <c r="L313" s="180" t="s">
        <v>414</v>
      </c>
    </row>
    <row r="314" spans="1:12" s="180" customFormat="1">
      <c r="A314" s="180" t="s">
        <v>294</v>
      </c>
      <c r="B314" s="180" t="s">
        <v>865</v>
      </c>
      <c r="C314" s="180" t="s">
        <v>374</v>
      </c>
      <c r="D314" s="180" t="s">
        <v>866</v>
      </c>
      <c r="E314" s="180" t="s">
        <v>412</v>
      </c>
      <c r="F314" s="180" t="s">
        <v>867</v>
      </c>
      <c r="G314" s="180" t="s">
        <v>102</v>
      </c>
      <c r="H314" s="489">
        <v>90</v>
      </c>
      <c r="I314" s="490">
        <v>0.35365999999999997</v>
      </c>
      <c r="J314" s="490"/>
      <c r="L314" s="180" t="s">
        <v>414</v>
      </c>
    </row>
    <row r="315" spans="1:12" s="180" customFormat="1">
      <c r="A315" s="180" t="s">
        <v>294</v>
      </c>
      <c r="B315" s="180" t="s">
        <v>865</v>
      </c>
      <c r="C315" s="180" t="s">
        <v>410</v>
      </c>
      <c r="D315" s="180" t="s">
        <v>866</v>
      </c>
      <c r="E315" s="180" t="s">
        <v>412</v>
      </c>
      <c r="F315" s="180" t="s">
        <v>867</v>
      </c>
      <c r="G315" s="180" t="s">
        <v>102</v>
      </c>
      <c r="H315" s="489">
        <v>90</v>
      </c>
      <c r="I315" s="490">
        <v>0.35365999999999997</v>
      </c>
      <c r="J315" s="490"/>
      <c r="L315" s="180" t="s">
        <v>414</v>
      </c>
    </row>
    <row r="316" spans="1:12" s="180" customFormat="1">
      <c r="A316" s="180" t="s">
        <v>294</v>
      </c>
      <c r="B316" s="180" t="s">
        <v>868</v>
      </c>
      <c r="C316" s="180" t="s">
        <v>374</v>
      </c>
      <c r="D316" s="180" t="s">
        <v>869</v>
      </c>
      <c r="E316" s="180" t="s">
        <v>412</v>
      </c>
      <c r="F316" s="180" t="s">
        <v>870</v>
      </c>
      <c r="G316" s="180" t="s">
        <v>795</v>
      </c>
      <c r="H316" s="489">
        <v>90</v>
      </c>
      <c r="I316" s="490">
        <v>0.35365999999999997</v>
      </c>
      <c r="J316" s="490"/>
      <c r="L316" s="180" t="s">
        <v>414</v>
      </c>
    </row>
    <row r="317" spans="1:12" s="180" customFormat="1">
      <c r="A317" s="180" t="s">
        <v>294</v>
      </c>
      <c r="B317" s="180" t="s">
        <v>868</v>
      </c>
      <c r="C317" s="180" t="s">
        <v>410</v>
      </c>
      <c r="D317" s="180" t="s">
        <v>869</v>
      </c>
      <c r="E317" s="180" t="s">
        <v>412</v>
      </c>
      <c r="F317" s="180" t="s">
        <v>870</v>
      </c>
      <c r="G317" s="180" t="s">
        <v>795</v>
      </c>
      <c r="H317" s="489">
        <v>90</v>
      </c>
      <c r="I317" s="490">
        <v>0.35365999999999997</v>
      </c>
      <c r="J317" s="490"/>
      <c r="L317" s="180" t="s">
        <v>414</v>
      </c>
    </row>
    <row r="318" spans="1:12" s="180" customFormat="1">
      <c r="A318" s="180" t="s">
        <v>294</v>
      </c>
      <c r="B318" s="180" t="s">
        <v>871</v>
      </c>
      <c r="C318" s="180" t="s">
        <v>374</v>
      </c>
      <c r="D318" s="180" t="s">
        <v>797</v>
      </c>
      <c r="E318" s="180" t="s">
        <v>382</v>
      </c>
      <c r="F318" s="180" t="s">
        <v>696</v>
      </c>
      <c r="G318" s="180" t="s">
        <v>101</v>
      </c>
      <c r="H318" s="489">
        <v>90</v>
      </c>
      <c r="I318" s="490">
        <v>0.35365999999999997</v>
      </c>
      <c r="J318" s="490"/>
    </row>
    <row r="319" spans="1:12" s="180" customFormat="1">
      <c r="A319" s="180" t="s">
        <v>294</v>
      </c>
      <c r="B319" s="180" t="s">
        <v>872</v>
      </c>
      <c r="C319" s="180" t="s">
        <v>374</v>
      </c>
      <c r="D319" s="180" t="s">
        <v>797</v>
      </c>
      <c r="E319" s="180" t="s">
        <v>382</v>
      </c>
      <c r="F319" s="180" t="s">
        <v>696</v>
      </c>
      <c r="G319" s="180" t="s">
        <v>101</v>
      </c>
      <c r="H319" s="489">
        <v>90</v>
      </c>
      <c r="I319" s="490">
        <v>0.35365999999999997</v>
      </c>
      <c r="J319" s="490"/>
      <c r="L319" s="180" t="s">
        <v>414</v>
      </c>
    </row>
    <row r="320" spans="1:12" s="180" customFormat="1">
      <c r="A320" s="180" t="s">
        <v>294</v>
      </c>
      <c r="B320" s="180" t="s">
        <v>873</v>
      </c>
      <c r="C320" s="180" t="s">
        <v>374</v>
      </c>
      <c r="D320" s="180" t="s">
        <v>874</v>
      </c>
      <c r="E320" s="180" t="s">
        <v>875</v>
      </c>
      <c r="F320" s="180" t="s">
        <v>383</v>
      </c>
      <c r="G320" s="180" t="s">
        <v>139</v>
      </c>
      <c r="H320" s="489"/>
      <c r="I320" s="490">
        <v>0.24210000000000001</v>
      </c>
      <c r="J320" s="490"/>
    </row>
    <row r="321" spans="1:12" s="180" customFormat="1">
      <c r="A321" s="180" t="s">
        <v>294</v>
      </c>
      <c r="B321" s="180" t="s">
        <v>876</v>
      </c>
      <c r="C321" s="180" t="s">
        <v>374</v>
      </c>
      <c r="D321" s="180" t="s">
        <v>877</v>
      </c>
      <c r="E321" s="180" t="s">
        <v>878</v>
      </c>
      <c r="F321" s="180" t="s">
        <v>383</v>
      </c>
      <c r="G321" s="180" t="s">
        <v>140</v>
      </c>
      <c r="H321" s="489"/>
      <c r="I321" s="490">
        <v>0.24210000000000001</v>
      </c>
      <c r="J321" s="490"/>
      <c r="L321" s="180" t="s">
        <v>299</v>
      </c>
    </row>
    <row r="322" spans="1:12" s="180" customFormat="1">
      <c r="A322" s="180" t="s">
        <v>294</v>
      </c>
      <c r="B322" s="180" t="s">
        <v>879</v>
      </c>
      <c r="C322" s="180" t="s">
        <v>374</v>
      </c>
      <c r="D322" s="180" t="s">
        <v>880</v>
      </c>
      <c r="E322" s="180" t="s">
        <v>878</v>
      </c>
      <c r="F322" s="180" t="s">
        <v>377</v>
      </c>
      <c r="G322" s="180" t="s">
        <v>139</v>
      </c>
      <c r="H322" s="489"/>
      <c r="I322" s="490">
        <v>0.24210000000000001</v>
      </c>
      <c r="J322" s="490"/>
      <c r="L322" s="180" t="s">
        <v>299</v>
      </c>
    </row>
    <row r="323" spans="1:12" s="180" customFormat="1">
      <c r="A323" s="180" t="s">
        <v>294</v>
      </c>
      <c r="B323" s="180" t="s">
        <v>881</v>
      </c>
      <c r="C323" s="180" t="s">
        <v>374</v>
      </c>
      <c r="D323" s="180" t="s">
        <v>882</v>
      </c>
      <c r="E323" s="180" t="s">
        <v>878</v>
      </c>
      <c r="F323" s="180" t="s">
        <v>377</v>
      </c>
      <c r="G323" s="180" t="s">
        <v>139</v>
      </c>
      <c r="H323" s="489"/>
      <c r="I323" s="490">
        <v>0.24210000000000001</v>
      </c>
      <c r="J323" s="490"/>
    </row>
    <row r="324" spans="1:12" s="180" customFormat="1">
      <c r="A324" s="180" t="s">
        <v>294</v>
      </c>
      <c r="B324" s="180" t="s">
        <v>883</v>
      </c>
      <c r="C324" s="180" t="s">
        <v>374</v>
      </c>
      <c r="D324" s="180" t="s">
        <v>884</v>
      </c>
      <c r="E324" s="180" t="s">
        <v>878</v>
      </c>
      <c r="F324" s="180" t="s">
        <v>377</v>
      </c>
      <c r="G324" s="180" t="s">
        <v>139</v>
      </c>
      <c r="H324" s="489"/>
      <c r="I324" s="490">
        <v>0.24210000000000001</v>
      </c>
      <c r="J324" s="490"/>
    </row>
    <row r="325" spans="1:12" s="180" customFormat="1">
      <c r="A325" s="180" t="s">
        <v>294</v>
      </c>
      <c r="B325" s="180" t="s">
        <v>885</v>
      </c>
      <c r="C325" s="180" t="s">
        <v>374</v>
      </c>
      <c r="D325" s="180" t="s">
        <v>886</v>
      </c>
      <c r="E325" s="180" t="s">
        <v>878</v>
      </c>
      <c r="F325" s="180" t="s">
        <v>377</v>
      </c>
      <c r="G325" s="180" t="s">
        <v>139</v>
      </c>
      <c r="H325" s="489"/>
      <c r="I325" s="490">
        <v>0.24210000000000001</v>
      </c>
      <c r="J325" s="490"/>
    </row>
    <row r="326" spans="1:12" s="180" customFormat="1">
      <c r="A326" s="180" t="s">
        <v>294</v>
      </c>
      <c r="B326" s="180" t="s">
        <v>887</v>
      </c>
      <c r="C326" s="180" t="s">
        <v>374</v>
      </c>
      <c r="D326" s="180" t="s">
        <v>888</v>
      </c>
      <c r="E326" s="180" t="s">
        <v>878</v>
      </c>
      <c r="F326" s="180" t="s">
        <v>377</v>
      </c>
      <c r="G326" s="180" t="s">
        <v>139</v>
      </c>
      <c r="H326" s="489"/>
      <c r="I326" s="490">
        <v>0.24210000000000001</v>
      </c>
      <c r="J326" s="490"/>
    </row>
    <row r="327" spans="1:12" s="180" customFormat="1">
      <c r="A327" s="180" t="s">
        <v>294</v>
      </c>
      <c r="B327" s="180" t="s">
        <v>889</v>
      </c>
      <c r="C327" s="180" t="s">
        <v>374</v>
      </c>
      <c r="D327" s="180" t="s">
        <v>886</v>
      </c>
      <c r="E327" s="180" t="s">
        <v>878</v>
      </c>
      <c r="F327" s="180" t="s">
        <v>377</v>
      </c>
      <c r="G327" s="180" t="s">
        <v>139</v>
      </c>
      <c r="H327" s="489"/>
      <c r="I327" s="490">
        <v>0.24210000000000001</v>
      </c>
      <c r="J327" s="490"/>
    </row>
    <row r="328" spans="1:12" s="180" customFormat="1">
      <c r="A328" s="180" t="s">
        <v>294</v>
      </c>
      <c r="B328" s="180" t="s">
        <v>890</v>
      </c>
      <c r="C328" s="180" t="s">
        <v>374</v>
      </c>
      <c r="D328" s="180" t="s">
        <v>891</v>
      </c>
      <c r="E328" s="180" t="s">
        <v>878</v>
      </c>
      <c r="F328" s="180" t="s">
        <v>377</v>
      </c>
      <c r="G328" s="180" t="s">
        <v>139</v>
      </c>
      <c r="H328" s="489"/>
      <c r="I328" s="490">
        <v>0.24210000000000001</v>
      </c>
      <c r="J328" s="490"/>
      <c r="L328" s="180" t="s">
        <v>299</v>
      </c>
    </row>
    <row r="329" spans="1:12" s="180" customFormat="1">
      <c r="A329" s="180" t="s">
        <v>294</v>
      </c>
      <c r="B329" s="180" t="s">
        <v>892</v>
      </c>
      <c r="C329" s="180" t="s">
        <v>374</v>
      </c>
      <c r="D329" s="180" t="s">
        <v>893</v>
      </c>
      <c r="E329" s="180" t="s">
        <v>878</v>
      </c>
      <c r="F329" s="180" t="s">
        <v>377</v>
      </c>
      <c r="G329" s="180" t="s">
        <v>139</v>
      </c>
      <c r="H329" s="489"/>
      <c r="I329" s="490">
        <v>0.24210000000000001</v>
      </c>
      <c r="J329" s="490"/>
      <c r="L329" s="180" t="s">
        <v>299</v>
      </c>
    </row>
    <row r="330" spans="1:12" s="180" customFormat="1">
      <c r="A330" s="180" t="s">
        <v>294</v>
      </c>
      <c r="B330" s="180" t="s">
        <v>894</v>
      </c>
      <c r="C330" s="180" t="s">
        <v>374</v>
      </c>
      <c r="D330" s="180" t="s">
        <v>895</v>
      </c>
      <c r="E330" s="180" t="s">
        <v>878</v>
      </c>
      <c r="F330" s="180" t="s">
        <v>377</v>
      </c>
      <c r="G330" s="180" t="s">
        <v>139</v>
      </c>
      <c r="H330" s="489"/>
      <c r="I330" s="490">
        <v>0.24210000000000001</v>
      </c>
      <c r="J330" s="490"/>
      <c r="L330" s="180" t="s">
        <v>414</v>
      </c>
    </row>
    <row r="331" spans="1:12" s="180" customFormat="1">
      <c r="A331" s="180" t="s">
        <v>294</v>
      </c>
      <c r="B331" s="180" t="s">
        <v>896</v>
      </c>
      <c r="C331" s="180" t="s">
        <v>304</v>
      </c>
      <c r="D331" s="180" t="s">
        <v>897</v>
      </c>
      <c r="E331" s="180" t="s">
        <v>878</v>
      </c>
      <c r="F331" s="180" t="s">
        <v>377</v>
      </c>
      <c r="G331" s="180" t="s">
        <v>139</v>
      </c>
      <c r="H331" s="489"/>
      <c r="I331" s="490">
        <v>0.24210000000000001</v>
      </c>
      <c r="J331" s="490"/>
      <c r="L331" s="180" t="s">
        <v>414</v>
      </c>
    </row>
    <row r="332" spans="1:12" s="180" customFormat="1">
      <c r="A332" s="180" t="s">
        <v>294</v>
      </c>
      <c r="B332" s="180" t="s">
        <v>898</v>
      </c>
      <c r="C332" s="180" t="s">
        <v>374</v>
      </c>
      <c r="D332" s="180" t="s">
        <v>899</v>
      </c>
      <c r="E332" s="180" t="s">
        <v>878</v>
      </c>
      <c r="F332" s="180" t="s">
        <v>377</v>
      </c>
      <c r="G332" s="180" t="s">
        <v>139</v>
      </c>
      <c r="H332" s="489"/>
      <c r="I332" s="490">
        <v>0.24210000000000001</v>
      </c>
      <c r="J332" s="490"/>
      <c r="L332" s="180" t="s">
        <v>299</v>
      </c>
    </row>
    <row r="333" spans="1:12" s="180" customFormat="1">
      <c r="A333" s="180" t="s">
        <v>294</v>
      </c>
      <c r="B333" s="180" t="s">
        <v>900</v>
      </c>
      <c r="C333" s="180" t="s">
        <v>374</v>
      </c>
      <c r="D333" s="180" t="s">
        <v>901</v>
      </c>
      <c r="E333" s="180" t="s">
        <v>878</v>
      </c>
      <c r="F333" s="180" t="s">
        <v>377</v>
      </c>
      <c r="G333" s="180" t="s">
        <v>139</v>
      </c>
      <c r="H333" s="489"/>
      <c r="I333" s="490">
        <v>0.24210000000000001</v>
      </c>
      <c r="J333" s="490"/>
      <c r="L333" s="180" t="s">
        <v>299</v>
      </c>
    </row>
    <row r="334" spans="1:12" s="180" customFormat="1">
      <c r="A334" s="180" t="s">
        <v>294</v>
      </c>
      <c r="B334" s="180" t="s">
        <v>902</v>
      </c>
      <c r="C334" s="180" t="s">
        <v>374</v>
      </c>
      <c r="D334" s="180" t="s">
        <v>903</v>
      </c>
      <c r="E334" s="180" t="s">
        <v>878</v>
      </c>
      <c r="F334" s="180" t="s">
        <v>377</v>
      </c>
      <c r="G334" s="180" t="s">
        <v>139</v>
      </c>
      <c r="H334" s="489"/>
      <c r="I334" s="490">
        <v>0.24210000000000001</v>
      </c>
      <c r="J334" s="490"/>
    </row>
    <row r="335" spans="1:12" s="180" customFormat="1">
      <c r="A335" s="180" t="s">
        <v>294</v>
      </c>
      <c r="B335" s="180" t="s">
        <v>904</v>
      </c>
      <c r="C335" s="180" t="s">
        <v>374</v>
      </c>
      <c r="D335" s="180" t="s">
        <v>905</v>
      </c>
      <c r="E335" s="180" t="s">
        <v>878</v>
      </c>
      <c r="F335" s="180" t="s">
        <v>377</v>
      </c>
      <c r="G335" s="180" t="s">
        <v>139</v>
      </c>
      <c r="H335" s="489"/>
      <c r="I335" s="490">
        <v>0.24210000000000001</v>
      </c>
      <c r="J335" s="490"/>
    </row>
    <row r="336" spans="1:12" s="180" customFormat="1">
      <c r="A336" s="180" t="s">
        <v>294</v>
      </c>
      <c r="B336" s="180" t="s">
        <v>906</v>
      </c>
      <c r="C336" s="180" t="s">
        <v>304</v>
      </c>
      <c r="D336" s="180" t="s">
        <v>907</v>
      </c>
      <c r="F336" s="180" t="s">
        <v>908</v>
      </c>
      <c r="H336" s="489"/>
      <c r="I336" s="490"/>
      <c r="J336" s="490"/>
    </row>
    <row r="337" spans="1:12" s="180" customFormat="1">
      <c r="A337" s="180" t="s">
        <v>294</v>
      </c>
      <c r="B337" s="180" t="s">
        <v>909</v>
      </c>
      <c r="C337" s="180" t="s">
        <v>910</v>
      </c>
      <c r="D337" s="180" t="s">
        <v>911</v>
      </c>
      <c r="E337" s="180" t="s">
        <v>912</v>
      </c>
      <c r="F337" s="180" t="s">
        <v>696</v>
      </c>
      <c r="G337" s="180" t="s">
        <v>584</v>
      </c>
      <c r="H337" s="489">
        <v>1800</v>
      </c>
      <c r="I337" s="490">
        <v>4.4999999999999998E-2</v>
      </c>
      <c r="J337" s="490"/>
      <c r="L337" s="180" t="s">
        <v>559</v>
      </c>
    </row>
    <row r="338" spans="1:12" s="180" customFormat="1">
      <c r="A338" s="180" t="s">
        <v>294</v>
      </c>
      <c r="B338" s="180" t="s">
        <v>913</v>
      </c>
      <c r="C338" s="180" t="s">
        <v>304</v>
      </c>
      <c r="D338" s="180" t="s">
        <v>914</v>
      </c>
      <c r="E338" s="180" t="s">
        <v>915</v>
      </c>
      <c r="F338" s="180" t="s">
        <v>916</v>
      </c>
      <c r="G338" s="180" t="s">
        <v>917</v>
      </c>
      <c r="H338" s="489">
        <v>100</v>
      </c>
      <c r="I338" s="490">
        <v>0.17111000000000001</v>
      </c>
      <c r="J338" s="490"/>
      <c r="L338" s="180" t="s">
        <v>414</v>
      </c>
    </row>
    <row r="339" spans="1:12" s="180" customFormat="1">
      <c r="A339" s="180" t="s">
        <v>294</v>
      </c>
      <c r="B339" s="180" t="s">
        <v>913</v>
      </c>
      <c r="C339" s="180" t="s">
        <v>478</v>
      </c>
      <c r="D339" s="180" t="s">
        <v>914</v>
      </c>
      <c r="E339" s="180" t="s">
        <v>915</v>
      </c>
      <c r="F339" s="180" t="s">
        <v>916</v>
      </c>
      <c r="G339" s="180" t="s">
        <v>917</v>
      </c>
      <c r="H339" s="489">
        <v>100</v>
      </c>
      <c r="I339" s="490">
        <v>0.17111000000000001</v>
      </c>
      <c r="J339" s="490"/>
      <c r="L339" s="180" t="s">
        <v>414</v>
      </c>
    </row>
    <row r="340" spans="1:12" s="180" customFormat="1">
      <c r="A340" s="180" t="s">
        <v>294</v>
      </c>
      <c r="B340" s="180" t="s">
        <v>918</v>
      </c>
      <c r="C340" s="180" t="s">
        <v>304</v>
      </c>
      <c r="D340" s="180" t="s">
        <v>919</v>
      </c>
      <c r="E340" s="180" t="s">
        <v>920</v>
      </c>
      <c r="F340" s="180" t="s">
        <v>921</v>
      </c>
      <c r="G340" s="180" t="s">
        <v>917</v>
      </c>
      <c r="H340" s="489">
        <v>9</v>
      </c>
      <c r="I340" s="490">
        <v>0.37835000000000002</v>
      </c>
      <c r="J340" s="490"/>
      <c r="L340" s="180" t="s">
        <v>414</v>
      </c>
    </row>
    <row r="341" spans="1:12" s="180" customFormat="1">
      <c r="A341" s="180" t="s">
        <v>294</v>
      </c>
      <c r="B341" s="180" t="s">
        <v>918</v>
      </c>
      <c r="C341" s="180" t="s">
        <v>410</v>
      </c>
      <c r="D341" s="180" t="s">
        <v>919</v>
      </c>
      <c r="E341" s="180" t="s">
        <v>920</v>
      </c>
      <c r="F341" s="180" t="s">
        <v>921</v>
      </c>
      <c r="G341" s="180" t="s">
        <v>917</v>
      </c>
      <c r="H341" s="489">
        <v>9</v>
      </c>
      <c r="I341" s="490">
        <v>0.37835000000000002</v>
      </c>
      <c r="J341" s="490"/>
      <c r="L341" s="180" t="s">
        <v>414</v>
      </c>
    </row>
    <row r="342" spans="1:12" s="180" customFormat="1">
      <c r="A342" s="180" t="s">
        <v>294</v>
      </c>
      <c r="B342" s="180" t="s">
        <v>922</v>
      </c>
      <c r="C342" s="180" t="s">
        <v>304</v>
      </c>
      <c r="D342" s="180" t="s">
        <v>923</v>
      </c>
      <c r="E342" s="180" t="s">
        <v>920</v>
      </c>
      <c r="F342" s="180" t="s">
        <v>924</v>
      </c>
      <c r="G342" s="180" t="s">
        <v>917</v>
      </c>
      <c r="H342" s="489">
        <v>9</v>
      </c>
      <c r="I342" s="490">
        <v>0.37835000000000002</v>
      </c>
      <c r="J342" s="490"/>
      <c r="L342" s="180" t="s">
        <v>414</v>
      </c>
    </row>
    <row r="343" spans="1:12" s="180" customFormat="1">
      <c r="A343" s="180" t="s">
        <v>294</v>
      </c>
      <c r="B343" s="180" t="s">
        <v>922</v>
      </c>
      <c r="C343" s="180" t="s">
        <v>410</v>
      </c>
      <c r="D343" s="180" t="s">
        <v>923</v>
      </c>
      <c r="E343" s="180" t="s">
        <v>920</v>
      </c>
      <c r="F343" s="180" t="s">
        <v>924</v>
      </c>
      <c r="G343" s="180" t="s">
        <v>917</v>
      </c>
      <c r="H343" s="489">
        <v>9</v>
      </c>
      <c r="I343" s="490">
        <v>0.37835000000000002</v>
      </c>
      <c r="J343" s="490"/>
      <c r="L343" s="180" t="s">
        <v>414</v>
      </c>
    </row>
    <row r="344" spans="1:12" s="180" customFormat="1">
      <c r="A344" s="180" t="s">
        <v>294</v>
      </c>
      <c r="B344" s="180" t="s">
        <v>925</v>
      </c>
      <c r="C344" s="180" t="s">
        <v>304</v>
      </c>
      <c r="D344" s="180" t="s">
        <v>926</v>
      </c>
      <c r="E344" s="180" t="s">
        <v>927</v>
      </c>
      <c r="F344" s="180" t="s">
        <v>928</v>
      </c>
      <c r="G344" s="180" t="s">
        <v>929</v>
      </c>
      <c r="H344" s="489">
        <v>25</v>
      </c>
      <c r="I344" s="490">
        <v>5.7619999999999998E-2</v>
      </c>
      <c r="J344" s="490"/>
      <c r="L344" s="180" t="s">
        <v>414</v>
      </c>
    </row>
    <row r="345" spans="1:12" s="180" customFormat="1">
      <c r="A345" s="180" t="s">
        <v>294</v>
      </c>
      <c r="B345" s="180" t="s">
        <v>925</v>
      </c>
      <c r="C345" s="180" t="s">
        <v>410</v>
      </c>
      <c r="D345" s="180" t="s">
        <v>926</v>
      </c>
      <c r="E345" s="180" t="s">
        <v>927</v>
      </c>
      <c r="F345" s="180" t="s">
        <v>928</v>
      </c>
      <c r="G345" s="180" t="s">
        <v>929</v>
      </c>
      <c r="H345" s="489">
        <v>25</v>
      </c>
      <c r="I345" s="490">
        <v>5.7619999999999998E-2</v>
      </c>
      <c r="J345" s="490"/>
      <c r="L345" s="180" t="s">
        <v>414</v>
      </c>
    </row>
    <row r="346" spans="1:12" s="180" customFormat="1">
      <c r="A346" s="180" t="s">
        <v>294</v>
      </c>
      <c r="B346" s="180" t="s">
        <v>930</v>
      </c>
      <c r="C346" s="180" t="s">
        <v>304</v>
      </c>
      <c r="D346" s="180" t="s">
        <v>931</v>
      </c>
      <c r="E346" s="180" t="s">
        <v>932</v>
      </c>
      <c r="F346" s="180" t="s">
        <v>933</v>
      </c>
      <c r="G346" s="180" t="s">
        <v>934</v>
      </c>
      <c r="H346" s="489">
        <v>60</v>
      </c>
      <c r="I346" s="490">
        <v>4.7849999999999997E-2</v>
      </c>
      <c r="J346" s="490"/>
      <c r="L346" s="180" t="s">
        <v>414</v>
      </c>
    </row>
    <row r="347" spans="1:12" s="180" customFormat="1">
      <c r="A347" s="180" t="s">
        <v>294</v>
      </c>
      <c r="B347" s="180" t="s">
        <v>930</v>
      </c>
      <c r="C347" s="180" t="s">
        <v>410</v>
      </c>
      <c r="D347" s="180" t="s">
        <v>931</v>
      </c>
      <c r="E347" s="180" t="s">
        <v>932</v>
      </c>
      <c r="F347" s="180" t="s">
        <v>933</v>
      </c>
      <c r="G347" s="180" t="s">
        <v>934</v>
      </c>
      <c r="H347" s="489">
        <v>60</v>
      </c>
      <c r="I347" s="490">
        <v>4.7849999999999997E-2</v>
      </c>
      <c r="J347" s="490"/>
      <c r="L347" s="180" t="s">
        <v>414</v>
      </c>
    </row>
    <row r="348" spans="1:12" s="180" customFormat="1">
      <c r="A348" s="180" t="s">
        <v>294</v>
      </c>
      <c r="B348" s="180" t="s">
        <v>935</v>
      </c>
      <c r="C348" s="180" t="s">
        <v>304</v>
      </c>
      <c r="D348" s="180" t="s">
        <v>936</v>
      </c>
      <c r="E348" s="180" t="s">
        <v>937</v>
      </c>
      <c r="F348" s="180" t="s">
        <v>938</v>
      </c>
      <c r="G348" s="180" t="s">
        <v>939</v>
      </c>
      <c r="H348" s="489">
        <v>2000</v>
      </c>
      <c r="I348" s="490">
        <v>3.9100000000000003E-2</v>
      </c>
      <c r="J348" s="490"/>
      <c r="L348" s="180" t="s">
        <v>414</v>
      </c>
    </row>
    <row r="349" spans="1:12" s="180" customFormat="1">
      <c r="A349" s="180" t="s">
        <v>294</v>
      </c>
      <c r="B349" s="180" t="s">
        <v>935</v>
      </c>
      <c r="C349" s="180" t="s">
        <v>410</v>
      </c>
      <c r="D349" s="180" t="s">
        <v>936</v>
      </c>
      <c r="E349" s="180" t="s">
        <v>937</v>
      </c>
      <c r="F349" s="180" t="s">
        <v>938</v>
      </c>
      <c r="G349" s="180" t="s">
        <v>939</v>
      </c>
      <c r="H349" s="489">
        <v>2000</v>
      </c>
      <c r="I349" s="490">
        <v>3.9100000000000003E-2</v>
      </c>
      <c r="J349" s="490"/>
      <c r="L349" s="180" t="s">
        <v>414</v>
      </c>
    </row>
    <row r="350" spans="1:12" s="180" customFormat="1">
      <c r="A350" s="180" t="s">
        <v>294</v>
      </c>
      <c r="B350" s="180" t="s">
        <v>940</v>
      </c>
      <c r="C350" s="180" t="s">
        <v>910</v>
      </c>
      <c r="D350" s="180" t="s">
        <v>941</v>
      </c>
      <c r="E350" s="180" t="s">
        <v>942</v>
      </c>
      <c r="F350" s="180">
        <v>12</v>
      </c>
      <c r="G350" s="180" t="s">
        <v>558</v>
      </c>
      <c r="H350" s="489"/>
      <c r="I350" s="490"/>
      <c r="J350" s="490"/>
    </row>
    <row r="351" spans="1:12" s="180" customFormat="1">
      <c r="A351" s="180" t="s">
        <v>294</v>
      </c>
      <c r="B351" s="180" t="s">
        <v>943</v>
      </c>
      <c r="C351" s="180" t="s">
        <v>304</v>
      </c>
      <c r="D351" s="180" t="s">
        <v>944</v>
      </c>
      <c r="E351" s="180" t="s">
        <v>945</v>
      </c>
      <c r="F351" s="180" t="s">
        <v>383</v>
      </c>
      <c r="G351" s="180" t="s">
        <v>558</v>
      </c>
      <c r="H351" s="489"/>
      <c r="I351" s="490"/>
      <c r="J351" s="490"/>
    </row>
    <row r="352" spans="1:12" s="180" customFormat="1">
      <c r="A352" s="180" t="s">
        <v>294</v>
      </c>
      <c r="B352" s="180" t="s">
        <v>946</v>
      </c>
      <c r="C352" s="180" t="s">
        <v>947</v>
      </c>
      <c r="D352" s="180" t="s">
        <v>948</v>
      </c>
      <c r="E352" s="180" t="s">
        <v>949</v>
      </c>
      <c r="F352" s="180" t="s">
        <v>383</v>
      </c>
      <c r="H352" s="489"/>
      <c r="I352" s="490"/>
      <c r="J352" s="490"/>
    </row>
    <row r="353" spans="1:12" s="180" customFormat="1">
      <c r="A353" s="180" t="s">
        <v>294</v>
      </c>
      <c r="B353" s="180" t="s">
        <v>950</v>
      </c>
      <c r="C353" s="180" t="s">
        <v>304</v>
      </c>
      <c r="D353" s="180" t="s">
        <v>951</v>
      </c>
      <c r="E353" s="180" t="s">
        <v>523</v>
      </c>
      <c r="F353" s="180">
        <v>11</v>
      </c>
      <c r="G353" s="180" t="s">
        <v>524</v>
      </c>
      <c r="H353" s="489"/>
      <c r="I353" s="490"/>
      <c r="J353" s="490"/>
    </row>
    <row r="354" spans="1:12" s="180" customFormat="1">
      <c r="A354" s="180" t="s">
        <v>294</v>
      </c>
      <c r="B354" s="180" t="s">
        <v>952</v>
      </c>
      <c r="C354" s="180" t="s">
        <v>947</v>
      </c>
      <c r="D354" s="180" t="s">
        <v>953</v>
      </c>
      <c r="E354" s="180" t="s">
        <v>954</v>
      </c>
      <c r="F354" s="180" t="s">
        <v>112</v>
      </c>
      <c r="H354" s="489"/>
      <c r="I354" s="490"/>
      <c r="J354" s="490"/>
    </row>
    <row r="355" spans="1:12" s="180" customFormat="1">
      <c r="A355" s="180" t="s">
        <v>294</v>
      </c>
      <c r="B355" s="180" t="s">
        <v>955</v>
      </c>
      <c r="C355" s="180" t="s">
        <v>304</v>
      </c>
      <c r="D355" s="180" t="s">
        <v>956</v>
      </c>
      <c r="E355" s="180" t="s">
        <v>298</v>
      </c>
      <c r="F355" s="180" t="s">
        <v>112</v>
      </c>
      <c r="G355" s="180" t="s">
        <v>112</v>
      </c>
      <c r="H355" s="489">
        <v>11</v>
      </c>
      <c r="I355" s="490">
        <v>0.49828</v>
      </c>
      <c r="J355" s="490"/>
      <c r="L355" s="180" t="s">
        <v>299</v>
      </c>
    </row>
    <row r="356" spans="1:12" s="180" customFormat="1">
      <c r="A356" s="180" t="s">
        <v>294</v>
      </c>
      <c r="B356" s="180" t="s">
        <v>957</v>
      </c>
      <c r="C356" s="180" t="s">
        <v>304</v>
      </c>
      <c r="D356" s="180" t="s">
        <v>752</v>
      </c>
      <c r="E356" s="180" t="s">
        <v>408</v>
      </c>
      <c r="F356" s="180" t="s">
        <v>377</v>
      </c>
      <c r="G356" s="180" t="s">
        <v>133</v>
      </c>
      <c r="H356" s="489">
        <v>33</v>
      </c>
      <c r="I356" s="490">
        <v>0.39135999999999999</v>
      </c>
      <c r="J356" s="490"/>
      <c r="L356" s="180" t="s">
        <v>414</v>
      </c>
    </row>
    <row r="357" spans="1:12" s="180" customFormat="1">
      <c r="A357" s="180" t="s">
        <v>294</v>
      </c>
      <c r="B357" s="180" t="s">
        <v>958</v>
      </c>
      <c r="C357" s="180" t="s">
        <v>304</v>
      </c>
      <c r="D357" s="180" t="s">
        <v>959</v>
      </c>
      <c r="E357" s="180" t="s">
        <v>298</v>
      </c>
      <c r="F357" s="180" t="s">
        <v>112</v>
      </c>
      <c r="G357" s="180" t="s">
        <v>112</v>
      </c>
      <c r="H357" s="489">
        <v>11</v>
      </c>
      <c r="I357" s="490">
        <v>0.49828</v>
      </c>
      <c r="J357" s="490"/>
      <c r="L357" s="180" t="s">
        <v>299</v>
      </c>
    </row>
    <row r="358" spans="1:12" s="180" customFormat="1">
      <c r="A358" s="180" t="s">
        <v>294</v>
      </c>
      <c r="B358" s="180" t="s">
        <v>960</v>
      </c>
      <c r="C358" s="180" t="s">
        <v>304</v>
      </c>
      <c r="D358" s="180" t="s">
        <v>561</v>
      </c>
      <c r="E358" s="180" t="s">
        <v>562</v>
      </c>
      <c r="F358" s="180">
        <v>12</v>
      </c>
      <c r="G358" s="180" t="s">
        <v>558</v>
      </c>
      <c r="H358" s="489"/>
      <c r="I358" s="490"/>
      <c r="J358" s="490"/>
      <c r="L358" s="180" t="s">
        <v>559</v>
      </c>
    </row>
    <row r="359" spans="1:12" s="180" customFormat="1">
      <c r="A359" s="180" t="s">
        <v>294</v>
      </c>
      <c r="B359" s="180" t="s">
        <v>961</v>
      </c>
      <c r="C359" s="180" t="s">
        <v>304</v>
      </c>
      <c r="D359" s="180" t="s">
        <v>561</v>
      </c>
      <c r="E359" s="180" t="s">
        <v>562</v>
      </c>
      <c r="F359" s="180">
        <v>12</v>
      </c>
      <c r="G359" s="180" t="s">
        <v>558</v>
      </c>
      <c r="H359" s="489"/>
      <c r="I359" s="490"/>
      <c r="J359" s="490"/>
      <c r="L359" s="180" t="s">
        <v>559</v>
      </c>
    </row>
  </sheetData>
  <autoFilter ref="A4:L359" xr:uid="{00000000-0009-0000-0000-000000000000}"/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FA736-AE48-47D9-9017-1D99748A52C3}">
  <sheetPr codeName="Sheet27">
    <tabColor theme="0" tint="-0.34998626667073579"/>
  </sheetPr>
  <dimension ref="A1:O108"/>
  <sheetViews>
    <sheetView topLeftCell="A67" workbookViewId="0">
      <selection activeCell="D79" sqref="D79"/>
    </sheetView>
  </sheetViews>
  <sheetFormatPr defaultColWidth="9.140625" defaultRowHeight="12.75"/>
  <cols>
    <col min="1" max="1" width="20.28515625" style="91" bestFit="1" customWidth="1"/>
    <col min="2" max="2" width="10.7109375" style="91" customWidth="1"/>
    <col min="3" max="6" width="11.42578125" style="91" bestFit="1" customWidth="1"/>
    <col min="7" max="7" width="12.7109375" style="91" bestFit="1" customWidth="1"/>
    <col min="8" max="8" width="14" style="91" bestFit="1" customWidth="1"/>
    <col min="9" max="9" width="11.42578125" style="91" bestFit="1" customWidth="1"/>
    <col min="10" max="10" width="12.7109375" style="91" bestFit="1" customWidth="1"/>
    <col min="11" max="11" width="17.140625" style="91" bestFit="1" customWidth="1"/>
    <col min="12" max="14" width="11.42578125" style="91" bestFit="1" customWidth="1"/>
    <col min="15" max="15" width="12.42578125" style="91" bestFit="1" customWidth="1"/>
    <col min="16" max="16" width="4.7109375" style="91" customWidth="1"/>
    <col min="17" max="16384" width="9.140625" style="91"/>
  </cols>
  <sheetData>
    <row r="1" spans="1:15" s="98" customFormat="1" ht="9" customHeight="1"/>
    <row r="2" spans="1:15" s="98" customFormat="1" ht="24" customHeight="1">
      <c r="B2" s="99" t="s">
        <v>962</v>
      </c>
      <c r="C2" s="100">
        <v>202101</v>
      </c>
      <c r="D2" s="100">
        <v>202102</v>
      </c>
      <c r="E2" s="100">
        <v>202103</v>
      </c>
      <c r="F2" s="100">
        <v>202104</v>
      </c>
      <c r="G2" s="100">
        <v>202105</v>
      </c>
      <c r="H2" s="100">
        <v>202106</v>
      </c>
      <c r="I2" s="100">
        <v>202107</v>
      </c>
      <c r="J2" s="100">
        <v>202108</v>
      </c>
      <c r="K2" s="100">
        <v>202109</v>
      </c>
      <c r="L2" s="100">
        <v>202110</v>
      </c>
      <c r="M2" s="100">
        <v>202111</v>
      </c>
      <c r="N2" s="100">
        <v>202112</v>
      </c>
      <c r="O2" s="101" t="s">
        <v>1243</v>
      </c>
    </row>
    <row r="3" spans="1:15" s="98" customFormat="1" ht="19.7" customHeight="1">
      <c r="A3" s="62" t="s">
        <v>51</v>
      </c>
      <c r="B3" s="102" t="s">
        <v>970</v>
      </c>
      <c r="C3" s="103">
        <v>2082.59</v>
      </c>
      <c r="D3" s="103">
        <v>6118.39</v>
      </c>
      <c r="E3" s="103">
        <v>4775.41</v>
      </c>
      <c r="F3" s="103">
        <v>2377.14</v>
      </c>
      <c r="G3" s="103">
        <v>3499.81</v>
      </c>
      <c r="H3" s="103">
        <v>6625.91</v>
      </c>
      <c r="I3" s="103">
        <v>6059.78</v>
      </c>
      <c r="J3" s="103">
        <v>6444.34</v>
      </c>
      <c r="K3" s="103">
        <v>13373.56</v>
      </c>
      <c r="L3" s="103">
        <v>4715.49</v>
      </c>
      <c r="M3" s="103">
        <v>1848.53</v>
      </c>
      <c r="N3" s="103">
        <v>1518.04</v>
      </c>
      <c r="O3" s="104">
        <v>59438.99</v>
      </c>
    </row>
    <row r="4" spans="1:15" s="98" customFormat="1" ht="19.7" customHeight="1">
      <c r="A4" s="98" t="s">
        <v>45</v>
      </c>
      <c r="B4" s="102" t="s">
        <v>152</v>
      </c>
      <c r="C4" s="105">
        <v>19186.71</v>
      </c>
      <c r="D4" s="106">
        <v>19942.23</v>
      </c>
      <c r="E4" s="105">
        <v>21058.13</v>
      </c>
      <c r="F4" s="106">
        <v>19705.03</v>
      </c>
      <c r="G4" s="105">
        <v>22560.21</v>
      </c>
      <c r="H4" s="106">
        <v>26686.89</v>
      </c>
      <c r="I4" s="105">
        <v>28843.35</v>
      </c>
      <c r="J4" s="106">
        <v>31396</v>
      </c>
      <c r="K4" s="105">
        <v>32314.799999999999</v>
      </c>
      <c r="L4" s="106">
        <v>29137.98</v>
      </c>
      <c r="M4" s="105">
        <v>25283.1</v>
      </c>
      <c r="N4" s="106">
        <v>22709.31</v>
      </c>
      <c r="O4" s="104">
        <v>298823.74</v>
      </c>
    </row>
    <row r="5" spans="1:15" s="98" customFormat="1" ht="19.7" customHeight="1">
      <c r="A5" s="98" t="s">
        <v>47</v>
      </c>
      <c r="B5" s="102" t="s">
        <v>153</v>
      </c>
      <c r="C5" s="103">
        <v>21654.41</v>
      </c>
      <c r="D5" s="103">
        <v>24193.040000000001</v>
      </c>
      <c r="E5" s="103">
        <v>23329.33</v>
      </c>
      <c r="F5" s="103">
        <v>22599.33</v>
      </c>
      <c r="G5" s="103">
        <v>25181.599999999999</v>
      </c>
      <c r="H5" s="103">
        <v>31229.53</v>
      </c>
      <c r="I5" s="103">
        <v>33672.980000000003</v>
      </c>
      <c r="J5" s="103">
        <v>39973.629999999997</v>
      </c>
      <c r="K5" s="103">
        <v>38629.19</v>
      </c>
      <c r="L5" s="103">
        <v>35074.160000000003</v>
      </c>
      <c r="M5" s="103">
        <v>31580.85</v>
      </c>
      <c r="N5" s="103">
        <v>25172.17</v>
      </c>
      <c r="O5" s="104">
        <v>352290.22</v>
      </c>
    </row>
    <row r="6" spans="1:15" s="98" customFormat="1" ht="19.7" customHeight="1">
      <c r="A6" s="98" t="s">
        <v>47</v>
      </c>
      <c r="B6" s="102" t="s">
        <v>795</v>
      </c>
      <c r="C6" s="105">
        <v>3689.36</v>
      </c>
      <c r="D6" s="106">
        <v>5812.69</v>
      </c>
      <c r="E6" s="105">
        <v>5949.21</v>
      </c>
      <c r="F6" s="106">
        <v>6532.52</v>
      </c>
      <c r="G6" s="105">
        <v>5897.41</v>
      </c>
      <c r="H6" s="106">
        <v>7134.18</v>
      </c>
      <c r="I6" s="105">
        <v>9425.08</v>
      </c>
      <c r="J6" s="106">
        <v>7467.04</v>
      </c>
      <c r="K6" s="105">
        <v>7889.13</v>
      </c>
      <c r="L6" s="106">
        <v>6432.82</v>
      </c>
      <c r="M6" s="105">
        <v>5388.19</v>
      </c>
      <c r="N6" s="106">
        <v>5343.31</v>
      </c>
      <c r="O6" s="104">
        <v>76960.94</v>
      </c>
    </row>
    <row r="7" spans="1:15" s="98" customFormat="1" ht="19.7" customHeight="1">
      <c r="B7" s="107" t="s">
        <v>1243</v>
      </c>
      <c r="C7" s="104">
        <v>46613.07</v>
      </c>
      <c r="D7" s="104">
        <v>56066.35</v>
      </c>
      <c r="E7" s="104">
        <v>55112.08</v>
      </c>
      <c r="F7" s="104">
        <v>51214.02</v>
      </c>
      <c r="G7" s="104">
        <v>57139.03</v>
      </c>
      <c r="H7" s="104">
        <v>71676.509999999995</v>
      </c>
      <c r="I7" s="104">
        <v>78001.19</v>
      </c>
      <c r="J7" s="104">
        <v>85281.01</v>
      </c>
      <c r="K7" s="104">
        <v>92206.68</v>
      </c>
      <c r="L7" s="104">
        <v>75360.450000000099</v>
      </c>
      <c r="M7" s="104">
        <v>64100.67</v>
      </c>
      <c r="N7" s="104">
        <v>54742.83</v>
      </c>
      <c r="O7" s="104">
        <v>787513.89</v>
      </c>
    </row>
    <row r="8" spans="1:15" s="98" customFormat="1" ht="28.9" customHeight="1"/>
    <row r="12" spans="1:15">
      <c r="A12" t="s">
        <v>963</v>
      </c>
      <c r="B12" t="s">
        <v>964</v>
      </c>
      <c r="C12" t="s">
        <v>128</v>
      </c>
      <c r="D12" t="s">
        <v>965</v>
      </c>
      <c r="G12" t="s">
        <v>966</v>
      </c>
      <c r="H12" t="s">
        <v>967</v>
      </c>
      <c r="I12"/>
      <c r="J12" t="s">
        <v>966</v>
      </c>
      <c r="K12" t="s">
        <v>968</v>
      </c>
      <c r="L12"/>
    </row>
    <row r="13" spans="1:15">
      <c r="A13" t="s">
        <v>116</v>
      </c>
      <c r="B13">
        <v>1</v>
      </c>
      <c r="C13">
        <v>2021</v>
      </c>
      <c r="D13"/>
      <c r="G13" t="s">
        <v>116</v>
      </c>
      <c r="H13"/>
      <c r="I13"/>
      <c r="J13" t="s">
        <v>116</v>
      </c>
      <c r="K13"/>
      <c r="L13"/>
    </row>
    <row r="14" spans="1:15">
      <c r="A14" t="s">
        <v>116</v>
      </c>
      <c r="B14">
        <v>2</v>
      </c>
      <c r="C14">
        <v>2021</v>
      </c>
      <c r="D14"/>
      <c r="G14" t="s">
        <v>969</v>
      </c>
      <c r="H14"/>
      <c r="I14"/>
      <c r="J14" t="s">
        <v>969</v>
      </c>
      <c r="K14"/>
      <c r="L14"/>
    </row>
    <row r="15" spans="1:15">
      <c r="A15" t="s">
        <v>116</v>
      </c>
      <c r="B15">
        <v>3</v>
      </c>
      <c r="C15">
        <v>2021</v>
      </c>
      <c r="D15"/>
      <c r="G15" t="s">
        <v>151</v>
      </c>
      <c r="H15"/>
      <c r="I15"/>
      <c r="J15" t="s">
        <v>151</v>
      </c>
      <c r="K15"/>
      <c r="L15"/>
    </row>
    <row r="16" spans="1:15">
      <c r="A16" t="s">
        <v>116</v>
      </c>
      <c r="B16">
        <v>4</v>
      </c>
      <c r="C16">
        <v>2021</v>
      </c>
      <c r="D16" s="165"/>
      <c r="G16" t="s">
        <v>970</v>
      </c>
      <c r="H16">
        <v>59438.989999999991</v>
      </c>
      <c r="I16"/>
      <c r="J16" t="s">
        <v>970</v>
      </c>
      <c r="K16">
        <v>4953.2491666666656</v>
      </c>
      <c r="L16"/>
    </row>
    <row r="17" spans="1:13">
      <c r="A17" t="s">
        <v>116</v>
      </c>
      <c r="B17">
        <v>5</v>
      </c>
      <c r="C17">
        <v>2021</v>
      </c>
      <c r="D17"/>
      <c r="G17" t="s">
        <v>152</v>
      </c>
      <c r="H17">
        <v>298823.74</v>
      </c>
      <c r="I17"/>
      <c r="J17" t="s">
        <v>152</v>
      </c>
      <c r="K17">
        <v>24901.978333333333</v>
      </c>
      <c r="L17"/>
      <c r="M17" s="62"/>
    </row>
    <row r="18" spans="1:13">
      <c r="A18" t="s">
        <v>116</v>
      </c>
      <c r="B18">
        <v>6</v>
      </c>
      <c r="C18">
        <v>2021</v>
      </c>
      <c r="D18"/>
      <c r="G18" t="s">
        <v>153</v>
      </c>
      <c r="H18">
        <v>352290.22</v>
      </c>
      <c r="I18"/>
      <c r="J18" t="s">
        <v>153</v>
      </c>
      <c r="K18">
        <v>29357.51833333333</v>
      </c>
      <c r="L18"/>
      <c r="M18" s="62"/>
    </row>
    <row r="19" spans="1:13">
      <c r="A19" t="s">
        <v>116</v>
      </c>
      <c r="B19">
        <v>7</v>
      </c>
      <c r="C19">
        <v>2021</v>
      </c>
      <c r="D19"/>
      <c r="G19" t="s">
        <v>795</v>
      </c>
      <c r="H19">
        <v>76960.94</v>
      </c>
      <c r="I19"/>
      <c r="J19" t="s">
        <v>795</v>
      </c>
      <c r="K19">
        <v>6413.4116666666669</v>
      </c>
      <c r="L19"/>
    </row>
    <row r="20" spans="1:13">
      <c r="A20" t="s">
        <v>116</v>
      </c>
      <c r="B20">
        <v>8</v>
      </c>
      <c r="C20">
        <v>2021</v>
      </c>
      <c r="D20"/>
      <c r="G20" t="s">
        <v>154</v>
      </c>
      <c r="H20"/>
      <c r="I20"/>
      <c r="J20" t="s">
        <v>154</v>
      </c>
      <c r="K20"/>
      <c r="L20"/>
    </row>
    <row r="21" spans="1:13">
      <c r="A21" t="s">
        <v>116</v>
      </c>
      <c r="B21">
        <v>9</v>
      </c>
      <c r="C21">
        <v>2021</v>
      </c>
      <c r="D21"/>
      <c r="G21" t="s">
        <v>971</v>
      </c>
      <c r="H21">
        <v>787513.8899999999</v>
      </c>
      <c r="I21"/>
      <c r="J21" t="s">
        <v>971</v>
      </c>
      <c r="K21">
        <v>16406.539374999997</v>
      </c>
      <c r="L21"/>
    </row>
    <row r="22" spans="1:13">
      <c r="A22" t="s">
        <v>116</v>
      </c>
      <c r="B22">
        <v>10</v>
      </c>
      <c r="C22">
        <v>2021</v>
      </c>
      <c r="D22"/>
      <c r="G22"/>
      <c r="H22"/>
      <c r="I22"/>
      <c r="J22"/>
      <c r="K22"/>
      <c r="L22"/>
    </row>
    <row r="23" spans="1:13">
      <c r="A23" t="s">
        <v>116</v>
      </c>
      <c r="B23">
        <v>11</v>
      </c>
      <c r="C23">
        <v>2021</v>
      </c>
      <c r="D23"/>
      <c r="G23"/>
      <c r="H23"/>
      <c r="I23"/>
      <c r="J23"/>
      <c r="K23"/>
      <c r="L23"/>
    </row>
    <row r="24" spans="1:13">
      <c r="A24" t="s">
        <v>116</v>
      </c>
      <c r="B24">
        <v>12</v>
      </c>
      <c r="C24">
        <v>2021</v>
      </c>
      <c r="D24"/>
      <c r="G24"/>
      <c r="H24"/>
      <c r="I24"/>
      <c r="J24"/>
      <c r="K24"/>
      <c r="L24"/>
    </row>
    <row r="25" spans="1:13">
      <c r="A25" t="s">
        <v>969</v>
      </c>
      <c r="B25">
        <v>1</v>
      </c>
      <c r="C25">
        <v>2021</v>
      </c>
      <c r="D25"/>
      <c r="G25"/>
      <c r="H25"/>
      <c r="I25"/>
      <c r="J25"/>
      <c r="K25"/>
      <c r="L25"/>
    </row>
    <row r="26" spans="1:13">
      <c r="A26" t="s">
        <v>969</v>
      </c>
      <c r="B26">
        <v>2</v>
      </c>
      <c r="C26">
        <v>2021</v>
      </c>
      <c r="D26"/>
      <c r="G26"/>
      <c r="H26"/>
      <c r="I26"/>
      <c r="J26"/>
      <c r="K26"/>
      <c r="L26"/>
    </row>
    <row r="27" spans="1:13">
      <c r="A27" t="s">
        <v>969</v>
      </c>
      <c r="B27">
        <v>3</v>
      </c>
      <c r="C27">
        <v>2021</v>
      </c>
      <c r="D27"/>
      <c r="G27"/>
      <c r="H27"/>
      <c r="I27"/>
      <c r="J27"/>
      <c r="K27"/>
      <c r="L27"/>
    </row>
    <row r="28" spans="1:13">
      <c r="A28" t="s">
        <v>969</v>
      </c>
      <c r="B28">
        <v>4</v>
      </c>
      <c r="C28">
        <v>2021</v>
      </c>
      <c r="D28" s="166"/>
      <c r="G28"/>
      <c r="H28"/>
      <c r="I28"/>
      <c r="J28"/>
      <c r="K28"/>
      <c r="L28"/>
    </row>
    <row r="29" spans="1:13">
      <c r="A29" t="s">
        <v>969</v>
      </c>
      <c r="B29">
        <v>5</v>
      </c>
      <c r="C29">
        <v>2021</v>
      </c>
      <c r="D29"/>
      <c r="G29"/>
      <c r="H29"/>
      <c r="I29"/>
      <c r="J29"/>
      <c r="K29"/>
      <c r="L29"/>
    </row>
    <row r="30" spans="1:13">
      <c r="A30" t="s">
        <v>969</v>
      </c>
      <c r="B30">
        <v>6</v>
      </c>
      <c r="C30">
        <v>2021</v>
      </c>
      <c r="D30"/>
    </row>
    <row r="31" spans="1:13">
      <c r="A31" t="s">
        <v>969</v>
      </c>
      <c r="B31">
        <v>7</v>
      </c>
      <c r="C31">
        <v>2021</v>
      </c>
      <c r="D31"/>
    </row>
    <row r="32" spans="1:13">
      <c r="A32" t="s">
        <v>969</v>
      </c>
      <c r="B32">
        <v>8</v>
      </c>
      <c r="C32">
        <v>2021</v>
      </c>
      <c r="D32"/>
    </row>
    <row r="33" spans="1:4">
      <c r="A33" t="s">
        <v>969</v>
      </c>
      <c r="B33">
        <v>9</v>
      </c>
      <c r="C33">
        <v>2021</v>
      </c>
      <c r="D33"/>
    </row>
    <row r="34" spans="1:4">
      <c r="A34" t="s">
        <v>969</v>
      </c>
      <c r="B34">
        <v>10</v>
      </c>
      <c r="C34">
        <v>2021</v>
      </c>
      <c r="D34"/>
    </row>
    <row r="35" spans="1:4">
      <c r="A35" t="s">
        <v>969</v>
      </c>
      <c r="B35">
        <v>11</v>
      </c>
      <c r="C35">
        <v>2021</v>
      </c>
      <c r="D35"/>
    </row>
    <row r="36" spans="1:4">
      <c r="A36" t="s">
        <v>969</v>
      </c>
      <c r="B36">
        <v>12</v>
      </c>
      <c r="C36">
        <v>2021</v>
      </c>
      <c r="D36" s="165"/>
    </row>
    <row r="37" spans="1:4">
      <c r="A37" t="s">
        <v>151</v>
      </c>
      <c r="B37">
        <v>1</v>
      </c>
      <c r="C37">
        <v>2021</v>
      </c>
      <c r="D37" s="165"/>
    </row>
    <row r="38" spans="1:4">
      <c r="A38" t="s">
        <v>151</v>
      </c>
      <c r="B38">
        <v>2</v>
      </c>
      <c r="C38">
        <v>2021</v>
      </c>
      <c r="D38" s="165"/>
    </row>
    <row r="39" spans="1:4">
      <c r="A39" t="s">
        <v>151</v>
      </c>
      <c r="B39">
        <v>3</v>
      </c>
      <c r="C39">
        <v>2021</v>
      </c>
      <c r="D39" s="165"/>
    </row>
    <row r="40" spans="1:4">
      <c r="A40" t="s">
        <v>151</v>
      </c>
      <c r="B40">
        <v>4</v>
      </c>
      <c r="C40">
        <v>2021</v>
      </c>
      <c r="D40" s="165"/>
    </row>
    <row r="41" spans="1:4">
      <c r="A41" t="s">
        <v>151</v>
      </c>
      <c r="B41">
        <v>5</v>
      </c>
      <c r="C41">
        <v>2021</v>
      </c>
      <c r="D41" s="165"/>
    </row>
    <row r="42" spans="1:4">
      <c r="A42" t="s">
        <v>151</v>
      </c>
      <c r="B42">
        <v>6</v>
      </c>
      <c r="C42">
        <v>2021</v>
      </c>
      <c r="D42" s="165"/>
    </row>
    <row r="43" spans="1:4">
      <c r="A43" t="s">
        <v>151</v>
      </c>
      <c r="B43">
        <v>7</v>
      </c>
      <c r="C43">
        <v>2021</v>
      </c>
      <c r="D43" s="165"/>
    </row>
    <row r="44" spans="1:4">
      <c r="A44" t="s">
        <v>151</v>
      </c>
      <c r="B44">
        <v>8</v>
      </c>
      <c r="C44">
        <v>2021</v>
      </c>
      <c r="D44" s="165"/>
    </row>
    <row r="45" spans="1:4">
      <c r="A45" t="s">
        <v>151</v>
      </c>
      <c r="B45">
        <v>9</v>
      </c>
      <c r="C45">
        <v>2021</v>
      </c>
      <c r="D45" s="165"/>
    </row>
    <row r="46" spans="1:4">
      <c r="A46" t="s">
        <v>151</v>
      </c>
      <c r="B46">
        <v>10</v>
      </c>
      <c r="C46">
        <v>2021</v>
      </c>
      <c r="D46" s="165"/>
    </row>
    <row r="47" spans="1:4">
      <c r="A47" t="s">
        <v>151</v>
      </c>
      <c r="B47">
        <v>11</v>
      </c>
      <c r="C47">
        <v>2021</v>
      </c>
      <c r="D47" s="165"/>
    </row>
    <row r="48" spans="1:4">
      <c r="A48" t="s">
        <v>151</v>
      </c>
      <c r="B48">
        <v>12</v>
      </c>
      <c r="C48">
        <v>2021</v>
      </c>
      <c r="D48" s="165"/>
    </row>
    <row r="49" spans="1:4">
      <c r="A49" t="s">
        <v>970</v>
      </c>
      <c r="B49">
        <v>1</v>
      </c>
      <c r="C49">
        <v>2021</v>
      </c>
      <c r="D49" s="165">
        <v>2082.59</v>
      </c>
    </row>
    <row r="50" spans="1:4">
      <c r="A50" t="s">
        <v>970</v>
      </c>
      <c r="B50">
        <v>2</v>
      </c>
      <c r="C50">
        <v>2021</v>
      </c>
      <c r="D50" s="165">
        <v>6118.39</v>
      </c>
    </row>
    <row r="51" spans="1:4">
      <c r="A51" t="s">
        <v>970</v>
      </c>
      <c r="B51">
        <v>3</v>
      </c>
      <c r="C51">
        <v>2021</v>
      </c>
      <c r="D51" s="165">
        <v>4775.41</v>
      </c>
    </row>
    <row r="52" spans="1:4">
      <c r="A52" t="s">
        <v>970</v>
      </c>
      <c r="B52">
        <v>4</v>
      </c>
      <c r="C52">
        <v>2021</v>
      </c>
      <c r="D52" s="165">
        <v>2377.14</v>
      </c>
    </row>
    <row r="53" spans="1:4">
      <c r="A53" t="s">
        <v>970</v>
      </c>
      <c r="B53">
        <v>5</v>
      </c>
      <c r="C53">
        <v>2021</v>
      </c>
      <c r="D53" s="165">
        <v>3499.81</v>
      </c>
    </row>
    <row r="54" spans="1:4">
      <c r="A54" t="s">
        <v>970</v>
      </c>
      <c r="B54">
        <v>6</v>
      </c>
      <c r="C54">
        <v>2021</v>
      </c>
      <c r="D54" s="165">
        <v>6625.91</v>
      </c>
    </row>
    <row r="55" spans="1:4">
      <c r="A55" t="s">
        <v>970</v>
      </c>
      <c r="B55">
        <v>7</v>
      </c>
      <c r="C55">
        <v>2021</v>
      </c>
      <c r="D55" s="165">
        <v>6059.78</v>
      </c>
    </row>
    <row r="56" spans="1:4">
      <c r="A56" t="s">
        <v>970</v>
      </c>
      <c r="B56">
        <v>8</v>
      </c>
      <c r="C56">
        <v>2021</v>
      </c>
      <c r="D56" s="167">
        <v>6444.34</v>
      </c>
    </row>
    <row r="57" spans="1:4">
      <c r="A57" t="s">
        <v>970</v>
      </c>
      <c r="B57">
        <v>9</v>
      </c>
      <c r="C57">
        <v>2021</v>
      </c>
      <c r="D57" s="165">
        <v>13373.56</v>
      </c>
    </row>
    <row r="58" spans="1:4">
      <c r="A58" t="s">
        <v>970</v>
      </c>
      <c r="B58">
        <v>10</v>
      </c>
      <c r="C58">
        <v>2021</v>
      </c>
      <c r="D58" s="165">
        <v>4715.49</v>
      </c>
    </row>
    <row r="59" spans="1:4">
      <c r="A59" t="s">
        <v>970</v>
      </c>
      <c r="B59">
        <v>11</v>
      </c>
      <c r="C59">
        <v>2021</v>
      </c>
      <c r="D59" s="165">
        <v>1848.53</v>
      </c>
    </row>
    <row r="60" spans="1:4">
      <c r="A60" t="s">
        <v>970</v>
      </c>
      <c r="B60">
        <v>12</v>
      </c>
      <c r="C60">
        <v>2021</v>
      </c>
      <c r="D60" s="165">
        <v>1518.04</v>
      </c>
    </row>
    <row r="61" spans="1:4">
      <c r="A61" t="s">
        <v>152</v>
      </c>
      <c r="B61">
        <v>1</v>
      </c>
      <c r="C61">
        <v>2021</v>
      </c>
      <c r="D61" s="165">
        <v>19186.71</v>
      </c>
    </row>
    <row r="62" spans="1:4">
      <c r="A62" t="s">
        <v>152</v>
      </c>
      <c r="B62">
        <v>2</v>
      </c>
      <c r="C62">
        <v>2021</v>
      </c>
      <c r="D62" s="165">
        <v>19942.23</v>
      </c>
    </row>
    <row r="63" spans="1:4">
      <c r="A63" t="s">
        <v>152</v>
      </c>
      <c r="B63">
        <v>3</v>
      </c>
      <c r="C63">
        <v>2021</v>
      </c>
      <c r="D63" s="165">
        <v>21058.13</v>
      </c>
    </row>
    <row r="64" spans="1:4">
      <c r="A64" t="s">
        <v>152</v>
      </c>
      <c r="B64">
        <v>4</v>
      </c>
      <c r="C64">
        <v>2021</v>
      </c>
      <c r="D64" s="165">
        <v>19705.03</v>
      </c>
    </row>
    <row r="65" spans="1:4">
      <c r="A65" t="s">
        <v>152</v>
      </c>
      <c r="B65">
        <v>5</v>
      </c>
      <c r="C65">
        <v>2021</v>
      </c>
      <c r="D65" s="165">
        <v>22560.21</v>
      </c>
    </row>
    <row r="66" spans="1:4">
      <c r="A66" t="s">
        <v>152</v>
      </c>
      <c r="B66">
        <v>6</v>
      </c>
      <c r="C66">
        <v>2021</v>
      </c>
      <c r="D66" s="165">
        <v>26686.89</v>
      </c>
    </row>
    <row r="67" spans="1:4">
      <c r="A67" t="s">
        <v>152</v>
      </c>
      <c r="B67">
        <v>7</v>
      </c>
      <c r="C67">
        <v>2021</v>
      </c>
      <c r="D67" s="165">
        <v>28843.35</v>
      </c>
    </row>
    <row r="68" spans="1:4">
      <c r="A68" t="s">
        <v>152</v>
      </c>
      <c r="B68">
        <v>8</v>
      </c>
      <c r="C68">
        <v>2021</v>
      </c>
      <c r="D68" s="165">
        <v>31396</v>
      </c>
    </row>
    <row r="69" spans="1:4">
      <c r="A69" t="s">
        <v>152</v>
      </c>
      <c r="B69">
        <v>9</v>
      </c>
      <c r="C69">
        <v>2021</v>
      </c>
      <c r="D69" s="165">
        <v>32314.799999999999</v>
      </c>
    </row>
    <row r="70" spans="1:4">
      <c r="A70" t="s">
        <v>152</v>
      </c>
      <c r="B70">
        <v>10</v>
      </c>
      <c r="C70">
        <v>2021</v>
      </c>
      <c r="D70" s="165">
        <v>29137.98</v>
      </c>
    </row>
    <row r="71" spans="1:4">
      <c r="A71" t="s">
        <v>152</v>
      </c>
      <c r="B71">
        <v>11</v>
      </c>
      <c r="C71">
        <v>2021</v>
      </c>
      <c r="D71" s="165">
        <v>25283.1</v>
      </c>
    </row>
    <row r="72" spans="1:4">
      <c r="A72" t="s">
        <v>152</v>
      </c>
      <c r="B72">
        <v>12</v>
      </c>
      <c r="C72">
        <v>2021</v>
      </c>
      <c r="D72" s="165">
        <v>22709.31</v>
      </c>
    </row>
    <row r="73" spans="1:4">
      <c r="A73" t="s">
        <v>153</v>
      </c>
      <c r="B73">
        <v>1</v>
      </c>
      <c r="C73">
        <v>2021</v>
      </c>
      <c r="D73" s="165">
        <v>21654.41</v>
      </c>
    </row>
    <row r="74" spans="1:4">
      <c r="A74" t="s">
        <v>153</v>
      </c>
      <c r="B74">
        <v>2</v>
      </c>
      <c r="C74">
        <v>2021</v>
      </c>
      <c r="D74" s="165">
        <v>24193.040000000001</v>
      </c>
    </row>
    <row r="75" spans="1:4">
      <c r="A75" t="s">
        <v>153</v>
      </c>
      <c r="B75">
        <v>3</v>
      </c>
      <c r="C75">
        <v>2021</v>
      </c>
      <c r="D75" s="165">
        <v>23329.33</v>
      </c>
    </row>
    <row r="76" spans="1:4">
      <c r="A76" t="s">
        <v>153</v>
      </c>
      <c r="B76">
        <v>4</v>
      </c>
      <c r="C76">
        <v>2021</v>
      </c>
      <c r="D76" s="165">
        <v>22599.33</v>
      </c>
    </row>
    <row r="77" spans="1:4">
      <c r="A77" t="s">
        <v>153</v>
      </c>
      <c r="B77">
        <v>5</v>
      </c>
      <c r="C77">
        <v>2021</v>
      </c>
      <c r="D77" s="165">
        <v>25181.599999999999</v>
      </c>
    </row>
    <row r="78" spans="1:4">
      <c r="A78" t="s">
        <v>153</v>
      </c>
      <c r="B78">
        <v>6</v>
      </c>
      <c r="C78">
        <v>2021</v>
      </c>
      <c r="D78" s="165">
        <v>31229.53</v>
      </c>
    </row>
    <row r="79" spans="1:4">
      <c r="A79" t="s">
        <v>153</v>
      </c>
      <c r="B79">
        <v>7</v>
      </c>
      <c r="C79">
        <v>2021</v>
      </c>
      <c r="D79" s="165">
        <v>33672.980000000003</v>
      </c>
    </row>
    <row r="80" spans="1:4">
      <c r="A80" t="s">
        <v>153</v>
      </c>
      <c r="B80">
        <v>8</v>
      </c>
      <c r="C80">
        <v>2021</v>
      </c>
      <c r="D80" s="165">
        <v>39973.629999999997</v>
      </c>
    </row>
    <row r="81" spans="1:4">
      <c r="A81" t="s">
        <v>153</v>
      </c>
      <c r="B81">
        <v>9</v>
      </c>
      <c r="C81">
        <v>2021</v>
      </c>
      <c r="D81" s="165">
        <v>38629.19</v>
      </c>
    </row>
    <row r="82" spans="1:4">
      <c r="A82" t="s">
        <v>153</v>
      </c>
      <c r="B82">
        <v>10</v>
      </c>
      <c r="C82">
        <v>2021</v>
      </c>
      <c r="D82" s="165">
        <v>35074.160000000003</v>
      </c>
    </row>
    <row r="83" spans="1:4">
      <c r="A83" t="s">
        <v>153</v>
      </c>
      <c r="B83">
        <v>11</v>
      </c>
      <c r="C83">
        <v>2021</v>
      </c>
      <c r="D83" s="165">
        <v>31580.85</v>
      </c>
    </row>
    <row r="84" spans="1:4">
      <c r="A84" t="s">
        <v>153</v>
      </c>
      <c r="B84">
        <v>12</v>
      </c>
      <c r="C84">
        <v>2021</v>
      </c>
      <c r="D84" s="165">
        <v>25172.17</v>
      </c>
    </row>
    <row r="85" spans="1:4">
      <c r="A85" t="s">
        <v>795</v>
      </c>
      <c r="B85">
        <v>1</v>
      </c>
      <c r="C85">
        <v>2021</v>
      </c>
      <c r="D85" s="165">
        <v>3689.36</v>
      </c>
    </row>
    <row r="86" spans="1:4">
      <c r="A86" t="s">
        <v>795</v>
      </c>
      <c r="B86">
        <v>2</v>
      </c>
      <c r="C86">
        <v>2021</v>
      </c>
      <c r="D86" s="165">
        <v>5812.69</v>
      </c>
    </row>
    <row r="87" spans="1:4">
      <c r="A87" t="s">
        <v>795</v>
      </c>
      <c r="B87">
        <v>3</v>
      </c>
      <c r="C87">
        <v>2021</v>
      </c>
      <c r="D87" s="165">
        <v>5949.21</v>
      </c>
    </row>
    <row r="88" spans="1:4">
      <c r="A88" t="s">
        <v>795</v>
      </c>
      <c r="B88">
        <v>4</v>
      </c>
      <c r="C88">
        <v>2021</v>
      </c>
      <c r="D88" s="165">
        <v>6532.52</v>
      </c>
    </row>
    <row r="89" spans="1:4">
      <c r="A89" t="s">
        <v>795</v>
      </c>
      <c r="B89">
        <v>5</v>
      </c>
      <c r="C89">
        <v>2021</v>
      </c>
      <c r="D89" s="165">
        <v>5897.41</v>
      </c>
    </row>
    <row r="90" spans="1:4">
      <c r="A90" t="s">
        <v>795</v>
      </c>
      <c r="B90">
        <v>6</v>
      </c>
      <c r="C90">
        <v>2021</v>
      </c>
      <c r="D90" s="165">
        <v>7134.18</v>
      </c>
    </row>
    <row r="91" spans="1:4">
      <c r="A91" t="s">
        <v>795</v>
      </c>
      <c r="B91">
        <v>7</v>
      </c>
      <c r="C91">
        <v>2021</v>
      </c>
      <c r="D91" s="165">
        <v>9425.08</v>
      </c>
    </row>
    <row r="92" spans="1:4">
      <c r="A92" t="s">
        <v>795</v>
      </c>
      <c r="B92">
        <v>8</v>
      </c>
      <c r="C92">
        <v>2021</v>
      </c>
      <c r="D92" s="165">
        <v>7467.04</v>
      </c>
    </row>
    <row r="93" spans="1:4">
      <c r="A93" t="s">
        <v>795</v>
      </c>
      <c r="B93">
        <v>9</v>
      </c>
      <c r="C93">
        <v>2021</v>
      </c>
      <c r="D93" s="165">
        <v>7889.13</v>
      </c>
    </row>
    <row r="94" spans="1:4">
      <c r="A94" t="s">
        <v>795</v>
      </c>
      <c r="B94">
        <v>10</v>
      </c>
      <c r="C94">
        <v>2021</v>
      </c>
      <c r="D94" s="165">
        <v>6432.82</v>
      </c>
    </row>
    <row r="95" spans="1:4">
      <c r="A95" t="s">
        <v>795</v>
      </c>
      <c r="B95">
        <v>11</v>
      </c>
      <c r="C95">
        <v>2021</v>
      </c>
      <c r="D95" s="165">
        <v>5388.19</v>
      </c>
    </row>
    <row r="96" spans="1:4">
      <c r="A96" t="s">
        <v>795</v>
      </c>
      <c r="B96">
        <v>12</v>
      </c>
      <c r="C96">
        <v>2021</v>
      </c>
      <c r="D96" s="165">
        <v>5343.31</v>
      </c>
    </row>
    <row r="97" spans="1:4">
      <c r="A97" t="s">
        <v>154</v>
      </c>
      <c r="B97">
        <v>1</v>
      </c>
      <c r="C97">
        <v>2021</v>
      </c>
      <c r="D97"/>
    </row>
    <row r="98" spans="1:4">
      <c r="A98" t="s">
        <v>154</v>
      </c>
      <c r="B98">
        <v>2</v>
      </c>
      <c r="C98">
        <v>2021</v>
      </c>
      <c r="D98" s="165"/>
    </row>
    <row r="99" spans="1:4">
      <c r="A99" t="s">
        <v>154</v>
      </c>
      <c r="B99">
        <v>3</v>
      </c>
      <c r="C99">
        <v>2021</v>
      </c>
      <c r="D99"/>
    </row>
    <row r="100" spans="1:4">
      <c r="A100" t="s">
        <v>154</v>
      </c>
      <c r="B100">
        <v>4</v>
      </c>
      <c r="C100">
        <v>2021</v>
      </c>
      <c r="D100"/>
    </row>
    <row r="101" spans="1:4">
      <c r="A101" t="s">
        <v>154</v>
      </c>
      <c r="B101">
        <v>5</v>
      </c>
      <c r="C101">
        <v>2021</v>
      </c>
      <c r="D101" s="165"/>
    </row>
    <row r="102" spans="1:4">
      <c r="A102" t="s">
        <v>154</v>
      </c>
      <c r="B102">
        <v>6</v>
      </c>
      <c r="C102">
        <v>2021</v>
      </c>
      <c r="D102"/>
    </row>
    <row r="103" spans="1:4">
      <c r="A103" t="s">
        <v>154</v>
      </c>
      <c r="B103">
        <v>7</v>
      </c>
      <c r="C103">
        <v>2021</v>
      </c>
      <c r="D103"/>
    </row>
    <row r="104" spans="1:4">
      <c r="A104" t="s">
        <v>154</v>
      </c>
      <c r="B104">
        <v>8</v>
      </c>
      <c r="C104">
        <v>2021</v>
      </c>
      <c r="D104"/>
    </row>
    <row r="105" spans="1:4">
      <c r="A105" t="s">
        <v>154</v>
      </c>
      <c r="B105">
        <v>9</v>
      </c>
      <c r="C105">
        <v>2021</v>
      </c>
      <c r="D105"/>
    </row>
    <row r="106" spans="1:4">
      <c r="A106" t="s">
        <v>154</v>
      </c>
      <c r="B106">
        <v>10</v>
      </c>
      <c r="C106">
        <v>2021</v>
      </c>
      <c r="D106"/>
    </row>
    <row r="107" spans="1:4">
      <c r="A107" t="s">
        <v>154</v>
      </c>
      <c r="B107">
        <v>11</v>
      </c>
      <c r="C107">
        <v>2021</v>
      </c>
      <c r="D107"/>
    </row>
    <row r="108" spans="1:4">
      <c r="A108" t="s">
        <v>154</v>
      </c>
      <c r="B108">
        <v>12</v>
      </c>
      <c r="C108">
        <v>2021</v>
      </c>
      <c r="D108"/>
    </row>
  </sheetData>
  <pageMargins left="0.7" right="0.7" top="0.75" bottom="0.75" header="0.3" footer="0.3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CF1B1-FE55-49A8-A7DD-3DBB5016DC8D}">
  <sheetPr codeName="Sheet28">
    <tabColor theme="0" tint="-0.34998626667073579"/>
  </sheetPr>
  <dimension ref="A1:O68"/>
  <sheetViews>
    <sheetView workbookViewId="0"/>
  </sheetViews>
  <sheetFormatPr defaultColWidth="8.85546875" defaultRowHeight="12.75"/>
  <cols>
    <col min="1" max="1" width="8.85546875" style="136"/>
    <col min="2" max="2" width="14.85546875" style="185" customWidth="1"/>
    <col min="3" max="3" width="53.7109375" style="12" bestFit="1" customWidth="1"/>
    <col min="4" max="4" width="11.5703125" style="12" customWidth="1"/>
    <col min="5" max="5" width="29.5703125" style="12" bestFit="1" customWidth="1"/>
    <col min="6" max="6" width="29.5703125" style="12" customWidth="1"/>
    <col min="7" max="7" width="10.85546875" style="12" customWidth="1"/>
    <col min="8" max="8" width="5.42578125" style="12" bestFit="1" customWidth="1"/>
    <col min="9" max="9" width="23.42578125" style="12" bestFit="1" customWidth="1"/>
    <col min="10" max="10" width="14" style="12" bestFit="1" customWidth="1"/>
    <col min="11" max="11" width="10.28515625" style="73" bestFit="1" customWidth="1"/>
    <col min="12" max="12" width="8.85546875" style="74"/>
    <col min="13" max="13" width="5.140625" style="74" customWidth="1"/>
    <col min="14" max="14" width="18.140625" style="189" customWidth="1"/>
    <col min="15" max="15" width="22" style="74" customWidth="1"/>
    <col min="16" max="16384" width="8.85546875" style="71"/>
  </cols>
  <sheetData>
    <row r="1" spans="1:15" ht="25.5">
      <c r="A1" s="181" t="s">
        <v>1270</v>
      </c>
      <c r="B1" s="183" t="s">
        <v>1374</v>
      </c>
      <c r="C1" s="177" t="s">
        <v>1275</v>
      </c>
      <c r="D1" s="177" t="s">
        <v>11</v>
      </c>
      <c r="E1" s="177" t="s">
        <v>1304</v>
      </c>
      <c r="F1" s="177" t="s">
        <v>1303</v>
      </c>
      <c r="G1" s="177" t="s">
        <v>19</v>
      </c>
      <c r="H1" s="177"/>
      <c r="I1" s="178" t="s">
        <v>1369</v>
      </c>
      <c r="J1" s="177" t="s">
        <v>1101</v>
      </c>
      <c r="K1" s="178" t="s">
        <v>1273</v>
      </c>
      <c r="L1" s="177" t="s">
        <v>1288</v>
      </c>
      <c r="M1" s="194"/>
      <c r="N1" s="193" t="s">
        <v>1397</v>
      </c>
      <c r="O1" s="194"/>
    </row>
    <row r="2" spans="1:15">
      <c r="A2" s="182" t="s">
        <v>1306</v>
      </c>
      <c r="B2" s="184" t="s">
        <v>8</v>
      </c>
      <c r="C2" s="144" t="s">
        <v>85</v>
      </c>
      <c r="D2" s="73" t="s">
        <v>922</v>
      </c>
      <c r="E2" s="73" t="str">
        <f>VLOOKUP(D2,'Input 7_NG Rates'!B:D,3,FALSE)</f>
        <v>IND TS-1 Res 0-1000</v>
      </c>
      <c r="F2" s="73" t="str">
        <f>VLOOKUP(D2,'Input 7_NG Rates'!B:E,4,FALSE)</f>
        <v>Schedule - TS-1</v>
      </c>
      <c r="G2" s="144" t="s">
        <v>13</v>
      </c>
      <c r="H2" s="144" t="s">
        <v>2</v>
      </c>
      <c r="I2" s="73" t="s">
        <v>86</v>
      </c>
      <c r="J2" s="12" t="s">
        <v>1014</v>
      </c>
      <c r="K2" s="73" t="s">
        <v>922</v>
      </c>
      <c r="N2" s="189">
        <v>0</v>
      </c>
    </row>
    <row r="3" spans="1:15">
      <c r="A3" s="182" t="s">
        <v>1309</v>
      </c>
      <c r="B3" s="184" t="s">
        <v>1245</v>
      </c>
      <c r="C3" s="144" t="s">
        <v>85</v>
      </c>
      <c r="D3" t="s">
        <v>918</v>
      </c>
      <c r="E3" s="73" t="s">
        <v>1421</v>
      </c>
      <c r="F3" s="73" t="str">
        <f>VLOOKUP(D3,'Input 7_NG Rates'!B:E,4,FALSE)</f>
        <v>Schedule - TS-1</v>
      </c>
      <c r="G3" s="144"/>
      <c r="H3" s="144"/>
      <c r="I3" s="73"/>
    </row>
    <row r="4" spans="1:15">
      <c r="A4" s="182" t="s">
        <v>1307</v>
      </c>
      <c r="B4" s="184" t="s">
        <v>1245</v>
      </c>
      <c r="C4" s="145" t="s">
        <v>87</v>
      </c>
      <c r="D4" s="73" t="s">
        <v>925</v>
      </c>
      <c r="E4" s="73" t="str">
        <f>VLOOKUP(D4,'Input 7_NG Rates'!B:D,3,FALSE)</f>
        <v>IND TS-2 COMM1000-15000</v>
      </c>
      <c r="F4" s="73" t="str">
        <f>VLOOKUP(D4,'Input 7_NG Rates'!B:E,4,FALSE)</f>
        <v>Schedule - TS-2</v>
      </c>
      <c r="G4" s="145" t="s">
        <v>13</v>
      </c>
      <c r="H4" s="145" t="s">
        <v>6</v>
      </c>
      <c r="I4" s="13" t="s">
        <v>88</v>
      </c>
      <c r="J4" s="12" t="s">
        <v>1102</v>
      </c>
      <c r="K4" s="73" t="s">
        <v>925</v>
      </c>
      <c r="N4" s="189">
        <v>0</v>
      </c>
    </row>
    <row r="5" spans="1:15">
      <c r="A5" s="182" t="s">
        <v>1308</v>
      </c>
      <c r="B5" s="184" t="s">
        <v>1245</v>
      </c>
      <c r="C5" s="145" t="s">
        <v>89</v>
      </c>
      <c r="D5" s="73" t="s">
        <v>930</v>
      </c>
      <c r="E5" s="73" t="str">
        <f>VLOOKUP(D5,'Input 7_NG Rates'!B:D,3,FALSE)</f>
        <v>IND TS-3 COMM15000-100K</v>
      </c>
      <c r="F5" s="73" t="str">
        <f>VLOOKUP(D5,'Input 7_NG Rates'!B:E,4,FALSE)</f>
        <v>Schedule - TS-3</v>
      </c>
      <c r="G5" s="145" t="s">
        <v>13</v>
      </c>
      <c r="H5" s="145" t="s">
        <v>6</v>
      </c>
      <c r="I5" s="13" t="s">
        <v>90</v>
      </c>
      <c r="J5" s="12" t="s">
        <v>1102</v>
      </c>
      <c r="K5" s="73" t="s">
        <v>930</v>
      </c>
      <c r="N5" s="189">
        <v>0</v>
      </c>
    </row>
    <row r="6" spans="1:15">
      <c r="A6" s="182" t="s">
        <v>1310</v>
      </c>
      <c r="B6" s="184" t="s">
        <v>1245</v>
      </c>
      <c r="C6" s="144" t="s">
        <v>91</v>
      </c>
      <c r="D6" s="73" t="s">
        <v>935</v>
      </c>
      <c r="E6" s="73" t="str">
        <f>VLOOKUP(D6,'Input 7_NG Rates'!B:D,3,FALSE)</f>
        <v>IND TS-4 INDUS</v>
      </c>
      <c r="F6" s="73" t="str">
        <f>VLOOKUP(D6,'Input 7_NG Rates'!B:E,4,FALSE)</f>
        <v>Schedule - TS-4</v>
      </c>
      <c r="G6" s="144" t="s">
        <v>13</v>
      </c>
      <c r="H6" s="144" t="s">
        <v>6</v>
      </c>
      <c r="I6" s="73" t="s">
        <v>92</v>
      </c>
      <c r="J6" s="12" t="s">
        <v>1102</v>
      </c>
      <c r="K6" s="73" t="s">
        <v>935</v>
      </c>
      <c r="N6" s="189">
        <v>0</v>
      </c>
    </row>
    <row r="7" spans="1:15">
      <c r="A7" s="182" t="s">
        <v>1311</v>
      </c>
      <c r="B7" s="184" t="s">
        <v>1245</v>
      </c>
      <c r="C7" s="144" t="s">
        <v>93</v>
      </c>
      <c r="D7" s="73" t="s">
        <v>913</v>
      </c>
      <c r="E7" s="73" t="str">
        <f>VLOOKUP(D7,'Input 7_NG Rates'!B:D,3,FALSE)</f>
        <v>IND NGV</v>
      </c>
      <c r="F7" s="73" t="str">
        <f>VLOOKUP(D7,'Input 7_NG Rates'!B:E,4,FALSE)</f>
        <v>Schedule - TS-NGV</v>
      </c>
      <c r="G7" s="144" t="s">
        <v>13</v>
      </c>
      <c r="H7" s="144" t="s">
        <v>6</v>
      </c>
      <c r="I7" s="73" t="s">
        <v>913</v>
      </c>
      <c r="J7" s="12" t="s">
        <v>1102</v>
      </c>
      <c r="K7" s="73" t="s">
        <v>913</v>
      </c>
      <c r="N7" s="189">
        <v>0</v>
      </c>
    </row>
    <row r="8" spans="1:15">
      <c r="A8" s="182" t="s">
        <v>1312</v>
      </c>
      <c r="B8" s="184" t="s">
        <v>8</v>
      </c>
      <c r="C8" s="144" t="s">
        <v>94</v>
      </c>
      <c r="D8" s="73" t="s">
        <v>721</v>
      </c>
      <c r="E8" s="73" t="str">
        <f>VLOOKUP(D8,'Input 7_NG Rates'!B:D,3,FALSE)</f>
        <v>Residential Gas Service</v>
      </c>
      <c r="F8" s="73" t="str">
        <f>VLOOKUP(D8,'Input 7_NG Rates'!B:E,4,FALSE)</f>
        <v>Schedule - RS</v>
      </c>
      <c r="G8" s="144" t="s">
        <v>14</v>
      </c>
      <c r="H8" s="144" t="s">
        <v>3</v>
      </c>
      <c r="I8" s="73" t="s">
        <v>95</v>
      </c>
      <c r="J8" s="12" t="s">
        <v>1012</v>
      </c>
      <c r="K8" s="73" t="s">
        <v>721</v>
      </c>
      <c r="N8" s="189">
        <v>0</v>
      </c>
    </row>
    <row r="9" spans="1:15">
      <c r="A9" s="182" t="s">
        <v>1313</v>
      </c>
      <c r="B9" s="184" t="s">
        <v>1245</v>
      </c>
      <c r="C9" s="144" t="s">
        <v>96</v>
      </c>
      <c r="D9" s="73" t="s">
        <v>706</v>
      </c>
      <c r="E9" s="73" t="str">
        <f>VLOOKUP(D9,'Input 7_NG Rates'!B:D,3,FALSE)</f>
        <v>Commercial Small Natural Gas</v>
      </c>
      <c r="F9" s="73" t="str">
        <f>VLOOKUP(D9,'Input 7_NG Rates'!B:E,4,FALSE)</f>
        <v>Schedule - GS-1</v>
      </c>
      <c r="G9" s="144" t="s">
        <v>14</v>
      </c>
      <c r="H9" s="144" t="s">
        <v>7</v>
      </c>
      <c r="I9" s="73" t="s">
        <v>706</v>
      </c>
      <c r="J9" s="12" t="s">
        <v>1049</v>
      </c>
      <c r="K9" s="73" t="s">
        <v>706</v>
      </c>
      <c r="N9" s="189">
        <v>0</v>
      </c>
    </row>
    <row r="10" spans="1:15">
      <c r="A10" s="182" t="s">
        <v>1314</v>
      </c>
      <c r="B10" s="184" t="s">
        <v>1245</v>
      </c>
      <c r="C10" s="144" t="s">
        <v>97</v>
      </c>
      <c r="D10" s="13" t="s">
        <v>709</v>
      </c>
      <c r="E10" s="13" t="str">
        <f>VLOOKUP(D10,'Input 7_NG Rates'!B:D,3,FALSE)</f>
        <v>Com Small Transp. Natural Gas</v>
      </c>
      <c r="F10" s="13" t="str">
        <f>VLOOKUP(D10,'Input 7_NG Rates'!B:E,4,FALSE)</f>
        <v>Schedule - GS-1</v>
      </c>
      <c r="G10" s="145" t="s">
        <v>14</v>
      </c>
      <c r="H10" s="145" t="s">
        <v>7</v>
      </c>
      <c r="I10" s="13" t="s">
        <v>709</v>
      </c>
      <c r="J10" s="11" t="s">
        <v>1049</v>
      </c>
      <c r="K10" s="13" t="s">
        <v>709</v>
      </c>
      <c r="N10" s="189">
        <v>4.5</v>
      </c>
    </row>
    <row r="11" spans="1:15">
      <c r="A11" s="182" t="s">
        <v>1315</v>
      </c>
      <c r="B11" s="184" t="s">
        <v>1245</v>
      </c>
      <c r="C11" s="144" t="s">
        <v>98</v>
      </c>
      <c r="D11" s="13" t="s">
        <v>713</v>
      </c>
      <c r="E11" s="13" t="str">
        <f>VLOOKUP(D11,'Input 7_NG Rates'!B:D,3,FALSE)</f>
        <v>Commercial Large Natural Gas</v>
      </c>
      <c r="F11" s="13" t="str">
        <f>VLOOKUP(D11,'Input 7_NG Rates'!B:E,4,FALSE)</f>
        <v>Schedule - LVS</v>
      </c>
      <c r="G11" s="145" t="s">
        <v>14</v>
      </c>
      <c r="H11" s="145" t="s">
        <v>7</v>
      </c>
      <c r="I11" s="13" t="s">
        <v>713</v>
      </c>
      <c r="J11" s="11" t="s">
        <v>1102</v>
      </c>
      <c r="K11" s="13" t="s">
        <v>713</v>
      </c>
      <c r="N11" s="189">
        <v>0</v>
      </c>
    </row>
    <row r="12" spans="1:15">
      <c r="A12" s="182" t="s">
        <v>1316</v>
      </c>
      <c r="B12" s="184" t="s">
        <v>1245</v>
      </c>
      <c r="C12" s="144" t="s">
        <v>99</v>
      </c>
      <c r="D12" s="13" t="s">
        <v>711</v>
      </c>
      <c r="E12" s="13" t="str">
        <f>VLOOKUP(D12,'Input 7_NG Rates'!B:D,3,FALSE)</f>
        <v>LVTS &lt; 50,000 Therms</v>
      </c>
      <c r="F12" s="13" t="str">
        <f>VLOOKUP(D12,'Input 7_NG Rates'!B:E,4,FALSE)</f>
        <v>Schedule - LVTS</v>
      </c>
      <c r="G12" s="145" t="s">
        <v>14</v>
      </c>
      <c r="H12" s="145" t="s">
        <v>7</v>
      </c>
      <c r="I12" s="13" t="s">
        <v>711</v>
      </c>
      <c r="J12" s="11" t="s">
        <v>1102</v>
      </c>
      <c r="K12" s="13" t="s">
        <v>711</v>
      </c>
      <c r="N12" s="189">
        <v>55</v>
      </c>
    </row>
    <row r="13" spans="1:15">
      <c r="A13" s="182" t="s">
        <v>1317</v>
      </c>
      <c r="B13" s="184" t="s">
        <v>8</v>
      </c>
      <c r="C13" s="144" t="s">
        <v>995</v>
      </c>
      <c r="D13" s="13" t="s">
        <v>716</v>
      </c>
      <c r="E13" s="13" t="str">
        <f>VLOOKUP(D13,'Input 7_NG Rates'!B:D,3,FALSE)</f>
        <v>Commercial PA Natural Gas</v>
      </c>
      <c r="F13" s="13" t="str">
        <f>VLOOKUP(D13,'Input 7_NG Rates'!B:E,4,FALSE)</f>
        <v>Schedule - GS-1</v>
      </c>
      <c r="G13" s="145" t="s">
        <v>14</v>
      </c>
      <c r="H13" s="145" t="s">
        <v>7</v>
      </c>
      <c r="I13" s="13" t="s">
        <v>741</v>
      </c>
      <c r="J13" s="11" t="s">
        <v>1102</v>
      </c>
      <c r="K13" s="13" t="str">
        <f>D13</f>
        <v>FMPA1</v>
      </c>
      <c r="N13" s="189">
        <v>0</v>
      </c>
    </row>
    <row r="14" spans="1:15">
      <c r="A14" s="182" t="s">
        <v>1318</v>
      </c>
      <c r="B14" s="184" t="s">
        <v>1245</v>
      </c>
      <c r="C14" s="144" t="s">
        <v>103</v>
      </c>
      <c r="D14" s="13" t="s">
        <v>719</v>
      </c>
      <c r="E14" s="13" t="str">
        <f>VLOOKUP(D14,'Input 7_NG Rates'!B:D,3,FALSE)</f>
        <v>PA Small Transp. Natural Gas</v>
      </c>
      <c r="F14" s="13" t="str">
        <f>VLOOKUP(D14,'Input 7_NG Rates'!B:E,4,FALSE)</f>
        <v>Schedule - GS-1</v>
      </c>
      <c r="G14" s="145" t="s">
        <v>14</v>
      </c>
      <c r="H14" s="145" t="s">
        <v>7</v>
      </c>
      <c r="I14" s="13" t="s">
        <v>821</v>
      </c>
      <c r="J14" s="11" t="s">
        <v>1102</v>
      </c>
      <c r="K14" s="13" t="str">
        <f>D14</f>
        <v>FMPT1</v>
      </c>
      <c r="N14" s="189">
        <v>55</v>
      </c>
    </row>
    <row r="15" spans="1:15">
      <c r="A15" s="182" t="s">
        <v>1319</v>
      </c>
      <c r="B15" s="184" t="s">
        <v>8</v>
      </c>
      <c r="C15" s="144" t="s">
        <v>29</v>
      </c>
      <c r="D15" s="13" t="s">
        <v>808</v>
      </c>
      <c r="E15" s="13" t="str">
        <f>VLOOKUP(D15,'Input 7_NG Rates'!B:D,3,FALSE)</f>
        <v>Residential Gas Service</v>
      </c>
      <c r="F15" s="13" t="str">
        <f>VLOOKUP(D15,'Input 7_NG Rates'!B:E,4,FALSE)</f>
        <v>Schedule - RS</v>
      </c>
      <c r="G15" s="145" t="s">
        <v>16</v>
      </c>
      <c r="H15" s="145" t="s">
        <v>0</v>
      </c>
      <c r="I15" s="13" t="s">
        <v>30</v>
      </c>
      <c r="J15" s="11" t="s">
        <v>1005</v>
      </c>
      <c r="K15" s="13" t="s">
        <v>808</v>
      </c>
      <c r="N15" s="189">
        <v>0</v>
      </c>
    </row>
    <row r="16" spans="1:15">
      <c r="A16" s="182" t="s">
        <v>1320</v>
      </c>
      <c r="B16" s="184" t="s">
        <v>8</v>
      </c>
      <c r="C16" s="144" t="s">
        <v>32</v>
      </c>
      <c r="D16" s="145" t="s">
        <v>761</v>
      </c>
      <c r="E16" s="13" t="str">
        <f>VLOOKUP(D16,'Input 7_NG Rates'!B:D,3,FALSE)</f>
        <v>Residential Generator</v>
      </c>
      <c r="F16" s="13" t="str">
        <f>VLOOKUP(D16,'Input 7_NG Rates'!B:E,4,FALSE)</f>
        <v>Schedule - RS</v>
      </c>
      <c r="G16" s="145" t="s">
        <v>16</v>
      </c>
      <c r="H16" s="145" t="s">
        <v>0</v>
      </c>
      <c r="I16" s="13" t="s">
        <v>33</v>
      </c>
      <c r="J16" s="11" t="s">
        <v>1018</v>
      </c>
      <c r="K16" s="13" t="str">
        <f>D16</f>
        <v>GEN31</v>
      </c>
      <c r="L16" s="13"/>
      <c r="N16" s="189">
        <v>0</v>
      </c>
    </row>
    <row r="17" spans="1:14">
      <c r="A17" s="182" t="s">
        <v>1321</v>
      </c>
      <c r="B17" s="184" t="s">
        <v>1245</v>
      </c>
      <c r="C17" s="144" t="s">
        <v>34</v>
      </c>
      <c r="D17" s="93" t="s">
        <v>760</v>
      </c>
      <c r="E17" s="13" t="str">
        <f>VLOOKUP(D17,'Input 7_NG Rates'!B:D,3,FALSE)</f>
        <v>Commercial Generator</v>
      </c>
      <c r="F17" s="13" t="str">
        <f>VLOOKUP(D17,'Input 7_NG Rates'!B:E,4,FALSE)</f>
        <v>Schedule - GS</v>
      </c>
      <c r="G17" s="145" t="s">
        <v>16</v>
      </c>
      <c r="H17" s="145" t="s">
        <v>4</v>
      </c>
      <c r="I17" s="13" t="s">
        <v>35</v>
      </c>
      <c r="J17" s="11" t="s">
        <v>1063</v>
      </c>
      <c r="K17" s="13" t="str">
        <f>D17</f>
        <v>GEN11</v>
      </c>
      <c r="L17" s="13"/>
      <c r="N17" s="189">
        <v>0</v>
      </c>
    </row>
    <row r="18" spans="1:14">
      <c r="A18" s="182" t="s">
        <v>1322</v>
      </c>
      <c r="B18" s="184" t="s">
        <v>1245</v>
      </c>
      <c r="C18" s="144" t="s">
        <v>36</v>
      </c>
      <c r="D18" s="145" t="s">
        <v>750</v>
      </c>
      <c r="E18" s="13" t="str">
        <f>VLOOKUP(D18,'Input 7_NG Rates'!B:D,3,FALSE)</f>
        <v>Commercial Small Natural Gas</v>
      </c>
      <c r="F18" s="13" t="str">
        <f>VLOOKUP(D18,'Input 7_NG Rates'!B:E,4,FALSE)</f>
        <v>Schedule - GS-1</v>
      </c>
      <c r="G18" s="145" t="s">
        <v>16</v>
      </c>
      <c r="H18" s="145" t="s">
        <v>4</v>
      </c>
      <c r="I18" s="13" t="s">
        <v>37</v>
      </c>
      <c r="J18" s="11" t="s">
        <v>1047</v>
      </c>
      <c r="K18" s="13" t="str">
        <f>K17</f>
        <v>GEN11</v>
      </c>
      <c r="N18" s="189">
        <v>0</v>
      </c>
    </row>
    <row r="19" spans="1:14" s="74" customFormat="1">
      <c r="A19" s="449" t="s">
        <v>1323</v>
      </c>
      <c r="B19" s="450" t="s">
        <v>1245</v>
      </c>
      <c r="C19" s="145" t="s">
        <v>38</v>
      </c>
      <c r="D19" s="145" t="s">
        <v>745</v>
      </c>
      <c r="E19" s="13" t="str">
        <f>VLOOKUP(D19,'Input 7_NG Rates'!B:D,3,FALSE)</f>
        <v>Comm Small Trans Nat Gas PA</v>
      </c>
      <c r="F19" s="13" t="str">
        <f>VLOOKUP(D19,'Input 7_NG Rates'!B:E,4,FALSE)</f>
        <v>Schedule - GS-1</v>
      </c>
      <c r="G19" s="145" t="s">
        <v>16</v>
      </c>
      <c r="H19" s="145" t="s">
        <v>4</v>
      </c>
      <c r="I19" s="13" t="s">
        <v>39</v>
      </c>
      <c r="J19" s="11" t="s">
        <v>1047</v>
      </c>
      <c r="K19" s="13" t="s">
        <v>745</v>
      </c>
      <c r="N19" s="451">
        <v>4.5</v>
      </c>
    </row>
    <row r="20" spans="1:14">
      <c r="A20" s="182" t="s">
        <v>1324</v>
      </c>
      <c r="B20" s="184" t="s">
        <v>1245</v>
      </c>
      <c r="C20" s="144" t="s">
        <v>40</v>
      </c>
      <c r="D20" s="145" t="s">
        <v>751</v>
      </c>
      <c r="E20" s="13" t="str">
        <f>VLOOKUP(D20,'Input 7_NG Rates'!B:D,3,FALSE)</f>
        <v>Commercial Small NG</v>
      </c>
      <c r="F20" s="13" t="str">
        <f>VLOOKUP(D20,'Input 7_NG Rates'!B:E,4,FALSE)</f>
        <v>Schedule - GS-2</v>
      </c>
      <c r="G20" s="145" t="s">
        <v>16</v>
      </c>
      <c r="H20" s="145" t="s">
        <v>4</v>
      </c>
      <c r="I20" s="13" t="s">
        <v>41</v>
      </c>
      <c r="J20" s="11" t="s">
        <v>1044</v>
      </c>
      <c r="K20" s="13" t="s">
        <v>751</v>
      </c>
      <c r="N20" s="189">
        <v>0</v>
      </c>
    </row>
    <row r="21" spans="1:14">
      <c r="A21" s="182" t="s">
        <v>1325</v>
      </c>
      <c r="B21" s="184" t="s">
        <v>1245</v>
      </c>
      <c r="C21" s="144" t="s">
        <v>42</v>
      </c>
      <c r="D21" s="145" t="s">
        <v>755</v>
      </c>
      <c r="E21" s="13" t="str">
        <f>VLOOKUP(D21,'Input 7_NG Rates'!B:D,3,FALSE)</f>
        <v>Com Small Transp. Natural Gas</v>
      </c>
      <c r="F21" s="13" t="str">
        <f>VLOOKUP(D21,'Input 7_NG Rates'!B:E,4,FALSE)</f>
        <v>Schedule - GS-2</v>
      </c>
      <c r="G21" s="145" t="s">
        <v>16</v>
      </c>
      <c r="H21" s="145" t="s">
        <v>4</v>
      </c>
      <c r="I21" s="13" t="s">
        <v>43</v>
      </c>
      <c r="J21" s="11" t="s">
        <v>1044</v>
      </c>
      <c r="K21" s="13" t="s">
        <v>755</v>
      </c>
      <c r="N21" s="189">
        <v>4.5</v>
      </c>
    </row>
    <row r="22" spans="1:14">
      <c r="A22" s="182" t="s">
        <v>1326</v>
      </c>
      <c r="B22" s="184" t="s">
        <v>1245</v>
      </c>
      <c r="C22" s="144" t="s">
        <v>44</v>
      </c>
      <c r="D22" s="145" t="s">
        <v>798</v>
      </c>
      <c r="E22" s="13" t="str">
        <f>VLOOKUP(D22,'Input 7_NG Rates'!B:D,3,FALSE)</f>
        <v>Large Volume Service</v>
      </c>
      <c r="F22" s="13" t="str">
        <f>VLOOKUP(D22,'Input 7_NG Rates'!B:E,4,FALSE)</f>
        <v>Schedule - LVS</v>
      </c>
      <c r="G22" s="145" t="s">
        <v>16</v>
      </c>
      <c r="H22" s="145" t="s">
        <v>4</v>
      </c>
      <c r="I22" s="13" t="s">
        <v>45</v>
      </c>
      <c r="J22" s="11" t="s">
        <v>101</v>
      </c>
      <c r="K22" s="13" t="s">
        <v>798</v>
      </c>
      <c r="N22" s="189">
        <v>0</v>
      </c>
    </row>
    <row r="23" spans="1:14">
      <c r="A23" s="182" t="s">
        <v>1327</v>
      </c>
      <c r="B23" s="184" t="s">
        <v>1245</v>
      </c>
      <c r="C23" s="145" t="s">
        <v>46</v>
      </c>
      <c r="D23" s="145" t="s">
        <v>790</v>
      </c>
      <c r="E23" s="13" t="str">
        <f>VLOOKUP(D23,'Input 7_NG Rates'!B:D,3,FALSE)</f>
        <v>LVTS &lt; 50,000 Therms</v>
      </c>
      <c r="F23" s="13" t="str">
        <f>VLOOKUP(D23,'Input 7_NG Rates'!B:E,4,FALSE)</f>
        <v>Schedule - LVTS</v>
      </c>
      <c r="G23" s="145" t="s">
        <v>16</v>
      </c>
      <c r="H23" s="145" t="s">
        <v>4</v>
      </c>
      <c r="I23" s="13" t="s">
        <v>47</v>
      </c>
      <c r="J23" s="11" t="s">
        <v>101</v>
      </c>
      <c r="K23" s="13" t="str">
        <f>D23</f>
        <v>GLT91</v>
      </c>
      <c r="N23" s="189">
        <v>55</v>
      </c>
    </row>
    <row r="24" spans="1:14">
      <c r="A24" s="182" t="s">
        <v>1328</v>
      </c>
      <c r="B24" s="184" t="s">
        <v>1245</v>
      </c>
      <c r="C24" s="144" t="s">
        <v>48</v>
      </c>
      <c r="D24" s="145" t="s">
        <v>780</v>
      </c>
      <c r="E24" s="13" t="str">
        <f>VLOOKUP(D24,'Input 7_NG Rates'!B:D,3,FALSE)</f>
        <v>Interruptible Natural Gas Ser</v>
      </c>
      <c r="F24" s="13" t="str">
        <f>VLOOKUP(D24,'Input 7_NG Rates'!B:E,4,FALSE)</f>
        <v>Schedule - IS</v>
      </c>
      <c r="G24" s="145" t="s">
        <v>16</v>
      </c>
      <c r="H24" s="145" t="s">
        <v>4</v>
      </c>
      <c r="I24" s="13" t="s">
        <v>49</v>
      </c>
      <c r="J24" s="11" t="s">
        <v>1102</v>
      </c>
      <c r="K24" s="13" t="s">
        <v>780</v>
      </c>
      <c r="N24" s="189">
        <v>30</v>
      </c>
    </row>
    <row r="25" spans="1:14">
      <c r="A25" s="182" t="s">
        <v>1329</v>
      </c>
      <c r="B25" s="184" t="s">
        <v>1245</v>
      </c>
      <c r="C25" s="144" t="s">
        <v>50</v>
      </c>
      <c r="D25" s="145" t="s">
        <v>783</v>
      </c>
      <c r="E25" s="13" t="str">
        <f>VLOOKUP(D25,'Input 7_NG Rates'!B:D,3,FALSE)</f>
        <v>Interruptible Transportation</v>
      </c>
      <c r="F25" s="13" t="str">
        <f>VLOOKUP(D25,'Input 7_NG Rates'!B:E,4,FALSE)</f>
        <v>Schedule - ITS</v>
      </c>
      <c r="G25" s="145" t="s">
        <v>16</v>
      </c>
      <c r="H25" s="145" t="s">
        <v>4</v>
      </c>
      <c r="I25" s="13" t="s">
        <v>51</v>
      </c>
      <c r="J25" s="11" t="s">
        <v>1102</v>
      </c>
      <c r="K25" s="13" t="s">
        <v>783</v>
      </c>
      <c r="N25" s="189">
        <v>50.5</v>
      </c>
    </row>
    <row r="26" spans="1:14">
      <c r="A26" s="182" t="s">
        <v>1330</v>
      </c>
      <c r="B26" s="184" t="s">
        <v>1245</v>
      </c>
      <c r="C26" s="144" t="s">
        <v>52</v>
      </c>
      <c r="D26" s="145" t="s">
        <v>741</v>
      </c>
      <c r="E26" s="13" t="str">
        <f>VLOOKUP(D26,'Input 7_NG Rates'!B:D,3,FALSE)</f>
        <v>Comm NGV</v>
      </c>
      <c r="F26" s="13" t="str">
        <f>VLOOKUP(D26,'Input 7_NG Rates'!B:E,4,FALSE)</f>
        <v>Schedule - NGV</v>
      </c>
      <c r="G26" s="145" t="s">
        <v>16</v>
      </c>
      <c r="H26" s="145" t="s">
        <v>4</v>
      </c>
      <c r="I26" s="13" t="s">
        <v>53</v>
      </c>
      <c r="J26" s="11" t="s">
        <v>1102</v>
      </c>
      <c r="K26" s="13" t="s">
        <v>741</v>
      </c>
      <c r="N26" s="189">
        <v>0</v>
      </c>
    </row>
    <row r="27" spans="1:14">
      <c r="A27" s="182" t="s">
        <v>1331</v>
      </c>
      <c r="B27" s="184" t="s">
        <v>1245</v>
      </c>
      <c r="C27" s="144" t="s">
        <v>54</v>
      </c>
      <c r="D27" s="145" t="s">
        <v>821</v>
      </c>
      <c r="E27" s="13" t="str">
        <f>VLOOKUP(D27,'Input 7_NG Rates'!B:D,3,FALSE)</f>
        <v>Comm  Trans NGV</v>
      </c>
      <c r="F27" s="13" t="str">
        <f>VLOOKUP(D27,'Input 7_NG Rates'!B:E,4,FALSE)</f>
        <v>Schedule - NGVTS</v>
      </c>
      <c r="G27" s="145" t="s">
        <v>16</v>
      </c>
      <c r="H27" s="145" t="s">
        <v>4</v>
      </c>
      <c r="I27" s="13" t="s">
        <v>55</v>
      </c>
      <c r="J27" s="11" t="s">
        <v>1102</v>
      </c>
      <c r="K27" s="13" t="s">
        <v>821</v>
      </c>
      <c r="N27" s="189">
        <v>50.5</v>
      </c>
    </row>
    <row r="28" spans="1:14">
      <c r="A28" s="182" t="s">
        <v>1332</v>
      </c>
      <c r="B28" s="184" t="s">
        <v>1245</v>
      </c>
      <c r="C28" s="144" t="s">
        <v>56</v>
      </c>
      <c r="D28" s="145" t="s">
        <v>894</v>
      </c>
      <c r="E28" s="13" t="str">
        <f>VLOOKUP(D28,'Input 7_NG Rates'!B:D,3,FALSE)</f>
        <v>Gas Light Rate</v>
      </c>
      <c r="F28" s="13" t="str">
        <f>VLOOKUP(D28,'Input 7_NG Rates'!B:E,4,FALSE)</f>
        <v>GLS Therms</v>
      </c>
      <c r="G28" s="145" t="s">
        <v>16</v>
      </c>
      <c r="H28" s="145" t="s">
        <v>4</v>
      </c>
      <c r="I28" s="13" t="s">
        <v>57</v>
      </c>
      <c r="J28" s="11" t="s">
        <v>1102</v>
      </c>
      <c r="K28" s="13" t="s">
        <v>894</v>
      </c>
      <c r="N28" s="189">
        <v>0</v>
      </c>
    </row>
    <row r="29" spans="1:14">
      <c r="A29" s="182" t="s">
        <v>1333</v>
      </c>
      <c r="B29" s="184" t="s">
        <v>1245</v>
      </c>
      <c r="C29" s="144" t="s">
        <v>58</v>
      </c>
      <c r="D29" s="145" t="s">
        <v>876</v>
      </c>
      <c r="E29" s="13" t="str">
        <f>VLOOKUP(D29,'Input 7_NG Rates'!B:D,3,FALSE)</f>
        <v>3M AEP SE Deland Transp.</v>
      </c>
      <c r="F29" s="13" t="str">
        <f>VLOOKUP(D29,'Input 7_NG Rates'!B:E,4,FALSE)</f>
        <v>GLS Therms</v>
      </c>
      <c r="G29" s="145" t="s">
        <v>16</v>
      </c>
      <c r="H29" s="145" t="s">
        <v>4</v>
      </c>
      <c r="I29" s="13" t="s">
        <v>876</v>
      </c>
      <c r="J29" s="11" t="s">
        <v>1102</v>
      </c>
      <c r="K29" s="13" t="s">
        <v>876</v>
      </c>
      <c r="N29" s="189">
        <v>1.5</v>
      </c>
    </row>
    <row r="30" spans="1:14" s="74" customFormat="1">
      <c r="A30" s="182" t="s">
        <v>1334</v>
      </c>
      <c r="B30" s="184" t="s">
        <v>8</v>
      </c>
      <c r="C30" s="145" t="s">
        <v>1295</v>
      </c>
      <c r="D30" s="145" t="s">
        <v>655</v>
      </c>
      <c r="E30" s="13" t="str">
        <f>VLOOKUP(D30,'Input 7_NG Rates'!B:D,3,FALSE)</f>
        <v>CFG FTS-A RESIDENTIAL 0-130</v>
      </c>
      <c r="F30" s="13" t="str">
        <f>VLOOKUP(D30,'Input 7_NG Rates'!B:E,4,FALSE)</f>
        <v>Schedule - FTS-A</v>
      </c>
      <c r="G30" s="145" t="s">
        <v>17</v>
      </c>
      <c r="H30" s="145" t="s">
        <v>1</v>
      </c>
      <c r="I30" s="13" t="s">
        <v>1371</v>
      </c>
      <c r="J30" s="11" t="s">
        <v>1020</v>
      </c>
      <c r="K30" s="13" t="s">
        <v>498</v>
      </c>
      <c r="N30" s="189">
        <v>0</v>
      </c>
    </row>
    <row r="31" spans="1:14" s="74" customFormat="1">
      <c r="A31" s="182" t="s">
        <v>1335</v>
      </c>
      <c r="B31" s="184" t="s">
        <v>8</v>
      </c>
      <c r="C31" s="145" t="s">
        <v>1296</v>
      </c>
      <c r="D31" s="145" t="s">
        <v>657</v>
      </c>
      <c r="E31" s="13" t="str">
        <f>VLOOKUP(D31,'Input 7_NG Rates'!B:D,3,FALSE)</f>
        <v>CFG FTS-A FIX RESIDENTIAL 0-13</v>
      </c>
      <c r="F31" s="13" t="str">
        <f>VLOOKUP(D31,'Input 7_NG Rates'!B:E,4,FALSE)</f>
        <v>Schedule - FTS-A Experimental</v>
      </c>
      <c r="G31" s="145" t="s">
        <v>17</v>
      </c>
      <c r="H31" s="145" t="s">
        <v>1</v>
      </c>
      <c r="I31" s="13" t="s">
        <v>1370</v>
      </c>
      <c r="J31" s="11" t="s">
        <v>1020</v>
      </c>
      <c r="K31" s="13" t="s">
        <v>501</v>
      </c>
      <c r="N31" s="189">
        <v>0</v>
      </c>
    </row>
    <row r="32" spans="1:14" s="74" customFormat="1">
      <c r="A32" s="182" t="s">
        <v>1336</v>
      </c>
      <c r="B32" s="184" t="s">
        <v>8</v>
      </c>
      <c r="C32" s="145" t="s">
        <v>1298</v>
      </c>
      <c r="D32" s="145" t="s">
        <v>659</v>
      </c>
      <c r="E32" s="13" t="str">
        <f>VLOOKUP(D32,'Input 7_NG Rates'!B:D,3,FALSE)</f>
        <v>CFG FTS-B RESIDENTIAL 131-250</v>
      </c>
      <c r="F32" s="13" t="str">
        <f>VLOOKUP(D32,'Input 7_NG Rates'!B:E,4,FALSE)</f>
        <v>Schedule - FTS-B</v>
      </c>
      <c r="G32" s="145" t="s">
        <v>17</v>
      </c>
      <c r="H32" s="145" t="s">
        <v>1</v>
      </c>
      <c r="I32" s="13" t="s">
        <v>1372</v>
      </c>
      <c r="J32" s="11" t="s">
        <v>1020</v>
      </c>
      <c r="K32" s="13" t="s">
        <v>506</v>
      </c>
      <c r="N32" s="189">
        <v>0</v>
      </c>
    </row>
    <row r="33" spans="1:14" s="74" customFormat="1">
      <c r="A33" s="182" t="s">
        <v>1337</v>
      </c>
      <c r="B33" s="184" t="s">
        <v>8</v>
      </c>
      <c r="C33" s="145" t="s">
        <v>1297</v>
      </c>
      <c r="D33" s="145" t="s">
        <v>664</v>
      </c>
      <c r="E33" s="13" t="str">
        <f>VLOOKUP(D33,'Input 7_NG Rates'!B:D,3,FALSE)</f>
        <v>CFG FTS-B FIX RES 131-250</v>
      </c>
      <c r="F33" s="13" t="str">
        <f>VLOOKUP(D33,'Input 7_NG Rates'!B:E,4,FALSE)</f>
        <v>Schedule - FTS-B Experimental</v>
      </c>
      <c r="G33" s="145" t="s">
        <v>17</v>
      </c>
      <c r="H33" s="145" t="s">
        <v>1</v>
      </c>
      <c r="I33" s="13" t="s">
        <v>1373</v>
      </c>
      <c r="J33" s="11" t="s">
        <v>1020</v>
      </c>
      <c r="K33" s="13" t="s">
        <v>512</v>
      </c>
      <c r="N33" s="189">
        <v>0</v>
      </c>
    </row>
    <row r="34" spans="1:14" s="74" customFormat="1">
      <c r="A34" s="182" t="s">
        <v>1338</v>
      </c>
      <c r="B34" s="184" t="s">
        <v>1245</v>
      </c>
      <c r="C34" s="60" t="s">
        <v>1282</v>
      </c>
      <c r="D34" s="145" t="s">
        <v>498</v>
      </c>
      <c r="E34" s="13" t="str">
        <f>VLOOKUP(D34,'Input 7_NG Rates'!B:D,3,FALSE)</f>
        <v>CFG FTS-A COMM 0-130</v>
      </c>
      <c r="F34" s="13" t="str">
        <f>VLOOKUP(D34,'Input 7_NG Rates'!B:E,4,FALSE)</f>
        <v>Schedule - FTS-A</v>
      </c>
      <c r="G34" s="145" t="s">
        <v>17</v>
      </c>
      <c r="H34" s="145" t="s">
        <v>5</v>
      </c>
      <c r="I34" s="13" t="s">
        <v>1385</v>
      </c>
      <c r="J34" s="11" t="s">
        <v>1278</v>
      </c>
      <c r="K34" s="13" t="s">
        <v>498</v>
      </c>
      <c r="N34" s="189">
        <v>0</v>
      </c>
    </row>
    <row r="35" spans="1:14" s="74" customFormat="1">
      <c r="A35" s="182" t="s">
        <v>1339</v>
      </c>
      <c r="B35" s="184" t="s">
        <v>1245</v>
      </c>
      <c r="C35" s="60" t="s">
        <v>1283</v>
      </c>
      <c r="D35" s="145" t="s">
        <v>506</v>
      </c>
      <c r="E35" s="13" t="str">
        <f>VLOOKUP(D35,'Input 7_NG Rates'!B:D,3,FALSE)</f>
        <v>CFG FTS-B COMM 131-250</v>
      </c>
      <c r="F35" s="13" t="str">
        <f>VLOOKUP(D35,'Input 7_NG Rates'!B:E,4,FALSE)</f>
        <v>Schedule - FTS-B</v>
      </c>
      <c r="G35" s="145" t="s">
        <v>17</v>
      </c>
      <c r="H35" s="145" t="s">
        <v>5</v>
      </c>
      <c r="I35" s="13" t="s">
        <v>1386</v>
      </c>
      <c r="J35" s="11" t="s">
        <v>1278</v>
      </c>
      <c r="K35" s="13" t="s">
        <v>506</v>
      </c>
      <c r="N35" s="189">
        <v>0</v>
      </c>
    </row>
    <row r="36" spans="1:14" s="74" customFormat="1">
      <c r="A36" s="182" t="s">
        <v>1340</v>
      </c>
      <c r="B36" s="184" t="s">
        <v>1245</v>
      </c>
      <c r="C36" s="60" t="s">
        <v>1375</v>
      </c>
      <c r="D36" s="145" t="s">
        <v>501</v>
      </c>
      <c r="E36" s="13" t="str">
        <f>VLOOKUP(D36,'Input 7_NG Rates'!B:D,3,FALSE)</f>
        <v>CFG FTS-A FIX COMM 0-130</v>
      </c>
      <c r="F36" s="13" t="str">
        <f>VLOOKUP(D36,'Input 7_NG Rates'!B:E,4,FALSE)</f>
        <v>Schedule - FTS-A Experimental</v>
      </c>
      <c r="G36" s="145" t="s">
        <v>17</v>
      </c>
      <c r="H36" s="145" t="s">
        <v>5</v>
      </c>
      <c r="I36" s="13" t="s">
        <v>1377</v>
      </c>
      <c r="J36" s="11" t="s">
        <v>1278</v>
      </c>
      <c r="K36" s="13" t="str">
        <f>D36</f>
        <v>CC804</v>
      </c>
      <c r="N36" s="189">
        <v>0</v>
      </c>
    </row>
    <row r="37" spans="1:14" s="74" customFormat="1">
      <c r="A37" s="182" t="s">
        <v>1341</v>
      </c>
      <c r="B37" s="184" t="s">
        <v>1245</v>
      </c>
      <c r="C37" s="60" t="s">
        <v>1293</v>
      </c>
      <c r="D37" s="145" t="s">
        <v>512</v>
      </c>
      <c r="E37" s="13" t="str">
        <f>VLOOKUP(D37,'Input 7_NG Rates'!B:D,3,FALSE)</f>
        <v>CFG FTS-B FIX COMM 131-250</v>
      </c>
      <c r="F37" s="13" t="str">
        <f>VLOOKUP(D37,'Input 7_NG Rates'!B:E,4,FALSE)</f>
        <v>Schedule - FTS-B Experimental</v>
      </c>
      <c r="G37" s="145" t="s">
        <v>17</v>
      </c>
      <c r="H37" s="145" t="s">
        <v>5</v>
      </c>
      <c r="I37" s="13" t="s">
        <v>1294</v>
      </c>
      <c r="J37" s="11" t="s">
        <v>1278</v>
      </c>
      <c r="K37" s="13" t="str">
        <f>D37</f>
        <v>CC810</v>
      </c>
      <c r="N37" s="189">
        <v>0</v>
      </c>
    </row>
    <row r="38" spans="1:14" s="74" customFormat="1">
      <c r="A38" s="182" t="s">
        <v>1342</v>
      </c>
      <c r="B38" s="184" t="s">
        <v>8</v>
      </c>
      <c r="C38" s="60" t="s">
        <v>1247</v>
      </c>
      <c r="D38" s="145" t="s">
        <v>661</v>
      </c>
      <c r="E38" s="13" t="str">
        <f>VLOOKUP(D38,'Input 7_NG Rates'!B:D,3,FALSE)</f>
        <v>CFG FTS-1 RES 0-500</v>
      </c>
      <c r="F38" s="13" t="str">
        <f>VLOOKUP(D38,'Input 7_NG Rates'!B:E,4,FALSE)</f>
        <v>Schedule - FTS-1</v>
      </c>
      <c r="G38" s="145" t="s">
        <v>17</v>
      </c>
      <c r="H38" s="145" t="s">
        <v>5</v>
      </c>
      <c r="I38" s="13" t="s">
        <v>1387</v>
      </c>
      <c r="J38" s="11" t="s">
        <v>1007</v>
      </c>
      <c r="K38" s="13" t="str">
        <f>'Input 7_NG Rates'!$B$185</f>
        <v>CR810</v>
      </c>
      <c r="N38" s="189">
        <v>0</v>
      </c>
    </row>
    <row r="39" spans="1:14" s="74" customFormat="1">
      <c r="A39" s="182" t="s">
        <v>1343</v>
      </c>
      <c r="B39" s="184" t="s">
        <v>1245</v>
      </c>
      <c r="C39" s="60" t="s">
        <v>1249</v>
      </c>
      <c r="D39" s="145" t="s">
        <v>509</v>
      </c>
      <c r="E39" s="13" t="str">
        <f>VLOOKUP(D39,'Input 7_NG Rates'!B:D,3,FALSE)</f>
        <v>CFG FTS-1 COMM 251-500</v>
      </c>
      <c r="F39" s="13" t="str">
        <f>VLOOKUP(D39,'Input 7_NG Rates'!B:E,4,FALSE)</f>
        <v>Schedule - FTS1</v>
      </c>
      <c r="G39" s="145" t="s">
        <v>17</v>
      </c>
      <c r="H39" s="145" t="s">
        <v>5</v>
      </c>
      <c r="I39" s="13" t="s">
        <v>1388</v>
      </c>
      <c r="J39" s="11" t="s">
        <v>1051</v>
      </c>
      <c r="K39" s="13" t="str">
        <f>'Input 7_NG Rates'!$B$185</f>
        <v>CR810</v>
      </c>
      <c r="N39" s="189">
        <v>0</v>
      </c>
    </row>
    <row r="40" spans="1:14" s="74" customFormat="1">
      <c r="A40" s="182" t="s">
        <v>1344</v>
      </c>
      <c r="B40" s="184" t="s">
        <v>8</v>
      </c>
      <c r="C40" s="60" t="s">
        <v>1248</v>
      </c>
      <c r="D40" s="145" t="s">
        <v>666</v>
      </c>
      <c r="E40" s="13" t="str">
        <f>VLOOKUP(D40,'Input 7_NG Rates'!B:D,3,FALSE)</f>
        <v>CFG FTS-1 FIX RES 0-500</v>
      </c>
      <c r="F40" s="13" t="str">
        <f>VLOOKUP(D40,'Input 7_NG Rates'!B:E,4,FALSE)</f>
        <v>Schedule - FTS-1 Experimental</v>
      </c>
      <c r="G40" s="145" t="s">
        <v>17</v>
      </c>
      <c r="H40" s="145" t="s">
        <v>1</v>
      </c>
      <c r="I40" s="13" t="s">
        <v>59</v>
      </c>
      <c r="J40" s="11" t="s">
        <v>1007</v>
      </c>
      <c r="K40" s="13" t="str">
        <f>'Input 7_NG Rates'!$B$189</f>
        <v>CR817</v>
      </c>
      <c r="N40" s="189">
        <v>0</v>
      </c>
    </row>
    <row r="41" spans="1:14" s="74" customFormat="1">
      <c r="A41" s="182" t="s">
        <v>1345</v>
      </c>
      <c r="B41" s="184" t="s">
        <v>1245</v>
      </c>
      <c r="C41" s="60" t="s">
        <v>1305</v>
      </c>
      <c r="D41" s="145" t="s">
        <v>515</v>
      </c>
      <c r="E41" s="13" t="str">
        <f>VLOOKUP(D41,'Input 7_NG Rates'!B:D,3,FALSE)</f>
        <v>CFG FTS-1 FIX COMM 0-500</v>
      </c>
      <c r="F41" s="13" t="str">
        <f>VLOOKUP(D41,'Input 7_NG Rates'!B:E,4,FALSE)</f>
        <v>Schedule - FTS-1 Experimental</v>
      </c>
      <c r="G41" s="145" t="s">
        <v>17</v>
      </c>
      <c r="H41" s="145" t="s">
        <v>5</v>
      </c>
      <c r="I41" s="13" t="s">
        <v>60</v>
      </c>
      <c r="J41" s="11" t="s">
        <v>1051</v>
      </c>
      <c r="K41" s="13" t="str">
        <f>'Input 7_NG Rates'!$B$189</f>
        <v>CR817</v>
      </c>
      <c r="N41" s="189">
        <v>0</v>
      </c>
    </row>
    <row r="42" spans="1:14" s="74" customFormat="1">
      <c r="A42" s="182" t="s">
        <v>1346</v>
      </c>
      <c r="B42" s="184" t="s">
        <v>8</v>
      </c>
      <c r="C42" s="60" t="s">
        <v>1250</v>
      </c>
      <c r="D42" s="145" t="s">
        <v>668</v>
      </c>
      <c r="E42" s="13" t="str">
        <f>VLOOKUP(D42,'Input 7_NG Rates'!B:D,3,FALSE)</f>
        <v>CFG FTS-2.0 RESIDENTIAL 501-10</v>
      </c>
      <c r="F42" s="13" t="str">
        <f>VLOOKUP(D42,'Input 7_NG Rates'!B:E,4,FALSE)</f>
        <v>Schedule - FTS- 2</v>
      </c>
      <c r="G42" s="145" t="s">
        <v>17</v>
      </c>
      <c r="H42" s="145" t="s">
        <v>1</v>
      </c>
      <c r="I42" s="13" t="s">
        <v>1389</v>
      </c>
      <c r="J42" s="11" t="s">
        <v>1010</v>
      </c>
      <c r="K42" s="13" t="str">
        <f>'Input 7_NG Rates'!$B$191</f>
        <v>CR821</v>
      </c>
      <c r="N42" s="189">
        <v>0</v>
      </c>
    </row>
    <row r="43" spans="1:14" s="74" customFormat="1">
      <c r="A43" s="182" t="s">
        <v>1347</v>
      </c>
      <c r="B43" s="184" t="s">
        <v>1245</v>
      </c>
      <c r="C43" s="60" t="s">
        <v>1252</v>
      </c>
      <c r="D43" s="145" t="s">
        <v>518</v>
      </c>
      <c r="E43" s="13" t="str">
        <f>VLOOKUP(D43,'Input 7_NG Rates'!B:D,3,FALSE)</f>
        <v>CFG FTS-2.0 COMM 501-1000</v>
      </c>
      <c r="F43" s="13" t="str">
        <f>VLOOKUP(D43,'Input 7_NG Rates'!B:E,4,FALSE)</f>
        <v>Schedule - FTS- 2.0</v>
      </c>
      <c r="G43" s="145" t="s">
        <v>17</v>
      </c>
      <c r="H43" s="145" t="s">
        <v>5</v>
      </c>
      <c r="I43" s="13" t="s">
        <v>1390</v>
      </c>
      <c r="J43" s="11" t="s">
        <v>1053</v>
      </c>
      <c r="K43" s="13" t="str">
        <f>'Input 7_NG Rates'!$B$191</f>
        <v>CR821</v>
      </c>
      <c r="N43" s="189">
        <v>0</v>
      </c>
    </row>
    <row r="44" spans="1:14" s="74" customFormat="1">
      <c r="A44" s="182" t="s">
        <v>1348</v>
      </c>
      <c r="B44" s="184" t="s">
        <v>8</v>
      </c>
      <c r="C44" s="60" t="s">
        <v>1251</v>
      </c>
      <c r="D44" s="145" t="s">
        <v>677</v>
      </c>
      <c r="E44" s="13" t="str">
        <f>VLOOKUP(D44,'Input 7_NG Rates'!B:D,3,FALSE)</f>
        <v>CFG FTS-2 FIX RES 501- 1000</v>
      </c>
      <c r="F44" s="13" t="str">
        <f>VLOOKUP(D44,'Input 7_NG Rates'!B:E,4,FALSE)</f>
        <v>Schedule - FTS- 2 Experimental</v>
      </c>
      <c r="G44" s="145" t="s">
        <v>17</v>
      </c>
      <c r="H44" s="145" t="s">
        <v>1</v>
      </c>
      <c r="I44" s="13" t="s">
        <v>61</v>
      </c>
      <c r="J44" s="11" t="s">
        <v>1010</v>
      </c>
      <c r="K44" s="13" t="str">
        <f>'Input 7_NG Rates'!$B$199</f>
        <v>CR839</v>
      </c>
      <c r="N44" s="189">
        <v>0</v>
      </c>
    </row>
    <row r="45" spans="1:14" s="74" customFormat="1">
      <c r="A45" s="182" t="s">
        <v>1349</v>
      </c>
      <c r="B45" s="184" t="s">
        <v>1245</v>
      </c>
      <c r="C45" s="60" t="s">
        <v>1253</v>
      </c>
      <c r="D45" s="145" t="s">
        <v>525</v>
      </c>
      <c r="E45" s="13" t="str">
        <f>VLOOKUP(D45,'Input 7_NG Rates'!B:D,3,FALSE)</f>
        <v>CFG FTS-2 FIX COMM 501-1000</v>
      </c>
      <c r="F45" s="13" t="str">
        <f>VLOOKUP(D45,'Input 7_NG Rates'!B:E,4,FALSE)</f>
        <v>Schedule - FTS- 2 Experimental</v>
      </c>
      <c r="G45" s="145" t="s">
        <v>17</v>
      </c>
      <c r="H45" s="145" t="s">
        <v>5</v>
      </c>
      <c r="I45" s="13" t="s">
        <v>62</v>
      </c>
      <c r="J45" s="11" t="s">
        <v>1053</v>
      </c>
      <c r="K45" s="13" t="str">
        <f>'Input 7_NG Rates'!$B$199</f>
        <v>CR839</v>
      </c>
      <c r="N45" s="189">
        <v>0</v>
      </c>
    </row>
    <row r="46" spans="1:14" s="74" customFormat="1">
      <c r="A46" s="182" t="s">
        <v>1350</v>
      </c>
      <c r="B46" s="184" t="s">
        <v>8</v>
      </c>
      <c r="C46" s="60" t="s">
        <v>1254</v>
      </c>
      <c r="D46" s="145" t="s">
        <v>671</v>
      </c>
      <c r="E46" s="13" t="str">
        <f>VLOOKUP(D46,'Input 7_NG Rates'!B:D,3,FALSE)</f>
        <v>CFG FTS-2.1 RESIDENTIAL 1001-2</v>
      </c>
      <c r="F46" s="13" t="str">
        <f>VLOOKUP(D46,'Input 7_NG Rates'!B:E,4,FALSE)</f>
        <v>Schedule -  FTS- 2.1</v>
      </c>
      <c r="G46" s="145" t="s">
        <v>17</v>
      </c>
      <c r="H46" s="145" t="s">
        <v>1</v>
      </c>
      <c r="I46" s="13" t="s">
        <v>1391</v>
      </c>
      <c r="J46" s="11" t="s">
        <v>1016</v>
      </c>
      <c r="K46" s="13" t="s">
        <v>671</v>
      </c>
      <c r="N46" s="189">
        <v>0</v>
      </c>
    </row>
    <row r="47" spans="1:14" s="74" customFormat="1">
      <c r="A47" s="182" t="s">
        <v>1351</v>
      </c>
      <c r="B47" s="184" t="s">
        <v>1245</v>
      </c>
      <c r="C47" s="60" t="s">
        <v>1256</v>
      </c>
      <c r="D47" s="180" t="s">
        <v>521</v>
      </c>
      <c r="E47" s="13" t="str">
        <f>VLOOKUP(D47,'Input 7_NG Rates'!B:D,3,FALSE)</f>
        <v>CFG FTS-2.1 COMM 1001-2500</v>
      </c>
      <c r="F47" s="13" t="str">
        <f>VLOOKUP(D47,'Input 7_NG Rates'!B:E,4,FALSE)</f>
        <v>Schedule -  FTS- 2.1</v>
      </c>
      <c r="G47" s="145" t="s">
        <v>17</v>
      </c>
      <c r="H47" s="145" t="s">
        <v>5</v>
      </c>
      <c r="I47" s="13" t="s">
        <v>1392</v>
      </c>
      <c r="J47" s="11" t="s">
        <v>1055</v>
      </c>
      <c r="K47" s="13" t="s">
        <v>671</v>
      </c>
      <c r="N47" s="189">
        <v>0</v>
      </c>
    </row>
    <row r="48" spans="1:14" s="74" customFormat="1">
      <c r="A48" s="182" t="s">
        <v>1352</v>
      </c>
      <c r="B48" s="184" t="s">
        <v>8</v>
      </c>
      <c r="C48" s="60" t="s">
        <v>1255</v>
      </c>
      <c r="D48" s="145" t="s">
        <v>673</v>
      </c>
      <c r="E48" s="13" t="str">
        <f>VLOOKUP(D48,'Input 7_NG Rates'!B:D,3,FALSE)</f>
        <v>CFG FTS-2.1 Ex fixRs 1001-2500</v>
      </c>
      <c r="F48" s="13" t="str">
        <f>VLOOKUP(D48,'Input 7_NG Rates'!B:E,4,FALSE)</f>
        <v>Schedule -  FTS- 2.1 Experimen</v>
      </c>
      <c r="G48" s="145" t="s">
        <v>17</v>
      </c>
      <c r="H48" s="145" t="s">
        <v>1</v>
      </c>
      <c r="I48" s="13" t="s">
        <v>63</v>
      </c>
      <c r="J48" s="11" t="s">
        <v>1016</v>
      </c>
      <c r="K48" s="13" t="str">
        <f>'Input 7_NG Rates'!$B$195</f>
        <v>CR827</v>
      </c>
      <c r="N48" s="189">
        <v>0</v>
      </c>
    </row>
    <row r="49" spans="1:14" s="74" customFormat="1">
      <c r="A49" s="182" t="s">
        <v>1353</v>
      </c>
      <c r="B49" s="184" t="s">
        <v>1245</v>
      </c>
      <c r="C49" s="60" t="s">
        <v>1257</v>
      </c>
      <c r="D49" s="145" t="s">
        <v>535</v>
      </c>
      <c r="E49" s="13" t="str">
        <f>VLOOKUP(D49,'Input 7_NG Rates'!B:D,3,FALSE)</f>
        <v>CFG FTS-2.1 Ex COM 1001-2500</v>
      </c>
      <c r="F49" s="13" t="str">
        <f>VLOOKUP(D49,'Input 7_NG Rates'!B:E,4,FALSE)</f>
        <v>Schedule -  FTS- 2.1 Experimen</v>
      </c>
      <c r="G49" s="145" t="s">
        <v>17</v>
      </c>
      <c r="H49" s="145" t="s">
        <v>5</v>
      </c>
      <c r="I49" s="13" t="s">
        <v>64</v>
      </c>
      <c r="J49" s="11" t="s">
        <v>1055</v>
      </c>
      <c r="K49" s="13" t="str">
        <f>'Input 7_NG Rates'!$B$195</f>
        <v>CR827</v>
      </c>
      <c r="N49" s="189">
        <v>0</v>
      </c>
    </row>
    <row r="50" spans="1:14" s="74" customFormat="1">
      <c r="A50" s="182" t="s">
        <v>1354</v>
      </c>
      <c r="B50" s="184" t="s">
        <v>8</v>
      </c>
      <c r="C50" s="60" t="s">
        <v>1291</v>
      </c>
      <c r="D50" s="145" t="s">
        <v>653</v>
      </c>
      <c r="E50" s="13" t="str">
        <f>VLOOKUP(D50,'Input 7_NG Rates'!B:D,3,FALSE)</f>
        <v>CFG FTS-3.0 RES 2501-5000</v>
      </c>
      <c r="F50" s="13" t="str">
        <f>VLOOKUP(D50,'Input 7_NG Rates'!B:E,4,FALSE)</f>
        <v>Schedule - FTS- 3</v>
      </c>
      <c r="G50" s="145" t="s">
        <v>17</v>
      </c>
      <c r="H50" s="145" t="s">
        <v>1</v>
      </c>
      <c r="I50" s="179" t="s">
        <v>1393</v>
      </c>
      <c r="J50" s="11" t="s">
        <v>1057</v>
      </c>
      <c r="K50" s="145" t="str">
        <f>D50</f>
        <v>CR245</v>
      </c>
      <c r="N50" s="189">
        <v>0</v>
      </c>
    </row>
    <row r="51" spans="1:14" s="74" customFormat="1">
      <c r="A51" s="182" t="s">
        <v>1355</v>
      </c>
      <c r="B51" s="184" t="s">
        <v>8</v>
      </c>
      <c r="C51" s="60" t="s">
        <v>1292</v>
      </c>
      <c r="D51" s="11" t="s">
        <v>675</v>
      </c>
      <c r="E51" s="13" t="str">
        <f>VLOOKUP(D51,'Input 7_NG Rates'!B:D,3,FALSE)</f>
        <v>CFG FTS-3 Ex FIX RES 2501-5000</v>
      </c>
      <c r="F51" s="13" t="str">
        <f>VLOOKUP(D51,'Input 7_NG Rates'!B:E,4,FALSE)</f>
        <v>Schedule - FTS- 3 Experimentl</v>
      </c>
      <c r="G51" s="145" t="s">
        <v>17</v>
      </c>
      <c r="H51" s="145" t="s">
        <v>1</v>
      </c>
      <c r="I51" s="11" t="s">
        <v>1290</v>
      </c>
      <c r="J51" s="11" t="s">
        <v>1057</v>
      </c>
      <c r="K51" s="145" t="str">
        <f>D51</f>
        <v>CR828</v>
      </c>
      <c r="N51" s="189">
        <v>0</v>
      </c>
    </row>
    <row r="52" spans="1:14" s="74" customFormat="1">
      <c r="A52" s="182" t="s">
        <v>1356</v>
      </c>
      <c r="B52" s="184" t="s">
        <v>1245</v>
      </c>
      <c r="C52" s="60" t="s">
        <v>1299</v>
      </c>
      <c r="D52" s="145" t="s">
        <v>482</v>
      </c>
      <c r="E52" s="13" t="str">
        <f>VLOOKUP(D52,'Input 7_NG Rates'!B:D,3,FALSE)</f>
        <v>CFG FTS-3.0 COMM 2501-5000</v>
      </c>
      <c r="F52" s="13" t="str">
        <f>VLOOKUP(D52,'Input 7_NG Rates'!B:E,4,FALSE)</f>
        <v>Schedule - FTS- 3</v>
      </c>
      <c r="G52" s="145" t="s">
        <v>17</v>
      </c>
      <c r="H52" s="145" t="s">
        <v>5</v>
      </c>
      <c r="I52" s="13" t="s">
        <v>1384</v>
      </c>
      <c r="J52" s="11" t="s">
        <v>1057</v>
      </c>
      <c r="K52" s="13" t="s">
        <v>482</v>
      </c>
      <c r="N52" s="189">
        <v>0</v>
      </c>
    </row>
    <row r="53" spans="1:14" s="74" customFormat="1">
      <c r="A53" s="182" t="s">
        <v>1357</v>
      </c>
      <c r="B53" s="184" t="s">
        <v>1245</v>
      </c>
      <c r="C53" s="60" t="s">
        <v>1300</v>
      </c>
      <c r="D53" s="180" t="s">
        <v>538</v>
      </c>
      <c r="E53" s="13" t="str">
        <f>VLOOKUP(D53,'Input 7_NG Rates'!B:D,3,FALSE)</f>
        <v>CFG FTS-3 FIX Ex Com 2501-5000</v>
      </c>
      <c r="F53" s="13" t="str">
        <f>VLOOKUP(D53,'Input 7_NG Rates'!B:E,4,FALSE)</f>
        <v>Schedule - FTS- 3 Experimentl</v>
      </c>
      <c r="G53" s="145" t="s">
        <v>17</v>
      </c>
      <c r="H53" s="145" t="s">
        <v>5</v>
      </c>
      <c r="I53" s="13" t="s">
        <v>1381</v>
      </c>
      <c r="J53" s="11" t="s">
        <v>1057</v>
      </c>
      <c r="K53" s="13" t="s">
        <v>538</v>
      </c>
      <c r="N53" s="189">
        <v>0</v>
      </c>
    </row>
    <row r="54" spans="1:14" s="74" customFormat="1">
      <c r="A54" s="182" t="s">
        <v>1358</v>
      </c>
      <c r="B54" s="184" t="s">
        <v>1245</v>
      </c>
      <c r="C54" s="60" t="s">
        <v>1301</v>
      </c>
      <c r="D54" s="145" t="s">
        <v>528</v>
      </c>
      <c r="E54" s="13" t="str">
        <f>VLOOKUP(D54,'Input 7_NG Rates'!B:D,3,FALSE)</f>
        <v>CFG FTS-3.1 COMM 5001-10000</v>
      </c>
      <c r="F54" s="13" t="str">
        <f>VLOOKUP(D54,'Input 7_NG Rates'!B:E,4,FALSE)</f>
        <v>Schedule - FTS- 3.1</v>
      </c>
      <c r="G54" s="145" t="s">
        <v>17</v>
      </c>
      <c r="H54" s="145" t="s">
        <v>5</v>
      </c>
      <c r="I54" s="13" t="s">
        <v>1382</v>
      </c>
      <c r="J54" s="11" t="s">
        <v>1059</v>
      </c>
      <c r="K54" s="13" t="str">
        <f>'Input 7_NG Rates'!$B$110</f>
        <v>CC824</v>
      </c>
      <c r="N54" s="189">
        <v>0</v>
      </c>
    </row>
    <row r="55" spans="1:14" s="74" customFormat="1">
      <c r="A55" s="182" t="s">
        <v>1359</v>
      </c>
      <c r="B55" s="184" t="s">
        <v>1245</v>
      </c>
      <c r="C55" s="60" t="s">
        <v>1302</v>
      </c>
      <c r="D55" s="145" t="s">
        <v>532</v>
      </c>
      <c r="E55" s="13" t="str">
        <f>VLOOKUP(D55,'Input 7_NG Rates'!B:D,3,FALSE)</f>
        <v>CFG FTS-3 .1FIX COMM 2501-5000</v>
      </c>
      <c r="F55" s="13" t="str">
        <f>VLOOKUP(D55,'Input 7_NG Rates'!B:E,4,FALSE)</f>
        <v>Schedule - FTS-3.1Experimental</v>
      </c>
      <c r="G55" s="145" t="s">
        <v>17</v>
      </c>
      <c r="H55" s="145" t="s">
        <v>5</v>
      </c>
      <c r="I55" s="13" t="s">
        <v>1383</v>
      </c>
      <c r="J55" s="11" t="s">
        <v>1059</v>
      </c>
      <c r="K55" s="13" t="str">
        <f>'Input 7_NG Rates'!$B$112</f>
        <v>CC826</v>
      </c>
      <c r="N55" s="189">
        <v>0</v>
      </c>
    </row>
    <row r="56" spans="1:14" s="74" customFormat="1">
      <c r="A56" s="182" t="s">
        <v>1360</v>
      </c>
      <c r="B56" s="184" t="s">
        <v>1245</v>
      </c>
      <c r="C56" s="145" t="s">
        <v>65</v>
      </c>
      <c r="D56" s="145" t="s">
        <v>486</v>
      </c>
      <c r="E56" s="13" t="str">
        <f>VLOOKUP(D56,'Input 7_NG Rates'!B:D,3,FALSE)</f>
        <v>CFG FTS-4 COMM 10001-25000</v>
      </c>
      <c r="F56" s="13" t="str">
        <f>VLOOKUP(D56,'Input 7_NG Rates'!B:E,4,FALSE)</f>
        <v>Schedule - FTS- 4</v>
      </c>
      <c r="G56" s="145" t="s">
        <v>17</v>
      </c>
      <c r="H56" s="145" t="s">
        <v>5</v>
      </c>
      <c r="I56" s="13" t="s">
        <v>66</v>
      </c>
      <c r="J56" s="11" t="s">
        <v>1061</v>
      </c>
      <c r="K56" s="13" t="str">
        <f>'Input 7_NG Rates'!$B$84</f>
        <v>CC601</v>
      </c>
      <c r="N56" s="189">
        <v>0</v>
      </c>
    </row>
    <row r="57" spans="1:14" s="74" customFormat="1">
      <c r="A57" s="182" t="s">
        <v>1361</v>
      </c>
      <c r="B57" s="184" t="s">
        <v>1245</v>
      </c>
      <c r="C57" s="145" t="s">
        <v>67</v>
      </c>
      <c r="D57" s="145" t="s">
        <v>489</v>
      </c>
      <c r="E57" s="13" t="str">
        <f>VLOOKUP(D57,'Input 7_NG Rates'!B:D,3,FALSE)</f>
        <v>CFG FTS-5 COMM 25001-50000</v>
      </c>
      <c r="F57" s="13" t="str">
        <f>VLOOKUP(D57,'Input 7_NG Rates'!B:E,4,FALSE)</f>
        <v>Schedule - FTS- 5</v>
      </c>
      <c r="G57" s="145" t="s">
        <v>17</v>
      </c>
      <c r="H57" s="145" t="s">
        <v>5</v>
      </c>
      <c r="I57" s="13" t="s">
        <v>68</v>
      </c>
      <c r="J57" s="11" t="s">
        <v>1102</v>
      </c>
      <c r="K57" s="13" t="str">
        <f>'Input 7_NG Rates'!$B$86</f>
        <v>CC602</v>
      </c>
      <c r="N57" s="189">
        <v>0</v>
      </c>
    </row>
    <row r="58" spans="1:14" s="74" customFormat="1">
      <c r="A58" s="182" t="s">
        <v>1362</v>
      </c>
      <c r="B58" s="184" t="s">
        <v>1245</v>
      </c>
      <c r="C58" s="145" t="s">
        <v>69</v>
      </c>
      <c r="D58" s="145" t="s">
        <v>492</v>
      </c>
      <c r="E58" s="13" t="str">
        <f>VLOOKUP(D58,'Input 7_NG Rates'!B:D,3,FALSE)</f>
        <v>CFG FTS-6 COMM 50001-100000</v>
      </c>
      <c r="F58" s="13" t="str">
        <f>VLOOKUP(D58,'Input 7_NG Rates'!B:E,4,FALSE)</f>
        <v>Schedule - FTS- 6</v>
      </c>
      <c r="G58" s="145" t="s">
        <v>17</v>
      </c>
      <c r="H58" s="145" t="s">
        <v>5</v>
      </c>
      <c r="I58" s="13" t="s">
        <v>70</v>
      </c>
      <c r="J58" s="11" t="s">
        <v>1102</v>
      </c>
      <c r="K58" s="13" t="str">
        <f>'Input 7_NG Rates'!$B$88</f>
        <v>CC603</v>
      </c>
      <c r="N58" s="189">
        <v>0</v>
      </c>
    </row>
    <row r="59" spans="1:14" s="74" customFormat="1">
      <c r="A59" s="182" t="s">
        <v>1363</v>
      </c>
      <c r="B59" s="184" t="s">
        <v>1245</v>
      </c>
      <c r="C59" s="145" t="s">
        <v>71</v>
      </c>
      <c r="D59" s="145" t="s">
        <v>495</v>
      </c>
      <c r="E59" s="13" t="str">
        <f>VLOOKUP(D59,'Input 7_NG Rates'!B:D,3,FALSE)</f>
        <v>CFG FTS-7 COM 100001-200000</v>
      </c>
      <c r="F59" s="13" t="str">
        <f>VLOOKUP(D59,'Input 7_NG Rates'!B:E,4,FALSE)</f>
        <v>Schedule - FTS- 7</v>
      </c>
      <c r="G59" s="145" t="s">
        <v>17</v>
      </c>
      <c r="H59" s="145" t="s">
        <v>5</v>
      </c>
      <c r="I59" s="13" t="s">
        <v>72</v>
      </c>
      <c r="J59" s="11" t="s">
        <v>1102</v>
      </c>
      <c r="K59" s="13" t="str">
        <f>'Input 7_NG Rates'!$B$90</f>
        <v>CC605</v>
      </c>
      <c r="N59" s="189">
        <v>0</v>
      </c>
    </row>
    <row r="60" spans="1:14" s="74" customFormat="1">
      <c r="A60" s="182" t="s">
        <v>1364</v>
      </c>
      <c r="B60" s="184" t="s">
        <v>1245</v>
      </c>
      <c r="C60" s="145" t="s">
        <v>73</v>
      </c>
      <c r="D60" s="145" t="s">
        <v>626</v>
      </c>
      <c r="E60" s="13" t="str">
        <f>VLOOKUP(D60,'Input 7_NG Rates'!B:D,3,FALSE)</f>
        <v>CFG FTS-8 INDU 200001-400000</v>
      </c>
      <c r="F60" s="13" t="str">
        <f>VLOOKUP(D60,'Input 7_NG Rates'!B:E,4,FALSE)</f>
        <v>Schedule - FTS- 8</v>
      </c>
      <c r="G60" s="145" t="s">
        <v>17</v>
      </c>
      <c r="H60" s="145" t="s">
        <v>5</v>
      </c>
      <c r="I60" s="13" t="s">
        <v>74</v>
      </c>
      <c r="J60" s="11" t="s">
        <v>1102</v>
      </c>
      <c r="K60" s="145" t="s">
        <v>626</v>
      </c>
      <c r="N60" s="189">
        <v>0</v>
      </c>
    </row>
    <row r="61" spans="1:14" s="74" customFormat="1">
      <c r="A61" s="182" t="s">
        <v>1365</v>
      </c>
      <c r="B61" s="184" t="s">
        <v>1245</v>
      </c>
      <c r="C61" s="145" t="s">
        <v>75</v>
      </c>
      <c r="D61" s="145" t="s">
        <v>541</v>
      </c>
      <c r="E61" s="13" t="str">
        <f>VLOOKUP(D61,'Input 7_NG Rates'!B:D,3,FALSE)</f>
        <v>CFG FTS-9 COMM 400001-750000</v>
      </c>
      <c r="F61" s="13" t="str">
        <f>VLOOKUP(D61,'Input 7_NG Rates'!B:E,4,FALSE)</f>
        <v>Schedule - FTS- 9</v>
      </c>
      <c r="G61" s="145" t="s">
        <v>17</v>
      </c>
      <c r="H61" s="145" t="s">
        <v>5</v>
      </c>
      <c r="I61" s="13" t="s">
        <v>76</v>
      </c>
      <c r="J61" s="11" t="s">
        <v>1102</v>
      </c>
      <c r="K61" s="13" t="str">
        <f>'Input 7_NG Rates'!$B$118</f>
        <v>CC905</v>
      </c>
      <c r="N61" s="189">
        <v>0</v>
      </c>
    </row>
    <row r="62" spans="1:14" s="74" customFormat="1">
      <c r="A62" s="182" t="s">
        <v>1366</v>
      </c>
      <c r="B62" s="184" t="s">
        <v>1245</v>
      </c>
      <c r="C62" s="145" t="s">
        <v>77</v>
      </c>
      <c r="D62" s="145" t="s">
        <v>651</v>
      </c>
      <c r="E62" s="13" t="str">
        <f>VLOOKUP(D62,'Input 7_NG Rates'!B:D,3,FALSE)</f>
        <v>CFG FTS-10 INDU 750001-1M</v>
      </c>
      <c r="F62" s="13" t="str">
        <f>VLOOKUP(D62,'Input 7_NG Rates'!B:E,4,FALSE)</f>
        <v>Schedule - FTS- 10</v>
      </c>
      <c r="G62" s="145" t="s">
        <v>17</v>
      </c>
      <c r="H62" s="145" t="s">
        <v>5</v>
      </c>
      <c r="I62" s="13" t="s">
        <v>78</v>
      </c>
      <c r="J62" s="11" t="s">
        <v>1102</v>
      </c>
      <c r="K62" s="13" t="str">
        <f>'Input 7_NG Rates'!$B$120</f>
        <v>CC910</v>
      </c>
      <c r="N62" s="189">
        <v>0</v>
      </c>
    </row>
    <row r="63" spans="1:14" s="74" customFormat="1">
      <c r="A63" s="182" t="s">
        <v>1367</v>
      </c>
      <c r="B63" s="184" t="s">
        <v>1245</v>
      </c>
      <c r="C63" s="145" t="s">
        <v>79</v>
      </c>
      <c r="D63" s="145" t="s">
        <v>596</v>
      </c>
      <c r="E63" s="13" t="str">
        <f>VLOOKUP(D63,'Input 7_NG Rates'!B:D,3,FALSE)</f>
        <v>CFG FTS-11 INDU 1M-2.5M</v>
      </c>
      <c r="F63" s="13" t="str">
        <f>VLOOKUP(D63,'Input 7_NG Rates'!B:E,4,FALSE)</f>
        <v>Schedule - FTS- 11</v>
      </c>
      <c r="G63" s="145" t="s">
        <v>17</v>
      </c>
      <c r="H63" s="145" t="s">
        <v>5</v>
      </c>
      <c r="I63" s="13" t="s">
        <v>80</v>
      </c>
      <c r="J63" s="11" t="s">
        <v>1102</v>
      </c>
      <c r="K63" s="13" t="str">
        <f>'Input 7_NG Rates'!$B$140</f>
        <v>CI107</v>
      </c>
      <c r="N63" s="189">
        <v>0</v>
      </c>
    </row>
    <row r="64" spans="1:14" s="74" customFormat="1">
      <c r="A64" s="182" t="s">
        <v>1368</v>
      </c>
      <c r="B64" s="184" t="s">
        <v>1245</v>
      </c>
      <c r="C64" s="145" t="s">
        <v>81</v>
      </c>
      <c r="D64" s="145" t="s">
        <v>600</v>
      </c>
      <c r="E64" s="13" t="str">
        <f>VLOOKUP(D64,'Input 7_NG Rates'!B:D,3,FALSE)</f>
        <v>CFG FTS-12 INDU 2.5M-12.5M</v>
      </c>
      <c r="F64" s="13" t="str">
        <f>VLOOKUP(D64,'Input 7_NG Rates'!B:E,4,FALSE)</f>
        <v>Schedule - FTS- 12</v>
      </c>
      <c r="G64" s="145" t="s">
        <v>17</v>
      </c>
      <c r="H64" s="145" t="s">
        <v>5</v>
      </c>
      <c r="I64" s="13" t="s">
        <v>82</v>
      </c>
      <c r="J64" s="11" t="s">
        <v>1102</v>
      </c>
      <c r="K64" s="13" t="str">
        <f>'Input 7_NG Rates'!$B$142</f>
        <v>CI108</v>
      </c>
      <c r="N64" s="189">
        <v>0</v>
      </c>
    </row>
    <row r="65" spans="1:14" s="74" customFormat="1">
      <c r="A65" s="182" t="s">
        <v>1376</v>
      </c>
      <c r="B65" s="184" t="s">
        <v>1245</v>
      </c>
      <c r="C65" s="145" t="s">
        <v>122</v>
      </c>
      <c r="D65" s="145" t="s">
        <v>563</v>
      </c>
      <c r="E65" s="13" t="str">
        <f>VLOOKUP(D65,'Input 7_NG Rates'!B:D,3,FALSE)</f>
        <v>CFG FTS-13 INDU 12500000+</v>
      </c>
      <c r="F65" s="13" t="str">
        <f>VLOOKUP(D65,'Input 7_NG Rates'!B:E,4,FALSE)</f>
        <v>Schedule - FTS- 13</v>
      </c>
      <c r="G65" s="145" t="s">
        <v>17</v>
      </c>
      <c r="H65" s="145" t="s">
        <v>5</v>
      </c>
      <c r="I65" s="13" t="s">
        <v>999</v>
      </c>
      <c r="J65" s="11" t="s">
        <v>1102</v>
      </c>
      <c r="K65" s="145" t="s">
        <v>17</v>
      </c>
      <c r="N65" s="189">
        <v>0</v>
      </c>
    </row>
    <row r="66" spans="1:14" s="74" customFormat="1">
      <c r="A66" s="182" t="s">
        <v>1422</v>
      </c>
      <c r="B66" s="184" t="s">
        <v>1245</v>
      </c>
      <c r="C66" s="145" t="s">
        <v>83</v>
      </c>
      <c r="D66" s="145" t="s">
        <v>474</v>
      </c>
      <c r="E66" s="13" t="str">
        <f>VLOOKUP(D66,'Input 7_NG Rates'!B:D,3,FALSE)</f>
        <v>CFG NGV</v>
      </c>
      <c r="F66" s="13" t="str">
        <f>VLOOKUP(D66,'Input 7_NG Rates'!B:E,4,FALSE)</f>
        <v>Schedule - FTS- NGV</v>
      </c>
      <c r="G66" s="145" t="s">
        <v>17</v>
      </c>
      <c r="H66" s="145" t="s">
        <v>5</v>
      </c>
      <c r="I66" s="13" t="s">
        <v>84</v>
      </c>
      <c r="J66" s="11" t="s">
        <v>1102</v>
      </c>
      <c r="K66" s="13" t="str">
        <f>'Input 7_NG Rates'!$B$76</f>
        <v>CCNGV</v>
      </c>
      <c r="N66" s="189">
        <v>0</v>
      </c>
    </row>
    <row r="68" spans="1:14">
      <c r="A68" s="182"/>
      <c r="B68" s="184"/>
      <c r="C68" s="144"/>
      <c r="D68" s="13"/>
      <c r="E68" s="73"/>
      <c r="F68" s="73"/>
      <c r="G68" s="144"/>
      <c r="H68" s="144"/>
      <c r="I68" s="73"/>
      <c r="K68" s="13"/>
    </row>
  </sheetData>
  <autoFilter ref="A1:M66" xr:uid="{082CF1B1-FE55-49A8-A7DD-3DBB5016DC8D}"/>
  <phoneticPr fontId="57" type="noConversion"/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AA6B1-67A3-4B86-8E76-57CF879A2816}">
  <sheetPr>
    <tabColor theme="0" tint="-0.34998626667073579"/>
  </sheetPr>
  <dimension ref="A1:G67"/>
  <sheetViews>
    <sheetView workbookViewId="0"/>
  </sheetViews>
  <sheetFormatPr defaultRowHeight="12.75"/>
  <cols>
    <col min="1" max="1" width="53.7109375" style="12" bestFit="1" customWidth="1"/>
    <col min="2" max="2" width="24" style="71" bestFit="1" customWidth="1"/>
    <col min="3" max="3" width="14.5703125" style="189" bestFit="1" customWidth="1"/>
    <col min="4" max="4" width="15.140625" style="189" bestFit="1" customWidth="1"/>
    <col min="5" max="5" width="14.5703125" style="189" customWidth="1"/>
    <col min="6" max="6" width="21" style="9" bestFit="1" customWidth="1"/>
    <col min="7" max="7" width="22.42578125" customWidth="1"/>
  </cols>
  <sheetData>
    <row r="1" spans="1:7">
      <c r="A1" s="192" t="s">
        <v>1275</v>
      </c>
      <c r="B1" s="192" t="s">
        <v>1116</v>
      </c>
      <c r="C1" s="193" t="s">
        <v>1394</v>
      </c>
      <c r="D1" s="196">
        <v>2021</v>
      </c>
      <c r="E1" s="196" t="s">
        <v>28</v>
      </c>
      <c r="F1" s="195" t="s">
        <v>1399</v>
      </c>
      <c r="G1" s="195" t="s">
        <v>1400</v>
      </c>
    </row>
    <row r="2" spans="1:7">
      <c r="A2" s="145" t="s">
        <v>85</v>
      </c>
      <c r="B2" s="74" t="s">
        <v>1284</v>
      </c>
      <c r="C2" s="451">
        <v>0</v>
      </c>
      <c r="D2" s="451">
        <f>SUMIF('Master '!D:D,A2,'Master '!AG:AG)</f>
        <v>115897.47999999994</v>
      </c>
      <c r="E2" s="451"/>
      <c r="F2" s="94">
        <f>IF(ISBLANK(E2),0,D2+E2)</f>
        <v>0</v>
      </c>
      <c r="G2" s="264">
        <f>F2</f>
        <v>0</v>
      </c>
    </row>
    <row r="3" spans="1:7">
      <c r="A3" s="145" t="s">
        <v>87</v>
      </c>
      <c r="B3" s="74" t="s">
        <v>1102</v>
      </c>
      <c r="C3" s="451">
        <v>0</v>
      </c>
      <c r="D3" s="451">
        <f>SUMIF('Master '!D:D,A3,'Master '!AG:AG)</f>
        <v>80956.95</v>
      </c>
      <c r="E3" s="451"/>
      <c r="F3" s="94">
        <f t="shared" ref="F3:F64" si="0">IF(ISBLANK(E3),0,D3+E3)</f>
        <v>0</v>
      </c>
      <c r="G3" s="264">
        <f t="shared" ref="G3:G65" si="1">F3</f>
        <v>0</v>
      </c>
    </row>
    <row r="4" spans="1:7">
      <c r="A4" s="145" t="s">
        <v>89</v>
      </c>
      <c r="B4" s="74" t="s">
        <v>1102</v>
      </c>
      <c r="C4" s="451">
        <v>0</v>
      </c>
      <c r="D4" s="451">
        <f>SUMIF('Master '!D:D,A4,'Master '!AG:AG)</f>
        <v>7985.92</v>
      </c>
      <c r="E4" s="451"/>
      <c r="F4" s="94">
        <f t="shared" si="0"/>
        <v>0</v>
      </c>
      <c r="G4" s="264">
        <f t="shared" si="1"/>
        <v>0</v>
      </c>
    </row>
    <row r="5" spans="1:7">
      <c r="A5" s="145" t="s">
        <v>91</v>
      </c>
      <c r="B5" s="74" t="s">
        <v>1102</v>
      </c>
      <c r="C5" s="451">
        <v>0</v>
      </c>
      <c r="D5" s="451">
        <f>SUMIF('Master '!D:D,A5,'Master '!AG:AG)</f>
        <v>0</v>
      </c>
      <c r="E5" s="451"/>
      <c r="F5" s="94">
        <f t="shared" si="0"/>
        <v>0</v>
      </c>
      <c r="G5" s="264">
        <f t="shared" si="1"/>
        <v>0</v>
      </c>
    </row>
    <row r="6" spans="1:7">
      <c r="A6" s="145" t="s">
        <v>93</v>
      </c>
      <c r="B6" s="74" t="s">
        <v>1102</v>
      </c>
      <c r="C6" s="451">
        <v>0</v>
      </c>
      <c r="D6" s="451">
        <f>SUMIF('Master '!D:D,A6,'Master '!AG:AG)</f>
        <v>0</v>
      </c>
      <c r="E6" s="451"/>
      <c r="F6" s="94">
        <f t="shared" si="0"/>
        <v>0</v>
      </c>
      <c r="G6" s="264">
        <f t="shared" si="1"/>
        <v>0</v>
      </c>
    </row>
    <row r="7" spans="1:7">
      <c r="A7" s="145" t="s">
        <v>94</v>
      </c>
      <c r="B7" s="74" t="s">
        <v>1284</v>
      </c>
      <c r="C7" s="451">
        <v>0</v>
      </c>
      <c r="D7" s="451">
        <f>SUMIF('Master '!D:D,A7,'Master '!AG:AG)</f>
        <v>67421.709999999992</v>
      </c>
      <c r="E7" s="451"/>
      <c r="F7" s="94">
        <f t="shared" si="0"/>
        <v>0</v>
      </c>
      <c r="G7" s="264">
        <f t="shared" si="1"/>
        <v>0</v>
      </c>
    </row>
    <row r="8" spans="1:7">
      <c r="A8" s="145" t="s">
        <v>96</v>
      </c>
      <c r="B8" s="74" t="s">
        <v>1379</v>
      </c>
      <c r="C8" s="451">
        <v>0</v>
      </c>
      <c r="D8" s="451">
        <f>SUMIF('Master '!D:D,A8,'Master '!AG:AG)</f>
        <v>44446.350000000006</v>
      </c>
      <c r="E8" s="451"/>
      <c r="F8" s="94">
        <f t="shared" si="0"/>
        <v>0</v>
      </c>
      <c r="G8" s="264">
        <f t="shared" si="1"/>
        <v>0</v>
      </c>
    </row>
    <row r="9" spans="1:7">
      <c r="A9" s="145" t="s">
        <v>97</v>
      </c>
      <c r="B9" s="74" t="s">
        <v>1379</v>
      </c>
      <c r="C9" s="451">
        <v>4.5</v>
      </c>
      <c r="D9" s="451">
        <f>SUMIF('Master '!D:D,A9,'Master '!AG:AG)</f>
        <v>34583.86</v>
      </c>
      <c r="E9" s="451"/>
      <c r="F9" s="94">
        <f t="shared" si="0"/>
        <v>0</v>
      </c>
      <c r="G9" s="264">
        <f t="shared" si="1"/>
        <v>0</v>
      </c>
    </row>
    <row r="10" spans="1:7">
      <c r="A10" s="145" t="s">
        <v>98</v>
      </c>
      <c r="B10" s="261" t="s">
        <v>1102</v>
      </c>
      <c r="C10" s="451">
        <v>0</v>
      </c>
      <c r="D10" s="451">
        <f>SUMIF('Master '!D:D,A10,'Master '!AG:AG)</f>
        <v>27325.26</v>
      </c>
      <c r="E10" s="451"/>
      <c r="F10" s="94">
        <f t="shared" si="0"/>
        <v>0</v>
      </c>
      <c r="G10" s="264">
        <f t="shared" si="1"/>
        <v>0</v>
      </c>
    </row>
    <row r="11" spans="1:7">
      <c r="A11" s="145" t="s">
        <v>99</v>
      </c>
      <c r="B11" s="261" t="s">
        <v>1102</v>
      </c>
      <c r="C11" s="451">
        <v>55</v>
      </c>
      <c r="D11" s="451">
        <f>SUMIF('Master '!D:D,A11,'Master '!AG:AG)</f>
        <v>141838.77999999997</v>
      </c>
      <c r="E11" s="451"/>
      <c r="F11" s="94">
        <f t="shared" si="0"/>
        <v>0</v>
      </c>
      <c r="G11" s="264">
        <f t="shared" si="1"/>
        <v>0</v>
      </c>
    </row>
    <row r="12" spans="1:7">
      <c r="A12" s="145" t="s">
        <v>995</v>
      </c>
      <c r="B12" s="261" t="s">
        <v>1102</v>
      </c>
      <c r="C12" s="451">
        <v>0</v>
      </c>
      <c r="D12" s="451">
        <f>SUMIF('Master '!D:D,A12,'Master '!AG:AG)</f>
        <v>0</v>
      </c>
      <c r="E12" s="451"/>
      <c r="F12" s="94">
        <f t="shared" si="0"/>
        <v>0</v>
      </c>
      <c r="G12" s="264">
        <f t="shared" si="1"/>
        <v>0</v>
      </c>
    </row>
    <row r="13" spans="1:7">
      <c r="A13" s="145" t="s">
        <v>103</v>
      </c>
      <c r="B13" s="261" t="s">
        <v>1102</v>
      </c>
      <c r="C13" s="451">
        <v>55</v>
      </c>
      <c r="D13" s="451">
        <f>SUMIF('Master '!D:D,A13,'Master '!AG:AG)</f>
        <v>0</v>
      </c>
      <c r="E13" s="451"/>
      <c r="F13" s="94">
        <f t="shared" si="0"/>
        <v>0</v>
      </c>
      <c r="G13" s="264">
        <f t="shared" si="1"/>
        <v>0</v>
      </c>
    </row>
    <row r="14" spans="1:7">
      <c r="A14" s="145" t="s">
        <v>29</v>
      </c>
      <c r="B14" s="74" t="s">
        <v>1284</v>
      </c>
      <c r="C14" s="451">
        <v>0</v>
      </c>
      <c r="D14" s="451">
        <f>SUMIF('Master '!D:D,A14,'Master '!AG:AG)</f>
        <v>16009999.460000172</v>
      </c>
      <c r="E14" s="451"/>
      <c r="F14" s="94">
        <f t="shared" si="0"/>
        <v>0</v>
      </c>
      <c r="G14" s="264">
        <f t="shared" si="1"/>
        <v>0</v>
      </c>
    </row>
    <row r="15" spans="1:7">
      <c r="A15" s="145" t="s">
        <v>32</v>
      </c>
      <c r="B15" s="74" t="s">
        <v>1380</v>
      </c>
      <c r="C15" s="451">
        <v>0</v>
      </c>
      <c r="D15" s="451">
        <f>SUMIF('Master '!D:D,A15,'Master '!AG:AG)</f>
        <v>76940.160000000018</v>
      </c>
      <c r="E15" s="451"/>
      <c r="F15" s="94">
        <f t="shared" si="0"/>
        <v>0</v>
      </c>
      <c r="G15" s="264">
        <f t="shared" si="1"/>
        <v>0</v>
      </c>
    </row>
    <row r="16" spans="1:7">
      <c r="A16" s="145" t="s">
        <v>34</v>
      </c>
      <c r="B16" s="74" t="s">
        <v>1380</v>
      </c>
      <c r="C16" s="451">
        <v>0</v>
      </c>
      <c r="D16" s="451">
        <f>SUMIF('Master '!D:D,A16,'Master '!AG:AG)</f>
        <v>50076.090000000004</v>
      </c>
      <c r="E16" s="451"/>
      <c r="F16" s="94">
        <f t="shared" si="0"/>
        <v>0</v>
      </c>
      <c r="G16" s="264">
        <f t="shared" si="1"/>
        <v>0</v>
      </c>
    </row>
    <row r="17" spans="1:7">
      <c r="A17" s="145" t="s">
        <v>36</v>
      </c>
      <c r="B17" s="74" t="s">
        <v>1379</v>
      </c>
      <c r="C17" s="451">
        <v>0</v>
      </c>
      <c r="D17" s="451">
        <f>SUMIF('Master '!D:D,A17,'Master '!AG:AG)</f>
        <v>984167.33999999985</v>
      </c>
      <c r="E17" s="451"/>
      <c r="F17" s="94">
        <f t="shared" si="0"/>
        <v>0</v>
      </c>
      <c r="G17" s="264">
        <f t="shared" si="1"/>
        <v>0</v>
      </c>
    </row>
    <row r="18" spans="1:7">
      <c r="A18" s="145" t="s">
        <v>38</v>
      </c>
      <c r="B18" s="74" t="s">
        <v>1379</v>
      </c>
      <c r="C18" s="451">
        <v>4.5</v>
      </c>
      <c r="D18" s="451">
        <f>SUMIF('Master '!D:D,A18,'Master '!AG:AG)</f>
        <v>705334.12000000011</v>
      </c>
      <c r="E18" s="451"/>
      <c r="F18" s="94">
        <f t="shared" si="0"/>
        <v>0</v>
      </c>
      <c r="G18" s="264">
        <f t="shared" si="1"/>
        <v>0</v>
      </c>
    </row>
    <row r="19" spans="1:7">
      <c r="A19" s="145" t="s">
        <v>40</v>
      </c>
      <c r="B19" s="74" t="s">
        <v>1379</v>
      </c>
      <c r="C19" s="451">
        <v>0</v>
      </c>
      <c r="D19" s="451">
        <f>SUMIF('Master '!D:D,A19,'Master '!AG:AG)</f>
        <v>6615291.8699999936</v>
      </c>
      <c r="E19" s="451"/>
      <c r="F19" s="94">
        <f t="shared" si="0"/>
        <v>0</v>
      </c>
      <c r="G19" s="264">
        <f t="shared" si="1"/>
        <v>0</v>
      </c>
    </row>
    <row r="20" spans="1:7">
      <c r="A20" s="145" t="s">
        <v>42</v>
      </c>
      <c r="B20" s="74" t="s">
        <v>1379</v>
      </c>
      <c r="C20" s="451">
        <v>4.5</v>
      </c>
      <c r="D20" s="451">
        <f>SUMIF('Master '!D:D,A20,'Master '!AG:AG)</f>
        <v>5703960.7700000023</v>
      </c>
      <c r="E20" s="451"/>
      <c r="F20" s="94">
        <f t="shared" si="0"/>
        <v>0</v>
      </c>
      <c r="G20" s="264">
        <f t="shared" si="1"/>
        <v>0</v>
      </c>
    </row>
    <row r="21" spans="1:7">
      <c r="A21" s="145" t="s">
        <v>44</v>
      </c>
      <c r="B21" s="74" t="s">
        <v>1379</v>
      </c>
      <c r="C21" s="451">
        <v>0</v>
      </c>
      <c r="D21" s="451">
        <f>SUMIF('Master '!D:D,A21,'Master '!AG:AG)</f>
        <v>8202818.1799999988</v>
      </c>
      <c r="E21" s="451"/>
      <c r="F21" s="94">
        <f t="shared" si="0"/>
        <v>0</v>
      </c>
      <c r="G21" s="264">
        <f t="shared" si="1"/>
        <v>0</v>
      </c>
    </row>
    <row r="22" spans="1:7">
      <c r="A22" s="145" t="s">
        <v>46</v>
      </c>
      <c r="B22" s="74" t="s">
        <v>1379</v>
      </c>
      <c r="C22" s="451">
        <v>55</v>
      </c>
      <c r="D22" s="451">
        <f>SUMIF('Master '!D:D,A22,'Master '!AG:AG)</f>
        <v>32542765.020000007</v>
      </c>
      <c r="E22" s="451"/>
      <c r="F22" s="94">
        <f t="shared" si="0"/>
        <v>0</v>
      </c>
      <c r="G22" s="264">
        <f t="shared" si="1"/>
        <v>0</v>
      </c>
    </row>
    <row r="23" spans="1:7">
      <c r="A23" s="145" t="s">
        <v>48</v>
      </c>
      <c r="B23" s="261" t="s">
        <v>1102</v>
      </c>
      <c r="C23" s="451">
        <v>30</v>
      </c>
      <c r="D23" s="451">
        <f>SUMIF('Master '!D:D,A23,'Master '!AG:AG)</f>
        <v>0</v>
      </c>
      <c r="E23" s="451"/>
      <c r="F23" s="94">
        <f t="shared" si="0"/>
        <v>0</v>
      </c>
      <c r="G23" s="264">
        <f t="shared" si="1"/>
        <v>0</v>
      </c>
    </row>
    <row r="24" spans="1:7">
      <c r="A24" s="145" t="s">
        <v>50</v>
      </c>
      <c r="B24" s="261" t="s">
        <v>1102</v>
      </c>
      <c r="C24" s="451">
        <v>50.5</v>
      </c>
      <c r="D24" s="451">
        <f>SUMIF('Master '!D:D,A24,'Master '!AG:AG)</f>
        <v>9545720.379999999</v>
      </c>
      <c r="E24" s="451"/>
      <c r="F24" s="94">
        <f t="shared" si="0"/>
        <v>0</v>
      </c>
      <c r="G24" s="264">
        <f t="shared" si="1"/>
        <v>0</v>
      </c>
    </row>
    <row r="25" spans="1:7">
      <c r="A25" s="145" t="s">
        <v>52</v>
      </c>
      <c r="B25" s="261" t="s">
        <v>1102</v>
      </c>
      <c r="C25" s="451">
        <v>0</v>
      </c>
      <c r="D25" s="451">
        <f>SUMIF('Master '!D:D,A25,'Master '!AG:AG)</f>
        <v>0</v>
      </c>
      <c r="E25" s="451"/>
      <c r="F25" s="94">
        <f t="shared" si="0"/>
        <v>0</v>
      </c>
      <c r="G25" s="264">
        <f t="shared" si="1"/>
        <v>0</v>
      </c>
    </row>
    <row r="26" spans="1:7">
      <c r="A26" s="145" t="s">
        <v>54</v>
      </c>
      <c r="B26" s="74" t="s">
        <v>1380</v>
      </c>
      <c r="C26" s="451">
        <v>50.5</v>
      </c>
      <c r="D26" s="451">
        <f>SUMIF('Master '!D:D,A26,'Master '!AG:AG)</f>
        <v>1091313.93</v>
      </c>
      <c r="E26" s="451"/>
      <c r="F26" s="94">
        <f t="shared" si="0"/>
        <v>0</v>
      </c>
      <c r="G26" s="264">
        <f t="shared" si="1"/>
        <v>0</v>
      </c>
    </row>
    <row r="27" spans="1:7">
      <c r="A27" s="145" t="s">
        <v>56</v>
      </c>
      <c r="B27" s="74" t="s">
        <v>1102</v>
      </c>
      <c r="C27" s="451">
        <v>0</v>
      </c>
      <c r="D27" s="451">
        <f>SUMIF('Master '!D:D,A27,'Master '!AG:AG)</f>
        <v>99722.64</v>
      </c>
      <c r="E27" s="451"/>
      <c r="F27" s="94">
        <f t="shared" si="0"/>
        <v>0</v>
      </c>
      <c r="G27" s="264">
        <f t="shared" si="1"/>
        <v>0</v>
      </c>
    </row>
    <row r="28" spans="1:7">
      <c r="A28" s="145" t="s">
        <v>58</v>
      </c>
      <c r="B28" s="74" t="s">
        <v>1102</v>
      </c>
      <c r="C28" s="451">
        <v>1.5</v>
      </c>
      <c r="D28" s="451">
        <f>SUMIF('Master '!D:D,A28,'Master '!AG:AG)</f>
        <v>0</v>
      </c>
      <c r="E28" s="451"/>
      <c r="F28" s="94">
        <f t="shared" si="0"/>
        <v>0</v>
      </c>
      <c r="G28" s="264">
        <f t="shared" si="1"/>
        <v>0</v>
      </c>
    </row>
    <row r="29" spans="1:7">
      <c r="A29" s="145" t="s">
        <v>1295</v>
      </c>
      <c r="B29" s="74" t="s">
        <v>1379</v>
      </c>
      <c r="C29" s="451">
        <v>0</v>
      </c>
      <c r="D29" s="451">
        <f>SUMIF('Master '!D:D,A29,'Master '!AG:AG)</f>
        <v>91419.959999999948</v>
      </c>
      <c r="E29" s="451"/>
      <c r="F29" s="94">
        <f t="shared" si="0"/>
        <v>0</v>
      </c>
      <c r="G29" s="264">
        <f t="shared" si="1"/>
        <v>0</v>
      </c>
    </row>
    <row r="30" spans="1:7">
      <c r="A30" s="145" t="s">
        <v>1296</v>
      </c>
      <c r="B30" s="74" t="s">
        <v>1379</v>
      </c>
      <c r="C30" s="451">
        <v>0</v>
      </c>
      <c r="D30" s="451">
        <f>SUMIF('Master '!D:D,A30,'Master '!AG:AG)</f>
        <v>2607.56</v>
      </c>
      <c r="E30" s="451"/>
      <c r="F30" s="94">
        <f t="shared" si="0"/>
        <v>0</v>
      </c>
      <c r="G30" s="264">
        <f t="shared" si="1"/>
        <v>0</v>
      </c>
    </row>
    <row r="31" spans="1:7">
      <c r="A31" s="145" t="s">
        <v>1298</v>
      </c>
      <c r="B31" s="74" t="s">
        <v>1379</v>
      </c>
      <c r="C31" s="451">
        <v>0</v>
      </c>
      <c r="D31" s="451">
        <f>SUMIF('Master '!D:D,A31,'Master '!AG:AG)</f>
        <v>287274.30999999942</v>
      </c>
      <c r="E31" s="451"/>
      <c r="F31" s="94">
        <f t="shared" si="0"/>
        <v>0</v>
      </c>
      <c r="G31" s="264">
        <f t="shared" si="1"/>
        <v>0</v>
      </c>
    </row>
    <row r="32" spans="1:7">
      <c r="A32" s="145" t="s">
        <v>1297</v>
      </c>
      <c r="B32" s="74" t="s">
        <v>1379</v>
      </c>
      <c r="C32" s="451">
        <v>0</v>
      </c>
      <c r="D32" s="451">
        <f>SUMIF('Master '!D:D,A32,'Master '!AG:AG)</f>
        <v>8132.5999999999995</v>
      </c>
      <c r="E32" s="451"/>
      <c r="F32" s="94">
        <f t="shared" si="0"/>
        <v>0</v>
      </c>
      <c r="G32" s="264">
        <f t="shared" si="1"/>
        <v>0</v>
      </c>
    </row>
    <row r="33" spans="1:7">
      <c r="A33" s="60" t="s">
        <v>1282</v>
      </c>
      <c r="B33" s="74" t="s">
        <v>1379</v>
      </c>
      <c r="C33" s="451">
        <v>0</v>
      </c>
      <c r="D33" s="451">
        <f>SUMIF('Master '!D:D,A33,'Master '!AG:AG)</f>
        <v>407.92000000000007</v>
      </c>
      <c r="E33" s="451"/>
      <c r="F33" s="94">
        <f t="shared" si="0"/>
        <v>0</v>
      </c>
      <c r="G33" s="264">
        <f t="shared" si="1"/>
        <v>0</v>
      </c>
    </row>
    <row r="34" spans="1:7">
      <c r="A34" s="60" t="s">
        <v>1283</v>
      </c>
      <c r="B34" s="74" t="s">
        <v>1379</v>
      </c>
      <c r="C34" s="451">
        <v>0</v>
      </c>
      <c r="D34" s="451">
        <f>SUMIF('Master '!D:D,A34,'Master '!AG:AG)</f>
        <v>745.95999999999992</v>
      </c>
      <c r="E34" s="451"/>
      <c r="F34" s="94">
        <f t="shared" si="0"/>
        <v>0</v>
      </c>
      <c r="G34" s="264">
        <f t="shared" si="1"/>
        <v>0</v>
      </c>
    </row>
    <row r="35" spans="1:7">
      <c r="A35" s="60" t="s">
        <v>1375</v>
      </c>
      <c r="B35" s="74" t="s">
        <v>1379</v>
      </c>
      <c r="C35" s="451">
        <v>0</v>
      </c>
      <c r="D35" s="451">
        <f>SUMIF('Master '!D:D,A35,'Master '!AG:AG)</f>
        <v>0</v>
      </c>
      <c r="E35" s="451"/>
      <c r="F35" s="94">
        <f t="shared" si="0"/>
        <v>0</v>
      </c>
      <c r="G35" s="264">
        <f t="shared" si="1"/>
        <v>0</v>
      </c>
    </row>
    <row r="36" spans="1:7">
      <c r="A36" s="60" t="s">
        <v>1293</v>
      </c>
      <c r="B36" s="74" t="s">
        <v>1379</v>
      </c>
      <c r="C36" s="451">
        <v>0</v>
      </c>
      <c r="D36" s="451">
        <f>SUMIF('Master '!D:D,A36,'Master '!AG:AG)</f>
        <v>21.799999999999997</v>
      </c>
      <c r="E36" s="451"/>
      <c r="F36" s="94">
        <f t="shared" si="0"/>
        <v>0</v>
      </c>
      <c r="G36" s="264">
        <f t="shared" si="1"/>
        <v>0</v>
      </c>
    </row>
    <row r="37" spans="1:7">
      <c r="A37" s="60" t="s">
        <v>1247</v>
      </c>
      <c r="B37" s="74" t="s">
        <v>1379</v>
      </c>
      <c r="C37" s="451">
        <v>0</v>
      </c>
      <c r="D37" s="451">
        <f>SUMIF('Master '!D:D,A37,'Master '!AG:AG)</f>
        <v>2564130.4400000079</v>
      </c>
      <c r="E37" s="451"/>
      <c r="F37" s="94">
        <f t="shared" si="0"/>
        <v>0</v>
      </c>
      <c r="G37" s="264">
        <f t="shared" si="1"/>
        <v>0</v>
      </c>
    </row>
    <row r="38" spans="1:7">
      <c r="A38" s="60" t="s">
        <v>1249</v>
      </c>
      <c r="B38" s="74" t="s">
        <v>1379</v>
      </c>
      <c r="C38" s="451">
        <v>0</v>
      </c>
      <c r="D38" s="451">
        <f>SUMIF('Master '!D:D,A38,'Master '!AG:AG)</f>
        <v>58648.149999999994</v>
      </c>
      <c r="E38" s="451"/>
      <c r="F38" s="94">
        <f t="shared" si="0"/>
        <v>0</v>
      </c>
      <c r="G38" s="264">
        <f t="shared" si="1"/>
        <v>0</v>
      </c>
    </row>
    <row r="39" spans="1:7">
      <c r="A39" s="60" t="s">
        <v>1248</v>
      </c>
      <c r="B39" s="74" t="s">
        <v>1379</v>
      </c>
      <c r="C39" s="451">
        <v>0</v>
      </c>
      <c r="D39" s="451">
        <f>SUMIF('Master '!D:D,A39,'Master '!AG:AG)</f>
        <v>33814.720000000001</v>
      </c>
      <c r="E39" s="451"/>
      <c r="F39" s="94">
        <f t="shared" si="0"/>
        <v>0</v>
      </c>
      <c r="G39" s="264">
        <f t="shared" si="1"/>
        <v>0</v>
      </c>
    </row>
    <row r="40" spans="1:7">
      <c r="A40" s="60" t="s">
        <v>1305</v>
      </c>
      <c r="B40" s="74" t="s">
        <v>1379</v>
      </c>
      <c r="C40" s="451">
        <v>0</v>
      </c>
      <c r="D40" s="451">
        <f>SUMIF('Master '!D:D,A40,'Master '!AG:AG)</f>
        <v>7179.16</v>
      </c>
      <c r="E40" s="451"/>
      <c r="F40" s="94">
        <f t="shared" si="0"/>
        <v>0</v>
      </c>
      <c r="G40" s="264">
        <f t="shared" si="1"/>
        <v>0</v>
      </c>
    </row>
    <row r="41" spans="1:7">
      <c r="A41" s="60" t="s">
        <v>1250</v>
      </c>
      <c r="B41" s="74" t="s">
        <v>1379</v>
      </c>
      <c r="C41" s="451">
        <v>0</v>
      </c>
      <c r="D41" s="451">
        <f>SUMIF('Master '!D:D,A41,'Master '!AG:AG)</f>
        <v>452806.78</v>
      </c>
      <c r="E41" s="451"/>
      <c r="F41" s="94">
        <f t="shared" si="0"/>
        <v>0</v>
      </c>
      <c r="G41" s="264">
        <f t="shared" si="1"/>
        <v>0</v>
      </c>
    </row>
    <row r="42" spans="1:7">
      <c r="A42" s="60" t="s">
        <v>1252</v>
      </c>
      <c r="B42" s="74" t="s">
        <v>1379</v>
      </c>
      <c r="C42" s="451">
        <v>0</v>
      </c>
      <c r="D42" s="451">
        <f>SUMIF('Master '!D:D,A42,'Master '!AG:AG)</f>
        <v>68021.599999999991</v>
      </c>
      <c r="E42" s="451"/>
      <c r="F42" s="94">
        <f t="shared" si="0"/>
        <v>0</v>
      </c>
      <c r="G42" s="264">
        <f t="shared" si="1"/>
        <v>0</v>
      </c>
    </row>
    <row r="43" spans="1:7">
      <c r="A43" s="60" t="s">
        <v>1251</v>
      </c>
      <c r="B43" s="74" t="s">
        <v>1379</v>
      </c>
      <c r="C43" s="451">
        <v>0</v>
      </c>
      <c r="D43" s="451">
        <f>SUMIF('Master '!D:D,A43,'Master '!AG:AG)</f>
        <v>11015.56</v>
      </c>
      <c r="E43" s="451"/>
      <c r="F43" s="94">
        <f t="shared" si="0"/>
        <v>0</v>
      </c>
      <c r="G43" s="264">
        <f t="shared" si="1"/>
        <v>0</v>
      </c>
    </row>
    <row r="44" spans="1:7">
      <c r="A44" s="60" t="s">
        <v>1253</v>
      </c>
      <c r="B44" s="74" t="s">
        <v>1379</v>
      </c>
      <c r="C44" s="451">
        <v>0</v>
      </c>
      <c r="D44" s="451">
        <f>SUMIF('Master '!D:D,A44,'Master '!AG:AG)</f>
        <v>3281.4999999999995</v>
      </c>
      <c r="E44" s="451"/>
      <c r="F44" s="94">
        <f t="shared" si="0"/>
        <v>0</v>
      </c>
      <c r="G44" s="264">
        <f t="shared" si="1"/>
        <v>0</v>
      </c>
    </row>
    <row r="45" spans="1:7">
      <c r="A45" s="60" t="s">
        <v>1254</v>
      </c>
      <c r="B45" s="74" t="s">
        <v>1379</v>
      </c>
      <c r="C45" s="451">
        <v>0</v>
      </c>
      <c r="D45" s="451">
        <f>SUMIF('Master '!D:D,A45,'Master '!AG:AG)</f>
        <v>477588.38999999996</v>
      </c>
      <c r="E45" s="451"/>
      <c r="F45" s="94">
        <f t="shared" si="0"/>
        <v>0</v>
      </c>
      <c r="G45" s="264">
        <f t="shared" si="1"/>
        <v>0</v>
      </c>
    </row>
    <row r="46" spans="1:7">
      <c r="A46" s="60" t="s">
        <v>1256</v>
      </c>
      <c r="B46" s="74" t="s">
        <v>1379</v>
      </c>
      <c r="C46" s="451">
        <v>0</v>
      </c>
      <c r="D46" s="451">
        <f>SUMIF('Master '!D:D,A46,'Master '!AG:AG)</f>
        <v>397888.98</v>
      </c>
      <c r="E46" s="451"/>
      <c r="F46" s="94">
        <f t="shared" si="0"/>
        <v>0</v>
      </c>
      <c r="G46" s="264">
        <f t="shared" si="1"/>
        <v>0</v>
      </c>
    </row>
    <row r="47" spans="1:7">
      <c r="A47" s="60" t="s">
        <v>1255</v>
      </c>
      <c r="B47" s="74" t="s">
        <v>1379</v>
      </c>
      <c r="C47" s="451">
        <v>0</v>
      </c>
      <c r="D47" s="451">
        <f>SUMIF('Master '!D:D,A47,'Master '!AG:AG)</f>
        <v>9504.16</v>
      </c>
      <c r="E47" s="451"/>
      <c r="F47" s="94">
        <f t="shared" si="0"/>
        <v>0</v>
      </c>
      <c r="G47" s="264">
        <f t="shared" si="1"/>
        <v>0</v>
      </c>
    </row>
    <row r="48" spans="1:7">
      <c r="A48" s="60" t="s">
        <v>1257</v>
      </c>
      <c r="B48" s="74" t="s">
        <v>1379</v>
      </c>
      <c r="C48" s="451">
        <v>0</v>
      </c>
      <c r="D48" s="451">
        <f>SUMIF('Master '!D:D,A48,'Master '!AG:AG)</f>
        <v>17953.97</v>
      </c>
      <c r="E48" s="451"/>
      <c r="F48" s="94">
        <f t="shared" si="0"/>
        <v>0</v>
      </c>
      <c r="G48" s="264">
        <f t="shared" si="1"/>
        <v>0</v>
      </c>
    </row>
    <row r="49" spans="1:7">
      <c r="A49" s="60" t="s">
        <v>1291</v>
      </c>
      <c r="B49" s="74" t="s">
        <v>1379</v>
      </c>
      <c r="C49" s="451">
        <v>0</v>
      </c>
      <c r="D49" s="451">
        <f>SUMIF('Master '!D:D,A49,'Master '!AG:AG)</f>
        <v>34301.160000000003</v>
      </c>
      <c r="E49" s="451"/>
      <c r="F49" s="94">
        <f t="shared" si="0"/>
        <v>0</v>
      </c>
      <c r="G49" s="264">
        <f t="shared" si="1"/>
        <v>0</v>
      </c>
    </row>
    <row r="50" spans="1:7">
      <c r="A50" s="60" t="s">
        <v>1292</v>
      </c>
      <c r="B50" s="74" t="s">
        <v>1379</v>
      </c>
      <c r="C50" s="451">
        <v>0</v>
      </c>
      <c r="D50" s="451">
        <f>SUMIF('Master '!D:D,A50,'Master '!AG:AG)</f>
        <v>0</v>
      </c>
      <c r="E50" s="451"/>
      <c r="F50" s="94">
        <f t="shared" si="0"/>
        <v>0</v>
      </c>
      <c r="G50" s="264">
        <f t="shared" si="1"/>
        <v>0</v>
      </c>
    </row>
    <row r="51" spans="1:7">
      <c r="A51" s="60" t="s">
        <v>1299</v>
      </c>
      <c r="B51" s="74" t="s">
        <v>1379</v>
      </c>
      <c r="C51" s="451">
        <v>0</v>
      </c>
      <c r="D51" s="451">
        <f>SUMIF('Master '!D:D,A51,'Master '!AG:AG)</f>
        <v>1096930.3500000003</v>
      </c>
      <c r="E51" s="451"/>
      <c r="F51" s="94">
        <f t="shared" si="0"/>
        <v>0</v>
      </c>
      <c r="G51" s="264">
        <f t="shared" si="1"/>
        <v>0</v>
      </c>
    </row>
    <row r="52" spans="1:7">
      <c r="A52" s="60" t="s">
        <v>1300</v>
      </c>
      <c r="B52" s="74" t="s">
        <v>1379</v>
      </c>
      <c r="C52" s="451">
        <v>0</v>
      </c>
      <c r="D52" s="451">
        <f>SUMIF('Master '!D:D,A52,'Master '!AG:AG)</f>
        <v>59512.849999999991</v>
      </c>
      <c r="E52" s="451"/>
      <c r="F52" s="94">
        <f t="shared" si="0"/>
        <v>0</v>
      </c>
      <c r="G52" s="264">
        <f t="shared" si="1"/>
        <v>0</v>
      </c>
    </row>
    <row r="53" spans="1:7">
      <c r="A53" s="60" t="s">
        <v>1301</v>
      </c>
      <c r="B53" s="74" t="s">
        <v>1379</v>
      </c>
      <c r="C53" s="451">
        <v>0</v>
      </c>
      <c r="D53" s="451">
        <f>SUMIF('Master '!D:D,A53,'Master '!AG:AG)</f>
        <v>2376848.7600000002</v>
      </c>
      <c r="E53" s="451"/>
      <c r="F53" s="94">
        <f t="shared" si="0"/>
        <v>0</v>
      </c>
      <c r="G53" s="264">
        <f t="shared" si="1"/>
        <v>0</v>
      </c>
    </row>
    <row r="54" spans="1:7">
      <c r="A54" s="60" t="s">
        <v>1302</v>
      </c>
      <c r="B54" s="74" t="s">
        <v>1379</v>
      </c>
      <c r="C54" s="451">
        <v>0</v>
      </c>
      <c r="D54" s="451">
        <f>SUMIF('Master '!D:D,A54,'Master '!AG:AG)</f>
        <v>47542.520000000004</v>
      </c>
      <c r="E54" s="451"/>
      <c r="F54" s="94">
        <f t="shared" si="0"/>
        <v>0</v>
      </c>
      <c r="G54" s="264">
        <f t="shared" si="1"/>
        <v>0</v>
      </c>
    </row>
    <row r="55" spans="1:7" s="261" customFormat="1">
      <c r="A55" s="145" t="s">
        <v>65</v>
      </c>
      <c r="B55" s="74" t="s">
        <v>1379</v>
      </c>
      <c r="C55" s="451">
        <v>0</v>
      </c>
      <c r="D55" s="451">
        <f>SUMIF('Master '!D:D,A55,'Master '!AG:AG)</f>
        <v>3034325.4999999991</v>
      </c>
      <c r="E55" s="451"/>
      <c r="F55" s="94">
        <f t="shared" si="0"/>
        <v>0</v>
      </c>
      <c r="G55" s="264">
        <f t="shared" si="1"/>
        <v>0</v>
      </c>
    </row>
    <row r="56" spans="1:7" s="261" customFormat="1">
      <c r="A56" s="145" t="s">
        <v>67</v>
      </c>
      <c r="B56" s="74" t="s">
        <v>1102</v>
      </c>
      <c r="C56" s="451">
        <v>0</v>
      </c>
      <c r="D56" s="451">
        <f>SUMIF('Master '!D:D,A56,'Master '!AG:AG)</f>
        <v>1046613.74</v>
      </c>
      <c r="E56" s="451"/>
      <c r="F56" s="94">
        <f t="shared" si="0"/>
        <v>0</v>
      </c>
      <c r="G56" s="264">
        <f t="shared" si="1"/>
        <v>0</v>
      </c>
    </row>
    <row r="57" spans="1:7" s="261" customFormat="1">
      <c r="A57" s="145" t="s">
        <v>69</v>
      </c>
      <c r="B57" s="74" t="s">
        <v>1102</v>
      </c>
      <c r="C57" s="451">
        <v>0</v>
      </c>
      <c r="D57" s="451">
        <f>SUMIF('Master '!D:D,A57,'Master '!AG:AG)</f>
        <v>2481663.19</v>
      </c>
      <c r="E57" s="451"/>
      <c r="F57" s="94">
        <f t="shared" si="0"/>
        <v>0</v>
      </c>
      <c r="G57" s="264">
        <f t="shared" si="1"/>
        <v>0</v>
      </c>
    </row>
    <row r="58" spans="1:7" s="261" customFormat="1">
      <c r="A58" s="145" t="s">
        <v>71</v>
      </c>
      <c r="B58" s="74" t="s">
        <v>1102</v>
      </c>
      <c r="C58" s="451">
        <v>0</v>
      </c>
      <c r="D58" s="451">
        <f>SUMIF('Master '!D:D,A58,'Master '!AG:AG)</f>
        <v>4294439.17</v>
      </c>
      <c r="E58" s="451"/>
      <c r="F58" s="94">
        <f t="shared" si="0"/>
        <v>0</v>
      </c>
      <c r="G58" s="264">
        <f t="shared" si="1"/>
        <v>0</v>
      </c>
    </row>
    <row r="59" spans="1:7" s="261" customFormat="1">
      <c r="A59" s="145" t="s">
        <v>73</v>
      </c>
      <c r="B59" s="74" t="s">
        <v>1102</v>
      </c>
      <c r="C59" s="451">
        <v>0</v>
      </c>
      <c r="D59" s="451">
        <f>SUMIF('Master '!D:D,A59,'Master '!AG:AG)</f>
        <v>4981990.38</v>
      </c>
      <c r="E59" s="451"/>
      <c r="F59" s="94">
        <f t="shared" si="0"/>
        <v>0</v>
      </c>
      <c r="G59" s="264">
        <f t="shared" si="1"/>
        <v>0</v>
      </c>
    </row>
    <row r="60" spans="1:7" s="261" customFormat="1">
      <c r="A60" s="145" t="s">
        <v>75</v>
      </c>
      <c r="B60" s="74" t="s">
        <v>1102</v>
      </c>
      <c r="C60" s="451">
        <v>0</v>
      </c>
      <c r="D60" s="451">
        <f>SUMIF('Master '!D:D,A60,'Master '!AG:AG)</f>
        <v>3703322.77</v>
      </c>
      <c r="E60" s="451"/>
      <c r="F60" s="94">
        <f t="shared" si="0"/>
        <v>0</v>
      </c>
      <c r="G60" s="264">
        <f t="shared" si="1"/>
        <v>0</v>
      </c>
    </row>
    <row r="61" spans="1:7" s="261" customFormat="1">
      <c r="A61" s="145" t="s">
        <v>77</v>
      </c>
      <c r="B61" s="74" t="s">
        <v>1102</v>
      </c>
      <c r="C61" s="451">
        <v>0</v>
      </c>
      <c r="D61" s="451">
        <f>SUMIF('Master '!D:D,A61,'Master '!AG:AG)</f>
        <v>3630889.0000000005</v>
      </c>
      <c r="E61" s="94"/>
      <c r="F61" s="94">
        <f t="shared" si="0"/>
        <v>0</v>
      </c>
      <c r="G61" s="264">
        <f t="shared" si="1"/>
        <v>0</v>
      </c>
    </row>
    <row r="62" spans="1:7" s="261" customFormat="1">
      <c r="A62" s="145" t="s">
        <v>79</v>
      </c>
      <c r="B62" s="74" t="s">
        <v>1398</v>
      </c>
      <c r="C62" s="451">
        <v>0</v>
      </c>
      <c r="D62" s="451">
        <f>SUMIF('Master '!D:D,A62,'Master '!AG:AG)</f>
        <v>1227248.6200000001</v>
      </c>
      <c r="E62" s="94">
        <v>300000</v>
      </c>
      <c r="F62" s="94">
        <f t="shared" si="0"/>
        <v>1527248.62</v>
      </c>
      <c r="G62" s="264">
        <f t="shared" si="1"/>
        <v>1527248.62</v>
      </c>
    </row>
    <row r="63" spans="1:7">
      <c r="A63" s="145" t="s">
        <v>81</v>
      </c>
      <c r="B63" s="74" t="s">
        <v>1102</v>
      </c>
      <c r="C63" s="451">
        <v>0</v>
      </c>
      <c r="D63" s="451">
        <f>SUMIF('Master '!D:D,A63,'Master '!AG:AG)</f>
        <v>17027033.560000002</v>
      </c>
      <c r="E63" s="94"/>
      <c r="F63" s="94">
        <f t="shared" si="0"/>
        <v>0</v>
      </c>
      <c r="G63" s="264">
        <f t="shared" si="1"/>
        <v>0</v>
      </c>
    </row>
    <row r="64" spans="1:7">
      <c r="A64" s="145" t="s">
        <v>122</v>
      </c>
      <c r="B64" s="74" t="s">
        <v>1102</v>
      </c>
      <c r="C64" s="451">
        <v>0</v>
      </c>
      <c r="D64" s="451">
        <f>SUMIF('Master '!D:D,A64,'Master '!AG:AG)</f>
        <v>0</v>
      </c>
      <c r="E64" s="94"/>
      <c r="F64" s="94">
        <f t="shared" si="0"/>
        <v>0</v>
      </c>
      <c r="G64" s="264">
        <f t="shared" si="1"/>
        <v>0</v>
      </c>
    </row>
    <row r="65" spans="1:7">
      <c r="A65" s="145" t="s">
        <v>83</v>
      </c>
      <c r="B65" s="74" t="s">
        <v>1398</v>
      </c>
      <c r="C65" s="451">
        <v>0</v>
      </c>
      <c r="D65" s="451">
        <f>SUMIF('Master '!D:D,A65,'Master '!AG:AG)</f>
        <v>887806.67999999982</v>
      </c>
      <c r="E65" s="94">
        <f>D65-F65</f>
        <v>787675.67999999982</v>
      </c>
      <c r="F65" s="94">
        <v>100131</v>
      </c>
      <c r="G65" s="264">
        <f t="shared" si="1"/>
        <v>100131</v>
      </c>
    </row>
    <row r="66" spans="1:7">
      <c r="A66" s="11"/>
      <c r="B66" s="74"/>
      <c r="C66" s="451"/>
      <c r="D66" s="451"/>
      <c r="E66" s="451"/>
      <c r="F66" s="94"/>
      <c r="G66" s="261"/>
    </row>
    <row r="67" spans="1:7">
      <c r="A67" s="11"/>
      <c r="B67" s="74"/>
      <c r="C67" s="451"/>
      <c r="D67" s="451"/>
      <c r="E67" s="451"/>
      <c r="F67" s="94"/>
      <c r="G67" s="261"/>
    </row>
  </sheetData>
  <phoneticPr fontId="57" type="noConversion"/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EB5B5-852A-46D9-B102-389D1A550D0E}">
  <dimension ref="A1:T52"/>
  <sheetViews>
    <sheetView workbookViewId="0"/>
  </sheetViews>
  <sheetFormatPr defaultRowHeight="12.75"/>
  <cols>
    <col min="1" max="1" width="13" bestFit="1" customWidth="1"/>
    <col min="2" max="2" width="16.28515625" bestFit="1" customWidth="1"/>
    <col min="3" max="4" width="11.28515625" style="4" bestFit="1" customWidth="1"/>
    <col min="5" max="6" width="14.5703125" style="4" bestFit="1" customWidth="1"/>
    <col min="7" max="7" width="17.28515625" style="4" customWidth="1"/>
    <col min="8" max="10" width="14.5703125" style="4" bestFit="1" customWidth="1"/>
    <col min="11" max="11" width="15.140625" bestFit="1" customWidth="1"/>
    <col min="12" max="12" width="15" bestFit="1" customWidth="1"/>
    <col min="13" max="13" width="11.28515625" bestFit="1" customWidth="1"/>
    <col min="14" max="14" width="11" bestFit="1" customWidth="1"/>
    <col min="15" max="15" width="13.42578125" bestFit="1" customWidth="1"/>
    <col min="16" max="16" width="16" bestFit="1" customWidth="1"/>
    <col min="17" max="17" width="11.140625" bestFit="1" customWidth="1"/>
    <col min="19" max="20" width="10" bestFit="1" customWidth="1"/>
  </cols>
  <sheetData>
    <row r="1" spans="1:20" ht="15">
      <c r="C1" s="509"/>
      <c r="D1" s="509"/>
    </row>
    <row r="3" spans="1:20">
      <c r="C3" s="510" t="s">
        <v>1443</v>
      </c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</row>
    <row r="4" spans="1:20" ht="51">
      <c r="A4" s="168" t="s">
        <v>997</v>
      </c>
      <c r="B4" s="168" t="s">
        <v>1450</v>
      </c>
      <c r="C4" s="511" t="s">
        <v>1441</v>
      </c>
      <c r="D4" s="511" t="s">
        <v>1442</v>
      </c>
      <c r="E4" s="511" t="s">
        <v>1444</v>
      </c>
      <c r="F4" s="511" t="s">
        <v>1445</v>
      </c>
      <c r="G4" s="511" t="s">
        <v>1446</v>
      </c>
      <c r="H4" s="511" t="s">
        <v>1447</v>
      </c>
      <c r="I4" s="511" t="s">
        <v>1449</v>
      </c>
      <c r="J4" s="511" t="s">
        <v>1448</v>
      </c>
      <c r="K4" s="513" t="s">
        <v>1478</v>
      </c>
      <c r="L4" s="512" t="s">
        <v>1469</v>
      </c>
      <c r="M4" s="512" t="s">
        <v>1467</v>
      </c>
      <c r="N4" s="512" t="s">
        <v>1468</v>
      </c>
      <c r="O4" s="512" t="s">
        <v>1472</v>
      </c>
      <c r="P4" s="512" t="s">
        <v>1473</v>
      </c>
      <c r="Q4" s="512" t="s">
        <v>1475</v>
      </c>
      <c r="S4" s="8" t="s">
        <v>1479</v>
      </c>
      <c r="T4" s="8" t="s">
        <v>1480</v>
      </c>
    </row>
    <row r="5" spans="1:20">
      <c r="A5" t="s">
        <v>17</v>
      </c>
      <c r="B5" t="s">
        <v>116</v>
      </c>
      <c r="C5" s="197">
        <v>170325</v>
      </c>
      <c r="D5" s="197">
        <v>2663772.4700000081</v>
      </c>
      <c r="E5" s="197">
        <v>3261165</v>
      </c>
      <c r="F5" s="197">
        <v>1214608.7650290036</v>
      </c>
      <c r="G5" s="197">
        <v>0</v>
      </c>
      <c r="H5" s="197">
        <v>0</v>
      </c>
      <c r="I5" s="197">
        <v>0</v>
      </c>
      <c r="J5" s="197">
        <v>4475773.7650290038</v>
      </c>
      <c r="K5" s="197">
        <v>-23613.225028977631</v>
      </c>
      <c r="L5" s="197">
        <v>310444.87396638689</v>
      </c>
      <c r="M5" s="197">
        <v>339447.22943825007</v>
      </c>
      <c r="N5" s="197">
        <v>529620.03817052755</v>
      </c>
      <c r="O5" s="197">
        <v>5844.7907891897394</v>
      </c>
      <c r="P5" s="197">
        <v>12416.654909210927</v>
      </c>
      <c r="Q5" s="197">
        <v>1361.1137111477017</v>
      </c>
      <c r="S5" s="197">
        <f>E5+G5+I5</f>
        <v>3261165</v>
      </c>
      <c r="T5" s="197">
        <f>F5+K5</f>
        <v>1190995.5400000259</v>
      </c>
    </row>
    <row r="6" spans="1:20">
      <c r="A6" t="s">
        <v>17</v>
      </c>
      <c r="B6" t="s">
        <v>147</v>
      </c>
      <c r="C6" s="197">
        <v>36</v>
      </c>
      <c r="D6" s="197">
        <v>3630889.0000000005</v>
      </c>
      <c r="E6" s="197">
        <v>108000</v>
      </c>
      <c r="F6" s="197">
        <v>302017.34702000004</v>
      </c>
      <c r="G6" s="197">
        <v>0</v>
      </c>
      <c r="H6" s="197">
        <v>0</v>
      </c>
      <c r="I6" s="197">
        <v>0</v>
      </c>
      <c r="J6" s="197">
        <v>410017.34702000004</v>
      </c>
      <c r="K6" s="197">
        <v>-7.0200000773184001E-3</v>
      </c>
      <c r="L6" s="197">
        <v>395314.42284635245</v>
      </c>
      <c r="M6" s="197">
        <v>34022.560953443557</v>
      </c>
      <c r="N6" s="197">
        <v>638829.28339606035</v>
      </c>
      <c r="O6" s="197">
        <v>535.43046165448447</v>
      </c>
      <c r="P6" s="197">
        <v>6437.0096375869734</v>
      </c>
      <c r="Q6" s="197">
        <v>627.73717985748169</v>
      </c>
      <c r="S6" s="197">
        <f t="shared" ref="S6:S52" si="0">E6+G6+I6</f>
        <v>108000</v>
      </c>
      <c r="T6" s="197">
        <f t="shared" ref="T6:T52" si="1">F6+K6</f>
        <v>302017.33999999997</v>
      </c>
    </row>
    <row r="7" spans="1:20">
      <c r="A7" t="s">
        <v>17</v>
      </c>
      <c r="B7" t="s">
        <v>148</v>
      </c>
      <c r="C7" s="197">
        <v>12</v>
      </c>
      <c r="D7" s="197">
        <v>1227248.6200000001</v>
      </c>
      <c r="E7" s="197">
        <v>66000</v>
      </c>
      <c r="F7" s="197">
        <v>85625.13621740001</v>
      </c>
      <c r="G7" s="197">
        <v>0</v>
      </c>
      <c r="H7" s="197">
        <v>0</v>
      </c>
      <c r="I7" s="197">
        <v>0</v>
      </c>
      <c r="J7" s="197">
        <v>151625.13621740002</v>
      </c>
      <c r="K7" s="197">
        <v>3.782599960686639E-3</v>
      </c>
      <c r="L7" s="197">
        <v>177923.71645695751</v>
      </c>
      <c r="M7" s="197">
        <v>9054.7866124380525</v>
      </c>
      <c r="N7" s="197">
        <v>223498.18649493193</v>
      </c>
      <c r="O7" s="197">
        <v>198.00312663197275</v>
      </c>
      <c r="P7" s="197">
        <v>2837.9407572305108</v>
      </c>
      <c r="Q7" s="197">
        <v>286.46174003484776</v>
      </c>
      <c r="S7" s="197">
        <f t="shared" si="0"/>
        <v>66000</v>
      </c>
      <c r="T7" s="197">
        <f t="shared" si="1"/>
        <v>85625.13999999997</v>
      </c>
    </row>
    <row r="8" spans="1:20">
      <c r="A8" t="s">
        <v>17</v>
      </c>
      <c r="B8" t="s">
        <v>149</v>
      </c>
      <c r="C8" s="197">
        <v>60</v>
      </c>
      <c r="D8" s="197">
        <v>17027033.560000002</v>
      </c>
      <c r="E8" s="197">
        <v>540000</v>
      </c>
      <c r="F8" s="197">
        <v>1042565.2648788001</v>
      </c>
      <c r="G8" s="197">
        <v>0</v>
      </c>
      <c r="H8" s="197">
        <v>0</v>
      </c>
      <c r="I8" s="197">
        <v>0</v>
      </c>
      <c r="J8" s="197">
        <v>1582565.2648788001</v>
      </c>
      <c r="K8" s="197">
        <v>-1.4878800371661782E-2</v>
      </c>
      <c r="L8" s="197">
        <v>571535.51378729695</v>
      </c>
      <c r="M8" s="197">
        <v>110968.10262694309</v>
      </c>
      <c r="N8" s="197">
        <v>2706406.6453061886</v>
      </c>
      <c r="O8" s="197">
        <v>2066.6287817599941</v>
      </c>
      <c r="P8" s="197">
        <v>33751.899097827765</v>
      </c>
      <c r="Q8" s="197">
        <v>2973.542310518626</v>
      </c>
      <c r="S8" s="197">
        <f t="shared" si="0"/>
        <v>540000</v>
      </c>
      <c r="T8" s="197">
        <f t="shared" si="1"/>
        <v>1042565.2499999998</v>
      </c>
    </row>
    <row r="9" spans="1:20">
      <c r="A9" t="s">
        <v>17</v>
      </c>
      <c r="B9" t="s">
        <v>975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S9" s="197">
        <f t="shared" si="0"/>
        <v>0</v>
      </c>
      <c r="T9" s="197">
        <f t="shared" si="1"/>
        <v>0</v>
      </c>
    </row>
    <row r="10" spans="1:20">
      <c r="A10" t="s">
        <v>17</v>
      </c>
      <c r="B10" t="s">
        <v>117</v>
      </c>
      <c r="C10" s="197">
        <v>10280</v>
      </c>
      <c r="D10" s="197">
        <v>535125.44000000006</v>
      </c>
      <c r="E10" s="197">
        <v>353762</v>
      </c>
      <c r="F10" s="197">
        <v>166456.750248</v>
      </c>
      <c r="G10" s="197">
        <v>0</v>
      </c>
      <c r="H10" s="197">
        <v>0</v>
      </c>
      <c r="I10" s="197">
        <v>0</v>
      </c>
      <c r="J10" s="197">
        <v>520218.75024799997</v>
      </c>
      <c r="K10" s="197">
        <v>-3267.5402479998615</v>
      </c>
      <c r="L10" s="197">
        <v>74914.077704286072</v>
      </c>
      <c r="M10" s="197">
        <v>35401.77252134811</v>
      </c>
      <c r="N10" s="197">
        <v>127104.71572468862</v>
      </c>
      <c r="O10" s="197">
        <v>679.33946607634311</v>
      </c>
      <c r="P10" s="197">
        <v>2066.1666253718722</v>
      </c>
      <c r="Q10" s="197">
        <v>272.61002455156483</v>
      </c>
      <c r="S10" s="197">
        <f t="shared" si="0"/>
        <v>353762</v>
      </c>
      <c r="T10" s="197">
        <f t="shared" si="1"/>
        <v>163189.21000000014</v>
      </c>
    </row>
    <row r="11" spans="1:20">
      <c r="A11" t="s">
        <v>17</v>
      </c>
      <c r="B11" t="s">
        <v>118</v>
      </c>
      <c r="C11" s="197">
        <v>8611</v>
      </c>
      <c r="D11" s="197">
        <v>902935.49999999988</v>
      </c>
      <c r="E11" s="197">
        <v>354169</v>
      </c>
      <c r="F11" s="197">
        <v>269883.40884990001</v>
      </c>
      <c r="G11" s="197">
        <v>0</v>
      </c>
      <c r="H11" s="197">
        <v>0</v>
      </c>
      <c r="I11" s="197">
        <v>0</v>
      </c>
      <c r="J11" s="197">
        <v>624052.40884989989</v>
      </c>
      <c r="K11" s="197">
        <v>-2590.5988499000505</v>
      </c>
      <c r="L11" s="197">
        <v>132603.59272884883</v>
      </c>
      <c r="M11" s="197">
        <v>43447.674370186702</v>
      </c>
      <c r="N11" s="197">
        <v>203653.64238639316</v>
      </c>
      <c r="O11" s="197">
        <v>814.93300660470913</v>
      </c>
      <c r="P11" s="197">
        <v>2567.2804524531521</v>
      </c>
      <c r="Q11" s="197">
        <v>319.42103389422118</v>
      </c>
      <c r="S11" s="197">
        <f t="shared" si="0"/>
        <v>354169</v>
      </c>
      <c r="T11" s="197">
        <f t="shared" si="1"/>
        <v>267292.80999999994</v>
      </c>
    </row>
    <row r="12" spans="1:20">
      <c r="A12" t="s">
        <v>17</v>
      </c>
      <c r="B12" t="s">
        <v>119</v>
      </c>
      <c r="C12" s="197">
        <v>3861</v>
      </c>
      <c r="D12" s="197">
        <v>1190744.3600000003</v>
      </c>
      <c r="E12" s="197">
        <v>427950</v>
      </c>
      <c r="F12" s="197">
        <v>272649.4185402001</v>
      </c>
      <c r="G12" s="197">
        <v>0</v>
      </c>
      <c r="H12" s="197">
        <v>0</v>
      </c>
      <c r="I12" s="197">
        <v>0</v>
      </c>
      <c r="J12" s="197">
        <v>700599.4185402001</v>
      </c>
      <c r="K12" s="197">
        <v>-1454.5885402000313</v>
      </c>
      <c r="L12" s="197">
        <v>72762.19434408829</v>
      </c>
      <c r="M12" s="197">
        <v>51873.894150002976</v>
      </c>
      <c r="N12" s="197">
        <v>213530.95408638282</v>
      </c>
      <c r="O12" s="197">
        <v>914.89365713481573</v>
      </c>
      <c r="P12" s="197">
        <v>3617.7442842498672</v>
      </c>
      <c r="Q12" s="197">
        <v>364.01742988122163</v>
      </c>
      <c r="S12" s="197">
        <f t="shared" si="0"/>
        <v>427950</v>
      </c>
      <c r="T12" s="197">
        <f t="shared" si="1"/>
        <v>271194.83000000007</v>
      </c>
    </row>
    <row r="13" spans="1:20">
      <c r="A13" t="s">
        <v>17</v>
      </c>
      <c r="B13" t="s">
        <v>120</v>
      </c>
      <c r="C13" s="197">
        <v>4081</v>
      </c>
      <c r="D13" s="197">
        <v>2424391.2800000003</v>
      </c>
      <c r="E13" s="197">
        <v>557303</v>
      </c>
      <c r="F13" s="197">
        <v>484473.08275080007</v>
      </c>
      <c r="G13" s="197">
        <v>0</v>
      </c>
      <c r="H13" s="197">
        <v>0</v>
      </c>
      <c r="I13" s="197">
        <v>0</v>
      </c>
      <c r="J13" s="197">
        <v>1041776.0827508001</v>
      </c>
      <c r="K13" s="197">
        <v>-489.42275079975298</v>
      </c>
      <c r="L13" s="197">
        <v>182656.93603130803</v>
      </c>
      <c r="M13" s="197">
        <v>76958.732933738997</v>
      </c>
      <c r="N13" s="197">
        <v>473747.0979756515</v>
      </c>
      <c r="O13" s="197">
        <v>1360.4269501813362</v>
      </c>
      <c r="P13" s="197">
        <v>6537.8400822610365</v>
      </c>
      <c r="Q13" s="197">
        <v>707.00202649570849</v>
      </c>
      <c r="S13" s="197">
        <f t="shared" si="0"/>
        <v>557303</v>
      </c>
      <c r="T13" s="197">
        <f t="shared" si="1"/>
        <v>483983.66000000032</v>
      </c>
    </row>
    <row r="14" spans="1:20">
      <c r="A14" t="s">
        <v>17</v>
      </c>
      <c r="B14" t="s">
        <v>121</v>
      </c>
      <c r="C14" s="197">
        <v>2556</v>
      </c>
      <c r="D14" s="197">
        <v>3034325.4999999991</v>
      </c>
      <c r="E14" s="197">
        <v>536760</v>
      </c>
      <c r="F14" s="197">
        <v>573487.51949999982</v>
      </c>
      <c r="G14" s="197">
        <v>0</v>
      </c>
      <c r="H14" s="197">
        <v>0</v>
      </c>
      <c r="I14" s="197">
        <v>0</v>
      </c>
      <c r="J14" s="197">
        <v>1110247.5194999999</v>
      </c>
      <c r="K14" s="197">
        <v>574.05049999989569</v>
      </c>
      <c r="L14" s="197">
        <v>242028.23857430575</v>
      </c>
      <c r="M14" s="197">
        <v>80528.586181716935</v>
      </c>
      <c r="N14" s="197">
        <v>580072.4869264845</v>
      </c>
      <c r="O14" s="197">
        <v>1449.8419304382121</v>
      </c>
      <c r="P14" s="197">
        <v>7671.1213250699057</v>
      </c>
      <c r="Q14" s="197">
        <v>812.83201560440716</v>
      </c>
      <c r="S14" s="197">
        <f t="shared" si="0"/>
        <v>536760</v>
      </c>
      <c r="T14" s="197">
        <f t="shared" si="1"/>
        <v>574061.56999999972</v>
      </c>
    </row>
    <row r="15" spans="1:20">
      <c r="A15" t="s">
        <v>17</v>
      </c>
      <c r="B15" t="s">
        <v>142</v>
      </c>
      <c r="C15" s="197">
        <v>432</v>
      </c>
      <c r="D15" s="197">
        <v>1046613.74</v>
      </c>
      <c r="E15" s="197">
        <v>164160</v>
      </c>
      <c r="F15" s="197">
        <v>173528.55809199999</v>
      </c>
      <c r="G15" s="197">
        <v>0</v>
      </c>
      <c r="H15" s="197">
        <v>0</v>
      </c>
      <c r="I15" s="197">
        <v>0</v>
      </c>
      <c r="J15" s="197">
        <v>337688.55809199996</v>
      </c>
      <c r="K15" s="197">
        <v>1583.2819080000627</v>
      </c>
      <c r="L15" s="197">
        <v>98943.296556484129</v>
      </c>
      <c r="M15" s="197">
        <v>23941.470199461015</v>
      </c>
      <c r="N15" s="197">
        <v>187675.36673930363</v>
      </c>
      <c r="O15" s="197">
        <v>440.97827047746136</v>
      </c>
      <c r="P15" s="197">
        <v>2659.7000631933738</v>
      </c>
      <c r="Q15" s="197">
        <v>264.34758928078946</v>
      </c>
      <c r="S15" s="197">
        <f t="shared" si="0"/>
        <v>164160</v>
      </c>
      <c r="T15" s="197">
        <f t="shared" si="1"/>
        <v>175111.84000000005</v>
      </c>
    </row>
    <row r="16" spans="1:20">
      <c r="A16" t="s">
        <v>17</v>
      </c>
      <c r="B16" t="s">
        <v>143</v>
      </c>
      <c r="C16" s="197">
        <v>360</v>
      </c>
      <c r="D16" s="197">
        <v>2481663.19</v>
      </c>
      <c r="E16" s="197">
        <v>216000</v>
      </c>
      <c r="F16" s="197">
        <v>375649.35707030003</v>
      </c>
      <c r="G16" s="197">
        <v>0</v>
      </c>
      <c r="H16" s="197">
        <v>0</v>
      </c>
      <c r="I16" s="197">
        <v>0</v>
      </c>
      <c r="J16" s="197">
        <v>591649.35707030003</v>
      </c>
      <c r="K16" s="197">
        <v>17141.322929699905</v>
      </c>
      <c r="L16" s="197">
        <v>159961.97228538059</v>
      </c>
      <c r="M16" s="197">
        <v>47899.176651203852</v>
      </c>
      <c r="N16" s="197">
        <v>455391.21042597573</v>
      </c>
      <c r="O16" s="197">
        <v>772.61874575827937</v>
      </c>
      <c r="P16" s="197">
        <v>5104.173520237031</v>
      </c>
      <c r="Q16" s="197">
        <v>519.14548874330842</v>
      </c>
      <c r="S16" s="197">
        <f t="shared" si="0"/>
        <v>216000</v>
      </c>
      <c r="T16" s="197">
        <f t="shared" si="1"/>
        <v>392790.67999999993</v>
      </c>
    </row>
    <row r="17" spans="1:20">
      <c r="A17" t="s">
        <v>17</v>
      </c>
      <c r="B17" t="s">
        <v>144</v>
      </c>
      <c r="C17" s="197">
        <v>312</v>
      </c>
      <c r="D17" s="197">
        <v>4294439.17</v>
      </c>
      <c r="E17" s="197">
        <v>218400</v>
      </c>
      <c r="F17" s="197">
        <v>528216.01790999994</v>
      </c>
      <c r="G17" s="197">
        <v>0</v>
      </c>
      <c r="H17" s="197">
        <v>0</v>
      </c>
      <c r="I17" s="197">
        <v>0</v>
      </c>
      <c r="J17" s="197">
        <v>746616.01790999994</v>
      </c>
      <c r="K17" s="197">
        <v>210.10209000005852</v>
      </c>
      <c r="L17" s="197">
        <v>342221.92806812417</v>
      </c>
      <c r="M17" s="197">
        <v>55674.253634120279</v>
      </c>
      <c r="N17" s="197">
        <v>776340.65142042981</v>
      </c>
      <c r="O17" s="197">
        <v>974.98547818437635</v>
      </c>
      <c r="P17" s="197">
        <v>7926.7112047510273</v>
      </c>
      <c r="Q17" s="197">
        <v>794.25646271605297</v>
      </c>
      <c r="S17" s="197">
        <f t="shared" si="0"/>
        <v>218400</v>
      </c>
      <c r="T17" s="197">
        <f t="shared" si="1"/>
        <v>528426.12</v>
      </c>
    </row>
    <row r="18" spans="1:20">
      <c r="A18" t="s">
        <v>17</v>
      </c>
      <c r="B18" t="s">
        <v>145</v>
      </c>
      <c r="C18" s="197">
        <v>204</v>
      </c>
      <c r="D18" s="197">
        <v>4981990.38</v>
      </c>
      <c r="E18" s="197">
        <v>244800</v>
      </c>
      <c r="F18" s="197">
        <v>549214.61949119996</v>
      </c>
      <c r="G18" s="197">
        <v>0</v>
      </c>
      <c r="H18" s="197">
        <v>0</v>
      </c>
      <c r="I18" s="197">
        <v>0</v>
      </c>
      <c r="J18" s="197">
        <v>794014.61949119996</v>
      </c>
      <c r="K18" s="197">
        <v>-2.9491199995391071E-2</v>
      </c>
      <c r="L18" s="197">
        <v>425958.30509198422</v>
      </c>
      <c r="M18" s="197">
        <v>58602.876131847894</v>
      </c>
      <c r="N18" s="197">
        <v>1016315.2153362839</v>
      </c>
      <c r="O18" s="197">
        <v>1036.882018198721</v>
      </c>
      <c r="P18" s="197">
        <v>9405.6786846763516</v>
      </c>
      <c r="Q18" s="197">
        <v>1063.5000888763552</v>
      </c>
      <c r="S18" s="197">
        <f t="shared" si="0"/>
        <v>244800</v>
      </c>
      <c r="T18" s="197">
        <f t="shared" si="1"/>
        <v>549214.59</v>
      </c>
    </row>
    <row r="19" spans="1:20">
      <c r="A19" t="s">
        <v>17</v>
      </c>
      <c r="B19" t="s">
        <v>146</v>
      </c>
      <c r="C19" s="197">
        <v>85</v>
      </c>
      <c r="D19" s="197">
        <v>3703322.77</v>
      </c>
      <c r="E19" s="197">
        <v>170000</v>
      </c>
      <c r="F19" s="197">
        <v>338224.46858409996</v>
      </c>
      <c r="G19" s="197">
        <v>0</v>
      </c>
      <c r="H19" s="197">
        <v>0</v>
      </c>
      <c r="I19" s="197">
        <v>0</v>
      </c>
      <c r="J19" s="197">
        <v>508224.46858409996</v>
      </c>
      <c r="K19" s="197">
        <v>1800.0414159000502</v>
      </c>
      <c r="L19" s="197">
        <v>671944.73991634091</v>
      </c>
      <c r="M19" s="197">
        <v>36369.619092526555</v>
      </c>
      <c r="N19" s="197">
        <v>654713.7680252695</v>
      </c>
      <c r="O19" s="197">
        <v>663.67646104694234</v>
      </c>
      <c r="P19" s="197">
        <v>7266.7958069302786</v>
      </c>
      <c r="Q19" s="197">
        <v>712.07332112109793</v>
      </c>
      <c r="S19" s="197">
        <f t="shared" si="0"/>
        <v>170000</v>
      </c>
      <c r="T19" s="197">
        <f t="shared" si="1"/>
        <v>340024.51</v>
      </c>
    </row>
    <row r="20" spans="1:20">
      <c r="A20" t="s">
        <v>17</v>
      </c>
      <c r="B20" t="s">
        <v>114</v>
      </c>
      <c r="C20" s="197">
        <v>13931</v>
      </c>
      <c r="D20" s="197">
        <v>94435.439999999944</v>
      </c>
      <c r="E20" s="197">
        <v>182567</v>
      </c>
      <c r="F20" s="197">
        <v>42569.568610399976</v>
      </c>
      <c r="G20" s="197">
        <v>0</v>
      </c>
      <c r="H20" s="197">
        <v>0</v>
      </c>
      <c r="I20" s="197">
        <v>0</v>
      </c>
      <c r="J20" s="197">
        <v>225136.56861039999</v>
      </c>
      <c r="K20" s="197">
        <v>-1066.1586103999457</v>
      </c>
      <c r="L20" s="197">
        <v>70615.731978779964</v>
      </c>
      <c r="M20" s="197">
        <v>17883.272225362991</v>
      </c>
      <c r="N20" s="197">
        <v>16686.159930284328</v>
      </c>
      <c r="O20" s="197">
        <v>293.99969962854516</v>
      </c>
      <c r="P20" s="197">
        <v>616.66715489028002</v>
      </c>
      <c r="Q20" s="197">
        <v>59.977047484628635</v>
      </c>
      <c r="S20" s="197">
        <f t="shared" si="0"/>
        <v>182567</v>
      </c>
      <c r="T20" s="197">
        <f t="shared" si="1"/>
        <v>41503.410000000033</v>
      </c>
    </row>
    <row r="21" spans="1:20">
      <c r="A21" t="s">
        <v>17</v>
      </c>
      <c r="B21" t="s">
        <v>115</v>
      </c>
      <c r="C21" s="197">
        <v>27661</v>
      </c>
      <c r="D21" s="197">
        <v>296174.6699999994</v>
      </c>
      <c r="E21" s="197">
        <v>434385.5</v>
      </c>
      <c r="F21" s="197">
        <v>141953.67027219973</v>
      </c>
      <c r="G21" s="197">
        <v>0</v>
      </c>
      <c r="H21" s="197">
        <v>0</v>
      </c>
      <c r="I21" s="197">
        <v>0</v>
      </c>
      <c r="J21" s="197">
        <v>576339.17027219967</v>
      </c>
      <c r="K21" s="197">
        <v>-3113.8702721994609</v>
      </c>
      <c r="L21" s="197">
        <v>64674.790654957447</v>
      </c>
      <c r="M21" s="197">
        <v>42419.82227740893</v>
      </c>
      <c r="N21" s="197">
        <v>53734.577655143687</v>
      </c>
      <c r="O21" s="197">
        <v>752.62559072495503</v>
      </c>
      <c r="P21" s="197">
        <v>1481.2304030271403</v>
      </c>
      <c r="Q21" s="197">
        <v>147.1602405407464</v>
      </c>
      <c r="S21" s="197">
        <f t="shared" si="0"/>
        <v>434385.5</v>
      </c>
      <c r="T21" s="197">
        <f t="shared" si="1"/>
        <v>138839.80000000028</v>
      </c>
    </row>
    <row r="22" spans="1:20">
      <c r="A22" t="s">
        <v>17</v>
      </c>
      <c r="B22" t="s">
        <v>110</v>
      </c>
      <c r="C22" s="197">
        <v>12</v>
      </c>
      <c r="D22" s="197">
        <v>887806.67999999982</v>
      </c>
      <c r="E22" s="197">
        <v>1200</v>
      </c>
      <c r="F22" s="197">
        <v>151912.60101479999</v>
      </c>
      <c r="G22" s="197">
        <v>0</v>
      </c>
      <c r="H22" s="197">
        <v>0</v>
      </c>
      <c r="I22" s="197">
        <v>0</v>
      </c>
      <c r="J22" s="197">
        <v>153112.60101479999</v>
      </c>
      <c r="K22" s="197">
        <v>0.19898520002607256</v>
      </c>
      <c r="L22" s="197">
        <v>128708.31900811807</v>
      </c>
      <c r="M22" s="197">
        <v>0</v>
      </c>
      <c r="N22" s="197">
        <v>0</v>
      </c>
      <c r="O22" s="197">
        <v>199.94556630911111</v>
      </c>
      <c r="P22" s="197">
        <v>1168.5206376547899</v>
      </c>
      <c r="Q22" s="197">
        <v>0</v>
      </c>
      <c r="S22" s="197">
        <f t="shared" si="0"/>
        <v>1200</v>
      </c>
      <c r="T22" s="197">
        <f t="shared" si="1"/>
        <v>151912.80000000002</v>
      </c>
    </row>
    <row r="23" spans="1:20">
      <c r="A23" t="s">
        <v>1269</v>
      </c>
      <c r="C23" s="197">
        <v>242819</v>
      </c>
      <c r="D23" s="197">
        <v>50422911.770000018</v>
      </c>
      <c r="E23" s="197">
        <v>7836621.5</v>
      </c>
      <c r="F23" s="197">
        <v>6713035.5540791033</v>
      </c>
      <c r="G23" s="197">
        <v>0</v>
      </c>
      <c r="H23" s="197">
        <v>0</v>
      </c>
      <c r="I23" s="197">
        <v>0</v>
      </c>
      <c r="J23" s="197">
        <v>14549657.054079104</v>
      </c>
      <c r="K23" s="197">
        <v>-14286.454079077223</v>
      </c>
      <c r="L23" s="197">
        <v>4123212.65</v>
      </c>
      <c r="M23" s="197">
        <v>1064493.83</v>
      </c>
      <c r="N23" s="197">
        <v>8857320.0000000019</v>
      </c>
      <c r="O23" s="197">
        <v>18999.999999999996</v>
      </c>
      <c r="P23" s="197">
        <v>113533.13464662229</v>
      </c>
      <c r="Q23" s="197">
        <v>11285.197710748758</v>
      </c>
      <c r="S23" s="197">
        <f t="shared" si="0"/>
        <v>7836621.5</v>
      </c>
      <c r="T23" s="197">
        <f t="shared" si="1"/>
        <v>6698749.1000000257</v>
      </c>
    </row>
    <row r="24" spans="1:20">
      <c r="A24" t="s">
        <v>15</v>
      </c>
      <c r="B24" t="s">
        <v>473</v>
      </c>
      <c r="C24" s="197">
        <v>3236</v>
      </c>
      <c r="D24" s="197">
        <v>50076.090000000004</v>
      </c>
      <c r="E24" s="197">
        <v>115881.16</v>
      </c>
      <c r="F24" s="197">
        <v>19597.778582400002</v>
      </c>
      <c r="G24" s="197">
        <v>0</v>
      </c>
      <c r="H24" s="197">
        <v>0</v>
      </c>
      <c r="I24" s="197">
        <v>0</v>
      </c>
      <c r="J24" s="197">
        <v>135478.93858240001</v>
      </c>
      <c r="K24" s="197">
        <v>-8022.8485824000381</v>
      </c>
      <c r="L24" s="197">
        <v>9097.4303329278937</v>
      </c>
      <c r="M24" s="197">
        <v>2404.3439977708531</v>
      </c>
      <c r="N24" s="197">
        <v>50124.609643053911</v>
      </c>
      <c r="O24" s="197">
        <v>193.01946143980055</v>
      </c>
      <c r="P24" s="197">
        <v>493.2018127550096</v>
      </c>
      <c r="Q24" s="197">
        <v>491.16488926833142</v>
      </c>
      <c r="S24" s="197">
        <f t="shared" si="0"/>
        <v>115881.16</v>
      </c>
      <c r="T24" s="197">
        <f t="shared" si="1"/>
        <v>11574.929999999964</v>
      </c>
    </row>
    <row r="25" spans="1:20">
      <c r="A25" t="s">
        <v>15</v>
      </c>
      <c r="B25" t="s">
        <v>139</v>
      </c>
      <c r="C25" s="197">
        <v>346</v>
      </c>
      <c r="D25" s="197">
        <v>99722.64</v>
      </c>
      <c r="E25" s="197">
        <v>0</v>
      </c>
      <c r="F25" s="197">
        <v>24142.851144</v>
      </c>
      <c r="G25" s="197">
        <v>0</v>
      </c>
      <c r="H25" s="197">
        <v>0</v>
      </c>
      <c r="I25" s="197">
        <v>0</v>
      </c>
      <c r="J25" s="197">
        <v>24142.851144</v>
      </c>
      <c r="K25" s="197">
        <v>5440.0588560000033</v>
      </c>
      <c r="L25" s="197">
        <v>95532.342986685981</v>
      </c>
      <c r="M25" s="197">
        <v>0</v>
      </c>
      <c r="N25" s="197">
        <v>99819.26309691499</v>
      </c>
      <c r="O25" s="197">
        <v>34.396786498307691</v>
      </c>
      <c r="P25" s="197">
        <v>142.07677198805325</v>
      </c>
      <c r="Q25" s="197">
        <v>141.4899949197426</v>
      </c>
      <c r="S25" s="197">
        <f t="shared" si="0"/>
        <v>0</v>
      </c>
      <c r="T25" s="197">
        <f t="shared" si="1"/>
        <v>29582.910000000003</v>
      </c>
    </row>
    <row r="26" spans="1:20">
      <c r="A26" t="s">
        <v>15</v>
      </c>
      <c r="B26" t="s">
        <v>140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S26" s="197">
        <f t="shared" si="0"/>
        <v>0</v>
      </c>
      <c r="T26" s="197">
        <f t="shared" si="1"/>
        <v>0</v>
      </c>
    </row>
    <row r="27" spans="1:20">
      <c r="A27" t="s">
        <v>15</v>
      </c>
      <c r="B27" t="s">
        <v>100</v>
      </c>
      <c r="C27" s="197">
        <v>10542</v>
      </c>
      <c r="D27" s="197">
        <v>984167.33999999985</v>
      </c>
      <c r="E27" s="197">
        <v>210840</v>
      </c>
      <c r="F27" s="197">
        <v>385163.73018239992</v>
      </c>
      <c r="G27" s="197">
        <v>0</v>
      </c>
      <c r="H27" s="197">
        <v>0</v>
      </c>
      <c r="I27" s="197">
        <v>0</v>
      </c>
      <c r="J27" s="197">
        <v>596003.73018239997</v>
      </c>
      <c r="K27" s="197">
        <v>-3741.5701824001735</v>
      </c>
      <c r="L27" s="197">
        <v>178795.78480654056</v>
      </c>
      <c r="M27" s="197">
        <v>47253.62616632221</v>
      </c>
      <c r="N27" s="197">
        <v>985120.91780613689</v>
      </c>
      <c r="O27" s="197">
        <v>849.13803001158055</v>
      </c>
      <c r="P27" s="197">
        <v>2169.7108289339244</v>
      </c>
      <c r="Q27" s="197">
        <v>2160.7499232104274</v>
      </c>
      <c r="S27" s="197">
        <f t="shared" si="0"/>
        <v>210840</v>
      </c>
      <c r="T27" s="197">
        <f t="shared" si="1"/>
        <v>381422.15999999974</v>
      </c>
    </row>
    <row r="28" spans="1:20">
      <c r="A28" t="s">
        <v>15</v>
      </c>
      <c r="B28" t="s">
        <v>133</v>
      </c>
      <c r="C28" s="197">
        <v>26215</v>
      </c>
      <c r="D28" s="197">
        <v>6615291.8699999936</v>
      </c>
      <c r="E28" s="197">
        <v>865095</v>
      </c>
      <c r="F28" s="197">
        <v>2588960.6262431974</v>
      </c>
      <c r="G28" s="197">
        <v>0</v>
      </c>
      <c r="H28" s="197">
        <v>0</v>
      </c>
      <c r="I28" s="197">
        <v>0</v>
      </c>
      <c r="J28" s="197">
        <v>3454055.6262431974</v>
      </c>
      <c r="K28" s="197">
        <v>-676.73624320048839</v>
      </c>
      <c r="L28" s="197">
        <v>1201814.2175099778</v>
      </c>
      <c r="M28" s="197">
        <v>234599.89319464678</v>
      </c>
      <c r="N28" s="197">
        <v>6621701.5477569802</v>
      </c>
      <c r="O28" s="197">
        <v>4921.0597878656954</v>
      </c>
      <c r="P28" s="197">
        <v>12574.25334184816</v>
      </c>
      <c r="Q28" s="197">
        <v>12522.321675546327</v>
      </c>
      <c r="S28" s="197">
        <f t="shared" si="0"/>
        <v>865095</v>
      </c>
      <c r="T28" s="197">
        <f t="shared" si="1"/>
        <v>2588283.8899999969</v>
      </c>
    </row>
    <row r="29" spans="1:20">
      <c r="A29" t="s">
        <v>15</v>
      </c>
      <c r="B29" t="s">
        <v>134</v>
      </c>
      <c r="C29" s="197">
        <v>2619.5</v>
      </c>
      <c r="D29" s="197">
        <v>705334.12000000011</v>
      </c>
      <c r="E29" s="197">
        <v>52390</v>
      </c>
      <c r="F29" s="197">
        <v>276039.56120320002</v>
      </c>
      <c r="G29" s="197">
        <v>0</v>
      </c>
      <c r="H29" s="197">
        <v>0</v>
      </c>
      <c r="I29" s="197">
        <v>3465</v>
      </c>
      <c r="J29" s="197">
        <v>331894.56120320002</v>
      </c>
      <c r="K29" s="197">
        <v>3095.8487968000118</v>
      </c>
      <c r="L29" s="197">
        <v>128139.55758400873</v>
      </c>
      <c r="M29" s="197">
        <v>33865.780212572245</v>
      </c>
      <c r="N29" s="197">
        <v>82237.675215472336</v>
      </c>
      <c r="O29" s="197">
        <v>472.85659401056796</v>
      </c>
      <c r="P29" s="197">
        <v>1208.2394573041904</v>
      </c>
      <c r="Q29" s="197">
        <v>140.15577704728611</v>
      </c>
      <c r="S29" s="197">
        <f t="shared" si="0"/>
        <v>55855</v>
      </c>
      <c r="T29" s="197">
        <f t="shared" si="1"/>
        <v>279135.41000000003</v>
      </c>
    </row>
    <row r="30" spans="1:20">
      <c r="A30" t="s">
        <v>15</v>
      </c>
      <c r="B30" t="s">
        <v>135</v>
      </c>
      <c r="C30" s="197">
        <v>10084</v>
      </c>
      <c r="D30" s="197">
        <v>5703960.7700000023</v>
      </c>
      <c r="E30" s="197">
        <v>332772</v>
      </c>
      <c r="F30" s="197">
        <v>2232302.0869472008</v>
      </c>
      <c r="G30" s="197">
        <v>0</v>
      </c>
      <c r="H30" s="197">
        <v>0</v>
      </c>
      <c r="I30" s="197">
        <v>68174</v>
      </c>
      <c r="J30" s="197">
        <v>2633248.0869472008</v>
      </c>
      <c r="K30" s="197">
        <v>59638.383052798454</v>
      </c>
      <c r="L30" s="197">
        <v>1036250.7481480435</v>
      </c>
      <c r="M30" s="197">
        <v>202281.11075444613</v>
      </c>
      <c r="N30" s="197">
        <v>626634.97991274041</v>
      </c>
      <c r="O30" s="197">
        <v>3751.6394274878285</v>
      </c>
      <c r="P30" s="197">
        <v>9586.1596164345574</v>
      </c>
      <c r="Q30" s="197">
        <v>1047.7672460762972</v>
      </c>
      <c r="S30" s="197">
        <f t="shared" si="0"/>
        <v>400946</v>
      </c>
      <c r="T30" s="197">
        <f t="shared" si="1"/>
        <v>2291940.4699999993</v>
      </c>
    </row>
    <row r="31" spans="1:20">
      <c r="A31" t="s">
        <v>15</v>
      </c>
      <c r="B31" t="s">
        <v>137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S31" s="197">
        <f t="shared" si="0"/>
        <v>0</v>
      </c>
      <c r="T31" s="197">
        <f t="shared" si="1"/>
        <v>0</v>
      </c>
    </row>
    <row r="32" spans="1:20">
      <c r="A32" t="s">
        <v>15</v>
      </c>
      <c r="B32" t="s">
        <v>138</v>
      </c>
      <c r="C32" s="197">
        <v>216</v>
      </c>
      <c r="D32" s="197">
        <v>9545720.379999999</v>
      </c>
      <c r="E32" s="197">
        <v>60480</v>
      </c>
      <c r="F32" s="197">
        <v>2203152.263704</v>
      </c>
      <c r="G32" s="197">
        <v>59438.99</v>
      </c>
      <c r="H32" s="197">
        <v>0</v>
      </c>
      <c r="I32" s="197">
        <v>6930</v>
      </c>
      <c r="J32" s="197">
        <v>2330001.2537040003</v>
      </c>
      <c r="K32" s="197">
        <v>4122.4662959994748</v>
      </c>
      <c r="L32" s="197">
        <v>698525.13188783766</v>
      </c>
      <c r="M32" s="197">
        <v>0</v>
      </c>
      <c r="N32" s="197">
        <v>0</v>
      </c>
      <c r="O32" s="197">
        <v>3319.597805015806</v>
      </c>
      <c r="P32" s="197">
        <v>14383.006087590147</v>
      </c>
      <c r="Q32" s="197">
        <v>0</v>
      </c>
      <c r="S32" s="197">
        <f t="shared" si="0"/>
        <v>126848.98999999999</v>
      </c>
      <c r="T32" s="197">
        <f t="shared" si="1"/>
        <v>2207274.7299999995</v>
      </c>
    </row>
    <row r="33" spans="1:20">
      <c r="A33" t="s">
        <v>15</v>
      </c>
      <c r="B33" t="s">
        <v>101</v>
      </c>
      <c r="C33" s="197">
        <v>7901</v>
      </c>
      <c r="D33" s="197">
        <v>8202818.1799999988</v>
      </c>
      <c r="E33" s="197">
        <v>711090</v>
      </c>
      <c r="F33" s="197">
        <v>2901008.6775387996</v>
      </c>
      <c r="G33" s="197">
        <v>298823.74</v>
      </c>
      <c r="H33" s="197">
        <v>0</v>
      </c>
      <c r="I33" s="197">
        <v>0</v>
      </c>
      <c r="J33" s="197">
        <v>3910922.4175387993</v>
      </c>
      <c r="K33" s="197">
        <v>-4274.2975387936458</v>
      </c>
      <c r="L33" s="197">
        <v>1003393.343334464</v>
      </c>
      <c r="M33" s="197">
        <v>243030.3897959294</v>
      </c>
      <c r="N33" s="197">
        <v>8210766.0411475003</v>
      </c>
      <c r="O33" s="197">
        <v>5571.9667327261477</v>
      </c>
      <c r="P33" s="197">
        <v>15755.151085014273</v>
      </c>
      <c r="Q33" s="197">
        <v>15690.082311033164</v>
      </c>
      <c r="S33" s="197">
        <f t="shared" si="0"/>
        <v>1009913.74</v>
      </c>
      <c r="T33" s="197">
        <f t="shared" si="1"/>
        <v>2896734.3800000059</v>
      </c>
    </row>
    <row r="34" spans="1:20">
      <c r="A34" t="s">
        <v>15</v>
      </c>
      <c r="B34" t="s">
        <v>102</v>
      </c>
      <c r="C34" s="197">
        <v>15269</v>
      </c>
      <c r="D34" s="197">
        <v>32542765.020000007</v>
      </c>
      <c r="E34" s="197">
        <v>1374210</v>
      </c>
      <c r="F34" s="197">
        <v>11509074.276973201</v>
      </c>
      <c r="G34" s="197">
        <v>429251.16</v>
      </c>
      <c r="H34" s="197">
        <v>0</v>
      </c>
      <c r="I34" s="197">
        <v>78933</v>
      </c>
      <c r="J34" s="197">
        <v>13391468.436973201</v>
      </c>
      <c r="K34" s="197">
        <v>2624.4930267706513</v>
      </c>
      <c r="L34" s="197">
        <v>3980728.705456404</v>
      </c>
      <c r="M34" s="197">
        <v>964166.30166584277</v>
      </c>
      <c r="N34" s="197">
        <v>3441027.414249043</v>
      </c>
      <c r="O34" s="197">
        <v>19079.083823944624</v>
      </c>
      <c r="P34" s="197">
        <v>53947.531029646059</v>
      </c>
      <c r="Q34" s="197">
        <v>5675.2802643187651</v>
      </c>
      <c r="S34" s="197">
        <f t="shared" si="0"/>
        <v>1882394.16</v>
      </c>
      <c r="T34" s="197">
        <f t="shared" si="1"/>
        <v>11511698.769999972</v>
      </c>
    </row>
    <row r="35" spans="1:20">
      <c r="A35" t="s">
        <v>15</v>
      </c>
      <c r="B35" t="s">
        <v>1440</v>
      </c>
      <c r="C35" s="197">
        <v>24</v>
      </c>
      <c r="D35" s="197">
        <v>1091313.93</v>
      </c>
      <c r="E35" s="197">
        <v>2400</v>
      </c>
      <c r="F35" s="197">
        <v>186734.7265623</v>
      </c>
      <c r="G35" s="197">
        <v>0</v>
      </c>
      <c r="H35" s="197">
        <v>0</v>
      </c>
      <c r="I35" s="197">
        <v>6898.5</v>
      </c>
      <c r="J35" s="197">
        <v>196033.2265623</v>
      </c>
      <c r="K35" s="197">
        <v>-6255.8365622999845</v>
      </c>
      <c r="L35" s="197">
        <v>198261.33489113761</v>
      </c>
      <c r="M35" s="197">
        <v>13936.488252688376</v>
      </c>
      <c r="N35" s="197">
        <v>0</v>
      </c>
      <c r="O35" s="197">
        <v>279.29232551779893</v>
      </c>
      <c r="P35" s="197">
        <v>1632.2384753538595</v>
      </c>
      <c r="Q35" s="197">
        <v>0</v>
      </c>
      <c r="S35" s="197">
        <f t="shared" si="0"/>
        <v>9298.5</v>
      </c>
      <c r="T35" s="197">
        <f t="shared" si="1"/>
        <v>180478.89</v>
      </c>
    </row>
    <row r="36" spans="1:20">
      <c r="A36" t="s">
        <v>15</v>
      </c>
      <c r="B36" t="s">
        <v>112</v>
      </c>
      <c r="C36" s="197">
        <v>732742</v>
      </c>
      <c r="D36" s="197">
        <v>16009999.460000172</v>
      </c>
      <c r="E36" s="197">
        <v>8060162</v>
      </c>
      <c r="F36" s="197">
        <v>7977462.5309288856</v>
      </c>
      <c r="G36" s="197">
        <v>0</v>
      </c>
      <c r="H36" s="197">
        <v>0</v>
      </c>
      <c r="I36" s="197">
        <v>0</v>
      </c>
      <c r="J36" s="197">
        <v>16037624.530928886</v>
      </c>
      <c r="K36" s="197">
        <v>-52138.350929003209</v>
      </c>
      <c r="L36" s="197">
        <v>4295172.6389573198</v>
      </c>
      <c r="M36" s="197">
        <v>1222562.727108659</v>
      </c>
      <c r="N36" s="197">
        <v>16025511.84243843</v>
      </c>
      <c r="O36" s="197">
        <v>22849.113538418082</v>
      </c>
      <c r="P36" s="197">
        <v>45855.971619206233</v>
      </c>
      <c r="Q36" s="197">
        <v>45666.586456418911</v>
      </c>
      <c r="S36" s="197">
        <f t="shared" si="0"/>
        <v>8060162</v>
      </c>
      <c r="T36" s="197">
        <f t="shared" si="1"/>
        <v>7925324.1799998824</v>
      </c>
    </row>
    <row r="37" spans="1:20">
      <c r="A37" t="s">
        <v>15</v>
      </c>
      <c r="B37" t="s">
        <v>763</v>
      </c>
      <c r="C37" s="197">
        <v>8628</v>
      </c>
      <c r="D37" s="197">
        <v>76940.160000000018</v>
      </c>
      <c r="E37" s="197">
        <v>183345</v>
      </c>
      <c r="F37" s="197">
        <v>38337.742924800012</v>
      </c>
      <c r="G37" s="197">
        <v>0</v>
      </c>
      <c r="H37" s="197">
        <v>0</v>
      </c>
      <c r="I37" s="197">
        <v>0</v>
      </c>
      <c r="J37" s="197">
        <v>221682.74292480003</v>
      </c>
      <c r="K37" s="197">
        <v>-13667.582924800052</v>
      </c>
      <c r="L37" s="197">
        <v>20641.554104649229</v>
      </c>
      <c r="M37" s="197">
        <v>5875.338851121709</v>
      </c>
      <c r="N37" s="197">
        <v>77014.708733731255</v>
      </c>
      <c r="O37" s="197">
        <v>315.83568706377042</v>
      </c>
      <c r="P37" s="197">
        <v>633.85182440348888</v>
      </c>
      <c r="Q37" s="197">
        <v>631.23401636870244</v>
      </c>
      <c r="S37" s="197">
        <f t="shared" si="0"/>
        <v>183345</v>
      </c>
      <c r="T37" s="197">
        <f t="shared" si="1"/>
        <v>24670.15999999996</v>
      </c>
    </row>
    <row r="38" spans="1:20">
      <c r="A38" t="s">
        <v>1268</v>
      </c>
      <c r="C38" s="197">
        <v>817822.5</v>
      </c>
      <c r="D38" s="197">
        <v>81628109.960000172</v>
      </c>
      <c r="E38" s="197">
        <v>11968665.16</v>
      </c>
      <c r="F38" s="197">
        <v>30341976.852934379</v>
      </c>
      <c r="G38" s="197">
        <v>787513.8899999999</v>
      </c>
      <c r="H38" s="197">
        <v>0</v>
      </c>
      <c r="I38" s="197">
        <v>164400.5</v>
      </c>
      <c r="J38" s="197">
        <v>43262556.402934387</v>
      </c>
      <c r="K38" s="197">
        <v>-13855.972934528996</v>
      </c>
      <c r="L38" s="197">
        <v>12846352.789999995</v>
      </c>
      <c r="M38" s="197">
        <v>2969975.9999999995</v>
      </c>
      <c r="N38" s="197">
        <v>36219959</v>
      </c>
      <c r="O38" s="197">
        <v>61637.000000000007</v>
      </c>
      <c r="P38" s="197">
        <v>158381.39195047793</v>
      </c>
      <c r="Q38" s="197">
        <v>84166.832554207955</v>
      </c>
      <c r="S38" s="197">
        <f t="shared" si="0"/>
        <v>12920579.550000001</v>
      </c>
      <c r="T38" s="197">
        <f t="shared" si="1"/>
        <v>30328120.87999985</v>
      </c>
    </row>
    <row r="39" spans="1:20">
      <c r="A39" t="s">
        <v>996</v>
      </c>
      <c r="B39" t="s">
        <v>101</v>
      </c>
      <c r="C39" s="197">
        <v>24</v>
      </c>
      <c r="D39" s="197">
        <v>27325.26</v>
      </c>
      <c r="E39" s="197">
        <v>4200</v>
      </c>
      <c r="F39" s="197">
        <v>5956.9066800000001</v>
      </c>
      <c r="G39" s="197">
        <v>0</v>
      </c>
      <c r="H39" s="197">
        <v>0</v>
      </c>
      <c r="I39" s="197">
        <v>0</v>
      </c>
      <c r="J39" s="197">
        <v>10156.90668</v>
      </c>
      <c r="K39" s="197"/>
      <c r="L39" s="197">
        <v>0</v>
      </c>
      <c r="M39" s="197">
        <v>919.55096419928509</v>
      </c>
      <c r="N39" s="197">
        <v>0</v>
      </c>
      <c r="O39" s="197">
        <v>17.884926091579807</v>
      </c>
      <c r="P39" s="197">
        <v>82.040945374219305</v>
      </c>
      <c r="Q39" s="197">
        <v>0</v>
      </c>
      <c r="S39" s="197">
        <f t="shared" si="0"/>
        <v>4200</v>
      </c>
      <c r="T39" s="197">
        <f t="shared" si="1"/>
        <v>5956.9066800000001</v>
      </c>
    </row>
    <row r="40" spans="1:20">
      <c r="A40" t="s">
        <v>996</v>
      </c>
      <c r="B40" t="s">
        <v>102</v>
      </c>
      <c r="C40" s="197">
        <v>24</v>
      </c>
      <c r="D40" s="197">
        <v>141838.77999999997</v>
      </c>
      <c r="E40" s="197">
        <v>4200</v>
      </c>
      <c r="F40" s="197">
        <v>30920.854039999995</v>
      </c>
      <c r="G40" s="197">
        <v>0</v>
      </c>
      <c r="H40" s="197">
        <v>0</v>
      </c>
      <c r="I40" s="197">
        <v>492</v>
      </c>
      <c r="J40" s="197">
        <v>35612.854039999991</v>
      </c>
      <c r="K40" s="197"/>
      <c r="L40" s="197">
        <v>0</v>
      </c>
      <c r="M40" s="197">
        <v>4773.1654487404785</v>
      </c>
      <c r="N40" s="197">
        <v>18917</v>
      </c>
      <c r="O40" s="197">
        <v>62.70937426941282</v>
      </c>
      <c r="P40" s="197">
        <v>287.65768013492118</v>
      </c>
      <c r="Q40" s="197">
        <v>30.261587950193707</v>
      </c>
      <c r="S40" s="197">
        <f t="shared" si="0"/>
        <v>4692</v>
      </c>
      <c r="T40" s="197">
        <f t="shared" si="1"/>
        <v>30920.854039999995</v>
      </c>
    </row>
    <row r="41" spans="1:20">
      <c r="A41" t="s">
        <v>996</v>
      </c>
      <c r="B41" t="s">
        <v>112</v>
      </c>
      <c r="C41" s="197">
        <v>6631</v>
      </c>
      <c r="D41" s="197">
        <v>67421.709999999992</v>
      </c>
      <c r="E41" s="197">
        <v>56363.5</v>
      </c>
      <c r="F41" s="197">
        <v>37553.892469999999</v>
      </c>
      <c r="G41" s="197">
        <v>0</v>
      </c>
      <c r="H41" s="197">
        <v>0</v>
      </c>
      <c r="I41" s="197">
        <v>0</v>
      </c>
      <c r="J41" s="197">
        <v>93917.392469999992</v>
      </c>
      <c r="K41" s="197">
        <v>-134.95247000006202</v>
      </c>
      <c r="L41" s="197">
        <v>21475.365170119228</v>
      </c>
      <c r="M41" s="197">
        <v>5847.8146646702698</v>
      </c>
      <c r="N41" s="197">
        <v>0</v>
      </c>
      <c r="O41" s="197">
        <v>165.37570699033375</v>
      </c>
      <c r="P41" s="197">
        <v>296.90432134709829</v>
      </c>
      <c r="Q41" s="197">
        <v>0</v>
      </c>
      <c r="S41" s="197">
        <f t="shared" si="0"/>
        <v>56363.5</v>
      </c>
      <c r="T41" s="197">
        <f t="shared" si="1"/>
        <v>37418.939999999937</v>
      </c>
    </row>
    <row r="42" spans="1:20">
      <c r="A42" t="s">
        <v>996</v>
      </c>
      <c r="B42" t="s">
        <v>1451</v>
      </c>
      <c r="C42" s="197">
        <v>276</v>
      </c>
      <c r="D42" s="197">
        <v>44446.350000000006</v>
      </c>
      <c r="E42" s="197">
        <v>4830</v>
      </c>
      <c r="F42" s="197">
        <v>24756.616950000007</v>
      </c>
      <c r="G42" s="197">
        <v>0</v>
      </c>
      <c r="H42" s="197">
        <v>0</v>
      </c>
      <c r="I42" s="197">
        <v>0</v>
      </c>
      <c r="J42" s="197">
        <v>29586.616950000007</v>
      </c>
      <c r="K42" s="197">
        <v>-356.85768999998982</v>
      </c>
      <c r="L42" s="197">
        <v>1699.1557853012323</v>
      </c>
      <c r="M42" s="197">
        <v>2423.908922389965</v>
      </c>
      <c r="N42" s="197">
        <v>0</v>
      </c>
      <c r="O42" s="197">
        <v>52.097993426738114</v>
      </c>
      <c r="P42" s="197">
        <v>93.533201843335917</v>
      </c>
      <c r="Q42" s="197">
        <v>0</v>
      </c>
      <c r="S42" s="197">
        <f t="shared" si="0"/>
        <v>4830</v>
      </c>
      <c r="T42" s="197">
        <f t="shared" si="1"/>
        <v>24399.759260000017</v>
      </c>
    </row>
    <row r="43" spans="1:20">
      <c r="A43" t="s">
        <v>996</v>
      </c>
      <c r="B43" t="s">
        <v>1452</v>
      </c>
      <c r="C43" s="197">
        <v>108</v>
      </c>
      <c r="D43" s="197">
        <v>34583.86</v>
      </c>
      <c r="E43" s="197">
        <v>1890</v>
      </c>
      <c r="F43" s="197">
        <v>19263.210020000002</v>
      </c>
      <c r="G43" s="197">
        <v>0</v>
      </c>
      <c r="H43" s="197">
        <v>0</v>
      </c>
      <c r="I43" s="197">
        <v>468</v>
      </c>
      <c r="J43" s="197">
        <v>21621.210020000002</v>
      </c>
      <c r="K43" s="197"/>
      <c r="L43" s="197">
        <v>1322.119044579541</v>
      </c>
      <c r="M43" s="197">
        <v>0</v>
      </c>
      <c r="N43" s="197">
        <v>0</v>
      </c>
      <c r="O43" s="197">
        <v>38.071999221934846</v>
      </c>
      <c r="P43" s="197">
        <v>68.351883701857886</v>
      </c>
      <c r="Q43" s="197">
        <v>0</v>
      </c>
      <c r="S43" s="197">
        <f t="shared" si="0"/>
        <v>2358</v>
      </c>
      <c r="T43" s="197">
        <f t="shared" si="1"/>
        <v>19263.210020000002</v>
      </c>
    </row>
    <row r="44" spans="1:20">
      <c r="A44" t="s">
        <v>996</v>
      </c>
      <c r="B44" t="s">
        <v>1453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S44" s="197">
        <f t="shared" si="0"/>
        <v>0</v>
      </c>
      <c r="T44" s="197">
        <f t="shared" si="1"/>
        <v>0</v>
      </c>
    </row>
    <row r="45" spans="1:20">
      <c r="A45" t="s">
        <v>1267</v>
      </c>
      <c r="C45" s="197">
        <v>7063</v>
      </c>
      <c r="D45" s="197">
        <v>315615.95999999996</v>
      </c>
      <c r="E45" s="197">
        <v>71483.5</v>
      </c>
      <c r="F45" s="197">
        <v>118451.48015999999</v>
      </c>
      <c r="G45" s="197">
        <v>0</v>
      </c>
      <c r="H45" s="197">
        <v>0</v>
      </c>
      <c r="I45" s="197">
        <v>960</v>
      </c>
      <c r="J45" s="197">
        <v>190894.98015999998</v>
      </c>
      <c r="K45" s="197">
        <v>-491.81016000005184</v>
      </c>
      <c r="L45" s="197">
        <v>24496.639999999999</v>
      </c>
      <c r="M45" s="197">
        <v>13964.439999999999</v>
      </c>
      <c r="N45" s="197">
        <v>18917</v>
      </c>
      <c r="O45" s="197">
        <v>336.13999999999936</v>
      </c>
      <c r="P45" s="197">
        <v>828.48803240143263</v>
      </c>
      <c r="Q45" s="197">
        <v>30.261587950193707</v>
      </c>
      <c r="S45" s="197">
        <f t="shared" si="0"/>
        <v>72443.5</v>
      </c>
      <c r="T45" s="197">
        <f t="shared" si="1"/>
        <v>117959.66999999994</v>
      </c>
    </row>
    <row r="46" spans="1:20">
      <c r="A46" t="s">
        <v>12</v>
      </c>
      <c r="B46" t="s">
        <v>917</v>
      </c>
      <c r="C46" s="197">
        <v>8098</v>
      </c>
      <c r="D46" s="197">
        <v>115897.47999999994</v>
      </c>
      <c r="E46" s="197">
        <v>72882</v>
      </c>
      <c r="F46" s="197">
        <v>43849.811557999979</v>
      </c>
      <c r="G46" s="197">
        <v>0</v>
      </c>
      <c r="H46" s="197">
        <v>0</v>
      </c>
      <c r="I46" s="197">
        <v>0</v>
      </c>
      <c r="J46" s="197">
        <v>116731.81155799999</v>
      </c>
      <c r="K46" s="197">
        <v>-220.31155799998669</v>
      </c>
      <c r="L46" s="197">
        <v>0</v>
      </c>
      <c r="M46" s="197">
        <v>8562.2868149517162</v>
      </c>
      <c r="N46" s="197">
        <v>12204.202789897321</v>
      </c>
      <c r="O46" s="197">
        <v>0</v>
      </c>
      <c r="P46" s="197">
        <v>0</v>
      </c>
      <c r="Q46" s="197">
        <v>0</v>
      </c>
      <c r="S46" s="197">
        <f t="shared" si="0"/>
        <v>72882</v>
      </c>
      <c r="T46" s="197">
        <f t="shared" si="1"/>
        <v>43629.499999999993</v>
      </c>
    </row>
    <row r="47" spans="1:20">
      <c r="A47" t="s">
        <v>12</v>
      </c>
      <c r="B47" t="s">
        <v>929</v>
      </c>
      <c r="C47" s="197">
        <v>261</v>
      </c>
      <c r="D47" s="197">
        <v>80956.95</v>
      </c>
      <c r="E47" s="197">
        <v>6525</v>
      </c>
      <c r="F47" s="197">
        <v>4664.7394589999994</v>
      </c>
      <c r="G47" s="197">
        <v>0</v>
      </c>
      <c r="H47" s="197">
        <v>0</v>
      </c>
      <c r="I47" s="197">
        <v>0</v>
      </c>
      <c r="J47" s="197">
        <v>11189.739459</v>
      </c>
      <c r="K47" s="197">
        <v>-448.66945900000064</v>
      </c>
      <c r="L47" s="197">
        <v>0</v>
      </c>
      <c r="M47" s="197">
        <v>829.01796913291685</v>
      </c>
      <c r="N47" s="197">
        <v>7950.1015668463879</v>
      </c>
      <c r="O47" s="197">
        <v>0</v>
      </c>
      <c r="P47" s="197">
        <v>0</v>
      </c>
      <c r="Q47" s="197">
        <v>0</v>
      </c>
      <c r="S47" s="197">
        <f t="shared" si="0"/>
        <v>6525</v>
      </c>
      <c r="T47" s="197">
        <f t="shared" si="1"/>
        <v>4216.0699999999988</v>
      </c>
    </row>
    <row r="48" spans="1:20">
      <c r="A48" t="s">
        <v>12</v>
      </c>
      <c r="B48" t="s">
        <v>934</v>
      </c>
      <c r="C48" s="197">
        <v>12</v>
      </c>
      <c r="D48" s="197">
        <v>7985.92</v>
      </c>
      <c r="E48" s="197">
        <v>720</v>
      </c>
      <c r="F48" s="197">
        <v>382.12627199999997</v>
      </c>
      <c r="G48" s="197">
        <v>0</v>
      </c>
      <c r="H48" s="197">
        <v>0</v>
      </c>
      <c r="I48" s="197">
        <v>0</v>
      </c>
      <c r="J48" s="197">
        <v>1102.126272</v>
      </c>
      <c r="K48" s="197">
        <v>3.7279999999100255E-3</v>
      </c>
      <c r="L48" s="197">
        <v>0</v>
      </c>
      <c r="M48" s="197">
        <v>138.3252159153659</v>
      </c>
      <c r="N48" s="197">
        <v>746.69564325629221</v>
      </c>
      <c r="O48" s="197">
        <v>0</v>
      </c>
      <c r="P48" s="197">
        <v>0</v>
      </c>
      <c r="Q48" s="197">
        <v>0</v>
      </c>
      <c r="S48" s="197">
        <f t="shared" si="0"/>
        <v>720</v>
      </c>
      <c r="T48" s="197">
        <f t="shared" si="1"/>
        <v>382.12999999999988</v>
      </c>
    </row>
    <row r="49" spans="1:20">
      <c r="A49" t="s">
        <v>12</v>
      </c>
      <c r="B49" t="s">
        <v>939</v>
      </c>
      <c r="C49" s="197"/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-5701.67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S49" s="197">
        <f t="shared" si="0"/>
        <v>0</v>
      </c>
      <c r="T49" s="197">
        <f t="shared" si="1"/>
        <v>-5701.67</v>
      </c>
    </row>
    <row r="50" spans="1:20">
      <c r="A50" t="s">
        <v>1266</v>
      </c>
      <c r="C50" s="197">
        <v>8371</v>
      </c>
      <c r="D50" s="197">
        <v>204840.34999999995</v>
      </c>
      <c r="E50" s="197">
        <v>80127</v>
      </c>
      <c r="F50" s="197">
        <v>48896.677288999977</v>
      </c>
      <c r="G50" s="197">
        <v>0</v>
      </c>
      <c r="H50" s="197">
        <v>0</v>
      </c>
      <c r="I50" s="197">
        <v>0</v>
      </c>
      <c r="J50" s="197">
        <v>129023.67728899998</v>
      </c>
      <c r="K50" s="197">
        <v>-6370.6472889999877</v>
      </c>
      <c r="L50" s="197">
        <v>0</v>
      </c>
      <c r="M50" s="197">
        <v>9529.6299999999992</v>
      </c>
      <c r="N50" s="197">
        <v>20901</v>
      </c>
      <c r="O50" s="197">
        <v>0</v>
      </c>
      <c r="P50" s="197">
        <v>0</v>
      </c>
      <c r="Q50" s="197">
        <v>0</v>
      </c>
      <c r="S50" s="197">
        <f t="shared" si="0"/>
        <v>80127</v>
      </c>
      <c r="T50" s="197">
        <f t="shared" si="1"/>
        <v>42526.029999999992</v>
      </c>
    </row>
    <row r="51" spans="1:20">
      <c r="S51" s="197">
        <f t="shared" si="0"/>
        <v>0</v>
      </c>
      <c r="T51" s="197">
        <f t="shared" si="1"/>
        <v>0</v>
      </c>
    </row>
    <row r="52" spans="1:20">
      <c r="S52" s="197">
        <f t="shared" si="0"/>
        <v>0</v>
      </c>
      <c r="T52" s="197">
        <f t="shared" si="1"/>
        <v>0</v>
      </c>
    </row>
  </sheetData>
  <pageMargins left="0.7" right="0.7" top="0.75" bottom="0.75" header="0.3" footer="0.3"/>
  <pageSetup orientation="portrait" horizontalDpi="1200" verticalDpi="12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04D6-F3F0-4215-9A65-CC1183658678}">
  <dimension ref="A1:CU224"/>
  <sheetViews>
    <sheetView workbookViewId="0"/>
  </sheetViews>
  <sheetFormatPr defaultRowHeight="12.75"/>
  <cols>
    <col min="1" max="1" width="11.42578125" customWidth="1"/>
    <col min="2" max="3" width="14.140625" customWidth="1"/>
    <col min="4" max="4" width="35.7109375" customWidth="1"/>
    <col min="5" max="5" width="6.42578125" customWidth="1"/>
    <col min="6" max="6" width="9.85546875" style="255" bestFit="1" customWidth="1"/>
    <col min="7" max="7" width="19.42578125" bestFit="1" customWidth="1"/>
    <col min="8" max="8" width="13.42578125" bestFit="1" customWidth="1"/>
    <col min="9" max="9" width="11.5703125" customWidth="1"/>
    <col min="10" max="10" width="22.85546875" bestFit="1" customWidth="1"/>
    <col min="11" max="12" width="11.85546875" customWidth="1"/>
    <col min="13" max="13" width="13.28515625" bestFit="1" customWidth="1"/>
    <col min="14" max="25" width="7.140625" bestFit="1" customWidth="1"/>
    <col min="26" max="37" width="7.5703125" bestFit="1" customWidth="1"/>
    <col min="38" max="49" width="7.5703125" style="261" bestFit="1" customWidth="1"/>
    <col min="50" max="50" width="7.5703125" bestFit="1" customWidth="1"/>
    <col min="51" max="61" width="9.140625" customWidth="1"/>
    <col min="62" max="85" width="9.140625" style="496"/>
    <col min="87" max="92" width="12.42578125" customWidth="1"/>
    <col min="94" max="97" width="15.140625" customWidth="1"/>
  </cols>
  <sheetData>
    <row r="1" spans="1:99" ht="21" customHeight="1">
      <c r="A1" s="20" t="s">
        <v>997</v>
      </c>
      <c r="B1" s="20" t="s">
        <v>992</v>
      </c>
      <c r="C1" s="21" t="s">
        <v>1244</v>
      </c>
      <c r="D1" s="20" t="s">
        <v>1001</v>
      </c>
      <c r="E1" s="20" t="s">
        <v>11</v>
      </c>
      <c r="F1" s="21" t="s">
        <v>1285</v>
      </c>
      <c r="G1" s="20" t="s">
        <v>104</v>
      </c>
      <c r="H1" s="20" t="s">
        <v>1101</v>
      </c>
      <c r="I1" s="20" t="s">
        <v>1000</v>
      </c>
      <c r="J1" s="21" t="str">
        <f>'Master '!AD1</f>
        <v>Billing Det Fcst Calc Method</v>
      </c>
      <c r="K1" s="15" t="str">
        <f>'Master '!N1</f>
        <v>Customer Growth Rate (Modeled)</v>
      </c>
      <c r="L1" s="17" t="str">
        <f>'Master '!S1</f>
        <v>BP to TY UPC Modeled</v>
      </c>
      <c r="M1" s="23" t="str">
        <f>'Master '!W1</f>
        <v>UPC (Modeled)</v>
      </c>
      <c r="N1" s="457">
        <v>43101</v>
      </c>
      <c r="O1" s="457">
        <v>43132</v>
      </c>
      <c r="P1" s="457">
        <v>43160</v>
      </c>
      <c r="Q1" s="457">
        <v>43191</v>
      </c>
      <c r="R1" s="457">
        <v>43221</v>
      </c>
      <c r="S1" s="457">
        <v>43252</v>
      </c>
      <c r="T1" s="457">
        <v>43282</v>
      </c>
      <c r="U1" s="457">
        <v>43313</v>
      </c>
      <c r="V1" s="457">
        <v>43344</v>
      </c>
      <c r="W1" s="457">
        <v>43374</v>
      </c>
      <c r="X1" s="457">
        <v>43405</v>
      </c>
      <c r="Y1" s="457">
        <v>43435</v>
      </c>
      <c r="Z1" s="457">
        <v>43466</v>
      </c>
      <c r="AA1" s="457">
        <v>43497</v>
      </c>
      <c r="AB1" s="457">
        <v>43525</v>
      </c>
      <c r="AC1" s="457">
        <v>43556</v>
      </c>
      <c r="AD1" s="457">
        <v>43586</v>
      </c>
      <c r="AE1" s="457">
        <v>43617</v>
      </c>
      <c r="AF1" s="457">
        <v>43647</v>
      </c>
      <c r="AG1" s="457">
        <v>43678</v>
      </c>
      <c r="AH1" s="457">
        <v>43709</v>
      </c>
      <c r="AI1" s="457">
        <v>43739</v>
      </c>
      <c r="AJ1" s="457">
        <v>43770</v>
      </c>
      <c r="AK1" s="457">
        <v>43800</v>
      </c>
      <c r="AL1" s="456">
        <v>43831</v>
      </c>
      <c r="AM1" s="456">
        <v>43862</v>
      </c>
      <c r="AN1" s="456">
        <v>43891</v>
      </c>
      <c r="AO1" s="456">
        <v>43922</v>
      </c>
      <c r="AP1" s="456">
        <v>43952</v>
      </c>
      <c r="AQ1" s="456">
        <v>43983</v>
      </c>
      <c r="AR1" s="456">
        <v>44013</v>
      </c>
      <c r="AS1" s="456">
        <v>44044</v>
      </c>
      <c r="AT1" s="456">
        <v>44075</v>
      </c>
      <c r="AU1" s="456">
        <v>44105</v>
      </c>
      <c r="AV1" s="456">
        <v>44136</v>
      </c>
      <c r="AW1" s="456">
        <v>44166</v>
      </c>
      <c r="AX1" s="456">
        <v>44197</v>
      </c>
      <c r="AY1" s="457">
        <v>44228</v>
      </c>
      <c r="AZ1" s="457">
        <v>44256</v>
      </c>
      <c r="BA1" s="457">
        <v>44287</v>
      </c>
      <c r="BB1" s="457">
        <v>44317</v>
      </c>
      <c r="BC1" s="457">
        <v>44348</v>
      </c>
      <c r="BD1" s="457">
        <v>44378</v>
      </c>
      <c r="BE1" s="457">
        <v>44409</v>
      </c>
      <c r="BF1" s="457">
        <v>44440</v>
      </c>
      <c r="BG1" s="457">
        <v>44470</v>
      </c>
      <c r="BH1" s="457">
        <v>44501</v>
      </c>
      <c r="BI1" s="457">
        <v>44531</v>
      </c>
      <c r="BJ1" s="493">
        <v>44562</v>
      </c>
      <c r="BK1" s="493">
        <v>44593</v>
      </c>
      <c r="BL1" s="493">
        <v>44621</v>
      </c>
      <c r="BM1" s="493">
        <v>44652</v>
      </c>
      <c r="BN1" s="493">
        <v>44682</v>
      </c>
      <c r="BO1" s="493">
        <v>44713</v>
      </c>
      <c r="BP1" s="493">
        <v>44743</v>
      </c>
      <c r="BQ1" s="493">
        <v>44774</v>
      </c>
      <c r="BR1" s="493">
        <v>44805</v>
      </c>
      <c r="BS1" s="493">
        <v>44835</v>
      </c>
      <c r="BT1" s="493">
        <v>44866</v>
      </c>
      <c r="BU1" s="493">
        <v>44896</v>
      </c>
      <c r="BV1" s="493">
        <v>44927</v>
      </c>
      <c r="BW1" s="493">
        <v>44958</v>
      </c>
      <c r="BX1" s="493">
        <v>44986</v>
      </c>
      <c r="BY1" s="493">
        <v>45017</v>
      </c>
      <c r="BZ1" s="493">
        <v>45047</v>
      </c>
      <c r="CA1" s="493">
        <v>45078</v>
      </c>
      <c r="CB1" s="493">
        <v>45108</v>
      </c>
      <c r="CC1" s="493">
        <v>45139</v>
      </c>
      <c r="CD1" s="493">
        <v>45170</v>
      </c>
      <c r="CE1" s="493">
        <v>45200</v>
      </c>
      <c r="CF1" s="493">
        <v>45231</v>
      </c>
      <c r="CG1" s="493">
        <v>45261</v>
      </c>
      <c r="CH1" s="468" t="s">
        <v>1246</v>
      </c>
      <c r="CI1" s="469" t="s">
        <v>1426</v>
      </c>
      <c r="CJ1" s="470" t="s">
        <v>1427</v>
      </c>
      <c r="CK1" s="470" t="s">
        <v>1428</v>
      </c>
      <c r="CL1" s="470" t="s">
        <v>1429</v>
      </c>
      <c r="CM1" s="470" t="s">
        <v>1424</v>
      </c>
      <c r="CN1" s="470" t="s">
        <v>1425</v>
      </c>
      <c r="CO1" s="470" t="s">
        <v>1246</v>
      </c>
      <c r="CP1" s="464" t="s">
        <v>1430</v>
      </c>
      <c r="CQ1" s="464" t="s">
        <v>1431</v>
      </c>
      <c r="CR1" s="464" t="s">
        <v>1395</v>
      </c>
      <c r="CS1" s="464" t="s">
        <v>1396</v>
      </c>
      <c r="CT1" s="468"/>
      <c r="CU1" s="464"/>
    </row>
    <row r="2" spans="1:99" s="261" customFormat="1">
      <c r="A2" s="55" t="s">
        <v>12</v>
      </c>
      <c r="B2" s="55" t="s">
        <v>993</v>
      </c>
      <c r="C2" s="55" t="s">
        <v>8</v>
      </c>
      <c r="D2" s="55" t="s">
        <v>85</v>
      </c>
      <c r="E2" s="55" t="str">
        <f>VLOOKUP(D2,'Input 14_Ref Table'!C:D,2,FALSE)</f>
        <v>TS1R</v>
      </c>
      <c r="F2" s="172" t="s">
        <v>1286</v>
      </c>
      <c r="G2" s="55" t="str">
        <f>VLOOKUP(D2,'Input 14_Ref Table'!C:I,7,FALSE)</f>
        <v>IGC - IGC - TS1</v>
      </c>
      <c r="H2" s="55" t="str">
        <f>VLOOKUP(D2,'Input 14_Ref Table'!C:K,8,FALSE)</f>
        <v>TS_1</v>
      </c>
      <c r="I2" s="55"/>
      <c r="J2" s="261" t="str">
        <f>INDEX('Master '!$AD$2:AD$65,MATCH(D2,'Master '!$D$2:$D$65,0))</f>
        <v>Modeled UPC</v>
      </c>
      <c r="K2" s="567">
        <f>INDEX('Master '!$N$2:N$65,MATCH(D2,'Master '!$D$2:$D$65,0))</f>
        <v>2.5051703091705339E-3</v>
      </c>
      <c r="L2" s="290">
        <f>INDEX('Master '!$S$2:S$65,MATCH(D2,'Master '!$D$2:$D$65,0))</f>
        <v>-4.3943718717954036E-2</v>
      </c>
      <c r="M2" s="1">
        <f>INDEX('Master '!$W$2:W$65,MATCH(D2,'Master '!$D$2:$D$65,0))</f>
        <v>147.81172002816606</v>
      </c>
      <c r="N2" s="55">
        <f>SUMIF('Input 16_2018CUST-YTD'!$S:$S,$G2,'Input 16_2018CUST-YTD'!C:C)</f>
        <v>671</v>
      </c>
      <c r="O2" s="55">
        <f>SUMIF('Input 16_2018CUST-YTD'!$S:$S,$G2,'Input 16_2018CUST-YTD'!D:D)</f>
        <v>671</v>
      </c>
      <c r="P2" s="55">
        <f>SUMIF('Input 16_2018CUST-YTD'!$S:$S,$G2,'Input 16_2018CUST-YTD'!E:E)</f>
        <v>673</v>
      </c>
      <c r="Q2" s="55">
        <f>SUMIF('Input 16_2018CUST-YTD'!$S:$S,$G2,'Input 16_2018CUST-YTD'!F:F)</f>
        <v>670</v>
      </c>
      <c r="R2" s="55">
        <f>SUMIF('Input 16_2018CUST-YTD'!$S:$S,$G2,'Input 16_2018CUST-YTD'!G:G)</f>
        <v>671</v>
      </c>
      <c r="S2" s="55">
        <f>SUMIF('Input 16_2018CUST-YTD'!$S:$S,$G2,'Input 16_2018CUST-YTD'!H:H)</f>
        <v>667</v>
      </c>
      <c r="T2" s="55">
        <f>SUMIF('Input 16_2018CUST-YTD'!$S:$S,$G2,'Input 16_2018CUST-YTD'!I:I)</f>
        <v>669</v>
      </c>
      <c r="U2" s="55">
        <f>SUMIF('Input 16_2018CUST-YTD'!$S:$S,$G2,'Input 16_2018CUST-YTD'!J:J)</f>
        <v>673</v>
      </c>
      <c r="V2" s="55">
        <f>SUMIF('Input 16_2018CUST-YTD'!$S:$S,$G2,'Input 16_2018CUST-YTD'!K:K)</f>
        <v>671</v>
      </c>
      <c r="W2" s="55">
        <f>SUMIF('Input 16_2018CUST-YTD'!$S:$S,$G2,'Input 16_2018CUST-YTD'!L:L)</f>
        <v>668</v>
      </c>
      <c r="X2" s="55">
        <f>SUMIF('Input 16_2018CUST-YTD'!$S:$S,$G2,'Input 16_2018CUST-YTD'!M:M)</f>
        <v>672</v>
      </c>
      <c r="Y2" s="55">
        <f>SUMIF('Input 16_2018CUST-YTD'!$S:$S,$G2,'Input 16_2018CUST-YTD'!N:N)</f>
        <v>668</v>
      </c>
      <c r="Z2" s="1">
        <f>SUMIF('Input 3_2019CUST-YTD'!$S:$S,$G2,'Input 3_2019CUST-YTD'!C:C)</f>
        <v>669</v>
      </c>
      <c r="AA2" s="1">
        <f>SUMIF('Input 3_2019CUST-YTD'!$S:$S,$G2,'Input 3_2019CUST-YTD'!D:D)</f>
        <v>667</v>
      </c>
      <c r="AB2" s="1">
        <f>SUMIF('Input 3_2019CUST-YTD'!$S:$S,$G2,'Input 3_2019CUST-YTD'!E:E)</f>
        <v>670</v>
      </c>
      <c r="AC2" s="1">
        <f>SUMIF('Input 3_2019CUST-YTD'!$S:$S,$G2,'Input 3_2019CUST-YTD'!F:F)</f>
        <v>670</v>
      </c>
      <c r="AD2" s="1">
        <f>SUMIF('Input 3_2019CUST-YTD'!$S:$S,$G2,'Input 3_2019CUST-YTD'!G:G)</f>
        <v>669</v>
      </c>
      <c r="AE2" s="1">
        <f>SUMIF('Input 3_2019CUST-YTD'!$S:$S,$G2,'Input 3_2019CUST-YTD'!H:H)</f>
        <v>671</v>
      </c>
      <c r="AF2" s="1">
        <f>SUMIF('Input 3_2019CUST-YTD'!$S:$S,$G2,'Input 3_2019CUST-YTD'!I:I)</f>
        <v>669</v>
      </c>
      <c r="AG2" s="1">
        <f>SUMIF('Input 3_2019CUST-YTD'!$S:$S,$G2,'Input 3_2019CUST-YTD'!J:J)</f>
        <v>669</v>
      </c>
      <c r="AH2" s="1">
        <f>SUMIF('Input 3_2019CUST-YTD'!$S:$S,$G2,'Input 3_2019CUST-YTD'!K:K)</f>
        <v>667</v>
      </c>
      <c r="AI2" s="1">
        <f>SUMIF('Input 3_2019CUST-YTD'!$S:$S,$G2,'Input 3_2019CUST-YTD'!L:L)</f>
        <v>674</v>
      </c>
      <c r="AJ2" s="1">
        <f>SUMIF('Input 3_2019CUST-YTD'!$S:$S,$G2,'Input 3_2019CUST-YTD'!M:M)</f>
        <v>671</v>
      </c>
      <c r="AK2" s="1">
        <f>SUMIF('Input 3_2019CUST-YTD'!$S:$S,$G2,'Input 3_2019CUST-YTD'!N:N)</f>
        <v>666</v>
      </c>
      <c r="AL2" s="1">
        <f>SUMIF('Input 4_2020CUST-YTD'!$S:$S,$G2,'Input 4_2020CUST-YTD'!C:C)</f>
        <v>676</v>
      </c>
      <c r="AM2" s="1">
        <f>SUMIF('Input 4_2020CUST-YTD'!$S:$S,$G2,'Input 4_2020CUST-YTD'!D:D)</f>
        <v>674</v>
      </c>
      <c r="AN2" s="1">
        <f>SUMIF('Input 4_2020CUST-YTD'!$S:$S,$G2,'Input 4_2020CUST-YTD'!E:E)</f>
        <v>673</v>
      </c>
      <c r="AO2" s="1">
        <f>SUMIF('Input 4_2020CUST-YTD'!$S:$S,$G2,'Input 4_2020CUST-YTD'!F:F)</f>
        <v>673</v>
      </c>
      <c r="AP2" s="1">
        <f>SUMIF('Input 4_2020CUST-YTD'!$S:$S,$G2,'Input 4_2020CUST-YTD'!G:G)</f>
        <v>674</v>
      </c>
      <c r="AQ2" s="1">
        <f>SUMIF('Input 4_2020CUST-YTD'!$S:$S,$G2,'Input 4_2020CUST-YTD'!H:H)</f>
        <v>671</v>
      </c>
      <c r="AR2" s="1">
        <f>SUMIF('Input 4_2020CUST-YTD'!$S:$S,$G2,'Input 4_2020CUST-YTD'!I:I)</f>
        <v>673</v>
      </c>
      <c r="AS2" s="1">
        <f>SUMIF('Input 4_2020CUST-YTD'!$S:$S,$G2,'Input 4_2020CUST-YTD'!J:J)</f>
        <v>675</v>
      </c>
      <c r="AT2" s="1">
        <f>SUMIF('Input 4_2020CUST-YTD'!$S:$S,$G2,'Input 4_2020CUST-YTD'!K:K)</f>
        <v>676</v>
      </c>
      <c r="AU2" s="1">
        <f>SUMIF('Input 4_2020CUST-YTD'!$S:$S,$G2,'Input 4_2020CUST-YTD'!L:L)</f>
        <v>675</v>
      </c>
      <c r="AV2" s="1">
        <f>SUMIF('Input 4_2020CUST-YTD'!$S:$S,$G2,'Input 4_2020CUST-YTD'!M:M)</f>
        <v>674</v>
      </c>
      <c r="AW2" s="1">
        <f>SUMIF('Input 4_2020CUST-YTD'!$S:$S,$G2,'Input 4_2020CUST-YTD'!N:N)</f>
        <v>672</v>
      </c>
      <c r="AX2" s="1">
        <f>SUMIF('Input 5_2021CUST-YTD'!$S:$S,$G2,'Input 5_2021CUST-YTD'!C:C)</f>
        <v>675</v>
      </c>
      <c r="AY2" s="1">
        <f>SUMIF('Input 5_2021CUST-YTD'!$S:$S,$G2,'Input 5_2021CUST-YTD'!D:D)</f>
        <v>678</v>
      </c>
      <c r="AZ2" s="1">
        <f>SUMIF('Input 5_2021CUST-YTD'!$S:$S,$G2,'Input 5_2021CUST-YTD'!E:E)</f>
        <v>674</v>
      </c>
      <c r="BA2" s="1">
        <f>SUMIF('Input 5_2021CUST-YTD'!$S:$S,$G2,'Input 5_2021CUST-YTD'!F:F)</f>
        <v>678</v>
      </c>
      <c r="BB2" s="1">
        <f>SUMIF('Input 5_2021CUST-YTD'!$S:$S,$G2,'Input 5_2021CUST-YTD'!G:G)</f>
        <v>674</v>
      </c>
      <c r="BC2" s="1">
        <f>SUMIF('Input 5_2021CUST-YTD'!$S:$S,$G2,'Input 5_2021CUST-YTD'!H:H)</f>
        <v>674</v>
      </c>
      <c r="BD2" s="1">
        <f>SUMIF('Input 5_2021CUST-YTD'!$S:$S,$G2,'Input 5_2021CUST-YTD'!I:I)</f>
        <v>676</v>
      </c>
      <c r="BE2" s="1">
        <f>SUMIF('Input 5_2021CUST-YTD'!$S:$S,$G2,'Input 5_2021CUST-YTD'!J:J)</f>
        <v>675</v>
      </c>
      <c r="BF2" s="1">
        <f>SUMIF('Input 5_2021CUST-YTD'!$S:$S,$G2,'Input 5_2021CUST-YTD'!K:K)</f>
        <v>677</v>
      </c>
      <c r="BG2" s="1">
        <f>SUMIF('Input 5_2021CUST-YTD'!$S:$S,$G2,'Input 5_2021CUST-YTD'!L:L)</f>
        <v>680</v>
      </c>
      <c r="BH2" s="1">
        <f>SUMIF('Input 5_2021CUST-YTD'!$S:$S,$G2,'Input 5_2021CUST-YTD'!M:M)</f>
        <v>668</v>
      </c>
      <c r="BI2" s="1">
        <f>SUMIF('Input 5_2021CUST-YTD'!$S:$S,$G2,'Input 5_2021CUST-YTD'!N:N)</f>
        <v>669</v>
      </c>
      <c r="BJ2" s="190">
        <f t="shared" ref="BJ2:CG2" si="0">AX2*(1+$K2)</f>
        <v>676.69098995869012</v>
      </c>
      <c r="BK2" s="190">
        <f t="shared" si="0"/>
        <v>679.69850546961766</v>
      </c>
      <c r="BL2" s="190">
        <f t="shared" si="0"/>
        <v>675.68848478838095</v>
      </c>
      <c r="BM2" s="190">
        <f t="shared" si="0"/>
        <v>679.69850546961766</v>
      </c>
      <c r="BN2" s="190">
        <f t="shared" si="0"/>
        <v>675.68848478838095</v>
      </c>
      <c r="BO2" s="190">
        <f t="shared" si="0"/>
        <v>675.68848478838095</v>
      </c>
      <c r="BP2" s="190">
        <f t="shared" si="0"/>
        <v>677.6934951289993</v>
      </c>
      <c r="BQ2" s="190">
        <f t="shared" si="0"/>
        <v>676.69098995869012</v>
      </c>
      <c r="BR2" s="190">
        <f t="shared" si="0"/>
        <v>678.69600029930848</v>
      </c>
      <c r="BS2" s="190">
        <f t="shared" si="0"/>
        <v>681.70351581023601</v>
      </c>
      <c r="BT2" s="190">
        <f t="shared" si="0"/>
        <v>669.67345376652588</v>
      </c>
      <c r="BU2" s="190">
        <f t="shared" si="0"/>
        <v>670.67595893683506</v>
      </c>
      <c r="BV2" s="190">
        <f t="shared" si="0"/>
        <v>678.38621613521786</v>
      </c>
      <c r="BW2" s="190">
        <f t="shared" si="0"/>
        <v>681.40126598470772</v>
      </c>
      <c r="BX2" s="190">
        <f t="shared" si="0"/>
        <v>677.38119951872125</v>
      </c>
      <c r="BY2" s="190">
        <f t="shared" si="0"/>
        <v>681.40126598470772</v>
      </c>
      <c r="BZ2" s="190">
        <f t="shared" si="0"/>
        <v>677.38119951872125</v>
      </c>
      <c r="CA2" s="190">
        <f t="shared" si="0"/>
        <v>677.38119951872125</v>
      </c>
      <c r="CB2" s="190">
        <f t="shared" si="0"/>
        <v>679.39123275171448</v>
      </c>
      <c r="CC2" s="190">
        <f t="shared" si="0"/>
        <v>678.38621613521786</v>
      </c>
      <c r="CD2" s="190">
        <f t="shared" si="0"/>
        <v>680.3962493682111</v>
      </c>
      <c r="CE2" s="190">
        <f t="shared" si="0"/>
        <v>683.41129921770096</v>
      </c>
      <c r="CF2" s="190">
        <f t="shared" si="0"/>
        <v>671.35109981974142</v>
      </c>
      <c r="CG2" s="190">
        <f t="shared" si="0"/>
        <v>672.35611643623804</v>
      </c>
      <c r="CH2" s="264"/>
      <c r="CI2" s="264">
        <f t="shared" ref="CI2:CI65" si="1">SUM(N2:Y2)</f>
        <v>8044</v>
      </c>
      <c r="CJ2" s="264">
        <f t="shared" ref="CJ2:CJ65" si="2">SUM(Z2:AK2)</f>
        <v>8032</v>
      </c>
      <c r="CK2" s="264">
        <f t="shared" ref="CK2:CK65" si="3">SUM(AL2:AW2)</f>
        <v>8086</v>
      </c>
      <c r="CL2" s="264">
        <f t="shared" ref="CL2:CL65" si="4">SUM(AX2:BI2)</f>
        <v>8098</v>
      </c>
      <c r="CM2" s="264">
        <f t="shared" ref="CM2:CM65" si="5">SUM(BJ2:BU2)</f>
        <v>8118.2868691636631</v>
      </c>
      <c r="CN2" s="264">
        <f t="shared" ref="CN2:CN65" si="6">SUM(BV2:CG2)</f>
        <v>8138.6245603896205</v>
      </c>
      <c r="CP2" s="574">
        <f>SUMIF('Master '!D:D,D2,'Master '!AB:AB)</f>
        <v>8118.2868691636631</v>
      </c>
      <c r="CQ2" s="574">
        <f>SUMIF('Master '!D:D,D2,'Master '!AC:AC)</f>
        <v>8138.6245603896205</v>
      </c>
      <c r="CR2" s="264">
        <f t="shared" ref="CR2:CS33" si="7">CM2-CP2</f>
        <v>0</v>
      </c>
      <c r="CS2" s="264">
        <f t="shared" si="7"/>
        <v>0</v>
      </c>
    </row>
    <row r="3" spans="1:99" s="261" customFormat="1">
      <c r="A3" s="55" t="s">
        <v>12</v>
      </c>
      <c r="B3" s="55" t="s">
        <v>993</v>
      </c>
      <c r="C3" s="55" t="s">
        <v>1245</v>
      </c>
      <c r="D3" s="55" t="s">
        <v>87</v>
      </c>
      <c r="E3" s="55" t="str">
        <f>VLOOKUP(D3,'Input 14_Ref Table'!C:D,2,FALSE)</f>
        <v>TS2C</v>
      </c>
      <c r="F3" s="172" t="s">
        <v>1286</v>
      </c>
      <c r="G3" s="55" t="str">
        <f>VLOOKUP(D3,'Input 14_Ref Table'!C:I,7,FALSE)</f>
        <v>IGC - IGC - TS2</v>
      </c>
      <c r="H3" s="55" t="str">
        <f>VLOOKUP(D3,'Input 14_Ref Table'!C:K,8,FALSE)</f>
        <v>Base Period</v>
      </c>
      <c r="I3" s="55"/>
      <c r="J3" s="261" t="str">
        <f>INDEX('Master '!$AD$2:AD$65,MATCH(D3,'Master '!$D$2:$D$65,0))</f>
        <v>Base Period</v>
      </c>
      <c r="K3" s="567">
        <f>INDEX('Master '!$N$2:N$65,MATCH(D3,'Master '!$D$2:$D$65,0))</f>
        <v>0</v>
      </c>
      <c r="L3" s="290">
        <f>INDEX('Master '!$S$2:S$65,MATCH(D3,'Master '!$D$2:$D$65,0))</f>
        <v>0</v>
      </c>
      <c r="M3" s="1">
        <f>INDEX('Master '!$W$2:W$65,MATCH(D3,'Master '!$D$2:$D$65,0))</f>
        <v>3722.1586206896554</v>
      </c>
      <c r="N3" s="55">
        <f>SUMIF('Input 16_2018CUST-YTD'!$S:$S,$G3,'Input 16_2018CUST-YTD'!C:C)</f>
        <v>23</v>
      </c>
      <c r="O3" s="55">
        <f>SUMIF('Input 16_2018CUST-YTD'!$S:$S,$G3,'Input 16_2018CUST-YTD'!D:D)</f>
        <v>23</v>
      </c>
      <c r="P3" s="55">
        <f>SUMIF('Input 16_2018CUST-YTD'!$S:$S,$G3,'Input 16_2018CUST-YTD'!E:E)</f>
        <v>23</v>
      </c>
      <c r="Q3" s="55">
        <f>SUMIF('Input 16_2018CUST-YTD'!$S:$S,$G3,'Input 16_2018CUST-YTD'!F:F)</f>
        <v>24</v>
      </c>
      <c r="R3" s="55">
        <f>SUMIF('Input 16_2018CUST-YTD'!$S:$S,$G3,'Input 16_2018CUST-YTD'!G:G)</f>
        <v>23</v>
      </c>
      <c r="S3" s="55">
        <f>SUMIF('Input 16_2018CUST-YTD'!$S:$S,$G3,'Input 16_2018CUST-YTD'!H:H)</f>
        <v>23</v>
      </c>
      <c r="T3" s="55">
        <f>SUMIF('Input 16_2018CUST-YTD'!$S:$S,$G3,'Input 16_2018CUST-YTD'!I:I)</f>
        <v>23</v>
      </c>
      <c r="U3" s="55">
        <f>SUMIF('Input 16_2018CUST-YTD'!$S:$S,$G3,'Input 16_2018CUST-YTD'!J:J)</f>
        <v>23</v>
      </c>
      <c r="V3" s="55">
        <f>SUMIF('Input 16_2018CUST-YTD'!$S:$S,$G3,'Input 16_2018CUST-YTD'!K:K)</f>
        <v>23</v>
      </c>
      <c r="W3" s="55">
        <f>SUMIF('Input 16_2018CUST-YTD'!$S:$S,$G3,'Input 16_2018CUST-YTD'!L:L)</f>
        <v>23</v>
      </c>
      <c r="X3" s="55">
        <f>SUMIF('Input 16_2018CUST-YTD'!$S:$S,$G3,'Input 16_2018CUST-YTD'!M:M)</f>
        <v>23</v>
      </c>
      <c r="Y3" s="55">
        <f>SUMIF('Input 16_2018CUST-YTD'!$S:$S,$G3,'Input 16_2018CUST-YTD'!N:N)</f>
        <v>23</v>
      </c>
      <c r="Z3" s="1">
        <f>SUMIF('Input 3_2019CUST-YTD'!$S:$S,$G3,'Input 3_2019CUST-YTD'!C:C)</f>
        <v>23</v>
      </c>
      <c r="AA3" s="1">
        <f>SUMIF('Input 3_2019CUST-YTD'!$S:$S,$G3,'Input 3_2019CUST-YTD'!D:D)</f>
        <v>23</v>
      </c>
      <c r="AB3" s="1">
        <f>SUMIF('Input 3_2019CUST-YTD'!$S:$S,$G3,'Input 3_2019CUST-YTD'!E:E)</f>
        <v>23</v>
      </c>
      <c r="AC3" s="1">
        <f>SUMIF('Input 3_2019CUST-YTD'!$S:$S,$G3,'Input 3_2019CUST-YTD'!F:F)</f>
        <v>23</v>
      </c>
      <c r="AD3" s="1">
        <f>SUMIF('Input 3_2019CUST-YTD'!$S:$S,$G3,'Input 3_2019CUST-YTD'!G:G)</f>
        <v>23</v>
      </c>
      <c r="AE3" s="1">
        <f>SUMIF('Input 3_2019CUST-YTD'!$S:$S,$G3,'Input 3_2019CUST-YTD'!H:H)</f>
        <v>23</v>
      </c>
      <c r="AF3" s="1">
        <f>SUMIF('Input 3_2019CUST-YTD'!$S:$S,$G3,'Input 3_2019CUST-YTD'!I:I)</f>
        <v>23</v>
      </c>
      <c r="AG3" s="1">
        <f>SUMIF('Input 3_2019CUST-YTD'!$S:$S,$G3,'Input 3_2019CUST-YTD'!J:J)</f>
        <v>23</v>
      </c>
      <c r="AH3" s="1">
        <f>SUMIF('Input 3_2019CUST-YTD'!$S:$S,$G3,'Input 3_2019CUST-YTD'!K:K)</f>
        <v>22</v>
      </c>
      <c r="AI3" s="1">
        <f>SUMIF('Input 3_2019CUST-YTD'!$S:$S,$G3,'Input 3_2019CUST-YTD'!L:L)</f>
        <v>22</v>
      </c>
      <c r="AJ3" s="1">
        <f>SUMIF('Input 3_2019CUST-YTD'!$S:$S,$G3,'Input 3_2019CUST-YTD'!M:M)</f>
        <v>22</v>
      </c>
      <c r="AK3" s="1">
        <f>SUMIF('Input 3_2019CUST-YTD'!$S:$S,$G3,'Input 3_2019CUST-YTD'!N:N)</f>
        <v>22</v>
      </c>
      <c r="AL3" s="1">
        <f>SUMIF('Input 4_2020CUST-YTD'!$S:$S,$G3,'Input 4_2020CUST-YTD'!C:C)</f>
        <v>22</v>
      </c>
      <c r="AM3" s="1">
        <f>SUMIF('Input 4_2020CUST-YTD'!$S:$S,$G3,'Input 4_2020CUST-YTD'!D:D)</f>
        <v>22</v>
      </c>
      <c r="AN3" s="1">
        <f>SUMIF('Input 4_2020CUST-YTD'!$S:$S,$G3,'Input 4_2020CUST-YTD'!E:E)</f>
        <v>22</v>
      </c>
      <c r="AO3" s="1">
        <f>SUMIF('Input 4_2020CUST-YTD'!$S:$S,$G3,'Input 4_2020CUST-YTD'!F:F)</f>
        <v>22</v>
      </c>
      <c r="AP3" s="1">
        <f>SUMIF('Input 4_2020CUST-YTD'!$S:$S,$G3,'Input 4_2020CUST-YTD'!G:G)</f>
        <v>22</v>
      </c>
      <c r="AQ3" s="1">
        <f>SUMIF('Input 4_2020CUST-YTD'!$S:$S,$G3,'Input 4_2020CUST-YTD'!H:H)</f>
        <v>22</v>
      </c>
      <c r="AR3" s="1">
        <f>SUMIF('Input 4_2020CUST-YTD'!$S:$S,$G3,'Input 4_2020CUST-YTD'!I:I)</f>
        <v>22</v>
      </c>
      <c r="AS3" s="1">
        <f>SUMIF('Input 4_2020CUST-YTD'!$S:$S,$G3,'Input 4_2020CUST-YTD'!J:J)</f>
        <v>22</v>
      </c>
      <c r="AT3" s="1">
        <f>SUMIF('Input 4_2020CUST-YTD'!$S:$S,$G3,'Input 4_2020CUST-YTD'!K:K)</f>
        <v>22</v>
      </c>
      <c r="AU3" s="1">
        <f>SUMIF('Input 4_2020CUST-YTD'!$S:$S,$G3,'Input 4_2020CUST-YTD'!L:L)</f>
        <v>21</v>
      </c>
      <c r="AV3" s="1">
        <f>SUMIF('Input 4_2020CUST-YTD'!$S:$S,$G3,'Input 4_2020CUST-YTD'!M:M)</f>
        <v>21</v>
      </c>
      <c r="AW3" s="1">
        <f>SUMIF('Input 4_2020CUST-YTD'!$S:$S,$G3,'Input 4_2020CUST-YTD'!N:N)</f>
        <v>21</v>
      </c>
      <c r="AX3" s="1">
        <f>SUMIF('Input 5_2021CUST-YTD'!$S:$S,$G3,'Input 5_2021CUST-YTD'!C:C)</f>
        <v>21</v>
      </c>
      <c r="AY3" s="1">
        <f>SUMIF('Input 5_2021CUST-YTD'!$S:$S,$G3,'Input 5_2021CUST-YTD'!D:D)</f>
        <v>21</v>
      </c>
      <c r="AZ3" s="1">
        <f>SUMIF('Input 5_2021CUST-YTD'!$S:$S,$G3,'Input 5_2021CUST-YTD'!E:E)</f>
        <v>21</v>
      </c>
      <c r="BA3" s="1">
        <f>SUMIF('Input 5_2021CUST-YTD'!$S:$S,$G3,'Input 5_2021CUST-YTD'!F:F)</f>
        <v>22</v>
      </c>
      <c r="BB3" s="1">
        <f>SUMIF('Input 5_2021CUST-YTD'!$S:$S,$G3,'Input 5_2021CUST-YTD'!G:G)</f>
        <v>22</v>
      </c>
      <c r="BC3" s="1">
        <f>SUMIF('Input 5_2021CUST-YTD'!$S:$S,$G3,'Input 5_2021CUST-YTD'!H:H)</f>
        <v>22</v>
      </c>
      <c r="BD3" s="1">
        <f>SUMIF('Input 5_2021CUST-YTD'!$S:$S,$G3,'Input 5_2021CUST-YTD'!I:I)</f>
        <v>22</v>
      </c>
      <c r="BE3" s="1">
        <f>SUMIF('Input 5_2021CUST-YTD'!$S:$S,$G3,'Input 5_2021CUST-YTD'!J:J)</f>
        <v>22</v>
      </c>
      <c r="BF3" s="1">
        <f>SUMIF('Input 5_2021CUST-YTD'!$S:$S,$G3,'Input 5_2021CUST-YTD'!K:K)</f>
        <v>22</v>
      </c>
      <c r="BG3" s="1">
        <f>SUMIF('Input 5_2021CUST-YTD'!$S:$S,$G3,'Input 5_2021CUST-YTD'!L:L)</f>
        <v>22</v>
      </c>
      <c r="BH3" s="1">
        <f>SUMIF('Input 5_2021CUST-YTD'!$S:$S,$G3,'Input 5_2021CUST-YTD'!M:M)</f>
        <v>22</v>
      </c>
      <c r="BI3" s="1">
        <f>SUMIF('Input 5_2021CUST-YTD'!$S:$S,$G3,'Input 5_2021CUST-YTD'!N:N)</f>
        <v>22</v>
      </c>
      <c r="BJ3" s="190">
        <f t="shared" ref="BJ3:BJ33" si="8">AX3*(1+$K3)</f>
        <v>21</v>
      </c>
      <c r="BK3" s="190">
        <f t="shared" ref="BK3:BK33" si="9">AY3*(1+$K3)</f>
        <v>21</v>
      </c>
      <c r="BL3" s="190">
        <f t="shared" ref="BL3:BL33" si="10">AZ3*(1+$K3)</f>
        <v>21</v>
      </c>
      <c r="BM3" s="190">
        <f t="shared" ref="BM3:BM33" si="11">BA3*(1+$K3)</f>
        <v>22</v>
      </c>
      <c r="BN3" s="190">
        <f t="shared" ref="BN3:BN33" si="12">BB3*(1+$K3)</f>
        <v>22</v>
      </c>
      <c r="BO3" s="190">
        <f t="shared" ref="BO3:BO33" si="13">BC3*(1+$K3)</f>
        <v>22</v>
      </c>
      <c r="BP3" s="190">
        <f t="shared" ref="BP3:BP33" si="14">BD3*(1+$K3)</f>
        <v>22</v>
      </c>
      <c r="BQ3" s="190">
        <f t="shared" ref="BQ3:BQ33" si="15">BE3*(1+$K3)</f>
        <v>22</v>
      </c>
      <c r="BR3" s="190">
        <f t="shared" ref="BR3:BR33" si="16">BF3*(1+$K3)</f>
        <v>22</v>
      </c>
      <c r="BS3" s="190">
        <f t="shared" ref="BS3:BS33" si="17">BG3*(1+$K3)</f>
        <v>22</v>
      </c>
      <c r="BT3" s="190">
        <f t="shared" ref="BT3:BT33" si="18">BH3*(1+$K3)</f>
        <v>22</v>
      </c>
      <c r="BU3" s="190">
        <f t="shared" ref="BU3:BU33" si="19">BI3*(1+$K3)</f>
        <v>22</v>
      </c>
      <c r="BV3" s="190">
        <f t="shared" ref="BV3:BV33" si="20">BJ3*(1+$K3)</f>
        <v>21</v>
      </c>
      <c r="BW3" s="190">
        <f t="shared" ref="BW3:BW33" si="21">BK3*(1+$K3)</f>
        <v>21</v>
      </c>
      <c r="BX3" s="190">
        <f t="shared" ref="BX3:BX33" si="22">BL3*(1+$K3)</f>
        <v>21</v>
      </c>
      <c r="BY3" s="190">
        <f t="shared" ref="BY3:BY33" si="23">BM3*(1+$K3)</f>
        <v>22</v>
      </c>
      <c r="BZ3" s="190">
        <f t="shared" ref="BZ3:BZ33" si="24">BN3*(1+$K3)</f>
        <v>22</v>
      </c>
      <c r="CA3" s="190">
        <f t="shared" ref="CA3:CA33" si="25">BO3*(1+$K3)</f>
        <v>22</v>
      </c>
      <c r="CB3" s="190">
        <f t="shared" ref="CB3:CB33" si="26">BP3*(1+$K3)</f>
        <v>22</v>
      </c>
      <c r="CC3" s="190">
        <f t="shared" ref="CC3:CC33" si="27">BQ3*(1+$K3)</f>
        <v>22</v>
      </c>
      <c r="CD3" s="190">
        <f t="shared" ref="CD3:CD33" si="28">BR3*(1+$K3)</f>
        <v>22</v>
      </c>
      <c r="CE3" s="190">
        <f t="shared" ref="CE3:CE33" si="29">BS3*(1+$K3)</f>
        <v>22</v>
      </c>
      <c r="CF3" s="190">
        <f t="shared" ref="CF3:CF33" si="30">BT3*(1+$K3)</f>
        <v>22</v>
      </c>
      <c r="CG3" s="190">
        <f t="shared" ref="CG3:CG33" si="31">BU3*(1+$K3)</f>
        <v>22</v>
      </c>
      <c r="CH3" s="264"/>
      <c r="CI3" s="264">
        <f t="shared" si="1"/>
        <v>277</v>
      </c>
      <c r="CJ3" s="264">
        <f t="shared" si="2"/>
        <v>272</v>
      </c>
      <c r="CK3" s="264">
        <f t="shared" si="3"/>
        <v>261</v>
      </c>
      <c r="CL3" s="264">
        <f t="shared" si="4"/>
        <v>261</v>
      </c>
      <c r="CM3" s="264">
        <f t="shared" si="5"/>
        <v>261</v>
      </c>
      <c r="CN3" s="264">
        <f t="shared" si="6"/>
        <v>261</v>
      </c>
      <c r="CP3" s="574">
        <f>SUMIF('Master '!D:D,D3,'Master '!AB:AB)</f>
        <v>261</v>
      </c>
      <c r="CQ3" s="574">
        <f>SUMIF('Master '!D:D,D3,'Master '!AC:AC)</f>
        <v>261</v>
      </c>
      <c r="CR3" s="264">
        <f t="shared" si="7"/>
        <v>0</v>
      </c>
      <c r="CS3" s="264">
        <f t="shared" si="7"/>
        <v>0</v>
      </c>
    </row>
    <row r="4" spans="1:99" s="261" customFormat="1">
      <c r="A4" s="55" t="s">
        <v>12</v>
      </c>
      <c r="B4" s="55" t="s">
        <v>993</v>
      </c>
      <c r="C4" s="55" t="s">
        <v>1245</v>
      </c>
      <c r="D4" s="55" t="s">
        <v>89</v>
      </c>
      <c r="E4" s="55" t="str">
        <f>VLOOKUP(D4,'Input 14_Ref Table'!C:D,2,FALSE)</f>
        <v>TS3C</v>
      </c>
      <c r="F4" s="172" t="s">
        <v>1286</v>
      </c>
      <c r="G4" s="55" t="str">
        <f>VLOOKUP(D4,'Input 14_Ref Table'!C:I,7,FALSE)</f>
        <v>IGC - IGC - TS3</v>
      </c>
      <c r="H4" s="55" t="str">
        <f>VLOOKUP(D4,'Input 14_Ref Table'!C:K,8,FALSE)</f>
        <v>Base Period</v>
      </c>
      <c r="I4" s="55"/>
      <c r="J4" s="261" t="str">
        <f>INDEX('Master '!$AD$2:AD$65,MATCH(D4,'Master '!$D$2:$D$65,0))</f>
        <v>Base Period</v>
      </c>
      <c r="K4" s="567">
        <f>INDEX('Master '!$N$2:N$65,MATCH(D4,'Master '!$D$2:$D$65,0))</f>
        <v>0</v>
      </c>
      <c r="L4" s="290">
        <f>INDEX('Master '!$S$2:S$65,MATCH(D4,'Master '!$D$2:$D$65,0))</f>
        <v>0</v>
      </c>
      <c r="M4" s="1">
        <f>INDEX('Master '!$W$2:W$65,MATCH(D4,'Master '!$D$2:$D$65,0))</f>
        <v>7985.92</v>
      </c>
      <c r="N4" s="55">
        <f>SUMIF('Input 16_2018CUST-YTD'!$S:$S,$G4,'Input 16_2018CUST-YTD'!C:C)</f>
        <v>1</v>
      </c>
      <c r="O4" s="55">
        <f>SUMIF('Input 16_2018CUST-YTD'!$S:$S,$G4,'Input 16_2018CUST-YTD'!D:D)</f>
        <v>1</v>
      </c>
      <c r="P4" s="55">
        <f>SUMIF('Input 16_2018CUST-YTD'!$S:$S,$G4,'Input 16_2018CUST-YTD'!E:E)</f>
        <v>1</v>
      </c>
      <c r="Q4" s="55">
        <f>SUMIF('Input 16_2018CUST-YTD'!$S:$S,$G4,'Input 16_2018CUST-YTD'!F:F)</f>
        <v>1</v>
      </c>
      <c r="R4" s="55">
        <f>SUMIF('Input 16_2018CUST-YTD'!$S:$S,$G4,'Input 16_2018CUST-YTD'!G:G)</f>
        <v>1</v>
      </c>
      <c r="S4" s="55">
        <f>SUMIF('Input 16_2018CUST-YTD'!$S:$S,$G4,'Input 16_2018CUST-YTD'!H:H)</f>
        <v>1</v>
      </c>
      <c r="T4" s="55">
        <f>SUMIF('Input 16_2018CUST-YTD'!$S:$S,$G4,'Input 16_2018CUST-YTD'!I:I)</f>
        <v>1</v>
      </c>
      <c r="U4" s="55">
        <f>SUMIF('Input 16_2018CUST-YTD'!$S:$S,$G4,'Input 16_2018CUST-YTD'!J:J)</f>
        <v>1</v>
      </c>
      <c r="V4" s="55">
        <f>SUMIF('Input 16_2018CUST-YTD'!$S:$S,$G4,'Input 16_2018CUST-YTD'!K:K)</f>
        <v>1</v>
      </c>
      <c r="W4" s="55">
        <f>SUMIF('Input 16_2018CUST-YTD'!$S:$S,$G4,'Input 16_2018CUST-YTD'!L:L)</f>
        <v>1</v>
      </c>
      <c r="X4" s="55">
        <f>SUMIF('Input 16_2018CUST-YTD'!$S:$S,$G4,'Input 16_2018CUST-YTD'!M:M)</f>
        <v>1</v>
      </c>
      <c r="Y4" s="55">
        <f>SUMIF('Input 16_2018CUST-YTD'!$S:$S,$G4,'Input 16_2018CUST-YTD'!N:N)</f>
        <v>1</v>
      </c>
      <c r="Z4" s="1">
        <f>SUMIF('Input 3_2019CUST-YTD'!$S:$S,$G4,'Input 3_2019CUST-YTD'!C:C)</f>
        <v>1</v>
      </c>
      <c r="AA4" s="1">
        <f>SUMIF('Input 3_2019CUST-YTD'!$S:$S,$G4,'Input 3_2019CUST-YTD'!D:D)</f>
        <v>1</v>
      </c>
      <c r="AB4" s="1">
        <f>SUMIF('Input 3_2019CUST-YTD'!$S:$S,$G4,'Input 3_2019CUST-YTD'!E:E)</f>
        <v>1</v>
      </c>
      <c r="AC4" s="1">
        <f>SUMIF('Input 3_2019CUST-YTD'!$S:$S,$G4,'Input 3_2019CUST-YTD'!F:F)</f>
        <v>1</v>
      </c>
      <c r="AD4" s="1">
        <f>SUMIF('Input 3_2019CUST-YTD'!$S:$S,$G4,'Input 3_2019CUST-YTD'!G:G)</f>
        <v>1</v>
      </c>
      <c r="AE4" s="1">
        <f>SUMIF('Input 3_2019CUST-YTD'!$S:$S,$G4,'Input 3_2019CUST-YTD'!H:H)</f>
        <v>1</v>
      </c>
      <c r="AF4" s="1">
        <f>SUMIF('Input 3_2019CUST-YTD'!$S:$S,$G4,'Input 3_2019CUST-YTD'!I:I)</f>
        <v>1</v>
      </c>
      <c r="AG4" s="1">
        <f>SUMIF('Input 3_2019CUST-YTD'!$S:$S,$G4,'Input 3_2019CUST-YTD'!J:J)</f>
        <v>1</v>
      </c>
      <c r="AH4" s="1">
        <f>SUMIF('Input 3_2019CUST-YTD'!$S:$S,$G4,'Input 3_2019CUST-YTD'!K:K)</f>
        <v>1</v>
      </c>
      <c r="AI4" s="1">
        <f>SUMIF('Input 3_2019CUST-YTD'!$S:$S,$G4,'Input 3_2019CUST-YTD'!L:L)</f>
        <v>1</v>
      </c>
      <c r="AJ4" s="1">
        <f>SUMIF('Input 3_2019CUST-YTD'!$S:$S,$G4,'Input 3_2019CUST-YTD'!M:M)</f>
        <v>1</v>
      </c>
      <c r="AK4" s="1">
        <f>SUMIF('Input 3_2019CUST-YTD'!$S:$S,$G4,'Input 3_2019CUST-YTD'!N:N)</f>
        <v>1</v>
      </c>
      <c r="AL4" s="1">
        <f>SUMIF('Input 4_2020CUST-YTD'!$S:$S,$G4,'Input 4_2020CUST-YTD'!C:C)</f>
        <v>1</v>
      </c>
      <c r="AM4" s="1">
        <f>SUMIF('Input 4_2020CUST-YTD'!$S:$S,$G4,'Input 4_2020CUST-YTD'!D:D)</f>
        <v>1</v>
      </c>
      <c r="AN4" s="1">
        <f>SUMIF('Input 4_2020CUST-YTD'!$S:$S,$G4,'Input 4_2020CUST-YTD'!E:E)</f>
        <v>1</v>
      </c>
      <c r="AO4" s="1">
        <f>SUMIF('Input 4_2020CUST-YTD'!$S:$S,$G4,'Input 4_2020CUST-YTD'!F:F)</f>
        <v>1</v>
      </c>
      <c r="AP4" s="1">
        <f>SUMIF('Input 4_2020CUST-YTD'!$S:$S,$G4,'Input 4_2020CUST-YTD'!G:G)</f>
        <v>1</v>
      </c>
      <c r="AQ4" s="1">
        <f>SUMIF('Input 4_2020CUST-YTD'!$S:$S,$G4,'Input 4_2020CUST-YTD'!H:H)</f>
        <v>1</v>
      </c>
      <c r="AR4" s="1">
        <f>SUMIF('Input 4_2020CUST-YTD'!$S:$S,$G4,'Input 4_2020CUST-YTD'!I:I)</f>
        <v>1</v>
      </c>
      <c r="AS4" s="1">
        <f>SUMIF('Input 4_2020CUST-YTD'!$S:$S,$G4,'Input 4_2020CUST-YTD'!J:J)</f>
        <v>1</v>
      </c>
      <c r="AT4" s="1">
        <f>SUMIF('Input 4_2020CUST-YTD'!$S:$S,$G4,'Input 4_2020CUST-YTD'!K:K)</f>
        <v>1</v>
      </c>
      <c r="AU4" s="1">
        <f>SUMIF('Input 4_2020CUST-YTD'!$S:$S,$G4,'Input 4_2020CUST-YTD'!L:L)</f>
        <v>1</v>
      </c>
      <c r="AV4" s="1">
        <f>SUMIF('Input 4_2020CUST-YTD'!$S:$S,$G4,'Input 4_2020CUST-YTD'!M:M)</f>
        <v>1</v>
      </c>
      <c r="AW4" s="1">
        <f>SUMIF('Input 4_2020CUST-YTD'!$S:$S,$G4,'Input 4_2020CUST-YTD'!N:N)</f>
        <v>1</v>
      </c>
      <c r="AX4" s="1">
        <f>SUMIF('Input 5_2021CUST-YTD'!$S:$S,$G4,'Input 5_2021CUST-YTD'!C:C)</f>
        <v>1</v>
      </c>
      <c r="AY4" s="1">
        <f>SUMIF('Input 5_2021CUST-YTD'!$S:$S,$G4,'Input 5_2021CUST-YTD'!D:D)</f>
        <v>1</v>
      </c>
      <c r="AZ4" s="1">
        <f>SUMIF('Input 5_2021CUST-YTD'!$S:$S,$G4,'Input 5_2021CUST-YTD'!E:E)</f>
        <v>1</v>
      </c>
      <c r="BA4" s="1">
        <f>SUMIF('Input 5_2021CUST-YTD'!$S:$S,$G4,'Input 5_2021CUST-YTD'!F:F)</f>
        <v>1</v>
      </c>
      <c r="BB4" s="1">
        <f>SUMIF('Input 5_2021CUST-YTD'!$S:$S,$G4,'Input 5_2021CUST-YTD'!G:G)</f>
        <v>1</v>
      </c>
      <c r="BC4" s="1">
        <f>SUMIF('Input 5_2021CUST-YTD'!$S:$S,$G4,'Input 5_2021CUST-YTD'!H:H)</f>
        <v>1</v>
      </c>
      <c r="BD4" s="1">
        <f>SUMIF('Input 5_2021CUST-YTD'!$S:$S,$G4,'Input 5_2021CUST-YTD'!I:I)</f>
        <v>1</v>
      </c>
      <c r="BE4" s="1">
        <f>SUMIF('Input 5_2021CUST-YTD'!$S:$S,$G4,'Input 5_2021CUST-YTD'!J:J)</f>
        <v>1</v>
      </c>
      <c r="BF4" s="1">
        <f>SUMIF('Input 5_2021CUST-YTD'!$S:$S,$G4,'Input 5_2021CUST-YTD'!K:K)</f>
        <v>1</v>
      </c>
      <c r="BG4" s="1">
        <f>SUMIF('Input 5_2021CUST-YTD'!$S:$S,$G4,'Input 5_2021CUST-YTD'!L:L)</f>
        <v>1</v>
      </c>
      <c r="BH4" s="1">
        <f>SUMIF('Input 5_2021CUST-YTD'!$S:$S,$G4,'Input 5_2021CUST-YTD'!M:M)</f>
        <v>1</v>
      </c>
      <c r="BI4" s="1">
        <f>SUMIF('Input 5_2021CUST-YTD'!$S:$S,$G4,'Input 5_2021CUST-YTD'!N:N)</f>
        <v>1</v>
      </c>
      <c r="BJ4" s="190">
        <f t="shared" si="8"/>
        <v>1</v>
      </c>
      <c r="BK4" s="190">
        <f t="shared" si="9"/>
        <v>1</v>
      </c>
      <c r="BL4" s="190">
        <f t="shared" si="10"/>
        <v>1</v>
      </c>
      <c r="BM4" s="190">
        <f t="shared" si="11"/>
        <v>1</v>
      </c>
      <c r="BN4" s="190">
        <f t="shared" si="12"/>
        <v>1</v>
      </c>
      <c r="BO4" s="190">
        <f t="shared" si="13"/>
        <v>1</v>
      </c>
      <c r="BP4" s="190">
        <f t="shared" si="14"/>
        <v>1</v>
      </c>
      <c r="BQ4" s="190">
        <f t="shared" si="15"/>
        <v>1</v>
      </c>
      <c r="BR4" s="190">
        <f t="shared" si="16"/>
        <v>1</v>
      </c>
      <c r="BS4" s="190">
        <f t="shared" si="17"/>
        <v>1</v>
      </c>
      <c r="BT4" s="190">
        <f t="shared" si="18"/>
        <v>1</v>
      </c>
      <c r="BU4" s="190">
        <f t="shared" si="19"/>
        <v>1</v>
      </c>
      <c r="BV4" s="190">
        <f t="shared" si="20"/>
        <v>1</v>
      </c>
      <c r="BW4" s="190">
        <f t="shared" si="21"/>
        <v>1</v>
      </c>
      <c r="BX4" s="190">
        <f t="shared" si="22"/>
        <v>1</v>
      </c>
      <c r="BY4" s="190">
        <f t="shared" si="23"/>
        <v>1</v>
      </c>
      <c r="BZ4" s="190">
        <f t="shared" si="24"/>
        <v>1</v>
      </c>
      <c r="CA4" s="190">
        <f t="shared" si="25"/>
        <v>1</v>
      </c>
      <c r="CB4" s="190">
        <f t="shared" si="26"/>
        <v>1</v>
      </c>
      <c r="CC4" s="190">
        <f t="shared" si="27"/>
        <v>1</v>
      </c>
      <c r="CD4" s="190">
        <f t="shared" si="28"/>
        <v>1</v>
      </c>
      <c r="CE4" s="190">
        <f t="shared" si="29"/>
        <v>1</v>
      </c>
      <c r="CF4" s="190">
        <f t="shared" si="30"/>
        <v>1</v>
      </c>
      <c r="CG4" s="190">
        <f t="shared" si="31"/>
        <v>1</v>
      </c>
      <c r="CH4" s="264"/>
      <c r="CI4" s="264">
        <f t="shared" si="1"/>
        <v>12</v>
      </c>
      <c r="CJ4" s="264">
        <f t="shared" si="2"/>
        <v>12</v>
      </c>
      <c r="CK4" s="264">
        <f t="shared" si="3"/>
        <v>12</v>
      </c>
      <c r="CL4" s="264">
        <f t="shared" si="4"/>
        <v>12</v>
      </c>
      <c r="CM4" s="264">
        <f t="shared" si="5"/>
        <v>12</v>
      </c>
      <c r="CN4" s="264">
        <f t="shared" si="6"/>
        <v>12</v>
      </c>
      <c r="CP4" s="574">
        <f>SUMIF('Master '!D:D,D4,'Master '!AB:AB)</f>
        <v>12</v>
      </c>
      <c r="CQ4" s="574">
        <f>SUMIF('Master '!D:D,D4,'Master '!AC:AC)</f>
        <v>12</v>
      </c>
      <c r="CR4" s="264">
        <f t="shared" si="7"/>
        <v>0</v>
      </c>
      <c r="CS4" s="264">
        <f t="shared" si="7"/>
        <v>0</v>
      </c>
    </row>
    <row r="5" spans="1:99" s="261" customFormat="1">
      <c r="A5" s="55" t="s">
        <v>12</v>
      </c>
      <c r="B5" s="55" t="s">
        <v>993</v>
      </c>
      <c r="C5" s="55" t="s">
        <v>1245</v>
      </c>
      <c r="D5" s="55" t="s">
        <v>91</v>
      </c>
      <c r="E5" s="55" t="str">
        <f>VLOOKUP(D5,'Input 14_Ref Table'!C:D,2,FALSE)</f>
        <v>TS4I</v>
      </c>
      <c r="F5" s="172" t="s">
        <v>1286</v>
      </c>
      <c r="G5" s="55" t="str">
        <f>VLOOKUP(D5,'Input 14_Ref Table'!C:I,7,FALSE)</f>
        <v>IGC - IGC - TS4</v>
      </c>
      <c r="H5" s="55" t="str">
        <f>VLOOKUP(D5,'Input 14_Ref Table'!C:K,8,FALSE)</f>
        <v>Base Period</v>
      </c>
      <c r="I5" s="55"/>
      <c r="J5" s="261" t="str">
        <f>INDEX('Master '!$AD$2:AD$65,MATCH(D5,'Master '!$D$2:$D$65,0))</f>
        <v>Base Period</v>
      </c>
      <c r="K5" s="567">
        <f>INDEX('Master '!$N$2:N$65,MATCH(D5,'Master '!$D$2:$D$65,0))</f>
        <v>0</v>
      </c>
      <c r="L5" s="290">
        <f>INDEX('Master '!$S$2:S$65,MATCH(D5,'Master '!$D$2:$D$65,0))</f>
        <v>0</v>
      </c>
      <c r="M5" s="1">
        <f>INDEX('Master '!$W$2:W$65,MATCH(D5,'Master '!$D$2:$D$65,0))</f>
        <v>0</v>
      </c>
      <c r="N5" s="55">
        <f>SUMIF('Input 16_2018CUST-YTD'!$S:$S,$G5,'Input 16_2018CUST-YTD'!C:C)</f>
        <v>2</v>
      </c>
      <c r="O5" s="55">
        <f>SUMIF('Input 16_2018CUST-YTD'!$S:$S,$G5,'Input 16_2018CUST-YTD'!D:D)</f>
        <v>2</v>
      </c>
      <c r="P5" s="55">
        <f>SUMIF('Input 16_2018CUST-YTD'!$S:$S,$G5,'Input 16_2018CUST-YTD'!E:E)</f>
        <v>2</v>
      </c>
      <c r="Q5" s="55">
        <f>SUMIF('Input 16_2018CUST-YTD'!$S:$S,$G5,'Input 16_2018CUST-YTD'!F:F)</f>
        <v>2</v>
      </c>
      <c r="R5" s="55">
        <f>SUMIF('Input 16_2018CUST-YTD'!$S:$S,$G5,'Input 16_2018CUST-YTD'!G:G)</f>
        <v>2</v>
      </c>
      <c r="S5" s="55">
        <f>SUMIF('Input 16_2018CUST-YTD'!$S:$S,$G5,'Input 16_2018CUST-YTD'!H:H)</f>
        <v>2</v>
      </c>
      <c r="T5" s="55">
        <f>SUMIF('Input 16_2018CUST-YTD'!$S:$S,$G5,'Input 16_2018CUST-YTD'!I:I)</f>
        <v>2</v>
      </c>
      <c r="U5" s="55">
        <f>SUMIF('Input 16_2018CUST-YTD'!$S:$S,$G5,'Input 16_2018CUST-YTD'!J:J)</f>
        <v>2</v>
      </c>
      <c r="V5" s="55">
        <f>SUMIF('Input 16_2018CUST-YTD'!$S:$S,$G5,'Input 16_2018CUST-YTD'!K:K)</f>
        <v>2</v>
      </c>
      <c r="W5" s="55">
        <f>SUMIF('Input 16_2018CUST-YTD'!$S:$S,$G5,'Input 16_2018CUST-YTD'!L:L)</f>
        <v>2</v>
      </c>
      <c r="X5" s="55">
        <f>SUMIF('Input 16_2018CUST-YTD'!$S:$S,$G5,'Input 16_2018CUST-YTD'!M:M)</f>
        <v>2</v>
      </c>
      <c r="Y5" s="55">
        <f>SUMIF('Input 16_2018CUST-YTD'!$S:$S,$G5,'Input 16_2018CUST-YTD'!N:N)</f>
        <v>2</v>
      </c>
      <c r="Z5" s="1">
        <f>SUMIF('Input 3_2019CUST-YTD'!$S:$S,$G5,'Input 3_2019CUST-YTD'!C:C)</f>
        <v>2</v>
      </c>
      <c r="AA5" s="1">
        <f>SUMIF('Input 3_2019CUST-YTD'!$S:$S,$G5,'Input 3_2019CUST-YTD'!D:D)</f>
        <v>2</v>
      </c>
      <c r="AB5" s="1">
        <f>SUMIF('Input 3_2019CUST-YTD'!$S:$S,$G5,'Input 3_2019CUST-YTD'!E:E)</f>
        <v>2</v>
      </c>
      <c r="AC5" s="1">
        <f>SUMIF('Input 3_2019CUST-YTD'!$S:$S,$G5,'Input 3_2019CUST-YTD'!F:F)</f>
        <v>2</v>
      </c>
      <c r="AD5" s="1">
        <f>SUMIF('Input 3_2019CUST-YTD'!$S:$S,$G5,'Input 3_2019CUST-YTD'!G:G)</f>
        <v>2</v>
      </c>
      <c r="AE5" s="1">
        <f>SUMIF('Input 3_2019CUST-YTD'!$S:$S,$G5,'Input 3_2019CUST-YTD'!H:H)</f>
        <v>2</v>
      </c>
      <c r="AF5" s="1">
        <f>SUMIF('Input 3_2019CUST-YTD'!$S:$S,$G5,'Input 3_2019CUST-YTD'!I:I)</f>
        <v>2</v>
      </c>
      <c r="AG5" s="1">
        <f>SUMIF('Input 3_2019CUST-YTD'!$S:$S,$G5,'Input 3_2019CUST-YTD'!J:J)</f>
        <v>2</v>
      </c>
      <c r="AH5" s="1">
        <f>SUMIF('Input 3_2019CUST-YTD'!$S:$S,$G5,'Input 3_2019CUST-YTD'!K:K)</f>
        <v>2</v>
      </c>
      <c r="AI5" s="1">
        <f>SUMIF('Input 3_2019CUST-YTD'!$S:$S,$G5,'Input 3_2019CUST-YTD'!L:L)</f>
        <v>2</v>
      </c>
      <c r="AJ5" s="1">
        <f>SUMIF('Input 3_2019CUST-YTD'!$S:$S,$G5,'Input 3_2019CUST-YTD'!M:M)</f>
        <v>2</v>
      </c>
      <c r="AK5" s="1">
        <f>SUMIF('Input 3_2019CUST-YTD'!$S:$S,$G5,'Input 3_2019CUST-YTD'!N:N)</f>
        <v>2</v>
      </c>
      <c r="AL5" s="1">
        <f>SUMIF('Input 4_2020CUST-YTD'!$S:$S,$G5,'Input 4_2020CUST-YTD'!C:C)</f>
        <v>2</v>
      </c>
      <c r="AM5" s="1">
        <f>SUMIF('Input 4_2020CUST-YTD'!$S:$S,$G5,'Input 4_2020CUST-YTD'!D:D)</f>
        <v>2</v>
      </c>
      <c r="AN5" s="1">
        <f>SUMIF('Input 4_2020CUST-YTD'!$S:$S,$G5,'Input 4_2020CUST-YTD'!E:E)</f>
        <v>2</v>
      </c>
      <c r="AO5" s="1">
        <f>SUMIF('Input 4_2020CUST-YTD'!$S:$S,$G5,'Input 4_2020CUST-YTD'!F:F)</f>
        <v>2</v>
      </c>
      <c r="AP5" s="1">
        <f>SUMIF('Input 4_2020CUST-YTD'!$S:$S,$G5,'Input 4_2020CUST-YTD'!G:G)</f>
        <v>2</v>
      </c>
      <c r="AQ5" s="1">
        <f>SUMIF('Input 4_2020CUST-YTD'!$S:$S,$G5,'Input 4_2020CUST-YTD'!H:H)</f>
        <v>2</v>
      </c>
      <c r="AR5" s="1">
        <f>SUMIF('Input 4_2020CUST-YTD'!$S:$S,$G5,'Input 4_2020CUST-YTD'!I:I)</f>
        <v>2</v>
      </c>
      <c r="AS5" s="1">
        <f>SUMIF('Input 4_2020CUST-YTD'!$S:$S,$G5,'Input 4_2020CUST-YTD'!J:J)</f>
        <v>2</v>
      </c>
      <c r="AT5" s="1">
        <f>SUMIF('Input 4_2020CUST-YTD'!$S:$S,$G5,'Input 4_2020CUST-YTD'!K:K)</f>
        <v>2</v>
      </c>
      <c r="AU5" s="1">
        <f>SUMIF('Input 4_2020CUST-YTD'!$S:$S,$G5,'Input 4_2020CUST-YTD'!L:L)</f>
        <v>2</v>
      </c>
      <c r="AV5" s="1">
        <f>SUMIF('Input 4_2020CUST-YTD'!$S:$S,$G5,'Input 4_2020CUST-YTD'!M:M)</f>
        <v>2</v>
      </c>
      <c r="AW5" s="1">
        <f>SUMIF('Input 4_2020CUST-YTD'!$S:$S,$G5,'Input 4_2020CUST-YTD'!N:N)</f>
        <v>2</v>
      </c>
      <c r="AX5" s="1">
        <v>0</v>
      </c>
      <c r="AY5" s="1">
        <f>SUMIF('Input 5_2021CUST-YTD'!$S:$S,$G5,'Input 5_2021CUST-YTD'!D:D)</f>
        <v>0</v>
      </c>
      <c r="AZ5" s="1">
        <f>SUMIF('Input 5_2021CUST-YTD'!$S:$S,$G5,'Input 5_2021CUST-YTD'!E:E)</f>
        <v>0</v>
      </c>
      <c r="BA5" s="1">
        <f>SUMIF('Input 5_2021CUST-YTD'!$S:$S,$G5,'Input 5_2021CUST-YTD'!F:F)</f>
        <v>0</v>
      </c>
      <c r="BB5" s="1">
        <f>SUMIF('Input 5_2021CUST-YTD'!$S:$S,$G5,'Input 5_2021CUST-YTD'!G:G)</f>
        <v>0</v>
      </c>
      <c r="BC5" s="1">
        <f>SUMIF('Input 5_2021CUST-YTD'!$S:$S,$G5,'Input 5_2021CUST-YTD'!H:H)</f>
        <v>0</v>
      </c>
      <c r="BD5" s="1">
        <f>SUMIF('Input 5_2021CUST-YTD'!$S:$S,$G5,'Input 5_2021CUST-YTD'!I:I)</f>
        <v>0</v>
      </c>
      <c r="BE5" s="1">
        <f>SUMIF('Input 5_2021CUST-YTD'!$S:$S,$G5,'Input 5_2021CUST-YTD'!J:J)</f>
        <v>0</v>
      </c>
      <c r="BF5" s="1">
        <f>SUMIF('Input 5_2021CUST-YTD'!$S:$S,$G5,'Input 5_2021CUST-YTD'!K:K)</f>
        <v>0</v>
      </c>
      <c r="BG5" s="1">
        <f>SUMIF('Input 5_2021CUST-YTD'!$S:$S,$G5,'Input 5_2021CUST-YTD'!L:L)</f>
        <v>0</v>
      </c>
      <c r="BH5" s="1">
        <f>SUMIF('Input 5_2021CUST-YTD'!$S:$S,$G5,'Input 5_2021CUST-YTD'!M:M)</f>
        <v>0</v>
      </c>
      <c r="BI5" s="1">
        <f>SUMIF('Input 5_2021CUST-YTD'!$S:$S,$G5,'Input 5_2021CUST-YTD'!N:N)</f>
        <v>0</v>
      </c>
      <c r="BJ5" s="190">
        <f t="shared" si="8"/>
        <v>0</v>
      </c>
      <c r="BK5" s="190">
        <f t="shared" si="9"/>
        <v>0</v>
      </c>
      <c r="BL5" s="190">
        <f t="shared" si="10"/>
        <v>0</v>
      </c>
      <c r="BM5" s="190">
        <f t="shared" si="11"/>
        <v>0</v>
      </c>
      <c r="BN5" s="190">
        <f t="shared" si="12"/>
        <v>0</v>
      </c>
      <c r="BO5" s="190">
        <f t="shared" si="13"/>
        <v>0</v>
      </c>
      <c r="BP5" s="190">
        <f t="shared" si="14"/>
        <v>0</v>
      </c>
      <c r="BQ5" s="190">
        <f t="shared" si="15"/>
        <v>0</v>
      </c>
      <c r="BR5" s="190">
        <f t="shared" si="16"/>
        <v>0</v>
      </c>
      <c r="BS5" s="190">
        <f t="shared" si="17"/>
        <v>0</v>
      </c>
      <c r="BT5" s="190">
        <f t="shared" si="18"/>
        <v>0</v>
      </c>
      <c r="BU5" s="190">
        <f t="shared" si="19"/>
        <v>0</v>
      </c>
      <c r="BV5" s="190">
        <f t="shared" si="20"/>
        <v>0</v>
      </c>
      <c r="BW5" s="190">
        <f t="shared" si="21"/>
        <v>0</v>
      </c>
      <c r="BX5" s="190">
        <f t="shared" si="22"/>
        <v>0</v>
      </c>
      <c r="BY5" s="190">
        <f t="shared" si="23"/>
        <v>0</v>
      </c>
      <c r="BZ5" s="190">
        <f t="shared" si="24"/>
        <v>0</v>
      </c>
      <c r="CA5" s="190">
        <f t="shared" si="25"/>
        <v>0</v>
      </c>
      <c r="CB5" s="190">
        <f t="shared" si="26"/>
        <v>0</v>
      </c>
      <c r="CC5" s="190">
        <f t="shared" si="27"/>
        <v>0</v>
      </c>
      <c r="CD5" s="190">
        <f t="shared" si="28"/>
        <v>0</v>
      </c>
      <c r="CE5" s="190">
        <f t="shared" si="29"/>
        <v>0</v>
      </c>
      <c r="CF5" s="190">
        <f t="shared" si="30"/>
        <v>0</v>
      </c>
      <c r="CG5" s="190">
        <f t="shared" si="31"/>
        <v>0</v>
      </c>
      <c r="CH5" s="264"/>
      <c r="CI5" s="264">
        <f t="shared" si="1"/>
        <v>24</v>
      </c>
      <c r="CJ5" s="264">
        <f t="shared" si="2"/>
        <v>24</v>
      </c>
      <c r="CK5" s="264">
        <f t="shared" si="3"/>
        <v>24</v>
      </c>
      <c r="CL5" s="264">
        <f t="shared" si="4"/>
        <v>0</v>
      </c>
      <c r="CM5" s="264">
        <f t="shared" si="5"/>
        <v>0</v>
      </c>
      <c r="CN5" s="264">
        <f t="shared" si="6"/>
        <v>0</v>
      </c>
      <c r="CP5" s="574">
        <f>SUMIF('Master '!D:D,D5,'Master '!AB:AB)</f>
        <v>0</v>
      </c>
      <c r="CQ5" s="574">
        <f>SUMIF('Master '!D:D,D5,'Master '!AC:AC)</f>
        <v>0</v>
      </c>
      <c r="CR5" s="264">
        <f t="shared" si="7"/>
        <v>0</v>
      </c>
      <c r="CS5" s="264">
        <f t="shared" si="7"/>
        <v>0</v>
      </c>
    </row>
    <row r="6" spans="1:99" s="261" customFormat="1">
      <c r="A6" s="55" t="s">
        <v>12</v>
      </c>
      <c r="B6" s="55" t="s">
        <v>993</v>
      </c>
      <c r="C6" s="55" t="s">
        <v>1245</v>
      </c>
      <c r="D6" s="55" t="s">
        <v>93</v>
      </c>
      <c r="E6" s="55" t="str">
        <f>VLOOKUP(D6,'Input 14_Ref Table'!C:D,2,FALSE)</f>
        <v>TSNGV</v>
      </c>
      <c r="F6" s="172" t="s">
        <v>1286</v>
      </c>
      <c r="G6" s="55" t="str">
        <f>VLOOKUP(D6,'Input 14_Ref Table'!C:I,7,FALSE)</f>
        <v>TSNGV</v>
      </c>
      <c r="H6" s="55" t="str">
        <f>VLOOKUP(D6,'Input 14_Ref Table'!C:K,8,FALSE)</f>
        <v>Base Period</v>
      </c>
      <c r="I6" s="55"/>
      <c r="J6" s="261" t="str">
        <f>INDEX('Master '!$AD$2:AD$65,MATCH(D6,'Master '!$D$2:$D$65,0))</f>
        <v>Base Period</v>
      </c>
      <c r="K6" s="567">
        <f>INDEX('Master '!$N$2:N$65,MATCH(D6,'Master '!$D$2:$D$65,0))</f>
        <v>0</v>
      </c>
      <c r="L6" s="290">
        <f>INDEX('Master '!$S$2:S$65,MATCH(D6,'Master '!$D$2:$D$65,0))</f>
        <v>0</v>
      </c>
      <c r="M6" s="1">
        <f>INDEX('Master '!$W$2:W$65,MATCH(D6,'Master '!$D$2:$D$65,0))</f>
        <v>0</v>
      </c>
      <c r="N6" s="55">
        <f>SUMIF('Input 16_2018CUST-YTD'!$S:$S,$G6,'Input 16_2018CUST-YTD'!C:C)</f>
        <v>0</v>
      </c>
      <c r="O6" s="55">
        <f>SUMIF('Input 16_2018CUST-YTD'!$S:$S,$G6,'Input 16_2018CUST-YTD'!D:D)</f>
        <v>0</v>
      </c>
      <c r="P6" s="55">
        <f>SUMIF('Input 16_2018CUST-YTD'!$S:$S,$G6,'Input 16_2018CUST-YTD'!E:E)</f>
        <v>0</v>
      </c>
      <c r="Q6" s="55">
        <f>SUMIF('Input 16_2018CUST-YTD'!$S:$S,$G6,'Input 16_2018CUST-YTD'!F:F)</f>
        <v>0</v>
      </c>
      <c r="R6" s="55">
        <f>SUMIF('Input 16_2018CUST-YTD'!$S:$S,$G6,'Input 16_2018CUST-YTD'!G:G)</f>
        <v>0</v>
      </c>
      <c r="S6" s="55">
        <f>SUMIF('Input 16_2018CUST-YTD'!$S:$S,$G6,'Input 16_2018CUST-YTD'!H:H)</f>
        <v>0</v>
      </c>
      <c r="T6" s="55">
        <f>SUMIF('Input 16_2018CUST-YTD'!$S:$S,$G6,'Input 16_2018CUST-YTD'!I:I)</f>
        <v>0</v>
      </c>
      <c r="U6" s="55">
        <f>SUMIF('Input 16_2018CUST-YTD'!$S:$S,$G6,'Input 16_2018CUST-YTD'!J:J)</f>
        <v>0</v>
      </c>
      <c r="V6" s="55">
        <f>SUMIF('Input 16_2018CUST-YTD'!$S:$S,$G6,'Input 16_2018CUST-YTD'!K:K)</f>
        <v>0</v>
      </c>
      <c r="W6" s="55">
        <f>SUMIF('Input 16_2018CUST-YTD'!$S:$S,$G6,'Input 16_2018CUST-YTD'!L:L)</f>
        <v>0</v>
      </c>
      <c r="X6" s="55">
        <f>SUMIF('Input 16_2018CUST-YTD'!$S:$S,$G6,'Input 16_2018CUST-YTD'!M:M)</f>
        <v>0</v>
      </c>
      <c r="Y6" s="55">
        <f>SUMIF('Input 16_2018CUST-YTD'!$S:$S,$G6,'Input 16_2018CUST-YTD'!N:N)</f>
        <v>0</v>
      </c>
      <c r="Z6" s="1">
        <f>SUMIF('Input 3_2019CUST-YTD'!$S:$S,$G6,'Input 3_2019CUST-YTD'!C:C)</f>
        <v>0</v>
      </c>
      <c r="AA6" s="1">
        <f>SUMIF('Input 3_2019CUST-YTD'!$S:$S,$G6,'Input 3_2019CUST-YTD'!D:D)</f>
        <v>0</v>
      </c>
      <c r="AB6" s="1">
        <f>SUMIF('Input 3_2019CUST-YTD'!$S:$S,$G6,'Input 3_2019CUST-YTD'!E:E)</f>
        <v>0</v>
      </c>
      <c r="AC6" s="1">
        <f>SUMIF('Input 3_2019CUST-YTD'!$S:$S,$G6,'Input 3_2019CUST-YTD'!F:F)</f>
        <v>0</v>
      </c>
      <c r="AD6" s="1">
        <f>SUMIF('Input 3_2019CUST-YTD'!$S:$S,$G6,'Input 3_2019CUST-YTD'!G:G)</f>
        <v>0</v>
      </c>
      <c r="AE6" s="1">
        <f>SUMIF('Input 3_2019CUST-YTD'!$S:$S,$G6,'Input 3_2019CUST-YTD'!H:H)</f>
        <v>0</v>
      </c>
      <c r="AF6" s="1">
        <f>SUMIF('Input 3_2019CUST-YTD'!$S:$S,$G6,'Input 3_2019CUST-YTD'!I:I)</f>
        <v>0</v>
      </c>
      <c r="AG6" s="1">
        <f>SUMIF('Input 3_2019CUST-YTD'!$S:$S,$G6,'Input 3_2019CUST-YTD'!J:J)</f>
        <v>0</v>
      </c>
      <c r="AH6" s="1">
        <f>SUMIF('Input 3_2019CUST-YTD'!$S:$S,$G6,'Input 3_2019CUST-YTD'!K:K)</f>
        <v>0</v>
      </c>
      <c r="AI6" s="1">
        <f>SUMIF('Input 3_2019CUST-YTD'!$S:$S,$G6,'Input 3_2019CUST-YTD'!L:L)</f>
        <v>0</v>
      </c>
      <c r="AJ6" s="1">
        <f>SUMIF('Input 3_2019CUST-YTD'!$S:$S,$G6,'Input 3_2019CUST-YTD'!M:M)</f>
        <v>0</v>
      </c>
      <c r="AK6" s="1">
        <f>SUMIF('Input 3_2019CUST-YTD'!$S:$S,$G6,'Input 3_2019CUST-YTD'!N:N)</f>
        <v>0</v>
      </c>
      <c r="AL6" s="1">
        <f>SUMIF('Input 4_2020CUST-YTD'!$S:$S,$G6,'Input 4_2020CUST-YTD'!C:C)</f>
        <v>0</v>
      </c>
      <c r="AM6" s="1">
        <f>SUMIF('Input 4_2020CUST-YTD'!$S:$S,$G6,'Input 4_2020CUST-YTD'!D:D)</f>
        <v>0</v>
      </c>
      <c r="AN6" s="1">
        <f>SUMIF('Input 4_2020CUST-YTD'!$S:$S,$G6,'Input 4_2020CUST-YTD'!E:E)</f>
        <v>0</v>
      </c>
      <c r="AO6" s="1">
        <f>SUMIF('Input 4_2020CUST-YTD'!$S:$S,$G6,'Input 4_2020CUST-YTD'!F:F)</f>
        <v>0</v>
      </c>
      <c r="AP6" s="1">
        <f>SUMIF('Input 4_2020CUST-YTD'!$S:$S,$G6,'Input 4_2020CUST-YTD'!G:G)</f>
        <v>0</v>
      </c>
      <c r="AQ6" s="1">
        <f>SUMIF('Input 4_2020CUST-YTD'!$S:$S,$G6,'Input 4_2020CUST-YTD'!H:H)</f>
        <v>0</v>
      </c>
      <c r="AR6" s="1">
        <f>SUMIF('Input 4_2020CUST-YTD'!$S:$S,$G6,'Input 4_2020CUST-YTD'!I:I)</f>
        <v>0</v>
      </c>
      <c r="AS6" s="1">
        <f>SUMIF('Input 4_2020CUST-YTD'!$S:$S,$G6,'Input 4_2020CUST-YTD'!J:J)</f>
        <v>0</v>
      </c>
      <c r="AT6" s="1">
        <f>SUMIF('Input 4_2020CUST-YTD'!$S:$S,$G6,'Input 4_2020CUST-YTD'!K:K)</f>
        <v>0</v>
      </c>
      <c r="AU6" s="1">
        <f>SUMIF('Input 4_2020CUST-YTD'!$S:$S,$G6,'Input 4_2020CUST-YTD'!L:L)</f>
        <v>0</v>
      </c>
      <c r="AV6" s="1">
        <f>SUMIF('Input 4_2020CUST-YTD'!$S:$S,$G6,'Input 4_2020CUST-YTD'!M:M)</f>
        <v>0</v>
      </c>
      <c r="AW6" s="1">
        <f>SUMIF('Input 4_2020CUST-YTD'!$S:$S,$G6,'Input 4_2020CUST-YTD'!N:N)</f>
        <v>0</v>
      </c>
      <c r="AX6" s="1">
        <f>SUMIF('Input 5_2021CUST-YTD'!$S:$S,$G6,'Input 5_2021CUST-YTD'!C:C)</f>
        <v>0</v>
      </c>
      <c r="AY6" s="1">
        <f>SUMIF('Input 5_2021CUST-YTD'!$S:$S,$G6,'Input 5_2021CUST-YTD'!D:D)</f>
        <v>0</v>
      </c>
      <c r="AZ6" s="1">
        <f>SUMIF('Input 5_2021CUST-YTD'!$S:$S,$G6,'Input 5_2021CUST-YTD'!E:E)</f>
        <v>0</v>
      </c>
      <c r="BA6" s="1">
        <f>SUMIF('Input 5_2021CUST-YTD'!$S:$S,$G6,'Input 5_2021CUST-YTD'!F:F)</f>
        <v>0</v>
      </c>
      <c r="BB6" s="1">
        <f>SUMIF('Input 5_2021CUST-YTD'!$S:$S,$G6,'Input 5_2021CUST-YTD'!G:G)</f>
        <v>0</v>
      </c>
      <c r="BC6" s="1">
        <f>SUMIF('Input 5_2021CUST-YTD'!$S:$S,$G6,'Input 5_2021CUST-YTD'!H:H)</f>
        <v>0</v>
      </c>
      <c r="BD6" s="1">
        <f>SUMIF('Input 5_2021CUST-YTD'!$S:$S,$G6,'Input 5_2021CUST-YTD'!I:I)</f>
        <v>0</v>
      </c>
      <c r="BE6" s="1">
        <f>SUMIF('Input 5_2021CUST-YTD'!$S:$S,$G6,'Input 5_2021CUST-YTD'!J:J)</f>
        <v>0</v>
      </c>
      <c r="BF6" s="1">
        <f>SUMIF('Input 5_2021CUST-YTD'!$S:$S,$G6,'Input 5_2021CUST-YTD'!K:K)</f>
        <v>0</v>
      </c>
      <c r="BG6" s="1">
        <f>SUMIF('Input 5_2021CUST-YTD'!$S:$S,$G6,'Input 5_2021CUST-YTD'!L:L)</f>
        <v>0</v>
      </c>
      <c r="BH6" s="1">
        <f>SUMIF('Input 5_2021CUST-YTD'!$S:$S,$G6,'Input 5_2021CUST-YTD'!M:M)</f>
        <v>0</v>
      </c>
      <c r="BI6" s="1">
        <f>SUMIF('Input 5_2021CUST-YTD'!$S:$S,$G6,'Input 5_2021CUST-YTD'!N:N)</f>
        <v>0</v>
      </c>
      <c r="BJ6" s="190">
        <f t="shared" si="8"/>
        <v>0</v>
      </c>
      <c r="BK6" s="190">
        <f t="shared" si="9"/>
        <v>0</v>
      </c>
      <c r="BL6" s="190">
        <f t="shared" si="10"/>
        <v>0</v>
      </c>
      <c r="BM6" s="190">
        <f t="shared" si="11"/>
        <v>0</v>
      </c>
      <c r="BN6" s="190">
        <f t="shared" si="12"/>
        <v>0</v>
      </c>
      <c r="BO6" s="190">
        <f t="shared" si="13"/>
        <v>0</v>
      </c>
      <c r="BP6" s="190">
        <f t="shared" si="14"/>
        <v>0</v>
      </c>
      <c r="BQ6" s="190">
        <f t="shared" si="15"/>
        <v>0</v>
      </c>
      <c r="BR6" s="190">
        <f t="shared" si="16"/>
        <v>0</v>
      </c>
      <c r="BS6" s="190">
        <f t="shared" si="17"/>
        <v>0</v>
      </c>
      <c r="BT6" s="190">
        <f t="shared" si="18"/>
        <v>0</v>
      </c>
      <c r="BU6" s="190">
        <f t="shared" si="19"/>
        <v>0</v>
      </c>
      <c r="BV6" s="190">
        <f t="shared" si="20"/>
        <v>0</v>
      </c>
      <c r="BW6" s="190">
        <f t="shared" si="21"/>
        <v>0</v>
      </c>
      <c r="BX6" s="190">
        <f t="shared" si="22"/>
        <v>0</v>
      </c>
      <c r="BY6" s="190">
        <f t="shared" si="23"/>
        <v>0</v>
      </c>
      <c r="BZ6" s="190">
        <f t="shared" si="24"/>
        <v>0</v>
      </c>
      <c r="CA6" s="190">
        <f t="shared" si="25"/>
        <v>0</v>
      </c>
      <c r="CB6" s="190">
        <f t="shared" si="26"/>
        <v>0</v>
      </c>
      <c r="CC6" s="190">
        <f t="shared" si="27"/>
        <v>0</v>
      </c>
      <c r="CD6" s="190">
        <f t="shared" si="28"/>
        <v>0</v>
      </c>
      <c r="CE6" s="190">
        <f t="shared" si="29"/>
        <v>0</v>
      </c>
      <c r="CF6" s="190">
        <f t="shared" si="30"/>
        <v>0</v>
      </c>
      <c r="CG6" s="190">
        <f t="shared" si="31"/>
        <v>0</v>
      </c>
      <c r="CH6" s="264"/>
      <c r="CI6" s="264">
        <f t="shared" si="1"/>
        <v>0</v>
      </c>
      <c r="CJ6" s="264">
        <f t="shared" si="2"/>
        <v>0</v>
      </c>
      <c r="CK6" s="264">
        <f t="shared" si="3"/>
        <v>0</v>
      </c>
      <c r="CL6" s="264">
        <f t="shared" si="4"/>
        <v>0</v>
      </c>
      <c r="CM6" s="264">
        <f t="shared" si="5"/>
        <v>0</v>
      </c>
      <c r="CN6" s="264">
        <f t="shared" si="6"/>
        <v>0</v>
      </c>
      <c r="CP6" s="574">
        <f>SUMIF('Master '!D:D,D6,'Master '!AB:AB)</f>
        <v>0</v>
      </c>
      <c r="CQ6" s="574">
        <f>SUMIF('Master '!D:D,D6,'Master '!AC:AC)</f>
        <v>0</v>
      </c>
      <c r="CR6" s="264">
        <f t="shared" si="7"/>
        <v>0</v>
      </c>
      <c r="CS6" s="264">
        <f t="shared" si="7"/>
        <v>0</v>
      </c>
    </row>
    <row r="7" spans="1:99" s="261" customFormat="1">
      <c r="A7" s="55" t="s">
        <v>996</v>
      </c>
      <c r="B7" s="55" t="s">
        <v>994</v>
      </c>
      <c r="C7" s="55" t="s">
        <v>8</v>
      </c>
      <c r="D7" s="55" t="s">
        <v>94</v>
      </c>
      <c r="E7" s="55" t="str">
        <f>VLOOKUP(D7,'Input 14_Ref Table'!C:D,2,FALSE)</f>
        <v>FMRES</v>
      </c>
      <c r="F7" s="172" t="s">
        <v>1286</v>
      </c>
      <c r="G7" s="55" t="str">
        <f>VLOOKUP(D7,'Input 14_Ref Table'!C:I,7,FALSE)</f>
        <v>FT - FT-RS</v>
      </c>
      <c r="H7" s="55" t="str">
        <f>VLOOKUP(D7,'Input 14_Ref Table'!C:K,8,FALSE)</f>
        <v>FortMeade_RS</v>
      </c>
      <c r="I7" s="55"/>
      <c r="J7" s="261" t="str">
        <f>INDEX('Master '!$AD$2:AD$65,MATCH(D7,'Master '!$D$2:$D$65,0))</f>
        <v>Modeled UPC</v>
      </c>
      <c r="K7" s="567">
        <f>INDEX('Master '!$N$2:N$65,MATCH(D7,'Master '!$D$2:$D$65,0))</f>
        <v>-5.2281762574494024E-2</v>
      </c>
      <c r="L7" s="290">
        <f>INDEX('Master '!$S$2:S$65,MATCH(D7,'Master '!$D$2:$D$65,0))</f>
        <v>-1.1031629750926494E-2</v>
      </c>
      <c r="M7" s="1">
        <f>INDEX('Master '!$W$2:W$65,MATCH(D7,'Master '!$D$2:$D$65,0))</f>
        <v>114.75</v>
      </c>
      <c r="N7" s="55">
        <f>SUMIF('Input 16_2018CUST-YTD'!$S:$S,$G7,'Input 16_2018CUST-YTD'!C:C)</f>
        <v>582</v>
      </c>
      <c r="O7" s="55">
        <f>SUMIF('Input 16_2018CUST-YTD'!$S:$S,$G7,'Input 16_2018CUST-YTD'!D:D)</f>
        <v>581</v>
      </c>
      <c r="P7" s="55">
        <f>SUMIF('Input 16_2018CUST-YTD'!$S:$S,$G7,'Input 16_2018CUST-YTD'!E:E)</f>
        <v>584</v>
      </c>
      <c r="Q7" s="55">
        <f>SUMIF('Input 16_2018CUST-YTD'!$S:$S,$G7,'Input 16_2018CUST-YTD'!F:F)</f>
        <v>577</v>
      </c>
      <c r="R7" s="55">
        <f>SUMIF('Input 16_2018CUST-YTD'!$S:$S,$G7,'Input 16_2018CUST-YTD'!G:G)</f>
        <v>565</v>
      </c>
      <c r="S7" s="55">
        <f>SUMIF('Input 16_2018CUST-YTD'!$S:$S,$G7,'Input 16_2018CUST-YTD'!H:H)</f>
        <v>561</v>
      </c>
      <c r="T7" s="55">
        <f>SUMIF('Input 16_2018CUST-YTD'!$S:$S,$G7,'Input 16_2018CUST-YTD'!I:I)</f>
        <v>561</v>
      </c>
      <c r="U7" s="55">
        <f>SUMIF('Input 16_2018CUST-YTD'!$S:$S,$G7,'Input 16_2018CUST-YTD'!J:J)</f>
        <v>557</v>
      </c>
      <c r="V7" s="55">
        <f>SUMIF('Input 16_2018CUST-YTD'!$S:$S,$G7,'Input 16_2018CUST-YTD'!K:K)</f>
        <v>560</v>
      </c>
      <c r="W7" s="55">
        <f>SUMIF('Input 16_2018CUST-YTD'!$S:$S,$G7,'Input 16_2018CUST-YTD'!L:L)</f>
        <v>558</v>
      </c>
      <c r="X7" s="55">
        <f>SUMIF('Input 16_2018CUST-YTD'!$S:$S,$G7,'Input 16_2018CUST-YTD'!M:M)</f>
        <v>560</v>
      </c>
      <c r="Y7" s="55">
        <f>SUMIF('Input 16_2018CUST-YTD'!$S:$S,$G7,'Input 16_2018CUST-YTD'!N:N)</f>
        <v>560</v>
      </c>
      <c r="Z7" s="1">
        <f>SUMIF('Input 3_2019CUST-YTD'!$S:$S,$G7,'Input 3_2019CUST-YTD'!C:C)</f>
        <v>564</v>
      </c>
      <c r="AA7" s="1">
        <f>SUMIF('Input 3_2019CUST-YTD'!$S:$S,$G7,'Input 3_2019CUST-YTD'!D:D)</f>
        <v>568</v>
      </c>
      <c r="AB7" s="1">
        <f>SUMIF('Input 3_2019CUST-YTD'!$S:$S,$G7,'Input 3_2019CUST-YTD'!E:E)</f>
        <v>567</v>
      </c>
      <c r="AC7" s="1">
        <f>SUMIF('Input 3_2019CUST-YTD'!$S:$S,$G7,'Input 3_2019CUST-YTD'!F:F)</f>
        <v>570</v>
      </c>
      <c r="AD7" s="1">
        <f>SUMIF('Input 3_2019CUST-YTD'!$S:$S,$G7,'Input 3_2019CUST-YTD'!G:G)</f>
        <v>561</v>
      </c>
      <c r="AE7" s="1">
        <f>SUMIF('Input 3_2019CUST-YTD'!$S:$S,$G7,'Input 3_2019CUST-YTD'!H:H)</f>
        <v>558</v>
      </c>
      <c r="AF7" s="1">
        <f>SUMIF('Input 3_2019CUST-YTD'!$S:$S,$G7,'Input 3_2019CUST-YTD'!I:I)</f>
        <v>554</v>
      </c>
      <c r="AG7" s="1">
        <f>SUMIF('Input 3_2019CUST-YTD'!$S:$S,$G7,'Input 3_2019CUST-YTD'!J:J)</f>
        <v>554</v>
      </c>
      <c r="AH7" s="1">
        <f>SUMIF('Input 3_2019CUST-YTD'!$S:$S,$G7,'Input 3_2019CUST-YTD'!K:K)</f>
        <v>553</v>
      </c>
      <c r="AI7" s="1">
        <f>SUMIF('Input 3_2019CUST-YTD'!$S:$S,$G7,'Input 3_2019CUST-YTD'!L:L)</f>
        <v>556</v>
      </c>
      <c r="AJ7" s="1">
        <f>SUMIF('Input 3_2019CUST-YTD'!$S:$S,$G7,'Input 3_2019CUST-YTD'!M:M)</f>
        <v>554</v>
      </c>
      <c r="AK7" s="1">
        <f>SUMIF('Input 3_2019CUST-YTD'!$S:$S,$G7,'Input 3_2019CUST-YTD'!N:N)</f>
        <v>561</v>
      </c>
      <c r="AL7" s="1">
        <f>SUMIF('Input 4_2020CUST-YTD'!$S:$S,$G7,'Input 4_2020CUST-YTD'!C:C)</f>
        <v>565</v>
      </c>
      <c r="AM7" s="1">
        <f>SUMIF('Input 4_2020CUST-YTD'!$S:$S,$G7,'Input 4_2020CUST-YTD'!D:D)</f>
        <v>564</v>
      </c>
      <c r="AN7" s="1">
        <f>SUMIF('Input 4_2020CUST-YTD'!$S:$S,$G7,'Input 4_2020CUST-YTD'!E:E)</f>
        <v>563</v>
      </c>
      <c r="AO7" s="1">
        <f>SUMIF('Input 4_2020CUST-YTD'!$S:$S,$G7,'Input 4_2020CUST-YTD'!F:F)</f>
        <v>556</v>
      </c>
      <c r="AP7" s="1">
        <f>SUMIF('Input 4_2020CUST-YTD'!$S:$S,$G7,'Input 4_2020CUST-YTD'!G:G)</f>
        <v>549</v>
      </c>
      <c r="AQ7" s="1">
        <f>SUMIF('Input 4_2020CUST-YTD'!$S:$S,$G7,'Input 4_2020CUST-YTD'!H:H)</f>
        <v>545</v>
      </c>
      <c r="AR7" s="1">
        <f>SUMIF('Input 4_2020CUST-YTD'!$S:$S,$G7,'Input 4_2020CUST-YTD'!I:I)</f>
        <v>549</v>
      </c>
      <c r="AS7" s="1">
        <f>SUMIF('Input 4_2020CUST-YTD'!$S:$S,$G7,'Input 4_2020CUST-YTD'!J:J)</f>
        <v>549</v>
      </c>
      <c r="AT7" s="1">
        <f>SUMIF('Input 4_2020CUST-YTD'!$S:$S,$G7,'Input 4_2020CUST-YTD'!K:K)</f>
        <v>551</v>
      </c>
      <c r="AU7" s="1">
        <f>SUMIF('Input 4_2020CUST-YTD'!$S:$S,$G7,'Input 4_2020CUST-YTD'!L:L)</f>
        <v>554</v>
      </c>
      <c r="AV7" s="1">
        <f>SUMIF('Input 4_2020CUST-YTD'!$S:$S,$G7,'Input 4_2020CUST-YTD'!M:M)</f>
        <v>553</v>
      </c>
      <c r="AW7" s="1">
        <f>SUMIF('Input 4_2020CUST-YTD'!$S:$S,$G7,'Input 4_2020CUST-YTD'!N:N)</f>
        <v>554</v>
      </c>
      <c r="AX7" s="1">
        <f>SUMIF('Input 5_2021CUST-YTD'!$S:$S,$G7,'Input 5_2021CUST-YTD'!C:C)</f>
        <v>560</v>
      </c>
      <c r="AY7" s="1">
        <f>SUMIF('Input 5_2021CUST-YTD'!$S:$S,$G7,'Input 5_2021CUST-YTD'!D:D)</f>
        <v>565</v>
      </c>
      <c r="AZ7" s="1">
        <f>SUMIF('Input 5_2021CUST-YTD'!$S:$S,$G7,'Input 5_2021CUST-YTD'!E:E)</f>
        <v>563</v>
      </c>
      <c r="BA7" s="1">
        <f>SUMIF('Input 5_2021CUST-YTD'!$S:$S,$G7,'Input 5_2021CUST-YTD'!F:F)</f>
        <v>563</v>
      </c>
      <c r="BB7" s="1">
        <f>SUMIF('Input 5_2021CUST-YTD'!$S:$S,$G7,'Input 5_2021CUST-YTD'!G:G)</f>
        <v>550</v>
      </c>
      <c r="BC7" s="1">
        <f>SUMIF('Input 5_2021CUST-YTD'!$S:$S,$G7,'Input 5_2021CUST-YTD'!H:H)</f>
        <v>548</v>
      </c>
      <c r="BD7" s="1">
        <f>SUMIF('Input 5_2021CUST-YTD'!$S:$S,$G7,'Input 5_2021CUST-YTD'!I:I)</f>
        <v>552</v>
      </c>
      <c r="BE7" s="1">
        <f>SUMIF('Input 5_2021CUST-YTD'!$S:$S,$G7,'Input 5_2021CUST-YTD'!J:J)</f>
        <v>547</v>
      </c>
      <c r="BF7" s="1">
        <f>SUMIF('Input 5_2021CUST-YTD'!$S:$S,$G7,'Input 5_2021CUST-YTD'!K:K)</f>
        <v>548</v>
      </c>
      <c r="BG7" s="1">
        <f>SUMIF('Input 5_2021CUST-YTD'!$S:$S,$G7,'Input 5_2021CUST-YTD'!L:L)</f>
        <v>545</v>
      </c>
      <c r="BH7" s="1">
        <f>SUMIF('Input 5_2021CUST-YTD'!$S:$S,$G7,'Input 5_2021CUST-YTD'!M:M)</f>
        <v>544</v>
      </c>
      <c r="BI7" s="1">
        <f>SUMIF('Input 5_2021CUST-YTD'!$S:$S,$G7,'Input 5_2021CUST-YTD'!N:N)</f>
        <v>546</v>
      </c>
      <c r="BJ7" s="190">
        <f t="shared" si="8"/>
        <v>530.72221295828331</v>
      </c>
      <c r="BK7" s="190">
        <f t="shared" si="9"/>
        <v>535.46080414541086</v>
      </c>
      <c r="BL7" s="190">
        <f t="shared" si="10"/>
        <v>533.56536767055991</v>
      </c>
      <c r="BM7" s="190">
        <f t="shared" si="11"/>
        <v>533.56536767055991</v>
      </c>
      <c r="BN7" s="190">
        <f t="shared" si="12"/>
        <v>521.24503058402831</v>
      </c>
      <c r="BO7" s="190">
        <f t="shared" si="13"/>
        <v>519.34959410917725</v>
      </c>
      <c r="BP7" s="190">
        <f t="shared" si="14"/>
        <v>523.14046705887927</v>
      </c>
      <c r="BQ7" s="190">
        <f t="shared" si="15"/>
        <v>518.40187587175183</v>
      </c>
      <c r="BR7" s="190">
        <f t="shared" si="16"/>
        <v>519.34959410917725</v>
      </c>
      <c r="BS7" s="190">
        <f t="shared" si="17"/>
        <v>516.50643939690076</v>
      </c>
      <c r="BT7" s="190">
        <f t="shared" si="18"/>
        <v>515.55872115947523</v>
      </c>
      <c r="BU7" s="190">
        <f t="shared" si="19"/>
        <v>517.45415763432629</v>
      </c>
      <c r="BV7" s="190">
        <f t="shared" si="20"/>
        <v>502.97512022738829</v>
      </c>
      <c r="BW7" s="190">
        <f t="shared" si="21"/>
        <v>507.46596951513283</v>
      </c>
      <c r="BX7" s="190">
        <f t="shared" si="22"/>
        <v>505.66962980003507</v>
      </c>
      <c r="BY7" s="190">
        <f t="shared" si="23"/>
        <v>505.66962980003507</v>
      </c>
      <c r="BZ7" s="190">
        <f t="shared" si="24"/>
        <v>493.99342165189927</v>
      </c>
      <c r="CA7" s="190">
        <f t="shared" si="25"/>
        <v>492.1970819368014</v>
      </c>
      <c r="CB7" s="190">
        <f t="shared" si="26"/>
        <v>495.78976136699703</v>
      </c>
      <c r="CC7" s="190">
        <f t="shared" si="27"/>
        <v>491.2989120792526</v>
      </c>
      <c r="CD7" s="190">
        <f t="shared" si="28"/>
        <v>492.1970819368014</v>
      </c>
      <c r="CE7" s="190">
        <f t="shared" si="29"/>
        <v>489.50257236415473</v>
      </c>
      <c r="CF7" s="190">
        <f t="shared" si="30"/>
        <v>488.60440250660577</v>
      </c>
      <c r="CG7" s="190">
        <f t="shared" si="31"/>
        <v>490.40074222170364</v>
      </c>
      <c r="CH7" s="264"/>
      <c r="CI7" s="264">
        <f t="shared" si="1"/>
        <v>6806</v>
      </c>
      <c r="CJ7" s="264">
        <f t="shared" si="2"/>
        <v>6720</v>
      </c>
      <c r="CK7" s="264">
        <f t="shared" si="3"/>
        <v>6652</v>
      </c>
      <c r="CL7" s="264">
        <f t="shared" si="4"/>
        <v>6631</v>
      </c>
      <c r="CM7" s="264">
        <f t="shared" si="5"/>
        <v>6284.3196323685306</v>
      </c>
      <c r="CN7" s="264">
        <f t="shared" si="6"/>
        <v>5955.7643254068071</v>
      </c>
      <c r="CP7" s="574">
        <f>SUMIF('Master '!D:D,D7,'Master '!AB:AB)</f>
        <v>6284.3196323685306</v>
      </c>
      <c r="CQ7" s="574">
        <f>SUMIF('Master '!D:D,D7,'Master '!AC:AC)</f>
        <v>5955.764325406808</v>
      </c>
      <c r="CR7" s="264">
        <f t="shared" si="7"/>
        <v>0</v>
      </c>
      <c r="CS7" s="264">
        <f t="shared" si="7"/>
        <v>0</v>
      </c>
    </row>
    <row r="8" spans="1:99" s="261" customFormat="1">
      <c r="A8" s="55" t="s">
        <v>996</v>
      </c>
      <c r="B8" s="55" t="s">
        <v>994</v>
      </c>
      <c r="C8" s="55" t="s">
        <v>1245</v>
      </c>
      <c r="D8" s="55" t="s">
        <v>96</v>
      </c>
      <c r="E8" s="55" t="str">
        <f>VLOOKUP(D8,'Input 14_Ref Table'!C:D,2,FALSE)</f>
        <v>FMCS1</v>
      </c>
      <c r="F8" s="172" t="s">
        <v>1286</v>
      </c>
      <c r="G8" s="55" t="str">
        <f>VLOOKUP(D8,'Input 14_Ref Table'!C:I,7,FALSE)</f>
        <v>FMCS1</v>
      </c>
      <c r="H8" s="55" t="str">
        <f>VLOOKUP(D8,'Input 14_Ref Table'!C:K,8,FALSE)</f>
        <v>GS1_FortMeade</v>
      </c>
      <c r="I8" s="55"/>
      <c r="J8" s="261" t="str">
        <f>INDEX('Master '!$AD$2:AD$65,MATCH(D8,'Master '!$D$2:$D$65,0))</f>
        <v>UPC Growth Rate</v>
      </c>
      <c r="K8" s="567">
        <f>INDEX('Master '!$N$2:N$65,MATCH(D8,'Master '!$D$2:$D$65,0))</f>
        <v>-2.7622859351881829E-2</v>
      </c>
      <c r="L8" s="290">
        <f>INDEX('Master '!$S$2:S$65,MATCH(D8,'Master '!$D$2:$D$65,0))</f>
        <v>-6.3629918468627502E-3</v>
      </c>
      <c r="M8" s="1">
        <f>INDEX('Master '!$W$2:W$65,MATCH(D8,'Master '!$D$2:$D$65,0))</f>
        <v>2803.05</v>
      </c>
      <c r="N8" s="55">
        <f>SUMIF('Input 16_2018CUST-YTD'!$S:$S,$G8,'Input 16_2018CUST-YTD'!C:C)</f>
        <v>19</v>
      </c>
      <c r="O8" s="55">
        <f>SUMIF('Input 16_2018CUST-YTD'!$S:$S,$G8,'Input 16_2018CUST-YTD'!D:D)</f>
        <v>19</v>
      </c>
      <c r="P8" s="55">
        <f>SUMIF('Input 16_2018CUST-YTD'!$S:$S,$G8,'Input 16_2018CUST-YTD'!E:E)</f>
        <v>21</v>
      </c>
      <c r="Q8" s="55">
        <f>SUMIF('Input 16_2018CUST-YTD'!$S:$S,$G8,'Input 16_2018CUST-YTD'!F:F)</f>
        <v>21</v>
      </c>
      <c r="R8" s="55">
        <f>SUMIF('Input 16_2018CUST-YTD'!$S:$S,$G8,'Input 16_2018CUST-YTD'!G:G)</f>
        <v>21</v>
      </c>
      <c r="S8" s="55">
        <f>SUMIF('Input 16_2018CUST-YTD'!$S:$S,$G8,'Input 16_2018CUST-YTD'!H:H)</f>
        <v>20</v>
      </c>
      <c r="T8" s="55">
        <f>SUMIF('Input 16_2018CUST-YTD'!$S:$S,$G8,'Input 16_2018CUST-YTD'!I:I)</f>
        <v>20</v>
      </c>
      <c r="U8" s="55">
        <f>SUMIF('Input 16_2018CUST-YTD'!$S:$S,$G8,'Input 16_2018CUST-YTD'!J:J)</f>
        <v>20</v>
      </c>
      <c r="V8" s="55">
        <f>SUMIF('Input 16_2018CUST-YTD'!$S:$S,$G8,'Input 16_2018CUST-YTD'!K:K)</f>
        <v>20</v>
      </c>
      <c r="W8" s="55">
        <f>SUMIF('Input 16_2018CUST-YTD'!$S:$S,$G8,'Input 16_2018CUST-YTD'!L:L)</f>
        <v>20</v>
      </c>
      <c r="X8" s="55">
        <f>SUMIF('Input 16_2018CUST-YTD'!$S:$S,$G8,'Input 16_2018CUST-YTD'!M:M)</f>
        <v>20</v>
      </c>
      <c r="Y8" s="55">
        <f>SUMIF('Input 16_2018CUST-YTD'!$S:$S,$G8,'Input 16_2018CUST-YTD'!N:N)</f>
        <v>20</v>
      </c>
      <c r="Z8" s="1">
        <f>SUMIF('Input 3_2019CUST-YTD'!$S:$S,$G8,'Input 3_2019CUST-YTD'!C:C)</f>
        <v>20</v>
      </c>
      <c r="AA8" s="1">
        <f>SUMIF('Input 3_2019CUST-YTD'!$S:$S,$G8,'Input 3_2019CUST-YTD'!D:D)</f>
        <v>19</v>
      </c>
      <c r="AB8" s="1">
        <f>SUMIF('Input 3_2019CUST-YTD'!$S:$S,$G8,'Input 3_2019CUST-YTD'!E:E)</f>
        <v>19</v>
      </c>
      <c r="AC8" s="1">
        <f>SUMIF('Input 3_2019CUST-YTD'!$S:$S,$G8,'Input 3_2019CUST-YTD'!F:F)</f>
        <v>19</v>
      </c>
      <c r="AD8" s="1">
        <f>SUMIF('Input 3_2019CUST-YTD'!$S:$S,$G8,'Input 3_2019CUST-YTD'!G:G)</f>
        <v>19</v>
      </c>
      <c r="AE8" s="1">
        <f>SUMIF('Input 3_2019CUST-YTD'!$S:$S,$G8,'Input 3_2019CUST-YTD'!H:H)</f>
        <v>20</v>
      </c>
      <c r="AF8" s="1">
        <f>SUMIF('Input 3_2019CUST-YTD'!$S:$S,$G8,'Input 3_2019CUST-YTD'!I:I)</f>
        <v>20</v>
      </c>
      <c r="AG8" s="1">
        <f>SUMIF('Input 3_2019CUST-YTD'!$S:$S,$G8,'Input 3_2019CUST-YTD'!J:J)</f>
        <v>20</v>
      </c>
      <c r="AH8" s="1">
        <f>SUMIF('Input 3_2019CUST-YTD'!$S:$S,$G8,'Input 3_2019CUST-YTD'!K:K)</f>
        <v>20</v>
      </c>
      <c r="AI8" s="1">
        <f>SUMIF('Input 3_2019CUST-YTD'!$S:$S,$G8,'Input 3_2019CUST-YTD'!L:L)</f>
        <v>20</v>
      </c>
      <c r="AJ8" s="1">
        <f>SUMIF('Input 3_2019CUST-YTD'!$S:$S,$G8,'Input 3_2019CUST-YTD'!M:M)</f>
        <v>21</v>
      </c>
      <c r="AK8" s="1">
        <f>SUMIF('Input 3_2019CUST-YTD'!$S:$S,$G8,'Input 3_2019CUST-YTD'!N:N)</f>
        <v>21</v>
      </c>
      <c r="AL8" s="1">
        <f>SUMIF('Input 4_2020CUST-YTD'!$S:$S,$G8,'Input 4_2020CUST-YTD'!C:C)</f>
        <v>21</v>
      </c>
      <c r="AM8" s="1">
        <f>SUMIF('Input 4_2020CUST-YTD'!$S:$S,$G8,'Input 4_2020CUST-YTD'!D:D)</f>
        <v>21</v>
      </c>
      <c r="AN8" s="1">
        <f>SUMIF('Input 4_2020CUST-YTD'!$S:$S,$G8,'Input 4_2020CUST-YTD'!E:E)</f>
        <v>21</v>
      </c>
      <c r="AO8" s="1">
        <f>SUMIF('Input 4_2020CUST-YTD'!$S:$S,$G8,'Input 4_2020CUST-YTD'!F:F)</f>
        <v>21</v>
      </c>
      <c r="AP8" s="1">
        <f>SUMIF('Input 4_2020CUST-YTD'!$S:$S,$G8,'Input 4_2020CUST-YTD'!G:G)</f>
        <v>21</v>
      </c>
      <c r="AQ8" s="1">
        <f>SUMIF('Input 4_2020CUST-YTD'!$S:$S,$G8,'Input 4_2020CUST-YTD'!H:H)</f>
        <v>21</v>
      </c>
      <c r="AR8" s="1">
        <f>SUMIF('Input 4_2020CUST-YTD'!$S:$S,$G8,'Input 4_2020CUST-YTD'!I:I)</f>
        <v>21</v>
      </c>
      <c r="AS8" s="1">
        <f>SUMIF('Input 4_2020CUST-YTD'!$S:$S,$G8,'Input 4_2020CUST-YTD'!J:J)</f>
        <v>21</v>
      </c>
      <c r="AT8" s="1">
        <f>SUMIF('Input 4_2020CUST-YTD'!$S:$S,$G8,'Input 4_2020CUST-YTD'!K:K)</f>
        <v>21</v>
      </c>
      <c r="AU8" s="1">
        <f>SUMIF('Input 4_2020CUST-YTD'!$S:$S,$G8,'Input 4_2020CUST-YTD'!L:L)</f>
        <v>22</v>
      </c>
      <c r="AV8" s="1">
        <f>SUMIF('Input 4_2020CUST-YTD'!$S:$S,$G8,'Input 4_2020CUST-YTD'!M:M)</f>
        <v>22</v>
      </c>
      <c r="AW8" s="1">
        <f>SUMIF('Input 4_2020CUST-YTD'!$S:$S,$G8,'Input 4_2020CUST-YTD'!N:N)</f>
        <v>22</v>
      </c>
      <c r="AX8" s="1">
        <f>SUMIF('Input 5_2021CUST-YTD'!$S:$S,$G8,'Input 5_2021CUST-YTD'!C:C)</f>
        <v>23</v>
      </c>
      <c r="AY8" s="1">
        <f>SUMIF('Input 5_2021CUST-YTD'!$S:$S,$G8,'Input 5_2021CUST-YTD'!D:D)</f>
        <v>23</v>
      </c>
      <c r="AZ8" s="1">
        <f>SUMIF('Input 5_2021CUST-YTD'!$S:$S,$G8,'Input 5_2021CUST-YTD'!E:E)</f>
        <v>23</v>
      </c>
      <c r="BA8" s="1">
        <f>SUMIF('Input 5_2021CUST-YTD'!$S:$S,$G8,'Input 5_2021CUST-YTD'!F:F)</f>
        <v>23</v>
      </c>
      <c r="BB8" s="1">
        <f>SUMIF('Input 5_2021CUST-YTD'!$S:$S,$G8,'Input 5_2021CUST-YTD'!G:G)</f>
        <v>23</v>
      </c>
      <c r="BC8" s="1">
        <f>SUMIF('Input 5_2021CUST-YTD'!$S:$S,$G8,'Input 5_2021CUST-YTD'!H:H)</f>
        <v>23</v>
      </c>
      <c r="BD8" s="1">
        <f>SUMIF('Input 5_2021CUST-YTD'!$S:$S,$G8,'Input 5_2021CUST-YTD'!I:I)</f>
        <v>23</v>
      </c>
      <c r="BE8" s="1">
        <f>SUMIF('Input 5_2021CUST-YTD'!$S:$S,$G8,'Input 5_2021CUST-YTD'!J:J)</f>
        <v>23</v>
      </c>
      <c r="BF8" s="1">
        <f>SUMIF('Input 5_2021CUST-YTD'!$S:$S,$G8,'Input 5_2021CUST-YTD'!K:K)</f>
        <v>23</v>
      </c>
      <c r="BG8" s="1">
        <f>SUMIF('Input 5_2021CUST-YTD'!$S:$S,$G8,'Input 5_2021CUST-YTD'!L:L)</f>
        <v>23</v>
      </c>
      <c r="BH8" s="1">
        <f>SUMIF('Input 5_2021CUST-YTD'!$S:$S,$G8,'Input 5_2021CUST-YTD'!M:M)</f>
        <v>23</v>
      </c>
      <c r="BI8" s="1">
        <f>SUMIF('Input 5_2021CUST-YTD'!$S:$S,$G8,'Input 5_2021CUST-YTD'!N:N)</f>
        <v>23</v>
      </c>
      <c r="BJ8" s="190">
        <f t="shared" si="8"/>
        <v>22.364674234906719</v>
      </c>
      <c r="BK8" s="190">
        <f t="shared" si="9"/>
        <v>22.364674234906719</v>
      </c>
      <c r="BL8" s="190">
        <f t="shared" si="10"/>
        <v>22.364674234906719</v>
      </c>
      <c r="BM8" s="190">
        <f t="shared" si="11"/>
        <v>22.364674234906719</v>
      </c>
      <c r="BN8" s="190">
        <f t="shared" si="12"/>
        <v>22.364674234906719</v>
      </c>
      <c r="BO8" s="190">
        <f t="shared" si="13"/>
        <v>22.364674234906719</v>
      </c>
      <c r="BP8" s="190">
        <f t="shared" si="14"/>
        <v>22.364674234906719</v>
      </c>
      <c r="BQ8" s="190">
        <f t="shared" si="15"/>
        <v>22.364674234906719</v>
      </c>
      <c r="BR8" s="190">
        <f t="shared" si="16"/>
        <v>22.364674234906719</v>
      </c>
      <c r="BS8" s="190">
        <f t="shared" si="17"/>
        <v>22.364674234906719</v>
      </c>
      <c r="BT8" s="190">
        <f t="shared" si="18"/>
        <v>22.364674234906719</v>
      </c>
      <c r="BU8" s="190">
        <f t="shared" si="19"/>
        <v>22.364674234906719</v>
      </c>
      <c r="BV8" s="190">
        <f t="shared" si="20"/>
        <v>21.746897984065235</v>
      </c>
      <c r="BW8" s="190">
        <f t="shared" si="21"/>
        <v>21.746897984065235</v>
      </c>
      <c r="BX8" s="190">
        <f t="shared" si="22"/>
        <v>21.746897984065235</v>
      </c>
      <c r="BY8" s="190">
        <f t="shared" si="23"/>
        <v>21.746897984065235</v>
      </c>
      <c r="BZ8" s="190">
        <f t="shared" si="24"/>
        <v>21.746897984065235</v>
      </c>
      <c r="CA8" s="190">
        <f t="shared" si="25"/>
        <v>21.746897984065235</v>
      </c>
      <c r="CB8" s="190">
        <f t="shared" si="26"/>
        <v>21.746897984065235</v>
      </c>
      <c r="CC8" s="190">
        <f t="shared" si="27"/>
        <v>21.746897984065235</v>
      </c>
      <c r="CD8" s="190">
        <f t="shared" si="28"/>
        <v>21.746897984065235</v>
      </c>
      <c r="CE8" s="190">
        <f t="shared" si="29"/>
        <v>21.746897984065235</v>
      </c>
      <c r="CF8" s="190">
        <f t="shared" si="30"/>
        <v>21.746897984065235</v>
      </c>
      <c r="CG8" s="190">
        <f t="shared" si="31"/>
        <v>21.746897984065235</v>
      </c>
      <c r="CH8" s="264"/>
      <c r="CI8" s="264">
        <f t="shared" si="1"/>
        <v>241</v>
      </c>
      <c r="CJ8" s="264">
        <f t="shared" si="2"/>
        <v>238</v>
      </c>
      <c r="CK8" s="264">
        <f t="shared" si="3"/>
        <v>255</v>
      </c>
      <c r="CL8" s="264">
        <f t="shared" si="4"/>
        <v>276</v>
      </c>
      <c r="CM8" s="264">
        <f t="shared" si="5"/>
        <v>268.37609081888064</v>
      </c>
      <c r="CN8" s="264">
        <f t="shared" si="6"/>
        <v>260.96277580878285</v>
      </c>
      <c r="CP8" s="574">
        <f>SUMIF('Master '!D:D,D8,'Master '!AB:AB)</f>
        <v>268.37609081888064</v>
      </c>
      <c r="CQ8" s="574">
        <f>SUMIF('Master '!D:D,D8,'Master '!AC:AC)</f>
        <v>260.96277580878285</v>
      </c>
      <c r="CR8" s="264">
        <f t="shared" si="7"/>
        <v>0</v>
      </c>
      <c r="CS8" s="264">
        <f t="shared" si="7"/>
        <v>0</v>
      </c>
    </row>
    <row r="9" spans="1:99" s="261" customFormat="1">
      <c r="A9" s="55" t="s">
        <v>996</v>
      </c>
      <c r="B9" s="55" t="s">
        <v>993</v>
      </c>
      <c r="C9" s="55" t="s">
        <v>1245</v>
      </c>
      <c r="D9" s="55" t="s">
        <v>97</v>
      </c>
      <c r="E9" s="55" t="str">
        <f>VLOOKUP(D9,'Input 14_Ref Table'!C:D,2,FALSE)</f>
        <v>FMCT1</v>
      </c>
      <c r="F9" s="172" t="s">
        <v>1286</v>
      </c>
      <c r="G9" s="55" t="str">
        <f>VLOOKUP(D9,'Input 14_Ref Table'!C:I,7,FALSE)</f>
        <v>FMCT1</v>
      </c>
      <c r="H9" s="55" t="str">
        <f>VLOOKUP(D9,'Input 14_Ref Table'!C:K,8,FALSE)</f>
        <v>GS1_FortMeade</v>
      </c>
      <c r="I9" s="55"/>
      <c r="J9" s="261" t="str">
        <f>INDEX('Master '!$AD$2:AD$65,MATCH(D9,'Master '!$D$2:$D$65,0))</f>
        <v>UPC Growth Rate</v>
      </c>
      <c r="K9" s="567">
        <f>INDEX('Master '!$N$2:N$65,MATCH(D9,'Master '!$D$2:$D$65,0))</f>
        <v>-2.7622859351881829E-2</v>
      </c>
      <c r="L9" s="290">
        <f>INDEX('Master '!$S$2:S$65,MATCH(D9,'Master '!$D$2:$D$65,0))</f>
        <v>-6.3629918468627502E-3</v>
      </c>
      <c r="M9" s="1">
        <f>INDEX('Master '!$W$2:W$65,MATCH(D9,'Master '!$D$2:$D$65,0))</f>
        <v>2803.05</v>
      </c>
      <c r="N9" s="55">
        <f>SUMIF('Input 16_2018CUST-YTD'!$S:$S,$G9,'Input 16_2018CUST-YTD'!C:C)</f>
        <v>7</v>
      </c>
      <c r="O9" s="55">
        <f>SUMIF('Input 16_2018CUST-YTD'!$S:$S,$G9,'Input 16_2018CUST-YTD'!D:D)</f>
        <v>7</v>
      </c>
      <c r="P9" s="55">
        <f>SUMIF('Input 16_2018CUST-YTD'!$S:$S,$G9,'Input 16_2018CUST-YTD'!E:E)</f>
        <v>7</v>
      </c>
      <c r="Q9" s="55">
        <f>SUMIF('Input 16_2018CUST-YTD'!$S:$S,$G9,'Input 16_2018CUST-YTD'!F:F)</f>
        <v>7</v>
      </c>
      <c r="R9" s="55">
        <f>SUMIF('Input 16_2018CUST-YTD'!$S:$S,$G9,'Input 16_2018CUST-YTD'!G:G)</f>
        <v>7</v>
      </c>
      <c r="S9" s="55">
        <f>SUMIF('Input 16_2018CUST-YTD'!$S:$S,$G9,'Input 16_2018CUST-YTD'!H:H)</f>
        <v>7</v>
      </c>
      <c r="T9" s="55">
        <f>SUMIF('Input 16_2018CUST-YTD'!$S:$S,$G9,'Input 16_2018CUST-YTD'!I:I)</f>
        <v>7</v>
      </c>
      <c r="U9" s="55">
        <f>SUMIF('Input 16_2018CUST-YTD'!$S:$S,$G9,'Input 16_2018CUST-YTD'!J:J)</f>
        <v>7</v>
      </c>
      <c r="V9" s="55">
        <f>SUMIF('Input 16_2018CUST-YTD'!$S:$S,$G9,'Input 16_2018CUST-YTD'!K:K)</f>
        <v>7</v>
      </c>
      <c r="W9" s="55">
        <f>SUMIF('Input 16_2018CUST-YTD'!$S:$S,$G9,'Input 16_2018CUST-YTD'!L:L)</f>
        <v>7</v>
      </c>
      <c r="X9" s="55">
        <f>SUMIF('Input 16_2018CUST-YTD'!$S:$S,$G9,'Input 16_2018CUST-YTD'!M:M)</f>
        <v>7</v>
      </c>
      <c r="Y9" s="55">
        <f>SUMIF('Input 16_2018CUST-YTD'!$S:$S,$G9,'Input 16_2018CUST-YTD'!N:N)</f>
        <v>7</v>
      </c>
      <c r="Z9" s="1">
        <f>SUMIF('Input 3_2019CUST-YTD'!$S:$S,$G9,'Input 3_2019CUST-YTD'!C:C)</f>
        <v>7</v>
      </c>
      <c r="AA9" s="1">
        <f>SUMIF('Input 3_2019CUST-YTD'!$S:$S,$G9,'Input 3_2019CUST-YTD'!D:D)</f>
        <v>7</v>
      </c>
      <c r="AB9" s="1">
        <f>SUMIF('Input 3_2019CUST-YTD'!$S:$S,$G9,'Input 3_2019CUST-YTD'!E:E)</f>
        <v>7</v>
      </c>
      <c r="AC9" s="1">
        <f>SUMIF('Input 3_2019CUST-YTD'!$S:$S,$G9,'Input 3_2019CUST-YTD'!F:F)</f>
        <v>7</v>
      </c>
      <c r="AD9" s="1">
        <f>SUMIF('Input 3_2019CUST-YTD'!$S:$S,$G9,'Input 3_2019CUST-YTD'!G:G)</f>
        <v>8</v>
      </c>
      <c r="AE9" s="1">
        <f>SUMIF('Input 3_2019CUST-YTD'!$S:$S,$G9,'Input 3_2019CUST-YTD'!H:H)</f>
        <v>8</v>
      </c>
      <c r="AF9" s="1">
        <f>SUMIF('Input 3_2019CUST-YTD'!$S:$S,$G9,'Input 3_2019CUST-YTD'!I:I)</f>
        <v>8</v>
      </c>
      <c r="AG9" s="1">
        <f>SUMIF('Input 3_2019CUST-YTD'!$S:$S,$G9,'Input 3_2019CUST-YTD'!J:J)</f>
        <v>8</v>
      </c>
      <c r="AH9" s="1">
        <f>SUMIF('Input 3_2019CUST-YTD'!$S:$S,$G9,'Input 3_2019CUST-YTD'!K:K)</f>
        <v>8</v>
      </c>
      <c r="AI9" s="1">
        <f>SUMIF('Input 3_2019CUST-YTD'!$S:$S,$G9,'Input 3_2019CUST-YTD'!L:L)</f>
        <v>8</v>
      </c>
      <c r="AJ9" s="1">
        <f>SUMIF('Input 3_2019CUST-YTD'!$S:$S,$G9,'Input 3_2019CUST-YTD'!M:M)</f>
        <v>8</v>
      </c>
      <c r="AK9" s="1">
        <f>SUMIF('Input 3_2019CUST-YTD'!$S:$S,$G9,'Input 3_2019CUST-YTD'!N:N)</f>
        <v>8</v>
      </c>
      <c r="AL9" s="1">
        <f>SUMIF('Input 4_2020CUST-YTD'!$S:$S,$G9,'Input 4_2020CUST-YTD'!C:C)</f>
        <v>8</v>
      </c>
      <c r="AM9" s="1">
        <f>SUMIF('Input 4_2020CUST-YTD'!$S:$S,$G9,'Input 4_2020CUST-YTD'!D:D)</f>
        <v>8</v>
      </c>
      <c r="AN9" s="1">
        <f>SUMIF('Input 4_2020CUST-YTD'!$S:$S,$G9,'Input 4_2020CUST-YTD'!E:E)</f>
        <v>8</v>
      </c>
      <c r="AO9" s="1">
        <f>SUMIF('Input 4_2020CUST-YTD'!$S:$S,$G9,'Input 4_2020CUST-YTD'!F:F)</f>
        <v>8</v>
      </c>
      <c r="AP9" s="1">
        <f>SUMIF('Input 4_2020CUST-YTD'!$S:$S,$G9,'Input 4_2020CUST-YTD'!G:G)</f>
        <v>8</v>
      </c>
      <c r="AQ9" s="1">
        <f>SUMIF('Input 4_2020CUST-YTD'!$S:$S,$G9,'Input 4_2020CUST-YTD'!H:H)</f>
        <v>8</v>
      </c>
      <c r="AR9" s="1">
        <f>SUMIF('Input 4_2020CUST-YTD'!$S:$S,$G9,'Input 4_2020CUST-YTD'!I:I)</f>
        <v>8</v>
      </c>
      <c r="AS9" s="1">
        <f>SUMIF('Input 4_2020CUST-YTD'!$S:$S,$G9,'Input 4_2020CUST-YTD'!J:J)</f>
        <v>8</v>
      </c>
      <c r="AT9" s="1">
        <f>SUMIF('Input 4_2020CUST-YTD'!$S:$S,$G9,'Input 4_2020CUST-YTD'!K:K)</f>
        <v>8</v>
      </c>
      <c r="AU9" s="1">
        <f>SUMIF('Input 4_2020CUST-YTD'!$S:$S,$G9,'Input 4_2020CUST-YTD'!L:L)</f>
        <v>8</v>
      </c>
      <c r="AV9" s="1">
        <f>SUMIF('Input 4_2020CUST-YTD'!$S:$S,$G9,'Input 4_2020CUST-YTD'!M:M)</f>
        <v>8</v>
      </c>
      <c r="AW9" s="1">
        <f>SUMIF('Input 4_2020CUST-YTD'!$S:$S,$G9,'Input 4_2020CUST-YTD'!N:N)</f>
        <v>8</v>
      </c>
      <c r="AX9" s="1">
        <f>SUMIF('Input 5_2021CUST-YTD'!$S:$S,$G9,'Input 5_2021CUST-YTD'!C:C)</f>
        <v>9</v>
      </c>
      <c r="AY9" s="1">
        <f>SUMIF('Input 5_2021CUST-YTD'!$S:$S,$G9,'Input 5_2021CUST-YTD'!D:D)</f>
        <v>9</v>
      </c>
      <c r="AZ9" s="1">
        <f>SUMIF('Input 5_2021CUST-YTD'!$S:$S,$G9,'Input 5_2021CUST-YTD'!E:E)</f>
        <v>9</v>
      </c>
      <c r="BA9" s="1">
        <f>SUMIF('Input 5_2021CUST-YTD'!$S:$S,$G9,'Input 5_2021CUST-YTD'!F:F)</f>
        <v>9</v>
      </c>
      <c r="BB9" s="1">
        <f>SUMIF('Input 5_2021CUST-YTD'!$S:$S,$G9,'Input 5_2021CUST-YTD'!G:G)</f>
        <v>9</v>
      </c>
      <c r="BC9" s="1">
        <f>SUMIF('Input 5_2021CUST-YTD'!$S:$S,$G9,'Input 5_2021CUST-YTD'!H:H)</f>
        <v>9</v>
      </c>
      <c r="BD9" s="1">
        <f>SUMIF('Input 5_2021CUST-YTD'!$S:$S,$G9,'Input 5_2021CUST-YTD'!I:I)</f>
        <v>9</v>
      </c>
      <c r="BE9" s="1">
        <f>SUMIF('Input 5_2021CUST-YTD'!$S:$S,$G9,'Input 5_2021CUST-YTD'!J:J)</f>
        <v>9</v>
      </c>
      <c r="BF9" s="1">
        <f>SUMIF('Input 5_2021CUST-YTD'!$S:$S,$G9,'Input 5_2021CUST-YTD'!K:K)</f>
        <v>9</v>
      </c>
      <c r="BG9" s="1">
        <f>SUMIF('Input 5_2021CUST-YTD'!$S:$S,$G9,'Input 5_2021CUST-YTD'!L:L)</f>
        <v>9</v>
      </c>
      <c r="BH9" s="1">
        <f>SUMIF('Input 5_2021CUST-YTD'!$S:$S,$G9,'Input 5_2021CUST-YTD'!M:M)</f>
        <v>9</v>
      </c>
      <c r="BI9" s="1">
        <f>SUMIF('Input 5_2021CUST-YTD'!$S:$S,$G9,'Input 5_2021CUST-YTD'!N:N)</f>
        <v>9</v>
      </c>
      <c r="BJ9" s="190">
        <f t="shared" si="8"/>
        <v>8.7513942658330635</v>
      </c>
      <c r="BK9" s="190">
        <f t="shared" si="9"/>
        <v>8.7513942658330635</v>
      </c>
      <c r="BL9" s="190">
        <f t="shared" si="10"/>
        <v>8.7513942658330635</v>
      </c>
      <c r="BM9" s="190">
        <f t="shared" si="11"/>
        <v>8.7513942658330635</v>
      </c>
      <c r="BN9" s="190">
        <f t="shared" si="12"/>
        <v>8.7513942658330635</v>
      </c>
      <c r="BO9" s="190">
        <f t="shared" si="13"/>
        <v>8.7513942658330635</v>
      </c>
      <c r="BP9" s="190">
        <f t="shared" si="14"/>
        <v>8.7513942658330635</v>
      </c>
      <c r="BQ9" s="190">
        <f t="shared" si="15"/>
        <v>8.7513942658330635</v>
      </c>
      <c r="BR9" s="190">
        <f t="shared" si="16"/>
        <v>8.7513942658330635</v>
      </c>
      <c r="BS9" s="190">
        <f t="shared" si="17"/>
        <v>8.7513942658330635</v>
      </c>
      <c r="BT9" s="190">
        <f t="shared" si="18"/>
        <v>8.7513942658330635</v>
      </c>
      <c r="BU9" s="190">
        <f t="shared" si="19"/>
        <v>8.7513942658330635</v>
      </c>
      <c r="BV9" s="190">
        <f t="shared" si="20"/>
        <v>8.5096557328950926</v>
      </c>
      <c r="BW9" s="190">
        <f t="shared" si="21"/>
        <v>8.5096557328950926</v>
      </c>
      <c r="BX9" s="190">
        <f t="shared" si="22"/>
        <v>8.5096557328950926</v>
      </c>
      <c r="BY9" s="190">
        <f t="shared" si="23"/>
        <v>8.5096557328950926</v>
      </c>
      <c r="BZ9" s="190">
        <f t="shared" si="24"/>
        <v>8.5096557328950926</v>
      </c>
      <c r="CA9" s="190">
        <f t="shared" si="25"/>
        <v>8.5096557328950926</v>
      </c>
      <c r="CB9" s="190">
        <f t="shared" si="26"/>
        <v>8.5096557328950926</v>
      </c>
      <c r="CC9" s="190">
        <f t="shared" si="27"/>
        <v>8.5096557328950926</v>
      </c>
      <c r="CD9" s="190">
        <f t="shared" si="28"/>
        <v>8.5096557328950926</v>
      </c>
      <c r="CE9" s="190">
        <f t="shared" si="29"/>
        <v>8.5096557328950926</v>
      </c>
      <c r="CF9" s="190">
        <f t="shared" si="30"/>
        <v>8.5096557328950926</v>
      </c>
      <c r="CG9" s="190">
        <f t="shared" si="31"/>
        <v>8.5096557328950926</v>
      </c>
      <c r="CH9" s="264"/>
      <c r="CI9" s="264">
        <f t="shared" si="1"/>
        <v>84</v>
      </c>
      <c r="CJ9" s="264">
        <f t="shared" si="2"/>
        <v>92</v>
      </c>
      <c r="CK9" s="264">
        <f t="shared" si="3"/>
        <v>96</v>
      </c>
      <c r="CL9" s="264">
        <f t="shared" si="4"/>
        <v>108</v>
      </c>
      <c r="CM9" s="264">
        <f t="shared" si="5"/>
        <v>105.01673118999673</v>
      </c>
      <c r="CN9" s="264">
        <f t="shared" si="6"/>
        <v>102.11586879474113</v>
      </c>
      <c r="CP9" s="574">
        <f>SUMIF('Master '!D:D,D9,'Master '!AB:AB)</f>
        <v>105.01673118999676</v>
      </c>
      <c r="CQ9" s="574">
        <f>SUMIF('Master '!D:D,D9,'Master '!AC:AC)</f>
        <v>102.1158687947411</v>
      </c>
      <c r="CR9" s="264">
        <f t="shared" si="7"/>
        <v>0</v>
      </c>
      <c r="CS9" s="264">
        <f t="shared" si="7"/>
        <v>0</v>
      </c>
    </row>
    <row r="10" spans="1:99" s="261" customFormat="1">
      <c r="A10" s="55" t="s">
        <v>996</v>
      </c>
      <c r="B10" s="55" t="s">
        <v>994</v>
      </c>
      <c r="C10" s="55" t="s">
        <v>1245</v>
      </c>
      <c r="D10" s="55" t="s">
        <v>98</v>
      </c>
      <c r="E10" s="55" t="str">
        <f>VLOOKUP(D10,'Input 14_Ref Table'!C:D,2,FALSE)</f>
        <v>FMLV1</v>
      </c>
      <c r="F10" s="172" t="s">
        <v>1286</v>
      </c>
      <c r="G10" s="55" t="str">
        <f>VLOOKUP(D10,'Input 14_Ref Table'!C:I,7,FALSE)</f>
        <v>FMLV1</v>
      </c>
      <c r="H10" s="55" t="str">
        <f>VLOOKUP(D10,'Input 14_Ref Table'!C:K,8,FALSE)</f>
        <v>Base Period</v>
      </c>
      <c r="I10" s="55"/>
      <c r="J10" s="261" t="str">
        <f>INDEX('Master '!$AD$2:AD$65,MATCH(D10,'Master '!$D$2:$D$65,0))</f>
        <v>Base Period</v>
      </c>
      <c r="K10" s="567">
        <f>INDEX('Master '!$N$2:N$65,MATCH(D10,'Master '!$D$2:$D$65,0))</f>
        <v>0</v>
      </c>
      <c r="L10" s="290">
        <f>INDEX('Master '!$S$2:S$65,MATCH(D10,'Master '!$D$2:$D$65,0))</f>
        <v>0</v>
      </c>
      <c r="M10" s="1">
        <f>INDEX('Master '!$W$2:W$65,MATCH(D10,'Master '!$D$2:$D$65,0))</f>
        <v>13662.630000000001</v>
      </c>
      <c r="N10" s="55">
        <f>SUMIF('Input 16_2018CUST-YTD'!$S:$S,$G10,'Input 16_2018CUST-YTD'!C:C)</f>
        <v>0</v>
      </c>
      <c r="O10" s="55">
        <f>SUMIF('Input 16_2018CUST-YTD'!$S:$S,$G10,'Input 16_2018CUST-YTD'!D:D)</f>
        <v>0</v>
      </c>
      <c r="P10" s="55">
        <f>SUMIF('Input 16_2018CUST-YTD'!$S:$S,$G10,'Input 16_2018CUST-YTD'!E:E)</f>
        <v>0</v>
      </c>
      <c r="Q10" s="55">
        <f>SUMIF('Input 16_2018CUST-YTD'!$S:$S,$G10,'Input 16_2018CUST-YTD'!F:F)</f>
        <v>0</v>
      </c>
      <c r="R10" s="55">
        <f>SUMIF('Input 16_2018CUST-YTD'!$S:$S,$G10,'Input 16_2018CUST-YTD'!G:G)</f>
        <v>0</v>
      </c>
      <c r="S10" s="55">
        <f>SUMIF('Input 16_2018CUST-YTD'!$S:$S,$G10,'Input 16_2018CUST-YTD'!H:H)</f>
        <v>0</v>
      </c>
      <c r="T10" s="55">
        <f>SUMIF('Input 16_2018CUST-YTD'!$S:$S,$G10,'Input 16_2018CUST-YTD'!I:I)</f>
        <v>0</v>
      </c>
      <c r="U10" s="55">
        <f>SUMIF('Input 16_2018CUST-YTD'!$S:$S,$G10,'Input 16_2018CUST-YTD'!J:J)</f>
        <v>0</v>
      </c>
      <c r="V10" s="55">
        <f>SUMIF('Input 16_2018CUST-YTD'!$S:$S,$G10,'Input 16_2018CUST-YTD'!K:K)</f>
        <v>0</v>
      </c>
      <c r="W10" s="55">
        <f>SUMIF('Input 16_2018CUST-YTD'!$S:$S,$G10,'Input 16_2018CUST-YTD'!L:L)</f>
        <v>0</v>
      </c>
      <c r="X10" s="55">
        <f>SUMIF('Input 16_2018CUST-YTD'!$S:$S,$G10,'Input 16_2018CUST-YTD'!M:M)</f>
        <v>0</v>
      </c>
      <c r="Y10" s="55">
        <f>SUMIF('Input 16_2018CUST-YTD'!$S:$S,$G10,'Input 16_2018CUST-YTD'!N:N)</f>
        <v>0</v>
      </c>
      <c r="Z10" s="1">
        <f>SUMIF('Input 3_2019CUST-YTD'!$S:$S,$G10,'Input 3_2019CUST-YTD'!C:C)</f>
        <v>0</v>
      </c>
      <c r="AA10" s="1">
        <f>SUMIF('Input 3_2019CUST-YTD'!$S:$S,$G10,'Input 3_2019CUST-YTD'!D:D)</f>
        <v>0</v>
      </c>
      <c r="AB10" s="1">
        <f>SUMIF('Input 3_2019CUST-YTD'!$S:$S,$G10,'Input 3_2019CUST-YTD'!E:E)</f>
        <v>0</v>
      </c>
      <c r="AC10" s="1">
        <f>SUMIF('Input 3_2019CUST-YTD'!$S:$S,$G10,'Input 3_2019CUST-YTD'!F:F)</f>
        <v>0</v>
      </c>
      <c r="AD10" s="1">
        <f>SUMIF('Input 3_2019CUST-YTD'!$S:$S,$G10,'Input 3_2019CUST-YTD'!G:G)</f>
        <v>1</v>
      </c>
      <c r="AE10" s="1">
        <f>SUMIF('Input 3_2019CUST-YTD'!$S:$S,$G10,'Input 3_2019CUST-YTD'!H:H)</f>
        <v>3</v>
      </c>
      <c r="AF10" s="1">
        <f>SUMIF('Input 3_2019CUST-YTD'!$S:$S,$G10,'Input 3_2019CUST-YTD'!I:I)</f>
        <v>3</v>
      </c>
      <c r="AG10" s="1">
        <f>SUMIF('Input 3_2019CUST-YTD'!$S:$S,$G10,'Input 3_2019CUST-YTD'!J:J)</f>
        <v>4</v>
      </c>
      <c r="AH10" s="1">
        <f>SUMIF('Input 3_2019CUST-YTD'!$S:$S,$G10,'Input 3_2019CUST-YTD'!K:K)</f>
        <v>4</v>
      </c>
      <c r="AI10" s="1">
        <f>SUMIF('Input 3_2019CUST-YTD'!$S:$S,$G10,'Input 3_2019CUST-YTD'!L:L)</f>
        <v>4</v>
      </c>
      <c r="AJ10" s="1">
        <f>SUMIF('Input 3_2019CUST-YTD'!$S:$S,$G10,'Input 3_2019CUST-YTD'!M:M)</f>
        <v>4</v>
      </c>
      <c r="AK10" s="1">
        <f>SUMIF('Input 3_2019CUST-YTD'!$S:$S,$G10,'Input 3_2019CUST-YTD'!N:N)</f>
        <v>4</v>
      </c>
      <c r="AL10" s="1">
        <f>SUMIF('Input 4_2020CUST-YTD'!$S:$S,$G10,'Input 4_2020CUST-YTD'!C:C)</f>
        <v>4</v>
      </c>
      <c r="AM10" s="1">
        <f>SUMIF('Input 4_2020CUST-YTD'!$S:$S,$G10,'Input 4_2020CUST-YTD'!D:D)</f>
        <v>4</v>
      </c>
      <c r="AN10" s="1">
        <f>SUMIF('Input 4_2020CUST-YTD'!$S:$S,$G10,'Input 4_2020CUST-YTD'!E:E)</f>
        <v>4</v>
      </c>
      <c r="AO10" s="1">
        <f>SUMIF('Input 4_2020CUST-YTD'!$S:$S,$G10,'Input 4_2020CUST-YTD'!F:F)</f>
        <v>4</v>
      </c>
      <c r="AP10" s="1">
        <f>SUMIF('Input 4_2020CUST-YTD'!$S:$S,$G10,'Input 4_2020CUST-YTD'!G:G)</f>
        <v>4</v>
      </c>
      <c r="AQ10" s="1">
        <f>SUMIF('Input 4_2020CUST-YTD'!$S:$S,$G10,'Input 4_2020CUST-YTD'!H:H)</f>
        <v>4</v>
      </c>
      <c r="AR10" s="1">
        <f>SUMIF('Input 4_2020CUST-YTD'!$S:$S,$G10,'Input 4_2020CUST-YTD'!I:I)</f>
        <v>4</v>
      </c>
      <c r="AS10" s="1">
        <f>SUMIF('Input 4_2020CUST-YTD'!$S:$S,$G10,'Input 4_2020CUST-YTD'!J:J)</f>
        <v>4</v>
      </c>
      <c r="AT10" s="1">
        <f>SUMIF('Input 4_2020CUST-YTD'!$S:$S,$G10,'Input 4_2020CUST-YTD'!K:K)</f>
        <v>4</v>
      </c>
      <c r="AU10" s="1">
        <f>SUMIF('Input 4_2020CUST-YTD'!$S:$S,$G10,'Input 4_2020CUST-YTD'!L:L)</f>
        <v>4</v>
      </c>
      <c r="AV10" s="1">
        <f>SUMIF('Input 4_2020CUST-YTD'!$S:$S,$G10,'Input 4_2020CUST-YTD'!M:M)</f>
        <v>4</v>
      </c>
      <c r="AW10" s="1">
        <f>SUMIF('Input 4_2020CUST-YTD'!$S:$S,$G10,'Input 4_2020CUST-YTD'!N:N)</f>
        <v>4</v>
      </c>
      <c r="AX10" s="1">
        <f>SUMIF('Input 5_2021CUST-YTD'!$S:$S,$G10,'Input 5_2021CUST-YTD'!C:C)</f>
        <v>2</v>
      </c>
      <c r="AY10" s="1">
        <f>SUMIF('Input 5_2021CUST-YTD'!$S:$S,$G10,'Input 5_2021CUST-YTD'!D:D)</f>
        <v>2</v>
      </c>
      <c r="AZ10" s="1">
        <f>SUMIF('Input 5_2021CUST-YTD'!$S:$S,$G10,'Input 5_2021CUST-YTD'!E:E)</f>
        <v>2</v>
      </c>
      <c r="BA10" s="1">
        <f>SUMIF('Input 5_2021CUST-YTD'!$S:$S,$G10,'Input 5_2021CUST-YTD'!F:F)</f>
        <v>2</v>
      </c>
      <c r="BB10" s="1">
        <f>SUMIF('Input 5_2021CUST-YTD'!$S:$S,$G10,'Input 5_2021CUST-YTD'!G:G)</f>
        <v>2</v>
      </c>
      <c r="BC10" s="1">
        <f>SUMIF('Input 5_2021CUST-YTD'!$S:$S,$G10,'Input 5_2021CUST-YTD'!H:H)</f>
        <v>2</v>
      </c>
      <c r="BD10" s="1">
        <f>SUMIF('Input 5_2021CUST-YTD'!$S:$S,$G10,'Input 5_2021CUST-YTD'!I:I)</f>
        <v>2</v>
      </c>
      <c r="BE10" s="1">
        <f>SUMIF('Input 5_2021CUST-YTD'!$S:$S,$G10,'Input 5_2021CUST-YTD'!J:J)</f>
        <v>2</v>
      </c>
      <c r="BF10" s="1">
        <f>SUMIF('Input 5_2021CUST-YTD'!$S:$S,$G10,'Input 5_2021CUST-YTD'!K:K)</f>
        <v>2</v>
      </c>
      <c r="BG10" s="1">
        <f>SUMIF('Input 5_2021CUST-YTD'!$S:$S,$G10,'Input 5_2021CUST-YTD'!L:L)</f>
        <v>2</v>
      </c>
      <c r="BH10" s="1">
        <f>SUMIF('Input 5_2021CUST-YTD'!$S:$S,$G10,'Input 5_2021CUST-YTD'!M:M)</f>
        <v>2</v>
      </c>
      <c r="BI10" s="1">
        <f>SUMIF('Input 5_2021CUST-YTD'!$S:$S,$G10,'Input 5_2021CUST-YTD'!N:N)</f>
        <v>2</v>
      </c>
      <c r="BJ10" s="190">
        <f t="shared" si="8"/>
        <v>2</v>
      </c>
      <c r="BK10" s="190">
        <f t="shared" si="9"/>
        <v>2</v>
      </c>
      <c r="BL10" s="190">
        <f t="shared" si="10"/>
        <v>2</v>
      </c>
      <c r="BM10" s="190">
        <f t="shared" si="11"/>
        <v>2</v>
      </c>
      <c r="BN10" s="190">
        <f t="shared" si="12"/>
        <v>2</v>
      </c>
      <c r="BO10" s="190">
        <f t="shared" si="13"/>
        <v>2</v>
      </c>
      <c r="BP10" s="190">
        <f t="shared" si="14"/>
        <v>2</v>
      </c>
      <c r="BQ10" s="190">
        <f t="shared" si="15"/>
        <v>2</v>
      </c>
      <c r="BR10" s="190">
        <f t="shared" si="16"/>
        <v>2</v>
      </c>
      <c r="BS10" s="190">
        <f t="shared" si="17"/>
        <v>2</v>
      </c>
      <c r="BT10" s="190">
        <f t="shared" si="18"/>
        <v>2</v>
      </c>
      <c r="BU10" s="190">
        <f t="shared" si="19"/>
        <v>2</v>
      </c>
      <c r="BV10" s="190">
        <f t="shared" si="20"/>
        <v>2</v>
      </c>
      <c r="BW10" s="190">
        <f t="shared" si="21"/>
        <v>2</v>
      </c>
      <c r="BX10" s="190">
        <f t="shared" si="22"/>
        <v>2</v>
      </c>
      <c r="BY10" s="190">
        <f t="shared" si="23"/>
        <v>2</v>
      </c>
      <c r="BZ10" s="190">
        <f t="shared" si="24"/>
        <v>2</v>
      </c>
      <c r="CA10" s="190">
        <f t="shared" si="25"/>
        <v>2</v>
      </c>
      <c r="CB10" s="190">
        <f t="shared" si="26"/>
        <v>2</v>
      </c>
      <c r="CC10" s="190">
        <f t="shared" si="27"/>
        <v>2</v>
      </c>
      <c r="CD10" s="190">
        <f t="shared" si="28"/>
        <v>2</v>
      </c>
      <c r="CE10" s="190">
        <f t="shared" si="29"/>
        <v>2</v>
      </c>
      <c r="CF10" s="190">
        <f t="shared" si="30"/>
        <v>2</v>
      </c>
      <c r="CG10" s="190">
        <f t="shared" si="31"/>
        <v>2</v>
      </c>
      <c r="CH10" s="264"/>
      <c r="CI10" s="264">
        <f t="shared" si="1"/>
        <v>0</v>
      </c>
      <c r="CJ10" s="264">
        <f t="shared" si="2"/>
        <v>27</v>
      </c>
      <c r="CK10" s="264">
        <f t="shared" si="3"/>
        <v>48</v>
      </c>
      <c r="CL10" s="264">
        <f t="shared" si="4"/>
        <v>24</v>
      </c>
      <c r="CM10" s="264">
        <f t="shared" si="5"/>
        <v>24</v>
      </c>
      <c r="CN10" s="264">
        <f t="shared" si="6"/>
        <v>24</v>
      </c>
      <c r="CP10" s="574">
        <f>SUMIF('Master '!D:D,D10,'Master '!AB:AB)</f>
        <v>24</v>
      </c>
      <c r="CQ10" s="574">
        <f>SUMIF('Master '!D:D,D10,'Master '!AC:AC)</f>
        <v>24</v>
      </c>
      <c r="CR10" s="264">
        <f t="shared" si="7"/>
        <v>0</v>
      </c>
      <c r="CS10" s="264">
        <f t="shared" si="7"/>
        <v>0</v>
      </c>
    </row>
    <row r="11" spans="1:99" s="261" customFormat="1">
      <c r="A11" s="55" t="s">
        <v>996</v>
      </c>
      <c r="B11" s="55" t="s">
        <v>993</v>
      </c>
      <c r="C11" s="55" t="s">
        <v>1245</v>
      </c>
      <c r="D11" s="55" t="s">
        <v>99</v>
      </c>
      <c r="E11" s="55" t="str">
        <f>VLOOKUP(D11,'Input 14_Ref Table'!C:D,2,FALSE)</f>
        <v>FMLT1</v>
      </c>
      <c r="F11" s="172" t="s">
        <v>1286</v>
      </c>
      <c r="G11" s="55" t="str">
        <f>VLOOKUP(D11,'Input 14_Ref Table'!C:I,7,FALSE)</f>
        <v>FMLT1</v>
      </c>
      <c r="H11" s="55" t="str">
        <f>VLOOKUP(D11,'Input 14_Ref Table'!C:K,8,FALSE)</f>
        <v>Base Period</v>
      </c>
      <c r="I11" s="55"/>
      <c r="J11" s="261" t="str">
        <f>INDEX('Master '!$AD$2:AD$65,MATCH(D11,'Master '!$D$2:$D$65,0))</f>
        <v>Base Period</v>
      </c>
      <c r="K11" s="567">
        <f>INDEX('Master '!$N$2:N$65,MATCH(D11,'Master '!$D$2:$D$65,0))</f>
        <v>0</v>
      </c>
      <c r="L11" s="290">
        <f>INDEX('Master '!$S$2:S$65,MATCH(D11,'Master '!$D$2:$D$65,0))</f>
        <v>0</v>
      </c>
      <c r="M11" s="1">
        <f>INDEX('Master '!$W$2:W$65,MATCH(D11,'Master '!$D$2:$D$65,0))</f>
        <v>70919.389999999985</v>
      </c>
      <c r="N11" s="55">
        <f>SUMIF('Input 16_2018CUST-YTD'!$S:$S,$G11,'Input 16_2018CUST-YTD'!C:C)</f>
        <v>0</v>
      </c>
      <c r="O11" s="55">
        <f>SUMIF('Input 16_2018CUST-YTD'!$S:$S,$G11,'Input 16_2018CUST-YTD'!D:D)</f>
        <v>0</v>
      </c>
      <c r="P11" s="55">
        <f>SUMIF('Input 16_2018CUST-YTD'!$S:$S,$G11,'Input 16_2018CUST-YTD'!E:E)</f>
        <v>0</v>
      </c>
      <c r="Q11" s="55">
        <f>SUMIF('Input 16_2018CUST-YTD'!$S:$S,$G11,'Input 16_2018CUST-YTD'!F:F)</f>
        <v>0</v>
      </c>
      <c r="R11" s="55">
        <f>SUMIF('Input 16_2018CUST-YTD'!$S:$S,$G11,'Input 16_2018CUST-YTD'!G:G)</f>
        <v>0</v>
      </c>
      <c r="S11" s="55">
        <f>SUMIF('Input 16_2018CUST-YTD'!$S:$S,$G11,'Input 16_2018CUST-YTD'!H:H)</f>
        <v>0</v>
      </c>
      <c r="T11" s="55">
        <f>SUMIF('Input 16_2018CUST-YTD'!$S:$S,$G11,'Input 16_2018CUST-YTD'!I:I)</f>
        <v>0</v>
      </c>
      <c r="U11" s="55">
        <f>SUMIF('Input 16_2018CUST-YTD'!$S:$S,$G11,'Input 16_2018CUST-YTD'!J:J)</f>
        <v>0</v>
      </c>
      <c r="V11" s="55">
        <f>SUMIF('Input 16_2018CUST-YTD'!$S:$S,$G11,'Input 16_2018CUST-YTD'!K:K)</f>
        <v>0</v>
      </c>
      <c r="W11" s="55">
        <f>SUMIF('Input 16_2018CUST-YTD'!$S:$S,$G11,'Input 16_2018CUST-YTD'!L:L)</f>
        <v>0</v>
      </c>
      <c r="X11" s="55">
        <f>SUMIF('Input 16_2018CUST-YTD'!$S:$S,$G11,'Input 16_2018CUST-YTD'!M:M)</f>
        <v>0</v>
      </c>
      <c r="Y11" s="55">
        <f>SUMIF('Input 16_2018CUST-YTD'!$S:$S,$G11,'Input 16_2018CUST-YTD'!N:N)</f>
        <v>0</v>
      </c>
      <c r="Z11" s="1">
        <f>SUMIF('Input 3_2019CUST-YTD'!$S:$S,$G11,'Input 3_2019CUST-YTD'!C:C)</f>
        <v>0</v>
      </c>
      <c r="AA11" s="1">
        <f>SUMIF('Input 3_2019CUST-YTD'!$S:$S,$G11,'Input 3_2019CUST-YTD'!D:D)</f>
        <v>0</v>
      </c>
      <c r="AB11" s="1">
        <f>SUMIF('Input 3_2019CUST-YTD'!$S:$S,$G11,'Input 3_2019CUST-YTD'!E:E)</f>
        <v>0</v>
      </c>
      <c r="AC11" s="1">
        <f>SUMIF('Input 3_2019CUST-YTD'!$S:$S,$G11,'Input 3_2019CUST-YTD'!F:F)</f>
        <v>0</v>
      </c>
      <c r="AD11" s="1">
        <f>SUMIF('Input 3_2019CUST-YTD'!$S:$S,$G11,'Input 3_2019CUST-YTD'!G:G)</f>
        <v>0</v>
      </c>
      <c r="AE11" s="1">
        <f>SUMIF('Input 3_2019CUST-YTD'!$S:$S,$G11,'Input 3_2019CUST-YTD'!H:H)</f>
        <v>0</v>
      </c>
      <c r="AF11" s="1">
        <f>SUMIF('Input 3_2019CUST-YTD'!$S:$S,$G11,'Input 3_2019CUST-YTD'!I:I)</f>
        <v>0</v>
      </c>
      <c r="AG11" s="1">
        <f>SUMIF('Input 3_2019CUST-YTD'!$S:$S,$G11,'Input 3_2019CUST-YTD'!J:J)</f>
        <v>0</v>
      </c>
      <c r="AH11" s="1">
        <f>SUMIF('Input 3_2019CUST-YTD'!$S:$S,$G11,'Input 3_2019CUST-YTD'!K:K)</f>
        <v>0</v>
      </c>
      <c r="AI11" s="1">
        <f>SUMIF('Input 3_2019CUST-YTD'!$S:$S,$G11,'Input 3_2019CUST-YTD'!L:L)</f>
        <v>0</v>
      </c>
      <c r="AJ11" s="1">
        <f>SUMIF('Input 3_2019CUST-YTD'!$S:$S,$G11,'Input 3_2019CUST-YTD'!M:M)</f>
        <v>0</v>
      </c>
      <c r="AK11" s="1">
        <f>SUMIF('Input 3_2019CUST-YTD'!$S:$S,$G11,'Input 3_2019CUST-YTD'!N:N)</f>
        <v>0</v>
      </c>
      <c r="AL11" s="1">
        <f>SUMIF('Input 4_2020CUST-YTD'!$S:$S,$G11,'Input 4_2020CUST-YTD'!C:C)</f>
        <v>0</v>
      </c>
      <c r="AM11" s="1">
        <f>SUMIF('Input 4_2020CUST-YTD'!$S:$S,$G11,'Input 4_2020CUST-YTD'!D:D)</f>
        <v>0</v>
      </c>
      <c r="AN11" s="1">
        <f>SUMIF('Input 4_2020CUST-YTD'!$S:$S,$G11,'Input 4_2020CUST-YTD'!E:E)</f>
        <v>0</v>
      </c>
      <c r="AO11" s="1">
        <f>SUMIF('Input 4_2020CUST-YTD'!$S:$S,$G11,'Input 4_2020CUST-YTD'!F:F)</f>
        <v>0</v>
      </c>
      <c r="AP11" s="1">
        <f>SUMIF('Input 4_2020CUST-YTD'!$S:$S,$G11,'Input 4_2020CUST-YTD'!G:G)</f>
        <v>0</v>
      </c>
      <c r="AQ11" s="1">
        <f>SUMIF('Input 4_2020CUST-YTD'!$S:$S,$G11,'Input 4_2020CUST-YTD'!H:H)</f>
        <v>0</v>
      </c>
      <c r="AR11" s="1">
        <f>SUMIF('Input 4_2020CUST-YTD'!$S:$S,$G11,'Input 4_2020CUST-YTD'!I:I)</f>
        <v>0</v>
      </c>
      <c r="AS11" s="1">
        <f>SUMIF('Input 4_2020CUST-YTD'!$S:$S,$G11,'Input 4_2020CUST-YTD'!J:J)</f>
        <v>0</v>
      </c>
      <c r="AT11" s="1">
        <f>SUMIF('Input 4_2020CUST-YTD'!$S:$S,$G11,'Input 4_2020CUST-YTD'!K:K)</f>
        <v>0</v>
      </c>
      <c r="AU11" s="1">
        <f>SUMIF('Input 4_2020CUST-YTD'!$S:$S,$G11,'Input 4_2020CUST-YTD'!L:L)</f>
        <v>0</v>
      </c>
      <c r="AV11" s="1">
        <f>SUMIF('Input 4_2020CUST-YTD'!$S:$S,$G11,'Input 4_2020CUST-YTD'!M:M)</f>
        <v>0</v>
      </c>
      <c r="AW11" s="1">
        <f>SUMIF('Input 4_2020CUST-YTD'!$S:$S,$G11,'Input 4_2020CUST-YTD'!N:N)</f>
        <v>0</v>
      </c>
      <c r="AX11" s="1">
        <f>SUMIF('Input 5_2021CUST-YTD'!$S:$S,$G11,'Input 5_2021CUST-YTD'!C:C)</f>
        <v>2</v>
      </c>
      <c r="AY11" s="1">
        <f>SUMIF('Input 5_2021CUST-YTD'!$S:$S,$G11,'Input 5_2021CUST-YTD'!D:D)</f>
        <v>2</v>
      </c>
      <c r="AZ11" s="1">
        <f>SUMIF('Input 5_2021CUST-YTD'!$S:$S,$G11,'Input 5_2021CUST-YTD'!E:E)</f>
        <v>2</v>
      </c>
      <c r="BA11" s="1">
        <f>SUMIF('Input 5_2021CUST-YTD'!$S:$S,$G11,'Input 5_2021CUST-YTD'!F:F)</f>
        <v>2</v>
      </c>
      <c r="BB11" s="1">
        <f>SUMIF('Input 5_2021CUST-YTD'!$S:$S,$G11,'Input 5_2021CUST-YTD'!G:G)</f>
        <v>2</v>
      </c>
      <c r="BC11" s="1">
        <f>SUMIF('Input 5_2021CUST-YTD'!$S:$S,$G11,'Input 5_2021CUST-YTD'!H:H)</f>
        <v>2</v>
      </c>
      <c r="BD11" s="1">
        <f>SUMIF('Input 5_2021CUST-YTD'!$S:$S,$G11,'Input 5_2021CUST-YTD'!I:I)</f>
        <v>2</v>
      </c>
      <c r="BE11" s="1">
        <f>SUMIF('Input 5_2021CUST-YTD'!$S:$S,$G11,'Input 5_2021CUST-YTD'!J:J)</f>
        <v>2</v>
      </c>
      <c r="BF11" s="1">
        <f>SUMIF('Input 5_2021CUST-YTD'!$S:$S,$G11,'Input 5_2021CUST-YTD'!K:K)</f>
        <v>2</v>
      </c>
      <c r="BG11" s="1">
        <f>SUMIF('Input 5_2021CUST-YTD'!$S:$S,$G11,'Input 5_2021CUST-YTD'!L:L)</f>
        <v>2</v>
      </c>
      <c r="BH11" s="1">
        <f>SUMIF('Input 5_2021CUST-YTD'!$S:$S,$G11,'Input 5_2021CUST-YTD'!M:M)</f>
        <v>2</v>
      </c>
      <c r="BI11" s="1">
        <f>SUMIF('Input 5_2021CUST-YTD'!$S:$S,$G11,'Input 5_2021CUST-YTD'!N:N)</f>
        <v>2</v>
      </c>
      <c r="BJ11" s="190">
        <f t="shared" si="8"/>
        <v>2</v>
      </c>
      <c r="BK11" s="190">
        <f t="shared" si="9"/>
        <v>2</v>
      </c>
      <c r="BL11" s="190">
        <f t="shared" si="10"/>
        <v>2</v>
      </c>
      <c r="BM11" s="190">
        <f t="shared" si="11"/>
        <v>2</v>
      </c>
      <c r="BN11" s="190">
        <f t="shared" si="12"/>
        <v>2</v>
      </c>
      <c r="BO11" s="190">
        <f t="shared" si="13"/>
        <v>2</v>
      </c>
      <c r="BP11" s="190">
        <f t="shared" si="14"/>
        <v>2</v>
      </c>
      <c r="BQ11" s="190">
        <f t="shared" si="15"/>
        <v>2</v>
      </c>
      <c r="BR11" s="190">
        <f t="shared" si="16"/>
        <v>2</v>
      </c>
      <c r="BS11" s="190">
        <f t="shared" si="17"/>
        <v>2</v>
      </c>
      <c r="BT11" s="190">
        <f t="shared" si="18"/>
        <v>2</v>
      </c>
      <c r="BU11" s="190">
        <f t="shared" si="19"/>
        <v>2</v>
      </c>
      <c r="BV11" s="190">
        <f t="shared" si="20"/>
        <v>2</v>
      </c>
      <c r="BW11" s="190">
        <f t="shared" si="21"/>
        <v>2</v>
      </c>
      <c r="BX11" s="190">
        <f t="shared" si="22"/>
        <v>2</v>
      </c>
      <c r="BY11" s="190">
        <f t="shared" si="23"/>
        <v>2</v>
      </c>
      <c r="BZ11" s="190">
        <f t="shared" si="24"/>
        <v>2</v>
      </c>
      <c r="CA11" s="190">
        <f t="shared" si="25"/>
        <v>2</v>
      </c>
      <c r="CB11" s="190">
        <f t="shared" si="26"/>
        <v>2</v>
      </c>
      <c r="CC11" s="190">
        <f t="shared" si="27"/>
        <v>2</v>
      </c>
      <c r="CD11" s="190">
        <f t="shared" si="28"/>
        <v>2</v>
      </c>
      <c r="CE11" s="190">
        <f t="shared" si="29"/>
        <v>2</v>
      </c>
      <c r="CF11" s="190">
        <f t="shared" si="30"/>
        <v>2</v>
      </c>
      <c r="CG11" s="190">
        <f t="shared" si="31"/>
        <v>2</v>
      </c>
      <c r="CH11" s="264"/>
      <c r="CI11" s="264">
        <f t="shared" si="1"/>
        <v>0</v>
      </c>
      <c r="CJ11" s="264">
        <f t="shared" si="2"/>
        <v>0</v>
      </c>
      <c r="CK11" s="264">
        <f t="shared" si="3"/>
        <v>0</v>
      </c>
      <c r="CL11" s="264">
        <f t="shared" si="4"/>
        <v>24</v>
      </c>
      <c r="CM11" s="264">
        <f t="shared" si="5"/>
        <v>24</v>
      </c>
      <c r="CN11" s="264">
        <f t="shared" si="6"/>
        <v>24</v>
      </c>
      <c r="CP11" s="574">
        <f>SUMIF('Master '!D:D,D11,'Master '!AB:AB)</f>
        <v>24</v>
      </c>
      <c r="CQ11" s="574">
        <f>SUMIF('Master '!D:D,D11,'Master '!AC:AC)</f>
        <v>24</v>
      </c>
      <c r="CR11" s="264">
        <f t="shared" si="7"/>
        <v>0</v>
      </c>
      <c r="CS11" s="264">
        <f t="shared" si="7"/>
        <v>0</v>
      </c>
    </row>
    <row r="12" spans="1:99" s="261" customFormat="1">
      <c r="A12" s="55" t="s">
        <v>996</v>
      </c>
      <c r="B12" s="55" t="s">
        <v>994</v>
      </c>
      <c r="C12" s="55" t="s">
        <v>8</v>
      </c>
      <c r="D12" s="55" t="s">
        <v>995</v>
      </c>
      <c r="E12" s="55" t="str">
        <f>VLOOKUP(D12,'Input 14_Ref Table'!C:D,2,FALSE)</f>
        <v>FMPA1</v>
      </c>
      <c r="F12" s="172" t="s">
        <v>1286</v>
      </c>
      <c r="G12" s="55" t="str">
        <f>VLOOKUP(D12,'Input 14_Ref Table'!C:I,7,FALSE)</f>
        <v>GCNGV</v>
      </c>
      <c r="H12" s="55" t="str">
        <f>VLOOKUP(D12,'Input 14_Ref Table'!C:K,8,FALSE)</f>
        <v>Base Period</v>
      </c>
      <c r="I12" s="55"/>
      <c r="J12" s="261" t="str">
        <f>INDEX('Master '!$AD$2:AD$65,MATCH(D12,'Master '!$D$2:$D$65,0))</f>
        <v>Base Period</v>
      </c>
      <c r="K12" s="567">
        <f>INDEX('Master '!$N$2:N$65,MATCH(D12,'Master '!$D$2:$D$65,0))</f>
        <v>0</v>
      </c>
      <c r="L12" s="290">
        <f>INDEX('Master '!$S$2:S$65,MATCH(D12,'Master '!$D$2:$D$65,0))</f>
        <v>0</v>
      </c>
      <c r="M12" s="1">
        <f>INDEX('Master '!$W$2:W$65,MATCH(D12,'Master '!$D$2:$D$65,0))</f>
        <v>0</v>
      </c>
      <c r="N12" s="55">
        <f>SUMIF('Input 16_2018CUST-YTD'!$S:$S,$G12,'Input 16_2018CUST-YTD'!C:C)</f>
        <v>0</v>
      </c>
      <c r="O12" s="55">
        <f>SUMIF('Input 16_2018CUST-YTD'!$S:$S,$G12,'Input 16_2018CUST-YTD'!D:D)</f>
        <v>0</v>
      </c>
      <c r="P12" s="55">
        <f>SUMIF('Input 16_2018CUST-YTD'!$S:$S,$G12,'Input 16_2018CUST-YTD'!E:E)</f>
        <v>0</v>
      </c>
      <c r="Q12" s="55">
        <f>SUMIF('Input 16_2018CUST-YTD'!$S:$S,$G12,'Input 16_2018CUST-YTD'!F:F)</f>
        <v>0</v>
      </c>
      <c r="R12" s="55">
        <f>SUMIF('Input 16_2018CUST-YTD'!$S:$S,$G12,'Input 16_2018CUST-YTD'!G:G)</f>
        <v>0</v>
      </c>
      <c r="S12" s="55">
        <f>SUMIF('Input 16_2018CUST-YTD'!$S:$S,$G12,'Input 16_2018CUST-YTD'!H:H)</f>
        <v>0</v>
      </c>
      <c r="T12" s="55">
        <f>SUMIF('Input 16_2018CUST-YTD'!$S:$S,$G12,'Input 16_2018CUST-YTD'!I:I)</f>
        <v>0</v>
      </c>
      <c r="U12" s="55">
        <f>SUMIF('Input 16_2018CUST-YTD'!$S:$S,$G12,'Input 16_2018CUST-YTD'!J:J)</f>
        <v>0</v>
      </c>
      <c r="V12" s="55">
        <f>SUMIF('Input 16_2018CUST-YTD'!$S:$S,$G12,'Input 16_2018CUST-YTD'!K:K)</f>
        <v>0</v>
      </c>
      <c r="W12" s="55">
        <f>SUMIF('Input 16_2018CUST-YTD'!$S:$S,$G12,'Input 16_2018CUST-YTD'!L:L)</f>
        <v>0</v>
      </c>
      <c r="X12" s="55">
        <f>SUMIF('Input 16_2018CUST-YTD'!$S:$S,$G12,'Input 16_2018CUST-YTD'!M:M)</f>
        <v>0</v>
      </c>
      <c r="Y12" s="55">
        <f>SUMIF('Input 16_2018CUST-YTD'!$S:$S,$G12,'Input 16_2018CUST-YTD'!N:N)</f>
        <v>0</v>
      </c>
      <c r="Z12" s="1">
        <f>SUMIF('Input 3_2019CUST-YTD'!$S:$S,$G12,'Input 3_2019CUST-YTD'!C:C)</f>
        <v>0</v>
      </c>
      <c r="AA12" s="1">
        <f>SUMIF('Input 3_2019CUST-YTD'!$S:$S,$G12,'Input 3_2019CUST-YTD'!D:D)</f>
        <v>0</v>
      </c>
      <c r="AB12" s="1">
        <f>SUMIF('Input 3_2019CUST-YTD'!$S:$S,$G12,'Input 3_2019CUST-YTD'!E:E)</f>
        <v>0</v>
      </c>
      <c r="AC12" s="1">
        <f>SUMIF('Input 3_2019CUST-YTD'!$S:$S,$G12,'Input 3_2019CUST-YTD'!F:F)</f>
        <v>0</v>
      </c>
      <c r="AD12" s="1">
        <f>SUMIF('Input 3_2019CUST-YTD'!$S:$S,$G12,'Input 3_2019CUST-YTD'!G:G)</f>
        <v>0</v>
      </c>
      <c r="AE12" s="1">
        <f>SUMIF('Input 3_2019CUST-YTD'!$S:$S,$G12,'Input 3_2019CUST-YTD'!H:H)</f>
        <v>0</v>
      </c>
      <c r="AF12" s="1">
        <f>SUMIF('Input 3_2019CUST-YTD'!$S:$S,$G12,'Input 3_2019CUST-YTD'!I:I)</f>
        <v>0</v>
      </c>
      <c r="AG12" s="1">
        <f>SUMIF('Input 3_2019CUST-YTD'!$S:$S,$G12,'Input 3_2019CUST-YTD'!J:J)</f>
        <v>0</v>
      </c>
      <c r="AH12" s="1">
        <f>SUMIF('Input 3_2019CUST-YTD'!$S:$S,$G12,'Input 3_2019CUST-YTD'!K:K)</f>
        <v>0</v>
      </c>
      <c r="AI12" s="1">
        <f>SUMIF('Input 3_2019CUST-YTD'!$S:$S,$G12,'Input 3_2019CUST-YTD'!L:L)</f>
        <v>0</v>
      </c>
      <c r="AJ12" s="1">
        <f>SUMIF('Input 3_2019CUST-YTD'!$S:$S,$G12,'Input 3_2019CUST-YTD'!M:M)</f>
        <v>0</v>
      </c>
      <c r="AK12" s="1">
        <f>SUMIF('Input 3_2019CUST-YTD'!$S:$S,$G12,'Input 3_2019CUST-YTD'!N:N)</f>
        <v>0</v>
      </c>
      <c r="AL12" s="1">
        <f>SUMIF('Input 4_2020CUST-YTD'!$S:$S,$G12,'Input 4_2020CUST-YTD'!C:C)</f>
        <v>0</v>
      </c>
      <c r="AM12" s="1">
        <f>SUMIF('Input 4_2020CUST-YTD'!$S:$S,$G12,'Input 4_2020CUST-YTD'!D:D)</f>
        <v>0</v>
      </c>
      <c r="AN12" s="1">
        <f>SUMIF('Input 4_2020CUST-YTD'!$S:$S,$G12,'Input 4_2020CUST-YTD'!E:E)</f>
        <v>0</v>
      </c>
      <c r="AO12" s="1">
        <f>SUMIF('Input 4_2020CUST-YTD'!$S:$S,$G12,'Input 4_2020CUST-YTD'!F:F)</f>
        <v>0</v>
      </c>
      <c r="AP12" s="1">
        <f>SUMIF('Input 4_2020CUST-YTD'!$S:$S,$G12,'Input 4_2020CUST-YTD'!G:G)</f>
        <v>0</v>
      </c>
      <c r="AQ12" s="1">
        <f>SUMIF('Input 4_2020CUST-YTD'!$S:$S,$G12,'Input 4_2020CUST-YTD'!H:H)</f>
        <v>0</v>
      </c>
      <c r="AR12" s="1">
        <f>SUMIF('Input 4_2020CUST-YTD'!$S:$S,$G12,'Input 4_2020CUST-YTD'!I:I)</f>
        <v>0</v>
      </c>
      <c r="AS12" s="1">
        <f>SUMIF('Input 4_2020CUST-YTD'!$S:$S,$G12,'Input 4_2020CUST-YTD'!J:J)</f>
        <v>0</v>
      </c>
      <c r="AT12" s="1">
        <f>SUMIF('Input 4_2020CUST-YTD'!$S:$S,$G12,'Input 4_2020CUST-YTD'!K:K)</f>
        <v>0</v>
      </c>
      <c r="AU12" s="1">
        <f>SUMIF('Input 4_2020CUST-YTD'!$S:$S,$G12,'Input 4_2020CUST-YTD'!L:L)</f>
        <v>0</v>
      </c>
      <c r="AV12" s="1">
        <f>SUMIF('Input 4_2020CUST-YTD'!$S:$S,$G12,'Input 4_2020CUST-YTD'!M:M)</f>
        <v>0</v>
      </c>
      <c r="AW12" s="1">
        <f>SUMIF('Input 4_2020CUST-YTD'!$S:$S,$G12,'Input 4_2020CUST-YTD'!N:N)</f>
        <v>0</v>
      </c>
      <c r="AX12" s="1">
        <f>SUMIF('Input 5_2021CUST-YTD'!$S:$S,$G12,'Input 5_2021CUST-YTD'!C:C)</f>
        <v>0</v>
      </c>
      <c r="AY12" s="1">
        <f>SUMIF('Input 5_2021CUST-YTD'!$S:$S,$G12,'Input 5_2021CUST-YTD'!D:D)</f>
        <v>0</v>
      </c>
      <c r="AZ12" s="1">
        <f>SUMIF('Input 5_2021CUST-YTD'!$S:$S,$G12,'Input 5_2021CUST-YTD'!E:E)</f>
        <v>0</v>
      </c>
      <c r="BA12" s="1">
        <f>SUMIF('Input 5_2021CUST-YTD'!$S:$S,$G12,'Input 5_2021CUST-YTD'!F:F)</f>
        <v>0</v>
      </c>
      <c r="BB12" s="1">
        <f>SUMIF('Input 5_2021CUST-YTD'!$S:$S,$G12,'Input 5_2021CUST-YTD'!G:G)</f>
        <v>0</v>
      </c>
      <c r="BC12" s="1">
        <f>SUMIF('Input 5_2021CUST-YTD'!$S:$S,$G12,'Input 5_2021CUST-YTD'!H:H)</f>
        <v>0</v>
      </c>
      <c r="BD12" s="1">
        <f>SUMIF('Input 5_2021CUST-YTD'!$S:$S,$G12,'Input 5_2021CUST-YTD'!I:I)</f>
        <v>0</v>
      </c>
      <c r="BE12" s="1">
        <f>SUMIF('Input 5_2021CUST-YTD'!$S:$S,$G12,'Input 5_2021CUST-YTD'!J:J)</f>
        <v>0</v>
      </c>
      <c r="BF12" s="1">
        <f>SUMIF('Input 5_2021CUST-YTD'!$S:$S,$G12,'Input 5_2021CUST-YTD'!K:K)</f>
        <v>0</v>
      </c>
      <c r="BG12" s="1">
        <f>SUMIF('Input 5_2021CUST-YTD'!$S:$S,$G12,'Input 5_2021CUST-YTD'!L:L)</f>
        <v>0</v>
      </c>
      <c r="BH12" s="1">
        <f>SUMIF('Input 5_2021CUST-YTD'!$S:$S,$G12,'Input 5_2021CUST-YTD'!M:M)</f>
        <v>0</v>
      </c>
      <c r="BI12" s="1">
        <f>SUMIF('Input 5_2021CUST-YTD'!$S:$S,$G12,'Input 5_2021CUST-YTD'!N:N)</f>
        <v>0</v>
      </c>
      <c r="BJ12" s="190">
        <f t="shared" si="8"/>
        <v>0</v>
      </c>
      <c r="BK12" s="190">
        <f t="shared" si="9"/>
        <v>0</v>
      </c>
      <c r="BL12" s="190">
        <f t="shared" si="10"/>
        <v>0</v>
      </c>
      <c r="BM12" s="190">
        <f t="shared" si="11"/>
        <v>0</v>
      </c>
      <c r="BN12" s="190">
        <f t="shared" si="12"/>
        <v>0</v>
      </c>
      <c r="BO12" s="190">
        <f t="shared" si="13"/>
        <v>0</v>
      </c>
      <c r="BP12" s="190">
        <f t="shared" si="14"/>
        <v>0</v>
      </c>
      <c r="BQ12" s="190">
        <f t="shared" si="15"/>
        <v>0</v>
      </c>
      <c r="BR12" s="190">
        <f t="shared" si="16"/>
        <v>0</v>
      </c>
      <c r="BS12" s="190">
        <f t="shared" si="17"/>
        <v>0</v>
      </c>
      <c r="BT12" s="190">
        <f t="shared" si="18"/>
        <v>0</v>
      </c>
      <c r="BU12" s="190">
        <f t="shared" si="19"/>
        <v>0</v>
      </c>
      <c r="BV12" s="190">
        <f t="shared" si="20"/>
        <v>0</v>
      </c>
      <c r="BW12" s="190">
        <f t="shared" si="21"/>
        <v>0</v>
      </c>
      <c r="BX12" s="190">
        <f t="shared" si="22"/>
        <v>0</v>
      </c>
      <c r="BY12" s="190">
        <f t="shared" si="23"/>
        <v>0</v>
      </c>
      <c r="BZ12" s="190">
        <f t="shared" si="24"/>
        <v>0</v>
      </c>
      <c r="CA12" s="190">
        <f t="shared" si="25"/>
        <v>0</v>
      </c>
      <c r="CB12" s="190">
        <f t="shared" si="26"/>
        <v>0</v>
      </c>
      <c r="CC12" s="190">
        <f t="shared" si="27"/>
        <v>0</v>
      </c>
      <c r="CD12" s="190">
        <f t="shared" si="28"/>
        <v>0</v>
      </c>
      <c r="CE12" s="190">
        <f t="shared" si="29"/>
        <v>0</v>
      </c>
      <c r="CF12" s="190">
        <f t="shared" si="30"/>
        <v>0</v>
      </c>
      <c r="CG12" s="190">
        <f t="shared" si="31"/>
        <v>0</v>
      </c>
      <c r="CH12" s="264"/>
      <c r="CI12" s="264">
        <f t="shared" si="1"/>
        <v>0</v>
      </c>
      <c r="CJ12" s="264">
        <f t="shared" si="2"/>
        <v>0</v>
      </c>
      <c r="CK12" s="264">
        <f t="shared" si="3"/>
        <v>0</v>
      </c>
      <c r="CL12" s="264">
        <f t="shared" si="4"/>
        <v>0</v>
      </c>
      <c r="CM12" s="264">
        <f t="shared" si="5"/>
        <v>0</v>
      </c>
      <c r="CN12" s="264">
        <f t="shared" si="6"/>
        <v>0</v>
      </c>
      <c r="CP12" s="574">
        <f>SUMIF('Master '!D:D,D12,'Master '!AB:AB)</f>
        <v>0</v>
      </c>
      <c r="CQ12" s="574">
        <f>SUMIF('Master '!D:D,D12,'Master '!AC:AC)</f>
        <v>0</v>
      </c>
      <c r="CR12" s="264">
        <f t="shared" si="7"/>
        <v>0</v>
      </c>
      <c r="CS12" s="264">
        <f t="shared" si="7"/>
        <v>0</v>
      </c>
    </row>
    <row r="13" spans="1:99" s="261" customFormat="1">
      <c r="A13" s="55" t="s">
        <v>996</v>
      </c>
      <c r="B13" s="55" t="s">
        <v>993</v>
      </c>
      <c r="C13" s="55" t="s">
        <v>1245</v>
      </c>
      <c r="D13" s="55" t="s">
        <v>103</v>
      </c>
      <c r="E13" s="55" t="str">
        <f>VLOOKUP(D13,'Input 14_Ref Table'!C:D,2,FALSE)</f>
        <v>FMPT1</v>
      </c>
      <c r="F13" s="172" t="s">
        <v>1286</v>
      </c>
      <c r="G13" s="55" t="str">
        <f>VLOOKUP(D13,'Input 14_Ref Table'!C:I,7,FALSE)</f>
        <v>GTNGV</v>
      </c>
      <c r="H13" s="55" t="str">
        <f>VLOOKUP(D13,'Input 14_Ref Table'!C:K,8,FALSE)</f>
        <v>Base Period</v>
      </c>
      <c r="I13" s="55"/>
      <c r="J13" s="261" t="str">
        <f>INDEX('Master '!$AD$2:AD$65,MATCH(D13,'Master '!$D$2:$D$65,0))</f>
        <v>Base Period</v>
      </c>
      <c r="K13" s="567">
        <f>INDEX('Master '!$N$2:N$65,MATCH(D13,'Master '!$D$2:$D$65,0))</f>
        <v>0</v>
      </c>
      <c r="L13" s="290">
        <f>INDEX('Master '!$S$2:S$65,MATCH(D13,'Master '!$D$2:$D$65,0))</f>
        <v>0</v>
      </c>
      <c r="M13" s="1">
        <f>INDEX('Master '!$W$2:W$65,MATCH(D13,'Master '!$D$2:$D$65,0))</f>
        <v>0</v>
      </c>
      <c r="N13" s="55">
        <f>SUMIF('Input 16_2018CUST-YTD'!$S:$S,$G13,'Input 16_2018CUST-YTD'!C:C)</f>
        <v>0</v>
      </c>
      <c r="O13" s="55">
        <f>SUMIF('Input 16_2018CUST-YTD'!$S:$S,$G13,'Input 16_2018CUST-YTD'!D:D)</f>
        <v>0</v>
      </c>
      <c r="P13" s="55">
        <f>SUMIF('Input 16_2018CUST-YTD'!$S:$S,$G13,'Input 16_2018CUST-YTD'!E:E)</f>
        <v>0</v>
      </c>
      <c r="Q13" s="55">
        <f>SUMIF('Input 16_2018CUST-YTD'!$S:$S,$G13,'Input 16_2018CUST-YTD'!F:F)</f>
        <v>0</v>
      </c>
      <c r="R13" s="55">
        <f>SUMIF('Input 16_2018CUST-YTD'!$S:$S,$G13,'Input 16_2018CUST-YTD'!G:G)</f>
        <v>0</v>
      </c>
      <c r="S13" s="55">
        <f>SUMIF('Input 16_2018CUST-YTD'!$S:$S,$G13,'Input 16_2018CUST-YTD'!H:H)</f>
        <v>0</v>
      </c>
      <c r="T13" s="55">
        <f>SUMIF('Input 16_2018CUST-YTD'!$S:$S,$G13,'Input 16_2018CUST-YTD'!I:I)</f>
        <v>0</v>
      </c>
      <c r="U13" s="55">
        <f>SUMIF('Input 16_2018CUST-YTD'!$S:$S,$G13,'Input 16_2018CUST-YTD'!J:J)</f>
        <v>0</v>
      </c>
      <c r="V13" s="55">
        <f>SUMIF('Input 16_2018CUST-YTD'!$S:$S,$G13,'Input 16_2018CUST-YTD'!K:K)</f>
        <v>0</v>
      </c>
      <c r="W13" s="55">
        <f>SUMIF('Input 16_2018CUST-YTD'!$S:$S,$G13,'Input 16_2018CUST-YTD'!L:L)</f>
        <v>0</v>
      </c>
      <c r="X13" s="55">
        <f>SUMIF('Input 16_2018CUST-YTD'!$S:$S,$G13,'Input 16_2018CUST-YTD'!M:M)</f>
        <v>0</v>
      </c>
      <c r="Y13" s="55">
        <f>SUMIF('Input 16_2018CUST-YTD'!$S:$S,$G13,'Input 16_2018CUST-YTD'!N:N)</f>
        <v>0</v>
      </c>
      <c r="Z13" s="1">
        <f>SUMIF('Input 3_2019CUST-YTD'!$S:$S,$G13,'Input 3_2019CUST-YTD'!C:C)</f>
        <v>0</v>
      </c>
      <c r="AA13" s="1">
        <f>SUMIF('Input 3_2019CUST-YTD'!$S:$S,$G13,'Input 3_2019CUST-YTD'!D:D)</f>
        <v>0</v>
      </c>
      <c r="AB13" s="1">
        <f>SUMIF('Input 3_2019CUST-YTD'!$S:$S,$G13,'Input 3_2019CUST-YTD'!E:E)</f>
        <v>0</v>
      </c>
      <c r="AC13" s="1">
        <f>SUMIF('Input 3_2019CUST-YTD'!$S:$S,$G13,'Input 3_2019CUST-YTD'!F:F)</f>
        <v>0</v>
      </c>
      <c r="AD13" s="1">
        <f>SUMIF('Input 3_2019CUST-YTD'!$S:$S,$G13,'Input 3_2019CUST-YTD'!G:G)</f>
        <v>0</v>
      </c>
      <c r="AE13" s="1">
        <f>SUMIF('Input 3_2019CUST-YTD'!$S:$S,$G13,'Input 3_2019CUST-YTD'!H:H)</f>
        <v>0</v>
      </c>
      <c r="AF13" s="1">
        <f>SUMIF('Input 3_2019CUST-YTD'!$S:$S,$G13,'Input 3_2019CUST-YTD'!I:I)</f>
        <v>0</v>
      </c>
      <c r="AG13" s="1">
        <f>SUMIF('Input 3_2019CUST-YTD'!$S:$S,$G13,'Input 3_2019CUST-YTD'!J:J)</f>
        <v>0</v>
      </c>
      <c r="AH13" s="1">
        <f>SUMIF('Input 3_2019CUST-YTD'!$S:$S,$G13,'Input 3_2019CUST-YTD'!K:K)</f>
        <v>0</v>
      </c>
      <c r="AI13" s="1">
        <f>SUMIF('Input 3_2019CUST-YTD'!$S:$S,$G13,'Input 3_2019CUST-YTD'!L:L)</f>
        <v>0</v>
      </c>
      <c r="AJ13" s="1">
        <f>SUMIF('Input 3_2019CUST-YTD'!$S:$S,$G13,'Input 3_2019CUST-YTD'!M:M)</f>
        <v>0</v>
      </c>
      <c r="AK13" s="1">
        <f>SUMIF('Input 3_2019CUST-YTD'!$S:$S,$G13,'Input 3_2019CUST-YTD'!N:N)</f>
        <v>0</v>
      </c>
      <c r="AL13" s="1">
        <f>SUMIF('Input 4_2020CUST-YTD'!$S:$S,$G13,'Input 4_2020CUST-YTD'!C:C)</f>
        <v>0</v>
      </c>
      <c r="AM13" s="1">
        <f>SUMIF('Input 4_2020CUST-YTD'!$S:$S,$G13,'Input 4_2020CUST-YTD'!D:D)</f>
        <v>0</v>
      </c>
      <c r="AN13" s="1">
        <f>SUMIF('Input 4_2020CUST-YTD'!$S:$S,$G13,'Input 4_2020CUST-YTD'!E:E)</f>
        <v>0</v>
      </c>
      <c r="AO13" s="1">
        <f>SUMIF('Input 4_2020CUST-YTD'!$S:$S,$G13,'Input 4_2020CUST-YTD'!F:F)</f>
        <v>0</v>
      </c>
      <c r="AP13" s="1">
        <f>SUMIF('Input 4_2020CUST-YTD'!$S:$S,$G13,'Input 4_2020CUST-YTD'!G:G)</f>
        <v>0</v>
      </c>
      <c r="AQ13" s="1">
        <f>SUMIF('Input 4_2020CUST-YTD'!$S:$S,$G13,'Input 4_2020CUST-YTD'!H:H)</f>
        <v>0</v>
      </c>
      <c r="AR13" s="1">
        <f>SUMIF('Input 4_2020CUST-YTD'!$S:$S,$G13,'Input 4_2020CUST-YTD'!I:I)</f>
        <v>0</v>
      </c>
      <c r="AS13" s="1">
        <f>SUMIF('Input 4_2020CUST-YTD'!$S:$S,$G13,'Input 4_2020CUST-YTD'!J:J)</f>
        <v>0</v>
      </c>
      <c r="AT13" s="1">
        <f>SUMIF('Input 4_2020CUST-YTD'!$S:$S,$G13,'Input 4_2020CUST-YTD'!K:K)</f>
        <v>0</v>
      </c>
      <c r="AU13" s="1">
        <f>SUMIF('Input 4_2020CUST-YTD'!$S:$S,$G13,'Input 4_2020CUST-YTD'!L:L)</f>
        <v>0</v>
      </c>
      <c r="AV13" s="1">
        <f>SUMIF('Input 4_2020CUST-YTD'!$S:$S,$G13,'Input 4_2020CUST-YTD'!M:M)</f>
        <v>0</v>
      </c>
      <c r="AW13" s="1">
        <f>SUMIF('Input 4_2020CUST-YTD'!$S:$S,$G13,'Input 4_2020CUST-YTD'!N:N)</f>
        <v>0</v>
      </c>
      <c r="AX13" s="1">
        <f>SUMIF('Input 5_2021CUST-YTD'!$S:$S,$G13,'Input 5_2021CUST-YTD'!C:C)</f>
        <v>0</v>
      </c>
      <c r="AY13" s="1">
        <f>SUMIF('Input 5_2021CUST-YTD'!$S:$S,$G13,'Input 5_2021CUST-YTD'!D:D)</f>
        <v>0</v>
      </c>
      <c r="AZ13" s="1">
        <f>SUMIF('Input 5_2021CUST-YTD'!$S:$S,$G13,'Input 5_2021CUST-YTD'!E:E)</f>
        <v>0</v>
      </c>
      <c r="BA13" s="1">
        <f>SUMIF('Input 5_2021CUST-YTD'!$S:$S,$G13,'Input 5_2021CUST-YTD'!F:F)</f>
        <v>0</v>
      </c>
      <c r="BB13" s="1">
        <f>SUMIF('Input 5_2021CUST-YTD'!$S:$S,$G13,'Input 5_2021CUST-YTD'!G:G)</f>
        <v>0</v>
      </c>
      <c r="BC13" s="1">
        <f>SUMIF('Input 5_2021CUST-YTD'!$S:$S,$G13,'Input 5_2021CUST-YTD'!H:H)</f>
        <v>0</v>
      </c>
      <c r="BD13" s="1">
        <f>SUMIF('Input 5_2021CUST-YTD'!$S:$S,$G13,'Input 5_2021CUST-YTD'!I:I)</f>
        <v>0</v>
      </c>
      <c r="BE13" s="1">
        <f>SUMIF('Input 5_2021CUST-YTD'!$S:$S,$G13,'Input 5_2021CUST-YTD'!J:J)</f>
        <v>0</v>
      </c>
      <c r="BF13" s="1">
        <f>SUMIF('Input 5_2021CUST-YTD'!$S:$S,$G13,'Input 5_2021CUST-YTD'!K:K)</f>
        <v>0</v>
      </c>
      <c r="BG13" s="1">
        <f>SUMIF('Input 5_2021CUST-YTD'!$S:$S,$G13,'Input 5_2021CUST-YTD'!L:L)</f>
        <v>0</v>
      </c>
      <c r="BH13" s="1">
        <f>SUMIF('Input 5_2021CUST-YTD'!$S:$S,$G13,'Input 5_2021CUST-YTD'!M:M)</f>
        <v>0</v>
      </c>
      <c r="BI13" s="1">
        <f>SUMIF('Input 5_2021CUST-YTD'!$S:$S,$G13,'Input 5_2021CUST-YTD'!N:N)</f>
        <v>0</v>
      </c>
      <c r="BJ13" s="190">
        <f t="shared" si="8"/>
        <v>0</v>
      </c>
      <c r="BK13" s="190">
        <f t="shared" si="9"/>
        <v>0</v>
      </c>
      <c r="BL13" s="190">
        <f t="shared" si="10"/>
        <v>0</v>
      </c>
      <c r="BM13" s="190">
        <f t="shared" si="11"/>
        <v>0</v>
      </c>
      <c r="BN13" s="190">
        <f t="shared" si="12"/>
        <v>0</v>
      </c>
      <c r="BO13" s="190">
        <f t="shared" si="13"/>
        <v>0</v>
      </c>
      <c r="BP13" s="190">
        <f t="shared" si="14"/>
        <v>0</v>
      </c>
      <c r="BQ13" s="190">
        <f t="shared" si="15"/>
        <v>0</v>
      </c>
      <c r="BR13" s="190">
        <f t="shared" si="16"/>
        <v>0</v>
      </c>
      <c r="BS13" s="190">
        <f t="shared" si="17"/>
        <v>0</v>
      </c>
      <c r="BT13" s="190">
        <f t="shared" si="18"/>
        <v>0</v>
      </c>
      <c r="BU13" s="190">
        <f t="shared" si="19"/>
        <v>0</v>
      </c>
      <c r="BV13" s="190">
        <f t="shared" si="20"/>
        <v>0</v>
      </c>
      <c r="BW13" s="190">
        <f t="shared" si="21"/>
        <v>0</v>
      </c>
      <c r="BX13" s="190">
        <f t="shared" si="22"/>
        <v>0</v>
      </c>
      <c r="BY13" s="190">
        <f t="shared" si="23"/>
        <v>0</v>
      </c>
      <c r="BZ13" s="190">
        <f t="shared" si="24"/>
        <v>0</v>
      </c>
      <c r="CA13" s="190">
        <f t="shared" si="25"/>
        <v>0</v>
      </c>
      <c r="CB13" s="190">
        <f t="shared" si="26"/>
        <v>0</v>
      </c>
      <c r="CC13" s="190">
        <f t="shared" si="27"/>
        <v>0</v>
      </c>
      <c r="CD13" s="190">
        <f t="shared" si="28"/>
        <v>0</v>
      </c>
      <c r="CE13" s="190">
        <f t="shared" si="29"/>
        <v>0</v>
      </c>
      <c r="CF13" s="190">
        <f t="shared" si="30"/>
        <v>0</v>
      </c>
      <c r="CG13" s="190">
        <f t="shared" si="31"/>
        <v>0</v>
      </c>
      <c r="CH13" s="264"/>
      <c r="CI13" s="264">
        <f t="shared" si="1"/>
        <v>0</v>
      </c>
      <c r="CJ13" s="264">
        <f t="shared" si="2"/>
        <v>0</v>
      </c>
      <c r="CK13" s="264">
        <f t="shared" si="3"/>
        <v>0</v>
      </c>
      <c r="CL13" s="264">
        <f t="shared" si="4"/>
        <v>0</v>
      </c>
      <c r="CM13" s="264">
        <f t="shared" si="5"/>
        <v>0</v>
      </c>
      <c r="CN13" s="264">
        <f t="shared" si="6"/>
        <v>0</v>
      </c>
      <c r="CP13" s="574">
        <f>SUMIF('Master '!D:D,D13,'Master '!AB:AB)</f>
        <v>0</v>
      </c>
      <c r="CQ13" s="574">
        <f>SUMIF('Master '!D:D,D13,'Master '!AC:AC)</f>
        <v>0</v>
      </c>
      <c r="CR13" s="264">
        <f t="shared" si="7"/>
        <v>0</v>
      </c>
      <c r="CS13" s="264">
        <f t="shared" si="7"/>
        <v>0</v>
      </c>
    </row>
    <row r="14" spans="1:99" s="261" customFormat="1">
      <c r="A14" s="55" t="s">
        <v>15</v>
      </c>
      <c r="B14" s="55" t="s">
        <v>994</v>
      </c>
      <c r="C14" s="55" t="s">
        <v>8</v>
      </c>
      <c r="D14" s="55" t="s">
        <v>29</v>
      </c>
      <c r="E14" s="55" t="str">
        <f>VLOOKUP(D14,'Input 14_Ref Table'!C:D,2,FALSE)</f>
        <v>GRS31</v>
      </c>
      <c r="F14" s="172" t="s">
        <v>1286</v>
      </c>
      <c r="G14" s="55" t="str">
        <f>VLOOKUP(D14,'Input 14_Ref Table'!C:I,7,FALSE)</f>
        <v>FPU - FPU - RS</v>
      </c>
      <c r="H14" s="55" t="str">
        <f>VLOOKUP(D14,'Input 14_Ref Table'!C:K,8,FALSE)</f>
        <v>FPU_RS</v>
      </c>
      <c r="I14" s="55"/>
      <c r="J14" s="261" t="str">
        <f>INDEX('Master '!$AD$2:AD$65,MATCH(D14,'Master '!$D$2:$D$65,0))</f>
        <v>Modeled UPC</v>
      </c>
      <c r="K14" s="567">
        <f>INDEX('Master '!$N$2:N$65,MATCH(D14,'Master '!$D$2:$D$65,0))</f>
        <v>2.8823680628474693E-2</v>
      </c>
      <c r="L14" s="290">
        <f>INDEX('Master '!$S$2:S$65,MATCH(D14,'Master '!$D$2:$D$65,0))</f>
        <v>0</v>
      </c>
      <c r="M14" s="1">
        <f>INDEX('Master '!$W$2:W$65,MATCH(D14,'Master '!$D$2:$D$65,0))</f>
        <v>250.70017607354299</v>
      </c>
      <c r="N14" s="55">
        <f>SUMIF('Input 16_2018CUST-YTD'!$S:$S,$G14,'Input 16_2018CUST-YTD'!C:C)</f>
        <v>53499</v>
      </c>
      <c r="O14" s="55">
        <f>SUMIF('Input 16_2018CUST-YTD'!$S:$S,$G14,'Input 16_2018CUST-YTD'!D:D)</f>
        <v>53510</v>
      </c>
      <c r="P14" s="55">
        <f>SUMIF('Input 16_2018CUST-YTD'!$S:$S,$G14,'Input 16_2018CUST-YTD'!E:E)</f>
        <v>53765</v>
      </c>
      <c r="Q14" s="55">
        <f>SUMIF('Input 16_2018CUST-YTD'!$S:$S,$G14,'Input 16_2018CUST-YTD'!F:F)</f>
        <v>53838</v>
      </c>
      <c r="R14" s="55">
        <f>SUMIF('Input 16_2018CUST-YTD'!$S:$S,$G14,'Input 16_2018CUST-YTD'!G:G)</f>
        <v>53847</v>
      </c>
      <c r="S14" s="55">
        <f>SUMIF('Input 16_2018CUST-YTD'!$S:$S,$G14,'Input 16_2018CUST-YTD'!H:H)</f>
        <v>54011</v>
      </c>
      <c r="T14" s="55">
        <f>SUMIF('Input 16_2018CUST-YTD'!$S:$S,$G14,'Input 16_2018CUST-YTD'!I:I)</f>
        <v>53950</v>
      </c>
      <c r="U14" s="55">
        <f>SUMIF('Input 16_2018CUST-YTD'!$S:$S,$G14,'Input 16_2018CUST-YTD'!J:J)</f>
        <v>54098</v>
      </c>
      <c r="V14" s="55">
        <f>SUMIF('Input 16_2018CUST-YTD'!$S:$S,$G14,'Input 16_2018CUST-YTD'!K:K)</f>
        <v>54159</v>
      </c>
      <c r="W14" s="55">
        <f>SUMIF('Input 16_2018CUST-YTD'!$S:$S,$G14,'Input 16_2018CUST-YTD'!L:L)</f>
        <v>54187</v>
      </c>
      <c r="X14" s="55">
        <f>SUMIF('Input 16_2018CUST-YTD'!$S:$S,$G14,'Input 16_2018CUST-YTD'!M:M)</f>
        <v>54500</v>
      </c>
      <c r="Y14" s="55">
        <f>SUMIF('Input 16_2018CUST-YTD'!$S:$S,$G14,'Input 16_2018CUST-YTD'!N:N)</f>
        <v>54681</v>
      </c>
      <c r="Z14" s="1">
        <f>SUMIF('Input 3_2019CUST-YTD'!$S:$S,$G14,'Input 3_2019CUST-YTD'!C:C)</f>
        <v>55006</v>
      </c>
      <c r="AA14" s="1">
        <f>SUMIF('Input 3_2019CUST-YTD'!$S:$S,$G14,'Input 3_2019CUST-YTD'!D:D)</f>
        <v>55048</v>
      </c>
      <c r="AB14" s="1">
        <f>SUMIF('Input 3_2019CUST-YTD'!$S:$S,$G14,'Input 3_2019CUST-YTD'!E:E)</f>
        <v>55195</v>
      </c>
      <c r="AC14" s="1">
        <f>SUMIF('Input 3_2019CUST-YTD'!$S:$S,$G14,'Input 3_2019CUST-YTD'!F:F)</f>
        <v>55660</v>
      </c>
      <c r="AD14" s="1">
        <f>SUMIF('Input 3_2019CUST-YTD'!$S:$S,$G14,'Input 3_2019CUST-YTD'!G:G)</f>
        <v>55411</v>
      </c>
      <c r="AE14" s="1">
        <f>SUMIF('Input 3_2019CUST-YTD'!$S:$S,$G14,'Input 3_2019CUST-YTD'!H:H)</f>
        <v>55894</v>
      </c>
      <c r="AF14" s="1">
        <f>SUMIF('Input 3_2019CUST-YTD'!$S:$S,$G14,'Input 3_2019CUST-YTD'!I:I)</f>
        <v>56537</v>
      </c>
      <c r="AG14" s="1">
        <f>SUMIF('Input 3_2019CUST-YTD'!$S:$S,$G14,'Input 3_2019CUST-YTD'!J:J)</f>
        <v>56011</v>
      </c>
      <c r="AH14" s="1">
        <f>SUMIF('Input 3_2019CUST-YTD'!$S:$S,$G14,'Input 3_2019CUST-YTD'!K:K)</f>
        <v>56132</v>
      </c>
      <c r="AI14" s="1">
        <f>SUMIF('Input 3_2019CUST-YTD'!$S:$S,$G14,'Input 3_2019CUST-YTD'!L:L)</f>
        <v>56111</v>
      </c>
      <c r="AJ14" s="1">
        <f>SUMIF('Input 3_2019CUST-YTD'!$S:$S,$G14,'Input 3_2019CUST-YTD'!M:M)</f>
        <v>56466</v>
      </c>
      <c r="AK14" s="1">
        <f>SUMIF('Input 3_2019CUST-YTD'!$S:$S,$G14,'Input 3_2019CUST-YTD'!N:N)</f>
        <v>56785</v>
      </c>
      <c r="AL14" s="1">
        <f>SUMIF('Input 4_2020CUST-YTD'!$S:$S,$G14,'Input 4_2020CUST-YTD'!C:C)</f>
        <v>56960</v>
      </c>
      <c r="AM14" s="1">
        <f>SUMIF('Input 4_2020CUST-YTD'!$S:$S,$G14,'Input 4_2020CUST-YTD'!D:D)</f>
        <v>57116</v>
      </c>
      <c r="AN14" s="1">
        <f>SUMIF('Input 4_2020CUST-YTD'!$S:$S,$G14,'Input 4_2020CUST-YTD'!E:E)</f>
        <v>57325</v>
      </c>
      <c r="AO14" s="1">
        <f>SUMIF('Input 4_2020CUST-YTD'!$S:$S,$G14,'Input 4_2020CUST-YTD'!F:F)</f>
        <v>57693</v>
      </c>
      <c r="AP14" s="1">
        <f>SUMIF('Input 4_2020CUST-YTD'!$S:$S,$G14,'Input 4_2020CUST-YTD'!G:G)</f>
        <v>57766</v>
      </c>
      <c r="AQ14" s="1">
        <f>SUMIF('Input 4_2020CUST-YTD'!$S:$S,$G14,'Input 4_2020CUST-YTD'!H:H)</f>
        <v>58003</v>
      </c>
      <c r="AR14" s="1">
        <f>SUMIF('Input 4_2020CUST-YTD'!$S:$S,$G14,'Input 4_2020CUST-YTD'!I:I)</f>
        <v>58395</v>
      </c>
      <c r="AS14" s="1">
        <f>SUMIF('Input 4_2020CUST-YTD'!$S:$S,$G14,'Input 4_2020CUST-YTD'!J:J)</f>
        <v>58502</v>
      </c>
      <c r="AT14" s="1">
        <f>SUMIF('Input 4_2020CUST-YTD'!$S:$S,$G14,'Input 4_2020CUST-YTD'!K:K)</f>
        <v>58692</v>
      </c>
      <c r="AU14" s="1">
        <f>SUMIF('Input 4_2020CUST-YTD'!$S:$S,$G14,'Input 4_2020CUST-YTD'!L:L)</f>
        <v>59012</v>
      </c>
      <c r="AV14" s="1">
        <f>SUMIF('Input 4_2020CUST-YTD'!$S:$S,$G14,'Input 4_2020CUST-YTD'!M:M)</f>
        <v>59322</v>
      </c>
      <c r="AW14" s="1">
        <f>SUMIF('Input 4_2020CUST-YTD'!$S:$S,$G14,'Input 4_2020CUST-YTD'!N:N)</f>
        <v>59506</v>
      </c>
      <c r="AX14" s="1">
        <f>SUMIF('Input 5_2021CUST-YTD'!$S:$S,$G14,'Input 5_2021CUST-YTD'!C:C)</f>
        <v>59736</v>
      </c>
      <c r="AY14" s="1">
        <f>SUMIF('Input 5_2021CUST-YTD'!$S:$S,$G14,'Input 5_2021CUST-YTD'!D:D)</f>
        <v>59944</v>
      </c>
      <c r="AZ14" s="1">
        <f>SUMIF('Input 5_2021CUST-YTD'!$S:$S,$G14,'Input 5_2021CUST-YTD'!E:E)</f>
        <v>60223</v>
      </c>
      <c r="BA14" s="1">
        <f>SUMIF('Input 5_2021CUST-YTD'!$S:$S,$G14,'Input 5_2021CUST-YTD'!F:F)</f>
        <v>60629</v>
      </c>
      <c r="BB14" s="1">
        <f>SUMIF('Input 5_2021CUST-YTD'!$S:$S,$G14,'Input 5_2021CUST-YTD'!G:G)</f>
        <v>60701</v>
      </c>
      <c r="BC14" s="1">
        <f>SUMIF('Input 5_2021CUST-YTD'!$S:$S,$G14,'Input 5_2021CUST-YTD'!H:H)</f>
        <v>61056</v>
      </c>
      <c r="BD14" s="1">
        <f>SUMIF('Input 5_2021CUST-YTD'!$S:$S,$G14,'Input 5_2021CUST-YTD'!I:I)</f>
        <v>61234</v>
      </c>
      <c r="BE14" s="1">
        <f>SUMIF('Input 5_2021CUST-YTD'!$S:$S,$G14,'Input 5_2021CUST-YTD'!J:J)</f>
        <v>61329</v>
      </c>
      <c r="BF14" s="1">
        <f>SUMIF('Input 5_2021CUST-YTD'!$S:$S,$G14,'Input 5_2021CUST-YTD'!K:K)</f>
        <v>61505</v>
      </c>
      <c r="BG14" s="1">
        <f>SUMIF('Input 5_2021CUST-YTD'!$S:$S,$G14,'Input 5_2021CUST-YTD'!L:L)</f>
        <v>61813</v>
      </c>
      <c r="BH14" s="1">
        <f>SUMIF('Input 5_2021CUST-YTD'!$S:$S,$G14,'Input 5_2021CUST-YTD'!M:M)</f>
        <v>62167</v>
      </c>
      <c r="BI14" s="1">
        <f>SUMIF('Input 5_2021CUST-YTD'!$S:$S,$G14,'Input 5_2021CUST-YTD'!N:N)</f>
        <v>62405</v>
      </c>
      <c r="BJ14" s="190">
        <f t="shared" si="8"/>
        <v>61457.811386022564</v>
      </c>
      <c r="BK14" s="190">
        <f t="shared" si="9"/>
        <v>61671.806711593286</v>
      </c>
      <c r="BL14" s="190">
        <f t="shared" si="10"/>
        <v>61958.84851848863</v>
      </c>
      <c r="BM14" s="190">
        <f t="shared" si="11"/>
        <v>62376.550932823797</v>
      </c>
      <c r="BN14" s="190">
        <f t="shared" si="12"/>
        <v>62450.626237829048</v>
      </c>
      <c r="BO14" s="190">
        <f t="shared" si="13"/>
        <v>62815.858644452157</v>
      </c>
      <c r="BP14" s="190">
        <f t="shared" si="14"/>
        <v>62998.989259604023</v>
      </c>
      <c r="BQ14" s="190">
        <f t="shared" si="15"/>
        <v>63096.727509263728</v>
      </c>
      <c r="BR14" s="190">
        <f t="shared" si="16"/>
        <v>63277.800477054341</v>
      </c>
      <c r="BS14" s="190">
        <f t="shared" si="17"/>
        <v>63594.678170687912</v>
      </c>
      <c r="BT14" s="190">
        <f t="shared" si="18"/>
        <v>63958.88175363039</v>
      </c>
      <c r="BU14" s="190">
        <f t="shared" si="19"/>
        <v>64203.741789619962</v>
      </c>
      <c r="BV14" s="190">
        <f t="shared" si="20"/>
        <v>63229.251713538317</v>
      </c>
      <c r="BW14" s="190">
        <f t="shared" si="21"/>
        <v>63449.415172029279</v>
      </c>
      <c r="BX14" s="190">
        <f t="shared" si="22"/>
        <v>63744.730580293588</v>
      </c>
      <c r="BY14" s="190">
        <f t="shared" si="23"/>
        <v>64174.472715617296</v>
      </c>
      <c r="BZ14" s="190">
        <f t="shared" si="24"/>
        <v>64250.683143556475</v>
      </c>
      <c r="CA14" s="190">
        <f t="shared" si="25"/>
        <v>64626.442892423263</v>
      </c>
      <c r="CB14" s="190">
        <f t="shared" si="26"/>
        <v>64814.85200593956</v>
      </c>
      <c r="CC14" s="190">
        <f t="shared" si="27"/>
        <v>64915.407431692642</v>
      </c>
      <c r="CD14" s="190">
        <f t="shared" si="28"/>
        <v>65101.699588877302</v>
      </c>
      <c r="CE14" s="190">
        <f t="shared" si="29"/>
        <v>65427.710863950451</v>
      </c>
      <c r="CF14" s="190">
        <f t="shared" si="30"/>
        <v>65802.412134651415</v>
      </c>
      <c r="CG14" s="190">
        <f t="shared" si="31"/>
        <v>66054.329938117022</v>
      </c>
      <c r="CH14" s="264"/>
      <c r="CI14" s="264">
        <f t="shared" si="1"/>
        <v>648045</v>
      </c>
      <c r="CJ14" s="264">
        <f t="shared" si="2"/>
        <v>670256</v>
      </c>
      <c r="CK14" s="264">
        <f t="shared" si="3"/>
        <v>698292</v>
      </c>
      <c r="CL14" s="264">
        <f t="shared" si="4"/>
        <v>732742</v>
      </c>
      <c r="CM14" s="264">
        <f t="shared" si="5"/>
        <v>753862.3213910698</v>
      </c>
      <c r="CN14" s="264">
        <f t="shared" si="6"/>
        <v>775591.40818068665</v>
      </c>
      <c r="CP14" s="574">
        <f>SUMIF('Master '!D:D,D14,'Master '!AB:AB)</f>
        <v>753862.3213910698</v>
      </c>
      <c r="CQ14" s="574">
        <f>SUMIF('Master '!D:D,D14,'Master '!AC:AC)</f>
        <v>775591.40818068653</v>
      </c>
      <c r="CR14" s="264">
        <f t="shared" si="7"/>
        <v>0</v>
      </c>
      <c r="CS14" s="264">
        <f t="shared" si="7"/>
        <v>0</v>
      </c>
    </row>
    <row r="15" spans="1:99" s="261" customFormat="1">
      <c r="A15" s="55" t="s">
        <v>15</v>
      </c>
      <c r="B15" s="55" t="s">
        <v>994</v>
      </c>
      <c r="C15" s="55" t="s">
        <v>8</v>
      </c>
      <c r="D15" s="55" t="s">
        <v>32</v>
      </c>
      <c r="E15" s="55" t="str">
        <f>VLOOKUP(D15,'Input 14_Ref Table'!C:D,2,FALSE)</f>
        <v>GEN31</v>
      </c>
      <c r="F15" s="172" t="s">
        <v>1286</v>
      </c>
      <c r="G15" s="55" t="str">
        <f>VLOOKUP(D15,'Input 14_Ref Table'!C:I,7,FALSE)</f>
        <v>FPU - FPU - RS-GS</v>
      </c>
      <c r="H15" s="55" t="str">
        <f>VLOOKUP(D15,'Input 14_Ref Table'!C:K,8,FALSE)</f>
        <v>RS_GS</v>
      </c>
      <c r="I15" s="55"/>
      <c r="J15" s="261" t="str">
        <f>INDEX('Master '!$AD$2:AD$65,MATCH(D15,'Master '!$D$2:$D$65,0))</f>
        <v>Historical Average</v>
      </c>
      <c r="K15" s="567">
        <f>INDEX('Master '!$N$2:N$65,MATCH(D15,'Master '!$D$2:$D$65,0))</f>
        <v>0.10817508987692429</v>
      </c>
      <c r="L15" s="290">
        <f>INDEX('Master '!$S$2:S$65,MATCH(D15,'Master '!$D$2:$D$65,0))</f>
        <v>-6.5016495904125227E-3</v>
      </c>
      <c r="M15" s="1">
        <f>INDEX('Master '!$W$2:W$65,MATCH(D15,'Master '!$D$2:$D$65,0))</f>
        <v>80.956336657055985</v>
      </c>
      <c r="N15" s="55">
        <f>SUMIF('Input 16_2018CUST-YTD'!$S:$S,$G15,'Input 16_2018CUST-YTD'!C:C)</f>
        <v>434</v>
      </c>
      <c r="O15" s="55">
        <f>SUMIF('Input 16_2018CUST-YTD'!$S:$S,$G15,'Input 16_2018CUST-YTD'!D:D)</f>
        <v>431</v>
      </c>
      <c r="P15" s="55">
        <f>SUMIF('Input 16_2018CUST-YTD'!$S:$S,$G15,'Input 16_2018CUST-YTD'!E:E)</f>
        <v>440</v>
      </c>
      <c r="Q15" s="55">
        <f>SUMIF('Input 16_2018CUST-YTD'!$S:$S,$G15,'Input 16_2018CUST-YTD'!F:F)</f>
        <v>444</v>
      </c>
      <c r="R15" s="55">
        <f>SUMIF('Input 16_2018CUST-YTD'!$S:$S,$G15,'Input 16_2018CUST-YTD'!G:G)</f>
        <v>441</v>
      </c>
      <c r="S15" s="55">
        <f>SUMIF('Input 16_2018CUST-YTD'!$S:$S,$G15,'Input 16_2018CUST-YTD'!H:H)</f>
        <v>448</v>
      </c>
      <c r="T15" s="55">
        <f>SUMIF('Input 16_2018CUST-YTD'!$S:$S,$G15,'Input 16_2018CUST-YTD'!I:I)</f>
        <v>453</v>
      </c>
      <c r="U15" s="55">
        <f>SUMIF('Input 16_2018CUST-YTD'!$S:$S,$G15,'Input 16_2018CUST-YTD'!J:J)</f>
        <v>459</v>
      </c>
      <c r="V15" s="55">
        <f>SUMIF('Input 16_2018CUST-YTD'!$S:$S,$G15,'Input 16_2018CUST-YTD'!K:K)</f>
        <v>478</v>
      </c>
      <c r="W15" s="55">
        <f>SUMIF('Input 16_2018CUST-YTD'!$S:$S,$G15,'Input 16_2018CUST-YTD'!L:L)</f>
        <v>490</v>
      </c>
      <c r="X15" s="55">
        <f>SUMIF('Input 16_2018CUST-YTD'!$S:$S,$G15,'Input 16_2018CUST-YTD'!M:M)</f>
        <v>495</v>
      </c>
      <c r="Y15" s="55">
        <f>SUMIF('Input 16_2018CUST-YTD'!$S:$S,$G15,'Input 16_2018CUST-YTD'!N:N)</f>
        <v>505</v>
      </c>
      <c r="Z15" s="1">
        <f>SUMIF('Input 3_2019CUST-YTD'!$S:$S,$G15,'Input 3_2019CUST-YTD'!C:C)</f>
        <v>504</v>
      </c>
      <c r="AA15" s="1">
        <f>SUMIF('Input 3_2019CUST-YTD'!$S:$S,$G15,'Input 3_2019CUST-YTD'!D:D)</f>
        <v>514</v>
      </c>
      <c r="AB15" s="1">
        <f>SUMIF('Input 3_2019CUST-YTD'!$S:$S,$G15,'Input 3_2019CUST-YTD'!E:E)</f>
        <v>515</v>
      </c>
      <c r="AC15" s="1">
        <f>SUMIF('Input 3_2019CUST-YTD'!$S:$S,$G15,'Input 3_2019CUST-YTD'!F:F)</f>
        <v>533</v>
      </c>
      <c r="AD15" s="1">
        <f>SUMIF('Input 3_2019CUST-YTD'!$S:$S,$G15,'Input 3_2019CUST-YTD'!G:G)</f>
        <v>783</v>
      </c>
      <c r="AE15" s="1">
        <f>SUMIF('Input 3_2019CUST-YTD'!$S:$S,$G15,'Input 3_2019CUST-YTD'!H:H)</f>
        <v>531</v>
      </c>
      <c r="AF15" s="1">
        <f>SUMIF('Input 3_2019CUST-YTD'!$S:$S,$G15,'Input 3_2019CUST-YTD'!I:I)</f>
        <v>541</v>
      </c>
      <c r="AG15" s="1">
        <f>SUMIF('Input 3_2019CUST-YTD'!$S:$S,$G15,'Input 3_2019CUST-YTD'!J:J)</f>
        <v>551</v>
      </c>
      <c r="AH15" s="1">
        <f>SUMIF('Input 3_2019CUST-YTD'!$S:$S,$G15,'Input 3_2019CUST-YTD'!K:K)</f>
        <v>558</v>
      </c>
      <c r="AI15" s="1">
        <f>SUMIF('Input 3_2019CUST-YTD'!$S:$S,$G15,'Input 3_2019CUST-YTD'!L:L)</f>
        <v>676</v>
      </c>
      <c r="AJ15" s="1">
        <f>SUMIF('Input 3_2019CUST-YTD'!$S:$S,$G15,'Input 3_2019CUST-YTD'!M:M)</f>
        <v>562</v>
      </c>
      <c r="AK15" s="1">
        <f>SUMIF('Input 3_2019CUST-YTD'!$S:$S,$G15,'Input 3_2019CUST-YTD'!N:N)</f>
        <v>559</v>
      </c>
      <c r="AL15" s="1">
        <f>SUMIF('Input 4_2020CUST-YTD'!$S:$S,$G15,'Input 4_2020CUST-YTD'!C:C)</f>
        <v>564</v>
      </c>
      <c r="AM15" s="1">
        <f>SUMIF('Input 4_2020CUST-YTD'!$S:$S,$G15,'Input 4_2020CUST-YTD'!D:D)</f>
        <v>563</v>
      </c>
      <c r="AN15" s="1">
        <f>SUMIF('Input 4_2020CUST-YTD'!$S:$S,$G15,'Input 4_2020CUST-YTD'!E:E)</f>
        <v>568</v>
      </c>
      <c r="AO15" s="1">
        <f>SUMIF('Input 4_2020CUST-YTD'!$S:$S,$G15,'Input 4_2020CUST-YTD'!F:F)</f>
        <v>578</v>
      </c>
      <c r="AP15" s="1">
        <f>SUMIF('Input 4_2020CUST-YTD'!$S:$S,$G15,'Input 4_2020CUST-YTD'!G:G)</f>
        <v>575</v>
      </c>
      <c r="AQ15" s="1">
        <f>SUMIF('Input 4_2020CUST-YTD'!$S:$S,$G15,'Input 4_2020CUST-YTD'!H:H)</f>
        <v>585</v>
      </c>
      <c r="AR15" s="1">
        <f>SUMIF('Input 4_2020CUST-YTD'!$S:$S,$G15,'Input 4_2020CUST-YTD'!I:I)</f>
        <v>593</v>
      </c>
      <c r="AS15" s="1">
        <f>SUMIF('Input 4_2020CUST-YTD'!$S:$S,$G15,'Input 4_2020CUST-YTD'!J:J)</f>
        <v>594</v>
      </c>
      <c r="AT15" s="1">
        <f>SUMIF('Input 4_2020CUST-YTD'!$S:$S,$G15,'Input 4_2020CUST-YTD'!K:K)</f>
        <v>611</v>
      </c>
      <c r="AU15" s="1">
        <f>SUMIF('Input 4_2020CUST-YTD'!$S:$S,$G15,'Input 4_2020CUST-YTD'!L:L)</f>
        <v>629</v>
      </c>
      <c r="AV15" s="1">
        <f>SUMIF('Input 4_2020CUST-YTD'!$S:$S,$G15,'Input 4_2020CUST-YTD'!M:M)</f>
        <v>648</v>
      </c>
      <c r="AW15" s="1">
        <f>SUMIF('Input 4_2020CUST-YTD'!$S:$S,$G15,'Input 4_2020CUST-YTD'!N:N)</f>
        <v>653</v>
      </c>
      <c r="AX15" s="1">
        <f>SUMIF('Input 5_2021CUST-YTD'!$S:$S,$G15,'Input 5_2021CUST-YTD'!C:C)</f>
        <v>660</v>
      </c>
      <c r="AY15" s="1">
        <f>SUMIF('Input 5_2021CUST-YTD'!$S:$S,$G15,'Input 5_2021CUST-YTD'!D:D)</f>
        <v>667</v>
      </c>
      <c r="AZ15" s="1">
        <f>SUMIF('Input 5_2021CUST-YTD'!$S:$S,$G15,'Input 5_2021CUST-YTD'!E:E)</f>
        <v>672</v>
      </c>
      <c r="BA15" s="1">
        <f>SUMIF('Input 5_2021CUST-YTD'!$S:$S,$G15,'Input 5_2021CUST-YTD'!F:F)</f>
        <v>686</v>
      </c>
      <c r="BB15" s="1">
        <f>SUMIF('Input 5_2021CUST-YTD'!$S:$S,$G15,'Input 5_2021CUST-YTD'!G:G)</f>
        <v>699</v>
      </c>
      <c r="BC15" s="1">
        <f>SUMIF('Input 5_2021CUST-YTD'!$S:$S,$G15,'Input 5_2021CUST-YTD'!H:H)</f>
        <v>716</v>
      </c>
      <c r="BD15" s="1">
        <f>SUMIF('Input 5_2021CUST-YTD'!$S:$S,$G15,'Input 5_2021CUST-YTD'!I:I)</f>
        <v>728</v>
      </c>
      <c r="BE15" s="1">
        <f>SUMIF('Input 5_2021CUST-YTD'!$S:$S,$G15,'Input 5_2021CUST-YTD'!J:J)</f>
        <v>753</v>
      </c>
      <c r="BF15" s="1">
        <f>SUMIF('Input 5_2021CUST-YTD'!$S:$S,$G15,'Input 5_2021CUST-YTD'!K:K)</f>
        <v>747</v>
      </c>
      <c r="BG15" s="1">
        <f>SUMIF('Input 5_2021CUST-YTD'!$S:$S,$G15,'Input 5_2021CUST-YTD'!L:L)</f>
        <v>757</v>
      </c>
      <c r="BH15" s="1">
        <f>SUMIF('Input 5_2021CUST-YTD'!$S:$S,$G15,'Input 5_2021CUST-YTD'!M:M)</f>
        <v>769</v>
      </c>
      <c r="BI15" s="1">
        <f>SUMIF('Input 5_2021CUST-YTD'!$S:$S,$G15,'Input 5_2021CUST-YTD'!N:N)</f>
        <v>774</v>
      </c>
      <c r="BJ15" s="190">
        <f t="shared" si="8"/>
        <v>731.39555931876998</v>
      </c>
      <c r="BK15" s="190">
        <f t="shared" si="9"/>
        <v>739.15278494790846</v>
      </c>
      <c r="BL15" s="190">
        <f t="shared" si="10"/>
        <v>744.69366039729312</v>
      </c>
      <c r="BM15" s="190">
        <f t="shared" si="11"/>
        <v>760.20811165557006</v>
      </c>
      <c r="BN15" s="190">
        <f t="shared" si="12"/>
        <v>774.61438782397011</v>
      </c>
      <c r="BO15" s="190">
        <f t="shared" si="13"/>
        <v>793.45336435187778</v>
      </c>
      <c r="BP15" s="190">
        <f t="shared" si="14"/>
        <v>806.75146543040091</v>
      </c>
      <c r="BQ15" s="190">
        <f t="shared" si="15"/>
        <v>834.45584267732397</v>
      </c>
      <c r="BR15" s="190">
        <f t="shared" si="16"/>
        <v>827.80679213806241</v>
      </c>
      <c r="BS15" s="190">
        <f t="shared" si="17"/>
        <v>838.88854303683161</v>
      </c>
      <c r="BT15" s="190">
        <f t="shared" si="18"/>
        <v>852.18664411535474</v>
      </c>
      <c r="BU15" s="190">
        <f t="shared" si="19"/>
        <v>857.7275195647394</v>
      </c>
      <c r="BV15" s="190">
        <f t="shared" si="20"/>
        <v>810.51433968366121</v>
      </c>
      <c r="BW15" s="190">
        <f t="shared" si="21"/>
        <v>819.1107038924273</v>
      </c>
      <c r="BX15" s="190">
        <f t="shared" si="22"/>
        <v>825.25096404154601</v>
      </c>
      <c r="BY15" s="190">
        <f t="shared" si="23"/>
        <v>842.44369245907819</v>
      </c>
      <c r="BZ15" s="190">
        <f t="shared" si="24"/>
        <v>858.40836884678674</v>
      </c>
      <c r="CA15" s="190">
        <f t="shared" si="25"/>
        <v>879.28525335379004</v>
      </c>
      <c r="CB15" s="190">
        <f t="shared" si="26"/>
        <v>894.02187771167485</v>
      </c>
      <c r="CC15" s="190">
        <f t="shared" si="27"/>
        <v>924.72317845726809</v>
      </c>
      <c r="CD15" s="190">
        <f t="shared" si="28"/>
        <v>917.35486627832563</v>
      </c>
      <c r="CE15" s="190">
        <f t="shared" si="29"/>
        <v>929.63538657656295</v>
      </c>
      <c r="CF15" s="190">
        <f t="shared" si="30"/>
        <v>944.37201093444776</v>
      </c>
      <c r="CG15" s="190">
        <f t="shared" si="31"/>
        <v>950.51227108356636</v>
      </c>
      <c r="CH15" s="264"/>
      <c r="CI15" s="264">
        <f t="shared" si="1"/>
        <v>5518</v>
      </c>
      <c r="CJ15" s="264">
        <f t="shared" si="2"/>
        <v>6827</v>
      </c>
      <c r="CK15" s="264">
        <f t="shared" si="3"/>
        <v>7161</v>
      </c>
      <c r="CL15" s="264">
        <f t="shared" si="4"/>
        <v>8628</v>
      </c>
      <c r="CM15" s="264">
        <f t="shared" si="5"/>
        <v>9561.3346754581034</v>
      </c>
      <c r="CN15" s="264">
        <f t="shared" si="6"/>
        <v>10595.632913319136</v>
      </c>
      <c r="CP15" s="574">
        <f>SUMIF('Master '!D:D,D15,'Master '!AB:AB)</f>
        <v>9561.3346754581016</v>
      </c>
      <c r="CQ15" s="574">
        <f>SUMIF('Master '!D:D,D15,'Master '!AC:AC)</f>
        <v>10595.632913319134</v>
      </c>
      <c r="CR15" s="264">
        <f t="shared" si="7"/>
        <v>0</v>
      </c>
      <c r="CS15" s="264">
        <f t="shared" si="7"/>
        <v>0</v>
      </c>
    </row>
    <row r="16" spans="1:99" s="261" customFormat="1">
      <c r="A16" s="55" t="s">
        <v>15</v>
      </c>
      <c r="B16" s="55" t="s">
        <v>994</v>
      </c>
      <c r="C16" s="55" t="s">
        <v>1245</v>
      </c>
      <c r="D16" s="55" t="s">
        <v>34</v>
      </c>
      <c r="E16" s="55" t="str">
        <f>VLOOKUP(D16,'Input 14_Ref Table'!C:D,2,FALSE)</f>
        <v>GEN11</v>
      </c>
      <c r="F16" s="172" t="s">
        <v>1286</v>
      </c>
      <c r="G16" s="55" t="str">
        <f>VLOOKUP(D16,'Input 14_Ref Table'!C:I,7,FALSE)</f>
        <v>FPU - FPU - CS - GS</v>
      </c>
      <c r="H16" s="55" t="str">
        <f>VLOOKUP(D16,'Input 14_Ref Table'!C:K,8,FALSE)</f>
        <v>CSGS</v>
      </c>
      <c r="I16" s="55"/>
      <c r="J16" s="261" t="str">
        <f>INDEX('Master '!$AD$2:AD$65,MATCH(D16,'Master '!$D$2:$D$65,0))</f>
        <v>Historical Average</v>
      </c>
      <c r="K16" s="567">
        <f>INDEX('Master '!$N$2:N$65,MATCH(D16,'Master '!$D$2:$D$65,0))</f>
        <v>6.0576162758234124E-2</v>
      </c>
      <c r="L16" s="290">
        <f>INDEX('Master '!$S$2:S$65,MATCH(D16,'Master '!$D$2:$D$65,0))</f>
        <v>-3.2834133097367192E-2</v>
      </c>
      <c r="M16" s="1">
        <f>INDEX('Master '!$W$2:W$65,MATCH(D16,'Master '!$D$2:$D$65,0))</f>
        <v>113.23523775289279</v>
      </c>
      <c r="N16" s="55">
        <f>SUMIF('Input 16_2018CUST-YTD'!$S:$S,$G16,'Input 16_2018CUST-YTD'!C:C)</f>
        <v>209</v>
      </c>
      <c r="O16" s="55">
        <f>SUMIF('Input 16_2018CUST-YTD'!$S:$S,$G16,'Input 16_2018CUST-YTD'!D:D)</f>
        <v>209</v>
      </c>
      <c r="P16" s="55">
        <f>SUMIF('Input 16_2018CUST-YTD'!$S:$S,$G16,'Input 16_2018CUST-YTD'!E:E)</f>
        <v>212</v>
      </c>
      <c r="Q16" s="55">
        <f>SUMIF('Input 16_2018CUST-YTD'!$S:$S,$G16,'Input 16_2018CUST-YTD'!F:F)</f>
        <v>212</v>
      </c>
      <c r="R16" s="55">
        <f>SUMIF('Input 16_2018CUST-YTD'!$S:$S,$G16,'Input 16_2018CUST-YTD'!G:G)</f>
        <v>215</v>
      </c>
      <c r="S16" s="55">
        <f>SUMIF('Input 16_2018CUST-YTD'!$S:$S,$G16,'Input 16_2018CUST-YTD'!H:H)</f>
        <v>215</v>
      </c>
      <c r="T16" s="55">
        <f>SUMIF('Input 16_2018CUST-YTD'!$S:$S,$G16,'Input 16_2018CUST-YTD'!I:I)</f>
        <v>220</v>
      </c>
      <c r="U16" s="55">
        <f>SUMIF('Input 16_2018CUST-YTD'!$S:$S,$G16,'Input 16_2018CUST-YTD'!J:J)</f>
        <v>220</v>
      </c>
      <c r="V16" s="55">
        <f>SUMIF('Input 16_2018CUST-YTD'!$S:$S,$G16,'Input 16_2018CUST-YTD'!K:K)</f>
        <v>223</v>
      </c>
      <c r="W16" s="55">
        <f>SUMIF('Input 16_2018CUST-YTD'!$S:$S,$G16,'Input 16_2018CUST-YTD'!L:L)</f>
        <v>237</v>
      </c>
      <c r="X16" s="55">
        <f>SUMIF('Input 16_2018CUST-YTD'!$S:$S,$G16,'Input 16_2018CUST-YTD'!M:M)</f>
        <v>231</v>
      </c>
      <c r="Y16" s="55">
        <f>SUMIF('Input 16_2018CUST-YTD'!$S:$S,$G16,'Input 16_2018CUST-YTD'!N:N)</f>
        <v>229</v>
      </c>
      <c r="Z16" s="1">
        <f>SUMIF('Input 3_2019CUST-YTD'!$S:$S,$G16,'Input 3_2019CUST-YTD'!C:C)</f>
        <v>237</v>
      </c>
      <c r="AA16" s="1">
        <f>SUMIF('Input 3_2019CUST-YTD'!$S:$S,$G16,'Input 3_2019CUST-YTD'!D:D)</f>
        <v>235</v>
      </c>
      <c r="AB16" s="1">
        <f>SUMIF('Input 3_2019CUST-YTD'!$S:$S,$G16,'Input 3_2019CUST-YTD'!E:E)</f>
        <v>236</v>
      </c>
      <c r="AC16" s="1">
        <f>SUMIF('Input 3_2019CUST-YTD'!$S:$S,$G16,'Input 3_2019CUST-YTD'!F:F)</f>
        <v>242</v>
      </c>
      <c r="AD16" s="1">
        <f>SUMIF('Input 3_2019CUST-YTD'!$S:$S,$G16,'Input 3_2019CUST-YTD'!G:G)</f>
        <v>235</v>
      </c>
      <c r="AE16" s="1">
        <f>SUMIF('Input 3_2019CUST-YTD'!$S:$S,$G16,'Input 3_2019CUST-YTD'!H:H)</f>
        <v>235</v>
      </c>
      <c r="AF16" s="1">
        <f>SUMIF('Input 3_2019CUST-YTD'!$S:$S,$G16,'Input 3_2019CUST-YTD'!I:I)</f>
        <v>238</v>
      </c>
      <c r="AG16" s="1">
        <f>SUMIF('Input 3_2019CUST-YTD'!$S:$S,$G16,'Input 3_2019CUST-YTD'!J:J)</f>
        <v>239</v>
      </c>
      <c r="AH16" s="1">
        <f>SUMIF('Input 3_2019CUST-YTD'!$S:$S,$G16,'Input 3_2019CUST-YTD'!K:K)</f>
        <v>239</v>
      </c>
      <c r="AI16" s="1">
        <f>SUMIF('Input 3_2019CUST-YTD'!$S:$S,$G16,'Input 3_2019CUST-YTD'!L:L)</f>
        <v>264</v>
      </c>
      <c r="AJ16" s="1">
        <f>SUMIF('Input 3_2019CUST-YTD'!$S:$S,$G16,'Input 3_2019CUST-YTD'!M:M)</f>
        <v>247</v>
      </c>
      <c r="AK16" s="1">
        <f>SUMIF('Input 3_2019CUST-YTD'!$S:$S,$G16,'Input 3_2019CUST-YTD'!N:N)</f>
        <v>243</v>
      </c>
      <c r="AL16" s="1">
        <f>SUMIF('Input 4_2020CUST-YTD'!$S:$S,$G16,'Input 4_2020CUST-YTD'!C:C)</f>
        <v>247</v>
      </c>
      <c r="AM16" s="1">
        <f>SUMIF('Input 4_2020CUST-YTD'!$S:$S,$G16,'Input 4_2020CUST-YTD'!D:D)</f>
        <v>250</v>
      </c>
      <c r="AN16" s="1">
        <f>SUMIF('Input 4_2020CUST-YTD'!$S:$S,$G16,'Input 4_2020CUST-YTD'!E:E)</f>
        <v>247</v>
      </c>
      <c r="AO16" s="1">
        <f>SUMIF('Input 4_2020CUST-YTD'!$S:$S,$G16,'Input 4_2020CUST-YTD'!F:F)</f>
        <v>251</v>
      </c>
      <c r="AP16" s="1">
        <f>SUMIF('Input 4_2020CUST-YTD'!$S:$S,$G16,'Input 4_2020CUST-YTD'!G:G)</f>
        <v>253</v>
      </c>
      <c r="AQ16" s="1">
        <f>SUMIF('Input 4_2020CUST-YTD'!$S:$S,$G16,'Input 4_2020CUST-YTD'!H:H)</f>
        <v>256</v>
      </c>
      <c r="AR16" s="1">
        <f>SUMIF('Input 4_2020CUST-YTD'!$S:$S,$G16,'Input 4_2020CUST-YTD'!I:I)</f>
        <v>253</v>
      </c>
      <c r="AS16" s="1">
        <f>SUMIF('Input 4_2020CUST-YTD'!$S:$S,$G16,'Input 4_2020CUST-YTD'!J:J)</f>
        <v>258</v>
      </c>
      <c r="AT16" s="1">
        <f>SUMIF('Input 4_2020CUST-YTD'!$S:$S,$G16,'Input 4_2020CUST-YTD'!K:K)</f>
        <v>260</v>
      </c>
      <c r="AU16" s="1">
        <f>SUMIF('Input 4_2020CUST-YTD'!$S:$S,$G16,'Input 4_2020CUST-YTD'!L:L)</f>
        <v>262</v>
      </c>
      <c r="AV16" s="1">
        <f>SUMIF('Input 4_2020CUST-YTD'!$S:$S,$G16,'Input 4_2020CUST-YTD'!M:M)</f>
        <v>261</v>
      </c>
      <c r="AW16" s="1">
        <f>SUMIF('Input 4_2020CUST-YTD'!$S:$S,$G16,'Input 4_2020CUST-YTD'!N:N)</f>
        <v>266</v>
      </c>
      <c r="AX16" s="1">
        <f>SUMIF('Input 5_2021CUST-YTD'!$S:$S,$G16,'Input 5_2021CUST-YTD'!C:C)</f>
        <v>265</v>
      </c>
      <c r="AY16" s="1">
        <f>SUMIF('Input 5_2021CUST-YTD'!$S:$S,$G16,'Input 5_2021CUST-YTD'!D:D)</f>
        <v>264</v>
      </c>
      <c r="AZ16" s="1">
        <f>SUMIF('Input 5_2021CUST-YTD'!$S:$S,$G16,'Input 5_2021CUST-YTD'!E:E)</f>
        <v>264</v>
      </c>
      <c r="BA16" s="1">
        <f>SUMIF('Input 5_2021CUST-YTD'!$S:$S,$G16,'Input 5_2021CUST-YTD'!F:F)</f>
        <v>264</v>
      </c>
      <c r="BB16" s="1">
        <f>SUMIF('Input 5_2021CUST-YTD'!$S:$S,$G16,'Input 5_2021CUST-YTD'!G:G)</f>
        <v>265</v>
      </c>
      <c r="BC16" s="1">
        <f>SUMIF('Input 5_2021CUST-YTD'!$S:$S,$G16,'Input 5_2021CUST-YTD'!H:H)</f>
        <v>268</v>
      </c>
      <c r="BD16" s="1">
        <f>SUMIF('Input 5_2021CUST-YTD'!$S:$S,$G16,'Input 5_2021CUST-YTD'!I:I)</f>
        <v>267</v>
      </c>
      <c r="BE16" s="1">
        <f>SUMIF('Input 5_2021CUST-YTD'!$S:$S,$G16,'Input 5_2021CUST-YTD'!J:J)</f>
        <v>267</v>
      </c>
      <c r="BF16" s="1">
        <f>SUMIF('Input 5_2021CUST-YTD'!$S:$S,$G16,'Input 5_2021CUST-YTD'!K:K)</f>
        <v>285</v>
      </c>
      <c r="BG16" s="1">
        <f>SUMIF('Input 5_2021CUST-YTD'!$S:$S,$G16,'Input 5_2021CUST-YTD'!L:L)</f>
        <v>269</v>
      </c>
      <c r="BH16" s="1">
        <f>SUMIF('Input 5_2021CUST-YTD'!$S:$S,$G16,'Input 5_2021CUST-YTD'!M:M)</f>
        <v>277</v>
      </c>
      <c r="BI16" s="1">
        <f>SUMIF('Input 5_2021CUST-YTD'!$S:$S,$G16,'Input 5_2021CUST-YTD'!N:N)</f>
        <v>281</v>
      </c>
      <c r="BJ16" s="190">
        <f t="shared" si="8"/>
        <v>281.05268313093205</v>
      </c>
      <c r="BK16" s="190">
        <f t="shared" si="9"/>
        <v>279.9921069681738</v>
      </c>
      <c r="BL16" s="190">
        <f t="shared" si="10"/>
        <v>279.9921069681738</v>
      </c>
      <c r="BM16" s="190">
        <f t="shared" si="11"/>
        <v>279.9921069681738</v>
      </c>
      <c r="BN16" s="190">
        <f t="shared" si="12"/>
        <v>281.05268313093205</v>
      </c>
      <c r="BO16" s="190">
        <f t="shared" si="13"/>
        <v>284.23441161920675</v>
      </c>
      <c r="BP16" s="190">
        <f t="shared" si="14"/>
        <v>283.1738354564485</v>
      </c>
      <c r="BQ16" s="190">
        <f t="shared" si="15"/>
        <v>283.1738354564485</v>
      </c>
      <c r="BR16" s="190">
        <f t="shared" si="16"/>
        <v>302.26420638609676</v>
      </c>
      <c r="BS16" s="190">
        <f t="shared" si="17"/>
        <v>285.29498778196501</v>
      </c>
      <c r="BT16" s="190">
        <f t="shared" si="18"/>
        <v>293.77959708403085</v>
      </c>
      <c r="BU16" s="190">
        <f t="shared" si="19"/>
        <v>298.02190173506381</v>
      </c>
      <c r="BV16" s="190">
        <f t="shared" si="20"/>
        <v>298.07777620790984</v>
      </c>
      <c r="BW16" s="190">
        <f t="shared" si="21"/>
        <v>296.95295441089883</v>
      </c>
      <c r="BX16" s="190">
        <f t="shared" si="22"/>
        <v>296.95295441089883</v>
      </c>
      <c r="BY16" s="190">
        <f t="shared" si="23"/>
        <v>296.95295441089883</v>
      </c>
      <c r="BZ16" s="190">
        <f t="shared" si="24"/>
        <v>298.07777620790984</v>
      </c>
      <c r="CA16" s="190">
        <f t="shared" si="25"/>
        <v>301.45224159894275</v>
      </c>
      <c r="CB16" s="190">
        <f t="shared" si="26"/>
        <v>300.32741980193174</v>
      </c>
      <c r="CC16" s="190">
        <f t="shared" si="27"/>
        <v>300.32741980193174</v>
      </c>
      <c r="CD16" s="190">
        <f t="shared" si="28"/>
        <v>320.57421214812945</v>
      </c>
      <c r="CE16" s="190">
        <f t="shared" si="29"/>
        <v>302.57706339595376</v>
      </c>
      <c r="CF16" s="190">
        <f t="shared" si="30"/>
        <v>311.57563777204155</v>
      </c>
      <c r="CG16" s="190">
        <f t="shared" si="31"/>
        <v>316.07492496008553</v>
      </c>
      <c r="CH16" s="264"/>
      <c r="CI16" s="264">
        <f t="shared" si="1"/>
        <v>2632</v>
      </c>
      <c r="CJ16" s="264">
        <f t="shared" si="2"/>
        <v>2890</v>
      </c>
      <c r="CK16" s="264">
        <f t="shared" si="3"/>
        <v>3064</v>
      </c>
      <c r="CL16" s="264">
        <f t="shared" si="4"/>
        <v>3236</v>
      </c>
      <c r="CM16" s="264">
        <f t="shared" si="5"/>
        <v>3432.0244626856456</v>
      </c>
      <c r="CN16" s="264">
        <f t="shared" si="6"/>
        <v>3639.923335127532</v>
      </c>
      <c r="CP16" s="574">
        <f>SUMIF('Master '!D:D,D16,'Master '!AB:AB)</f>
        <v>3432.0244626856456</v>
      </c>
      <c r="CQ16" s="574">
        <f>SUMIF('Master '!D:D,D16,'Master '!AC:AC)</f>
        <v>3639.9233351275325</v>
      </c>
      <c r="CR16" s="264">
        <f t="shared" si="7"/>
        <v>0</v>
      </c>
      <c r="CS16" s="264">
        <f t="shared" si="7"/>
        <v>0</v>
      </c>
    </row>
    <row r="17" spans="1:97" s="261" customFormat="1">
      <c r="A17" s="55" t="s">
        <v>15</v>
      </c>
      <c r="B17" s="55" t="s">
        <v>994</v>
      </c>
      <c r="C17" s="55" t="s">
        <v>1245</v>
      </c>
      <c r="D17" s="55" t="s">
        <v>36</v>
      </c>
      <c r="E17" s="55" t="str">
        <f>VLOOKUP(D17,'Input 14_Ref Table'!C:D,2,FALSE)</f>
        <v>GCS11</v>
      </c>
      <c r="F17" s="172" t="s">
        <v>1286</v>
      </c>
      <c r="G17" s="55" t="str">
        <f>VLOOKUP(D17,'Input 14_Ref Table'!C:I,7,FALSE)</f>
        <v>FPU - FPU - GS - 1</v>
      </c>
      <c r="H17" s="55" t="str">
        <f>VLOOKUP(D17,'Input 14_Ref Table'!C:K,8,FALSE)</f>
        <v>GS1</v>
      </c>
      <c r="I17" s="55"/>
      <c r="J17" s="261" t="str">
        <f>INDEX('Master '!$AD$2:AD$65,MATCH(D17,'Master '!$D$2:$D$65,0))</f>
        <v>UPC Growth Rate</v>
      </c>
      <c r="K17" s="567">
        <f>INDEX('Master '!$N$2:N$65,MATCH(D17,'Master '!$D$2:$D$65,0))</f>
        <v>-3.3336450138164629E-2</v>
      </c>
      <c r="L17" s="290">
        <f>INDEX('Master '!$S$2:S$65,MATCH(D17,'Master '!$D$2:$D$65,0))</f>
        <v>3.989071854052504E-2</v>
      </c>
      <c r="M17" s="1">
        <f>INDEX('Master '!$W$2:W$65,MATCH(D17,'Master '!$D$2:$D$65,0))</f>
        <v>3482.75</v>
      </c>
      <c r="N17" s="55">
        <f>SUMIF('Input 16_2018CUST-YTD'!$S:$S,$G17,'Input 16_2018CUST-YTD'!C:C)</f>
        <v>924</v>
      </c>
      <c r="O17" s="55">
        <f>SUMIF('Input 16_2018CUST-YTD'!$S:$S,$G17,'Input 16_2018CUST-YTD'!D:D)</f>
        <v>914</v>
      </c>
      <c r="P17" s="55">
        <f>SUMIF('Input 16_2018CUST-YTD'!$S:$S,$G17,'Input 16_2018CUST-YTD'!E:E)</f>
        <v>911</v>
      </c>
      <c r="Q17" s="55">
        <f>SUMIF('Input 16_2018CUST-YTD'!$S:$S,$G17,'Input 16_2018CUST-YTD'!F:F)</f>
        <v>918</v>
      </c>
      <c r="R17" s="55">
        <f>SUMIF('Input 16_2018CUST-YTD'!$S:$S,$G17,'Input 16_2018CUST-YTD'!G:G)</f>
        <v>905</v>
      </c>
      <c r="S17" s="55">
        <f>SUMIF('Input 16_2018CUST-YTD'!$S:$S,$G17,'Input 16_2018CUST-YTD'!H:H)</f>
        <v>900</v>
      </c>
      <c r="T17" s="55">
        <f>SUMIF('Input 16_2018CUST-YTD'!$S:$S,$G17,'Input 16_2018CUST-YTD'!I:I)</f>
        <v>903</v>
      </c>
      <c r="U17" s="55">
        <f>SUMIF('Input 16_2018CUST-YTD'!$S:$S,$G17,'Input 16_2018CUST-YTD'!J:J)</f>
        <v>894</v>
      </c>
      <c r="V17" s="55">
        <f>SUMIF('Input 16_2018CUST-YTD'!$S:$S,$G17,'Input 16_2018CUST-YTD'!K:K)</f>
        <v>894</v>
      </c>
      <c r="W17" s="55">
        <f>SUMIF('Input 16_2018CUST-YTD'!$S:$S,$G17,'Input 16_2018CUST-YTD'!L:L)</f>
        <v>884</v>
      </c>
      <c r="X17" s="55">
        <f>SUMIF('Input 16_2018CUST-YTD'!$S:$S,$G17,'Input 16_2018CUST-YTD'!M:M)</f>
        <v>890</v>
      </c>
      <c r="Y17" s="55">
        <f>SUMIF('Input 16_2018CUST-YTD'!$S:$S,$G17,'Input 16_2018CUST-YTD'!N:N)</f>
        <v>891</v>
      </c>
      <c r="Z17" s="1">
        <f>SUMIF('Input 3_2019CUST-YTD'!$S:$S,$G17,'Input 3_2019CUST-YTD'!C:C)</f>
        <v>889</v>
      </c>
      <c r="AA17" s="1">
        <f>SUMIF('Input 3_2019CUST-YTD'!$S:$S,$G17,'Input 3_2019CUST-YTD'!D:D)</f>
        <v>888</v>
      </c>
      <c r="AB17" s="1">
        <f>SUMIF('Input 3_2019CUST-YTD'!$S:$S,$G17,'Input 3_2019CUST-YTD'!E:E)</f>
        <v>888</v>
      </c>
      <c r="AC17" s="1">
        <f>SUMIF('Input 3_2019CUST-YTD'!$S:$S,$G17,'Input 3_2019CUST-YTD'!F:F)</f>
        <v>894</v>
      </c>
      <c r="AD17" s="1">
        <f>SUMIF('Input 3_2019CUST-YTD'!$S:$S,$G17,'Input 3_2019CUST-YTD'!G:G)</f>
        <v>888</v>
      </c>
      <c r="AE17" s="1">
        <f>SUMIF('Input 3_2019CUST-YTD'!$S:$S,$G17,'Input 3_2019CUST-YTD'!H:H)</f>
        <v>887</v>
      </c>
      <c r="AF17" s="1">
        <f>SUMIF('Input 3_2019CUST-YTD'!$S:$S,$G17,'Input 3_2019CUST-YTD'!I:I)</f>
        <v>888</v>
      </c>
      <c r="AG17" s="1">
        <f>SUMIF('Input 3_2019CUST-YTD'!$S:$S,$G17,'Input 3_2019CUST-YTD'!J:J)</f>
        <v>885</v>
      </c>
      <c r="AH17" s="1">
        <f>SUMIF('Input 3_2019CUST-YTD'!$S:$S,$G17,'Input 3_2019CUST-YTD'!K:K)</f>
        <v>890</v>
      </c>
      <c r="AI17" s="1">
        <f>SUMIF('Input 3_2019CUST-YTD'!$S:$S,$G17,'Input 3_2019CUST-YTD'!L:L)</f>
        <v>983</v>
      </c>
      <c r="AJ17" s="1">
        <f>SUMIF('Input 3_2019CUST-YTD'!$S:$S,$G17,'Input 3_2019CUST-YTD'!M:M)</f>
        <v>891</v>
      </c>
      <c r="AK17" s="1">
        <f>SUMIF('Input 3_2019CUST-YTD'!$S:$S,$G17,'Input 3_2019CUST-YTD'!N:N)</f>
        <v>894</v>
      </c>
      <c r="AL17" s="1">
        <f>SUMIF('Input 4_2020CUST-YTD'!$S:$S,$G17,'Input 4_2020CUST-YTD'!C:C)</f>
        <v>893</v>
      </c>
      <c r="AM17" s="1">
        <f>SUMIF('Input 4_2020CUST-YTD'!$S:$S,$G17,'Input 4_2020CUST-YTD'!D:D)</f>
        <v>886</v>
      </c>
      <c r="AN17" s="1">
        <f>SUMIF('Input 4_2020CUST-YTD'!$S:$S,$G17,'Input 4_2020CUST-YTD'!E:E)</f>
        <v>887</v>
      </c>
      <c r="AO17" s="1">
        <f>SUMIF('Input 4_2020CUST-YTD'!$S:$S,$G17,'Input 4_2020CUST-YTD'!F:F)</f>
        <v>896</v>
      </c>
      <c r="AP17" s="1">
        <f>SUMIF('Input 4_2020CUST-YTD'!$S:$S,$G17,'Input 4_2020CUST-YTD'!G:G)</f>
        <v>900</v>
      </c>
      <c r="AQ17" s="1">
        <f>SUMIF('Input 4_2020CUST-YTD'!$S:$S,$G17,'Input 4_2020CUST-YTD'!H:H)</f>
        <v>910</v>
      </c>
      <c r="AR17" s="1">
        <f>SUMIF('Input 4_2020CUST-YTD'!$S:$S,$G17,'Input 4_2020CUST-YTD'!I:I)</f>
        <v>893</v>
      </c>
      <c r="AS17" s="1">
        <f>SUMIF('Input 4_2020CUST-YTD'!$S:$S,$G17,'Input 4_2020CUST-YTD'!J:J)</f>
        <v>883</v>
      </c>
      <c r="AT17" s="1">
        <f>SUMIF('Input 4_2020CUST-YTD'!$S:$S,$G17,'Input 4_2020CUST-YTD'!K:K)</f>
        <v>892</v>
      </c>
      <c r="AU17" s="1">
        <f>SUMIF('Input 4_2020CUST-YTD'!$S:$S,$G17,'Input 4_2020CUST-YTD'!L:L)</f>
        <v>894</v>
      </c>
      <c r="AV17" s="1">
        <f>SUMIF('Input 4_2020CUST-YTD'!$S:$S,$G17,'Input 4_2020CUST-YTD'!M:M)</f>
        <v>893</v>
      </c>
      <c r="AW17" s="1">
        <f>SUMIF('Input 4_2020CUST-YTD'!$S:$S,$G17,'Input 4_2020CUST-YTD'!N:N)</f>
        <v>886</v>
      </c>
      <c r="AX17" s="1">
        <f>SUMIF('Input 5_2021CUST-YTD'!$S:$S,$G17,'Input 5_2021CUST-YTD'!C:C)</f>
        <v>889</v>
      </c>
      <c r="AY17" s="1">
        <f>SUMIF('Input 5_2021CUST-YTD'!$S:$S,$G17,'Input 5_2021CUST-YTD'!D:D)</f>
        <v>886</v>
      </c>
      <c r="AZ17" s="1">
        <f>SUMIF('Input 5_2021CUST-YTD'!$S:$S,$G17,'Input 5_2021CUST-YTD'!E:E)</f>
        <v>890</v>
      </c>
      <c r="BA17" s="1">
        <f>SUMIF('Input 5_2021CUST-YTD'!$S:$S,$G17,'Input 5_2021CUST-YTD'!F:F)</f>
        <v>884</v>
      </c>
      <c r="BB17" s="1">
        <f>SUMIF('Input 5_2021CUST-YTD'!$S:$S,$G17,'Input 5_2021CUST-YTD'!G:G)</f>
        <v>879</v>
      </c>
      <c r="BC17" s="1">
        <f>SUMIF('Input 5_2021CUST-YTD'!$S:$S,$G17,'Input 5_2021CUST-YTD'!H:H)</f>
        <v>876</v>
      </c>
      <c r="BD17" s="1">
        <f>SUMIF('Input 5_2021CUST-YTD'!$S:$S,$G17,'Input 5_2021CUST-YTD'!I:I)</f>
        <v>883</v>
      </c>
      <c r="BE17" s="1">
        <f>SUMIF('Input 5_2021CUST-YTD'!$S:$S,$G17,'Input 5_2021CUST-YTD'!J:J)</f>
        <v>891</v>
      </c>
      <c r="BF17" s="1">
        <f>SUMIF('Input 5_2021CUST-YTD'!$S:$S,$G17,'Input 5_2021CUST-YTD'!K:K)</f>
        <v>883</v>
      </c>
      <c r="BG17" s="1">
        <f>SUMIF('Input 5_2021CUST-YTD'!$S:$S,$G17,'Input 5_2021CUST-YTD'!L:L)</f>
        <v>866</v>
      </c>
      <c r="BH17" s="1">
        <f>SUMIF('Input 5_2021CUST-YTD'!$S:$S,$G17,'Input 5_2021CUST-YTD'!M:M)</f>
        <v>853</v>
      </c>
      <c r="BI17" s="1">
        <f>SUMIF('Input 5_2021CUST-YTD'!$S:$S,$G17,'Input 5_2021CUST-YTD'!N:N)</f>
        <v>862</v>
      </c>
      <c r="BJ17" s="190">
        <f t="shared" si="8"/>
        <v>859.36389582717163</v>
      </c>
      <c r="BK17" s="190">
        <f t="shared" si="9"/>
        <v>856.46390517758607</v>
      </c>
      <c r="BL17" s="190">
        <f t="shared" si="10"/>
        <v>860.33055937703341</v>
      </c>
      <c r="BM17" s="190">
        <f t="shared" si="11"/>
        <v>854.5305780778624</v>
      </c>
      <c r="BN17" s="190">
        <f t="shared" si="12"/>
        <v>849.69726032855328</v>
      </c>
      <c r="BO17" s="190">
        <f t="shared" si="13"/>
        <v>846.79726967896772</v>
      </c>
      <c r="BP17" s="190">
        <f t="shared" si="14"/>
        <v>853.56391452800062</v>
      </c>
      <c r="BQ17" s="190">
        <f t="shared" si="15"/>
        <v>861.2972229268953</v>
      </c>
      <c r="BR17" s="190">
        <f t="shared" si="16"/>
        <v>853.56391452800062</v>
      </c>
      <c r="BS17" s="190">
        <f t="shared" si="17"/>
        <v>837.13063418034938</v>
      </c>
      <c r="BT17" s="190">
        <f t="shared" si="18"/>
        <v>824.56400803214558</v>
      </c>
      <c r="BU17" s="190">
        <f t="shared" si="19"/>
        <v>833.26397998090204</v>
      </c>
      <c r="BV17" s="190">
        <f t="shared" si="20"/>
        <v>830.71575416339022</v>
      </c>
      <c r="BW17" s="190">
        <f t="shared" si="21"/>
        <v>827.9124389074957</v>
      </c>
      <c r="BX17" s="190">
        <f t="shared" si="22"/>
        <v>831.65019258202165</v>
      </c>
      <c r="BY17" s="190">
        <f t="shared" si="23"/>
        <v>826.04356207023272</v>
      </c>
      <c r="BZ17" s="190">
        <f t="shared" si="24"/>
        <v>821.37136997707535</v>
      </c>
      <c r="CA17" s="190">
        <f t="shared" si="25"/>
        <v>818.56805472118083</v>
      </c>
      <c r="CB17" s="190">
        <f t="shared" si="26"/>
        <v>825.10912365160129</v>
      </c>
      <c r="CC17" s="190">
        <f t="shared" si="27"/>
        <v>832.58463100065319</v>
      </c>
      <c r="CD17" s="190">
        <f t="shared" si="28"/>
        <v>825.10912365160129</v>
      </c>
      <c r="CE17" s="190">
        <f t="shared" si="29"/>
        <v>809.22367053486596</v>
      </c>
      <c r="CF17" s="190">
        <f t="shared" si="30"/>
        <v>797.0759710926568</v>
      </c>
      <c r="CG17" s="190">
        <f t="shared" si="31"/>
        <v>805.48591686034001</v>
      </c>
      <c r="CH17" s="264"/>
      <c r="CI17" s="264">
        <f t="shared" si="1"/>
        <v>10828</v>
      </c>
      <c r="CJ17" s="264">
        <f t="shared" si="2"/>
        <v>10765</v>
      </c>
      <c r="CK17" s="264">
        <f t="shared" si="3"/>
        <v>10713</v>
      </c>
      <c r="CL17" s="264">
        <f t="shared" si="4"/>
        <v>10542</v>
      </c>
      <c r="CM17" s="264">
        <f t="shared" si="5"/>
        <v>10190.567142643469</v>
      </c>
      <c r="CN17" s="264">
        <f t="shared" si="6"/>
        <v>9850.8498092131158</v>
      </c>
      <c r="CP17" s="574">
        <f>SUMIF('Master '!D:D,D17,'Master '!AB:AB)</f>
        <v>10190.567142643467</v>
      </c>
      <c r="CQ17" s="574">
        <f>SUMIF('Master '!D:D,D17,'Master '!AC:AC)</f>
        <v>9850.849809213114</v>
      </c>
      <c r="CR17" s="264">
        <f t="shared" si="7"/>
        <v>0</v>
      </c>
      <c r="CS17" s="264">
        <f t="shared" si="7"/>
        <v>0</v>
      </c>
    </row>
    <row r="18" spans="1:97" s="261" customFormat="1">
      <c r="A18" s="55" t="s">
        <v>15</v>
      </c>
      <c r="B18" s="55" t="s">
        <v>993</v>
      </c>
      <c r="C18" s="55" t="s">
        <v>1245</v>
      </c>
      <c r="D18" s="55" t="s">
        <v>38</v>
      </c>
      <c r="E18" s="55" t="str">
        <f>VLOOKUP(D18,'Input 14_Ref Table'!C:D,2,FALSE)</f>
        <v>GCPT1</v>
      </c>
      <c r="F18" s="172" t="s">
        <v>1286</v>
      </c>
      <c r="G18" s="55" t="str">
        <f>VLOOKUP(D18,'Input 14_Ref Table'!C:I,7,FALSE)</f>
        <v>FPU - FPU - GSTS - 1</v>
      </c>
      <c r="H18" s="55" t="str">
        <f>VLOOKUP(D18,'Input 14_Ref Table'!C:K,8,FALSE)</f>
        <v>GS1</v>
      </c>
      <c r="I18" s="55"/>
      <c r="J18" s="261" t="str">
        <f>INDEX('Master '!$AD$2:AD$65,MATCH(D18,'Master '!$D$2:$D$65,0))</f>
        <v>UPC Growth Rate</v>
      </c>
      <c r="K18" s="567">
        <f>INDEX('Master '!$N$2:N$65,MATCH(D18,'Master '!$D$2:$D$65,0))</f>
        <v>-3.3336450138164629E-2</v>
      </c>
      <c r="L18" s="290">
        <f>INDEX('Master '!$S$2:S$65,MATCH(D18,'Master '!$D$2:$D$65,0))</f>
        <v>3.989071854052504E-2</v>
      </c>
      <c r="M18" s="1">
        <f>INDEX('Master '!$W$2:W$65,MATCH(D18,'Master '!$D$2:$D$65,0))</f>
        <v>3482.75</v>
      </c>
      <c r="N18" s="55">
        <f>SUMIF('Input 16_2018CUST-YTD'!$S:$S,$G18,'Input 16_2018CUST-YTD'!C:C)</f>
        <v>342</v>
      </c>
      <c r="O18" s="55">
        <f>SUMIF('Input 16_2018CUST-YTD'!$S:$S,$G18,'Input 16_2018CUST-YTD'!D:D)</f>
        <v>357</v>
      </c>
      <c r="P18" s="55">
        <f>SUMIF('Input 16_2018CUST-YTD'!$S:$S,$G18,'Input 16_2018CUST-YTD'!E:E)</f>
        <v>357</v>
      </c>
      <c r="Q18" s="55">
        <f>SUMIF('Input 16_2018CUST-YTD'!$S:$S,$G18,'Input 16_2018CUST-YTD'!F:F)</f>
        <v>345</v>
      </c>
      <c r="R18" s="55">
        <f>SUMIF('Input 16_2018CUST-YTD'!$S:$S,$G18,'Input 16_2018CUST-YTD'!G:G)</f>
        <v>348</v>
      </c>
      <c r="S18" s="55">
        <f>SUMIF('Input 16_2018CUST-YTD'!$S:$S,$G18,'Input 16_2018CUST-YTD'!H:H)</f>
        <v>365</v>
      </c>
      <c r="T18" s="55">
        <f>SUMIF('Input 16_2018CUST-YTD'!$S:$S,$G18,'Input 16_2018CUST-YTD'!I:I)</f>
        <v>367</v>
      </c>
      <c r="U18" s="55">
        <f>SUMIF('Input 16_2018CUST-YTD'!$S:$S,$G18,'Input 16_2018CUST-YTD'!J:J)</f>
        <v>364</v>
      </c>
      <c r="V18" s="55">
        <f>SUMIF('Input 16_2018CUST-YTD'!$S:$S,$G18,'Input 16_2018CUST-YTD'!K:K)</f>
        <v>367</v>
      </c>
      <c r="W18" s="55">
        <f>SUMIF('Input 16_2018CUST-YTD'!$S:$S,$G18,'Input 16_2018CUST-YTD'!L:L)</f>
        <v>359</v>
      </c>
      <c r="X18" s="55">
        <f>SUMIF('Input 16_2018CUST-YTD'!$S:$S,$G18,'Input 16_2018CUST-YTD'!M:M)</f>
        <v>361</v>
      </c>
      <c r="Y18" s="55">
        <f>SUMIF('Input 16_2018CUST-YTD'!$S:$S,$G18,'Input 16_2018CUST-YTD'!N:N)</f>
        <v>369</v>
      </c>
      <c r="Z18" s="1">
        <f>SUMIF('Input 3_2019CUST-YTD'!$S:$S,$G18,'Input 3_2019CUST-YTD'!C:C)</f>
        <v>362</v>
      </c>
      <c r="AA18" s="1">
        <f>SUMIF('Input 3_2019CUST-YTD'!$S:$S,$G18,'Input 3_2019CUST-YTD'!D:D)</f>
        <v>364</v>
      </c>
      <c r="AB18" s="1">
        <f>SUMIF('Input 3_2019CUST-YTD'!$S:$S,$G18,'Input 3_2019CUST-YTD'!E:E)</f>
        <v>359</v>
      </c>
      <c r="AC18" s="1">
        <f>SUMIF('Input 3_2019CUST-YTD'!$S:$S,$G18,'Input 3_2019CUST-YTD'!F:F)</f>
        <v>372</v>
      </c>
      <c r="AD18" s="1">
        <f>SUMIF('Input 3_2019CUST-YTD'!$S:$S,$G18,'Input 3_2019CUST-YTD'!G:G)</f>
        <v>354</v>
      </c>
      <c r="AE18" s="1">
        <f>SUMIF('Input 3_2019CUST-YTD'!$S:$S,$G18,'Input 3_2019CUST-YTD'!H:H)</f>
        <v>359</v>
      </c>
      <c r="AF18" s="1">
        <f>SUMIF('Input 3_2019CUST-YTD'!$S:$S,$G18,'Input 3_2019CUST-YTD'!I:I)</f>
        <v>362</v>
      </c>
      <c r="AG18" s="1">
        <f>SUMIF('Input 3_2019CUST-YTD'!$S:$S,$G18,'Input 3_2019CUST-YTD'!J:J)</f>
        <v>364</v>
      </c>
      <c r="AH18" s="1">
        <f>SUMIF('Input 3_2019CUST-YTD'!$S:$S,$G18,'Input 3_2019CUST-YTD'!K:K)</f>
        <v>361</v>
      </c>
      <c r="AI18" s="1">
        <f>SUMIF('Input 3_2019CUST-YTD'!$S:$S,$G18,'Input 3_2019CUST-YTD'!L:L)</f>
        <v>382</v>
      </c>
      <c r="AJ18" s="1">
        <f>SUMIF('Input 3_2019CUST-YTD'!$S:$S,$G18,'Input 3_2019CUST-YTD'!M:M)</f>
        <v>362</v>
      </c>
      <c r="AK18" s="1">
        <f>SUMIF('Input 3_2019CUST-YTD'!$S:$S,$G18,'Input 3_2019CUST-YTD'!N:N)</f>
        <v>361</v>
      </c>
      <c r="AL18" s="1">
        <f>SUMIF('Input 4_2020CUST-YTD'!$S:$S,$G18,'Input 4_2020CUST-YTD'!C:C)</f>
        <v>376</v>
      </c>
      <c r="AM18" s="1">
        <f>SUMIF('Input 4_2020CUST-YTD'!$S:$S,$G18,'Input 4_2020CUST-YTD'!D:D)</f>
        <v>375</v>
      </c>
      <c r="AN18" s="1">
        <f>SUMIF('Input 4_2020CUST-YTD'!$S:$S,$G18,'Input 4_2020CUST-YTD'!E:E)</f>
        <v>370</v>
      </c>
      <c r="AO18" s="1">
        <f>SUMIF('Input 4_2020CUST-YTD'!$S:$S,$G18,'Input 4_2020CUST-YTD'!F:F)</f>
        <v>368</v>
      </c>
      <c r="AP18" s="1">
        <f>SUMIF('Input 4_2020CUST-YTD'!$S:$S,$G18,'Input 4_2020CUST-YTD'!G:G)</f>
        <v>370</v>
      </c>
      <c r="AQ18" s="1">
        <f>SUMIF('Input 4_2020CUST-YTD'!$S:$S,$G18,'Input 4_2020CUST-YTD'!H:H)</f>
        <v>372</v>
      </c>
      <c r="AR18" s="1">
        <f>SUMIF('Input 4_2020CUST-YTD'!$S:$S,$G18,'Input 4_2020CUST-YTD'!I:I)</f>
        <v>370</v>
      </c>
      <c r="AS18" s="1">
        <f>SUMIF('Input 4_2020CUST-YTD'!$S:$S,$G18,'Input 4_2020CUST-YTD'!J:J)</f>
        <v>376</v>
      </c>
      <c r="AT18" s="1">
        <f>SUMIF('Input 4_2020CUST-YTD'!$S:$S,$G18,'Input 4_2020CUST-YTD'!K:K)</f>
        <v>375</v>
      </c>
      <c r="AU18" s="1">
        <f>SUMIF('Input 4_2020CUST-YTD'!$S:$S,$G18,'Input 4_2020CUST-YTD'!L:L)</f>
        <v>373</v>
      </c>
      <c r="AV18" s="1">
        <f>SUMIF('Input 4_2020CUST-YTD'!$S:$S,$G18,'Input 4_2020CUST-YTD'!M:M)</f>
        <v>371</v>
      </c>
      <c r="AW18" s="1">
        <f>SUMIF('Input 4_2020CUST-YTD'!$S:$S,$G18,'Input 4_2020CUST-YTD'!N:N)</f>
        <v>369</v>
      </c>
      <c r="AX18" s="56">
        <v>218.29166666666666</v>
      </c>
      <c r="AY18" s="56">
        <v>218.29166666666666</v>
      </c>
      <c r="AZ18" s="56">
        <v>218.29166666666666</v>
      </c>
      <c r="BA18" s="56">
        <v>218.29166666666666</v>
      </c>
      <c r="BB18" s="56">
        <v>218.29166666666666</v>
      </c>
      <c r="BC18" s="56">
        <v>218.29166666666666</v>
      </c>
      <c r="BD18" s="56">
        <v>218.29166666666666</v>
      </c>
      <c r="BE18" s="56">
        <v>218.29166666666666</v>
      </c>
      <c r="BF18" s="56">
        <v>218.29166666666666</v>
      </c>
      <c r="BG18" s="56">
        <v>218.29166666666666</v>
      </c>
      <c r="BH18" s="56">
        <v>218.29166666666666</v>
      </c>
      <c r="BI18" s="56">
        <v>218.29166666666666</v>
      </c>
      <c r="BJ18" s="190">
        <f t="shared" si="8"/>
        <v>211.01459740525647</v>
      </c>
      <c r="BK18" s="190">
        <f t="shared" si="9"/>
        <v>211.01459740525647</v>
      </c>
      <c r="BL18" s="190">
        <f t="shared" si="10"/>
        <v>211.01459740525647</v>
      </c>
      <c r="BM18" s="190">
        <f t="shared" si="11"/>
        <v>211.01459740525647</v>
      </c>
      <c r="BN18" s="190">
        <f t="shared" si="12"/>
        <v>211.01459740525647</v>
      </c>
      <c r="BO18" s="190">
        <f t="shared" si="13"/>
        <v>211.01459740525647</v>
      </c>
      <c r="BP18" s="190">
        <f t="shared" si="14"/>
        <v>211.01459740525647</v>
      </c>
      <c r="BQ18" s="190">
        <f t="shared" si="15"/>
        <v>211.01459740525647</v>
      </c>
      <c r="BR18" s="190">
        <f t="shared" si="16"/>
        <v>211.01459740525647</v>
      </c>
      <c r="BS18" s="190">
        <f t="shared" si="17"/>
        <v>211.01459740525647</v>
      </c>
      <c r="BT18" s="190">
        <f t="shared" si="18"/>
        <v>211.01459740525647</v>
      </c>
      <c r="BU18" s="190">
        <f t="shared" si="19"/>
        <v>211.01459740525647</v>
      </c>
      <c r="BV18" s="190">
        <f t="shared" si="20"/>
        <v>203.98011980043125</v>
      </c>
      <c r="BW18" s="190">
        <f t="shared" si="21"/>
        <v>203.98011980043125</v>
      </c>
      <c r="BX18" s="190">
        <f t="shared" si="22"/>
        <v>203.98011980043125</v>
      </c>
      <c r="BY18" s="190">
        <f t="shared" si="23"/>
        <v>203.98011980043125</v>
      </c>
      <c r="BZ18" s="190">
        <f t="shared" si="24"/>
        <v>203.98011980043125</v>
      </c>
      <c r="CA18" s="190">
        <f t="shared" si="25"/>
        <v>203.98011980043125</v>
      </c>
      <c r="CB18" s="190">
        <f t="shared" si="26"/>
        <v>203.98011980043125</v>
      </c>
      <c r="CC18" s="190">
        <f t="shared" si="27"/>
        <v>203.98011980043125</v>
      </c>
      <c r="CD18" s="190">
        <f t="shared" si="28"/>
        <v>203.98011980043125</v>
      </c>
      <c r="CE18" s="190">
        <f t="shared" si="29"/>
        <v>203.98011980043125</v>
      </c>
      <c r="CF18" s="190">
        <f t="shared" si="30"/>
        <v>203.98011980043125</v>
      </c>
      <c r="CG18" s="190">
        <f t="shared" si="31"/>
        <v>203.98011980043125</v>
      </c>
      <c r="CH18" s="264"/>
      <c r="CI18" s="264">
        <f t="shared" si="1"/>
        <v>4301</v>
      </c>
      <c r="CJ18" s="264">
        <f t="shared" si="2"/>
        <v>4362</v>
      </c>
      <c r="CK18" s="264">
        <f t="shared" si="3"/>
        <v>4465</v>
      </c>
      <c r="CL18" s="264">
        <f t="shared" si="4"/>
        <v>2619.5</v>
      </c>
      <c r="CM18" s="264">
        <f t="shared" si="5"/>
        <v>2532.1751688630775</v>
      </c>
      <c r="CN18" s="264">
        <f t="shared" si="6"/>
        <v>2447.7614376051752</v>
      </c>
      <c r="CP18" s="574">
        <f>SUMIF('Master '!D:D,D18,'Master '!AB:AB)</f>
        <v>2532.1751688630775</v>
      </c>
      <c r="CQ18" s="574">
        <f>SUMIF('Master '!D:D,D18,'Master '!AC:AC)</f>
        <v>2447.7614376051747</v>
      </c>
      <c r="CR18" s="264">
        <f t="shared" si="7"/>
        <v>0</v>
      </c>
      <c r="CS18" s="264">
        <f t="shared" si="7"/>
        <v>0</v>
      </c>
    </row>
    <row r="19" spans="1:97" s="261" customFormat="1">
      <c r="A19" s="55" t="s">
        <v>15</v>
      </c>
      <c r="B19" s="55" t="s">
        <v>994</v>
      </c>
      <c r="C19" s="55" t="s">
        <v>1245</v>
      </c>
      <c r="D19" s="55" t="s">
        <v>40</v>
      </c>
      <c r="E19" s="55" t="str">
        <f>VLOOKUP(D19,'Input 14_Ref Table'!C:D,2,FALSE)</f>
        <v>GCS41</v>
      </c>
      <c r="F19" s="172" t="s">
        <v>1286</v>
      </c>
      <c r="G19" s="55" t="str">
        <f>VLOOKUP(D19,'Input 14_Ref Table'!C:I,7,FALSE)</f>
        <v>FPU - FPU - GS - 2</v>
      </c>
      <c r="H19" s="55" t="str">
        <f>VLOOKUP(D19,'Input 14_Ref Table'!C:K,8,FALSE)</f>
        <v>GS2</v>
      </c>
      <c r="I19" s="55"/>
      <c r="J19" s="261" t="str">
        <f>INDEX('Master '!$AD$2:AD$65,MATCH(D19,'Master '!$D$2:$D$65,0))</f>
        <v>UPC Growth Rate</v>
      </c>
      <c r="K19" s="567">
        <f>INDEX('Master '!$N$2:N$65,MATCH(D19,'Master '!$D$2:$D$65,0))</f>
        <v>1.8587655739112818E-2</v>
      </c>
      <c r="L19" s="290">
        <f>INDEX('Master '!$S$2:S$65,MATCH(D19,'Master '!$D$2:$D$65,0))</f>
        <v>-1.8292273161028501E-2</v>
      </c>
      <c r="M19" s="1">
        <f>INDEX('Master '!$W$2:W$65,MATCH(D19,'Master '!$D$2:$D$65,0))</f>
        <v>3652.1</v>
      </c>
      <c r="N19" s="55">
        <f>SUMIF('Input 16_2018CUST-YTD'!$S:$S,$G19,'Input 16_2018CUST-YTD'!C:C)</f>
        <v>2048</v>
      </c>
      <c r="O19" s="55">
        <f>SUMIF('Input 16_2018CUST-YTD'!$S:$S,$G19,'Input 16_2018CUST-YTD'!D:D)</f>
        <v>2044</v>
      </c>
      <c r="P19" s="55">
        <f>SUMIF('Input 16_2018CUST-YTD'!$S:$S,$G19,'Input 16_2018CUST-YTD'!E:E)</f>
        <v>2056</v>
      </c>
      <c r="Q19" s="55">
        <f>SUMIF('Input 16_2018CUST-YTD'!$S:$S,$G19,'Input 16_2018CUST-YTD'!F:F)</f>
        <v>2059</v>
      </c>
      <c r="R19" s="55">
        <f>SUMIF('Input 16_2018CUST-YTD'!$S:$S,$G19,'Input 16_2018CUST-YTD'!G:G)</f>
        <v>2066</v>
      </c>
      <c r="S19" s="55">
        <f>SUMIF('Input 16_2018CUST-YTD'!$S:$S,$G19,'Input 16_2018CUST-YTD'!H:H)</f>
        <v>2052</v>
      </c>
      <c r="T19" s="55">
        <f>SUMIF('Input 16_2018CUST-YTD'!$S:$S,$G19,'Input 16_2018CUST-YTD'!I:I)</f>
        <v>2053</v>
      </c>
      <c r="U19" s="55">
        <f>SUMIF('Input 16_2018CUST-YTD'!$S:$S,$G19,'Input 16_2018CUST-YTD'!J:J)</f>
        <v>2062</v>
      </c>
      <c r="V19" s="55">
        <f>SUMIF('Input 16_2018CUST-YTD'!$S:$S,$G19,'Input 16_2018CUST-YTD'!K:K)</f>
        <v>2065</v>
      </c>
      <c r="W19" s="55">
        <f>SUMIF('Input 16_2018CUST-YTD'!$S:$S,$G19,'Input 16_2018CUST-YTD'!L:L)</f>
        <v>2023</v>
      </c>
      <c r="X19" s="55">
        <f>SUMIF('Input 16_2018CUST-YTD'!$S:$S,$G19,'Input 16_2018CUST-YTD'!M:M)</f>
        <v>2032</v>
      </c>
      <c r="Y19" s="55">
        <f>SUMIF('Input 16_2018CUST-YTD'!$S:$S,$G19,'Input 16_2018CUST-YTD'!N:N)</f>
        <v>2033</v>
      </c>
      <c r="Z19" s="1">
        <f>SUMIF('Input 3_2019CUST-YTD'!$S:$S,$G19,'Input 3_2019CUST-YTD'!C:C)</f>
        <v>2050</v>
      </c>
      <c r="AA19" s="1">
        <f>SUMIF('Input 3_2019CUST-YTD'!$S:$S,$G19,'Input 3_2019CUST-YTD'!D:D)</f>
        <v>2062</v>
      </c>
      <c r="AB19" s="1">
        <f>SUMIF('Input 3_2019CUST-YTD'!$S:$S,$G19,'Input 3_2019CUST-YTD'!E:E)</f>
        <v>2057</v>
      </c>
      <c r="AC19" s="1">
        <f>SUMIF('Input 3_2019CUST-YTD'!$S:$S,$G19,'Input 3_2019CUST-YTD'!F:F)</f>
        <v>2077</v>
      </c>
      <c r="AD19" s="1">
        <f>SUMIF('Input 3_2019CUST-YTD'!$S:$S,$G19,'Input 3_2019CUST-YTD'!G:G)</f>
        <v>2092</v>
      </c>
      <c r="AE19" s="1">
        <f>SUMIF('Input 3_2019CUST-YTD'!$S:$S,$G19,'Input 3_2019CUST-YTD'!H:H)</f>
        <v>2095</v>
      </c>
      <c r="AF19" s="1">
        <f>SUMIF('Input 3_2019CUST-YTD'!$S:$S,$G19,'Input 3_2019CUST-YTD'!I:I)</f>
        <v>2086</v>
      </c>
      <c r="AG19" s="1">
        <f>SUMIF('Input 3_2019CUST-YTD'!$S:$S,$G19,'Input 3_2019CUST-YTD'!J:J)</f>
        <v>2098</v>
      </c>
      <c r="AH19" s="1">
        <f>SUMIF('Input 3_2019CUST-YTD'!$S:$S,$G19,'Input 3_2019CUST-YTD'!K:K)</f>
        <v>2102</v>
      </c>
      <c r="AI19" s="1">
        <f>SUMIF('Input 3_2019CUST-YTD'!$S:$S,$G19,'Input 3_2019CUST-YTD'!L:L)</f>
        <v>2004</v>
      </c>
      <c r="AJ19" s="1">
        <f>SUMIF('Input 3_2019CUST-YTD'!$S:$S,$G19,'Input 3_2019CUST-YTD'!M:M)</f>
        <v>2120</v>
      </c>
      <c r="AK19" s="1">
        <f>SUMIF('Input 3_2019CUST-YTD'!$S:$S,$G19,'Input 3_2019CUST-YTD'!N:N)</f>
        <v>2121</v>
      </c>
      <c r="AL19" s="1">
        <f>SUMIF('Input 4_2020CUST-YTD'!$S:$S,$G19,'Input 4_2020CUST-YTD'!C:C)</f>
        <v>2132</v>
      </c>
      <c r="AM19" s="1">
        <f>SUMIF('Input 4_2020CUST-YTD'!$S:$S,$G19,'Input 4_2020CUST-YTD'!D:D)</f>
        <v>2126</v>
      </c>
      <c r="AN19" s="1">
        <f>SUMIF('Input 4_2020CUST-YTD'!$S:$S,$G19,'Input 4_2020CUST-YTD'!E:E)</f>
        <v>2135</v>
      </c>
      <c r="AO19" s="1">
        <f>SUMIF('Input 4_2020CUST-YTD'!$S:$S,$G19,'Input 4_2020CUST-YTD'!F:F)</f>
        <v>2134</v>
      </c>
      <c r="AP19" s="1">
        <f>SUMIF('Input 4_2020CUST-YTD'!$S:$S,$G19,'Input 4_2020CUST-YTD'!G:G)</f>
        <v>2106</v>
      </c>
      <c r="AQ19" s="1">
        <f>SUMIF('Input 4_2020CUST-YTD'!$S:$S,$G19,'Input 4_2020CUST-YTD'!H:H)</f>
        <v>2111</v>
      </c>
      <c r="AR19" s="1">
        <f>SUMIF('Input 4_2020CUST-YTD'!$S:$S,$G19,'Input 4_2020CUST-YTD'!I:I)</f>
        <v>2143</v>
      </c>
      <c r="AS19" s="1">
        <f>SUMIF('Input 4_2020CUST-YTD'!$S:$S,$G19,'Input 4_2020CUST-YTD'!J:J)</f>
        <v>2138</v>
      </c>
      <c r="AT19" s="1">
        <f>SUMIF('Input 4_2020CUST-YTD'!$S:$S,$G19,'Input 4_2020CUST-YTD'!K:K)</f>
        <v>2131</v>
      </c>
      <c r="AU19" s="1">
        <f>SUMIF('Input 4_2020CUST-YTD'!$S:$S,$G19,'Input 4_2020CUST-YTD'!L:L)</f>
        <v>2145</v>
      </c>
      <c r="AV19" s="1">
        <f>SUMIF('Input 4_2020CUST-YTD'!$S:$S,$G19,'Input 4_2020CUST-YTD'!M:M)</f>
        <v>2154</v>
      </c>
      <c r="AW19" s="1">
        <f>SUMIF('Input 4_2020CUST-YTD'!$S:$S,$G19,'Input 4_2020CUST-YTD'!N:N)</f>
        <v>2161</v>
      </c>
      <c r="AX19" s="1">
        <f>SUMIF('Input 5_2021CUST-YTD'!$S:$S,$G19,'Input 5_2021CUST-YTD'!C:C)</f>
        <v>2198</v>
      </c>
      <c r="AY19" s="1">
        <f>SUMIF('Input 5_2021CUST-YTD'!$S:$S,$G19,'Input 5_2021CUST-YTD'!D:D)</f>
        <v>2195</v>
      </c>
      <c r="AZ19" s="1">
        <f>SUMIF('Input 5_2021CUST-YTD'!$S:$S,$G19,'Input 5_2021CUST-YTD'!E:E)</f>
        <v>2193</v>
      </c>
      <c r="BA19" s="1">
        <f>SUMIF('Input 5_2021CUST-YTD'!$S:$S,$G19,'Input 5_2021CUST-YTD'!F:F)</f>
        <v>2197</v>
      </c>
      <c r="BB19" s="1">
        <f>SUMIF('Input 5_2021CUST-YTD'!$S:$S,$G19,'Input 5_2021CUST-YTD'!G:G)</f>
        <v>2197</v>
      </c>
      <c r="BC19" s="1">
        <f>SUMIF('Input 5_2021CUST-YTD'!$S:$S,$G19,'Input 5_2021CUST-YTD'!H:H)</f>
        <v>2214</v>
      </c>
      <c r="BD19" s="1">
        <f>SUMIF('Input 5_2021CUST-YTD'!$S:$S,$G19,'Input 5_2021CUST-YTD'!I:I)</f>
        <v>2199</v>
      </c>
      <c r="BE19" s="1">
        <f>SUMIF('Input 5_2021CUST-YTD'!$S:$S,$G19,'Input 5_2021CUST-YTD'!J:J)</f>
        <v>2181</v>
      </c>
      <c r="BF19" s="1">
        <f>SUMIF('Input 5_2021CUST-YTD'!$S:$S,$G19,'Input 5_2021CUST-YTD'!K:K)</f>
        <v>2145</v>
      </c>
      <c r="BG19" s="1">
        <f>SUMIF('Input 5_2021CUST-YTD'!$S:$S,$G19,'Input 5_2021CUST-YTD'!L:L)</f>
        <v>2162</v>
      </c>
      <c r="BH19" s="1">
        <f>SUMIF('Input 5_2021CUST-YTD'!$S:$S,$G19,'Input 5_2021CUST-YTD'!M:M)</f>
        <v>2166</v>
      </c>
      <c r="BI19" s="1">
        <f>SUMIF('Input 5_2021CUST-YTD'!$S:$S,$G19,'Input 5_2021CUST-YTD'!N:N)</f>
        <v>2168</v>
      </c>
      <c r="BJ19" s="190">
        <f t="shared" si="8"/>
        <v>2238.8556673145704</v>
      </c>
      <c r="BK19" s="190">
        <f t="shared" si="9"/>
        <v>2235.7999043473528</v>
      </c>
      <c r="BL19" s="190">
        <f t="shared" si="10"/>
        <v>2233.7627290358746</v>
      </c>
      <c r="BM19" s="190">
        <f t="shared" si="11"/>
        <v>2237.837079658831</v>
      </c>
      <c r="BN19" s="190">
        <f t="shared" si="12"/>
        <v>2237.837079658831</v>
      </c>
      <c r="BO19" s="190">
        <f t="shared" si="13"/>
        <v>2255.1530698063962</v>
      </c>
      <c r="BP19" s="190">
        <f t="shared" si="14"/>
        <v>2239.8742549703093</v>
      </c>
      <c r="BQ19" s="190">
        <f t="shared" si="15"/>
        <v>2221.5396771670053</v>
      </c>
      <c r="BR19" s="190">
        <f t="shared" si="16"/>
        <v>2184.8705215603973</v>
      </c>
      <c r="BS19" s="190">
        <f t="shared" si="17"/>
        <v>2202.1865117079619</v>
      </c>
      <c r="BT19" s="190">
        <f t="shared" si="18"/>
        <v>2206.2608623309184</v>
      </c>
      <c r="BU19" s="190">
        <f t="shared" si="19"/>
        <v>2208.2980376423966</v>
      </c>
      <c r="BV19" s="190">
        <f t="shared" si="20"/>
        <v>2280.4707457081754</v>
      </c>
      <c r="BW19" s="190">
        <f t="shared" si="21"/>
        <v>2277.3581832709028</v>
      </c>
      <c r="BX19" s="190">
        <f t="shared" si="22"/>
        <v>2275.2831416460549</v>
      </c>
      <c r="BY19" s="190">
        <f t="shared" si="23"/>
        <v>2279.4332248957512</v>
      </c>
      <c r="BZ19" s="190">
        <f t="shared" si="24"/>
        <v>2279.4332248957512</v>
      </c>
      <c r="CA19" s="190">
        <f t="shared" si="25"/>
        <v>2297.0710787069611</v>
      </c>
      <c r="CB19" s="190">
        <f t="shared" si="26"/>
        <v>2281.5082665205996</v>
      </c>
      <c r="CC19" s="190">
        <f t="shared" si="27"/>
        <v>2262.8328918969655</v>
      </c>
      <c r="CD19" s="190">
        <f t="shared" si="28"/>
        <v>2225.4821426496978</v>
      </c>
      <c r="CE19" s="190">
        <f t="shared" si="29"/>
        <v>2243.1199964609073</v>
      </c>
      <c r="CF19" s="190">
        <f t="shared" si="30"/>
        <v>2247.270079710604</v>
      </c>
      <c r="CG19" s="190">
        <f t="shared" si="31"/>
        <v>2249.3451213354519</v>
      </c>
      <c r="CH19" s="264"/>
      <c r="CI19" s="264">
        <f t="shared" si="1"/>
        <v>24593</v>
      </c>
      <c r="CJ19" s="264">
        <f t="shared" si="2"/>
        <v>24964</v>
      </c>
      <c r="CK19" s="264">
        <f t="shared" si="3"/>
        <v>25616</v>
      </c>
      <c r="CL19" s="264">
        <f t="shared" si="4"/>
        <v>26215</v>
      </c>
      <c r="CM19" s="264">
        <f t="shared" si="5"/>
        <v>26702.275395200842</v>
      </c>
      <c r="CN19" s="264">
        <f t="shared" si="6"/>
        <v>27198.608097697819</v>
      </c>
      <c r="CP19" s="574">
        <f>SUMIF('Master '!D:D,D19,'Master '!AB:AB)</f>
        <v>26702.275395200846</v>
      </c>
      <c r="CQ19" s="574">
        <f>SUMIF('Master '!D:D,D19,'Master '!AC:AC)</f>
        <v>27198.608097697826</v>
      </c>
      <c r="CR19" s="264">
        <f t="shared" si="7"/>
        <v>0</v>
      </c>
      <c r="CS19" s="264">
        <f t="shared" si="7"/>
        <v>0</v>
      </c>
    </row>
    <row r="20" spans="1:97" s="261" customFormat="1">
      <c r="A20" s="55" t="s">
        <v>15</v>
      </c>
      <c r="B20" s="55" t="s">
        <v>993</v>
      </c>
      <c r="C20" s="55" t="s">
        <v>1245</v>
      </c>
      <c r="D20" s="55" t="s">
        <v>42</v>
      </c>
      <c r="E20" s="55" t="str">
        <f>VLOOKUP(D20,'Input 14_Ref Table'!C:D,2,FALSE)</f>
        <v>GCT96</v>
      </c>
      <c r="F20" s="172" t="s">
        <v>1286</v>
      </c>
      <c r="G20" s="55" t="str">
        <f>VLOOKUP(D20,'Input 14_Ref Table'!C:I,7,FALSE)</f>
        <v>FPU - FPU - GSTS - 2</v>
      </c>
      <c r="H20" s="55" t="str">
        <f>VLOOKUP(D20,'Input 14_Ref Table'!C:K,8,FALSE)</f>
        <v>GS2</v>
      </c>
      <c r="I20" s="55"/>
      <c r="J20" s="261" t="str">
        <f>INDEX('Master '!$AD$2:AD$65,MATCH(D20,'Master '!$D$2:$D$65,0))</f>
        <v>UPC Growth Rate</v>
      </c>
      <c r="K20" s="567">
        <f>INDEX('Master '!$N$2:N$65,MATCH(D20,'Master '!$D$2:$D$65,0))</f>
        <v>1.8587655739112818E-2</v>
      </c>
      <c r="L20" s="290">
        <f>INDEX('Master '!$S$2:S$65,MATCH(D20,'Master '!$D$2:$D$65,0))</f>
        <v>-1.8292273161028501E-2</v>
      </c>
      <c r="M20" s="1">
        <f>INDEX('Master '!$W$2:W$65,MATCH(D20,'Master '!$D$2:$D$65,0))</f>
        <v>3652.1</v>
      </c>
      <c r="N20" s="55">
        <f>SUMIF('Input 16_2018CUST-YTD'!$S:$S,$G20,'Input 16_2018CUST-YTD'!C:C)</f>
        <v>656</v>
      </c>
      <c r="O20" s="55">
        <f>SUMIF('Input 16_2018CUST-YTD'!$S:$S,$G20,'Input 16_2018CUST-YTD'!D:D)</f>
        <v>656</v>
      </c>
      <c r="P20" s="55">
        <f>SUMIF('Input 16_2018CUST-YTD'!$S:$S,$G20,'Input 16_2018CUST-YTD'!E:E)</f>
        <v>666</v>
      </c>
      <c r="Q20" s="55">
        <f>SUMIF('Input 16_2018CUST-YTD'!$S:$S,$G20,'Input 16_2018CUST-YTD'!F:F)</f>
        <v>681</v>
      </c>
      <c r="R20" s="55">
        <f>SUMIF('Input 16_2018CUST-YTD'!$S:$S,$G20,'Input 16_2018CUST-YTD'!G:G)</f>
        <v>685</v>
      </c>
      <c r="S20" s="55">
        <f>SUMIF('Input 16_2018CUST-YTD'!$S:$S,$G20,'Input 16_2018CUST-YTD'!H:H)</f>
        <v>686</v>
      </c>
      <c r="T20" s="55">
        <f>SUMIF('Input 16_2018CUST-YTD'!$S:$S,$G20,'Input 16_2018CUST-YTD'!I:I)</f>
        <v>687</v>
      </c>
      <c r="U20" s="55">
        <f>SUMIF('Input 16_2018CUST-YTD'!$S:$S,$G20,'Input 16_2018CUST-YTD'!J:J)</f>
        <v>690</v>
      </c>
      <c r="V20" s="55">
        <f>SUMIF('Input 16_2018CUST-YTD'!$S:$S,$G20,'Input 16_2018CUST-YTD'!K:K)</f>
        <v>740</v>
      </c>
      <c r="W20" s="55">
        <f>SUMIF('Input 16_2018CUST-YTD'!$S:$S,$G20,'Input 16_2018CUST-YTD'!L:L)</f>
        <v>753</v>
      </c>
      <c r="X20" s="55">
        <f>SUMIF('Input 16_2018CUST-YTD'!$S:$S,$G20,'Input 16_2018CUST-YTD'!M:M)</f>
        <v>771</v>
      </c>
      <c r="Y20" s="55">
        <f>SUMIF('Input 16_2018CUST-YTD'!$S:$S,$G20,'Input 16_2018CUST-YTD'!N:N)</f>
        <v>774</v>
      </c>
      <c r="Z20" s="1">
        <f>SUMIF('Input 3_2019CUST-YTD'!$S:$S,$G20,'Input 3_2019CUST-YTD'!C:C)</f>
        <v>780</v>
      </c>
      <c r="AA20" s="1">
        <f>SUMIF('Input 3_2019CUST-YTD'!$S:$S,$G20,'Input 3_2019CUST-YTD'!D:D)</f>
        <v>779</v>
      </c>
      <c r="AB20" s="1">
        <f>SUMIF('Input 3_2019CUST-YTD'!$S:$S,$G20,'Input 3_2019CUST-YTD'!E:E)</f>
        <v>784</v>
      </c>
      <c r="AC20" s="1">
        <f>SUMIF('Input 3_2019CUST-YTD'!$S:$S,$G20,'Input 3_2019CUST-YTD'!F:F)</f>
        <v>776</v>
      </c>
      <c r="AD20" s="1">
        <f>SUMIF('Input 3_2019CUST-YTD'!$S:$S,$G20,'Input 3_2019CUST-YTD'!G:G)</f>
        <v>788</v>
      </c>
      <c r="AE20" s="1">
        <f>SUMIF('Input 3_2019CUST-YTD'!$S:$S,$G20,'Input 3_2019CUST-YTD'!H:H)</f>
        <v>783</v>
      </c>
      <c r="AF20" s="1">
        <f>SUMIF('Input 3_2019CUST-YTD'!$S:$S,$G20,'Input 3_2019CUST-YTD'!I:I)</f>
        <v>793</v>
      </c>
      <c r="AG20" s="1">
        <f>SUMIF('Input 3_2019CUST-YTD'!$S:$S,$G20,'Input 3_2019CUST-YTD'!J:J)</f>
        <v>791</v>
      </c>
      <c r="AH20" s="1">
        <f>SUMIF('Input 3_2019CUST-YTD'!$S:$S,$G20,'Input 3_2019CUST-YTD'!K:K)</f>
        <v>794</v>
      </c>
      <c r="AI20" s="1">
        <f>SUMIF('Input 3_2019CUST-YTD'!$S:$S,$G20,'Input 3_2019CUST-YTD'!L:L)</f>
        <v>773</v>
      </c>
      <c r="AJ20" s="1">
        <f>SUMIF('Input 3_2019CUST-YTD'!$S:$S,$G20,'Input 3_2019CUST-YTD'!M:M)</f>
        <v>794</v>
      </c>
      <c r="AK20" s="1">
        <f>SUMIF('Input 3_2019CUST-YTD'!$S:$S,$G20,'Input 3_2019CUST-YTD'!N:N)</f>
        <v>804</v>
      </c>
      <c r="AL20" s="1">
        <f>SUMIF('Input 4_2020CUST-YTD'!$S:$S,$G20,'Input 4_2020CUST-YTD'!C:C)</f>
        <v>797</v>
      </c>
      <c r="AM20" s="1">
        <f>SUMIF('Input 4_2020CUST-YTD'!$S:$S,$G20,'Input 4_2020CUST-YTD'!D:D)</f>
        <v>808</v>
      </c>
      <c r="AN20" s="1">
        <f>SUMIF('Input 4_2020CUST-YTD'!$S:$S,$G20,'Input 4_2020CUST-YTD'!E:E)</f>
        <v>813</v>
      </c>
      <c r="AO20" s="1">
        <f>SUMIF('Input 4_2020CUST-YTD'!$S:$S,$G20,'Input 4_2020CUST-YTD'!F:F)</f>
        <v>819</v>
      </c>
      <c r="AP20" s="1">
        <f>SUMIF('Input 4_2020CUST-YTD'!$S:$S,$G20,'Input 4_2020CUST-YTD'!G:G)</f>
        <v>816</v>
      </c>
      <c r="AQ20" s="1">
        <f>SUMIF('Input 4_2020CUST-YTD'!$S:$S,$G20,'Input 4_2020CUST-YTD'!H:H)</f>
        <v>818</v>
      </c>
      <c r="AR20" s="1">
        <f>SUMIF('Input 4_2020CUST-YTD'!$S:$S,$G20,'Input 4_2020CUST-YTD'!I:I)</f>
        <v>824</v>
      </c>
      <c r="AS20" s="1">
        <f>SUMIF('Input 4_2020CUST-YTD'!$S:$S,$G20,'Input 4_2020CUST-YTD'!J:J)</f>
        <v>817</v>
      </c>
      <c r="AT20" s="1">
        <f>SUMIF('Input 4_2020CUST-YTD'!$S:$S,$G20,'Input 4_2020CUST-YTD'!K:K)</f>
        <v>820</v>
      </c>
      <c r="AU20" s="1">
        <f>SUMIF('Input 4_2020CUST-YTD'!$S:$S,$G20,'Input 4_2020CUST-YTD'!L:L)</f>
        <v>828</v>
      </c>
      <c r="AV20" s="1">
        <f>SUMIF('Input 4_2020CUST-YTD'!$S:$S,$G20,'Input 4_2020CUST-YTD'!M:M)</f>
        <v>828</v>
      </c>
      <c r="AW20" s="1">
        <f>SUMIF('Input 4_2020CUST-YTD'!$S:$S,$G20,'Input 4_2020CUST-YTD'!N:N)</f>
        <v>829</v>
      </c>
      <c r="AX20" s="1">
        <f>SUMIF('Input 5_2021CUST-YTD'!$S:$S,$G20,'Input 5_2021CUST-YTD'!C:C)</f>
        <v>828</v>
      </c>
      <c r="AY20" s="1">
        <f>SUMIF('Input 5_2021CUST-YTD'!$S:$S,$G20,'Input 5_2021CUST-YTD'!D:D)</f>
        <v>825</v>
      </c>
      <c r="AZ20" s="1">
        <f>SUMIF('Input 5_2021CUST-YTD'!$S:$S,$G20,'Input 5_2021CUST-YTD'!E:E)</f>
        <v>816</v>
      </c>
      <c r="BA20" s="1">
        <f>SUMIF('Input 5_2021CUST-YTD'!$S:$S,$G20,'Input 5_2021CUST-YTD'!F:F)</f>
        <v>825</v>
      </c>
      <c r="BB20" s="1">
        <f>SUMIF('Input 5_2021CUST-YTD'!$S:$S,$G20,'Input 5_2021CUST-YTD'!G:G)</f>
        <v>836</v>
      </c>
      <c r="BC20" s="1">
        <f>SUMIF('Input 5_2021CUST-YTD'!$S:$S,$G20,'Input 5_2021CUST-YTD'!H:H)</f>
        <v>835</v>
      </c>
      <c r="BD20" s="1">
        <f>SUMIF('Input 5_2021CUST-YTD'!$S:$S,$G20,'Input 5_2021CUST-YTD'!I:I)</f>
        <v>844</v>
      </c>
      <c r="BE20" s="1">
        <f>SUMIF('Input 5_2021CUST-YTD'!$S:$S,$G20,'Input 5_2021CUST-YTD'!J:J)</f>
        <v>848</v>
      </c>
      <c r="BF20" s="1">
        <f>SUMIF('Input 5_2021CUST-YTD'!$S:$S,$G20,'Input 5_2021CUST-YTD'!K:K)</f>
        <v>855</v>
      </c>
      <c r="BG20" s="1">
        <f>SUMIF('Input 5_2021CUST-YTD'!$S:$S,$G20,'Input 5_2021CUST-YTD'!L:L)</f>
        <v>848</v>
      </c>
      <c r="BH20" s="1">
        <f>SUMIF('Input 5_2021CUST-YTD'!$S:$S,$G20,'Input 5_2021CUST-YTD'!M:M)</f>
        <v>859</v>
      </c>
      <c r="BI20" s="1">
        <f>SUMIF('Input 5_2021CUST-YTD'!$S:$S,$G20,'Input 5_2021CUST-YTD'!N:N)</f>
        <v>865</v>
      </c>
      <c r="BJ20" s="190">
        <f t="shared" si="8"/>
        <v>843.3905789519855</v>
      </c>
      <c r="BK20" s="190">
        <f t="shared" si="9"/>
        <v>840.33481598476817</v>
      </c>
      <c r="BL20" s="190">
        <f t="shared" si="10"/>
        <v>831.16752708311617</v>
      </c>
      <c r="BM20" s="190">
        <f t="shared" si="11"/>
        <v>840.33481598476817</v>
      </c>
      <c r="BN20" s="190">
        <f t="shared" si="12"/>
        <v>851.53928019789839</v>
      </c>
      <c r="BO20" s="190">
        <f t="shared" si="13"/>
        <v>850.52069254215928</v>
      </c>
      <c r="BP20" s="190">
        <f t="shared" si="14"/>
        <v>859.68798144381128</v>
      </c>
      <c r="BQ20" s="190">
        <f t="shared" si="15"/>
        <v>863.76233206676773</v>
      </c>
      <c r="BR20" s="190">
        <f t="shared" si="16"/>
        <v>870.8924456569415</v>
      </c>
      <c r="BS20" s="190">
        <f t="shared" si="17"/>
        <v>863.76233206676773</v>
      </c>
      <c r="BT20" s="190">
        <f t="shared" si="18"/>
        <v>874.96679627989795</v>
      </c>
      <c r="BU20" s="190">
        <f t="shared" si="19"/>
        <v>881.07832221433273</v>
      </c>
      <c r="BV20" s="190">
        <f t="shared" si="20"/>
        <v>859.06723268715609</v>
      </c>
      <c r="BW20" s="190">
        <f t="shared" si="21"/>
        <v>855.95467024988386</v>
      </c>
      <c r="BX20" s="190">
        <f t="shared" si="22"/>
        <v>846.61698293806694</v>
      </c>
      <c r="BY20" s="190">
        <f t="shared" si="23"/>
        <v>855.95467024988386</v>
      </c>
      <c r="BZ20" s="190">
        <f t="shared" si="24"/>
        <v>867.36739918654894</v>
      </c>
      <c r="CA20" s="190">
        <f t="shared" si="25"/>
        <v>866.32987837412486</v>
      </c>
      <c r="CB20" s="190">
        <f t="shared" si="26"/>
        <v>875.66756568594178</v>
      </c>
      <c r="CC20" s="190">
        <f t="shared" si="27"/>
        <v>879.81764893563809</v>
      </c>
      <c r="CD20" s="190">
        <f t="shared" si="28"/>
        <v>887.08029462260686</v>
      </c>
      <c r="CE20" s="190">
        <f t="shared" si="29"/>
        <v>879.81764893563809</v>
      </c>
      <c r="CF20" s="190">
        <f t="shared" si="30"/>
        <v>891.23037787230328</v>
      </c>
      <c r="CG20" s="190">
        <f t="shared" si="31"/>
        <v>897.45550274684797</v>
      </c>
      <c r="CH20" s="264"/>
      <c r="CI20" s="264">
        <f t="shared" si="1"/>
        <v>8445</v>
      </c>
      <c r="CJ20" s="264">
        <f t="shared" si="2"/>
        <v>9439</v>
      </c>
      <c r="CK20" s="264">
        <f t="shared" si="3"/>
        <v>9817</v>
      </c>
      <c r="CL20" s="264">
        <f t="shared" si="4"/>
        <v>10084</v>
      </c>
      <c r="CM20" s="264">
        <f t="shared" si="5"/>
        <v>10271.437920473214</v>
      </c>
      <c r="CN20" s="264">
        <f t="shared" si="6"/>
        <v>10462.359872484642</v>
      </c>
      <c r="CP20" s="574">
        <f>SUMIF('Master '!D:D,D20,'Master '!AB:AB)</f>
        <v>10271.437920473214</v>
      </c>
      <c r="CQ20" s="574">
        <f>SUMIF('Master '!D:D,D20,'Master '!AC:AC)</f>
        <v>10462.35987248464</v>
      </c>
      <c r="CR20" s="264">
        <f t="shared" si="7"/>
        <v>0</v>
      </c>
      <c r="CS20" s="264">
        <f t="shared" si="7"/>
        <v>0</v>
      </c>
    </row>
    <row r="21" spans="1:97" s="261" customFormat="1">
      <c r="A21" s="55" t="s">
        <v>15</v>
      </c>
      <c r="B21" s="55" t="s">
        <v>994</v>
      </c>
      <c r="C21" s="55" t="s">
        <v>1245</v>
      </c>
      <c r="D21" s="55" t="s">
        <v>44</v>
      </c>
      <c r="E21" s="55" t="str">
        <f>VLOOKUP(D21,'Input 14_Ref Table'!C:D,2,FALSE)</f>
        <v>GLV51</v>
      </c>
      <c r="F21" s="172" t="s">
        <v>1286</v>
      </c>
      <c r="G21" s="55" t="str">
        <f>VLOOKUP(D21,'Input 14_Ref Table'!C:I,7,FALSE)</f>
        <v>FPU - FPU - LVS</v>
      </c>
      <c r="H21" s="55" t="str">
        <f>VLOOKUP(D21,'Input 14_Ref Table'!C:K,8,FALSE)</f>
        <v>LVS</v>
      </c>
      <c r="I21" s="55"/>
      <c r="J21" s="261" t="str">
        <f>INDEX('Master '!$AD$2:AD$65,MATCH(D21,'Master '!$D$2:$D$65,0))</f>
        <v>UPC Growth Rate</v>
      </c>
      <c r="K21" s="567">
        <f>INDEX('Master '!$N$2:N$65,MATCH(D21,'Master '!$D$2:$D$65,0))</f>
        <v>1.1133093100946111E-2</v>
      </c>
      <c r="L21" s="290">
        <f>INDEX('Master '!$S$2:S$65,MATCH(D21,'Master '!$D$2:$D$65,0))</f>
        <v>-1.7360612496315646E-2</v>
      </c>
      <c r="M21" s="1">
        <f>INDEX('Master '!$W$2:W$65,MATCH(D21,'Master '!$D$2:$D$65,0))</f>
        <v>19502.099999999999</v>
      </c>
      <c r="N21" s="55">
        <f>SUMIF('Input 16_2018CUST-YTD'!$S:$S,$G21,'Input 16_2018CUST-YTD'!C:C)</f>
        <v>676</v>
      </c>
      <c r="O21" s="55">
        <f>SUMIF('Input 16_2018CUST-YTD'!$S:$S,$G21,'Input 16_2018CUST-YTD'!D:D)</f>
        <v>677</v>
      </c>
      <c r="P21" s="55">
        <f>SUMIF('Input 16_2018CUST-YTD'!$S:$S,$G21,'Input 16_2018CUST-YTD'!E:E)</f>
        <v>675</v>
      </c>
      <c r="Q21" s="55">
        <f>SUMIF('Input 16_2018CUST-YTD'!$S:$S,$G21,'Input 16_2018CUST-YTD'!F:F)</f>
        <v>676</v>
      </c>
      <c r="R21" s="55">
        <f>SUMIF('Input 16_2018CUST-YTD'!$S:$S,$G21,'Input 16_2018CUST-YTD'!G:G)</f>
        <v>673</v>
      </c>
      <c r="S21" s="55">
        <f>SUMIF('Input 16_2018CUST-YTD'!$S:$S,$G21,'Input 16_2018CUST-YTD'!H:H)</f>
        <v>668</v>
      </c>
      <c r="T21" s="55">
        <f>SUMIF('Input 16_2018CUST-YTD'!$S:$S,$G21,'Input 16_2018CUST-YTD'!I:I)</f>
        <v>652</v>
      </c>
      <c r="U21" s="55">
        <f>SUMIF('Input 16_2018CUST-YTD'!$S:$S,$G21,'Input 16_2018CUST-YTD'!J:J)</f>
        <v>665</v>
      </c>
      <c r="V21" s="55">
        <f>SUMIF('Input 16_2018CUST-YTD'!$S:$S,$G21,'Input 16_2018CUST-YTD'!K:K)</f>
        <v>665</v>
      </c>
      <c r="W21" s="55">
        <f>SUMIF('Input 16_2018CUST-YTD'!$S:$S,$G21,'Input 16_2018CUST-YTD'!L:L)</f>
        <v>669</v>
      </c>
      <c r="X21" s="55">
        <f>SUMIF('Input 16_2018CUST-YTD'!$S:$S,$G21,'Input 16_2018CUST-YTD'!M:M)</f>
        <v>685</v>
      </c>
      <c r="Y21" s="55">
        <f>SUMIF('Input 16_2018CUST-YTD'!$S:$S,$G21,'Input 16_2018CUST-YTD'!N:N)</f>
        <v>672</v>
      </c>
      <c r="Z21" s="1">
        <f>SUMIF('Input 3_2019CUST-YTD'!$S:$S,$G21,'Input 3_2019CUST-YTD'!C:C)</f>
        <v>666</v>
      </c>
      <c r="AA21" s="1">
        <f>SUMIF('Input 3_2019CUST-YTD'!$S:$S,$G21,'Input 3_2019CUST-YTD'!D:D)</f>
        <v>666</v>
      </c>
      <c r="AB21" s="1">
        <f>SUMIF('Input 3_2019CUST-YTD'!$S:$S,$G21,'Input 3_2019CUST-YTD'!E:E)</f>
        <v>652</v>
      </c>
      <c r="AC21" s="1">
        <f>SUMIF('Input 3_2019CUST-YTD'!$S:$S,$G21,'Input 3_2019CUST-YTD'!F:F)</f>
        <v>663</v>
      </c>
      <c r="AD21" s="1">
        <f>SUMIF('Input 3_2019CUST-YTD'!$S:$S,$G21,'Input 3_2019CUST-YTD'!G:G)</f>
        <v>659</v>
      </c>
      <c r="AE21" s="1">
        <f>SUMIF('Input 3_2019CUST-YTD'!$S:$S,$G21,'Input 3_2019CUST-YTD'!H:H)</f>
        <v>658</v>
      </c>
      <c r="AF21" s="1">
        <f>SUMIF('Input 3_2019CUST-YTD'!$S:$S,$G21,'Input 3_2019CUST-YTD'!I:I)</f>
        <v>650</v>
      </c>
      <c r="AG21" s="1">
        <f>SUMIF('Input 3_2019CUST-YTD'!$S:$S,$G21,'Input 3_2019CUST-YTD'!J:J)</f>
        <v>658</v>
      </c>
      <c r="AH21" s="1">
        <f>SUMIF('Input 3_2019CUST-YTD'!$S:$S,$G21,'Input 3_2019CUST-YTD'!K:K)</f>
        <v>655</v>
      </c>
      <c r="AI21" s="1">
        <f>SUMIF('Input 3_2019CUST-YTD'!$S:$S,$G21,'Input 3_2019CUST-YTD'!L:L)</f>
        <v>651</v>
      </c>
      <c r="AJ21" s="1">
        <f>SUMIF('Input 3_2019CUST-YTD'!$S:$S,$G21,'Input 3_2019CUST-YTD'!M:M)</f>
        <v>647</v>
      </c>
      <c r="AK21" s="1">
        <f>SUMIF('Input 3_2019CUST-YTD'!$S:$S,$G21,'Input 3_2019CUST-YTD'!N:N)</f>
        <v>648</v>
      </c>
      <c r="AL21" s="1">
        <f>SUMIF('Input 4_2020CUST-YTD'!$S:$S,$G21,'Input 4_2020CUST-YTD'!C:C)</f>
        <v>649</v>
      </c>
      <c r="AM21" s="1">
        <f>SUMIF('Input 4_2020CUST-YTD'!$S:$S,$G21,'Input 4_2020CUST-YTD'!D:D)</f>
        <v>658</v>
      </c>
      <c r="AN21" s="1">
        <f>SUMIF('Input 4_2020CUST-YTD'!$S:$S,$G21,'Input 4_2020CUST-YTD'!E:E)</f>
        <v>664</v>
      </c>
      <c r="AO21" s="1">
        <f>SUMIF('Input 4_2020CUST-YTD'!$S:$S,$G21,'Input 4_2020CUST-YTD'!F:F)</f>
        <v>661</v>
      </c>
      <c r="AP21" s="1">
        <f>SUMIF('Input 4_2020CUST-YTD'!$S:$S,$G21,'Input 4_2020CUST-YTD'!G:G)</f>
        <v>652</v>
      </c>
      <c r="AQ21" s="1">
        <f>SUMIF('Input 4_2020CUST-YTD'!$S:$S,$G21,'Input 4_2020CUST-YTD'!H:H)</f>
        <v>647</v>
      </c>
      <c r="AR21" s="1">
        <f>SUMIF('Input 4_2020CUST-YTD'!$S:$S,$G21,'Input 4_2020CUST-YTD'!I:I)</f>
        <v>650</v>
      </c>
      <c r="AS21" s="1">
        <f>SUMIF('Input 4_2020CUST-YTD'!$S:$S,$G21,'Input 4_2020CUST-YTD'!J:J)</f>
        <v>643</v>
      </c>
      <c r="AT21" s="1">
        <f>SUMIF('Input 4_2020CUST-YTD'!$S:$S,$G21,'Input 4_2020CUST-YTD'!K:K)</f>
        <v>644</v>
      </c>
      <c r="AU21" s="1">
        <f>SUMIF('Input 4_2020CUST-YTD'!$S:$S,$G21,'Input 4_2020CUST-YTD'!L:L)</f>
        <v>647</v>
      </c>
      <c r="AV21" s="1">
        <f>SUMIF('Input 4_2020CUST-YTD'!$S:$S,$G21,'Input 4_2020CUST-YTD'!M:M)</f>
        <v>652</v>
      </c>
      <c r="AW21" s="1">
        <f>SUMIF('Input 4_2020CUST-YTD'!$S:$S,$G21,'Input 4_2020CUST-YTD'!N:N)</f>
        <v>657</v>
      </c>
      <c r="AX21" s="1">
        <f>SUMIF('Input 5_2021CUST-YTD'!$S:$S,$G21,'Input 5_2021CUST-YTD'!C:C)</f>
        <v>670</v>
      </c>
      <c r="AY21" s="1">
        <f>SUMIF('Input 5_2021CUST-YTD'!$S:$S,$G21,'Input 5_2021CUST-YTD'!D:D)</f>
        <v>673</v>
      </c>
      <c r="AZ21" s="1">
        <f>SUMIF('Input 5_2021CUST-YTD'!$S:$S,$G21,'Input 5_2021CUST-YTD'!E:E)</f>
        <v>670</v>
      </c>
      <c r="BA21" s="1">
        <f>SUMIF('Input 5_2021CUST-YTD'!$S:$S,$G21,'Input 5_2021CUST-YTD'!F:F)</f>
        <v>665</v>
      </c>
      <c r="BB21" s="1">
        <f>SUMIF('Input 5_2021CUST-YTD'!$S:$S,$G21,'Input 5_2021CUST-YTD'!G:G)</f>
        <v>649</v>
      </c>
      <c r="BC21" s="1">
        <f>SUMIF('Input 5_2021CUST-YTD'!$S:$S,$G21,'Input 5_2021CUST-YTD'!H:H)</f>
        <v>655</v>
      </c>
      <c r="BD21" s="1">
        <f>SUMIF('Input 5_2021CUST-YTD'!$S:$S,$G21,'Input 5_2021CUST-YTD'!I:I)</f>
        <v>654</v>
      </c>
      <c r="BE21" s="1">
        <f>SUMIF('Input 5_2021CUST-YTD'!$S:$S,$G21,'Input 5_2021CUST-YTD'!J:J)</f>
        <v>650</v>
      </c>
      <c r="BF21" s="1">
        <f>SUMIF('Input 5_2021CUST-YTD'!$S:$S,$G21,'Input 5_2021CUST-YTD'!K:K)</f>
        <v>647</v>
      </c>
      <c r="BG21" s="1">
        <f>SUMIF('Input 5_2021CUST-YTD'!$S:$S,$G21,'Input 5_2021CUST-YTD'!L:L)</f>
        <v>649</v>
      </c>
      <c r="BH21" s="1">
        <f>SUMIF('Input 5_2021CUST-YTD'!$S:$S,$G21,'Input 5_2021CUST-YTD'!M:M)</f>
        <v>656</v>
      </c>
      <c r="BI21" s="1">
        <f>SUMIF('Input 5_2021CUST-YTD'!$S:$S,$G21,'Input 5_2021CUST-YTD'!N:N)</f>
        <v>663</v>
      </c>
      <c r="BJ21" s="190">
        <f t="shared" si="8"/>
        <v>677.45917237763388</v>
      </c>
      <c r="BK21" s="190">
        <f t="shared" si="9"/>
        <v>680.49257165693678</v>
      </c>
      <c r="BL21" s="190">
        <f t="shared" si="10"/>
        <v>677.45917237763388</v>
      </c>
      <c r="BM21" s="190">
        <f t="shared" si="11"/>
        <v>672.40350691212916</v>
      </c>
      <c r="BN21" s="190">
        <f t="shared" si="12"/>
        <v>656.22537742251404</v>
      </c>
      <c r="BO21" s="190">
        <f t="shared" si="13"/>
        <v>662.29217598111973</v>
      </c>
      <c r="BP21" s="190">
        <f t="shared" si="14"/>
        <v>661.28104288801876</v>
      </c>
      <c r="BQ21" s="190">
        <f t="shared" si="15"/>
        <v>657.23651051561501</v>
      </c>
      <c r="BR21" s="190">
        <f t="shared" si="16"/>
        <v>654.20311123631211</v>
      </c>
      <c r="BS21" s="190">
        <f t="shared" si="17"/>
        <v>656.22537742251404</v>
      </c>
      <c r="BT21" s="190">
        <f t="shared" si="18"/>
        <v>663.30330907422069</v>
      </c>
      <c r="BU21" s="190">
        <f t="shared" si="19"/>
        <v>670.38124072592723</v>
      </c>
      <c r="BV21" s="190">
        <f t="shared" si="20"/>
        <v>685.00138841580394</v>
      </c>
      <c r="BW21" s="190">
        <f t="shared" si="21"/>
        <v>688.06855881169565</v>
      </c>
      <c r="BX21" s="190">
        <f t="shared" si="22"/>
        <v>685.00138841580394</v>
      </c>
      <c r="BY21" s="190">
        <f t="shared" si="23"/>
        <v>679.88943775598455</v>
      </c>
      <c r="BZ21" s="190">
        <f t="shared" si="24"/>
        <v>663.53119564456244</v>
      </c>
      <c r="CA21" s="190">
        <f t="shared" si="25"/>
        <v>669.66553643634575</v>
      </c>
      <c r="CB21" s="190">
        <f t="shared" si="26"/>
        <v>668.64314630438184</v>
      </c>
      <c r="CC21" s="190">
        <f t="shared" si="27"/>
        <v>664.55358577652635</v>
      </c>
      <c r="CD21" s="190">
        <f t="shared" si="28"/>
        <v>661.48641538063464</v>
      </c>
      <c r="CE21" s="190">
        <f t="shared" si="29"/>
        <v>663.53119564456244</v>
      </c>
      <c r="CF21" s="190">
        <f t="shared" si="30"/>
        <v>670.68792656830965</v>
      </c>
      <c r="CG21" s="190">
        <f t="shared" si="31"/>
        <v>677.84465749205674</v>
      </c>
      <c r="CH21" s="264"/>
      <c r="CI21" s="264">
        <f t="shared" si="1"/>
        <v>8053</v>
      </c>
      <c r="CJ21" s="264">
        <f t="shared" si="2"/>
        <v>7873</v>
      </c>
      <c r="CK21" s="264">
        <f t="shared" si="3"/>
        <v>7824</v>
      </c>
      <c r="CL21" s="264">
        <f t="shared" si="4"/>
        <v>7901</v>
      </c>
      <c r="CM21" s="264">
        <f t="shared" si="5"/>
        <v>7988.9625685905758</v>
      </c>
      <c r="CN21" s="264">
        <f t="shared" si="6"/>
        <v>8077.9044326466665</v>
      </c>
      <c r="CP21" s="574">
        <f>SUMIF('Master '!D:D,D21,'Master '!AB:AB)</f>
        <v>7988.9625685905758</v>
      </c>
      <c r="CQ21" s="574">
        <f>SUMIF('Master '!D:D,D21,'Master '!AC:AC)</f>
        <v>8077.9044326466683</v>
      </c>
      <c r="CR21" s="264">
        <f t="shared" si="7"/>
        <v>0</v>
      </c>
      <c r="CS21" s="264">
        <f t="shared" si="7"/>
        <v>0</v>
      </c>
    </row>
    <row r="22" spans="1:97" s="261" customFormat="1">
      <c r="A22" s="55" t="s">
        <v>15</v>
      </c>
      <c r="B22" s="55" t="s">
        <v>993</v>
      </c>
      <c r="C22" s="55" t="s">
        <v>1245</v>
      </c>
      <c r="D22" s="55" t="s">
        <v>46</v>
      </c>
      <c r="E22" s="55" t="str">
        <f>VLOOKUP(D22,'Input 14_Ref Table'!C:D,2,FALSE)</f>
        <v>GLT91</v>
      </c>
      <c r="F22" s="172" t="s">
        <v>1286</v>
      </c>
      <c r="G22" s="55" t="str">
        <f>VLOOKUP(D22,'Input 14_Ref Table'!C:I,7,FALSE)</f>
        <v>FPU - FPU - LVTS &gt;50k</v>
      </c>
      <c r="H22" s="55" t="str">
        <f>VLOOKUP(D22,'Input 14_Ref Table'!C:K,8,FALSE)</f>
        <v>LVS</v>
      </c>
      <c r="I22" s="55"/>
      <c r="J22" s="261" t="str">
        <f>INDEX('Master '!$AD$2:AD$65,MATCH(D22,'Master '!$D$2:$D$65,0))</f>
        <v>UPC Growth Rate</v>
      </c>
      <c r="K22" s="567">
        <f>INDEX('Master '!$N$2:N$65,MATCH(D22,'Master '!$D$2:$D$65,0))</f>
        <v>1.1133093100946111E-2</v>
      </c>
      <c r="L22" s="290">
        <f>INDEX('Master '!$S$2:S$65,MATCH(D22,'Master '!$D$2:$D$65,0))</f>
        <v>-1.7360612496315646E-2</v>
      </c>
      <c r="M22" s="1">
        <f>INDEX('Master '!$W$2:W$65,MATCH(D22,'Master '!$D$2:$D$65,0))</f>
        <v>19502.099999999999</v>
      </c>
      <c r="N22" s="55">
        <f>SUMIF('Input 16_2018CUST-YTD'!$S:$S,$G22,'Input 16_2018CUST-YTD'!C:C)</f>
        <v>1195</v>
      </c>
      <c r="O22" s="55">
        <f>SUMIF('Input 16_2018CUST-YTD'!$S:$S,$G22,'Input 16_2018CUST-YTD'!D:D)</f>
        <v>1198</v>
      </c>
      <c r="P22" s="55">
        <f>SUMIF('Input 16_2018CUST-YTD'!$S:$S,$G22,'Input 16_2018CUST-YTD'!E:E)</f>
        <v>1205</v>
      </c>
      <c r="Q22" s="55">
        <f>SUMIF('Input 16_2018CUST-YTD'!$S:$S,$G22,'Input 16_2018CUST-YTD'!F:F)</f>
        <v>1209</v>
      </c>
      <c r="R22" s="55">
        <f>SUMIF('Input 16_2018CUST-YTD'!$S:$S,$G22,'Input 16_2018CUST-YTD'!G:G)</f>
        <v>1203</v>
      </c>
      <c r="S22" s="55">
        <f>SUMIF('Input 16_2018CUST-YTD'!$S:$S,$G22,'Input 16_2018CUST-YTD'!H:H)</f>
        <v>1213</v>
      </c>
      <c r="T22" s="55">
        <f>SUMIF('Input 16_2018CUST-YTD'!$S:$S,$G22,'Input 16_2018CUST-YTD'!I:I)</f>
        <v>1219</v>
      </c>
      <c r="U22" s="55">
        <f>SUMIF('Input 16_2018CUST-YTD'!$S:$S,$G22,'Input 16_2018CUST-YTD'!J:J)</f>
        <v>1217</v>
      </c>
      <c r="V22" s="55">
        <f>SUMIF('Input 16_2018CUST-YTD'!$S:$S,$G22,'Input 16_2018CUST-YTD'!K:K)</f>
        <v>1211</v>
      </c>
      <c r="W22" s="55">
        <f>SUMIF('Input 16_2018CUST-YTD'!$S:$S,$G22,'Input 16_2018CUST-YTD'!L:L)</f>
        <v>1203</v>
      </c>
      <c r="X22" s="55">
        <f>SUMIF('Input 16_2018CUST-YTD'!$S:$S,$G22,'Input 16_2018CUST-YTD'!M:M)</f>
        <v>1205</v>
      </c>
      <c r="Y22" s="55">
        <f>SUMIF('Input 16_2018CUST-YTD'!$S:$S,$G22,'Input 16_2018CUST-YTD'!N:N)</f>
        <v>1219</v>
      </c>
      <c r="Z22" s="1">
        <f>SUMIF('Input 3_2019CUST-YTD'!$S:$S,$G22,'Input 3_2019CUST-YTD'!C:C)</f>
        <v>1225</v>
      </c>
      <c r="AA22" s="1">
        <f>SUMIF('Input 3_2019CUST-YTD'!$S:$S,$G22,'Input 3_2019CUST-YTD'!D:D)</f>
        <v>1231</v>
      </c>
      <c r="AB22" s="1">
        <f>SUMIF('Input 3_2019CUST-YTD'!$S:$S,$G22,'Input 3_2019CUST-YTD'!E:E)</f>
        <v>1237</v>
      </c>
      <c r="AC22" s="1">
        <f>SUMIF('Input 3_2019CUST-YTD'!$S:$S,$G22,'Input 3_2019CUST-YTD'!F:F)</f>
        <v>1244</v>
      </c>
      <c r="AD22" s="1">
        <f>SUMIF('Input 3_2019CUST-YTD'!$S:$S,$G22,'Input 3_2019CUST-YTD'!G:G)</f>
        <v>1247</v>
      </c>
      <c r="AE22" s="1">
        <f>SUMIF('Input 3_2019CUST-YTD'!$S:$S,$G22,'Input 3_2019CUST-YTD'!H:H)</f>
        <v>1255</v>
      </c>
      <c r="AF22" s="1">
        <f>SUMIF('Input 3_2019CUST-YTD'!$S:$S,$G22,'Input 3_2019CUST-YTD'!I:I)</f>
        <v>1243</v>
      </c>
      <c r="AG22" s="1">
        <f>SUMIF('Input 3_2019CUST-YTD'!$S:$S,$G22,'Input 3_2019CUST-YTD'!J:J)</f>
        <v>1238</v>
      </c>
      <c r="AH22" s="1">
        <f>SUMIF('Input 3_2019CUST-YTD'!$S:$S,$G22,'Input 3_2019CUST-YTD'!K:K)</f>
        <v>1245</v>
      </c>
      <c r="AI22" s="1">
        <f>SUMIF('Input 3_2019CUST-YTD'!$S:$S,$G22,'Input 3_2019CUST-YTD'!L:L)</f>
        <v>1247</v>
      </c>
      <c r="AJ22" s="1">
        <f>SUMIF('Input 3_2019CUST-YTD'!$S:$S,$G22,'Input 3_2019CUST-YTD'!M:M)</f>
        <v>1255</v>
      </c>
      <c r="AK22" s="1">
        <f>SUMIF('Input 3_2019CUST-YTD'!$S:$S,$G22,'Input 3_2019CUST-YTD'!N:N)</f>
        <v>1256</v>
      </c>
      <c r="AL22" s="1">
        <f>SUMIF('Input 4_2020CUST-YTD'!$S:$S,$G22,'Input 4_2020CUST-YTD'!C:C)</f>
        <v>1264</v>
      </c>
      <c r="AM22" s="1">
        <f>SUMIF('Input 4_2020CUST-YTD'!$S:$S,$G22,'Input 4_2020CUST-YTD'!D:D)</f>
        <v>1264</v>
      </c>
      <c r="AN22" s="1">
        <f>SUMIF('Input 4_2020CUST-YTD'!$S:$S,$G22,'Input 4_2020CUST-YTD'!E:E)</f>
        <v>1261</v>
      </c>
      <c r="AO22" s="1">
        <f>SUMIF('Input 4_2020CUST-YTD'!$S:$S,$G22,'Input 4_2020CUST-YTD'!F:F)</f>
        <v>1271</v>
      </c>
      <c r="AP22" s="1">
        <f>SUMIF('Input 4_2020CUST-YTD'!$S:$S,$G22,'Input 4_2020CUST-YTD'!G:G)</f>
        <v>1276</v>
      </c>
      <c r="AQ22" s="1">
        <f>SUMIF('Input 4_2020CUST-YTD'!$S:$S,$G22,'Input 4_2020CUST-YTD'!H:H)</f>
        <v>1278</v>
      </c>
      <c r="AR22" s="1">
        <f>SUMIF('Input 4_2020CUST-YTD'!$S:$S,$G22,'Input 4_2020CUST-YTD'!I:I)</f>
        <v>1273</v>
      </c>
      <c r="AS22" s="1">
        <f>SUMIF('Input 4_2020CUST-YTD'!$S:$S,$G22,'Input 4_2020CUST-YTD'!J:J)</f>
        <v>1269</v>
      </c>
      <c r="AT22" s="1">
        <f>SUMIF('Input 4_2020CUST-YTD'!$S:$S,$G22,'Input 4_2020CUST-YTD'!K:K)</f>
        <v>1264</v>
      </c>
      <c r="AU22" s="1">
        <f>SUMIF('Input 4_2020CUST-YTD'!$S:$S,$G22,'Input 4_2020CUST-YTD'!L:L)</f>
        <v>1269</v>
      </c>
      <c r="AV22" s="1">
        <f>SUMIF('Input 4_2020CUST-YTD'!$S:$S,$G22,'Input 4_2020CUST-YTD'!M:M)</f>
        <v>1264</v>
      </c>
      <c r="AW22" s="1">
        <f>SUMIF('Input 4_2020CUST-YTD'!$S:$S,$G22,'Input 4_2020CUST-YTD'!N:N)</f>
        <v>1264</v>
      </c>
      <c r="AX22" s="1">
        <f>SUMIF('Input 5_2021CUST-YTD'!$S:$S,$G22,'Input 5_2021CUST-YTD'!C:C)</f>
        <v>1259</v>
      </c>
      <c r="AY22" s="1">
        <f>SUMIF('Input 5_2021CUST-YTD'!$S:$S,$G22,'Input 5_2021CUST-YTD'!D:D)</f>
        <v>1254</v>
      </c>
      <c r="AZ22" s="1">
        <f>SUMIF('Input 5_2021CUST-YTD'!$S:$S,$G22,'Input 5_2021CUST-YTD'!E:E)</f>
        <v>1263</v>
      </c>
      <c r="BA22" s="1">
        <f>SUMIF('Input 5_2021CUST-YTD'!$S:$S,$G22,'Input 5_2021CUST-YTD'!F:F)</f>
        <v>1269</v>
      </c>
      <c r="BB22" s="1">
        <f>SUMIF('Input 5_2021CUST-YTD'!$S:$S,$G22,'Input 5_2021CUST-YTD'!G:G)</f>
        <v>1273</v>
      </c>
      <c r="BC22" s="1">
        <f>SUMIF('Input 5_2021CUST-YTD'!$S:$S,$G22,'Input 5_2021CUST-YTD'!H:H)</f>
        <v>1267</v>
      </c>
      <c r="BD22" s="1">
        <f>SUMIF('Input 5_2021CUST-YTD'!$S:$S,$G22,'Input 5_2021CUST-YTD'!I:I)</f>
        <v>1275</v>
      </c>
      <c r="BE22" s="1">
        <f>SUMIF('Input 5_2021CUST-YTD'!$S:$S,$G22,'Input 5_2021CUST-YTD'!J:J)</f>
        <v>1277</v>
      </c>
      <c r="BF22" s="1">
        <f>SUMIF('Input 5_2021CUST-YTD'!$S:$S,$G22,'Input 5_2021CUST-YTD'!K:K)</f>
        <v>1282</v>
      </c>
      <c r="BG22" s="1">
        <f>SUMIF('Input 5_2021CUST-YTD'!$S:$S,$G22,'Input 5_2021CUST-YTD'!L:L)</f>
        <v>1284</v>
      </c>
      <c r="BH22" s="1">
        <f>SUMIF('Input 5_2021CUST-YTD'!$S:$S,$G22,'Input 5_2021CUST-YTD'!M:M)</f>
        <v>1284</v>
      </c>
      <c r="BI22" s="1">
        <f>SUMIF('Input 5_2021CUST-YTD'!$S:$S,$G22,'Input 5_2021CUST-YTD'!N:N)</f>
        <v>1282</v>
      </c>
      <c r="BJ22" s="190">
        <f t="shared" si="8"/>
        <v>1273.0165642140912</v>
      </c>
      <c r="BK22" s="190">
        <f t="shared" si="9"/>
        <v>1267.9608987485865</v>
      </c>
      <c r="BL22" s="190">
        <f t="shared" si="10"/>
        <v>1277.0610965864948</v>
      </c>
      <c r="BM22" s="190">
        <f t="shared" si="11"/>
        <v>1283.1278951451006</v>
      </c>
      <c r="BN22" s="190">
        <f t="shared" si="12"/>
        <v>1287.1724275175045</v>
      </c>
      <c r="BO22" s="190">
        <f t="shared" si="13"/>
        <v>1281.1056289588987</v>
      </c>
      <c r="BP22" s="190">
        <f t="shared" si="14"/>
        <v>1289.1946937037062</v>
      </c>
      <c r="BQ22" s="190">
        <f t="shared" si="15"/>
        <v>1291.2169598899081</v>
      </c>
      <c r="BR22" s="190">
        <f t="shared" si="16"/>
        <v>1296.2726253554129</v>
      </c>
      <c r="BS22" s="190">
        <f t="shared" si="17"/>
        <v>1298.2948915416148</v>
      </c>
      <c r="BT22" s="190">
        <f t="shared" si="18"/>
        <v>1298.2948915416148</v>
      </c>
      <c r="BU22" s="190">
        <f t="shared" si="19"/>
        <v>1296.2726253554129</v>
      </c>
      <c r="BV22" s="190">
        <f t="shared" si="20"/>
        <v>1287.1891761425331</v>
      </c>
      <c r="BW22" s="190">
        <f t="shared" si="21"/>
        <v>1282.0772254827139</v>
      </c>
      <c r="BX22" s="190">
        <f t="shared" si="22"/>
        <v>1291.2787366703885</v>
      </c>
      <c r="BY22" s="190">
        <f t="shared" si="23"/>
        <v>1297.4130774621722</v>
      </c>
      <c r="BZ22" s="190">
        <f t="shared" si="24"/>
        <v>1301.5026379900278</v>
      </c>
      <c r="CA22" s="190">
        <f t="shared" si="25"/>
        <v>1295.3682971982444</v>
      </c>
      <c r="CB22" s="190">
        <f t="shared" si="26"/>
        <v>1303.5474182539554</v>
      </c>
      <c r="CC22" s="190">
        <f t="shared" si="27"/>
        <v>1305.5921985178832</v>
      </c>
      <c r="CD22" s="190">
        <f t="shared" si="28"/>
        <v>1310.7041491777024</v>
      </c>
      <c r="CE22" s="190">
        <f t="shared" si="29"/>
        <v>1312.7489294416303</v>
      </c>
      <c r="CF22" s="190">
        <f t="shared" si="30"/>
        <v>1312.7489294416303</v>
      </c>
      <c r="CG22" s="190">
        <f t="shared" si="31"/>
        <v>1310.7041491777024</v>
      </c>
      <c r="CH22" s="264"/>
      <c r="CI22" s="264">
        <f t="shared" si="1"/>
        <v>14497</v>
      </c>
      <c r="CJ22" s="264">
        <f t="shared" si="2"/>
        <v>14923</v>
      </c>
      <c r="CK22" s="264">
        <f t="shared" si="3"/>
        <v>15217</v>
      </c>
      <c r="CL22" s="264">
        <f t="shared" si="4"/>
        <v>15269</v>
      </c>
      <c r="CM22" s="264">
        <f t="shared" si="5"/>
        <v>15438.991198558346</v>
      </c>
      <c r="CN22" s="264">
        <f t="shared" si="6"/>
        <v>15610.874924956583</v>
      </c>
      <c r="CP22" s="574">
        <f>SUMIF('Master '!D:D,D22,'Master '!AB:AB)</f>
        <v>15438.991198558346</v>
      </c>
      <c r="CQ22" s="574">
        <f>SUMIF('Master '!D:D,D22,'Master '!AC:AC)</f>
        <v>15610.874924956584</v>
      </c>
      <c r="CR22" s="264">
        <f t="shared" si="7"/>
        <v>0</v>
      </c>
      <c r="CS22" s="264">
        <f t="shared" si="7"/>
        <v>0</v>
      </c>
    </row>
    <row r="23" spans="1:97" s="261" customFormat="1">
      <c r="A23" s="55" t="s">
        <v>15</v>
      </c>
      <c r="B23" s="55" t="s">
        <v>994</v>
      </c>
      <c r="C23" s="55" t="s">
        <v>1245</v>
      </c>
      <c r="D23" s="55" t="s">
        <v>48</v>
      </c>
      <c r="E23" s="55" t="str">
        <f>VLOOKUP(D23,'Input 14_Ref Table'!C:D,2,FALSE)</f>
        <v>GIS61</v>
      </c>
      <c r="F23" s="172" t="s">
        <v>1286</v>
      </c>
      <c r="G23" s="55" t="str">
        <f>VLOOKUP(D23,'Input 14_Ref Table'!C:I,7,FALSE)</f>
        <v>FPU - FPU - IS</v>
      </c>
      <c r="H23" s="55" t="str">
        <f>VLOOKUP(D23,'Input 14_Ref Table'!C:K,8,FALSE)</f>
        <v>Base Period</v>
      </c>
      <c r="I23" s="55"/>
      <c r="J23" s="261" t="str">
        <f>INDEX('Master '!$AD$2:AD$65,MATCH(D23,'Master '!$D$2:$D$65,0))</f>
        <v>Base Period</v>
      </c>
      <c r="K23" s="567">
        <f>INDEX('Master '!$N$2:N$65,MATCH(D23,'Master '!$D$2:$D$65,0))</f>
        <v>0</v>
      </c>
      <c r="L23" s="290">
        <f>INDEX('Master '!$S$2:S$65,MATCH(D23,'Master '!$D$2:$D$65,0))</f>
        <v>0</v>
      </c>
      <c r="M23" s="1">
        <f>INDEX('Master '!$W$2:W$65,MATCH(D23,'Master '!$D$2:$D$65,0))</f>
        <v>0</v>
      </c>
      <c r="N23" s="55">
        <f>SUMIF('Input 16_2018CUST-YTD'!$S:$S,$G23,'Input 16_2018CUST-YTD'!C:C)</f>
        <v>0</v>
      </c>
      <c r="O23" s="55">
        <f>SUMIF('Input 16_2018CUST-YTD'!$S:$S,$G23,'Input 16_2018CUST-YTD'!D:D)</f>
        <v>0</v>
      </c>
      <c r="P23" s="55">
        <f>SUMIF('Input 16_2018CUST-YTD'!$S:$S,$G23,'Input 16_2018CUST-YTD'!E:E)</f>
        <v>0</v>
      </c>
      <c r="Q23" s="55">
        <f>SUMIF('Input 16_2018CUST-YTD'!$S:$S,$G23,'Input 16_2018CUST-YTD'!F:F)</f>
        <v>0</v>
      </c>
      <c r="R23" s="55">
        <f>SUMIF('Input 16_2018CUST-YTD'!$S:$S,$G23,'Input 16_2018CUST-YTD'!G:G)</f>
        <v>0</v>
      </c>
      <c r="S23" s="55">
        <f>SUMIF('Input 16_2018CUST-YTD'!$S:$S,$G23,'Input 16_2018CUST-YTD'!H:H)</f>
        <v>0</v>
      </c>
      <c r="T23" s="55">
        <f>SUMIF('Input 16_2018CUST-YTD'!$S:$S,$G23,'Input 16_2018CUST-YTD'!I:I)</f>
        <v>0</v>
      </c>
      <c r="U23" s="55">
        <f>SUMIF('Input 16_2018CUST-YTD'!$S:$S,$G23,'Input 16_2018CUST-YTD'!J:J)</f>
        <v>0</v>
      </c>
      <c r="V23" s="55">
        <f>SUMIF('Input 16_2018CUST-YTD'!$S:$S,$G23,'Input 16_2018CUST-YTD'!K:K)</f>
        <v>0</v>
      </c>
      <c r="W23" s="55">
        <f>SUMIF('Input 16_2018CUST-YTD'!$S:$S,$G23,'Input 16_2018CUST-YTD'!L:L)</f>
        <v>0</v>
      </c>
      <c r="X23" s="55">
        <f>SUMIF('Input 16_2018CUST-YTD'!$S:$S,$G23,'Input 16_2018CUST-YTD'!M:M)</f>
        <v>0</v>
      </c>
      <c r="Y23" s="55">
        <f>SUMIF('Input 16_2018CUST-YTD'!$S:$S,$G23,'Input 16_2018CUST-YTD'!N:N)</f>
        <v>0</v>
      </c>
      <c r="Z23" s="1">
        <f>SUMIF('Input 3_2019CUST-YTD'!$S:$S,$G23,'Input 3_2019CUST-YTD'!C:C)</f>
        <v>0</v>
      </c>
      <c r="AA23" s="1">
        <f>SUMIF('Input 3_2019CUST-YTD'!$S:$S,$G23,'Input 3_2019CUST-YTD'!D:D)</f>
        <v>0</v>
      </c>
      <c r="AB23" s="1">
        <f>SUMIF('Input 3_2019CUST-YTD'!$S:$S,$G23,'Input 3_2019CUST-YTD'!E:E)</f>
        <v>0</v>
      </c>
      <c r="AC23" s="1">
        <f>SUMIF('Input 3_2019CUST-YTD'!$S:$S,$G23,'Input 3_2019CUST-YTD'!F:F)</f>
        <v>0</v>
      </c>
      <c r="AD23" s="1">
        <f>SUMIF('Input 3_2019CUST-YTD'!$S:$S,$G23,'Input 3_2019CUST-YTD'!G:G)</f>
        <v>0</v>
      </c>
      <c r="AE23" s="1">
        <f>SUMIF('Input 3_2019CUST-YTD'!$S:$S,$G23,'Input 3_2019CUST-YTD'!H:H)</f>
        <v>0</v>
      </c>
      <c r="AF23" s="1">
        <f>SUMIF('Input 3_2019CUST-YTD'!$S:$S,$G23,'Input 3_2019CUST-YTD'!I:I)</f>
        <v>0</v>
      </c>
      <c r="AG23" s="1">
        <f>SUMIF('Input 3_2019CUST-YTD'!$S:$S,$G23,'Input 3_2019CUST-YTD'!J:J)</f>
        <v>0</v>
      </c>
      <c r="AH23" s="1">
        <f>SUMIF('Input 3_2019CUST-YTD'!$S:$S,$G23,'Input 3_2019CUST-YTD'!K:K)</f>
        <v>0</v>
      </c>
      <c r="AI23" s="1">
        <f>SUMIF('Input 3_2019CUST-YTD'!$S:$S,$G23,'Input 3_2019CUST-YTD'!L:L)</f>
        <v>0</v>
      </c>
      <c r="AJ23" s="1">
        <f>SUMIF('Input 3_2019CUST-YTD'!$S:$S,$G23,'Input 3_2019CUST-YTD'!M:M)</f>
        <v>0</v>
      </c>
      <c r="AK23" s="1">
        <f>SUMIF('Input 3_2019CUST-YTD'!$S:$S,$G23,'Input 3_2019CUST-YTD'!N:N)</f>
        <v>0</v>
      </c>
      <c r="AL23" s="1">
        <f>SUMIF('Input 4_2020CUST-YTD'!$S:$S,$G23,'Input 4_2020CUST-YTD'!C:C)</f>
        <v>0</v>
      </c>
      <c r="AM23" s="1">
        <f>SUMIF('Input 4_2020CUST-YTD'!$S:$S,$G23,'Input 4_2020CUST-YTD'!D:D)</f>
        <v>0</v>
      </c>
      <c r="AN23" s="1">
        <f>SUMIF('Input 4_2020CUST-YTD'!$S:$S,$G23,'Input 4_2020CUST-YTD'!E:E)</f>
        <v>0</v>
      </c>
      <c r="AO23" s="1">
        <f>SUMIF('Input 4_2020CUST-YTD'!$S:$S,$G23,'Input 4_2020CUST-YTD'!F:F)</f>
        <v>0</v>
      </c>
      <c r="AP23" s="1">
        <f>SUMIF('Input 4_2020CUST-YTD'!$S:$S,$G23,'Input 4_2020CUST-YTD'!G:G)</f>
        <v>0</v>
      </c>
      <c r="AQ23" s="1">
        <f>SUMIF('Input 4_2020CUST-YTD'!$S:$S,$G23,'Input 4_2020CUST-YTD'!H:H)</f>
        <v>0</v>
      </c>
      <c r="AR23" s="1">
        <f>SUMIF('Input 4_2020CUST-YTD'!$S:$S,$G23,'Input 4_2020CUST-YTD'!I:I)</f>
        <v>0</v>
      </c>
      <c r="AS23" s="1">
        <f>SUMIF('Input 4_2020CUST-YTD'!$S:$S,$G23,'Input 4_2020CUST-YTD'!J:J)</f>
        <v>0</v>
      </c>
      <c r="AT23" s="1">
        <f>SUMIF('Input 4_2020CUST-YTD'!$S:$S,$G23,'Input 4_2020CUST-YTD'!K:K)</f>
        <v>0</v>
      </c>
      <c r="AU23" s="1">
        <f>SUMIF('Input 4_2020CUST-YTD'!$S:$S,$G23,'Input 4_2020CUST-YTD'!L:L)</f>
        <v>0</v>
      </c>
      <c r="AV23" s="1">
        <f>SUMIF('Input 4_2020CUST-YTD'!$S:$S,$G23,'Input 4_2020CUST-YTD'!M:M)</f>
        <v>0</v>
      </c>
      <c r="AW23" s="1">
        <f>SUMIF('Input 4_2020CUST-YTD'!$S:$S,$G23,'Input 4_2020CUST-YTD'!N:N)</f>
        <v>0</v>
      </c>
      <c r="AX23" s="1">
        <f>SUMIF('Input 5_2021CUST-YTD'!$S:$S,$G23,'Input 5_2021CUST-YTD'!C:C)</f>
        <v>0</v>
      </c>
      <c r="AY23" s="1">
        <f>SUMIF('Input 5_2021CUST-YTD'!$S:$S,$G23,'Input 5_2021CUST-YTD'!D:D)</f>
        <v>0</v>
      </c>
      <c r="AZ23" s="1">
        <f>SUMIF('Input 5_2021CUST-YTD'!$S:$S,$G23,'Input 5_2021CUST-YTD'!E:E)</f>
        <v>0</v>
      </c>
      <c r="BA23" s="1">
        <f>SUMIF('Input 5_2021CUST-YTD'!$S:$S,$G23,'Input 5_2021CUST-YTD'!F:F)</f>
        <v>0</v>
      </c>
      <c r="BB23" s="1">
        <f>SUMIF('Input 5_2021CUST-YTD'!$S:$S,$G23,'Input 5_2021CUST-YTD'!G:G)</f>
        <v>0</v>
      </c>
      <c r="BC23" s="1">
        <f>SUMIF('Input 5_2021CUST-YTD'!$S:$S,$G23,'Input 5_2021CUST-YTD'!H:H)</f>
        <v>0</v>
      </c>
      <c r="BD23" s="1">
        <f>SUMIF('Input 5_2021CUST-YTD'!$S:$S,$G23,'Input 5_2021CUST-YTD'!I:I)</f>
        <v>0</v>
      </c>
      <c r="BE23" s="1">
        <f>SUMIF('Input 5_2021CUST-YTD'!$S:$S,$G23,'Input 5_2021CUST-YTD'!J:J)</f>
        <v>0</v>
      </c>
      <c r="BF23" s="1">
        <f>SUMIF('Input 5_2021CUST-YTD'!$S:$S,$G23,'Input 5_2021CUST-YTD'!K:K)</f>
        <v>0</v>
      </c>
      <c r="BG23" s="1">
        <f>SUMIF('Input 5_2021CUST-YTD'!$S:$S,$G23,'Input 5_2021CUST-YTD'!L:L)</f>
        <v>0</v>
      </c>
      <c r="BH23" s="1">
        <f>SUMIF('Input 5_2021CUST-YTD'!$S:$S,$G23,'Input 5_2021CUST-YTD'!M:M)</f>
        <v>0</v>
      </c>
      <c r="BI23" s="1">
        <f>SUMIF('Input 5_2021CUST-YTD'!$S:$S,$G23,'Input 5_2021CUST-YTD'!N:N)</f>
        <v>0</v>
      </c>
      <c r="BJ23" s="190">
        <f t="shared" si="8"/>
        <v>0</v>
      </c>
      <c r="BK23" s="190">
        <f t="shared" si="9"/>
        <v>0</v>
      </c>
      <c r="BL23" s="190">
        <f t="shared" si="10"/>
        <v>0</v>
      </c>
      <c r="BM23" s="190">
        <f t="shared" si="11"/>
        <v>0</v>
      </c>
      <c r="BN23" s="190">
        <f t="shared" si="12"/>
        <v>0</v>
      </c>
      <c r="BO23" s="190">
        <f t="shared" si="13"/>
        <v>0</v>
      </c>
      <c r="BP23" s="190">
        <f t="shared" si="14"/>
        <v>0</v>
      </c>
      <c r="BQ23" s="190">
        <f t="shared" si="15"/>
        <v>0</v>
      </c>
      <c r="BR23" s="190">
        <f t="shared" si="16"/>
        <v>0</v>
      </c>
      <c r="BS23" s="190">
        <f t="shared" si="17"/>
        <v>0</v>
      </c>
      <c r="BT23" s="190">
        <f t="shared" si="18"/>
        <v>0</v>
      </c>
      <c r="BU23" s="190">
        <f t="shared" si="19"/>
        <v>0</v>
      </c>
      <c r="BV23" s="190">
        <f t="shared" si="20"/>
        <v>0</v>
      </c>
      <c r="BW23" s="190">
        <f t="shared" si="21"/>
        <v>0</v>
      </c>
      <c r="BX23" s="190">
        <f t="shared" si="22"/>
        <v>0</v>
      </c>
      <c r="BY23" s="190">
        <f t="shared" si="23"/>
        <v>0</v>
      </c>
      <c r="BZ23" s="190">
        <f t="shared" si="24"/>
        <v>0</v>
      </c>
      <c r="CA23" s="190">
        <f t="shared" si="25"/>
        <v>0</v>
      </c>
      <c r="CB23" s="190">
        <f t="shared" si="26"/>
        <v>0</v>
      </c>
      <c r="CC23" s="190">
        <f t="shared" si="27"/>
        <v>0</v>
      </c>
      <c r="CD23" s="190">
        <f t="shared" si="28"/>
        <v>0</v>
      </c>
      <c r="CE23" s="190">
        <f t="shared" si="29"/>
        <v>0</v>
      </c>
      <c r="CF23" s="190">
        <f t="shared" si="30"/>
        <v>0</v>
      </c>
      <c r="CG23" s="190">
        <f t="shared" si="31"/>
        <v>0</v>
      </c>
      <c r="CH23" s="264"/>
      <c r="CI23" s="264">
        <f t="shared" si="1"/>
        <v>0</v>
      </c>
      <c r="CJ23" s="264">
        <f t="shared" si="2"/>
        <v>0</v>
      </c>
      <c r="CK23" s="264">
        <f t="shared" si="3"/>
        <v>0</v>
      </c>
      <c r="CL23" s="264">
        <f t="shared" si="4"/>
        <v>0</v>
      </c>
      <c r="CM23" s="264">
        <f t="shared" si="5"/>
        <v>0</v>
      </c>
      <c r="CN23" s="264">
        <f t="shared" si="6"/>
        <v>0</v>
      </c>
      <c r="CP23" s="574">
        <f>SUMIF('Master '!D:D,D23,'Master '!AB:AB)</f>
        <v>0</v>
      </c>
      <c r="CQ23" s="574">
        <f>SUMIF('Master '!D:D,D23,'Master '!AC:AC)</f>
        <v>0</v>
      </c>
      <c r="CR23" s="264">
        <f t="shared" si="7"/>
        <v>0</v>
      </c>
      <c r="CS23" s="264">
        <f t="shared" si="7"/>
        <v>0</v>
      </c>
    </row>
    <row r="24" spans="1:97" s="261" customFormat="1">
      <c r="A24" s="55" t="s">
        <v>15</v>
      </c>
      <c r="B24" s="55" t="s">
        <v>993</v>
      </c>
      <c r="C24" s="55" t="s">
        <v>1245</v>
      </c>
      <c r="D24" s="55" t="s">
        <v>50</v>
      </c>
      <c r="E24" s="55" t="str">
        <f>VLOOKUP(D24,'Input 14_Ref Table'!C:D,2,FALSE)</f>
        <v>GIT92</v>
      </c>
      <c r="F24" s="172" t="s">
        <v>1286</v>
      </c>
      <c r="G24" s="55" t="str">
        <f>VLOOKUP(D24,'Input 14_Ref Table'!C:I,7,FALSE)</f>
        <v>FPU - FPU - ITS</v>
      </c>
      <c r="H24" s="55" t="str">
        <f>VLOOKUP(D24,'Input 14_Ref Table'!C:K,8,FALSE)</f>
        <v>Base Period</v>
      </c>
      <c r="I24" s="55"/>
      <c r="J24" s="261" t="str">
        <f>INDEX('Master '!$AD$2:AD$65,MATCH(D24,'Master '!$D$2:$D$65,0))</f>
        <v>Base Period</v>
      </c>
      <c r="K24" s="567">
        <f>INDEX('Master '!$N$2:N$65,MATCH(D24,'Master '!$D$2:$D$65,0))</f>
        <v>0</v>
      </c>
      <c r="L24" s="290">
        <f>INDEX('Master '!$S$2:S$65,MATCH(D24,'Master '!$D$2:$D$65,0))</f>
        <v>0</v>
      </c>
      <c r="M24" s="1">
        <f>INDEX('Master '!$W$2:W$65,MATCH(D24,'Master '!$D$2:$D$65,0))</f>
        <v>530317.79888888879</v>
      </c>
      <c r="N24" s="55">
        <f>SUMIF('Input 16_2018CUST-YTD'!$S:$S,$G24,'Input 16_2018CUST-YTD'!C:C)</f>
        <v>17</v>
      </c>
      <c r="O24" s="55">
        <f>SUMIF('Input 16_2018CUST-YTD'!$S:$S,$G24,'Input 16_2018CUST-YTD'!D:D)</f>
        <v>17</v>
      </c>
      <c r="P24" s="55">
        <f>SUMIF('Input 16_2018CUST-YTD'!$S:$S,$G24,'Input 16_2018CUST-YTD'!E:E)</f>
        <v>17</v>
      </c>
      <c r="Q24" s="55">
        <f>SUMIF('Input 16_2018CUST-YTD'!$S:$S,$G24,'Input 16_2018CUST-YTD'!F:F)</f>
        <v>17</v>
      </c>
      <c r="R24" s="55">
        <f>SUMIF('Input 16_2018CUST-YTD'!$S:$S,$G24,'Input 16_2018CUST-YTD'!G:G)</f>
        <v>17</v>
      </c>
      <c r="S24" s="55">
        <f>SUMIF('Input 16_2018CUST-YTD'!$S:$S,$G24,'Input 16_2018CUST-YTD'!H:H)</f>
        <v>17</v>
      </c>
      <c r="T24" s="55">
        <f>SUMIF('Input 16_2018CUST-YTD'!$S:$S,$G24,'Input 16_2018CUST-YTD'!I:I)</f>
        <v>17</v>
      </c>
      <c r="U24" s="55">
        <f>SUMIF('Input 16_2018CUST-YTD'!$S:$S,$G24,'Input 16_2018CUST-YTD'!J:J)</f>
        <v>17</v>
      </c>
      <c r="V24" s="55">
        <f>SUMIF('Input 16_2018CUST-YTD'!$S:$S,$G24,'Input 16_2018CUST-YTD'!K:K)</f>
        <v>18</v>
      </c>
      <c r="W24" s="55">
        <f>SUMIF('Input 16_2018CUST-YTD'!$S:$S,$G24,'Input 16_2018CUST-YTD'!L:L)</f>
        <v>18</v>
      </c>
      <c r="X24" s="55">
        <f>SUMIF('Input 16_2018CUST-YTD'!$S:$S,$G24,'Input 16_2018CUST-YTD'!M:M)</f>
        <v>18</v>
      </c>
      <c r="Y24" s="55">
        <f>SUMIF('Input 16_2018CUST-YTD'!$S:$S,$G24,'Input 16_2018CUST-YTD'!N:N)</f>
        <v>17</v>
      </c>
      <c r="Z24" s="1">
        <f>SUMIF('Input 3_2019CUST-YTD'!$S:$S,$G24,'Input 3_2019CUST-YTD'!C:C)</f>
        <v>18</v>
      </c>
      <c r="AA24" s="1">
        <f>SUMIF('Input 3_2019CUST-YTD'!$S:$S,$G24,'Input 3_2019CUST-YTD'!D:D)</f>
        <v>18</v>
      </c>
      <c r="AB24" s="1">
        <f>SUMIF('Input 3_2019CUST-YTD'!$S:$S,$G24,'Input 3_2019CUST-YTD'!E:E)</f>
        <v>18</v>
      </c>
      <c r="AC24" s="1">
        <f>SUMIF('Input 3_2019CUST-YTD'!$S:$S,$G24,'Input 3_2019CUST-YTD'!F:F)</f>
        <v>18</v>
      </c>
      <c r="AD24" s="1">
        <f>SUMIF('Input 3_2019CUST-YTD'!$S:$S,$G24,'Input 3_2019CUST-YTD'!G:G)</f>
        <v>18</v>
      </c>
      <c r="AE24" s="1">
        <f>SUMIF('Input 3_2019CUST-YTD'!$S:$S,$G24,'Input 3_2019CUST-YTD'!H:H)</f>
        <v>18</v>
      </c>
      <c r="AF24" s="1">
        <f>SUMIF('Input 3_2019CUST-YTD'!$S:$S,$G24,'Input 3_2019CUST-YTD'!I:I)</f>
        <v>18</v>
      </c>
      <c r="AG24" s="1">
        <f>SUMIF('Input 3_2019CUST-YTD'!$S:$S,$G24,'Input 3_2019CUST-YTD'!J:J)</f>
        <v>18</v>
      </c>
      <c r="AH24" s="1">
        <f>SUMIF('Input 3_2019CUST-YTD'!$S:$S,$G24,'Input 3_2019CUST-YTD'!K:K)</f>
        <v>18</v>
      </c>
      <c r="AI24" s="1">
        <f>SUMIF('Input 3_2019CUST-YTD'!$S:$S,$G24,'Input 3_2019CUST-YTD'!L:L)</f>
        <v>18</v>
      </c>
      <c r="AJ24" s="1">
        <f>SUMIF('Input 3_2019CUST-YTD'!$S:$S,$G24,'Input 3_2019CUST-YTD'!M:M)</f>
        <v>18</v>
      </c>
      <c r="AK24" s="1">
        <f>SUMIF('Input 3_2019CUST-YTD'!$S:$S,$G24,'Input 3_2019CUST-YTD'!N:N)</f>
        <v>18</v>
      </c>
      <c r="AL24" s="1">
        <f>SUMIF('Input 4_2020CUST-YTD'!$S:$S,$G24,'Input 4_2020CUST-YTD'!C:C)</f>
        <v>19</v>
      </c>
      <c r="AM24" s="1">
        <f>SUMIF('Input 4_2020CUST-YTD'!$S:$S,$G24,'Input 4_2020CUST-YTD'!D:D)</f>
        <v>18</v>
      </c>
      <c r="AN24" s="1">
        <f>SUMIF('Input 4_2020CUST-YTD'!$S:$S,$G24,'Input 4_2020CUST-YTD'!E:E)</f>
        <v>18</v>
      </c>
      <c r="AO24" s="1">
        <f>SUMIF('Input 4_2020CUST-YTD'!$S:$S,$G24,'Input 4_2020CUST-YTD'!F:F)</f>
        <v>18</v>
      </c>
      <c r="AP24" s="1">
        <f>SUMIF('Input 4_2020CUST-YTD'!$S:$S,$G24,'Input 4_2020CUST-YTD'!G:G)</f>
        <v>18</v>
      </c>
      <c r="AQ24" s="1">
        <f>SUMIF('Input 4_2020CUST-YTD'!$S:$S,$G24,'Input 4_2020CUST-YTD'!H:H)</f>
        <v>18</v>
      </c>
      <c r="AR24" s="1">
        <f>SUMIF('Input 4_2020CUST-YTD'!$S:$S,$G24,'Input 4_2020CUST-YTD'!I:I)</f>
        <v>18</v>
      </c>
      <c r="AS24" s="1">
        <f>SUMIF('Input 4_2020CUST-YTD'!$S:$S,$G24,'Input 4_2020CUST-YTD'!J:J)</f>
        <v>18</v>
      </c>
      <c r="AT24" s="1">
        <f>SUMIF('Input 4_2020CUST-YTD'!$S:$S,$G24,'Input 4_2020CUST-YTD'!K:K)</f>
        <v>18</v>
      </c>
      <c r="AU24" s="1">
        <f>SUMIF('Input 4_2020CUST-YTD'!$S:$S,$G24,'Input 4_2020CUST-YTD'!L:L)</f>
        <v>18</v>
      </c>
      <c r="AV24" s="1">
        <f>SUMIF('Input 4_2020CUST-YTD'!$S:$S,$G24,'Input 4_2020CUST-YTD'!M:M)</f>
        <v>18</v>
      </c>
      <c r="AW24" s="1">
        <f>SUMIF('Input 4_2020CUST-YTD'!$S:$S,$G24,'Input 4_2020CUST-YTD'!N:N)</f>
        <v>18</v>
      </c>
      <c r="AX24" s="1">
        <f>SUMIF('Input 5_2021CUST-YTD'!$S:$S,$G24,'Input 5_2021CUST-YTD'!C:C)</f>
        <v>18</v>
      </c>
      <c r="AY24" s="1">
        <f>SUMIF('Input 5_2021CUST-YTD'!$S:$S,$G24,'Input 5_2021CUST-YTD'!D:D)</f>
        <v>18</v>
      </c>
      <c r="AZ24" s="1">
        <f>SUMIF('Input 5_2021CUST-YTD'!$S:$S,$G24,'Input 5_2021CUST-YTD'!E:E)</f>
        <v>19</v>
      </c>
      <c r="BA24" s="1">
        <f>SUMIF('Input 5_2021CUST-YTD'!$S:$S,$G24,'Input 5_2021CUST-YTD'!F:F)</f>
        <v>17</v>
      </c>
      <c r="BB24" s="1">
        <f>SUMIF('Input 5_2021CUST-YTD'!$S:$S,$G24,'Input 5_2021CUST-YTD'!G:G)</f>
        <v>18</v>
      </c>
      <c r="BC24" s="1">
        <f>SUMIF('Input 5_2021CUST-YTD'!$S:$S,$G24,'Input 5_2021CUST-YTD'!H:H)</f>
        <v>18</v>
      </c>
      <c r="BD24" s="1">
        <f>SUMIF('Input 5_2021CUST-YTD'!$S:$S,$G24,'Input 5_2021CUST-YTD'!I:I)</f>
        <v>18</v>
      </c>
      <c r="BE24" s="1">
        <f>SUMIF('Input 5_2021CUST-YTD'!$S:$S,$G24,'Input 5_2021CUST-YTD'!J:J)</f>
        <v>18</v>
      </c>
      <c r="BF24" s="1">
        <f>SUMIF('Input 5_2021CUST-YTD'!$S:$S,$G24,'Input 5_2021CUST-YTD'!K:K)</f>
        <v>18</v>
      </c>
      <c r="BG24" s="1">
        <f>SUMIF('Input 5_2021CUST-YTD'!$S:$S,$G24,'Input 5_2021CUST-YTD'!L:L)</f>
        <v>18</v>
      </c>
      <c r="BH24" s="1">
        <f>SUMIF('Input 5_2021CUST-YTD'!$S:$S,$G24,'Input 5_2021CUST-YTD'!M:M)</f>
        <v>18</v>
      </c>
      <c r="BI24" s="1">
        <f>SUMIF('Input 5_2021CUST-YTD'!$S:$S,$G24,'Input 5_2021CUST-YTD'!N:N)</f>
        <v>18</v>
      </c>
      <c r="BJ24" s="190">
        <f t="shared" si="8"/>
        <v>18</v>
      </c>
      <c r="BK24" s="190">
        <f t="shared" si="9"/>
        <v>18</v>
      </c>
      <c r="BL24" s="190">
        <f t="shared" si="10"/>
        <v>19</v>
      </c>
      <c r="BM24" s="190">
        <f t="shared" si="11"/>
        <v>17</v>
      </c>
      <c r="BN24" s="190">
        <f t="shared" si="12"/>
        <v>18</v>
      </c>
      <c r="BO24" s="190">
        <f t="shared" si="13"/>
        <v>18</v>
      </c>
      <c r="BP24" s="190">
        <f t="shared" si="14"/>
        <v>18</v>
      </c>
      <c r="BQ24" s="190">
        <f t="shared" si="15"/>
        <v>18</v>
      </c>
      <c r="BR24" s="190">
        <f t="shared" si="16"/>
        <v>18</v>
      </c>
      <c r="BS24" s="190">
        <f t="shared" si="17"/>
        <v>18</v>
      </c>
      <c r="BT24" s="190">
        <f t="shared" si="18"/>
        <v>18</v>
      </c>
      <c r="BU24" s="190">
        <f t="shared" si="19"/>
        <v>18</v>
      </c>
      <c r="BV24" s="190">
        <f t="shared" si="20"/>
        <v>18</v>
      </c>
      <c r="BW24" s="190">
        <f t="shared" si="21"/>
        <v>18</v>
      </c>
      <c r="BX24" s="190">
        <f t="shared" si="22"/>
        <v>19</v>
      </c>
      <c r="BY24" s="190">
        <f t="shared" si="23"/>
        <v>17</v>
      </c>
      <c r="BZ24" s="190">
        <f t="shared" si="24"/>
        <v>18</v>
      </c>
      <c r="CA24" s="190">
        <f t="shared" si="25"/>
        <v>18</v>
      </c>
      <c r="CB24" s="190">
        <f t="shared" si="26"/>
        <v>18</v>
      </c>
      <c r="CC24" s="190">
        <f t="shared" si="27"/>
        <v>18</v>
      </c>
      <c r="CD24" s="190">
        <f t="shared" si="28"/>
        <v>18</v>
      </c>
      <c r="CE24" s="190">
        <f t="shared" si="29"/>
        <v>18</v>
      </c>
      <c r="CF24" s="190">
        <f t="shared" si="30"/>
        <v>18</v>
      </c>
      <c r="CG24" s="190">
        <f t="shared" si="31"/>
        <v>18</v>
      </c>
      <c r="CH24" s="264"/>
      <c r="CI24" s="264">
        <f t="shared" si="1"/>
        <v>207</v>
      </c>
      <c r="CJ24" s="264">
        <f t="shared" si="2"/>
        <v>216</v>
      </c>
      <c r="CK24" s="264">
        <f t="shared" si="3"/>
        <v>217</v>
      </c>
      <c r="CL24" s="264">
        <f t="shared" si="4"/>
        <v>216</v>
      </c>
      <c r="CM24" s="264">
        <f t="shared" si="5"/>
        <v>216</v>
      </c>
      <c r="CN24" s="264">
        <f t="shared" si="6"/>
        <v>216</v>
      </c>
      <c r="CP24" s="574">
        <f>SUMIF('Master '!D:D,D24,'Master '!AB:AB)</f>
        <v>216</v>
      </c>
      <c r="CQ24" s="574">
        <f>SUMIF('Master '!D:D,D24,'Master '!AC:AC)</f>
        <v>216</v>
      </c>
      <c r="CR24" s="264">
        <f t="shared" si="7"/>
        <v>0</v>
      </c>
      <c r="CS24" s="264">
        <f t="shared" si="7"/>
        <v>0</v>
      </c>
    </row>
    <row r="25" spans="1:97" s="261" customFormat="1">
      <c r="A25" s="55" t="s">
        <v>15</v>
      </c>
      <c r="B25" s="55" t="s">
        <v>994</v>
      </c>
      <c r="C25" s="55" t="s">
        <v>1245</v>
      </c>
      <c r="D25" s="55" t="s">
        <v>52</v>
      </c>
      <c r="E25" s="55" t="str">
        <f>VLOOKUP(D25,'Input 14_Ref Table'!C:D,2,FALSE)</f>
        <v>GCNGV</v>
      </c>
      <c r="F25" s="172" t="s">
        <v>1286</v>
      </c>
      <c r="G25" s="55" t="str">
        <f>VLOOKUP(D25,'Input 14_Ref Table'!C:I,7,FALSE)</f>
        <v>FPU - FPU-NGVS</v>
      </c>
      <c r="H25" s="55" t="str">
        <f>VLOOKUP(D25,'Input 14_Ref Table'!C:K,8,FALSE)</f>
        <v>Base Period</v>
      </c>
      <c r="I25" s="55"/>
      <c r="J25" s="261" t="str">
        <f>INDEX('Master '!$AD$2:AD$65,MATCH(D25,'Master '!$D$2:$D$65,0))</f>
        <v>Base Period</v>
      </c>
      <c r="K25" s="567">
        <f>INDEX('Master '!$N$2:N$65,MATCH(D25,'Master '!$D$2:$D$65,0))</f>
        <v>0</v>
      </c>
      <c r="L25" s="290">
        <f>INDEX('Master '!$S$2:S$65,MATCH(D25,'Master '!$D$2:$D$65,0))</f>
        <v>0</v>
      </c>
      <c r="M25" s="1">
        <f>INDEX('Master '!$W$2:W$65,MATCH(D25,'Master '!$D$2:$D$65,0))</f>
        <v>0</v>
      </c>
      <c r="N25" s="55">
        <f>SUMIF('Input 16_2018CUST-YTD'!$S:$S,$G25,'Input 16_2018CUST-YTD'!C:C)</f>
        <v>0</v>
      </c>
      <c r="O25" s="55">
        <f>SUMIF('Input 16_2018CUST-YTD'!$S:$S,$G25,'Input 16_2018CUST-YTD'!D:D)</f>
        <v>0</v>
      </c>
      <c r="P25" s="55">
        <f>SUMIF('Input 16_2018CUST-YTD'!$S:$S,$G25,'Input 16_2018CUST-YTD'!E:E)</f>
        <v>0</v>
      </c>
      <c r="Q25" s="55">
        <f>SUMIF('Input 16_2018CUST-YTD'!$S:$S,$G25,'Input 16_2018CUST-YTD'!F:F)</f>
        <v>0</v>
      </c>
      <c r="R25" s="55">
        <f>SUMIF('Input 16_2018CUST-YTD'!$S:$S,$G25,'Input 16_2018CUST-YTD'!G:G)</f>
        <v>0</v>
      </c>
      <c r="S25" s="55">
        <f>SUMIF('Input 16_2018CUST-YTD'!$S:$S,$G25,'Input 16_2018CUST-YTD'!H:H)</f>
        <v>0</v>
      </c>
      <c r="T25" s="55">
        <f>SUMIF('Input 16_2018CUST-YTD'!$S:$S,$G25,'Input 16_2018CUST-YTD'!I:I)</f>
        <v>0</v>
      </c>
      <c r="U25" s="55">
        <f>SUMIF('Input 16_2018CUST-YTD'!$S:$S,$G25,'Input 16_2018CUST-YTD'!J:J)</f>
        <v>0</v>
      </c>
      <c r="V25" s="55">
        <f>SUMIF('Input 16_2018CUST-YTD'!$S:$S,$G25,'Input 16_2018CUST-YTD'!K:K)</f>
        <v>0</v>
      </c>
      <c r="W25" s="55">
        <f>SUMIF('Input 16_2018CUST-YTD'!$S:$S,$G25,'Input 16_2018CUST-YTD'!L:L)</f>
        <v>0</v>
      </c>
      <c r="X25" s="55">
        <f>SUMIF('Input 16_2018CUST-YTD'!$S:$S,$G25,'Input 16_2018CUST-YTD'!M:M)</f>
        <v>0</v>
      </c>
      <c r="Y25" s="55">
        <f>SUMIF('Input 16_2018CUST-YTD'!$S:$S,$G25,'Input 16_2018CUST-YTD'!N:N)</f>
        <v>0</v>
      </c>
      <c r="Z25" s="1">
        <f>SUMIF('Input 3_2019CUST-YTD'!$S:$S,$G25,'Input 3_2019CUST-YTD'!C:C)</f>
        <v>0</v>
      </c>
      <c r="AA25" s="1">
        <f>SUMIF('Input 3_2019CUST-YTD'!$S:$S,$G25,'Input 3_2019CUST-YTD'!D:D)</f>
        <v>0</v>
      </c>
      <c r="AB25" s="1">
        <f>SUMIF('Input 3_2019CUST-YTD'!$S:$S,$G25,'Input 3_2019CUST-YTD'!E:E)</f>
        <v>0</v>
      </c>
      <c r="AC25" s="1">
        <f>SUMIF('Input 3_2019CUST-YTD'!$S:$S,$G25,'Input 3_2019CUST-YTD'!F:F)</f>
        <v>0</v>
      </c>
      <c r="AD25" s="1">
        <f>SUMIF('Input 3_2019CUST-YTD'!$S:$S,$G25,'Input 3_2019CUST-YTD'!G:G)</f>
        <v>0</v>
      </c>
      <c r="AE25" s="1">
        <f>SUMIF('Input 3_2019CUST-YTD'!$S:$S,$G25,'Input 3_2019CUST-YTD'!H:H)</f>
        <v>0</v>
      </c>
      <c r="AF25" s="1">
        <f>SUMIF('Input 3_2019CUST-YTD'!$S:$S,$G25,'Input 3_2019CUST-YTD'!I:I)</f>
        <v>0</v>
      </c>
      <c r="AG25" s="1">
        <f>SUMIF('Input 3_2019CUST-YTD'!$S:$S,$G25,'Input 3_2019CUST-YTD'!J:J)</f>
        <v>0</v>
      </c>
      <c r="AH25" s="1">
        <f>SUMIF('Input 3_2019CUST-YTD'!$S:$S,$G25,'Input 3_2019CUST-YTD'!K:K)</f>
        <v>0</v>
      </c>
      <c r="AI25" s="1">
        <f>SUMIF('Input 3_2019CUST-YTD'!$S:$S,$G25,'Input 3_2019CUST-YTD'!L:L)</f>
        <v>0</v>
      </c>
      <c r="AJ25" s="1">
        <f>SUMIF('Input 3_2019CUST-YTD'!$S:$S,$G25,'Input 3_2019CUST-YTD'!M:M)</f>
        <v>0</v>
      </c>
      <c r="AK25" s="1">
        <f>SUMIF('Input 3_2019CUST-YTD'!$S:$S,$G25,'Input 3_2019CUST-YTD'!N:N)</f>
        <v>0</v>
      </c>
      <c r="AL25" s="1">
        <f>SUMIF('Input 4_2020CUST-YTD'!$S:$S,$G25,'Input 4_2020CUST-YTD'!C:C)</f>
        <v>0</v>
      </c>
      <c r="AM25" s="1">
        <f>SUMIF('Input 4_2020CUST-YTD'!$S:$S,$G25,'Input 4_2020CUST-YTD'!D:D)</f>
        <v>0</v>
      </c>
      <c r="AN25" s="1">
        <f>SUMIF('Input 4_2020CUST-YTD'!$S:$S,$G25,'Input 4_2020CUST-YTD'!E:E)</f>
        <v>0</v>
      </c>
      <c r="AO25" s="1">
        <f>SUMIF('Input 4_2020CUST-YTD'!$S:$S,$G25,'Input 4_2020CUST-YTD'!F:F)</f>
        <v>0</v>
      </c>
      <c r="AP25" s="1">
        <f>SUMIF('Input 4_2020CUST-YTD'!$S:$S,$G25,'Input 4_2020CUST-YTD'!G:G)</f>
        <v>0</v>
      </c>
      <c r="AQ25" s="1">
        <f>SUMIF('Input 4_2020CUST-YTD'!$S:$S,$G25,'Input 4_2020CUST-YTD'!H:H)</f>
        <v>0</v>
      </c>
      <c r="AR25" s="1">
        <f>SUMIF('Input 4_2020CUST-YTD'!$S:$S,$G25,'Input 4_2020CUST-YTD'!I:I)</f>
        <v>0</v>
      </c>
      <c r="AS25" s="1">
        <f>SUMIF('Input 4_2020CUST-YTD'!$S:$S,$G25,'Input 4_2020CUST-YTD'!J:J)</f>
        <v>0</v>
      </c>
      <c r="AT25" s="1">
        <f>SUMIF('Input 4_2020CUST-YTD'!$S:$S,$G25,'Input 4_2020CUST-YTD'!K:K)</f>
        <v>0</v>
      </c>
      <c r="AU25" s="1">
        <f>SUMIF('Input 4_2020CUST-YTD'!$S:$S,$G25,'Input 4_2020CUST-YTD'!L:L)</f>
        <v>0</v>
      </c>
      <c r="AV25" s="1">
        <f>SUMIF('Input 4_2020CUST-YTD'!$S:$S,$G25,'Input 4_2020CUST-YTD'!M:M)</f>
        <v>0</v>
      </c>
      <c r="AW25" s="1">
        <f>SUMIF('Input 4_2020CUST-YTD'!$S:$S,$G25,'Input 4_2020CUST-YTD'!N:N)</f>
        <v>0</v>
      </c>
      <c r="AX25" s="1">
        <f>SUMIF('Input 5_2021CUST-YTD'!$S:$S,$G25,'Input 5_2021CUST-YTD'!C:C)</f>
        <v>0</v>
      </c>
      <c r="AY25" s="1">
        <f>SUMIF('Input 5_2021CUST-YTD'!$S:$S,$G25,'Input 5_2021CUST-YTD'!D:D)</f>
        <v>0</v>
      </c>
      <c r="AZ25" s="1">
        <f>SUMIF('Input 5_2021CUST-YTD'!$S:$S,$G25,'Input 5_2021CUST-YTD'!E:E)</f>
        <v>0</v>
      </c>
      <c r="BA25" s="1">
        <f>SUMIF('Input 5_2021CUST-YTD'!$S:$S,$G25,'Input 5_2021CUST-YTD'!F:F)</f>
        <v>0</v>
      </c>
      <c r="BB25" s="1">
        <f>SUMIF('Input 5_2021CUST-YTD'!$S:$S,$G25,'Input 5_2021CUST-YTD'!G:G)</f>
        <v>0</v>
      </c>
      <c r="BC25" s="1">
        <f>SUMIF('Input 5_2021CUST-YTD'!$S:$S,$G25,'Input 5_2021CUST-YTD'!H:H)</f>
        <v>0</v>
      </c>
      <c r="BD25" s="1">
        <f>SUMIF('Input 5_2021CUST-YTD'!$S:$S,$G25,'Input 5_2021CUST-YTD'!I:I)</f>
        <v>0</v>
      </c>
      <c r="BE25" s="1">
        <f>SUMIF('Input 5_2021CUST-YTD'!$S:$S,$G25,'Input 5_2021CUST-YTD'!J:J)</f>
        <v>0</v>
      </c>
      <c r="BF25" s="1">
        <f>SUMIF('Input 5_2021CUST-YTD'!$S:$S,$G25,'Input 5_2021CUST-YTD'!K:K)</f>
        <v>0</v>
      </c>
      <c r="BG25" s="1">
        <f>SUMIF('Input 5_2021CUST-YTD'!$S:$S,$G25,'Input 5_2021CUST-YTD'!L:L)</f>
        <v>0</v>
      </c>
      <c r="BH25" s="1">
        <f>SUMIF('Input 5_2021CUST-YTD'!$S:$S,$G25,'Input 5_2021CUST-YTD'!M:M)</f>
        <v>0</v>
      </c>
      <c r="BI25" s="1">
        <f>SUMIF('Input 5_2021CUST-YTD'!$S:$S,$G25,'Input 5_2021CUST-YTD'!N:N)</f>
        <v>0</v>
      </c>
      <c r="BJ25" s="190">
        <f t="shared" si="8"/>
        <v>0</v>
      </c>
      <c r="BK25" s="190">
        <f t="shared" si="9"/>
        <v>0</v>
      </c>
      <c r="BL25" s="190">
        <f t="shared" si="10"/>
        <v>0</v>
      </c>
      <c r="BM25" s="190">
        <f t="shared" si="11"/>
        <v>0</v>
      </c>
      <c r="BN25" s="190">
        <f t="shared" si="12"/>
        <v>0</v>
      </c>
      <c r="BO25" s="190">
        <f t="shared" si="13"/>
        <v>0</v>
      </c>
      <c r="BP25" s="190">
        <f t="shared" si="14"/>
        <v>0</v>
      </c>
      <c r="BQ25" s="190">
        <f t="shared" si="15"/>
        <v>0</v>
      </c>
      <c r="BR25" s="190">
        <f t="shared" si="16"/>
        <v>0</v>
      </c>
      <c r="BS25" s="190">
        <f t="shared" si="17"/>
        <v>0</v>
      </c>
      <c r="BT25" s="190">
        <f t="shared" si="18"/>
        <v>0</v>
      </c>
      <c r="BU25" s="190">
        <f t="shared" si="19"/>
        <v>0</v>
      </c>
      <c r="BV25" s="190">
        <f t="shared" si="20"/>
        <v>0</v>
      </c>
      <c r="BW25" s="190">
        <f t="shared" si="21"/>
        <v>0</v>
      </c>
      <c r="BX25" s="190">
        <f t="shared" si="22"/>
        <v>0</v>
      </c>
      <c r="BY25" s="190">
        <f t="shared" si="23"/>
        <v>0</v>
      </c>
      <c r="BZ25" s="190">
        <f t="shared" si="24"/>
        <v>0</v>
      </c>
      <c r="CA25" s="190">
        <f t="shared" si="25"/>
        <v>0</v>
      </c>
      <c r="CB25" s="190">
        <f t="shared" si="26"/>
        <v>0</v>
      </c>
      <c r="CC25" s="190">
        <f t="shared" si="27"/>
        <v>0</v>
      </c>
      <c r="CD25" s="190">
        <f t="shared" si="28"/>
        <v>0</v>
      </c>
      <c r="CE25" s="190">
        <f t="shared" si="29"/>
        <v>0</v>
      </c>
      <c r="CF25" s="190">
        <f t="shared" si="30"/>
        <v>0</v>
      </c>
      <c r="CG25" s="190">
        <f t="shared" si="31"/>
        <v>0</v>
      </c>
      <c r="CH25" s="264"/>
      <c r="CI25" s="264">
        <f t="shared" si="1"/>
        <v>0</v>
      </c>
      <c r="CJ25" s="264">
        <f t="shared" si="2"/>
        <v>0</v>
      </c>
      <c r="CK25" s="264">
        <f t="shared" si="3"/>
        <v>0</v>
      </c>
      <c r="CL25" s="264">
        <f t="shared" si="4"/>
        <v>0</v>
      </c>
      <c r="CM25" s="264">
        <f t="shared" si="5"/>
        <v>0</v>
      </c>
      <c r="CN25" s="264">
        <f t="shared" si="6"/>
        <v>0</v>
      </c>
      <c r="CP25" s="574">
        <f>SUMIF('Master '!D:D,D25,'Master '!AB:AB)</f>
        <v>0</v>
      </c>
      <c r="CQ25" s="574">
        <f>SUMIF('Master '!D:D,D25,'Master '!AC:AC)</f>
        <v>0</v>
      </c>
      <c r="CR25" s="264">
        <f t="shared" si="7"/>
        <v>0</v>
      </c>
      <c r="CS25" s="264">
        <f t="shared" si="7"/>
        <v>0</v>
      </c>
    </row>
    <row r="26" spans="1:97" s="261" customFormat="1">
      <c r="A26" s="55" t="s">
        <v>15</v>
      </c>
      <c r="B26" s="55" t="s">
        <v>993</v>
      </c>
      <c r="C26" s="55" t="s">
        <v>1245</v>
      </c>
      <c r="D26" s="55" t="s">
        <v>54</v>
      </c>
      <c r="E26" s="55" t="str">
        <f>VLOOKUP(D26,'Input 14_Ref Table'!C:D,2,FALSE)</f>
        <v>GTNGV</v>
      </c>
      <c r="F26" s="172" t="s">
        <v>1286</v>
      </c>
      <c r="G26" s="55" t="str">
        <f>VLOOKUP(D26,'Input 14_Ref Table'!C:I,7,FALSE)</f>
        <v>FPU - FPU- NGVTS</v>
      </c>
      <c r="H26" s="55" t="str">
        <f>VLOOKUP(D26,'Input 14_Ref Table'!C:K,8,FALSE)</f>
        <v>Base Period</v>
      </c>
      <c r="I26" s="55"/>
      <c r="J26" s="261" t="str">
        <f>INDEX('Master '!$AD$2:AD$65,MATCH(D26,'Master '!$D$2:$D$65,0))</f>
        <v>Historical Average</v>
      </c>
      <c r="K26" s="567">
        <f>INDEX('Master '!$N$2:N$65,MATCH(D26,'Master '!$D$2:$D$65,0))</f>
        <v>0</v>
      </c>
      <c r="L26" s="290">
        <f>INDEX('Master '!$S$2:S$65,MATCH(D26,'Master '!$D$2:$D$65,0))</f>
        <v>0</v>
      </c>
      <c r="M26" s="1">
        <f>INDEX('Master '!$W$2:W$65,MATCH(D26,'Master '!$D$2:$D$65,0))</f>
        <v>545656.96499999997</v>
      </c>
      <c r="N26" s="55">
        <f>SUMIF('Input 16_2018CUST-YTD'!$S:$S,$G26,'Input 16_2018CUST-YTD'!C:C)</f>
        <v>2</v>
      </c>
      <c r="O26" s="55">
        <f>SUMIF('Input 16_2018CUST-YTD'!$S:$S,$G26,'Input 16_2018CUST-YTD'!D:D)</f>
        <v>2</v>
      </c>
      <c r="P26" s="55">
        <f>SUMIF('Input 16_2018CUST-YTD'!$S:$S,$G26,'Input 16_2018CUST-YTD'!E:E)</f>
        <v>2</v>
      </c>
      <c r="Q26" s="55">
        <f>SUMIF('Input 16_2018CUST-YTD'!$S:$S,$G26,'Input 16_2018CUST-YTD'!F:F)</f>
        <v>2</v>
      </c>
      <c r="R26" s="55">
        <f>SUMIF('Input 16_2018CUST-YTD'!$S:$S,$G26,'Input 16_2018CUST-YTD'!G:G)</f>
        <v>2</v>
      </c>
      <c r="S26" s="55">
        <f>SUMIF('Input 16_2018CUST-YTD'!$S:$S,$G26,'Input 16_2018CUST-YTD'!H:H)</f>
        <v>2</v>
      </c>
      <c r="T26" s="55">
        <f>SUMIF('Input 16_2018CUST-YTD'!$S:$S,$G26,'Input 16_2018CUST-YTD'!I:I)</f>
        <v>2</v>
      </c>
      <c r="U26" s="55">
        <f>SUMIF('Input 16_2018CUST-YTD'!$S:$S,$G26,'Input 16_2018CUST-YTD'!J:J)</f>
        <v>2</v>
      </c>
      <c r="V26" s="55">
        <f>SUMIF('Input 16_2018CUST-YTD'!$S:$S,$G26,'Input 16_2018CUST-YTD'!K:K)</f>
        <v>2</v>
      </c>
      <c r="W26" s="55">
        <f>SUMIF('Input 16_2018CUST-YTD'!$S:$S,$G26,'Input 16_2018CUST-YTD'!L:L)</f>
        <v>2</v>
      </c>
      <c r="X26" s="55">
        <f>SUMIF('Input 16_2018CUST-YTD'!$S:$S,$G26,'Input 16_2018CUST-YTD'!M:M)</f>
        <v>2</v>
      </c>
      <c r="Y26" s="55">
        <f>SUMIF('Input 16_2018CUST-YTD'!$S:$S,$G26,'Input 16_2018CUST-YTD'!N:N)</f>
        <v>2</v>
      </c>
      <c r="Z26" s="1">
        <f>SUMIF('Input 3_2019CUST-YTD'!$S:$S,$G26,'Input 3_2019CUST-YTD'!C:C)</f>
        <v>2</v>
      </c>
      <c r="AA26" s="1">
        <f>SUMIF('Input 3_2019CUST-YTD'!$S:$S,$G26,'Input 3_2019CUST-YTD'!D:D)</f>
        <v>2</v>
      </c>
      <c r="AB26" s="1">
        <f>SUMIF('Input 3_2019CUST-YTD'!$S:$S,$G26,'Input 3_2019CUST-YTD'!E:E)</f>
        <v>2</v>
      </c>
      <c r="AC26" s="1">
        <f>SUMIF('Input 3_2019CUST-YTD'!$S:$S,$G26,'Input 3_2019CUST-YTD'!F:F)</f>
        <v>2</v>
      </c>
      <c r="AD26" s="1">
        <f>SUMIF('Input 3_2019CUST-YTD'!$S:$S,$G26,'Input 3_2019CUST-YTD'!G:G)</f>
        <v>2</v>
      </c>
      <c r="AE26" s="1">
        <f>SUMIF('Input 3_2019CUST-YTD'!$S:$S,$G26,'Input 3_2019CUST-YTD'!H:H)</f>
        <v>2</v>
      </c>
      <c r="AF26" s="1">
        <f>SUMIF('Input 3_2019CUST-YTD'!$S:$S,$G26,'Input 3_2019CUST-YTD'!I:I)</f>
        <v>2</v>
      </c>
      <c r="AG26" s="1">
        <f>SUMIF('Input 3_2019CUST-YTD'!$S:$S,$G26,'Input 3_2019CUST-YTD'!J:J)</f>
        <v>2</v>
      </c>
      <c r="AH26" s="1">
        <f>SUMIF('Input 3_2019CUST-YTD'!$S:$S,$G26,'Input 3_2019CUST-YTD'!K:K)</f>
        <v>2</v>
      </c>
      <c r="AI26" s="1">
        <f>SUMIF('Input 3_2019CUST-YTD'!$S:$S,$G26,'Input 3_2019CUST-YTD'!L:L)</f>
        <v>2</v>
      </c>
      <c r="AJ26" s="1">
        <f>SUMIF('Input 3_2019CUST-YTD'!$S:$S,$G26,'Input 3_2019CUST-YTD'!M:M)</f>
        <v>2</v>
      </c>
      <c r="AK26" s="1">
        <f>SUMIF('Input 3_2019CUST-YTD'!$S:$S,$G26,'Input 3_2019CUST-YTD'!N:N)</f>
        <v>2</v>
      </c>
      <c r="AL26" s="1">
        <f>SUMIF('Input 4_2020CUST-YTD'!$S:$S,$G26,'Input 4_2020CUST-YTD'!C:C)</f>
        <v>2</v>
      </c>
      <c r="AM26" s="1">
        <f>SUMIF('Input 4_2020CUST-YTD'!$S:$S,$G26,'Input 4_2020CUST-YTD'!D:D)</f>
        <v>2</v>
      </c>
      <c r="AN26" s="1">
        <f>SUMIF('Input 4_2020CUST-YTD'!$S:$S,$G26,'Input 4_2020CUST-YTD'!E:E)</f>
        <v>2</v>
      </c>
      <c r="AO26" s="1">
        <f>SUMIF('Input 4_2020CUST-YTD'!$S:$S,$G26,'Input 4_2020CUST-YTD'!F:F)</f>
        <v>2</v>
      </c>
      <c r="AP26" s="1">
        <f>SUMIF('Input 4_2020CUST-YTD'!$S:$S,$G26,'Input 4_2020CUST-YTD'!G:G)</f>
        <v>2</v>
      </c>
      <c r="AQ26" s="1">
        <f>SUMIF('Input 4_2020CUST-YTD'!$S:$S,$G26,'Input 4_2020CUST-YTD'!H:H)</f>
        <v>2</v>
      </c>
      <c r="AR26" s="1">
        <f>SUMIF('Input 4_2020CUST-YTD'!$S:$S,$G26,'Input 4_2020CUST-YTD'!I:I)</f>
        <v>2</v>
      </c>
      <c r="AS26" s="1">
        <f>SUMIF('Input 4_2020CUST-YTD'!$S:$S,$G26,'Input 4_2020CUST-YTD'!J:J)</f>
        <v>2</v>
      </c>
      <c r="AT26" s="1">
        <f>SUMIF('Input 4_2020CUST-YTD'!$S:$S,$G26,'Input 4_2020CUST-YTD'!K:K)</f>
        <v>2</v>
      </c>
      <c r="AU26" s="1">
        <f>SUMIF('Input 4_2020CUST-YTD'!$S:$S,$G26,'Input 4_2020CUST-YTD'!L:L)</f>
        <v>2</v>
      </c>
      <c r="AV26" s="1">
        <f>SUMIF('Input 4_2020CUST-YTD'!$S:$S,$G26,'Input 4_2020CUST-YTD'!M:M)</f>
        <v>2</v>
      </c>
      <c r="AW26" s="1">
        <f>SUMIF('Input 4_2020CUST-YTD'!$S:$S,$G26,'Input 4_2020CUST-YTD'!N:N)</f>
        <v>2</v>
      </c>
      <c r="AX26" s="1">
        <f>SUMIF('Input 5_2021CUST-YTD'!$S:$S,$G26,'Input 5_2021CUST-YTD'!C:C)</f>
        <v>2</v>
      </c>
      <c r="AY26" s="1">
        <f>SUMIF('Input 5_2021CUST-YTD'!$S:$S,$G26,'Input 5_2021CUST-YTD'!D:D)</f>
        <v>2</v>
      </c>
      <c r="AZ26" s="1">
        <f>SUMIF('Input 5_2021CUST-YTD'!$S:$S,$G26,'Input 5_2021CUST-YTD'!E:E)</f>
        <v>2</v>
      </c>
      <c r="BA26" s="1">
        <f>SUMIF('Input 5_2021CUST-YTD'!$S:$S,$G26,'Input 5_2021CUST-YTD'!F:F)</f>
        <v>2</v>
      </c>
      <c r="BB26" s="1">
        <f>SUMIF('Input 5_2021CUST-YTD'!$S:$S,$G26,'Input 5_2021CUST-YTD'!G:G)</f>
        <v>2</v>
      </c>
      <c r="BC26" s="1">
        <f>SUMIF('Input 5_2021CUST-YTD'!$S:$S,$G26,'Input 5_2021CUST-YTD'!H:H)</f>
        <v>2</v>
      </c>
      <c r="BD26" s="1">
        <f>SUMIF('Input 5_2021CUST-YTD'!$S:$S,$G26,'Input 5_2021CUST-YTD'!I:I)</f>
        <v>2</v>
      </c>
      <c r="BE26" s="1">
        <f>SUMIF('Input 5_2021CUST-YTD'!$S:$S,$G26,'Input 5_2021CUST-YTD'!J:J)</f>
        <v>2</v>
      </c>
      <c r="BF26" s="1">
        <f>SUMIF('Input 5_2021CUST-YTD'!$S:$S,$G26,'Input 5_2021CUST-YTD'!K:K)</f>
        <v>2</v>
      </c>
      <c r="BG26" s="1">
        <f>SUMIF('Input 5_2021CUST-YTD'!$S:$S,$G26,'Input 5_2021CUST-YTD'!L:L)</f>
        <v>2</v>
      </c>
      <c r="BH26" s="1">
        <f>SUMIF('Input 5_2021CUST-YTD'!$S:$S,$G26,'Input 5_2021CUST-YTD'!M:M)</f>
        <v>2</v>
      </c>
      <c r="BI26" s="1">
        <f>SUMIF('Input 5_2021CUST-YTD'!$S:$S,$G26,'Input 5_2021CUST-YTD'!N:N)</f>
        <v>2</v>
      </c>
      <c r="BJ26" s="190">
        <f t="shared" si="8"/>
        <v>2</v>
      </c>
      <c r="BK26" s="190">
        <f t="shared" si="9"/>
        <v>2</v>
      </c>
      <c r="BL26" s="190">
        <f t="shared" si="10"/>
        <v>2</v>
      </c>
      <c r="BM26" s="190">
        <f t="shared" si="11"/>
        <v>2</v>
      </c>
      <c r="BN26" s="190">
        <f t="shared" si="12"/>
        <v>2</v>
      </c>
      <c r="BO26" s="190">
        <f t="shared" si="13"/>
        <v>2</v>
      </c>
      <c r="BP26" s="190">
        <f t="shared" si="14"/>
        <v>2</v>
      </c>
      <c r="BQ26" s="190">
        <f t="shared" si="15"/>
        <v>2</v>
      </c>
      <c r="BR26" s="190">
        <f t="shared" si="16"/>
        <v>2</v>
      </c>
      <c r="BS26" s="190">
        <f t="shared" si="17"/>
        <v>2</v>
      </c>
      <c r="BT26" s="190">
        <f t="shared" si="18"/>
        <v>2</v>
      </c>
      <c r="BU26" s="190">
        <f t="shared" si="19"/>
        <v>2</v>
      </c>
      <c r="BV26" s="190">
        <f t="shared" si="20"/>
        <v>2</v>
      </c>
      <c r="BW26" s="190">
        <f t="shared" si="21"/>
        <v>2</v>
      </c>
      <c r="BX26" s="190">
        <f t="shared" si="22"/>
        <v>2</v>
      </c>
      <c r="BY26" s="190">
        <f t="shared" si="23"/>
        <v>2</v>
      </c>
      <c r="BZ26" s="190">
        <f t="shared" si="24"/>
        <v>2</v>
      </c>
      <c r="CA26" s="190">
        <f t="shared" si="25"/>
        <v>2</v>
      </c>
      <c r="CB26" s="190">
        <f t="shared" si="26"/>
        <v>2</v>
      </c>
      <c r="CC26" s="190">
        <f t="shared" si="27"/>
        <v>2</v>
      </c>
      <c r="CD26" s="190">
        <f t="shared" si="28"/>
        <v>2</v>
      </c>
      <c r="CE26" s="190">
        <f t="shared" si="29"/>
        <v>2</v>
      </c>
      <c r="CF26" s="190">
        <f t="shared" si="30"/>
        <v>2</v>
      </c>
      <c r="CG26" s="190">
        <f t="shared" si="31"/>
        <v>2</v>
      </c>
      <c r="CH26" s="264"/>
      <c r="CI26" s="264">
        <f t="shared" si="1"/>
        <v>24</v>
      </c>
      <c r="CJ26" s="264">
        <f t="shared" si="2"/>
        <v>24</v>
      </c>
      <c r="CK26" s="264">
        <f t="shared" si="3"/>
        <v>24</v>
      </c>
      <c r="CL26" s="264">
        <f t="shared" si="4"/>
        <v>24</v>
      </c>
      <c r="CM26" s="264">
        <f t="shared" si="5"/>
        <v>24</v>
      </c>
      <c r="CN26" s="264">
        <f t="shared" si="6"/>
        <v>24</v>
      </c>
      <c r="CP26" s="574">
        <f>SUMIF('Master '!D:D,D26,'Master '!AB:AB)</f>
        <v>24</v>
      </c>
      <c r="CQ26" s="574">
        <f>SUMIF('Master '!D:D,D26,'Master '!AC:AC)</f>
        <v>24</v>
      </c>
      <c r="CR26" s="264">
        <f t="shared" si="7"/>
        <v>0</v>
      </c>
      <c r="CS26" s="264">
        <f t="shared" si="7"/>
        <v>0</v>
      </c>
    </row>
    <row r="27" spans="1:97" s="261" customFormat="1">
      <c r="A27" s="55" t="s">
        <v>15</v>
      </c>
      <c r="B27" s="55" t="s">
        <v>994</v>
      </c>
      <c r="C27" s="55" t="s">
        <v>1245</v>
      </c>
      <c r="D27" s="55" t="s">
        <v>56</v>
      </c>
      <c r="E27" s="55" t="str">
        <f>VLOOKUP(D27,'Input 14_Ref Table'!C:D,2,FALSE)</f>
        <v>LITEG</v>
      </c>
      <c r="F27" s="172" t="s">
        <v>1286</v>
      </c>
      <c r="G27" s="55" t="str">
        <f>VLOOKUP(D27,'Input 14_Ref Table'!C:I,7,FALSE)</f>
        <v>FPU - FPU - GLS</v>
      </c>
      <c r="H27" s="55" t="str">
        <f>VLOOKUP(D27,'Input 14_Ref Table'!C:K,8,FALSE)</f>
        <v>Base Period</v>
      </c>
      <c r="I27" s="55"/>
      <c r="J27" s="261" t="str">
        <f>INDEX('Master '!$AD$2:AD$65,MATCH(D27,'Master '!$D$2:$D$65,0))</f>
        <v>Base Period</v>
      </c>
      <c r="K27" s="567">
        <f>INDEX('Master '!$N$2:N$65,MATCH(D27,'Master '!$D$2:$D$65,0))</f>
        <v>0</v>
      </c>
      <c r="L27" s="290">
        <f>INDEX('Master '!$S$2:S$65,MATCH(D27,'Master '!$D$2:$D$65,0))</f>
        <v>0</v>
      </c>
      <c r="M27" s="1">
        <f>INDEX('Master '!$W$2:W$65,MATCH(D27,'Master '!$D$2:$D$65,0))</f>
        <v>3458.5886705202315</v>
      </c>
      <c r="N27" s="55">
        <f>SUMIF('Input 16_2018CUST-YTD'!$S:$S,$G27,'Input 16_2018CUST-YTD'!C:C)</f>
        <v>53</v>
      </c>
      <c r="O27" s="55">
        <f>SUMIF('Input 16_2018CUST-YTD'!$S:$S,$G27,'Input 16_2018CUST-YTD'!D:D)</f>
        <v>51</v>
      </c>
      <c r="P27" s="55">
        <f>SUMIF('Input 16_2018CUST-YTD'!$S:$S,$G27,'Input 16_2018CUST-YTD'!E:E)</f>
        <v>51</v>
      </c>
      <c r="Q27" s="55">
        <f>SUMIF('Input 16_2018CUST-YTD'!$S:$S,$G27,'Input 16_2018CUST-YTD'!F:F)</f>
        <v>52</v>
      </c>
      <c r="R27" s="55">
        <f>SUMIF('Input 16_2018CUST-YTD'!$S:$S,$G27,'Input 16_2018CUST-YTD'!G:G)</f>
        <v>50</v>
      </c>
      <c r="S27" s="55">
        <f>SUMIF('Input 16_2018CUST-YTD'!$S:$S,$G27,'Input 16_2018CUST-YTD'!H:H)</f>
        <v>50</v>
      </c>
      <c r="T27" s="55">
        <f>SUMIF('Input 16_2018CUST-YTD'!$S:$S,$G27,'Input 16_2018CUST-YTD'!I:I)</f>
        <v>50</v>
      </c>
      <c r="U27" s="55">
        <f>SUMIF('Input 16_2018CUST-YTD'!$S:$S,$G27,'Input 16_2018CUST-YTD'!J:J)</f>
        <v>50</v>
      </c>
      <c r="V27" s="55">
        <f>SUMIF('Input 16_2018CUST-YTD'!$S:$S,$G27,'Input 16_2018CUST-YTD'!K:K)</f>
        <v>49</v>
      </c>
      <c r="W27" s="55">
        <f>SUMIF('Input 16_2018CUST-YTD'!$S:$S,$G27,'Input 16_2018CUST-YTD'!L:L)</f>
        <v>48</v>
      </c>
      <c r="X27" s="55">
        <f>SUMIF('Input 16_2018CUST-YTD'!$S:$S,$G27,'Input 16_2018CUST-YTD'!M:M)</f>
        <v>44</v>
      </c>
      <c r="Y27" s="55">
        <f>SUMIF('Input 16_2018CUST-YTD'!$S:$S,$G27,'Input 16_2018CUST-YTD'!N:N)</f>
        <v>40</v>
      </c>
      <c r="Z27" s="1">
        <f>SUMIF('Input 3_2019CUST-YTD'!$S:$S,$G27,'Input 3_2019CUST-YTD'!C:C)</f>
        <v>40</v>
      </c>
      <c r="AA27" s="1">
        <f>SUMIF('Input 3_2019CUST-YTD'!$S:$S,$G27,'Input 3_2019CUST-YTD'!D:D)</f>
        <v>40</v>
      </c>
      <c r="AB27" s="1">
        <f>SUMIF('Input 3_2019CUST-YTD'!$S:$S,$G27,'Input 3_2019CUST-YTD'!E:E)</f>
        <v>40</v>
      </c>
      <c r="AC27" s="1">
        <f>SUMIF('Input 3_2019CUST-YTD'!$S:$S,$G27,'Input 3_2019CUST-YTD'!F:F)</f>
        <v>42</v>
      </c>
      <c r="AD27" s="1">
        <f>SUMIF('Input 3_2019CUST-YTD'!$S:$S,$G27,'Input 3_2019CUST-YTD'!G:G)</f>
        <v>36</v>
      </c>
      <c r="AE27" s="1">
        <f>SUMIF('Input 3_2019CUST-YTD'!$S:$S,$G27,'Input 3_2019CUST-YTD'!H:H)</f>
        <v>36</v>
      </c>
      <c r="AF27" s="1">
        <f>SUMIF('Input 3_2019CUST-YTD'!$S:$S,$G27,'Input 3_2019CUST-YTD'!I:I)</f>
        <v>35</v>
      </c>
      <c r="AG27" s="1">
        <f>SUMIF('Input 3_2019CUST-YTD'!$S:$S,$G27,'Input 3_2019CUST-YTD'!J:J)</f>
        <v>36</v>
      </c>
      <c r="AH27" s="1">
        <f>SUMIF('Input 3_2019CUST-YTD'!$S:$S,$G27,'Input 3_2019CUST-YTD'!K:K)</f>
        <v>32</v>
      </c>
      <c r="AI27" s="1">
        <f>SUMIF('Input 3_2019CUST-YTD'!$S:$S,$G27,'Input 3_2019CUST-YTD'!L:L)</f>
        <v>32</v>
      </c>
      <c r="AJ27" s="1">
        <f>SUMIF('Input 3_2019CUST-YTD'!$S:$S,$G27,'Input 3_2019CUST-YTD'!M:M)</f>
        <v>32</v>
      </c>
      <c r="AK27" s="1">
        <f>SUMIF('Input 3_2019CUST-YTD'!$S:$S,$G27,'Input 3_2019CUST-YTD'!N:N)</f>
        <v>32</v>
      </c>
      <c r="AL27" s="1">
        <f>SUMIF('Input 4_2020CUST-YTD'!$S:$S,$G27,'Input 4_2020CUST-YTD'!C:C)</f>
        <v>34</v>
      </c>
      <c r="AM27" s="1">
        <f>SUMIF('Input 4_2020CUST-YTD'!$S:$S,$G27,'Input 4_2020CUST-YTD'!D:D)</f>
        <v>34</v>
      </c>
      <c r="AN27" s="1">
        <f>SUMIF('Input 4_2020CUST-YTD'!$S:$S,$G27,'Input 4_2020CUST-YTD'!E:E)</f>
        <v>32</v>
      </c>
      <c r="AO27" s="1">
        <f>SUMIF('Input 4_2020CUST-YTD'!$S:$S,$G27,'Input 4_2020CUST-YTD'!F:F)</f>
        <v>32</v>
      </c>
      <c r="AP27" s="1">
        <f>SUMIF('Input 4_2020CUST-YTD'!$S:$S,$G27,'Input 4_2020CUST-YTD'!G:G)</f>
        <v>32</v>
      </c>
      <c r="AQ27" s="1">
        <f>SUMIF('Input 4_2020CUST-YTD'!$S:$S,$G27,'Input 4_2020CUST-YTD'!H:H)</f>
        <v>32</v>
      </c>
      <c r="AR27" s="1">
        <f>SUMIF('Input 4_2020CUST-YTD'!$S:$S,$G27,'Input 4_2020CUST-YTD'!I:I)</f>
        <v>32</v>
      </c>
      <c r="AS27" s="1">
        <f>SUMIF('Input 4_2020CUST-YTD'!$S:$S,$G27,'Input 4_2020CUST-YTD'!J:J)</f>
        <v>32</v>
      </c>
      <c r="AT27" s="1">
        <f>SUMIF('Input 4_2020CUST-YTD'!$S:$S,$G27,'Input 4_2020CUST-YTD'!K:K)</f>
        <v>32</v>
      </c>
      <c r="AU27" s="1">
        <f>SUMIF('Input 4_2020CUST-YTD'!$S:$S,$G27,'Input 4_2020CUST-YTD'!L:L)</f>
        <v>33</v>
      </c>
      <c r="AV27" s="1">
        <f>SUMIF('Input 4_2020CUST-YTD'!$S:$S,$G27,'Input 4_2020CUST-YTD'!M:M)</f>
        <v>33</v>
      </c>
      <c r="AW27" s="1">
        <f>SUMIF('Input 4_2020CUST-YTD'!$S:$S,$G27,'Input 4_2020CUST-YTD'!N:N)</f>
        <v>31</v>
      </c>
      <c r="AX27" s="1">
        <f>SUMIF('Input 5_2021CUST-YTD'!$S:$S,$G27,'Input 5_2021CUST-YTD'!C:C)</f>
        <v>31</v>
      </c>
      <c r="AY27" s="1">
        <f>SUMIF('Input 5_2021CUST-YTD'!$S:$S,$G27,'Input 5_2021CUST-YTD'!D:D)</f>
        <v>31</v>
      </c>
      <c r="AZ27" s="1">
        <f>SUMIF('Input 5_2021CUST-YTD'!$S:$S,$G27,'Input 5_2021CUST-YTD'!E:E)</f>
        <v>31</v>
      </c>
      <c r="BA27" s="1">
        <f>SUMIF('Input 5_2021CUST-YTD'!$S:$S,$G27,'Input 5_2021CUST-YTD'!F:F)</f>
        <v>31</v>
      </c>
      <c r="BB27" s="1">
        <f>SUMIF('Input 5_2021CUST-YTD'!$S:$S,$G27,'Input 5_2021CUST-YTD'!G:G)</f>
        <v>29</v>
      </c>
      <c r="BC27" s="1">
        <f>SUMIF('Input 5_2021CUST-YTD'!$S:$S,$G27,'Input 5_2021CUST-YTD'!H:H)</f>
        <v>29</v>
      </c>
      <c r="BD27" s="1">
        <f>SUMIF('Input 5_2021CUST-YTD'!$S:$S,$G27,'Input 5_2021CUST-YTD'!I:I)</f>
        <v>29</v>
      </c>
      <c r="BE27" s="1">
        <f>SUMIF('Input 5_2021CUST-YTD'!$S:$S,$G27,'Input 5_2021CUST-YTD'!J:J)</f>
        <v>27</v>
      </c>
      <c r="BF27" s="1">
        <f>SUMIF('Input 5_2021CUST-YTD'!$S:$S,$G27,'Input 5_2021CUST-YTD'!K:K)</f>
        <v>27</v>
      </c>
      <c r="BG27" s="1">
        <f>SUMIF('Input 5_2021CUST-YTD'!$S:$S,$G27,'Input 5_2021CUST-YTD'!L:L)</f>
        <v>27</v>
      </c>
      <c r="BH27" s="1">
        <f>SUMIF('Input 5_2021CUST-YTD'!$S:$S,$G27,'Input 5_2021CUST-YTD'!M:M)</f>
        <v>29</v>
      </c>
      <c r="BI27" s="1">
        <f>SUMIF('Input 5_2021CUST-YTD'!$S:$S,$G27,'Input 5_2021CUST-YTD'!N:N)</f>
        <v>25</v>
      </c>
      <c r="BJ27" s="190">
        <f t="shared" si="8"/>
        <v>31</v>
      </c>
      <c r="BK27" s="190">
        <f t="shared" si="9"/>
        <v>31</v>
      </c>
      <c r="BL27" s="190">
        <f t="shared" si="10"/>
        <v>31</v>
      </c>
      <c r="BM27" s="190">
        <f t="shared" si="11"/>
        <v>31</v>
      </c>
      <c r="BN27" s="190">
        <f t="shared" si="12"/>
        <v>29</v>
      </c>
      <c r="BO27" s="190">
        <f t="shared" si="13"/>
        <v>29</v>
      </c>
      <c r="BP27" s="190">
        <f t="shared" si="14"/>
        <v>29</v>
      </c>
      <c r="BQ27" s="190">
        <f t="shared" si="15"/>
        <v>27</v>
      </c>
      <c r="BR27" s="190">
        <f t="shared" si="16"/>
        <v>27</v>
      </c>
      <c r="BS27" s="190">
        <f t="shared" si="17"/>
        <v>27</v>
      </c>
      <c r="BT27" s="190">
        <f t="shared" si="18"/>
        <v>29</v>
      </c>
      <c r="BU27" s="190">
        <f t="shared" si="19"/>
        <v>25</v>
      </c>
      <c r="BV27" s="190">
        <f t="shared" si="20"/>
        <v>31</v>
      </c>
      <c r="BW27" s="190">
        <f t="shared" si="21"/>
        <v>31</v>
      </c>
      <c r="BX27" s="190">
        <f t="shared" si="22"/>
        <v>31</v>
      </c>
      <c r="BY27" s="190">
        <f t="shared" si="23"/>
        <v>31</v>
      </c>
      <c r="BZ27" s="190">
        <f t="shared" si="24"/>
        <v>29</v>
      </c>
      <c r="CA27" s="190">
        <f t="shared" si="25"/>
        <v>29</v>
      </c>
      <c r="CB27" s="190">
        <f t="shared" si="26"/>
        <v>29</v>
      </c>
      <c r="CC27" s="190">
        <f t="shared" si="27"/>
        <v>27</v>
      </c>
      <c r="CD27" s="190">
        <f t="shared" si="28"/>
        <v>27</v>
      </c>
      <c r="CE27" s="190">
        <f t="shared" si="29"/>
        <v>27</v>
      </c>
      <c r="CF27" s="190">
        <f t="shared" si="30"/>
        <v>29</v>
      </c>
      <c r="CG27" s="190">
        <f t="shared" si="31"/>
        <v>25</v>
      </c>
      <c r="CH27" s="264"/>
      <c r="CI27" s="264">
        <f t="shared" si="1"/>
        <v>588</v>
      </c>
      <c r="CJ27" s="264">
        <f t="shared" si="2"/>
        <v>433</v>
      </c>
      <c r="CK27" s="264">
        <f t="shared" si="3"/>
        <v>389</v>
      </c>
      <c r="CL27" s="264">
        <f t="shared" si="4"/>
        <v>346</v>
      </c>
      <c r="CM27" s="264">
        <f t="shared" si="5"/>
        <v>346</v>
      </c>
      <c r="CN27" s="264">
        <f t="shared" si="6"/>
        <v>346</v>
      </c>
      <c r="CP27" s="574">
        <f>SUMIF('Master '!D:D,D27,'Master '!AB:AB)</f>
        <v>346</v>
      </c>
      <c r="CQ27" s="574">
        <f>SUMIF('Master '!D:D,D27,'Master '!AC:AC)</f>
        <v>346</v>
      </c>
      <c r="CR27" s="264">
        <f t="shared" si="7"/>
        <v>0</v>
      </c>
      <c r="CS27" s="264">
        <f t="shared" si="7"/>
        <v>0</v>
      </c>
    </row>
    <row r="28" spans="1:97" s="261" customFormat="1">
      <c r="A28" s="55" t="s">
        <v>15</v>
      </c>
      <c r="B28" s="55" t="s">
        <v>993</v>
      </c>
      <c r="C28" s="55" t="s">
        <v>1245</v>
      </c>
      <c r="D28" s="55" t="s">
        <v>58</v>
      </c>
      <c r="E28" s="55" t="str">
        <f>VLOOKUP(D28,'Input 14_Ref Table'!C:D,2,FALSE)</f>
        <v>LA3MX</v>
      </c>
      <c r="F28" s="172" t="s">
        <v>1286</v>
      </c>
      <c r="G28" s="55" t="str">
        <f>VLOOKUP(D28,'Input 14_Ref Table'!C:I,7,FALSE)</f>
        <v>LA3MX</v>
      </c>
      <c r="H28" s="55" t="str">
        <f>VLOOKUP(D28,'Input 14_Ref Table'!C:K,8,FALSE)</f>
        <v>Base Period</v>
      </c>
      <c r="I28" s="55"/>
      <c r="J28" s="261" t="str">
        <f>INDEX('Master '!$AD$2:AD$65,MATCH(D28,'Master '!$D$2:$D$65,0))</f>
        <v>Base Period</v>
      </c>
      <c r="K28" s="567">
        <f>INDEX('Master '!$N$2:N$65,MATCH(D28,'Master '!$D$2:$D$65,0))</f>
        <v>0</v>
      </c>
      <c r="L28" s="290">
        <f>INDEX('Master '!$S$2:S$65,MATCH(D28,'Master '!$D$2:$D$65,0))</f>
        <v>0</v>
      </c>
      <c r="M28" s="1">
        <f>INDEX('Master '!$W$2:W$65,MATCH(D28,'Master '!$D$2:$D$65,0))</f>
        <v>0</v>
      </c>
      <c r="N28" s="55">
        <f>SUMIF('Input 16_2018CUST-YTD'!$S:$S,$G28,'Input 16_2018CUST-YTD'!C:C)</f>
        <v>0</v>
      </c>
      <c r="O28" s="55">
        <f>SUMIF('Input 16_2018CUST-YTD'!$S:$S,$G28,'Input 16_2018CUST-YTD'!D:D)</f>
        <v>0</v>
      </c>
      <c r="P28" s="55">
        <f>SUMIF('Input 16_2018CUST-YTD'!$S:$S,$G28,'Input 16_2018CUST-YTD'!E:E)</f>
        <v>0</v>
      </c>
      <c r="Q28" s="55">
        <f>SUMIF('Input 16_2018CUST-YTD'!$S:$S,$G28,'Input 16_2018CUST-YTD'!F:F)</f>
        <v>0</v>
      </c>
      <c r="R28" s="55">
        <f>SUMIF('Input 16_2018CUST-YTD'!$S:$S,$G28,'Input 16_2018CUST-YTD'!G:G)</f>
        <v>0</v>
      </c>
      <c r="S28" s="55">
        <f>SUMIF('Input 16_2018CUST-YTD'!$S:$S,$G28,'Input 16_2018CUST-YTD'!H:H)</f>
        <v>0</v>
      </c>
      <c r="T28" s="55">
        <f>SUMIF('Input 16_2018CUST-YTD'!$S:$S,$G28,'Input 16_2018CUST-YTD'!I:I)</f>
        <v>0</v>
      </c>
      <c r="U28" s="55">
        <f>SUMIF('Input 16_2018CUST-YTD'!$S:$S,$G28,'Input 16_2018CUST-YTD'!J:J)</f>
        <v>0</v>
      </c>
      <c r="V28" s="55">
        <f>SUMIF('Input 16_2018CUST-YTD'!$S:$S,$G28,'Input 16_2018CUST-YTD'!K:K)</f>
        <v>0</v>
      </c>
      <c r="W28" s="55">
        <f>SUMIF('Input 16_2018CUST-YTD'!$S:$S,$G28,'Input 16_2018CUST-YTD'!L:L)</f>
        <v>0</v>
      </c>
      <c r="X28" s="55">
        <f>SUMIF('Input 16_2018CUST-YTD'!$S:$S,$G28,'Input 16_2018CUST-YTD'!M:M)</f>
        <v>0</v>
      </c>
      <c r="Y28" s="55">
        <f>SUMIF('Input 16_2018CUST-YTD'!$S:$S,$G28,'Input 16_2018CUST-YTD'!N:N)</f>
        <v>0</v>
      </c>
      <c r="Z28" s="1">
        <f>SUMIF('Input 3_2019CUST-YTD'!$S:$S,$G28,'Input 3_2019CUST-YTD'!C:C)</f>
        <v>0</v>
      </c>
      <c r="AA28" s="1">
        <f>SUMIF('Input 3_2019CUST-YTD'!$S:$S,$G28,'Input 3_2019CUST-YTD'!D:D)</f>
        <v>0</v>
      </c>
      <c r="AB28" s="1">
        <f>SUMIF('Input 3_2019CUST-YTD'!$S:$S,$G28,'Input 3_2019CUST-YTD'!E:E)</f>
        <v>0</v>
      </c>
      <c r="AC28" s="1">
        <f>SUMIF('Input 3_2019CUST-YTD'!$S:$S,$G28,'Input 3_2019CUST-YTD'!F:F)</f>
        <v>0</v>
      </c>
      <c r="AD28" s="1">
        <f>SUMIF('Input 3_2019CUST-YTD'!$S:$S,$G28,'Input 3_2019CUST-YTD'!G:G)</f>
        <v>0</v>
      </c>
      <c r="AE28" s="1">
        <f>SUMIF('Input 3_2019CUST-YTD'!$S:$S,$G28,'Input 3_2019CUST-YTD'!H:H)</f>
        <v>0</v>
      </c>
      <c r="AF28" s="1">
        <f>SUMIF('Input 3_2019CUST-YTD'!$S:$S,$G28,'Input 3_2019CUST-YTD'!I:I)</f>
        <v>0</v>
      </c>
      <c r="AG28" s="1">
        <f>SUMIF('Input 3_2019CUST-YTD'!$S:$S,$G28,'Input 3_2019CUST-YTD'!J:J)</f>
        <v>0</v>
      </c>
      <c r="AH28" s="1">
        <f>SUMIF('Input 3_2019CUST-YTD'!$S:$S,$G28,'Input 3_2019CUST-YTD'!K:K)</f>
        <v>0</v>
      </c>
      <c r="AI28" s="1">
        <f>SUMIF('Input 3_2019CUST-YTD'!$S:$S,$G28,'Input 3_2019CUST-YTD'!L:L)</f>
        <v>0</v>
      </c>
      <c r="AJ28" s="1">
        <f>SUMIF('Input 3_2019CUST-YTD'!$S:$S,$G28,'Input 3_2019CUST-YTD'!M:M)</f>
        <v>0</v>
      </c>
      <c r="AK28" s="1">
        <f>SUMIF('Input 3_2019CUST-YTD'!$S:$S,$G28,'Input 3_2019CUST-YTD'!N:N)</f>
        <v>0</v>
      </c>
      <c r="AL28" s="1">
        <f>SUMIF('Input 4_2020CUST-YTD'!$S:$S,$G28,'Input 4_2020CUST-YTD'!C:C)</f>
        <v>0</v>
      </c>
      <c r="AM28" s="1">
        <f>SUMIF('Input 4_2020CUST-YTD'!$S:$S,$G28,'Input 4_2020CUST-YTD'!D:D)</f>
        <v>0</v>
      </c>
      <c r="AN28" s="1">
        <f>SUMIF('Input 4_2020CUST-YTD'!$S:$S,$G28,'Input 4_2020CUST-YTD'!E:E)</f>
        <v>0</v>
      </c>
      <c r="AO28" s="1">
        <f>SUMIF('Input 4_2020CUST-YTD'!$S:$S,$G28,'Input 4_2020CUST-YTD'!F:F)</f>
        <v>0</v>
      </c>
      <c r="AP28" s="1">
        <f>SUMIF('Input 4_2020CUST-YTD'!$S:$S,$G28,'Input 4_2020CUST-YTD'!G:G)</f>
        <v>0</v>
      </c>
      <c r="AQ28" s="1">
        <f>SUMIF('Input 4_2020CUST-YTD'!$S:$S,$G28,'Input 4_2020CUST-YTD'!H:H)</f>
        <v>0</v>
      </c>
      <c r="AR28" s="1">
        <f>SUMIF('Input 4_2020CUST-YTD'!$S:$S,$G28,'Input 4_2020CUST-YTD'!I:I)</f>
        <v>0</v>
      </c>
      <c r="AS28" s="1">
        <f>SUMIF('Input 4_2020CUST-YTD'!$S:$S,$G28,'Input 4_2020CUST-YTD'!J:J)</f>
        <v>0</v>
      </c>
      <c r="AT28" s="1">
        <f>SUMIF('Input 4_2020CUST-YTD'!$S:$S,$G28,'Input 4_2020CUST-YTD'!K:K)</f>
        <v>0</v>
      </c>
      <c r="AU28" s="1">
        <f>SUMIF('Input 4_2020CUST-YTD'!$S:$S,$G28,'Input 4_2020CUST-YTD'!L:L)</f>
        <v>0</v>
      </c>
      <c r="AV28" s="1">
        <f>SUMIF('Input 4_2020CUST-YTD'!$S:$S,$G28,'Input 4_2020CUST-YTD'!M:M)</f>
        <v>0</v>
      </c>
      <c r="AW28" s="1">
        <f>SUMIF('Input 4_2020CUST-YTD'!$S:$S,$G28,'Input 4_2020CUST-YTD'!N:N)</f>
        <v>0</v>
      </c>
      <c r="AX28" s="1">
        <f>SUMIF('Input 5_2021CUST-YTD'!$S:$S,$G28,'Input 5_2021CUST-YTD'!C:C)</f>
        <v>0</v>
      </c>
      <c r="AY28" s="1">
        <f>SUMIF('Input 5_2021CUST-YTD'!$S:$S,$G28,'Input 5_2021CUST-YTD'!D:D)</f>
        <v>0</v>
      </c>
      <c r="AZ28" s="1">
        <f>SUMIF('Input 5_2021CUST-YTD'!$S:$S,$G28,'Input 5_2021CUST-YTD'!E:E)</f>
        <v>0</v>
      </c>
      <c r="BA28" s="1">
        <f>SUMIF('Input 5_2021CUST-YTD'!$S:$S,$G28,'Input 5_2021CUST-YTD'!F:F)</f>
        <v>0</v>
      </c>
      <c r="BB28" s="1">
        <f>SUMIF('Input 5_2021CUST-YTD'!$S:$S,$G28,'Input 5_2021CUST-YTD'!G:G)</f>
        <v>0</v>
      </c>
      <c r="BC28" s="1">
        <f>SUMIF('Input 5_2021CUST-YTD'!$S:$S,$G28,'Input 5_2021CUST-YTD'!H:H)</f>
        <v>0</v>
      </c>
      <c r="BD28" s="1">
        <f>SUMIF('Input 5_2021CUST-YTD'!$S:$S,$G28,'Input 5_2021CUST-YTD'!I:I)</f>
        <v>0</v>
      </c>
      <c r="BE28" s="1">
        <f>SUMIF('Input 5_2021CUST-YTD'!$S:$S,$G28,'Input 5_2021CUST-YTD'!J:J)</f>
        <v>0</v>
      </c>
      <c r="BF28" s="1">
        <f>SUMIF('Input 5_2021CUST-YTD'!$S:$S,$G28,'Input 5_2021CUST-YTD'!K:K)</f>
        <v>0</v>
      </c>
      <c r="BG28" s="1">
        <f>SUMIF('Input 5_2021CUST-YTD'!$S:$S,$G28,'Input 5_2021CUST-YTD'!L:L)</f>
        <v>0</v>
      </c>
      <c r="BH28" s="1">
        <f>SUMIF('Input 5_2021CUST-YTD'!$S:$S,$G28,'Input 5_2021CUST-YTD'!M:M)</f>
        <v>0</v>
      </c>
      <c r="BI28" s="1">
        <f>SUMIF('Input 5_2021CUST-YTD'!$S:$S,$G28,'Input 5_2021CUST-YTD'!N:N)</f>
        <v>0</v>
      </c>
      <c r="BJ28" s="190">
        <f t="shared" si="8"/>
        <v>0</v>
      </c>
      <c r="BK28" s="190">
        <f t="shared" si="9"/>
        <v>0</v>
      </c>
      <c r="BL28" s="190">
        <f t="shared" si="10"/>
        <v>0</v>
      </c>
      <c r="BM28" s="190">
        <f t="shared" si="11"/>
        <v>0</v>
      </c>
      <c r="BN28" s="190">
        <f t="shared" si="12"/>
        <v>0</v>
      </c>
      <c r="BO28" s="190">
        <f t="shared" si="13"/>
        <v>0</v>
      </c>
      <c r="BP28" s="190">
        <f t="shared" si="14"/>
        <v>0</v>
      </c>
      <c r="BQ28" s="190">
        <f t="shared" si="15"/>
        <v>0</v>
      </c>
      <c r="BR28" s="190">
        <f t="shared" si="16"/>
        <v>0</v>
      </c>
      <c r="BS28" s="190">
        <f t="shared" si="17"/>
        <v>0</v>
      </c>
      <c r="BT28" s="190">
        <f t="shared" si="18"/>
        <v>0</v>
      </c>
      <c r="BU28" s="190">
        <f t="shared" si="19"/>
        <v>0</v>
      </c>
      <c r="BV28" s="190">
        <f t="shared" si="20"/>
        <v>0</v>
      </c>
      <c r="BW28" s="190">
        <f t="shared" si="21"/>
        <v>0</v>
      </c>
      <c r="BX28" s="190">
        <f t="shared" si="22"/>
        <v>0</v>
      </c>
      <c r="BY28" s="190">
        <f t="shared" si="23"/>
        <v>0</v>
      </c>
      <c r="BZ28" s="190">
        <f t="shared" si="24"/>
        <v>0</v>
      </c>
      <c r="CA28" s="190">
        <f t="shared" si="25"/>
        <v>0</v>
      </c>
      <c r="CB28" s="190">
        <f t="shared" si="26"/>
        <v>0</v>
      </c>
      <c r="CC28" s="190">
        <f t="shared" si="27"/>
        <v>0</v>
      </c>
      <c r="CD28" s="190">
        <f t="shared" si="28"/>
        <v>0</v>
      </c>
      <c r="CE28" s="190">
        <f t="shared" si="29"/>
        <v>0</v>
      </c>
      <c r="CF28" s="190">
        <f t="shared" si="30"/>
        <v>0</v>
      </c>
      <c r="CG28" s="190">
        <f t="shared" si="31"/>
        <v>0</v>
      </c>
      <c r="CH28" s="264"/>
      <c r="CI28" s="264">
        <f t="shared" si="1"/>
        <v>0</v>
      </c>
      <c r="CJ28" s="264">
        <f t="shared" si="2"/>
        <v>0</v>
      </c>
      <c r="CK28" s="264">
        <f t="shared" si="3"/>
        <v>0</v>
      </c>
      <c r="CL28" s="264">
        <f t="shared" si="4"/>
        <v>0</v>
      </c>
      <c r="CM28" s="264">
        <f t="shared" si="5"/>
        <v>0</v>
      </c>
      <c r="CN28" s="264">
        <f t="shared" si="6"/>
        <v>0</v>
      </c>
      <c r="CP28" s="574">
        <f>SUMIF('Master '!D:D,D28,'Master '!AB:AB)</f>
        <v>0</v>
      </c>
      <c r="CQ28" s="574">
        <f>SUMIF('Master '!D:D,D28,'Master '!AC:AC)</f>
        <v>0</v>
      </c>
      <c r="CR28" s="264">
        <f t="shared" si="7"/>
        <v>0</v>
      </c>
      <c r="CS28" s="264">
        <f t="shared" si="7"/>
        <v>0</v>
      </c>
    </row>
    <row r="29" spans="1:97" s="261" customFormat="1">
      <c r="A29" s="55" t="s">
        <v>17</v>
      </c>
      <c r="B29" s="55" t="s">
        <v>993</v>
      </c>
      <c r="C29" s="55" t="s">
        <v>8</v>
      </c>
      <c r="D29" s="55" t="s">
        <v>1295</v>
      </c>
      <c r="E29" s="55" t="str">
        <f>VLOOKUP(D29,'Input 14_Ref Table'!C:D,2,FALSE)</f>
        <v>CR801</v>
      </c>
      <c r="F29" s="172" t="s">
        <v>1286</v>
      </c>
      <c r="G29" s="55" t="str">
        <f>VLOOKUP(D29,'Input 14_Ref Table'!C:I,7,FALSE)</f>
        <v>CFG - FTS-A R</v>
      </c>
      <c r="H29" s="55" t="str">
        <f>VLOOKUP(D29,'Input 14_Ref Table'!C:K,8,FALSE)</f>
        <v>FTS_AB</v>
      </c>
      <c r="I29" s="55"/>
      <c r="J29" s="261" t="str">
        <f>INDEX('Master '!$AD$2:AD$65,MATCH(D29,'Master '!$D$2:$D$65,0))</f>
        <v>UPC Growth Rate</v>
      </c>
      <c r="K29" s="567">
        <f>INDEX('Master '!$N$2:N$65,MATCH(D29,'Master '!$D$2:$D$65,0))</f>
        <v>-7.5316460637900734E-3</v>
      </c>
      <c r="L29" s="290">
        <f>INDEX('Master '!$S$2:S$65,MATCH(D29,'Master '!$D$2:$D$65,0))</f>
        <v>0</v>
      </c>
      <c r="M29" s="1">
        <f>INDEX('Master '!$W$2:W$65,MATCH(D29,'Master '!$D$2:$D$65,0))</f>
        <v>103.66332451256534</v>
      </c>
      <c r="N29" s="55">
        <f>SUMIF('Input 16_2018CUST-YTD'!$S:$S,$G29,'Input 16_2018CUST-YTD'!C:C)</f>
        <v>1215</v>
      </c>
      <c r="O29" s="55">
        <f>SUMIF('Input 16_2018CUST-YTD'!$S:$S,$G29,'Input 16_2018CUST-YTD'!D:D)</f>
        <v>1225</v>
      </c>
      <c r="P29" s="55">
        <f>SUMIF('Input 16_2018CUST-YTD'!$S:$S,$G29,'Input 16_2018CUST-YTD'!E:E)</f>
        <v>1228</v>
      </c>
      <c r="Q29" s="55">
        <f>SUMIF('Input 16_2018CUST-YTD'!$S:$S,$G29,'Input 16_2018CUST-YTD'!F:F)</f>
        <v>1175</v>
      </c>
      <c r="R29" s="55">
        <f>SUMIF('Input 16_2018CUST-YTD'!$S:$S,$G29,'Input 16_2018CUST-YTD'!G:G)</f>
        <v>1162</v>
      </c>
      <c r="S29" s="55">
        <f>SUMIF('Input 16_2018CUST-YTD'!$S:$S,$G29,'Input 16_2018CUST-YTD'!H:H)</f>
        <v>1144</v>
      </c>
      <c r="T29" s="55">
        <f>SUMIF('Input 16_2018CUST-YTD'!$S:$S,$G29,'Input 16_2018CUST-YTD'!I:I)</f>
        <v>1149</v>
      </c>
      <c r="U29" s="55">
        <f>SUMIF('Input 16_2018CUST-YTD'!$S:$S,$G29,'Input 16_2018CUST-YTD'!J:J)</f>
        <v>1150</v>
      </c>
      <c r="V29" s="55">
        <f>SUMIF('Input 16_2018CUST-YTD'!$S:$S,$G29,'Input 16_2018CUST-YTD'!K:K)</f>
        <v>1145</v>
      </c>
      <c r="W29" s="55">
        <f>SUMIF('Input 16_2018CUST-YTD'!$S:$S,$G29,'Input 16_2018CUST-YTD'!L:L)</f>
        <v>1145</v>
      </c>
      <c r="X29" s="55">
        <f>SUMIF('Input 16_2018CUST-YTD'!$S:$S,$G29,'Input 16_2018CUST-YTD'!M:M)</f>
        <v>1145</v>
      </c>
      <c r="Y29" s="55">
        <f>SUMIF('Input 16_2018CUST-YTD'!$S:$S,$G29,'Input 16_2018CUST-YTD'!N:N)</f>
        <v>1158</v>
      </c>
      <c r="Z29" s="1">
        <f>SUMIF('Input 3_2019CUST-YTD'!$S:$S,$G29,'Input 3_2019CUST-YTD'!C:C)</f>
        <v>1167</v>
      </c>
      <c r="AA29" s="1">
        <f>SUMIF('Input 3_2019CUST-YTD'!$S:$S,$G29,'Input 3_2019CUST-YTD'!D:D)</f>
        <v>1165</v>
      </c>
      <c r="AB29" s="1">
        <f>SUMIF('Input 3_2019CUST-YTD'!$S:$S,$G29,'Input 3_2019CUST-YTD'!E:E)</f>
        <v>1165</v>
      </c>
      <c r="AC29" s="1">
        <f>SUMIF('Input 3_2019CUST-YTD'!$S:$S,$G29,'Input 3_2019CUST-YTD'!F:F)</f>
        <v>1163</v>
      </c>
      <c r="AD29" s="1">
        <f>SUMIF('Input 3_2019CUST-YTD'!$S:$S,$G29,'Input 3_2019CUST-YTD'!G:G)</f>
        <v>1152</v>
      </c>
      <c r="AE29" s="1">
        <f>SUMIF('Input 3_2019CUST-YTD'!$S:$S,$G29,'Input 3_2019CUST-YTD'!H:H)</f>
        <v>1151</v>
      </c>
      <c r="AF29" s="1">
        <f>SUMIF('Input 3_2019CUST-YTD'!$S:$S,$G29,'Input 3_2019CUST-YTD'!I:I)</f>
        <v>1149</v>
      </c>
      <c r="AG29" s="1">
        <f>SUMIF('Input 3_2019CUST-YTD'!$S:$S,$G29,'Input 3_2019CUST-YTD'!J:J)</f>
        <v>1147</v>
      </c>
      <c r="AH29" s="1">
        <f>SUMIF('Input 3_2019CUST-YTD'!$S:$S,$G29,'Input 3_2019CUST-YTD'!K:K)</f>
        <v>1137</v>
      </c>
      <c r="AI29" s="1">
        <f>SUMIF('Input 3_2019CUST-YTD'!$S:$S,$G29,'Input 3_2019CUST-YTD'!L:L)</f>
        <v>1136</v>
      </c>
      <c r="AJ29" s="1">
        <f>SUMIF('Input 3_2019CUST-YTD'!$S:$S,$G29,'Input 3_2019CUST-YTD'!M:M)</f>
        <v>1139</v>
      </c>
      <c r="AK29" s="1">
        <f>SUMIF('Input 3_2019CUST-YTD'!$S:$S,$G29,'Input 3_2019CUST-YTD'!N:N)</f>
        <v>1145</v>
      </c>
      <c r="AL29" s="1">
        <f>SUMIF('Input 4_2020CUST-YTD'!$S:$S,$G29,'Input 4_2020CUST-YTD'!C:C)</f>
        <v>1144</v>
      </c>
      <c r="AM29" s="1">
        <f>SUMIF('Input 4_2020CUST-YTD'!$S:$S,$G29,'Input 4_2020CUST-YTD'!D:D)</f>
        <v>1148</v>
      </c>
      <c r="AN29" s="1">
        <f>SUMIF('Input 4_2020CUST-YTD'!$S:$S,$G29,'Input 4_2020CUST-YTD'!E:E)</f>
        <v>1156</v>
      </c>
      <c r="AO29" s="1">
        <f>SUMIF('Input 4_2020CUST-YTD'!$S:$S,$G29,'Input 4_2020CUST-YTD'!F:F)</f>
        <v>1148</v>
      </c>
      <c r="AP29" s="1">
        <f>SUMIF('Input 4_2020CUST-YTD'!$S:$S,$G29,'Input 4_2020CUST-YTD'!G:G)</f>
        <v>1139</v>
      </c>
      <c r="AQ29" s="1">
        <f>SUMIF('Input 4_2020CUST-YTD'!$S:$S,$G29,'Input 4_2020CUST-YTD'!H:H)</f>
        <v>1134</v>
      </c>
      <c r="AR29" s="1">
        <f>SUMIF('Input 4_2020CUST-YTD'!$S:$S,$G29,'Input 4_2020CUST-YTD'!I:I)</f>
        <v>1135</v>
      </c>
      <c r="AS29" s="1">
        <f>SUMIF('Input 4_2020CUST-YTD'!$S:$S,$G29,'Input 4_2020CUST-YTD'!J:J)</f>
        <v>1133</v>
      </c>
      <c r="AT29" s="1">
        <f>SUMIF('Input 4_2020CUST-YTD'!$S:$S,$G29,'Input 4_2020CUST-YTD'!K:K)</f>
        <v>1126</v>
      </c>
      <c r="AU29" s="1">
        <f>SUMIF('Input 4_2020CUST-YTD'!$S:$S,$G29,'Input 4_2020CUST-YTD'!L:L)</f>
        <v>1130</v>
      </c>
      <c r="AV29" s="1">
        <f>SUMIF('Input 4_2020CUST-YTD'!$S:$S,$G29,'Input 4_2020CUST-YTD'!M:M)</f>
        <v>1139</v>
      </c>
      <c r="AW29" s="1">
        <f>SUMIF('Input 4_2020CUST-YTD'!$S:$S,$G29,'Input 4_2020CUST-YTD'!N:N)</f>
        <v>1133</v>
      </c>
      <c r="AX29" s="1">
        <f>SUMIF('Input 5_2021CUST-YTD'!$S:$S,$G29,'Input 5_2021CUST-YTD'!C:C)</f>
        <v>1131</v>
      </c>
      <c r="AY29" s="1">
        <f>SUMIF('Input 5_2021CUST-YTD'!$S:$S,$G29,'Input 5_2021CUST-YTD'!D:D)</f>
        <v>1126</v>
      </c>
      <c r="AZ29" s="1">
        <f>SUMIF('Input 5_2021CUST-YTD'!$S:$S,$G29,'Input 5_2021CUST-YTD'!E:E)</f>
        <v>1130</v>
      </c>
      <c r="BA29" s="1">
        <f>SUMIF('Input 5_2021CUST-YTD'!$S:$S,$G29,'Input 5_2021CUST-YTD'!F:F)</f>
        <v>1130</v>
      </c>
      <c r="BB29" s="1">
        <f>SUMIF('Input 5_2021CUST-YTD'!$S:$S,$G29,'Input 5_2021CUST-YTD'!G:G)</f>
        <v>1123</v>
      </c>
      <c r="BC29" s="1">
        <f>SUMIF('Input 5_2021CUST-YTD'!$S:$S,$G29,'Input 5_2021CUST-YTD'!H:H)</f>
        <v>1119</v>
      </c>
      <c r="BD29" s="1">
        <f>SUMIF('Input 5_2021CUST-YTD'!$S:$S,$G29,'Input 5_2021CUST-YTD'!I:I)</f>
        <v>1117</v>
      </c>
      <c r="BE29" s="1">
        <f>SUMIF('Input 5_2021CUST-YTD'!$S:$S,$G29,'Input 5_2021CUST-YTD'!J:J)</f>
        <v>1111</v>
      </c>
      <c r="BF29" s="1">
        <f>SUMIF('Input 5_2021CUST-YTD'!$S:$S,$G29,'Input 5_2021CUST-YTD'!K:K)</f>
        <v>1114</v>
      </c>
      <c r="BG29" s="1">
        <f>SUMIF('Input 5_2021CUST-YTD'!$S:$S,$G29,'Input 5_2021CUST-YTD'!L:L)</f>
        <v>1107</v>
      </c>
      <c r="BH29" s="1">
        <f>SUMIF('Input 5_2021CUST-YTD'!$S:$S,$G29,'Input 5_2021CUST-YTD'!M:M)</f>
        <v>1104</v>
      </c>
      <c r="BI29" s="1">
        <f>SUMIF('Input 5_2021CUST-YTD'!$S:$S,$G29,'Input 5_2021CUST-YTD'!N:N)</f>
        <v>1121</v>
      </c>
      <c r="BJ29" s="190">
        <f t="shared" si="8"/>
        <v>1122.4817083018534</v>
      </c>
      <c r="BK29" s="190">
        <f t="shared" si="9"/>
        <v>1117.5193665321724</v>
      </c>
      <c r="BL29" s="190">
        <f t="shared" si="10"/>
        <v>1121.4892399479172</v>
      </c>
      <c r="BM29" s="190">
        <f t="shared" si="11"/>
        <v>1121.4892399479172</v>
      </c>
      <c r="BN29" s="190">
        <f t="shared" si="12"/>
        <v>1114.5419614703637</v>
      </c>
      <c r="BO29" s="190">
        <f t="shared" si="13"/>
        <v>1110.5720880546189</v>
      </c>
      <c r="BP29" s="190">
        <f t="shared" si="14"/>
        <v>1108.5871513467464</v>
      </c>
      <c r="BQ29" s="190">
        <f t="shared" si="15"/>
        <v>1102.6323412231293</v>
      </c>
      <c r="BR29" s="190">
        <f t="shared" si="16"/>
        <v>1105.609746284938</v>
      </c>
      <c r="BS29" s="190">
        <f t="shared" si="17"/>
        <v>1098.6624678073845</v>
      </c>
      <c r="BT29" s="190">
        <f t="shared" si="18"/>
        <v>1095.6850627455758</v>
      </c>
      <c r="BU29" s="190">
        <f t="shared" si="19"/>
        <v>1112.5570247624912</v>
      </c>
      <c r="BV29" s="190">
        <f t="shared" si="20"/>
        <v>1114.0275733618453</v>
      </c>
      <c r="BW29" s="190">
        <f t="shared" si="21"/>
        <v>1109.1026061940211</v>
      </c>
      <c r="BX29" s="190">
        <f t="shared" si="22"/>
        <v>1113.0425799282805</v>
      </c>
      <c r="BY29" s="190">
        <f t="shared" si="23"/>
        <v>1113.0425799282805</v>
      </c>
      <c r="BZ29" s="190">
        <f t="shared" si="24"/>
        <v>1106.1476258933267</v>
      </c>
      <c r="CA29" s="190">
        <f t="shared" si="25"/>
        <v>1102.2076521590673</v>
      </c>
      <c r="CB29" s="190">
        <f t="shared" si="26"/>
        <v>1100.2376652919374</v>
      </c>
      <c r="CC29" s="190">
        <f t="shared" si="27"/>
        <v>1094.3277046905484</v>
      </c>
      <c r="CD29" s="190">
        <f t="shared" si="28"/>
        <v>1097.2826849912431</v>
      </c>
      <c r="CE29" s="190">
        <f t="shared" si="29"/>
        <v>1090.387730956289</v>
      </c>
      <c r="CF29" s="190">
        <f t="shared" si="30"/>
        <v>1087.4327506555944</v>
      </c>
      <c r="CG29" s="190">
        <f t="shared" si="31"/>
        <v>1104.1776390261969</v>
      </c>
      <c r="CH29" s="264"/>
      <c r="CI29" s="264">
        <f t="shared" si="1"/>
        <v>14041</v>
      </c>
      <c r="CJ29" s="264">
        <f t="shared" si="2"/>
        <v>13816</v>
      </c>
      <c r="CK29" s="264">
        <f t="shared" si="3"/>
        <v>13665</v>
      </c>
      <c r="CL29" s="264">
        <f t="shared" si="4"/>
        <v>13433</v>
      </c>
      <c r="CM29" s="264">
        <f t="shared" si="5"/>
        <v>13331.827398425106</v>
      </c>
      <c r="CN29" s="264">
        <f t="shared" si="6"/>
        <v>13231.416793076631</v>
      </c>
      <c r="CP29" s="574">
        <f>SUMIF('Master '!D:D,D29,'Master '!AB:AB)</f>
        <v>13331.827398425108</v>
      </c>
      <c r="CQ29" s="574">
        <f>SUMIF('Master '!D:D,D29,'Master '!AC:AC)</f>
        <v>13231.416793076631</v>
      </c>
      <c r="CR29" s="264">
        <f t="shared" si="7"/>
        <v>0</v>
      </c>
      <c r="CS29" s="264">
        <f t="shared" si="7"/>
        <v>0</v>
      </c>
    </row>
    <row r="30" spans="1:97" s="261" customFormat="1">
      <c r="A30" s="55" t="s">
        <v>17</v>
      </c>
      <c r="B30" s="55" t="s">
        <v>993</v>
      </c>
      <c r="C30" s="55" t="s">
        <v>8</v>
      </c>
      <c r="D30" s="55" t="s">
        <v>1296</v>
      </c>
      <c r="E30" s="55" t="str">
        <f>VLOOKUP(D30,'Input 14_Ref Table'!C:D,2,FALSE)</f>
        <v>CR804</v>
      </c>
      <c r="F30" s="172" t="s">
        <v>1287</v>
      </c>
      <c r="G30" s="55" t="str">
        <f>VLOOKUP(D30,'Input 14_Ref Table'!C:I,7,FALSE)</f>
        <v>CFG - FTS-A - Fixed R</v>
      </c>
      <c r="H30" s="55" t="str">
        <f>VLOOKUP(D30,'Input 14_Ref Table'!C:K,8,FALSE)</f>
        <v>FTS_AB</v>
      </c>
      <c r="I30" s="55"/>
      <c r="J30" s="261" t="str">
        <f>INDEX('Master '!$AD$2:AD$65,MATCH(D30,'Master '!$D$2:$D$65,0))</f>
        <v>UPC Growth Rate</v>
      </c>
      <c r="K30" s="567">
        <f>INDEX('Master '!$N$2:N$65,MATCH(D30,'Master '!$D$2:$D$65,0))</f>
        <v>-7.5316460637900734E-3</v>
      </c>
      <c r="L30" s="290">
        <f>INDEX('Master '!$S$2:S$65,MATCH(D30,'Master '!$D$2:$D$65,0))</f>
        <v>0</v>
      </c>
      <c r="M30" s="1">
        <f>INDEX('Master '!$W$2:W$65,MATCH(D30,'Master '!$D$2:$D$65,0))</f>
        <v>103.66332451256534</v>
      </c>
      <c r="N30" s="55">
        <f>SUMIF('Input 16_2018CUST-YTD'!$S:$S,$G30,'Input 16_2018CUST-YTD'!C:C)</f>
        <v>34</v>
      </c>
      <c r="O30" s="55">
        <f>SUMIF('Input 16_2018CUST-YTD'!$S:$S,$G30,'Input 16_2018CUST-YTD'!D:D)</f>
        <v>35</v>
      </c>
      <c r="P30" s="55">
        <f>SUMIF('Input 16_2018CUST-YTD'!$S:$S,$G30,'Input 16_2018CUST-YTD'!E:E)</f>
        <v>35</v>
      </c>
      <c r="Q30" s="55">
        <f>SUMIF('Input 16_2018CUST-YTD'!$S:$S,$G30,'Input 16_2018CUST-YTD'!F:F)</f>
        <v>33</v>
      </c>
      <c r="R30" s="55">
        <f>SUMIF('Input 16_2018CUST-YTD'!$S:$S,$G30,'Input 16_2018CUST-YTD'!G:G)</f>
        <v>29</v>
      </c>
      <c r="S30" s="55">
        <f>SUMIF('Input 16_2018CUST-YTD'!$S:$S,$G30,'Input 16_2018CUST-YTD'!H:H)</f>
        <v>29</v>
      </c>
      <c r="T30" s="55">
        <f>SUMIF('Input 16_2018CUST-YTD'!$S:$S,$G30,'Input 16_2018CUST-YTD'!I:I)</f>
        <v>30</v>
      </c>
      <c r="U30" s="55">
        <f>SUMIF('Input 16_2018CUST-YTD'!$S:$S,$G30,'Input 16_2018CUST-YTD'!J:J)</f>
        <v>29</v>
      </c>
      <c r="V30" s="55">
        <f>SUMIF('Input 16_2018CUST-YTD'!$S:$S,$G30,'Input 16_2018CUST-YTD'!K:K)</f>
        <v>28</v>
      </c>
      <c r="W30" s="55">
        <f>SUMIF('Input 16_2018CUST-YTD'!$S:$S,$G30,'Input 16_2018CUST-YTD'!L:L)</f>
        <v>31</v>
      </c>
      <c r="X30" s="55">
        <f>SUMIF('Input 16_2018CUST-YTD'!$S:$S,$G30,'Input 16_2018CUST-YTD'!M:M)</f>
        <v>32</v>
      </c>
      <c r="Y30" s="55">
        <f>SUMIF('Input 16_2018CUST-YTD'!$S:$S,$G30,'Input 16_2018CUST-YTD'!N:N)</f>
        <v>33</v>
      </c>
      <c r="Z30" s="1">
        <f>SUMIF('Input 3_2019CUST-YTD'!$S:$S,$G30,'Input 3_2019CUST-YTD'!C:C)</f>
        <v>34</v>
      </c>
      <c r="AA30" s="1">
        <f>SUMIF('Input 3_2019CUST-YTD'!$S:$S,$G30,'Input 3_2019CUST-YTD'!D:D)</f>
        <v>34</v>
      </c>
      <c r="AB30" s="1">
        <f>SUMIF('Input 3_2019CUST-YTD'!$S:$S,$G30,'Input 3_2019CUST-YTD'!E:E)</f>
        <v>35</v>
      </c>
      <c r="AC30" s="1">
        <f>SUMIF('Input 3_2019CUST-YTD'!$S:$S,$G30,'Input 3_2019CUST-YTD'!F:F)</f>
        <v>34</v>
      </c>
      <c r="AD30" s="1">
        <f>SUMIF('Input 3_2019CUST-YTD'!$S:$S,$G30,'Input 3_2019CUST-YTD'!G:G)</f>
        <v>31</v>
      </c>
      <c r="AE30" s="1">
        <f>SUMIF('Input 3_2019CUST-YTD'!$S:$S,$G30,'Input 3_2019CUST-YTD'!H:H)</f>
        <v>30</v>
      </c>
      <c r="AF30" s="1">
        <f>SUMIF('Input 3_2019CUST-YTD'!$S:$S,$G30,'Input 3_2019CUST-YTD'!I:I)</f>
        <v>29</v>
      </c>
      <c r="AG30" s="1">
        <f>SUMIF('Input 3_2019CUST-YTD'!$S:$S,$G30,'Input 3_2019CUST-YTD'!J:J)</f>
        <v>30</v>
      </c>
      <c r="AH30" s="1">
        <f>SUMIF('Input 3_2019CUST-YTD'!$S:$S,$G30,'Input 3_2019CUST-YTD'!K:K)</f>
        <v>28</v>
      </c>
      <c r="AI30" s="1">
        <f>SUMIF('Input 3_2019CUST-YTD'!$S:$S,$G30,'Input 3_2019CUST-YTD'!L:L)</f>
        <v>31</v>
      </c>
      <c r="AJ30" s="1">
        <f>SUMIF('Input 3_2019CUST-YTD'!$S:$S,$G30,'Input 3_2019CUST-YTD'!M:M)</f>
        <v>32</v>
      </c>
      <c r="AK30" s="1">
        <f>SUMIF('Input 3_2019CUST-YTD'!$S:$S,$G30,'Input 3_2019CUST-YTD'!N:N)</f>
        <v>33</v>
      </c>
      <c r="AL30" s="1">
        <f>SUMIF('Input 4_2020CUST-YTD'!$S:$S,$G30,'Input 4_2020CUST-YTD'!C:C)</f>
        <v>33</v>
      </c>
      <c r="AM30" s="1">
        <f>SUMIF('Input 4_2020CUST-YTD'!$S:$S,$G30,'Input 4_2020CUST-YTD'!D:D)</f>
        <v>35</v>
      </c>
      <c r="AN30" s="1">
        <f>SUMIF('Input 4_2020CUST-YTD'!$S:$S,$G30,'Input 4_2020CUST-YTD'!E:E)</f>
        <v>35</v>
      </c>
      <c r="AO30" s="1">
        <f>SUMIF('Input 4_2020CUST-YTD'!$S:$S,$G30,'Input 4_2020CUST-YTD'!F:F)</f>
        <v>33</v>
      </c>
      <c r="AP30" s="1">
        <f>SUMIF('Input 4_2020CUST-YTD'!$S:$S,$G30,'Input 4_2020CUST-YTD'!G:G)</f>
        <v>31</v>
      </c>
      <c r="AQ30" s="1">
        <f>SUMIF('Input 4_2020CUST-YTD'!$S:$S,$G30,'Input 4_2020CUST-YTD'!H:H)</f>
        <v>31</v>
      </c>
      <c r="AR30" s="1">
        <f>SUMIF('Input 4_2020CUST-YTD'!$S:$S,$G30,'Input 4_2020CUST-YTD'!I:I)</f>
        <v>31</v>
      </c>
      <c r="AS30" s="1">
        <f>SUMIF('Input 4_2020CUST-YTD'!$S:$S,$G30,'Input 4_2020CUST-YTD'!J:J)</f>
        <v>29</v>
      </c>
      <c r="AT30" s="1">
        <f>SUMIF('Input 4_2020CUST-YTD'!$S:$S,$G30,'Input 4_2020CUST-YTD'!K:K)</f>
        <v>29</v>
      </c>
      <c r="AU30" s="1">
        <f>SUMIF('Input 4_2020CUST-YTD'!$S:$S,$G30,'Input 4_2020CUST-YTD'!L:L)</f>
        <v>30</v>
      </c>
      <c r="AV30" s="1">
        <f>SUMIF('Input 4_2020CUST-YTD'!$S:$S,$G30,'Input 4_2020CUST-YTD'!M:M)</f>
        <v>32</v>
      </c>
      <c r="AW30" s="1">
        <f>SUMIF('Input 4_2020CUST-YTD'!$S:$S,$G30,'Input 4_2020CUST-YTD'!N:N)</f>
        <v>32</v>
      </c>
      <c r="AX30" s="1">
        <f>SUMIF('Input 5_2021CUST-YTD'!$S:$S,$G30,'Input 5_2021CUST-YTD'!C:C)</f>
        <v>31</v>
      </c>
      <c r="AY30" s="1">
        <f>SUMIF('Input 5_2021CUST-YTD'!$S:$S,$G30,'Input 5_2021CUST-YTD'!D:D)</f>
        <v>31</v>
      </c>
      <c r="AZ30" s="1">
        <f>SUMIF('Input 5_2021CUST-YTD'!$S:$S,$G30,'Input 5_2021CUST-YTD'!E:E)</f>
        <v>31</v>
      </c>
      <c r="BA30" s="1">
        <f>SUMIF('Input 5_2021CUST-YTD'!$S:$S,$G30,'Input 5_2021CUST-YTD'!F:F)</f>
        <v>32</v>
      </c>
      <c r="BB30" s="1">
        <f>SUMIF('Input 5_2021CUST-YTD'!$S:$S,$G30,'Input 5_2021CUST-YTD'!G:G)</f>
        <v>32</v>
      </c>
      <c r="BC30" s="1">
        <f>SUMIF('Input 5_2021CUST-YTD'!$S:$S,$G30,'Input 5_2021CUST-YTD'!H:H)</f>
        <v>31</v>
      </c>
      <c r="BD30" s="1">
        <f>SUMIF('Input 5_2021CUST-YTD'!$S:$S,$G30,'Input 5_2021CUST-YTD'!I:I)</f>
        <v>31</v>
      </c>
      <c r="BE30" s="1">
        <f>SUMIF('Input 5_2021CUST-YTD'!$S:$S,$G30,'Input 5_2021CUST-YTD'!J:J)</f>
        <v>29</v>
      </c>
      <c r="BF30" s="1">
        <f>SUMIF('Input 5_2021CUST-YTD'!$S:$S,$G30,'Input 5_2021CUST-YTD'!K:K)</f>
        <v>28</v>
      </c>
      <c r="BG30" s="1">
        <f>SUMIF('Input 5_2021CUST-YTD'!$S:$S,$G30,'Input 5_2021CUST-YTD'!L:L)</f>
        <v>28</v>
      </c>
      <c r="BH30" s="1">
        <f>SUMIF('Input 5_2021CUST-YTD'!$S:$S,$G30,'Input 5_2021CUST-YTD'!M:M)</f>
        <v>30</v>
      </c>
      <c r="BI30" s="1">
        <f>SUMIF('Input 5_2021CUST-YTD'!$S:$S,$G30,'Input 5_2021CUST-YTD'!N:N)</f>
        <v>32</v>
      </c>
      <c r="BJ30" s="190">
        <f t="shared" si="8"/>
        <v>30.766518972022507</v>
      </c>
      <c r="BK30" s="190">
        <f t="shared" si="9"/>
        <v>30.766518972022507</v>
      </c>
      <c r="BL30" s="190">
        <f t="shared" si="10"/>
        <v>30.766518972022507</v>
      </c>
      <c r="BM30" s="190">
        <f t="shared" si="11"/>
        <v>31.758987325958717</v>
      </c>
      <c r="BN30" s="190">
        <f t="shared" si="12"/>
        <v>31.758987325958717</v>
      </c>
      <c r="BO30" s="190">
        <f t="shared" si="13"/>
        <v>30.766518972022507</v>
      </c>
      <c r="BP30" s="190">
        <f t="shared" si="14"/>
        <v>30.766518972022507</v>
      </c>
      <c r="BQ30" s="190">
        <f t="shared" si="15"/>
        <v>28.781582264150089</v>
      </c>
      <c r="BR30" s="190">
        <f t="shared" si="16"/>
        <v>27.789113910213878</v>
      </c>
      <c r="BS30" s="190">
        <f t="shared" si="17"/>
        <v>27.789113910213878</v>
      </c>
      <c r="BT30" s="190">
        <f t="shared" si="18"/>
        <v>29.774050618086296</v>
      </c>
      <c r="BU30" s="190">
        <f t="shared" si="19"/>
        <v>31.758987325958717</v>
      </c>
      <c r="BV30" s="190">
        <f t="shared" si="20"/>
        <v>30.534796440510352</v>
      </c>
      <c r="BW30" s="190">
        <f t="shared" si="21"/>
        <v>30.534796440510352</v>
      </c>
      <c r="BX30" s="190">
        <f t="shared" si="22"/>
        <v>30.534796440510352</v>
      </c>
      <c r="BY30" s="190">
        <f t="shared" si="23"/>
        <v>31.519789874075201</v>
      </c>
      <c r="BZ30" s="190">
        <f t="shared" si="24"/>
        <v>31.519789874075201</v>
      </c>
      <c r="CA30" s="190">
        <f t="shared" si="25"/>
        <v>30.534796440510352</v>
      </c>
      <c r="CB30" s="190">
        <f t="shared" si="26"/>
        <v>30.534796440510352</v>
      </c>
      <c r="CC30" s="190">
        <f t="shared" si="27"/>
        <v>28.564809573380654</v>
      </c>
      <c r="CD30" s="190">
        <f t="shared" si="28"/>
        <v>27.579816139815801</v>
      </c>
      <c r="CE30" s="190">
        <f t="shared" si="29"/>
        <v>27.579816139815801</v>
      </c>
      <c r="CF30" s="190">
        <f t="shared" si="30"/>
        <v>29.549803006945499</v>
      </c>
      <c r="CG30" s="190">
        <f t="shared" si="31"/>
        <v>31.519789874075201</v>
      </c>
      <c r="CH30" s="264"/>
      <c r="CI30" s="264">
        <f t="shared" si="1"/>
        <v>378</v>
      </c>
      <c r="CJ30" s="264">
        <f t="shared" si="2"/>
        <v>381</v>
      </c>
      <c r="CK30" s="264">
        <f t="shared" si="3"/>
        <v>381</v>
      </c>
      <c r="CL30" s="264">
        <f t="shared" si="4"/>
        <v>366</v>
      </c>
      <c r="CM30" s="264">
        <f t="shared" si="5"/>
        <v>363.24341754065284</v>
      </c>
      <c r="CN30" s="264">
        <f t="shared" si="6"/>
        <v>360.50759668473518</v>
      </c>
      <c r="CP30" s="574">
        <f>SUMIF('Master '!D:D,D30,'Master '!AB:AB)</f>
        <v>363.24341754065284</v>
      </c>
      <c r="CQ30" s="574">
        <f>SUMIF('Master '!D:D,D30,'Master '!AC:AC)</f>
        <v>360.50759668473512</v>
      </c>
      <c r="CR30" s="264">
        <f t="shared" si="7"/>
        <v>0</v>
      </c>
      <c r="CS30" s="264">
        <f t="shared" si="7"/>
        <v>0</v>
      </c>
    </row>
    <row r="31" spans="1:97" s="261" customFormat="1">
      <c r="A31" s="55" t="s">
        <v>17</v>
      </c>
      <c r="B31" s="55" t="s">
        <v>993</v>
      </c>
      <c r="C31" s="55" t="s">
        <v>8</v>
      </c>
      <c r="D31" s="55" t="s">
        <v>1298</v>
      </c>
      <c r="E31" s="55" t="str">
        <f>VLOOKUP(D31,'Input 14_Ref Table'!C:D,2,FALSE)</f>
        <v>CR807</v>
      </c>
      <c r="F31" s="172" t="s">
        <v>1286</v>
      </c>
      <c r="G31" s="55" t="str">
        <f>VLOOKUP(D31,'Input 14_Ref Table'!C:I,7,FALSE)</f>
        <v>CFG - FTS-B R</v>
      </c>
      <c r="H31" s="55" t="str">
        <f>VLOOKUP(D31,'Input 14_Ref Table'!C:K,8,FALSE)</f>
        <v>FTS_AB</v>
      </c>
      <c r="I31" s="55"/>
      <c r="J31" s="261" t="str">
        <f>INDEX('Master '!$AD$2:AD$65,MATCH(D31,'Master '!$D$2:$D$65,0))</f>
        <v>UPC Growth Rate</v>
      </c>
      <c r="K31" s="567">
        <f>INDEX('Master '!$N$2:N$65,MATCH(D31,'Master '!$D$2:$D$65,0))</f>
        <v>-7.5316460637900734E-3</v>
      </c>
      <c r="L31" s="290">
        <f>INDEX('Master '!$S$2:S$65,MATCH(D31,'Master '!$D$2:$D$65,0))</f>
        <v>0</v>
      </c>
      <c r="M31" s="1">
        <f>INDEX('Master '!$W$2:W$65,MATCH(D31,'Master '!$D$2:$D$65,0))</f>
        <v>103.66332451256534</v>
      </c>
      <c r="N31" s="55">
        <f>SUMIF('Input 16_2018CUST-YTD'!$S:$S,$G31,'Input 16_2018CUST-YTD'!C:C)</f>
        <v>2264</v>
      </c>
      <c r="O31" s="55">
        <f>SUMIF('Input 16_2018CUST-YTD'!$S:$S,$G31,'Input 16_2018CUST-YTD'!D:D)</f>
        <v>2277</v>
      </c>
      <c r="P31" s="55">
        <f>SUMIF('Input 16_2018CUST-YTD'!$S:$S,$G31,'Input 16_2018CUST-YTD'!E:E)</f>
        <v>2272</v>
      </c>
      <c r="Q31" s="55">
        <f>SUMIF('Input 16_2018CUST-YTD'!$S:$S,$G31,'Input 16_2018CUST-YTD'!F:F)</f>
        <v>2288</v>
      </c>
      <c r="R31" s="55">
        <f>SUMIF('Input 16_2018CUST-YTD'!$S:$S,$G31,'Input 16_2018CUST-YTD'!G:G)</f>
        <v>2273</v>
      </c>
      <c r="S31" s="55">
        <f>SUMIF('Input 16_2018CUST-YTD'!$S:$S,$G31,'Input 16_2018CUST-YTD'!H:H)</f>
        <v>2262</v>
      </c>
      <c r="T31" s="55">
        <f>SUMIF('Input 16_2018CUST-YTD'!$S:$S,$G31,'Input 16_2018CUST-YTD'!I:I)</f>
        <v>2270</v>
      </c>
      <c r="U31" s="55">
        <f>SUMIF('Input 16_2018CUST-YTD'!$S:$S,$G31,'Input 16_2018CUST-YTD'!J:J)</f>
        <v>2261</v>
      </c>
      <c r="V31" s="55">
        <f>SUMIF('Input 16_2018CUST-YTD'!$S:$S,$G31,'Input 16_2018CUST-YTD'!K:K)</f>
        <v>2261</v>
      </c>
      <c r="W31" s="55">
        <f>SUMIF('Input 16_2018CUST-YTD'!$S:$S,$G31,'Input 16_2018CUST-YTD'!L:L)</f>
        <v>2249</v>
      </c>
      <c r="X31" s="55">
        <f>SUMIF('Input 16_2018CUST-YTD'!$S:$S,$G31,'Input 16_2018CUST-YTD'!M:M)</f>
        <v>2265</v>
      </c>
      <c r="Y31" s="55">
        <f>SUMIF('Input 16_2018CUST-YTD'!$S:$S,$G31,'Input 16_2018CUST-YTD'!N:N)</f>
        <v>2268</v>
      </c>
      <c r="Z31" s="1">
        <f>SUMIF('Input 3_2019CUST-YTD'!$S:$S,$G31,'Input 3_2019CUST-YTD'!C:C)</f>
        <v>2273</v>
      </c>
      <c r="AA31" s="1">
        <f>SUMIF('Input 3_2019CUST-YTD'!$S:$S,$G31,'Input 3_2019CUST-YTD'!D:D)</f>
        <v>2281</v>
      </c>
      <c r="AB31" s="1">
        <f>SUMIF('Input 3_2019CUST-YTD'!$S:$S,$G31,'Input 3_2019CUST-YTD'!E:E)</f>
        <v>2279</v>
      </c>
      <c r="AC31" s="1">
        <f>SUMIF('Input 3_2019CUST-YTD'!$S:$S,$G31,'Input 3_2019CUST-YTD'!F:F)</f>
        <v>2282</v>
      </c>
      <c r="AD31" s="1">
        <f>SUMIF('Input 3_2019CUST-YTD'!$S:$S,$G31,'Input 3_2019CUST-YTD'!G:G)</f>
        <v>2261</v>
      </c>
      <c r="AE31" s="1">
        <f>SUMIF('Input 3_2019CUST-YTD'!$S:$S,$G31,'Input 3_2019CUST-YTD'!H:H)</f>
        <v>2240</v>
      </c>
      <c r="AF31" s="1">
        <f>SUMIF('Input 3_2019CUST-YTD'!$S:$S,$G31,'Input 3_2019CUST-YTD'!I:I)</f>
        <v>2252</v>
      </c>
      <c r="AG31" s="1">
        <f>SUMIF('Input 3_2019CUST-YTD'!$S:$S,$G31,'Input 3_2019CUST-YTD'!J:J)</f>
        <v>2240</v>
      </c>
      <c r="AH31" s="1">
        <f>SUMIF('Input 3_2019CUST-YTD'!$S:$S,$G31,'Input 3_2019CUST-YTD'!K:K)</f>
        <v>2246</v>
      </c>
      <c r="AI31" s="1">
        <f>SUMIF('Input 3_2019CUST-YTD'!$S:$S,$G31,'Input 3_2019CUST-YTD'!L:L)</f>
        <v>2227</v>
      </c>
      <c r="AJ31" s="1">
        <f>SUMIF('Input 3_2019CUST-YTD'!$S:$S,$G31,'Input 3_2019CUST-YTD'!M:M)</f>
        <v>2223</v>
      </c>
      <c r="AK31" s="1">
        <f>SUMIF('Input 3_2019CUST-YTD'!$S:$S,$G31,'Input 3_2019CUST-YTD'!N:N)</f>
        <v>2241</v>
      </c>
      <c r="AL31" s="1">
        <f>SUMIF('Input 4_2020CUST-YTD'!$S:$S,$G31,'Input 4_2020CUST-YTD'!C:C)</f>
        <v>2241</v>
      </c>
      <c r="AM31" s="1">
        <f>SUMIF('Input 4_2020CUST-YTD'!$S:$S,$G31,'Input 4_2020CUST-YTD'!D:D)</f>
        <v>2245</v>
      </c>
      <c r="AN31" s="1">
        <f>SUMIF('Input 4_2020CUST-YTD'!$S:$S,$G31,'Input 4_2020CUST-YTD'!E:E)</f>
        <v>2250</v>
      </c>
      <c r="AO31" s="1">
        <f>SUMIF('Input 4_2020CUST-YTD'!$S:$S,$G31,'Input 4_2020CUST-YTD'!F:F)</f>
        <v>2242</v>
      </c>
      <c r="AP31" s="1">
        <f>SUMIF('Input 4_2020CUST-YTD'!$S:$S,$G31,'Input 4_2020CUST-YTD'!G:G)</f>
        <v>2241</v>
      </c>
      <c r="AQ31" s="1">
        <f>SUMIF('Input 4_2020CUST-YTD'!$S:$S,$G31,'Input 4_2020CUST-YTD'!H:H)</f>
        <v>2232</v>
      </c>
      <c r="AR31" s="1">
        <f>SUMIF('Input 4_2020CUST-YTD'!$S:$S,$G31,'Input 4_2020CUST-YTD'!I:I)</f>
        <v>2240</v>
      </c>
      <c r="AS31" s="1">
        <f>SUMIF('Input 4_2020CUST-YTD'!$S:$S,$G31,'Input 4_2020CUST-YTD'!J:J)</f>
        <v>2241</v>
      </c>
      <c r="AT31" s="1">
        <f>SUMIF('Input 4_2020CUST-YTD'!$S:$S,$G31,'Input 4_2020CUST-YTD'!K:K)</f>
        <v>2243</v>
      </c>
      <c r="AU31" s="1">
        <f>SUMIF('Input 4_2020CUST-YTD'!$S:$S,$G31,'Input 4_2020CUST-YTD'!L:L)</f>
        <v>2249</v>
      </c>
      <c r="AV31" s="1">
        <f>SUMIF('Input 4_2020CUST-YTD'!$S:$S,$G31,'Input 4_2020CUST-YTD'!M:M)</f>
        <v>2244</v>
      </c>
      <c r="AW31" s="1">
        <f>SUMIF('Input 4_2020CUST-YTD'!$S:$S,$G31,'Input 4_2020CUST-YTD'!N:N)</f>
        <v>2249</v>
      </c>
      <c r="AX31" s="1">
        <f>SUMIF('Input 5_2021CUST-YTD'!$S:$S,$G31,'Input 5_2021CUST-YTD'!C:C)</f>
        <v>2247</v>
      </c>
      <c r="AY31" s="1">
        <f>SUMIF('Input 5_2021CUST-YTD'!$S:$S,$G31,'Input 5_2021CUST-YTD'!D:D)</f>
        <v>2253</v>
      </c>
      <c r="AZ31" s="1">
        <f>SUMIF('Input 5_2021CUST-YTD'!$S:$S,$G31,'Input 5_2021CUST-YTD'!E:E)</f>
        <v>2254</v>
      </c>
      <c r="BA31" s="1">
        <f>SUMIF('Input 5_2021CUST-YTD'!$S:$S,$G31,'Input 5_2021CUST-YTD'!F:F)</f>
        <v>2256</v>
      </c>
      <c r="BB31" s="1">
        <f>SUMIF('Input 5_2021CUST-YTD'!$S:$S,$G31,'Input 5_2021CUST-YTD'!G:G)</f>
        <v>2251</v>
      </c>
      <c r="BC31" s="1">
        <f>SUMIF('Input 5_2021CUST-YTD'!$S:$S,$G31,'Input 5_2021CUST-YTD'!H:H)</f>
        <v>2238</v>
      </c>
      <c r="BD31" s="1">
        <f>SUMIF('Input 5_2021CUST-YTD'!$S:$S,$G31,'Input 5_2021CUST-YTD'!I:I)</f>
        <v>2235</v>
      </c>
      <c r="BE31" s="1">
        <f>SUMIF('Input 5_2021CUST-YTD'!$S:$S,$G31,'Input 5_2021CUST-YTD'!J:J)</f>
        <v>2226</v>
      </c>
      <c r="BF31" s="1">
        <f>SUMIF('Input 5_2021CUST-YTD'!$S:$S,$G31,'Input 5_2021CUST-YTD'!K:K)</f>
        <v>2215</v>
      </c>
      <c r="BG31" s="1">
        <f>SUMIF('Input 5_2021CUST-YTD'!$S:$S,$G31,'Input 5_2021CUST-YTD'!L:L)</f>
        <v>2211</v>
      </c>
      <c r="BH31" s="1">
        <f>SUMIF('Input 5_2021CUST-YTD'!$S:$S,$G31,'Input 5_2021CUST-YTD'!M:M)</f>
        <v>2220</v>
      </c>
      <c r="BI31" s="1">
        <f>SUMIF('Input 5_2021CUST-YTD'!$S:$S,$G31,'Input 5_2021CUST-YTD'!N:N)</f>
        <v>2226</v>
      </c>
      <c r="BJ31" s="190">
        <f t="shared" si="8"/>
        <v>2230.0763912946636</v>
      </c>
      <c r="BK31" s="190">
        <f t="shared" si="9"/>
        <v>2236.0312014182809</v>
      </c>
      <c r="BL31" s="190">
        <f t="shared" si="10"/>
        <v>2237.0236697722171</v>
      </c>
      <c r="BM31" s="190">
        <f t="shared" si="11"/>
        <v>2239.0086064800894</v>
      </c>
      <c r="BN31" s="190">
        <f t="shared" si="12"/>
        <v>2234.0462647104086</v>
      </c>
      <c r="BO31" s="190">
        <f t="shared" si="13"/>
        <v>2221.1441761092378</v>
      </c>
      <c r="BP31" s="190">
        <f t="shared" si="14"/>
        <v>2218.1667710474289</v>
      </c>
      <c r="BQ31" s="190">
        <f t="shared" si="15"/>
        <v>2209.2345558620032</v>
      </c>
      <c r="BR31" s="190">
        <f t="shared" si="16"/>
        <v>2198.3174039687051</v>
      </c>
      <c r="BS31" s="190">
        <f t="shared" si="17"/>
        <v>2194.3475305529601</v>
      </c>
      <c r="BT31" s="190">
        <f t="shared" si="18"/>
        <v>2203.2797457383858</v>
      </c>
      <c r="BU31" s="190">
        <f t="shared" si="19"/>
        <v>2209.2345558620032</v>
      </c>
      <c r="BV31" s="190">
        <f t="shared" si="20"/>
        <v>2213.2802452202181</v>
      </c>
      <c r="BW31" s="190">
        <f t="shared" si="21"/>
        <v>2219.1902058216069</v>
      </c>
      <c r="BX31" s="190">
        <f t="shared" si="22"/>
        <v>2220.1751992551717</v>
      </c>
      <c r="BY31" s="190">
        <f t="shared" si="23"/>
        <v>2222.1451861223013</v>
      </c>
      <c r="BZ31" s="190">
        <f t="shared" si="24"/>
        <v>2217.2202189544773</v>
      </c>
      <c r="CA31" s="190">
        <f t="shared" si="25"/>
        <v>2204.4153043181345</v>
      </c>
      <c r="CB31" s="190">
        <f t="shared" si="26"/>
        <v>2201.4603240174397</v>
      </c>
      <c r="CC31" s="190">
        <f t="shared" si="27"/>
        <v>2192.5953831153561</v>
      </c>
      <c r="CD31" s="190">
        <f t="shared" si="28"/>
        <v>2181.7604553461429</v>
      </c>
      <c r="CE31" s="190">
        <f t="shared" si="29"/>
        <v>2177.8204816118832</v>
      </c>
      <c r="CF31" s="190">
        <f t="shared" si="30"/>
        <v>2186.6854225139668</v>
      </c>
      <c r="CG31" s="190">
        <f t="shared" si="31"/>
        <v>2192.5953831153561</v>
      </c>
      <c r="CH31" s="264"/>
      <c r="CI31" s="264">
        <f t="shared" si="1"/>
        <v>27210</v>
      </c>
      <c r="CJ31" s="264">
        <f t="shared" si="2"/>
        <v>27045</v>
      </c>
      <c r="CK31" s="264">
        <f t="shared" si="3"/>
        <v>26917</v>
      </c>
      <c r="CL31" s="264">
        <f t="shared" si="4"/>
        <v>26832</v>
      </c>
      <c r="CM31" s="264">
        <f t="shared" si="5"/>
        <v>26629.910872816381</v>
      </c>
      <c r="CN31" s="264">
        <f t="shared" si="6"/>
        <v>26429.343809412054</v>
      </c>
      <c r="CP31" s="574">
        <f>SUMIF('Master '!D:D,D31,'Master '!AB:AB)</f>
        <v>26629.910872816385</v>
      </c>
      <c r="CQ31" s="574">
        <f>SUMIF('Master '!D:D,D31,'Master '!AC:AC)</f>
        <v>26429.343809412057</v>
      </c>
      <c r="CR31" s="264">
        <f t="shared" si="7"/>
        <v>0</v>
      </c>
      <c r="CS31" s="264">
        <f t="shared" si="7"/>
        <v>0</v>
      </c>
    </row>
    <row r="32" spans="1:97" s="261" customFormat="1">
      <c r="A32" s="55" t="s">
        <v>17</v>
      </c>
      <c r="B32" s="55" t="s">
        <v>993</v>
      </c>
      <c r="C32" s="55" t="s">
        <v>8</v>
      </c>
      <c r="D32" s="55" t="s">
        <v>1297</v>
      </c>
      <c r="E32" s="55" t="str">
        <f>VLOOKUP(D32,'Input 14_Ref Table'!C:D,2,FALSE)</f>
        <v>CR814</v>
      </c>
      <c r="F32" s="172" t="s">
        <v>1287</v>
      </c>
      <c r="G32" s="55" t="str">
        <f>VLOOKUP(D32,'Input 14_Ref Table'!C:I,7,FALSE)</f>
        <v>CFG - FTS-B - Fixed R</v>
      </c>
      <c r="H32" s="55" t="str">
        <f>VLOOKUP(D32,'Input 14_Ref Table'!C:K,8,FALSE)</f>
        <v>FTS_AB</v>
      </c>
      <c r="I32" s="55"/>
      <c r="J32" s="261" t="str">
        <f>INDEX('Master '!$AD$2:AD$65,MATCH(D32,'Master '!$D$2:$D$65,0))</f>
        <v>UPC Growth Rate</v>
      </c>
      <c r="K32" s="567">
        <f>INDEX('Master '!$N$2:N$65,MATCH(D32,'Master '!$D$2:$D$65,0))</f>
        <v>-7.5316460637900734E-3</v>
      </c>
      <c r="L32" s="290">
        <f>INDEX('Master '!$S$2:S$65,MATCH(D32,'Master '!$D$2:$D$65,0))</f>
        <v>0</v>
      </c>
      <c r="M32" s="1">
        <f>INDEX('Master '!$W$2:W$65,MATCH(D32,'Master '!$D$2:$D$65,0))</f>
        <v>103.66332451256534</v>
      </c>
      <c r="N32" s="55">
        <f>SUMIF('Input 16_2018CUST-YTD'!$S:$S,$G32,'Input 16_2018CUST-YTD'!C:C)</f>
        <v>66</v>
      </c>
      <c r="O32" s="55">
        <f>SUMIF('Input 16_2018CUST-YTD'!$S:$S,$G32,'Input 16_2018CUST-YTD'!D:D)</f>
        <v>65</v>
      </c>
      <c r="P32" s="55">
        <f>SUMIF('Input 16_2018CUST-YTD'!$S:$S,$G32,'Input 16_2018CUST-YTD'!E:E)</f>
        <v>66</v>
      </c>
      <c r="Q32" s="55">
        <f>SUMIF('Input 16_2018CUST-YTD'!$S:$S,$G32,'Input 16_2018CUST-YTD'!F:F)</f>
        <v>65</v>
      </c>
      <c r="R32" s="55">
        <f>SUMIF('Input 16_2018CUST-YTD'!$S:$S,$G32,'Input 16_2018CUST-YTD'!G:G)</f>
        <v>62</v>
      </c>
      <c r="S32" s="55">
        <f>SUMIF('Input 16_2018CUST-YTD'!$S:$S,$G32,'Input 16_2018CUST-YTD'!H:H)</f>
        <v>63</v>
      </c>
      <c r="T32" s="55">
        <f>SUMIF('Input 16_2018CUST-YTD'!$S:$S,$G32,'Input 16_2018CUST-YTD'!I:I)</f>
        <v>59</v>
      </c>
      <c r="U32" s="55">
        <f>SUMIF('Input 16_2018CUST-YTD'!$S:$S,$G32,'Input 16_2018CUST-YTD'!J:J)</f>
        <v>60</v>
      </c>
      <c r="V32" s="55">
        <f>SUMIF('Input 16_2018CUST-YTD'!$S:$S,$G32,'Input 16_2018CUST-YTD'!K:K)</f>
        <v>60</v>
      </c>
      <c r="W32" s="55">
        <f>SUMIF('Input 16_2018CUST-YTD'!$S:$S,$G32,'Input 16_2018CUST-YTD'!L:L)</f>
        <v>61</v>
      </c>
      <c r="X32" s="55">
        <f>SUMIF('Input 16_2018CUST-YTD'!$S:$S,$G32,'Input 16_2018CUST-YTD'!M:M)</f>
        <v>59</v>
      </c>
      <c r="Y32" s="55">
        <f>SUMIF('Input 16_2018CUST-YTD'!$S:$S,$G32,'Input 16_2018CUST-YTD'!N:N)</f>
        <v>59</v>
      </c>
      <c r="Z32" s="1">
        <f>SUMIF('Input 3_2019CUST-YTD'!$S:$S,$G32,'Input 3_2019CUST-YTD'!C:C)</f>
        <v>61</v>
      </c>
      <c r="AA32" s="1">
        <f>SUMIF('Input 3_2019CUST-YTD'!$S:$S,$G32,'Input 3_2019CUST-YTD'!D:D)</f>
        <v>62</v>
      </c>
      <c r="AB32" s="1">
        <f>SUMIF('Input 3_2019CUST-YTD'!$S:$S,$G32,'Input 3_2019CUST-YTD'!E:E)</f>
        <v>61</v>
      </c>
      <c r="AC32" s="1">
        <f>SUMIF('Input 3_2019CUST-YTD'!$S:$S,$G32,'Input 3_2019CUST-YTD'!F:F)</f>
        <v>62</v>
      </c>
      <c r="AD32" s="1">
        <f>SUMIF('Input 3_2019CUST-YTD'!$S:$S,$G32,'Input 3_2019CUST-YTD'!G:G)</f>
        <v>62</v>
      </c>
      <c r="AE32" s="1">
        <f>SUMIF('Input 3_2019CUST-YTD'!$S:$S,$G32,'Input 3_2019CUST-YTD'!H:H)</f>
        <v>62</v>
      </c>
      <c r="AF32" s="1">
        <f>SUMIF('Input 3_2019CUST-YTD'!$S:$S,$G32,'Input 3_2019CUST-YTD'!I:I)</f>
        <v>61</v>
      </c>
      <c r="AG32" s="1">
        <f>SUMIF('Input 3_2019CUST-YTD'!$S:$S,$G32,'Input 3_2019CUST-YTD'!J:J)</f>
        <v>60</v>
      </c>
      <c r="AH32" s="1">
        <f>SUMIF('Input 3_2019CUST-YTD'!$S:$S,$G32,'Input 3_2019CUST-YTD'!K:K)</f>
        <v>60</v>
      </c>
      <c r="AI32" s="1">
        <f>SUMIF('Input 3_2019CUST-YTD'!$S:$S,$G32,'Input 3_2019CUST-YTD'!L:L)</f>
        <v>63</v>
      </c>
      <c r="AJ32" s="1">
        <f>SUMIF('Input 3_2019CUST-YTD'!$S:$S,$G32,'Input 3_2019CUST-YTD'!M:M)</f>
        <v>62</v>
      </c>
      <c r="AK32" s="1">
        <f>SUMIF('Input 3_2019CUST-YTD'!$S:$S,$G32,'Input 3_2019CUST-YTD'!N:N)</f>
        <v>64</v>
      </c>
      <c r="AL32" s="1">
        <f>SUMIF('Input 4_2020CUST-YTD'!$S:$S,$G32,'Input 4_2020CUST-YTD'!C:C)</f>
        <v>63</v>
      </c>
      <c r="AM32" s="1">
        <f>SUMIF('Input 4_2020CUST-YTD'!$S:$S,$G32,'Input 4_2020CUST-YTD'!D:D)</f>
        <v>61</v>
      </c>
      <c r="AN32" s="1">
        <f>SUMIF('Input 4_2020CUST-YTD'!$S:$S,$G32,'Input 4_2020CUST-YTD'!E:E)</f>
        <v>61</v>
      </c>
      <c r="AO32" s="1">
        <f>SUMIF('Input 4_2020CUST-YTD'!$S:$S,$G32,'Input 4_2020CUST-YTD'!F:F)</f>
        <v>62</v>
      </c>
      <c r="AP32" s="1">
        <f>SUMIF('Input 4_2020CUST-YTD'!$S:$S,$G32,'Input 4_2020CUST-YTD'!G:G)</f>
        <v>60</v>
      </c>
      <c r="AQ32" s="1">
        <f>SUMIF('Input 4_2020CUST-YTD'!$S:$S,$G32,'Input 4_2020CUST-YTD'!H:H)</f>
        <v>60</v>
      </c>
      <c r="AR32" s="1">
        <f>SUMIF('Input 4_2020CUST-YTD'!$S:$S,$G32,'Input 4_2020CUST-YTD'!I:I)</f>
        <v>60</v>
      </c>
      <c r="AS32" s="1">
        <f>SUMIF('Input 4_2020CUST-YTD'!$S:$S,$G32,'Input 4_2020CUST-YTD'!J:J)</f>
        <v>61</v>
      </c>
      <c r="AT32" s="1">
        <f>SUMIF('Input 4_2020CUST-YTD'!$S:$S,$G32,'Input 4_2020CUST-YTD'!K:K)</f>
        <v>61</v>
      </c>
      <c r="AU32" s="1">
        <f>SUMIF('Input 4_2020CUST-YTD'!$S:$S,$G32,'Input 4_2020CUST-YTD'!L:L)</f>
        <v>63</v>
      </c>
      <c r="AV32" s="1">
        <f>SUMIF('Input 4_2020CUST-YTD'!$S:$S,$G32,'Input 4_2020CUST-YTD'!M:M)</f>
        <v>62</v>
      </c>
      <c r="AW32" s="1">
        <f>SUMIF('Input 4_2020CUST-YTD'!$S:$S,$G32,'Input 4_2020CUST-YTD'!N:N)</f>
        <v>62</v>
      </c>
      <c r="AX32" s="1">
        <f>SUMIF('Input 5_2021CUST-YTD'!$S:$S,$G32,'Input 5_2021CUST-YTD'!C:C)</f>
        <v>62</v>
      </c>
      <c r="AY32" s="1">
        <f>SUMIF('Input 5_2021CUST-YTD'!$S:$S,$G32,'Input 5_2021CUST-YTD'!D:D)</f>
        <v>62</v>
      </c>
      <c r="AZ32" s="1">
        <f>SUMIF('Input 5_2021CUST-YTD'!$S:$S,$G32,'Input 5_2021CUST-YTD'!E:E)</f>
        <v>62</v>
      </c>
      <c r="BA32" s="1">
        <f>SUMIF('Input 5_2021CUST-YTD'!$S:$S,$G32,'Input 5_2021CUST-YTD'!F:F)</f>
        <v>62</v>
      </c>
      <c r="BB32" s="1">
        <f>SUMIF('Input 5_2021CUST-YTD'!$S:$S,$G32,'Input 5_2021CUST-YTD'!G:G)</f>
        <v>62</v>
      </c>
      <c r="BC32" s="1">
        <f>SUMIF('Input 5_2021CUST-YTD'!$S:$S,$G32,'Input 5_2021CUST-YTD'!H:H)</f>
        <v>61</v>
      </c>
      <c r="BD32" s="1">
        <f>SUMIF('Input 5_2021CUST-YTD'!$S:$S,$G32,'Input 5_2021CUST-YTD'!I:I)</f>
        <v>61</v>
      </c>
      <c r="BE32" s="1">
        <f>SUMIF('Input 5_2021CUST-YTD'!$S:$S,$G32,'Input 5_2021CUST-YTD'!J:J)</f>
        <v>62</v>
      </c>
      <c r="BF32" s="1">
        <f>SUMIF('Input 5_2021CUST-YTD'!$S:$S,$G32,'Input 5_2021CUST-YTD'!K:K)</f>
        <v>62</v>
      </c>
      <c r="BG32" s="1">
        <f>SUMIF('Input 5_2021CUST-YTD'!$S:$S,$G32,'Input 5_2021CUST-YTD'!L:L)</f>
        <v>61</v>
      </c>
      <c r="BH32" s="1">
        <f>SUMIF('Input 5_2021CUST-YTD'!$S:$S,$G32,'Input 5_2021CUST-YTD'!M:M)</f>
        <v>61</v>
      </c>
      <c r="BI32" s="1">
        <f>SUMIF('Input 5_2021CUST-YTD'!$S:$S,$G32,'Input 5_2021CUST-YTD'!N:N)</f>
        <v>62</v>
      </c>
      <c r="BJ32" s="190">
        <f t="shared" si="8"/>
        <v>61.533037944045013</v>
      </c>
      <c r="BK32" s="190">
        <f t="shared" si="9"/>
        <v>61.533037944045013</v>
      </c>
      <c r="BL32" s="190">
        <f t="shared" si="10"/>
        <v>61.533037944045013</v>
      </c>
      <c r="BM32" s="190">
        <f t="shared" si="11"/>
        <v>61.533037944045013</v>
      </c>
      <c r="BN32" s="190">
        <f t="shared" si="12"/>
        <v>61.533037944045013</v>
      </c>
      <c r="BO32" s="190">
        <f t="shared" si="13"/>
        <v>60.540569590108802</v>
      </c>
      <c r="BP32" s="190">
        <f t="shared" si="14"/>
        <v>60.540569590108802</v>
      </c>
      <c r="BQ32" s="190">
        <f t="shared" si="15"/>
        <v>61.533037944045013</v>
      </c>
      <c r="BR32" s="190">
        <f t="shared" si="16"/>
        <v>61.533037944045013</v>
      </c>
      <c r="BS32" s="190">
        <f t="shared" si="17"/>
        <v>60.540569590108802</v>
      </c>
      <c r="BT32" s="190">
        <f t="shared" si="18"/>
        <v>60.540569590108802</v>
      </c>
      <c r="BU32" s="190">
        <f t="shared" si="19"/>
        <v>61.533037944045013</v>
      </c>
      <c r="BV32" s="190">
        <f t="shared" si="20"/>
        <v>61.069592881020704</v>
      </c>
      <c r="BW32" s="190">
        <f t="shared" si="21"/>
        <v>61.069592881020704</v>
      </c>
      <c r="BX32" s="190">
        <f t="shared" si="22"/>
        <v>61.069592881020704</v>
      </c>
      <c r="BY32" s="190">
        <f t="shared" si="23"/>
        <v>61.069592881020704</v>
      </c>
      <c r="BZ32" s="190">
        <f t="shared" si="24"/>
        <v>61.069592881020704</v>
      </c>
      <c r="CA32" s="190">
        <f t="shared" si="25"/>
        <v>60.084599447455851</v>
      </c>
      <c r="CB32" s="190">
        <f t="shared" si="26"/>
        <v>60.084599447455851</v>
      </c>
      <c r="CC32" s="190">
        <f t="shared" si="27"/>
        <v>61.069592881020704</v>
      </c>
      <c r="CD32" s="190">
        <f t="shared" si="28"/>
        <v>61.069592881020704</v>
      </c>
      <c r="CE32" s="190">
        <f t="shared" si="29"/>
        <v>60.084599447455851</v>
      </c>
      <c r="CF32" s="190">
        <f t="shared" si="30"/>
        <v>60.084599447455851</v>
      </c>
      <c r="CG32" s="190">
        <f t="shared" si="31"/>
        <v>61.069592881020704</v>
      </c>
      <c r="CH32" s="264"/>
      <c r="CI32" s="264">
        <f t="shared" si="1"/>
        <v>745</v>
      </c>
      <c r="CJ32" s="264">
        <f t="shared" si="2"/>
        <v>740</v>
      </c>
      <c r="CK32" s="264">
        <f t="shared" si="3"/>
        <v>736</v>
      </c>
      <c r="CL32" s="264">
        <f t="shared" si="4"/>
        <v>740</v>
      </c>
      <c r="CM32" s="264">
        <f t="shared" si="5"/>
        <v>734.42658191279531</v>
      </c>
      <c r="CN32" s="264">
        <f t="shared" si="6"/>
        <v>728.89514083798906</v>
      </c>
      <c r="CP32" s="574">
        <f>SUMIF('Master '!D:D,D32,'Master '!AB:AB)</f>
        <v>734.42658191279531</v>
      </c>
      <c r="CQ32" s="574">
        <f>SUMIF('Master '!D:D,D32,'Master '!AC:AC)</f>
        <v>728.89514083798895</v>
      </c>
      <c r="CR32" s="264">
        <f t="shared" si="7"/>
        <v>0</v>
      </c>
      <c r="CS32" s="264">
        <f t="shared" si="7"/>
        <v>0</v>
      </c>
    </row>
    <row r="33" spans="1:97" s="261" customFormat="1">
      <c r="A33" s="55" t="s">
        <v>17</v>
      </c>
      <c r="B33" s="55" t="s">
        <v>993</v>
      </c>
      <c r="C33" s="55" t="s">
        <v>1245</v>
      </c>
      <c r="D33" s="55" t="s">
        <v>1282</v>
      </c>
      <c r="E33" s="55" t="str">
        <f>VLOOKUP(D33,'Input 14_Ref Table'!C:D,2,FALSE)</f>
        <v>CC801</v>
      </c>
      <c r="F33" s="172" t="s">
        <v>1286</v>
      </c>
      <c r="G33" s="55" t="str">
        <f>VLOOKUP(D33,'Input 14_Ref Table'!C:I,7,FALSE)</f>
        <v>CFG - FTS-A NR</v>
      </c>
      <c r="H33" s="55" t="str">
        <f>VLOOKUP(D33,'Input 14_Ref Table'!C:K,8,FALSE)</f>
        <v>FTS_AB_C</v>
      </c>
      <c r="I33" s="55"/>
      <c r="J33" s="261" t="str">
        <f>INDEX('Master '!$AD$2:AD$65,MATCH(D33,'Master '!$D$2:$D$65,0))</f>
        <v>UPC Growth Rate</v>
      </c>
      <c r="K33" s="567">
        <f>INDEX('Master '!$N$2:N$65,MATCH(D33,'Master '!$D$2:$D$65,0))</f>
        <v>-8.9379418530954602E-2</v>
      </c>
      <c r="L33" s="290">
        <f>INDEX('Master '!$S$2:S$65,MATCH(D33,'Master '!$D$2:$D$65,0))</f>
        <v>-3.2809295967190781E-2</v>
      </c>
      <c r="M33" s="1">
        <f>INDEX('Master '!$W$2:W$65,MATCH(D33,'Master '!$D$2:$D$65,0))</f>
        <v>70.75</v>
      </c>
      <c r="N33" s="55">
        <f>SUMIF('Input 16_2018CUST-YTD'!$S:$S,$G33,'Input 16_2018CUST-YTD'!C:C)</f>
        <v>13</v>
      </c>
      <c r="O33" s="55">
        <f>SUMIF('Input 16_2018CUST-YTD'!$S:$S,$G33,'Input 16_2018CUST-YTD'!D:D)</f>
        <v>12</v>
      </c>
      <c r="P33" s="55">
        <f>SUMIF('Input 16_2018CUST-YTD'!$S:$S,$G33,'Input 16_2018CUST-YTD'!E:E)</f>
        <v>12</v>
      </c>
      <c r="Q33" s="55">
        <f>SUMIF('Input 16_2018CUST-YTD'!$S:$S,$G33,'Input 16_2018CUST-YTD'!F:F)</f>
        <v>12</v>
      </c>
      <c r="R33" s="55">
        <f>SUMIF('Input 16_2018CUST-YTD'!$S:$S,$G33,'Input 16_2018CUST-YTD'!G:G)</f>
        <v>12</v>
      </c>
      <c r="S33" s="55">
        <f>SUMIF('Input 16_2018CUST-YTD'!$S:$S,$G33,'Input 16_2018CUST-YTD'!H:H)</f>
        <v>12</v>
      </c>
      <c r="T33" s="55">
        <f>SUMIF('Input 16_2018CUST-YTD'!$S:$S,$G33,'Input 16_2018CUST-YTD'!I:I)</f>
        <v>12</v>
      </c>
      <c r="U33" s="55">
        <f>SUMIF('Input 16_2018CUST-YTD'!$S:$S,$G33,'Input 16_2018CUST-YTD'!J:J)</f>
        <v>12</v>
      </c>
      <c r="V33" s="55">
        <f>SUMIF('Input 16_2018CUST-YTD'!$S:$S,$G33,'Input 16_2018CUST-YTD'!K:K)</f>
        <v>12</v>
      </c>
      <c r="W33" s="55">
        <f>SUMIF('Input 16_2018CUST-YTD'!$S:$S,$G33,'Input 16_2018CUST-YTD'!L:L)</f>
        <v>12</v>
      </c>
      <c r="X33" s="55">
        <f>SUMIF('Input 16_2018CUST-YTD'!$S:$S,$G33,'Input 16_2018CUST-YTD'!M:M)</f>
        <v>12</v>
      </c>
      <c r="Y33" s="55">
        <f>SUMIF('Input 16_2018CUST-YTD'!$S:$S,$G33,'Input 16_2018CUST-YTD'!N:N)</f>
        <v>12</v>
      </c>
      <c r="Z33" s="1">
        <f>SUMIF('Input 3_2019CUST-YTD'!$S:$S,$G33,'Input 3_2019CUST-YTD'!C:C)</f>
        <v>12</v>
      </c>
      <c r="AA33" s="1">
        <f>SUMIF('Input 3_2019CUST-YTD'!$S:$S,$G33,'Input 3_2019CUST-YTD'!D:D)</f>
        <v>12</v>
      </c>
      <c r="AB33" s="1">
        <f>SUMIF('Input 3_2019CUST-YTD'!$S:$S,$G33,'Input 3_2019CUST-YTD'!E:E)</f>
        <v>12</v>
      </c>
      <c r="AC33" s="1">
        <f>SUMIF('Input 3_2019CUST-YTD'!$S:$S,$G33,'Input 3_2019CUST-YTD'!F:F)</f>
        <v>12</v>
      </c>
      <c r="AD33" s="1">
        <f>SUMIF('Input 3_2019CUST-YTD'!$S:$S,$G33,'Input 3_2019CUST-YTD'!G:G)</f>
        <v>11</v>
      </c>
      <c r="AE33" s="1">
        <f>SUMIF('Input 3_2019CUST-YTD'!$S:$S,$G33,'Input 3_2019CUST-YTD'!H:H)</f>
        <v>11</v>
      </c>
      <c r="AF33" s="1">
        <f>SUMIF('Input 3_2019CUST-YTD'!$S:$S,$G33,'Input 3_2019CUST-YTD'!I:I)</f>
        <v>11</v>
      </c>
      <c r="AG33" s="1">
        <f>SUMIF('Input 3_2019CUST-YTD'!$S:$S,$G33,'Input 3_2019CUST-YTD'!J:J)</f>
        <v>11</v>
      </c>
      <c r="AH33" s="1">
        <f>SUMIF('Input 3_2019CUST-YTD'!$S:$S,$G33,'Input 3_2019CUST-YTD'!K:K)</f>
        <v>11</v>
      </c>
      <c r="AI33" s="1">
        <f>SUMIF('Input 3_2019CUST-YTD'!$S:$S,$G33,'Input 3_2019CUST-YTD'!L:L)</f>
        <v>11</v>
      </c>
      <c r="AJ33" s="1">
        <f>SUMIF('Input 3_2019CUST-YTD'!$S:$S,$G33,'Input 3_2019CUST-YTD'!M:M)</f>
        <v>11</v>
      </c>
      <c r="AK33" s="1">
        <f>SUMIF('Input 3_2019CUST-YTD'!$S:$S,$G33,'Input 3_2019CUST-YTD'!N:N)</f>
        <v>10</v>
      </c>
      <c r="AL33" s="1">
        <f>SUMIF('Input 4_2020CUST-YTD'!$S:$S,$G33,'Input 4_2020CUST-YTD'!C:C)</f>
        <v>10</v>
      </c>
      <c r="AM33" s="1">
        <f>SUMIF('Input 4_2020CUST-YTD'!$S:$S,$G33,'Input 4_2020CUST-YTD'!D:D)</f>
        <v>10</v>
      </c>
      <c r="AN33" s="1">
        <f>SUMIF('Input 4_2020CUST-YTD'!$S:$S,$G33,'Input 4_2020CUST-YTD'!E:E)</f>
        <v>10</v>
      </c>
      <c r="AO33" s="1">
        <f>SUMIF('Input 4_2020CUST-YTD'!$S:$S,$G33,'Input 4_2020CUST-YTD'!F:F)</f>
        <v>10</v>
      </c>
      <c r="AP33" s="1">
        <f>SUMIF('Input 4_2020CUST-YTD'!$S:$S,$G33,'Input 4_2020CUST-YTD'!G:G)</f>
        <v>10</v>
      </c>
      <c r="AQ33" s="1">
        <f>SUMIF('Input 4_2020CUST-YTD'!$S:$S,$G33,'Input 4_2020CUST-YTD'!H:H)</f>
        <v>10</v>
      </c>
      <c r="AR33" s="1">
        <f>SUMIF('Input 4_2020CUST-YTD'!$S:$S,$G33,'Input 4_2020CUST-YTD'!I:I)</f>
        <v>10</v>
      </c>
      <c r="AS33" s="1">
        <f>SUMIF('Input 4_2020CUST-YTD'!$S:$S,$G33,'Input 4_2020CUST-YTD'!J:J)</f>
        <v>10</v>
      </c>
      <c r="AT33" s="1">
        <f>SUMIF('Input 4_2020CUST-YTD'!$S:$S,$G33,'Input 4_2020CUST-YTD'!K:K)</f>
        <v>10</v>
      </c>
      <c r="AU33" s="1">
        <f>SUMIF('Input 4_2020CUST-YTD'!$S:$S,$G33,'Input 4_2020CUST-YTD'!L:L)</f>
        <v>10</v>
      </c>
      <c r="AV33" s="1">
        <f>SUMIF('Input 4_2020CUST-YTD'!$S:$S,$G33,'Input 4_2020CUST-YTD'!M:M)</f>
        <v>10</v>
      </c>
      <c r="AW33" s="1">
        <f>SUMIF('Input 4_2020CUST-YTD'!$S:$S,$G33,'Input 4_2020CUST-YTD'!N:N)</f>
        <v>10</v>
      </c>
      <c r="AX33" s="1">
        <f>SUMIF('Input 5_2021CUST-YTD'!$S:$S,$G33,'Input 5_2021CUST-YTD'!C:C)</f>
        <v>11</v>
      </c>
      <c r="AY33" s="1">
        <f>SUMIF('Input 5_2021CUST-YTD'!$S:$S,$G33,'Input 5_2021CUST-YTD'!D:D)</f>
        <v>11</v>
      </c>
      <c r="AZ33" s="1">
        <f>SUMIF('Input 5_2021CUST-YTD'!$S:$S,$G33,'Input 5_2021CUST-YTD'!E:E)</f>
        <v>11</v>
      </c>
      <c r="BA33" s="1">
        <f>SUMIF('Input 5_2021CUST-YTD'!$S:$S,$G33,'Input 5_2021CUST-YTD'!F:F)</f>
        <v>11</v>
      </c>
      <c r="BB33" s="1">
        <f>SUMIF('Input 5_2021CUST-YTD'!$S:$S,$G33,'Input 5_2021CUST-YTD'!G:G)</f>
        <v>11</v>
      </c>
      <c r="BC33" s="1">
        <f>SUMIF('Input 5_2021CUST-YTD'!$S:$S,$G33,'Input 5_2021CUST-YTD'!H:H)</f>
        <v>11</v>
      </c>
      <c r="BD33" s="1">
        <f>SUMIF('Input 5_2021CUST-YTD'!$S:$S,$G33,'Input 5_2021CUST-YTD'!I:I)</f>
        <v>11</v>
      </c>
      <c r="BE33" s="1">
        <f>SUMIF('Input 5_2021CUST-YTD'!$S:$S,$G33,'Input 5_2021CUST-YTD'!J:J)</f>
        <v>11</v>
      </c>
      <c r="BF33" s="1">
        <f>SUMIF('Input 5_2021CUST-YTD'!$S:$S,$G33,'Input 5_2021CUST-YTD'!K:K)</f>
        <v>11</v>
      </c>
      <c r="BG33" s="1">
        <f>SUMIF('Input 5_2021CUST-YTD'!$S:$S,$G33,'Input 5_2021CUST-YTD'!L:L)</f>
        <v>11</v>
      </c>
      <c r="BH33" s="1">
        <f>SUMIF('Input 5_2021CUST-YTD'!$S:$S,$G33,'Input 5_2021CUST-YTD'!M:M)</f>
        <v>11</v>
      </c>
      <c r="BI33" s="1">
        <f>SUMIF('Input 5_2021CUST-YTD'!$S:$S,$G33,'Input 5_2021CUST-YTD'!N:N)</f>
        <v>11</v>
      </c>
      <c r="BJ33" s="190">
        <f t="shared" si="8"/>
        <v>10.016826396159498</v>
      </c>
      <c r="BK33" s="190">
        <f t="shared" si="9"/>
        <v>10.016826396159498</v>
      </c>
      <c r="BL33" s="190">
        <f t="shared" si="10"/>
        <v>10.016826396159498</v>
      </c>
      <c r="BM33" s="190">
        <f t="shared" si="11"/>
        <v>10.016826396159498</v>
      </c>
      <c r="BN33" s="190">
        <f t="shared" si="12"/>
        <v>10.016826396159498</v>
      </c>
      <c r="BO33" s="190">
        <f t="shared" si="13"/>
        <v>10.016826396159498</v>
      </c>
      <c r="BP33" s="190">
        <f t="shared" si="14"/>
        <v>10.016826396159498</v>
      </c>
      <c r="BQ33" s="190">
        <f t="shared" si="15"/>
        <v>10.016826396159498</v>
      </c>
      <c r="BR33" s="190">
        <f t="shared" si="16"/>
        <v>10.016826396159498</v>
      </c>
      <c r="BS33" s="190">
        <f t="shared" si="17"/>
        <v>10.016826396159498</v>
      </c>
      <c r="BT33" s="190">
        <f t="shared" si="18"/>
        <v>10.016826396159498</v>
      </c>
      <c r="BU33" s="190">
        <f t="shared" si="19"/>
        <v>10.016826396159498</v>
      </c>
      <c r="BV33" s="190">
        <f t="shared" si="20"/>
        <v>9.1215282773452433</v>
      </c>
      <c r="BW33" s="190">
        <f t="shared" si="21"/>
        <v>9.1215282773452433</v>
      </c>
      <c r="BX33" s="190">
        <f t="shared" si="22"/>
        <v>9.1215282773452433</v>
      </c>
      <c r="BY33" s="190">
        <f t="shared" si="23"/>
        <v>9.1215282773452433</v>
      </c>
      <c r="BZ33" s="190">
        <f t="shared" si="24"/>
        <v>9.1215282773452433</v>
      </c>
      <c r="CA33" s="190">
        <f t="shared" si="25"/>
        <v>9.1215282773452433</v>
      </c>
      <c r="CB33" s="190">
        <f t="shared" si="26"/>
        <v>9.1215282773452433</v>
      </c>
      <c r="CC33" s="190">
        <f t="shared" si="27"/>
        <v>9.1215282773452433</v>
      </c>
      <c r="CD33" s="190">
        <f t="shared" si="28"/>
        <v>9.1215282773452433</v>
      </c>
      <c r="CE33" s="190">
        <f t="shared" si="29"/>
        <v>9.1215282773452433</v>
      </c>
      <c r="CF33" s="190">
        <f t="shared" si="30"/>
        <v>9.1215282773452433</v>
      </c>
      <c r="CG33" s="190">
        <f t="shared" si="31"/>
        <v>9.1215282773452433</v>
      </c>
      <c r="CH33" s="264"/>
      <c r="CI33" s="264">
        <f t="shared" si="1"/>
        <v>145</v>
      </c>
      <c r="CJ33" s="264">
        <f t="shared" si="2"/>
        <v>135</v>
      </c>
      <c r="CK33" s="264">
        <f t="shared" si="3"/>
        <v>120</v>
      </c>
      <c r="CL33" s="264">
        <f t="shared" si="4"/>
        <v>132</v>
      </c>
      <c r="CM33" s="264">
        <f t="shared" si="5"/>
        <v>120.20191675391401</v>
      </c>
      <c r="CN33" s="264">
        <f t="shared" si="6"/>
        <v>109.45833932814294</v>
      </c>
      <c r="CP33" s="574">
        <f>SUMIF('Master '!D:D,D33,'Master '!AB:AB)</f>
        <v>120.20191675391399</v>
      </c>
      <c r="CQ33" s="574">
        <f>SUMIF('Master '!D:D,D33,'Master '!AC:AC)</f>
        <v>109.45833932814294</v>
      </c>
      <c r="CR33" s="264">
        <f t="shared" si="7"/>
        <v>0</v>
      </c>
      <c r="CS33" s="264">
        <f t="shared" si="7"/>
        <v>0</v>
      </c>
    </row>
    <row r="34" spans="1:97" s="261" customFormat="1">
      <c r="A34" s="55" t="s">
        <v>17</v>
      </c>
      <c r="B34" s="55" t="s">
        <v>993</v>
      </c>
      <c r="C34" s="55" t="s">
        <v>1245</v>
      </c>
      <c r="D34" s="55" t="s">
        <v>1283</v>
      </c>
      <c r="E34" s="55" t="str">
        <f>VLOOKUP(D34,'Input 14_Ref Table'!C:D,2,FALSE)</f>
        <v>CC805</v>
      </c>
      <c r="F34" s="172" t="s">
        <v>1286</v>
      </c>
      <c r="G34" s="55" t="str">
        <f>VLOOKUP(D34,'Input 14_Ref Table'!C:I,7,FALSE)</f>
        <v>CFG - FTS-B NR</v>
      </c>
      <c r="H34" s="55" t="str">
        <f>VLOOKUP(D34,'Input 14_Ref Table'!C:K,8,FALSE)</f>
        <v>FTS_AB_C</v>
      </c>
      <c r="I34" s="55"/>
      <c r="J34" s="261" t="str">
        <f>INDEX('Master '!$AD$2:AD$65,MATCH(D34,'Master '!$D$2:$D$65,0))</f>
        <v>UPC Growth Rate</v>
      </c>
      <c r="K34" s="567">
        <f>INDEX('Master '!$N$2:N$65,MATCH(D34,'Master '!$D$2:$D$65,0))</f>
        <v>-8.9379418530954602E-2</v>
      </c>
      <c r="L34" s="290">
        <f>INDEX('Master '!$S$2:S$65,MATCH(D34,'Master '!$D$2:$D$65,0))</f>
        <v>-3.2809295967190781E-2</v>
      </c>
      <c r="M34" s="1">
        <f>INDEX('Master '!$W$2:W$65,MATCH(D34,'Master '!$D$2:$D$65,0))</f>
        <v>70.75</v>
      </c>
      <c r="N34" s="55">
        <f>SUMIF('Input 16_2018CUST-YTD'!$S:$S,$G34,'Input 16_2018CUST-YTD'!C:C)</f>
        <v>8</v>
      </c>
      <c r="O34" s="55">
        <f>SUMIF('Input 16_2018CUST-YTD'!$S:$S,$G34,'Input 16_2018CUST-YTD'!D:D)</f>
        <v>8</v>
      </c>
      <c r="P34" s="55">
        <f>SUMIF('Input 16_2018CUST-YTD'!$S:$S,$G34,'Input 16_2018CUST-YTD'!E:E)</f>
        <v>8</v>
      </c>
      <c r="Q34" s="55">
        <f>SUMIF('Input 16_2018CUST-YTD'!$S:$S,$G34,'Input 16_2018CUST-YTD'!F:F)</f>
        <v>8</v>
      </c>
      <c r="R34" s="55">
        <f>SUMIF('Input 16_2018CUST-YTD'!$S:$S,$G34,'Input 16_2018CUST-YTD'!G:G)</f>
        <v>8</v>
      </c>
      <c r="S34" s="55">
        <f>SUMIF('Input 16_2018CUST-YTD'!$S:$S,$G34,'Input 16_2018CUST-YTD'!H:H)</f>
        <v>7</v>
      </c>
      <c r="T34" s="55">
        <f>SUMIF('Input 16_2018CUST-YTD'!$S:$S,$G34,'Input 16_2018CUST-YTD'!I:I)</f>
        <v>7</v>
      </c>
      <c r="U34" s="55">
        <f>SUMIF('Input 16_2018CUST-YTD'!$S:$S,$G34,'Input 16_2018CUST-YTD'!J:J)</f>
        <v>7</v>
      </c>
      <c r="V34" s="55">
        <f>SUMIF('Input 16_2018CUST-YTD'!$S:$S,$G34,'Input 16_2018CUST-YTD'!K:K)</f>
        <v>7</v>
      </c>
      <c r="W34" s="55">
        <f>SUMIF('Input 16_2018CUST-YTD'!$S:$S,$G34,'Input 16_2018CUST-YTD'!L:L)</f>
        <v>7</v>
      </c>
      <c r="X34" s="55">
        <f>SUMIF('Input 16_2018CUST-YTD'!$S:$S,$G34,'Input 16_2018CUST-YTD'!M:M)</f>
        <v>7</v>
      </c>
      <c r="Y34" s="55">
        <f>SUMIF('Input 16_2018CUST-YTD'!$S:$S,$G34,'Input 16_2018CUST-YTD'!N:N)</f>
        <v>7</v>
      </c>
      <c r="Z34" s="1">
        <f>SUMIF('Input 3_2019CUST-YTD'!$S:$S,$G34,'Input 3_2019CUST-YTD'!C:C)</f>
        <v>7</v>
      </c>
      <c r="AA34" s="1">
        <f>SUMIF('Input 3_2019CUST-YTD'!$S:$S,$G34,'Input 3_2019CUST-YTD'!D:D)</f>
        <v>7</v>
      </c>
      <c r="AB34" s="1">
        <f>SUMIF('Input 3_2019CUST-YTD'!$S:$S,$G34,'Input 3_2019CUST-YTD'!E:E)</f>
        <v>7</v>
      </c>
      <c r="AC34" s="1">
        <f>SUMIF('Input 3_2019CUST-YTD'!$S:$S,$G34,'Input 3_2019CUST-YTD'!F:F)</f>
        <v>7</v>
      </c>
      <c r="AD34" s="1">
        <f>SUMIF('Input 3_2019CUST-YTD'!$S:$S,$G34,'Input 3_2019CUST-YTD'!G:G)</f>
        <v>7</v>
      </c>
      <c r="AE34" s="1">
        <f>SUMIF('Input 3_2019CUST-YTD'!$S:$S,$G34,'Input 3_2019CUST-YTD'!H:H)</f>
        <v>6</v>
      </c>
      <c r="AF34" s="1">
        <f>SUMIF('Input 3_2019CUST-YTD'!$S:$S,$G34,'Input 3_2019CUST-YTD'!I:I)</f>
        <v>6</v>
      </c>
      <c r="AG34" s="1">
        <f>SUMIF('Input 3_2019CUST-YTD'!$S:$S,$G34,'Input 3_2019CUST-YTD'!J:J)</f>
        <v>6</v>
      </c>
      <c r="AH34" s="1">
        <f>SUMIF('Input 3_2019CUST-YTD'!$S:$S,$G34,'Input 3_2019CUST-YTD'!K:K)</f>
        <v>6</v>
      </c>
      <c r="AI34" s="1">
        <f>SUMIF('Input 3_2019CUST-YTD'!$S:$S,$G34,'Input 3_2019CUST-YTD'!L:L)</f>
        <v>6</v>
      </c>
      <c r="AJ34" s="1">
        <f>SUMIF('Input 3_2019CUST-YTD'!$S:$S,$G34,'Input 3_2019CUST-YTD'!M:M)</f>
        <v>7</v>
      </c>
      <c r="AK34" s="1">
        <f>SUMIF('Input 3_2019CUST-YTD'!$S:$S,$G34,'Input 3_2019CUST-YTD'!N:N)</f>
        <v>7</v>
      </c>
      <c r="AL34" s="1">
        <f>SUMIF('Input 4_2020CUST-YTD'!$S:$S,$G34,'Input 4_2020CUST-YTD'!C:C)</f>
        <v>7</v>
      </c>
      <c r="AM34" s="1">
        <f>SUMIF('Input 4_2020CUST-YTD'!$S:$S,$G34,'Input 4_2020CUST-YTD'!D:D)</f>
        <v>7</v>
      </c>
      <c r="AN34" s="1">
        <f>SUMIF('Input 4_2020CUST-YTD'!$S:$S,$G34,'Input 4_2020CUST-YTD'!E:E)</f>
        <v>7</v>
      </c>
      <c r="AO34" s="1">
        <f>SUMIF('Input 4_2020CUST-YTD'!$S:$S,$G34,'Input 4_2020CUST-YTD'!F:F)</f>
        <v>6</v>
      </c>
      <c r="AP34" s="1">
        <f>SUMIF('Input 4_2020CUST-YTD'!$S:$S,$G34,'Input 4_2020CUST-YTD'!G:G)</f>
        <v>6</v>
      </c>
      <c r="AQ34" s="1">
        <f>SUMIF('Input 4_2020CUST-YTD'!$S:$S,$G34,'Input 4_2020CUST-YTD'!H:H)</f>
        <v>6</v>
      </c>
      <c r="AR34" s="1">
        <f>SUMIF('Input 4_2020CUST-YTD'!$S:$S,$G34,'Input 4_2020CUST-YTD'!I:I)</f>
        <v>6</v>
      </c>
      <c r="AS34" s="1">
        <f>SUMIF('Input 4_2020CUST-YTD'!$S:$S,$G34,'Input 4_2020CUST-YTD'!J:J)</f>
        <v>6</v>
      </c>
      <c r="AT34" s="1">
        <f>SUMIF('Input 4_2020CUST-YTD'!$S:$S,$G34,'Input 4_2020CUST-YTD'!K:K)</f>
        <v>6</v>
      </c>
      <c r="AU34" s="1">
        <f>SUMIF('Input 4_2020CUST-YTD'!$S:$S,$G34,'Input 4_2020CUST-YTD'!L:L)</f>
        <v>6</v>
      </c>
      <c r="AV34" s="1">
        <f>SUMIF('Input 4_2020CUST-YTD'!$S:$S,$G34,'Input 4_2020CUST-YTD'!M:M)</f>
        <v>6</v>
      </c>
      <c r="AW34" s="1">
        <f>SUMIF('Input 4_2020CUST-YTD'!$S:$S,$G34,'Input 4_2020CUST-YTD'!N:N)</f>
        <v>7</v>
      </c>
      <c r="AX34" s="1">
        <f>SUMIF('Input 5_2021CUST-YTD'!$S:$S,$G34,'Input 5_2021CUST-YTD'!C:C)</f>
        <v>7</v>
      </c>
      <c r="AY34" s="1">
        <f>SUMIF('Input 5_2021CUST-YTD'!$S:$S,$G34,'Input 5_2021CUST-YTD'!D:D)</f>
        <v>7</v>
      </c>
      <c r="AZ34" s="1">
        <f>SUMIF('Input 5_2021CUST-YTD'!$S:$S,$G34,'Input 5_2021CUST-YTD'!E:E)</f>
        <v>7</v>
      </c>
      <c r="BA34" s="1">
        <f>SUMIF('Input 5_2021CUST-YTD'!$S:$S,$G34,'Input 5_2021CUST-YTD'!F:F)</f>
        <v>7</v>
      </c>
      <c r="BB34" s="1">
        <f>SUMIF('Input 5_2021CUST-YTD'!$S:$S,$G34,'Input 5_2021CUST-YTD'!G:G)</f>
        <v>7</v>
      </c>
      <c r="BC34" s="1">
        <f>SUMIF('Input 5_2021CUST-YTD'!$S:$S,$G34,'Input 5_2021CUST-YTD'!H:H)</f>
        <v>6</v>
      </c>
      <c r="BD34" s="1">
        <f>SUMIF('Input 5_2021CUST-YTD'!$S:$S,$G34,'Input 5_2021CUST-YTD'!I:I)</f>
        <v>6</v>
      </c>
      <c r="BE34" s="1">
        <f>SUMIF('Input 5_2021CUST-YTD'!$S:$S,$G34,'Input 5_2021CUST-YTD'!J:J)</f>
        <v>6</v>
      </c>
      <c r="BF34" s="1">
        <f>SUMIF('Input 5_2021CUST-YTD'!$S:$S,$G34,'Input 5_2021CUST-YTD'!K:K)</f>
        <v>6</v>
      </c>
      <c r="BG34" s="1">
        <f>SUMIF('Input 5_2021CUST-YTD'!$S:$S,$G34,'Input 5_2021CUST-YTD'!L:L)</f>
        <v>6</v>
      </c>
      <c r="BH34" s="1">
        <f>SUMIF('Input 5_2021CUST-YTD'!$S:$S,$G34,'Input 5_2021CUST-YTD'!M:M)</f>
        <v>6</v>
      </c>
      <c r="BI34" s="1">
        <f>SUMIF('Input 5_2021CUST-YTD'!$S:$S,$G34,'Input 5_2021CUST-YTD'!N:N)</f>
        <v>6</v>
      </c>
      <c r="BJ34" s="190">
        <f t="shared" ref="BJ34:BJ65" si="32">AX34*(1+$K34)</f>
        <v>6.3743440702833176</v>
      </c>
      <c r="BK34" s="190">
        <f t="shared" ref="BK34:BK65" si="33">AY34*(1+$K34)</f>
        <v>6.3743440702833176</v>
      </c>
      <c r="BL34" s="190">
        <f t="shared" ref="BL34:BL65" si="34">AZ34*(1+$K34)</f>
        <v>6.3743440702833176</v>
      </c>
      <c r="BM34" s="190">
        <f t="shared" ref="BM34:BM65" si="35">BA34*(1+$K34)</f>
        <v>6.3743440702833176</v>
      </c>
      <c r="BN34" s="190">
        <f t="shared" ref="BN34:BN65" si="36">BB34*(1+$K34)</f>
        <v>6.3743440702833176</v>
      </c>
      <c r="BO34" s="190">
        <f t="shared" ref="BO34:BO65" si="37">BC34*(1+$K34)</f>
        <v>5.4637234888142725</v>
      </c>
      <c r="BP34" s="190">
        <f t="shared" ref="BP34:BP65" si="38">BD34*(1+$K34)</f>
        <v>5.4637234888142725</v>
      </c>
      <c r="BQ34" s="190">
        <f t="shared" ref="BQ34:BQ65" si="39">BE34*(1+$K34)</f>
        <v>5.4637234888142725</v>
      </c>
      <c r="BR34" s="190">
        <f t="shared" ref="BR34:BR65" si="40">BF34*(1+$K34)</f>
        <v>5.4637234888142725</v>
      </c>
      <c r="BS34" s="190">
        <f t="shared" ref="BS34:BS65" si="41">BG34*(1+$K34)</f>
        <v>5.4637234888142725</v>
      </c>
      <c r="BT34" s="190">
        <f t="shared" ref="BT34:BT65" si="42">BH34*(1+$K34)</f>
        <v>5.4637234888142725</v>
      </c>
      <c r="BU34" s="190">
        <f t="shared" ref="BU34:BU65" si="43">BI34*(1+$K34)</f>
        <v>5.4637234888142725</v>
      </c>
      <c r="BV34" s="190">
        <f t="shared" ref="BV34:BV65" si="44">BJ34*(1+$K34)</f>
        <v>5.804608903765156</v>
      </c>
      <c r="BW34" s="190">
        <f t="shared" ref="BW34:BW65" si="45">BK34*(1+$K34)</f>
        <v>5.804608903765156</v>
      </c>
      <c r="BX34" s="190">
        <f t="shared" ref="BX34:BX65" si="46">BL34*(1+$K34)</f>
        <v>5.804608903765156</v>
      </c>
      <c r="BY34" s="190">
        <f t="shared" ref="BY34:BY65" si="47">BM34*(1+$K34)</f>
        <v>5.804608903765156</v>
      </c>
      <c r="BZ34" s="190">
        <f t="shared" ref="BZ34:BZ65" si="48">BN34*(1+$K34)</f>
        <v>5.804608903765156</v>
      </c>
      <c r="CA34" s="190">
        <f t="shared" ref="CA34:CA65" si="49">BO34*(1+$K34)</f>
        <v>4.975379060370134</v>
      </c>
      <c r="CB34" s="190">
        <f t="shared" ref="CB34:CB65" si="50">BP34*(1+$K34)</f>
        <v>4.975379060370134</v>
      </c>
      <c r="CC34" s="190">
        <f t="shared" ref="CC34:CC65" si="51">BQ34*(1+$K34)</f>
        <v>4.975379060370134</v>
      </c>
      <c r="CD34" s="190">
        <f t="shared" ref="CD34:CD65" si="52">BR34*(1+$K34)</f>
        <v>4.975379060370134</v>
      </c>
      <c r="CE34" s="190">
        <f t="shared" ref="CE34:CE65" si="53">BS34*(1+$K34)</f>
        <v>4.975379060370134</v>
      </c>
      <c r="CF34" s="190">
        <f t="shared" ref="CF34:CF65" si="54">BT34*(1+$K34)</f>
        <v>4.975379060370134</v>
      </c>
      <c r="CG34" s="190">
        <f t="shared" ref="CG34:CG65" si="55">BU34*(1+$K34)</f>
        <v>4.975379060370134</v>
      </c>
      <c r="CH34" s="264"/>
      <c r="CI34" s="264">
        <f t="shared" si="1"/>
        <v>89</v>
      </c>
      <c r="CJ34" s="264">
        <f t="shared" si="2"/>
        <v>79</v>
      </c>
      <c r="CK34" s="264">
        <f t="shared" si="3"/>
        <v>76</v>
      </c>
      <c r="CL34" s="264">
        <f t="shared" si="4"/>
        <v>77</v>
      </c>
      <c r="CM34" s="264">
        <f t="shared" si="5"/>
        <v>70.117784773116497</v>
      </c>
      <c r="CN34" s="264">
        <f t="shared" si="6"/>
        <v>63.850697941416698</v>
      </c>
      <c r="CP34" s="574">
        <f>SUMIF('Master '!D:D,D34,'Master '!AB:AB)</f>
        <v>70.117784773116497</v>
      </c>
      <c r="CQ34" s="574">
        <f>SUMIF('Master '!D:D,D34,'Master '!AC:AC)</f>
        <v>63.850697941416719</v>
      </c>
      <c r="CR34" s="264">
        <f t="shared" ref="CR34:CS65" si="56">CM34-CP34</f>
        <v>0</v>
      </c>
      <c r="CS34" s="264">
        <f t="shared" si="56"/>
        <v>0</v>
      </c>
    </row>
    <row r="35" spans="1:97" s="261" customFormat="1">
      <c r="A35" s="55" t="s">
        <v>17</v>
      </c>
      <c r="B35" s="55" t="s">
        <v>993</v>
      </c>
      <c r="C35" s="55" t="s">
        <v>1245</v>
      </c>
      <c r="D35" s="55" t="s">
        <v>1375</v>
      </c>
      <c r="E35" s="55" t="str">
        <f>VLOOKUP(D35,'Input 14_Ref Table'!C:D,2,FALSE)</f>
        <v>CC804</v>
      </c>
      <c r="F35" s="172" t="s">
        <v>1287</v>
      </c>
      <c r="G35" s="55" t="str">
        <f>VLOOKUP(D35,'Input 14_Ref Table'!C:I,7,FALSE)</f>
        <v>CFG - FTS-A - Fixed NR</v>
      </c>
      <c r="H35" s="55" t="str">
        <f>VLOOKUP(D35,'Input 14_Ref Table'!C:K,8,FALSE)</f>
        <v>FTS_AB_C</v>
      </c>
      <c r="I35" s="55"/>
      <c r="J35" s="261" t="str">
        <f>INDEX('Master '!$AD$2:AD$65,MATCH(D35,'Master '!$D$2:$D$65,0))</f>
        <v>UPC Growth Rate</v>
      </c>
      <c r="K35" s="567">
        <f>INDEX('Master '!$N$2:N$65,MATCH(D35,'Master '!$D$2:$D$65,0))</f>
        <v>-8.9379418530954602E-2</v>
      </c>
      <c r="L35" s="290">
        <f>INDEX('Master '!$S$2:S$65,MATCH(D35,'Master '!$D$2:$D$65,0))</f>
        <v>-3.2809295967190781E-2</v>
      </c>
      <c r="M35" s="1">
        <f>INDEX('Master '!$W$2:W$65,MATCH(D35,'Master '!$D$2:$D$65,0))</f>
        <v>70.75</v>
      </c>
      <c r="N35" s="55">
        <f>SUMIF('Input 16_2018CUST-YTD'!$S:$S,$G35,'Input 16_2018CUST-YTD'!C:C)</f>
        <v>0</v>
      </c>
      <c r="O35" s="55">
        <f>SUMIF('Input 16_2018CUST-YTD'!$S:$S,$G35,'Input 16_2018CUST-YTD'!D:D)</f>
        <v>0</v>
      </c>
      <c r="P35" s="55">
        <f>SUMIF('Input 16_2018CUST-YTD'!$S:$S,$G35,'Input 16_2018CUST-YTD'!E:E)</f>
        <v>0</v>
      </c>
      <c r="Q35" s="55">
        <f>SUMIF('Input 16_2018CUST-YTD'!$S:$S,$G35,'Input 16_2018CUST-YTD'!F:F)</f>
        <v>0</v>
      </c>
      <c r="R35" s="55">
        <f>SUMIF('Input 16_2018CUST-YTD'!$S:$S,$G35,'Input 16_2018CUST-YTD'!G:G)</f>
        <v>0</v>
      </c>
      <c r="S35" s="55">
        <f>SUMIF('Input 16_2018CUST-YTD'!$S:$S,$G35,'Input 16_2018CUST-YTD'!H:H)</f>
        <v>0</v>
      </c>
      <c r="T35" s="55">
        <f>SUMIF('Input 16_2018CUST-YTD'!$S:$S,$G35,'Input 16_2018CUST-YTD'!I:I)</f>
        <v>0</v>
      </c>
      <c r="U35" s="55">
        <f>SUMIF('Input 16_2018CUST-YTD'!$S:$S,$G35,'Input 16_2018CUST-YTD'!J:J)</f>
        <v>0</v>
      </c>
      <c r="V35" s="55">
        <f>SUMIF('Input 16_2018CUST-YTD'!$S:$S,$G35,'Input 16_2018CUST-YTD'!K:K)</f>
        <v>0</v>
      </c>
      <c r="W35" s="55">
        <f>SUMIF('Input 16_2018CUST-YTD'!$S:$S,$G35,'Input 16_2018CUST-YTD'!L:L)</f>
        <v>0</v>
      </c>
      <c r="X35" s="55">
        <f>SUMIF('Input 16_2018CUST-YTD'!$S:$S,$G35,'Input 16_2018CUST-YTD'!M:M)</f>
        <v>0</v>
      </c>
      <c r="Y35" s="55">
        <f>SUMIF('Input 16_2018CUST-YTD'!$S:$S,$G35,'Input 16_2018CUST-YTD'!N:N)</f>
        <v>0</v>
      </c>
      <c r="Z35" s="1">
        <f>SUMIF('Input 3_2019CUST-YTD'!$S:$S,$G35,'Input 3_2019CUST-YTD'!C:C)</f>
        <v>0</v>
      </c>
      <c r="AA35" s="1">
        <f>SUMIF('Input 3_2019CUST-YTD'!$S:$S,$G35,'Input 3_2019CUST-YTD'!D:D)</f>
        <v>0</v>
      </c>
      <c r="AB35" s="1">
        <f>SUMIF('Input 3_2019CUST-YTD'!$S:$S,$G35,'Input 3_2019CUST-YTD'!E:E)</f>
        <v>0</v>
      </c>
      <c r="AC35" s="1">
        <f>SUMIF('Input 3_2019CUST-YTD'!$S:$S,$G35,'Input 3_2019CUST-YTD'!F:F)</f>
        <v>0</v>
      </c>
      <c r="AD35" s="1">
        <f>SUMIF('Input 3_2019CUST-YTD'!$S:$S,$G35,'Input 3_2019CUST-YTD'!G:G)</f>
        <v>0</v>
      </c>
      <c r="AE35" s="1">
        <f>SUMIF('Input 3_2019CUST-YTD'!$S:$S,$G35,'Input 3_2019CUST-YTD'!H:H)</f>
        <v>0</v>
      </c>
      <c r="AF35" s="1">
        <f>SUMIF('Input 3_2019CUST-YTD'!$S:$S,$G35,'Input 3_2019CUST-YTD'!I:I)</f>
        <v>0</v>
      </c>
      <c r="AG35" s="1">
        <f>SUMIF('Input 3_2019CUST-YTD'!$S:$S,$G35,'Input 3_2019CUST-YTD'!J:J)</f>
        <v>0</v>
      </c>
      <c r="AH35" s="1">
        <f>SUMIF('Input 3_2019CUST-YTD'!$S:$S,$G35,'Input 3_2019CUST-YTD'!K:K)</f>
        <v>0</v>
      </c>
      <c r="AI35" s="1">
        <f>SUMIF('Input 3_2019CUST-YTD'!$S:$S,$G35,'Input 3_2019CUST-YTD'!L:L)</f>
        <v>0</v>
      </c>
      <c r="AJ35" s="1">
        <f>SUMIF('Input 3_2019CUST-YTD'!$S:$S,$G35,'Input 3_2019CUST-YTD'!M:M)</f>
        <v>0</v>
      </c>
      <c r="AK35" s="1">
        <f>SUMIF('Input 3_2019CUST-YTD'!$S:$S,$G35,'Input 3_2019CUST-YTD'!N:N)</f>
        <v>0</v>
      </c>
      <c r="AL35" s="1">
        <f>SUMIF('Input 4_2020CUST-YTD'!$S:$S,$G35,'Input 4_2020CUST-YTD'!C:C)</f>
        <v>0</v>
      </c>
      <c r="AM35" s="1">
        <f>SUMIF('Input 4_2020CUST-YTD'!$S:$S,$G35,'Input 4_2020CUST-YTD'!D:D)</f>
        <v>0</v>
      </c>
      <c r="AN35" s="1">
        <f>SUMIF('Input 4_2020CUST-YTD'!$S:$S,$G35,'Input 4_2020CUST-YTD'!E:E)</f>
        <v>0</v>
      </c>
      <c r="AO35" s="1">
        <f>SUMIF('Input 4_2020CUST-YTD'!$S:$S,$G35,'Input 4_2020CUST-YTD'!F:F)</f>
        <v>0</v>
      </c>
      <c r="AP35" s="1">
        <f>SUMIF('Input 4_2020CUST-YTD'!$S:$S,$G35,'Input 4_2020CUST-YTD'!G:G)</f>
        <v>0</v>
      </c>
      <c r="AQ35" s="1">
        <f>SUMIF('Input 4_2020CUST-YTD'!$S:$S,$G35,'Input 4_2020CUST-YTD'!H:H)</f>
        <v>0</v>
      </c>
      <c r="AR35" s="1">
        <f>SUMIF('Input 4_2020CUST-YTD'!$S:$S,$G35,'Input 4_2020CUST-YTD'!I:I)</f>
        <v>0</v>
      </c>
      <c r="AS35" s="1">
        <f>SUMIF('Input 4_2020CUST-YTD'!$S:$S,$G35,'Input 4_2020CUST-YTD'!J:J)</f>
        <v>0</v>
      </c>
      <c r="AT35" s="1">
        <f>SUMIF('Input 4_2020CUST-YTD'!$S:$S,$G35,'Input 4_2020CUST-YTD'!K:K)</f>
        <v>0</v>
      </c>
      <c r="AU35" s="1">
        <f>SUMIF('Input 4_2020CUST-YTD'!$S:$S,$G35,'Input 4_2020CUST-YTD'!L:L)</f>
        <v>0</v>
      </c>
      <c r="AV35" s="1">
        <f>SUMIF('Input 4_2020CUST-YTD'!$S:$S,$G35,'Input 4_2020CUST-YTD'!M:M)</f>
        <v>0</v>
      </c>
      <c r="AW35" s="1">
        <f>SUMIF('Input 4_2020CUST-YTD'!$S:$S,$G35,'Input 4_2020CUST-YTD'!N:N)</f>
        <v>0</v>
      </c>
      <c r="AX35" s="1">
        <f>SUMIF('Input 5_2021CUST-YTD'!$S:$S,$G35,'Input 5_2021CUST-YTD'!C:C)</f>
        <v>0</v>
      </c>
      <c r="AY35" s="1">
        <f>SUMIF('Input 5_2021CUST-YTD'!$S:$S,$G35,'Input 5_2021CUST-YTD'!D:D)</f>
        <v>0</v>
      </c>
      <c r="AZ35" s="1">
        <f>SUMIF('Input 5_2021CUST-YTD'!$S:$S,$G35,'Input 5_2021CUST-YTD'!E:E)</f>
        <v>0</v>
      </c>
      <c r="BA35" s="1">
        <f>SUMIF('Input 5_2021CUST-YTD'!$S:$S,$G35,'Input 5_2021CUST-YTD'!F:F)</f>
        <v>0</v>
      </c>
      <c r="BB35" s="1">
        <f>SUMIF('Input 5_2021CUST-YTD'!$S:$S,$G35,'Input 5_2021CUST-YTD'!G:G)</f>
        <v>0</v>
      </c>
      <c r="BC35" s="1">
        <f>SUMIF('Input 5_2021CUST-YTD'!$S:$S,$G35,'Input 5_2021CUST-YTD'!H:H)</f>
        <v>0</v>
      </c>
      <c r="BD35" s="1">
        <f>SUMIF('Input 5_2021CUST-YTD'!$S:$S,$G35,'Input 5_2021CUST-YTD'!I:I)</f>
        <v>0</v>
      </c>
      <c r="BE35" s="1">
        <f>SUMIF('Input 5_2021CUST-YTD'!$S:$S,$G35,'Input 5_2021CUST-YTD'!J:J)</f>
        <v>0</v>
      </c>
      <c r="BF35" s="1">
        <f>SUMIF('Input 5_2021CUST-YTD'!$S:$S,$G35,'Input 5_2021CUST-YTD'!K:K)</f>
        <v>0</v>
      </c>
      <c r="BG35" s="1">
        <f>SUMIF('Input 5_2021CUST-YTD'!$S:$S,$G35,'Input 5_2021CUST-YTD'!L:L)</f>
        <v>0</v>
      </c>
      <c r="BH35" s="1">
        <f>SUMIF('Input 5_2021CUST-YTD'!$S:$S,$G35,'Input 5_2021CUST-YTD'!M:M)</f>
        <v>0</v>
      </c>
      <c r="BI35" s="1">
        <f>SUMIF('Input 5_2021CUST-YTD'!$S:$S,$G35,'Input 5_2021CUST-YTD'!N:N)</f>
        <v>0</v>
      </c>
      <c r="BJ35" s="190">
        <f t="shared" si="32"/>
        <v>0</v>
      </c>
      <c r="BK35" s="190">
        <f t="shared" si="33"/>
        <v>0</v>
      </c>
      <c r="BL35" s="190">
        <f t="shared" si="34"/>
        <v>0</v>
      </c>
      <c r="BM35" s="190">
        <f t="shared" si="35"/>
        <v>0</v>
      </c>
      <c r="BN35" s="190">
        <f t="shared" si="36"/>
        <v>0</v>
      </c>
      <c r="BO35" s="190">
        <f t="shared" si="37"/>
        <v>0</v>
      </c>
      <c r="BP35" s="190">
        <f t="shared" si="38"/>
        <v>0</v>
      </c>
      <c r="BQ35" s="190">
        <f t="shared" si="39"/>
        <v>0</v>
      </c>
      <c r="BR35" s="190">
        <f t="shared" si="40"/>
        <v>0</v>
      </c>
      <c r="BS35" s="190">
        <f t="shared" si="41"/>
        <v>0</v>
      </c>
      <c r="BT35" s="190">
        <f t="shared" si="42"/>
        <v>0</v>
      </c>
      <c r="BU35" s="190">
        <f t="shared" si="43"/>
        <v>0</v>
      </c>
      <c r="BV35" s="190">
        <f t="shared" si="44"/>
        <v>0</v>
      </c>
      <c r="BW35" s="190">
        <f t="shared" si="45"/>
        <v>0</v>
      </c>
      <c r="BX35" s="190">
        <f t="shared" si="46"/>
        <v>0</v>
      </c>
      <c r="BY35" s="190">
        <f t="shared" si="47"/>
        <v>0</v>
      </c>
      <c r="BZ35" s="190">
        <f t="shared" si="48"/>
        <v>0</v>
      </c>
      <c r="CA35" s="190">
        <f t="shared" si="49"/>
        <v>0</v>
      </c>
      <c r="CB35" s="190">
        <f t="shared" si="50"/>
        <v>0</v>
      </c>
      <c r="CC35" s="190">
        <f t="shared" si="51"/>
        <v>0</v>
      </c>
      <c r="CD35" s="190">
        <f t="shared" si="52"/>
        <v>0</v>
      </c>
      <c r="CE35" s="190">
        <f t="shared" si="53"/>
        <v>0</v>
      </c>
      <c r="CF35" s="190">
        <f t="shared" si="54"/>
        <v>0</v>
      </c>
      <c r="CG35" s="190">
        <f t="shared" si="55"/>
        <v>0</v>
      </c>
      <c r="CH35" s="264"/>
      <c r="CI35" s="264">
        <f t="shared" si="1"/>
        <v>0</v>
      </c>
      <c r="CJ35" s="264">
        <f t="shared" si="2"/>
        <v>0</v>
      </c>
      <c r="CK35" s="264">
        <f t="shared" si="3"/>
        <v>0</v>
      </c>
      <c r="CL35" s="264">
        <f t="shared" si="4"/>
        <v>0</v>
      </c>
      <c r="CM35" s="264">
        <f t="shared" si="5"/>
        <v>0</v>
      </c>
      <c r="CN35" s="264">
        <f t="shared" si="6"/>
        <v>0</v>
      </c>
      <c r="CP35" s="574">
        <f>SUMIF('Master '!D:D,D35,'Master '!AB:AB)</f>
        <v>0</v>
      </c>
      <c r="CQ35" s="574">
        <f>SUMIF('Master '!D:D,D35,'Master '!AC:AC)</f>
        <v>0</v>
      </c>
      <c r="CR35" s="264">
        <f t="shared" si="56"/>
        <v>0</v>
      </c>
      <c r="CS35" s="264">
        <f t="shared" si="56"/>
        <v>0</v>
      </c>
    </row>
    <row r="36" spans="1:97" s="261" customFormat="1">
      <c r="A36" s="55" t="s">
        <v>17</v>
      </c>
      <c r="B36" s="55" t="s">
        <v>993</v>
      </c>
      <c r="C36" s="55" t="s">
        <v>1245</v>
      </c>
      <c r="D36" s="55" t="s">
        <v>1293</v>
      </c>
      <c r="E36" s="55" t="str">
        <f>VLOOKUP(D36,'Input 14_Ref Table'!C:D,2,FALSE)</f>
        <v>CC810</v>
      </c>
      <c r="F36" s="172" t="s">
        <v>1287</v>
      </c>
      <c r="G36" s="55" t="str">
        <f>VLOOKUP(D36,'Input 14_Ref Table'!C:I,7,FALSE)</f>
        <v>CFG - FTS-B - Fixed NR</v>
      </c>
      <c r="H36" s="55" t="str">
        <f>VLOOKUP(D36,'Input 14_Ref Table'!C:K,8,FALSE)</f>
        <v>FTS_AB_C</v>
      </c>
      <c r="I36" s="55"/>
      <c r="J36" s="261" t="str">
        <f>INDEX('Master '!$AD$2:AD$65,MATCH(D36,'Master '!$D$2:$D$65,0))</f>
        <v>UPC Growth Rate</v>
      </c>
      <c r="K36" s="567">
        <f>INDEX('Master '!$N$2:N$65,MATCH(D36,'Master '!$D$2:$D$65,0))</f>
        <v>-8.9379418530954602E-2</v>
      </c>
      <c r="L36" s="290">
        <f>INDEX('Master '!$S$2:S$65,MATCH(D36,'Master '!$D$2:$D$65,0))</f>
        <v>-3.2809295967190781E-2</v>
      </c>
      <c r="M36" s="1">
        <f>INDEX('Master '!$W$2:W$65,MATCH(D36,'Master '!$D$2:$D$65,0))</f>
        <v>70.75</v>
      </c>
      <c r="N36" s="55">
        <f>SUMIF('Input 16_2018CUST-YTD'!$S:$S,$G36,'Input 16_2018CUST-YTD'!C:C)</f>
        <v>1</v>
      </c>
      <c r="O36" s="55">
        <f>SUMIF('Input 16_2018CUST-YTD'!$S:$S,$G36,'Input 16_2018CUST-YTD'!D:D)</f>
        <v>1</v>
      </c>
      <c r="P36" s="55">
        <f>SUMIF('Input 16_2018CUST-YTD'!$S:$S,$G36,'Input 16_2018CUST-YTD'!E:E)</f>
        <v>1</v>
      </c>
      <c r="Q36" s="55">
        <f>SUMIF('Input 16_2018CUST-YTD'!$S:$S,$G36,'Input 16_2018CUST-YTD'!F:F)</f>
        <v>1</v>
      </c>
      <c r="R36" s="55">
        <f>SUMIF('Input 16_2018CUST-YTD'!$S:$S,$G36,'Input 16_2018CUST-YTD'!G:G)</f>
        <v>1</v>
      </c>
      <c r="S36" s="55">
        <f>SUMIF('Input 16_2018CUST-YTD'!$S:$S,$G36,'Input 16_2018CUST-YTD'!H:H)</f>
        <v>1</v>
      </c>
      <c r="T36" s="55">
        <f>SUMIF('Input 16_2018CUST-YTD'!$S:$S,$G36,'Input 16_2018CUST-YTD'!I:I)</f>
        <v>1</v>
      </c>
      <c r="U36" s="55">
        <f>SUMIF('Input 16_2018CUST-YTD'!$S:$S,$G36,'Input 16_2018CUST-YTD'!J:J)</f>
        <v>1</v>
      </c>
      <c r="V36" s="55">
        <f>SUMIF('Input 16_2018CUST-YTD'!$S:$S,$G36,'Input 16_2018CUST-YTD'!K:K)</f>
        <v>1</v>
      </c>
      <c r="W36" s="55">
        <f>SUMIF('Input 16_2018CUST-YTD'!$S:$S,$G36,'Input 16_2018CUST-YTD'!L:L)</f>
        <v>1</v>
      </c>
      <c r="X36" s="55">
        <f>SUMIF('Input 16_2018CUST-YTD'!$S:$S,$G36,'Input 16_2018CUST-YTD'!M:M)</f>
        <v>1</v>
      </c>
      <c r="Y36" s="55">
        <f>SUMIF('Input 16_2018CUST-YTD'!$S:$S,$G36,'Input 16_2018CUST-YTD'!N:N)</f>
        <v>1</v>
      </c>
      <c r="Z36" s="1">
        <f>SUMIF('Input 3_2019CUST-YTD'!$S:$S,$G36,'Input 3_2019CUST-YTD'!C:C)</f>
        <v>1</v>
      </c>
      <c r="AA36" s="1">
        <f>SUMIF('Input 3_2019CUST-YTD'!$S:$S,$G36,'Input 3_2019CUST-YTD'!D:D)</f>
        <v>1</v>
      </c>
      <c r="AB36" s="1">
        <f>SUMIF('Input 3_2019CUST-YTD'!$S:$S,$G36,'Input 3_2019CUST-YTD'!E:E)</f>
        <v>1</v>
      </c>
      <c r="AC36" s="1">
        <f>SUMIF('Input 3_2019CUST-YTD'!$S:$S,$G36,'Input 3_2019CUST-YTD'!F:F)</f>
        <v>1</v>
      </c>
      <c r="AD36" s="1">
        <f>SUMIF('Input 3_2019CUST-YTD'!$S:$S,$G36,'Input 3_2019CUST-YTD'!G:G)</f>
        <v>1</v>
      </c>
      <c r="AE36" s="1">
        <f>SUMIF('Input 3_2019CUST-YTD'!$S:$S,$G36,'Input 3_2019CUST-YTD'!H:H)</f>
        <v>1</v>
      </c>
      <c r="AF36" s="1">
        <f>SUMIF('Input 3_2019CUST-YTD'!$S:$S,$G36,'Input 3_2019CUST-YTD'!I:I)</f>
        <v>1</v>
      </c>
      <c r="AG36" s="1">
        <f>SUMIF('Input 3_2019CUST-YTD'!$S:$S,$G36,'Input 3_2019CUST-YTD'!J:J)</f>
        <v>1</v>
      </c>
      <c r="AH36" s="1">
        <f>SUMIF('Input 3_2019CUST-YTD'!$S:$S,$G36,'Input 3_2019CUST-YTD'!K:K)</f>
        <v>1</v>
      </c>
      <c r="AI36" s="1">
        <f>SUMIF('Input 3_2019CUST-YTD'!$S:$S,$G36,'Input 3_2019CUST-YTD'!L:L)</f>
        <v>1</v>
      </c>
      <c r="AJ36" s="1">
        <f>SUMIF('Input 3_2019CUST-YTD'!$S:$S,$G36,'Input 3_2019CUST-YTD'!M:M)</f>
        <v>1</v>
      </c>
      <c r="AK36" s="1">
        <f>SUMIF('Input 3_2019CUST-YTD'!$S:$S,$G36,'Input 3_2019CUST-YTD'!N:N)</f>
        <v>1</v>
      </c>
      <c r="AL36" s="1">
        <f>SUMIF('Input 4_2020CUST-YTD'!$S:$S,$G36,'Input 4_2020CUST-YTD'!C:C)</f>
        <v>1</v>
      </c>
      <c r="AM36" s="1">
        <f>SUMIF('Input 4_2020CUST-YTD'!$S:$S,$G36,'Input 4_2020CUST-YTD'!D:D)</f>
        <v>1</v>
      </c>
      <c r="AN36" s="1">
        <f>SUMIF('Input 4_2020CUST-YTD'!$S:$S,$G36,'Input 4_2020CUST-YTD'!E:E)</f>
        <v>1</v>
      </c>
      <c r="AO36" s="1">
        <f>SUMIF('Input 4_2020CUST-YTD'!$S:$S,$G36,'Input 4_2020CUST-YTD'!F:F)</f>
        <v>1</v>
      </c>
      <c r="AP36" s="1">
        <f>SUMIF('Input 4_2020CUST-YTD'!$S:$S,$G36,'Input 4_2020CUST-YTD'!G:G)</f>
        <v>1</v>
      </c>
      <c r="AQ36" s="1">
        <f>SUMIF('Input 4_2020CUST-YTD'!$S:$S,$G36,'Input 4_2020CUST-YTD'!H:H)</f>
        <v>1</v>
      </c>
      <c r="AR36" s="1">
        <f>SUMIF('Input 4_2020CUST-YTD'!$S:$S,$G36,'Input 4_2020CUST-YTD'!I:I)</f>
        <v>1</v>
      </c>
      <c r="AS36" s="1">
        <f>SUMIF('Input 4_2020CUST-YTD'!$S:$S,$G36,'Input 4_2020CUST-YTD'!J:J)</f>
        <v>1</v>
      </c>
      <c r="AT36" s="1">
        <f>SUMIF('Input 4_2020CUST-YTD'!$S:$S,$G36,'Input 4_2020CUST-YTD'!K:K)</f>
        <v>1</v>
      </c>
      <c r="AU36" s="1">
        <f>SUMIF('Input 4_2020CUST-YTD'!$S:$S,$G36,'Input 4_2020CUST-YTD'!L:L)</f>
        <v>1</v>
      </c>
      <c r="AV36" s="1">
        <f>SUMIF('Input 4_2020CUST-YTD'!$S:$S,$G36,'Input 4_2020CUST-YTD'!M:M)</f>
        <v>1</v>
      </c>
      <c r="AW36" s="1">
        <f>SUMIF('Input 4_2020CUST-YTD'!$S:$S,$G36,'Input 4_2020CUST-YTD'!N:N)</f>
        <v>1</v>
      </c>
      <c r="AX36" s="1">
        <f>SUMIF('Input 5_2021CUST-YTD'!$S:$S,$G36,'Input 5_2021CUST-YTD'!C:C)</f>
        <v>1</v>
      </c>
      <c r="AY36" s="1">
        <f>SUMIF('Input 5_2021CUST-YTD'!$S:$S,$G36,'Input 5_2021CUST-YTD'!D:D)</f>
        <v>1</v>
      </c>
      <c r="AZ36" s="1">
        <f>SUMIF('Input 5_2021CUST-YTD'!$S:$S,$G36,'Input 5_2021CUST-YTD'!E:E)</f>
        <v>1</v>
      </c>
      <c r="BA36" s="1">
        <f>SUMIF('Input 5_2021CUST-YTD'!$S:$S,$G36,'Input 5_2021CUST-YTD'!F:F)</f>
        <v>1</v>
      </c>
      <c r="BB36" s="1">
        <f>SUMIF('Input 5_2021CUST-YTD'!$S:$S,$G36,'Input 5_2021CUST-YTD'!G:G)</f>
        <v>1</v>
      </c>
      <c r="BC36" s="1">
        <f>SUMIF('Input 5_2021CUST-YTD'!$S:$S,$G36,'Input 5_2021CUST-YTD'!H:H)</f>
        <v>1</v>
      </c>
      <c r="BD36" s="1">
        <f>SUMIF('Input 5_2021CUST-YTD'!$S:$S,$G36,'Input 5_2021CUST-YTD'!I:I)</f>
        <v>1</v>
      </c>
      <c r="BE36" s="1">
        <f>SUMIF('Input 5_2021CUST-YTD'!$S:$S,$G36,'Input 5_2021CUST-YTD'!J:J)</f>
        <v>1</v>
      </c>
      <c r="BF36" s="1">
        <f>SUMIF('Input 5_2021CUST-YTD'!$S:$S,$G36,'Input 5_2021CUST-YTD'!K:K)</f>
        <v>1</v>
      </c>
      <c r="BG36" s="1">
        <f>SUMIF('Input 5_2021CUST-YTD'!$S:$S,$G36,'Input 5_2021CUST-YTD'!L:L)</f>
        <v>1</v>
      </c>
      <c r="BH36" s="1">
        <f>SUMIF('Input 5_2021CUST-YTD'!$S:$S,$G36,'Input 5_2021CUST-YTD'!M:M)</f>
        <v>1</v>
      </c>
      <c r="BI36" s="1">
        <f>SUMIF('Input 5_2021CUST-YTD'!$S:$S,$G36,'Input 5_2021CUST-YTD'!N:N)</f>
        <v>1</v>
      </c>
      <c r="BJ36" s="190">
        <f t="shared" si="32"/>
        <v>0.91062058146904534</v>
      </c>
      <c r="BK36" s="190">
        <f t="shared" si="33"/>
        <v>0.91062058146904534</v>
      </c>
      <c r="BL36" s="190">
        <f t="shared" si="34"/>
        <v>0.91062058146904534</v>
      </c>
      <c r="BM36" s="190">
        <f t="shared" si="35"/>
        <v>0.91062058146904534</v>
      </c>
      <c r="BN36" s="190">
        <f t="shared" si="36"/>
        <v>0.91062058146904534</v>
      </c>
      <c r="BO36" s="190">
        <f t="shared" si="37"/>
        <v>0.91062058146904534</v>
      </c>
      <c r="BP36" s="190">
        <f t="shared" si="38"/>
        <v>0.91062058146904534</v>
      </c>
      <c r="BQ36" s="190">
        <f t="shared" si="39"/>
        <v>0.91062058146904534</v>
      </c>
      <c r="BR36" s="190">
        <f t="shared" si="40"/>
        <v>0.91062058146904534</v>
      </c>
      <c r="BS36" s="190">
        <f t="shared" si="41"/>
        <v>0.91062058146904534</v>
      </c>
      <c r="BT36" s="190">
        <f t="shared" si="42"/>
        <v>0.91062058146904534</v>
      </c>
      <c r="BU36" s="190">
        <f t="shared" si="43"/>
        <v>0.91062058146904534</v>
      </c>
      <c r="BV36" s="190">
        <f t="shared" si="44"/>
        <v>0.82922984339502226</v>
      </c>
      <c r="BW36" s="190">
        <f t="shared" si="45"/>
        <v>0.82922984339502226</v>
      </c>
      <c r="BX36" s="190">
        <f t="shared" si="46"/>
        <v>0.82922984339502226</v>
      </c>
      <c r="BY36" s="190">
        <f t="shared" si="47"/>
        <v>0.82922984339502226</v>
      </c>
      <c r="BZ36" s="190">
        <f t="shared" si="48"/>
        <v>0.82922984339502226</v>
      </c>
      <c r="CA36" s="190">
        <f t="shared" si="49"/>
        <v>0.82922984339502226</v>
      </c>
      <c r="CB36" s="190">
        <f t="shared" si="50"/>
        <v>0.82922984339502226</v>
      </c>
      <c r="CC36" s="190">
        <f t="shared" si="51"/>
        <v>0.82922984339502226</v>
      </c>
      <c r="CD36" s="190">
        <f t="shared" si="52"/>
        <v>0.82922984339502226</v>
      </c>
      <c r="CE36" s="190">
        <f t="shared" si="53"/>
        <v>0.82922984339502226</v>
      </c>
      <c r="CF36" s="190">
        <f t="shared" si="54"/>
        <v>0.82922984339502226</v>
      </c>
      <c r="CG36" s="190">
        <f t="shared" si="55"/>
        <v>0.82922984339502226</v>
      </c>
      <c r="CH36" s="264"/>
      <c r="CI36" s="264">
        <f t="shared" si="1"/>
        <v>12</v>
      </c>
      <c r="CJ36" s="264">
        <f t="shared" si="2"/>
        <v>12</v>
      </c>
      <c r="CK36" s="264">
        <f t="shared" si="3"/>
        <v>12</v>
      </c>
      <c r="CL36" s="264">
        <f t="shared" si="4"/>
        <v>12</v>
      </c>
      <c r="CM36" s="264">
        <f t="shared" si="5"/>
        <v>10.927446977628543</v>
      </c>
      <c r="CN36" s="264">
        <f t="shared" si="6"/>
        <v>9.950758120740268</v>
      </c>
      <c r="CP36" s="574">
        <f>SUMIF('Master '!D:D,D36,'Master '!AB:AB)</f>
        <v>10.927446977628545</v>
      </c>
      <c r="CQ36" s="574">
        <f>SUMIF('Master '!D:D,D36,'Master '!AC:AC)</f>
        <v>9.950758120740268</v>
      </c>
      <c r="CR36" s="264">
        <f t="shared" si="56"/>
        <v>0</v>
      </c>
      <c r="CS36" s="264">
        <f t="shared" si="56"/>
        <v>0</v>
      </c>
    </row>
    <row r="37" spans="1:97" s="261" customFormat="1">
      <c r="A37" s="55" t="s">
        <v>17</v>
      </c>
      <c r="B37" s="55" t="s">
        <v>993</v>
      </c>
      <c r="C37" s="55" t="s">
        <v>8</v>
      </c>
      <c r="D37" s="55" t="s">
        <v>1247</v>
      </c>
      <c r="E37" s="55" t="str">
        <f>VLOOKUP(D37,'Input 14_Ref Table'!C:D,2,FALSE)</f>
        <v>CR810</v>
      </c>
      <c r="F37" s="172" t="s">
        <v>1286</v>
      </c>
      <c r="G37" s="55" t="str">
        <f>VLOOKUP(D37,'Input 14_Ref Table'!C:I,7,FALSE)</f>
        <v>CFG - FTS-1 R</v>
      </c>
      <c r="H37" s="55" t="str">
        <f>VLOOKUP(D37,'Input 14_Ref Table'!C:K,8,FALSE)</f>
        <v>FTS_1</v>
      </c>
      <c r="I37" s="55"/>
      <c r="J37" s="261" t="str">
        <f>INDEX('Master '!$AD$2:AD$65,MATCH(D37,'Master '!$D$2:$D$65,0))</f>
        <v>UPC Growth Rate</v>
      </c>
      <c r="K37" s="567">
        <f>INDEX('Master '!$N$2:N$65,MATCH(D37,'Master '!$D$2:$D$65,0))</f>
        <v>3.3861006638872364E-2</v>
      </c>
      <c r="L37" s="290">
        <f>INDEX('Master '!$S$2:S$65,MATCH(D37,'Master '!$D$2:$D$65,0))</f>
        <v>0</v>
      </c>
      <c r="M37" s="1">
        <f>INDEX('Master '!$W$2:W$65,MATCH(D37,'Master '!$D$2:$D$65,0))</f>
        <v>172.96753251423365</v>
      </c>
      <c r="N37" s="55">
        <f>SUMIF('Input 16_2018CUST-YTD'!$S:$S,$G37,'Input 16_2018CUST-YTD'!C:C)</f>
        <v>11148</v>
      </c>
      <c r="O37" s="55">
        <f>SUMIF('Input 16_2018CUST-YTD'!$S:$S,$G37,'Input 16_2018CUST-YTD'!D:D)</f>
        <v>11209</v>
      </c>
      <c r="P37" s="55">
        <f>SUMIF('Input 16_2018CUST-YTD'!$S:$S,$G37,'Input 16_2018CUST-YTD'!E:E)</f>
        <v>11302</v>
      </c>
      <c r="Q37" s="55">
        <f>SUMIF('Input 16_2018CUST-YTD'!$S:$S,$G37,'Input 16_2018CUST-YTD'!F:F)</f>
        <v>11410</v>
      </c>
      <c r="R37" s="55">
        <f>SUMIF('Input 16_2018CUST-YTD'!$S:$S,$G37,'Input 16_2018CUST-YTD'!G:G)</f>
        <v>11438</v>
      </c>
      <c r="S37" s="55">
        <f>SUMIF('Input 16_2018CUST-YTD'!$S:$S,$G37,'Input 16_2018CUST-YTD'!H:H)</f>
        <v>11483</v>
      </c>
      <c r="T37" s="55">
        <f>SUMIF('Input 16_2018CUST-YTD'!$S:$S,$G37,'Input 16_2018CUST-YTD'!I:I)</f>
        <v>11522</v>
      </c>
      <c r="U37" s="55">
        <f>SUMIF('Input 16_2018CUST-YTD'!$S:$S,$G37,'Input 16_2018CUST-YTD'!J:J)</f>
        <v>11555</v>
      </c>
      <c r="V37" s="55">
        <f>SUMIF('Input 16_2018CUST-YTD'!$S:$S,$G37,'Input 16_2018CUST-YTD'!K:K)</f>
        <v>11626</v>
      </c>
      <c r="W37" s="55">
        <f>SUMIF('Input 16_2018CUST-YTD'!$S:$S,$G37,'Input 16_2018CUST-YTD'!L:L)</f>
        <v>11672</v>
      </c>
      <c r="X37" s="55">
        <f>SUMIF('Input 16_2018CUST-YTD'!$S:$S,$G37,'Input 16_2018CUST-YTD'!M:M)</f>
        <v>11800</v>
      </c>
      <c r="Y37" s="55">
        <f>SUMIF('Input 16_2018CUST-YTD'!$S:$S,$G37,'Input 16_2018CUST-YTD'!N:N)</f>
        <v>11887</v>
      </c>
      <c r="Z37" s="1">
        <f>SUMIF('Input 3_2019CUST-YTD'!$S:$S,$G37,'Input 3_2019CUST-YTD'!C:C)</f>
        <v>11943</v>
      </c>
      <c r="AA37" s="1">
        <f>SUMIF('Input 3_2019CUST-YTD'!$S:$S,$G37,'Input 3_2019CUST-YTD'!D:D)</f>
        <v>12032</v>
      </c>
      <c r="AB37" s="1">
        <f>SUMIF('Input 3_2019CUST-YTD'!$S:$S,$G37,'Input 3_2019CUST-YTD'!E:E)</f>
        <v>12117</v>
      </c>
      <c r="AC37" s="1">
        <f>SUMIF('Input 3_2019CUST-YTD'!$S:$S,$G37,'Input 3_2019CUST-YTD'!F:F)</f>
        <v>12258</v>
      </c>
      <c r="AD37" s="1">
        <f>SUMIF('Input 3_2019CUST-YTD'!$S:$S,$G37,'Input 3_2019CUST-YTD'!G:G)</f>
        <v>12256</v>
      </c>
      <c r="AE37" s="1">
        <f>SUMIF('Input 3_2019CUST-YTD'!$S:$S,$G37,'Input 3_2019CUST-YTD'!H:H)</f>
        <v>12307</v>
      </c>
      <c r="AF37" s="1">
        <f>SUMIF('Input 3_2019CUST-YTD'!$S:$S,$G37,'Input 3_2019CUST-YTD'!I:I)</f>
        <v>12350</v>
      </c>
      <c r="AG37" s="1">
        <f>SUMIF('Input 3_2019CUST-YTD'!$S:$S,$G37,'Input 3_2019CUST-YTD'!J:J)</f>
        <v>12468</v>
      </c>
      <c r="AH37" s="1">
        <f>SUMIF('Input 3_2019CUST-YTD'!$S:$S,$G37,'Input 3_2019CUST-YTD'!K:K)</f>
        <v>12502</v>
      </c>
      <c r="AI37" s="1">
        <f>SUMIF('Input 3_2019CUST-YTD'!$S:$S,$G37,'Input 3_2019CUST-YTD'!L:L)</f>
        <v>12535</v>
      </c>
      <c r="AJ37" s="1">
        <f>SUMIF('Input 3_2019CUST-YTD'!$S:$S,$G37,'Input 3_2019CUST-YTD'!M:M)</f>
        <v>12636</v>
      </c>
      <c r="AK37" s="1">
        <f>SUMIF('Input 3_2019CUST-YTD'!$S:$S,$G37,'Input 3_2019CUST-YTD'!N:N)</f>
        <v>12704</v>
      </c>
      <c r="AL37" s="1">
        <f>SUMIF('Input 4_2020CUST-YTD'!$S:$S,$G37,'Input 4_2020CUST-YTD'!C:C)</f>
        <v>12704</v>
      </c>
      <c r="AM37" s="1">
        <f>SUMIF('Input 4_2020CUST-YTD'!$S:$S,$G37,'Input 4_2020CUST-YTD'!D:D)</f>
        <v>12745</v>
      </c>
      <c r="AN37" s="1">
        <f>SUMIF('Input 4_2020CUST-YTD'!$S:$S,$G37,'Input 4_2020CUST-YTD'!E:E)</f>
        <v>12795</v>
      </c>
      <c r="AO37" s="1">
        <f>SUMIF('Input 4_2020CUST-YTD'!$S:$S,$G37,'Input 4_2020CUST-YTD'!F:F)</f>
        <v>12827</v>
      </c>
      <c r="AP37" s="1">
        <f>SUMIF('Input 4_2020CUST-YTD'!$S:$S,$G37,'Input 4_2020CUST-YTD'!G:G)</f>
        <v>12878</v>
      </c>
      <c r="AQ37" s="1">
        <f>SUMIF('Input 4_2020CUST-YTD'!$S:$S,$G37,'Input 4_2020CUST-YTD'!H:H)</f>
        <v>12915</v>
      </c>
      <c r="AR37" s="1">
        <f>SUMIF('Input 4_2020CUST-YTD'!$S:$S,$G37,'Input 4_2020CUST-YTD'!I:I)</f>
        <v>12978</v>
      </c>
      <c r="AS37" s="1">
        <f>SUMIF('Input 4_2020CUST-YTD'!$S:$S,$G37,'Input 4_2020CUST-YTD'!J:J)</f>
        <v>13027</v>
      </c>
      <c r="AT37" s="1">
        <f>SUMIF('Input 4_2020CUST-YTD'!$S:$S,$G37,'Input 4_2020CUST-YTD'!K:K)</f>
        <v>13136</v>
      </c>
      <c r="AU37" s="1">
        <f>SUMIF('Input 4_2020CUST-YTD'!$S:$S,$G37,'Input 4_2020CUST-YTD'!L:L)</f>
        <v>13220</v>
      </c>
      <c r="AV37" s="1">
        <f>SUMIF('Input 4_2020CUST-YTD'!$S:$S,$G37,'Input 4_2020CUST-YTD'!M:M)</f>
        <v>13463</v>
      </c>
      <c r="AW37" s="1">
        <f>SUMIF('Input 4_2020CUST-YTD'!$S:$S,$G37,'Input 4_2020CUST-YTD'!N:N)</f>
        <v>13576</v>
      </c>
      <c r="AX37" s="1">
        <f>SUMIF('Input 5_2021CUST-YTD'!$S:$S,$G37,'Input 5_2021CUST-YTD'!C:C)</f>
        <v>13630</v>
      </c>
      <c r="AY37" s="1">
        <f>SUMIF('Input 5_2021CUST-YTD'!$S:$S,$G37,'Input 5_2021CUST-YTD'!D:D)</f>
        <v>13637</v>
      </c>
      <c r="AZ37" s="1">
        <f>SUMIF('Input 5_2021CUST-YTD'!$S:$S,$G37,'Input 5_2021CUST-YTD'!E:E)</f>
        <v>13703</v>
      </c>
      <c r="BA37" s="1">
        <f>SUMIF('Input 5_2021CUST-YTD'!$S:$S,$G37,'Input 5_2021CUST-YTD'!F:F)</f>
        <v>13779</v>
      </c>
      <c r="BB37" s="1">
        <f>SUMIF('Input 5_2021CUST-YTD'!$S:$S,$G37,'Input 5_2021CUST-YTD'!G:G)</f>
        <v>13833</v>
      </c>
      <c r="BC37" s="1">
        <f>SUMIF('Input 5_2021CUST-YTD'!$S:$S,$G37,'Input 5_2021CUST-YTD'!H:H)</f>
        <v>13772</v>
      </c>
      <c r="BD37" s="1">
        <f>SUMIF('Input 5_2021CUST-YTD'!$S:$S,$G37,'Input 5_2021CUST-YTD'!I:I)</f>
        <v>13775</v>
      </c>
      <c r="BE37" s="1">
        <f>SUMIF('Input 5_2021CUST-YTD'!$S:$S,$G37,'Input 5_2021CUST-YTD'!J:J)</f>
        <v>13765</v>
      </c>
      <c r="BF37" s="1">
        <f>SUMIF('Input 5_2021CUST-YTD'!$S:$S,$G37,'Input 5_2021CUST-YTD'!K:K)</f>
        <v>13790</v>
      </c>
      <c r="BG37" s="1">
        <f>SUMIF('Input 5_2021CUST-YTD'!$S:$S,$G37,'Input 5_2021CUST-YTD'!L:L)</f>
        <v>13753</v>
      </c>
      <c r="BH37" s="1">
        <f>SUMIF('Input 5_2021CUST-YTD'!$S:$S,$G37,'Input 5_2021CUST-YTD'!M:M)</f>
        <v>13801</v>
      </c>
      <c r="BI37" s="1">
        <f>SUMIF('Input 5_2021CUST-YTD'!$S:$S,$G37,'Input 5_2021CUST-YTD'!N:N)</f>
        <v>13876</v>
      </c>
      <c r="BJ37" s="190">
        <f t="shared" si="32"/>
        <v>14091.525520487829</v>
      </c>
      <c r="BK37" s="190">
        <f t="shared" si="33"/>
        <v>14098.762547534301</v>
      </c>
      <c r="BL37" s="190">
        <f t="shared" si="34"/>
        <v>14166.997373972466</v>
      </c>
      <c r="BM37" s="190">
        <f t="shared" si="35"/>
        <v>14245.57081047702</v>
      </c>
      <c r="BN37" s="190">
        <f t="shared" si="36"/>
        <v>14301.399304835521</v>
      </c>
      <c r="BO37" s="190">
        <f t="shared" si="37"/>
        <v>14238.333783430549</v>
      </c>
      <c r="BP37" s="190">
        <f t="shared" si="38"/>
        <v>14241.435366450465</v>
      </c>
      <c r="BQ37" s="190">
        <f t="shared" si="39"/>
        <v>14231.096756384077</v>
      </c>
      <c r="BR37" s="190">
        <f t="shared" si="40"/>
        <v>14256.943281550048</v>
      </c>
      <c r="BS37" s="190">
        <f t="shared" si="41"/>
        <v>14218.69042430441</v>
      </c>
      <c r="BT37" s="190">
        <f t="shared" si="42"/>
        <v>14268.315752623075</v>
      </c>
      <c r="BU37" s="190">
        <f t="shared" si="43"/>
        <v>14345.855328120992</v>
      </c>
      <c r="BV37" s="190">
        <f t="shared" si="44"/>
        <v>14568.678759688904</v>
      </c>
      <c r="BW37" s="190">
        <f t="shared" si="45"/>
        <v>14576.160839756243</v>
      </c>
      <c r="BX37" s="190">
        <f t="shared" si="46"/>
        <v>14646.706166105434</v>
      </c>
      <c r="BY37" s="190">
        <f t="shared" si="47"/>
        <v>14727.940178265108</v>
      </c>
      <c r="BZ37" s="190">
        <f t="shared" si="48"/>
        <v>14785.659081641719</v>
      </c>
      <c r="CA37" s="190">
        <f t="shared" si="49"/>
        <v>14720.458098197771</v>
      </c>
      <c r="CB37" s="190">
        <f t="shared" si="50"/>
        <v>14723.664703940914</v>
      </c>
      <c r="CC37" s="190">
        <f t="shared" si="51"/>
        <v>14712.976018130432</v>
      </c>
      <c r="CD37" s="190">
        <f t="shared" si="52"/>
        <v>14739.697732656639</v>
      </c>
      <c r="CE37" s="190">
        <f t="shared" si="53"/>
        <v>14700.149595157851</v>
      </c>
      <c r="CF37" s="190">
        <f t="shared" si="54"/>
        <v>14751.455287048171</v>
      </c>
      <c r="CG37" s="190">
        <f t="shared" si="55"/>
        <v>14831.620430626797</v>
      </c>
      <c r="CH37" s="264"/>
      <c r="CI37" s="264">
        <f t="shared" si="1"/>
        <v>138052</v>
      </c>
      <c r="CJ37" s="264">
        <f t="shared" si="2"/>
        <v>148108</v>
      </c>
      <c r="CK37" s="264">
        <f t="shared" si="3"/>
        <v>156264</v>
      </c>
      <c r="CL37" s="264">
        <f t="shared" si="4"/>
        <v>165114</v>
      </c>
      <c r="CM37" s="264">
        <f t="shared" si="5"/>
        <v>170704.92625017074</v>
      </c>
      <c r="CN37" s="264">
        <f t="shared" si="6"/>
        <v>176485.16689121595</v>
      </c>
      <c r="CP37" s="574">
        <f>SUMIF('Master '!D:D,D37,'Master '!AB:AB)</f>
        <v>170704.92625017074</v>
      </c>
      <c r="CQ37" s="574">
        <f>SUMIF('Master '!D:D,D37,'Master '!AC:AC)</f>
        <v>176485.16689121598</v>
      </c>
      <c r="CR37" s="264">
        <f t="shared" si="56"/>
        <v>0</v>
      </c>
      <c r="CS37" s="264">
        <f t="shared" si="56"/>
        <v>0</v>
      </c>
    </row>
    <row r="38" spans="1:97" s="261" customFormat="1">
      <c r="A38" s="55" t="s">
        <v>17</v>
      </c>
      <c r="B38" s="55" t="s">
        <v>993</v>
      </c>
      <c r="C38" s="55" t="s">
        <v>8</v>
      </c>
      <c r="D38" s="55" t="s">
        <v>1248</v>
      </c>
      <c r="E38" s="55" t="str">
        <f>VLOOKUP(D38,'Input 14_Ref Table'!C:D,2,FALSE)</f>
        <v>CR817</v>
      </c>
      <c r="F38" s="172" t="s">
        <v>1287</v>
      </c>
      <c r="G38" s="55" t="str">
        <f>VLOOKUP(D38,'Input 14_Ref Table'!C:I,7,FALSE)</f>
        <v>CFG - FTS-1 - Fixed R</v>
      </c>
      <c r="H38" s="55" t="str">
        <f>VLOOKUP(D38,'Input 14_Ref Table'!C:K,8,FALSE)</f>
        <v>FTS_1</v>
      </c>
      <c r="I38" s="55"/>
      <c r="J38" s="261" t="str">
        <f>INDEX('Master '!$AD$2:AD$65,MATCH(D38,'Master '!$D$2:$D$65,0))</f>
        <v>UPC Growth Rate</v>
      </c>
      <c r="K38" s="567">
        <f>INDEX('Master '!$N$2:N$65,MATCH(D38,'Master '!$D$2:$D$65,0))</f>
        <v>3.3861006638872364E-2</v>
      </c>
      <c r="L38" s="290">
        <f>INDEX('Master '!$S$2:S$65,MATCH(D38,'Master '!$D$2:$D$65,0))</f>
        <v>0</v>
      </c>
      <c r="M38" s="1">
        <f>INDEX('Master '!$W$2:W$65,MATCH(D38,'Master '!$D$2:$D$65,0))</f>
        <v>172.96753251423365</v>
      </c>
      <c r="N38" s="55">
        <f>SUMIF('Input 16_2018CUST-YTD'!$S:$S,$G38,'Input 16_2018CUST-YTD'!C:C)</f>
        <v>168</v>
      </c>
      <c r="O38" s="55">
        <f>SUMIF('Input 16_2018CUST-YTD'!$S:$S,$G38,'Input 16_2018CUST-YTD'!D:D)</f>
        <v>169</v>
      </c>
      <c r="P38" s="55">
        <f>SUMIF('Input 16_2018CUST-YTD'!$S:$S,$G38,'Input 16_2018CUST-YTD'!E:E)</f>
        <v>170</v>
      </c>
      <c r="Q38" s="55">
        <f>SUMIF('Input 16_2018CUST-YTD'!$S:$S,$G38,'Input 16_2018CUST-YTD'!F:F)</f>
        <v>167</v>
      </c>
      <c r="R38" s="55">
        <f>SUMIF('Input 16_2018CUST-YTD'!$S:$S,$G38,'Input 16_2018CUST-YTD'!G:G)</f>
        <v>168</v>
      </c>
      <c r="S38" s="55">
        <f>SUMIF('Input 16_2018CUST-YTD'!$S:$S,$G38,'Input 16_2018CUST-YTD'!H:H)</f>
        <v>167</v>
      </c>
      <c r="T38" s="55">
        <f>SUMIF('Input 16_2018CUST-YTD'!$S:$S,$G38,'Input 16_2018CUST-YTD'!I:I)</f>
        <v>168</v>
      </c>
      <c r="U38" s="55">
        <f>SUMIF('Input 16_2018CUST-YTD'!$S:$S,$G38,'Input 16_2018CUST-YTD'!J:J)</f>
        <v>165</v>
      </c>
      <c r="V38" s="55">
        <f>SUMIF('Input 16_2018CUST-YTD'!$S:$S,$G38,'Input 16_2018CUST-YTD'!K:K)</f>
        <v>164</v>
      </c>
      <c r="W38" s="55">
        <f>SUMIF('Input 16_2018CUST-YTD'!$S:$S,$G38,'Input 16_2018CUST-YTD'!L:L)</f>
        <v>163</v>
      </c>
      <c r="X38" s="55">
        <f>SUMIF('Input 16_2018CUST-YTD'!$S:$S,$G38,'Input 16_2018CUST-YTD'!M:M)</f>
        <v>164</v>
      </c>
      <c r="Y38" s="55">
        <f>SUMIF('Input 16_2018CUST-YTD'!$S:$S,$G38,'Input 16_2018CUST-YTD'!N:N)</f>
        <v>164</v>
      </c>
      <c r="Z38" s="1">
        <f>SUMIF('Input 3_2019CUST-YTD'!$S:$S,$G38,'Input 3_2019CUST-YTD'!C:C)</f>
        <v>166</v>
      </c>
      <c r="AA38" s="1">
        <f>SUMIF('Input 3_2019CUST-YTD'!$S:$S,$G38,'Input 3_2019CUST-YTD'!D:D)</f>
        <v>166</v>
      </c>
      <c r="AB38" s="1">
        <f>SUMIF('Input 3_2019CUST-YTD'!$S:$S,$G38,'Input 3_2019CUST-YTD'!E:E)</f>
        <v>165</v>
      </c>
      <c r="AC38" s="1">
        <f>SUMIF('Input 3_2019CUST-YTD'!$S:$S,$G38,'Input 3_2019CUST-YTD'!F:F)</f>
        <v>164</v>
      </c>
      <c r="AD38" s="1">
        <f>SUMIF('Input 3_2019CUST-YTD'!$S:$S,$G38,'Input 3_2019CUST-YTD'!G:G)</f>
        <v>165</v>
      </c>
      <c r="AE38" s="1">
        <f>SUMIF('Input 3_2019CUST-YTD'!$S:$S,$G38,'Input 3_2019CUST-YTD'!H:H)</f>
        <v>166</v>
      </c>
      <c r="AF38" s="1">
        <f>SUMIF('Input 3_2019CUST-YTD'!$S:$S,$G38,'Input 3_2019CUST-YTD'!I:I)</f>
        <v>168</v>
      </c>
      <c r="AG38" s="1">
        <f>SUMIF('Input 3_2019CUST-YTD'!$S:$S,$G38,'Input 3_2019CUST-YTD'!J:J)</f>
        <v>168</v>
      </c>
      <c r="AH38" s="1">
        <f>SUMIF('Input 3_2019CUST-YTD'!$S:$S,$G38,'Input 3_2019CUST-YTD'!K:K)</f>
        <v>167</v>
      </c>
      <c r="AI38" s="1">
        <f>SUMIF('Input 3_2019CUST-YTD'!$S:$S,$G38,'Input 3_2019CUST-YTD'!L:L)</f>
        <v>167</v>
      </c>
      <c r="AJ38" s="1">
        <f>SUMIF('Input 3_2019CUST-YTD'!$S:$S,$G38,'Input 3_2019CUST-YTD'!M:M)</f>
        <v>167</v>
      </c>
      <c r="AK38" s="1">
        <f>SUMIF('Input 3_2019CUST-YTD'!$S:$S,$G38,'Input 3_2019CUST-YTD'!N:N)</f>
        <v>167</v>
      </c>
      <c r="AL38" s="1">
        <f>SUMIF('Input 4_2020CUST-YTD'!$S:$S,$G38,'Input 4_2020CUST-YTD'!C:C)</f>
        <v>167</v>
      </c>
      <c r="AM38" s="1">
        <f>SUMIF('Input 4_2020CUST-YTD'!$S:$S,$G38,'Input 4_2020CUST-YTD'!D:D)</f>
        <v>167</v>
      </c>
      <c r="AN38" s="1">
        <f>SUMIF('Input 4_2020CUST-YTD'!$S:$S,$G38,'Input 4_2020CUST-YTD'!E:E)</f>
        <v>168</v>
      </c>
      <c r="AO38" s="1">
        <f>SUMIF('Input 4_2020CUST-YTD'!$S:$S,$G38,'Input 4_2020CUST-YTD'!F:F)</f>
        <v>167</v>
      </c>
      <c r="AP38" s="1">
        <f>SUMIF('Input 4_2020CUST-YTD'!$S:$S,$G38,'Input 4_2020CUST-YTD'!G:G)</f>
        <v>164</v>
      </c>
      <c r="AQ38" s="1">
        <f>SUMIF('Input 4_2020CUST-YTD'!$S:$S,$G38,'Input 4_2020CUST-YTD'!H:H)</f>
        <v>164</v>
      </c>
      <c r="AR38" s="1">
        <f>SUMIF('Input 4_2020CUST-YTD'!$S:$S,$G38,'Input 4_2020CUST-YTD'!I:I)</f>
        <v>164</v>
      </c>
      <c r="AS38" s="1">
        <f>SUMIF('Input 4_2020CUST-YTD'!$S:$S,$G38,'Input 4_2020CUST-YTD'!J:J)</f>
        <v>165</v>
      </c>
      <c r="AT38" s="1">
        <f>SUMIF('Input 4_2020CUST-YTD'!$S:$S,$G38,'Input 4_2020CUST-YTD'!K:K)</f>
        <v>164</v>
      </c>
      <c r="AU38" s="1">
        <f>SUMIF('Input 4_2020CUST-YTD'!$S:$S,$G38,'Input 4_2020CUST-YTD'!L:L)</f>
        <v>165</v>
      </c>
      <c r="AV38" s="1">
        <f>SUMIF('Input 4_2020CUST-YTD'!$S:$S,$G38,'Input 4_2020CUST-YTD'!M:M)</f>
        <v>165</v>
      </c>
      <c r="AW38" s="1">
        <f>SUMIF('Input 4_2020CUST-YTD'!$S:$S,$G38,'Input 4_2020CUST-YTD'!N:N)</f>
        <v>165</v>
      </c>
      <c r="AX38" s="1">
        <f>SUMIF('Input 5_2021CUST-YTD'!$S:$S,$G38,'Input 5_2021CUST-YTD'!C:C)</f>
        <v>166</v>
      </c>
      <c r="AY38" s="1">
        <f>SUMIF('Input 5_2021CUST-YTD'!$S:$S,$G38,'Input 5_2021CUST-YTD'!D:D)</f>
        <v>165</v>
      </c>
      <c r="AZ38" s="1">
        <f>SUMIF('Input 5_2021CUST-YTD'!$S:$S,$G38,'Input 5_2021CUST-YTD'!E:E)</f>
        <v>164</v>
      </c>
      <c r="BA38" s="1">
        <f>SUMIF('Input 5_2021CUST-YTD'!$S:$S,$G38,'Input 5_2021CUST-YTD'!F:F)</f>
        <v>165</v>
      </c>
      <c r="BB38" s="1">
        <f>SUMIF('Input 5_2021CUST-YTD'!$S:$S,$G38,'Input 5_2021CUST-YTD'!G:G)</f>
        <v>164</v>
      </c>
      <c r="BC38" s="1">
        <f>SUMIF('Input 5_2021CUST-YTD'!$S:$S,$G38,'Input 5_2021CUST-YTD'!H:H)</f>
        <v>164</v>
      </c>
      <c r="BD38" s="1">
        <f>SUMIF('Input 5_2021CUST-YTD'!$S:$S,$G38,'Input 5_2021CUST-YTD'!I:I)</f>
        <v>163</v>
      </c>
      <c r="BE38" s="1">
        <f>SUMIF('Input 5_2021CUST-YTD'!$S:$S,$G38,'Input 5_2021CUST-YTD'!J:J)</f>
        <v>164</v>
      </c>
      <c r="BF38" s="1">
        <f>SUMIF('Input 5_2021CUST-YTD'!$S:$S,$G38,'Input 5_2021CUST-YTD'!K:K)</f>
        <v>162</v>
      </c>
      <c r="BG38" s="1">
        <f>SUMIF('Input 5_2021CUST-YTD'!$S:$S,$G38,'Input 5_2021CUST-YTD'!L:L)</f>
        <v>163</v>
      </c>
      <c r="BH38" s="1">
        <f>SUMIF('Input 5_2021CUST-YTD'!$S:$S,$G38,'Input 5_2021CUST-YTD'!M:M)</f>
        <v>159</v>
      </c>
      <c r="BI38" s="1">
        <f>SUMIF('Input 5_2021CUST-YTD'!$S:$S,$G38,'Input 5_2021CUST-YTD'!N:N)</f>
        <v>160</v>
      </c>
      <c r="BJ38" s="190">
        <f t="shared" si="32"/>
        <v>171.6209271020528</v>
      </c>
      <c r="BK38" s="190">
        <f t="shared" si="33"/>
        <v>170.58706609541392</v>
      </c>
      <c r="BL38" s="190">
        <f t="shared" si="34"/>
        <v>169.55320508877506</v>
      </c>
      <c r="BM38" s="190">
        <f t="shared" si="35"/>
        <v>170.58706609541392</v>
      </c>
      <c r="BN38" s="190">
        <f t="shared" si="36"/>
        <v>169.55320508877506</v>
      </c>
      <c r="BO38" s="190">
        <f t="shared" si="37"/>
        <v>169.55320508877506</v>
      </c>
      <c r="BP38" s="190">
        <f t="shared" si="38"/>
        <v>168.51934408213617</v>
      </c>
      <c r="BQ38" s="190">
        <f t="shared" si="39"/>
        <v>169.55320508877506</v>
      </c>
      <c r="BR38" s="190">
        <f t="shared" si="40"/>
        <v>167.48548307549731</v>
      </c>
      <c r="BS38" s="190">
        <f t="shared" si="41"/>
        <v>168.51934408213617</v>
      </c>
      <c r="BT38" s="190">
        <f t="shared" si="42"/>
        <v>164.38390005558068</v>
      </c>
      <c r="BU38" s="190">
        <f t="shared" si="43"/>
        <v>165.41776106221957</v>
      </c>
      <c r="BV38" s="190">
        <f t="shared" si="44"/>
        <v>177.43218445402482</v>
      </c>
      <c r="BW38" s="190">
        <f t="shared" si="45"/>
        <v>176.36331587297647</v>
      </c>
      <c r="BX38" s="190">
        <f t="shared" si="46"/>
        <v>175.29444729192815</v>
      </c>
      <c r="BY38" s="190">
        <f t="shared" si="47"/>
        <v>176.36331587297647</v>
      </c>
      <c r="BZ38" s="190">
        <f t="shared" si="48"/>
        <v>175.29444729192815</v>
      </c>
      <c r="CA38" s="190">
        <f t="shared" si="49"/>
        <v>175.29444729192815</v>
      </c>
      <c r="CB38" s="190">
        <f t="shared" si="50"/>
        <v>174.22557871087977</v>
      </c>
      <c r="CC38" s="190">
        <f t="shared" si="51"/>
        <v>175.29444729192815</v>
      </c>
      <c r="CD38" s="190">
        <f t="shared" si="52"/>
        <v>173.15671012983145</v>
      </c>
      <c r="CE38" s="190">
        <f t="shared" si="53"/>
        <v>174.22557871087977</v>
      </c>
      <c r="CF38" s="190">
        <f t="shared" si="54"/>
        <v>169.95010438668641</v>
      </c>
      <c r="CG38" s="190">
        <f t="shared" si="55"/>
        <v>171.01897296773478</v>
      </c>
      <c r="CH38" s="264"/>
      <c r="CI38" s="264">
        <f t="shared" si="1"/>
        <v>1997</v>
      </c>
      <c r="CJ38" s="264">
        <f t="shared" si="2"/>
        <v>1996</v>
      </c>
      <c r="CK38" s="264">
        <f t="shared" si="3"/>
        <v>1985</v>
      </c>
      <c r="CL38" s="264">
        <f t="shared" si="4"/>
        <v>1959</v>
      </c>
      <c r="CM38" s="264">
        <f t="shared" si="5"/>
        <v>2025.3337120055505</v>
      </c>
      <c r="CN38" s="264">
        <f t="shared" si="6"/>
        <v>2093.9135502737026</v>
      </c>
      <c r="CP38" s="574">
        <f>SUMIF('Master '!D:D,D38,'Master '!AB:AB)</f>
        <v>2025.3337120055508</v>
      </c>
      <c r="CQ38" s="574">
        <f>SUMIF('Master '!D:D,D38,'Master '!AC:AC)</f>
        <v>2093.9135502737026</v>
      </c>
      <c r="CR38" s="264">
        <f t="shared" si="56"/>
        <v>0</v>
      </c>
      <c r="CS38" s="264">
        <f t="shared" si="56"/>
        <v>0</v>
      </c>
    </row>
    <row r="39" spans="1:97" s="261" customFormat="1">
      <c r="A39" s="55" t="s">
        <v>17</v>
      </c>
      <c r="B39" s="55" t="s">
        <v>993</v>
      </c>
      <c r="C39" s="55" t="s">
        <v>1245</v>
      </c>
      <c r="D39" s="55" t="s">
        <v>1249</v>
      </c>
      <c r="E39" s="55" t="str">
        <f>VLOOKUP(D39,'Input 14_Ref Table'!C:D,2,FALSE)</f>
        <v>CC807</v>
      </c>
      <c r="F39" s="172" t="s">
        <v>1286</v>
      </c>
      <c r="G39" s="55" t="str">
        <f>VLOOKUP(D39,'Input 14_Ref Table'!C:I,7,FALSE)</f>
        <v>CFG - FTS-1 NR</v>
      </c>
      <c r="H39" s="55" t="str">
        <f>VLOOKUP(D39,'Input 14_Ref Table'!C:K,8,FALSE)</f>
        <v>FTS1</v>
      </c>
      <c r="I39" s="55"/>
      <c r="J39" s="261" t="str">
        <f>INDEX('Master '!$AD$2:AD$65,MATCH(D39,'Master '!$D$2:$D$65,0))</f>
        <v>UPC Growth Rate</v>
      </c>
      <c r="K39" s="567">
        <f>INDEX('Master '!$N$2:N$65,MATCH(D39,'Master '!$D$2:$D$65,0))</f>
        <v>-4.9605598787378136E-2</v>
      </c>
      <c r="L39" s="290">
        <f>INDEX('Master '!$S$2:S$65,MATCH(D39,'Master '!$D$2:$D$65,0))</f>
        <v>-8.2102988836874169E-2</v>
      </c>
      <c r="M39" s="1">
        <f>INDEX('Master '!$W$2:W$65,MATCH(D39,'Master '!$D$2:$D$65,0))</f>
        <v>254.90000000000003</v>
      </c>
      <c r="N39" s="55">
        <f>SUMIF('Input 16_2018CUST-YTD'!$S:$S,$G39,'Input 16_2018CUST-YTD'!C:C)</f>
        <v>242</v>
      </c>
      <c r="O39" s="55">
        <f>SUMIF('Input 16_2018CUST-YTD'!$S:$S,$G39,'Input 16_2018CUST-YTD'!D:D)</f>
        <v>241</v>
      </c>
      <c r="P39" s="55">
        <f>SUMIF('Input 16_2018CUST-YTD'!$S:$S,$G39,'Input 16_2018CUST-YTD'!E:E)</f>
        <v>240</v>
      </c>
      <c r="Q39" s="55">
        <f>SUMIF('Input 16_2018CUST-YTD'!$S:$S,$G39,'Input 16_2018CUST-YTD'!F:F)</f>
        <v>237</v>
      </c>
      <c r="R39" s="55">
        <f>SUMIF('Input 16_2018CUST-YTD'!$S:$S,$G39,'Input 16_2018CUST-YTD'!G:G)</f>
        <v>236</v>
      </c>
      <c r="S39" s="55">
        <f>SUMIF('Input 16_2018CUST-YTD'!$S:$S,$G39,'Input 16_2018CUST-YTD'!H:H)</f>
        <v>235</v>
      </c>
      <c r="T39" s="55">
        <f>SUMIF('Input 16_2018CUST-YTD'!$S:$S,$G39,'Input 16_2018CUST-YTD'!I:I)</f>
        <v>232</v>
      </c>
      <c r="U39" s="55">
        <f>SUMIF('Input 16_2018CUST-YTD'!$S:$S,$G39,'Input 16_2018CUST-YTD'!J:J)</f>
        <v>231</v>
      </c>
      <c r="V39" s="55">
        <f>SUMIF('Input 16_2018CUST-YTD'!$S:$S,$G39,'Input 16_2018CUST-YTD'!K:K)</f>
        <v>230</v>
      </c>
      <c r="W39" s="55">
        <f>SUMIF('Input 16_2018CUST-YTD'!$S:$S,$G39,'Input 16_2018CUST-YTD'!L:L)</f>
        <v>230</v>
      </c>
      <c r="X39" s="55">
        <f>SUMIF('Input 16_2018CUST-YTD'!$S:$S,$G39,'Input 16_2018CUST-YTD'!M:M)</f>
        <v>230</v>
      </c>
      <c r="Y39" s="55">
        <f>SUMIF('Input 16_2018CUST-YTD'!$S:$S,$G39,'Input 16_2018CUST-YTD'!N:N)</f>
        <v>245</v>
      </c>
      <c r="Z39" s="1">
        <f>SUMIF('Input 3_2019CUST-YTD'!$S:$S,$G39,'Input 3_2019CUST-YTD'!C:C)</f>
        <v>230</v>
      </c>
      <c r="AA39" s="1">
        <f>SUMIF('Input 3_2019CUST-YTD'!$S:$S,$G39,'Input 3_2019CUST-YTD'!D:D)</f>
        <v>228</v>
      </c>
      <c r="AB39" s="1">
        <f>SUMIF('Input 3_2019CUST-YTD'!$S:$S,$G39,'Input 3_2019CUST-YTD'!E:E)</f>
        <v>228</v>
      </c>
      <c r="AC39" s="1">
        <f>SUMIF('Input 3_2019CUST-YTD'!$S:$S,$G39,'Input 3_2019CUST-YTD'!F:F)</f>
        <v>231</v>
      </c>
      <c r="AD39" s="1">
        <f>SUMIF('Input 3_2019CUST-YTD'!$S:$S,$G39,'Input 3_2019CUST-YTD'!G:G)</f>
        <v>231</v>
      </c>
      <c r="AE39" s="1">
        <f>SUMIF('Input 3_2019CUST-YTD'!$S:$S,$G39,'Input 3_2019CUST-YTD'!H:H)</f>
        <v>231</v>
      </c>
      <c r="AF39" s="1">
        <f>SUMIF('Input 3_2019CUST-YTD'!$S:$S,$G39,'Input 3_2019CUST-YTD'!I:I)</f>
        <v>231</v>
      </c>
      <c r="AG39" s="1">
        <f>SUMIF('Input 3_2019CUST-YTD'!$S:$S,$G39,'Input 3_2019CUST-YTD'!J:J)</f>
        <v>232</v>
      </c>
      <c r="AH39" s="1">
        <f>SUMIF('Input 3_2019CUST-YTD'!$S:$S,$G39,'Input 3_2019CUST-YTD'!K:K)</f>
        <v>233</v>
      </c>
      <c r="AI39" s="1">
        <f>SUMIF('Input 3_2019CUST-YTD'!$S:$S,$G39,'Input 3_2019CUST-YTD'!L:L)</f>
        <v>229</v>
      </c>
      <c r="AJ39" s="1">
        <f>SUMIF('Input 3_2019CUST-YTD'!$S:$S,$G39,'Input 3_2019CUST-YTD'!M:M)</f>
        <v>227</v>
      </c>
      <c r="AK39" s="1">
        <f>SUMIF('Input 3_2019CUST-YTD'!$S:$S,$G39,'Input 3_2019CUST-YTD'!N:N)</f>
        <v>229</v>
      </c>
      <c r="AL39" s="1">
        <f>SUMIF('Input 4_2020CUST-YTD'!$S:$S,$G39,'Input 4_2020CUST-YTD'!C:C)</f>
        <v>230</v>
      </c>
      <c r="AM39" s="1">
        <f>SUMIF('Input 4_2020CUST-YTD'!$S:$S,$G39,'Input 4_2020CUST-YTD'!D:D)</f>
        <v>230</v>
      </c>
      <c r="AN39" s="1">
        <f>SUMIF('Input 4_2020CUST-YTD'!$S:$S,$G39,'Input 4_2020CUST-YTD'!E:E)</f>
        <v>231</v>
      </c>
      <c r="AO39" s="1">
        <f>SUMIF('Input 4_2020CUST-YTD'!$S:$S,$G39,'Input 4_2020CUST-YTD'!F:F)</f>
        <v>229</v>
      </c>
      <c r="AP39" s="1">
        <f>SUMIF('Input 4_2020CUST-YTD'!$S:$S,$G39,'Input 4_2020CUST-YTD'!G:G)</f>
        <v>229</v>
      </c>
      <c r="AQ39" s="1">
        <f>SUMIF('Input 4_2020CUST-YTD'!$S:$S,$G39,'Input 4_2020CUST-YTD'!H:H)</f>
        <v>227</v>
      </c>
      <c r="AR39" s="1">
        <f>SUMIF('Input 4_2020CUST-YTD'!$S:$S,$G39,'Input 4_2020CUST-YTD'!I:I)</f>
        <v>225</v>
      </c>
      <c r="AS39" s="1">
        <f>SUMIF('Input 4_2020CUST-YTD'!$S:$S,$G39,'Input 4_2020CUST-YTD'!J:J)</f>
        <v>226</v>
      </c>
      <c r="AT39" s="1">
        <f>SUMIF('Input 4_2020CUST-YTD'!$S:$S,$G39,'Input 4_2020CUST-YTD'!K:K)</f>
        <v>230</v>
      </c>
      <c r="AU39" s="1">
        <f>SUMIF('Input 4_2020CUST-YTD'!$S:$S,$G39,'Input 4_2020CUST-YTD'!L:L)</f>
        <v>229</v>
      </c>
      <c r="AV39" s="1">
        <f>SUMIF('Input 4_2020CUST-YTD'!$S:$S,$G39,'Input 4_2020CUST-YTD'!M:M)</f>
        <v>228</v>
      </c>
      <c r="AW39" s="1">
        <f>SUMIF('Input 4_2020CUST-YTD'!$S:$S,$G39,'Input 4_2020CUST-YTD'!N:N)</f>
        <v>227</v>
      </c>
      <c r="AX39" s="1">
        <f>SUMIF('Input 5_2021CUST-YTD'!$S:$S,$G39,'Input 5_2021CUST-YTD'!C:C)</f>
        <v>230</v>
      </c>
      <c r="AY39" s="1">
        <f>SUMIF('Input 5_2021CUST-YTD'!$S:$S,$G39,'Input 5_2021CUST-YTD'!D:D)</f>
        <v>228</v>
      </c>
      <c r="AZ39" s="1">
        <f>SUMIF('Input 5_2021CUST-YTD'!$S:$S,$G39,'Input 5_2021CUST-YTD'!E:E)</f>
        <v>228</v>
      </c>
      <c r="BA39" s="1">
        <f>SUMIF('Input 5_2021CUST-YTD'!$S:$S,$G39,'Input 5_2021CUST-YTD'!F:F)</f>
        <v>227</v>
      </c>
      <c r="BB39" s="1">
        <f>SUMIF('Input 5_2021CUST-YTD'!$S:$S,$G39,'Input 5_2021CUST-YTD'!G:G)</f>
        <v>227</v>
      </c>
      <c r="BC39" s="1">
        <f>SUMIF('Input 5_2021CUST-YTD'!$S:$S,$G39,'Input 5_2021CUST-YTD'!H:H)</f>
        <v>227</v>
      </c>
      <c r="BD39" s="1">
        <f>SUMIF('Input 5_2021CUST-YTD'!$S:$S,$G39,'Input 5_2021CUST-YTD'!I:I)</f>
        <v>225</v>
      </c>
      <c r="BE39" s="1">
        <f>SUMIF('Input 5_2021CUST-YTD'!$S:$S,$G39,'Input 5_2021CUST-YTD'!J:J)</f>
        <v>226</v>
      </c>
      <c r="BF39" s="1">
        <f>SUMIF('Input 5_2021CUST-YTD'!$S:$S,$G39,'Input 5_2021CUST-YTD'!K:K)</f>
        <v>223</v>
      </c>
      <c r="BG39" s="1">
        <f>SUMIF('Input 5_2021CUST-YTD'!$S:$S,$G39,'Input 5_2021CUST-YTD'!L:L)</f>
        <v>222</v>
      </c>
      <c r="BH39" s="1">
        <f>SUMIF('Input 5_2021CUST-YTD'!$S:$S,$G39,'Input 5_2021CUST-YTD'!M:M)</f>
        <v>226</v>
      </c>
      <c r="BI39" s="1">
        <f>SUMIF('Input 5_2021CUST-YTD'!$S:$S,$G39,'Input 5_2021CUST-YTD'!N:N)</f>
        <v>223</v>
      </c>
      <c r="BJ39" s="190">
        <f t="shared" si="32"/>
        <v>218.59071227890303</v>
      </c>
      <c r="BK39" s="190">
        <f t="shared" si="33"/>
        <v>216.68992347647779</v>
      </c>
      <c r="BL39" s="190">
        <f t="shared" si="34"/>
        <v>216.68992347647779</v>
      </c>
      <c r="BM39" s="190">
        <f t="shared" si="35"/>
        <v>215.73952907526515</v>
      </c>
      <c r="BN39" s="190">
        <f t="shared" si="36"/>
        <v>215.73952907526515</v>
      </c>
      <c r="BO39" s="190">
        <f t="shared" si="37"/>
        <v>215.73952907526515</v>
      </c>
      <c r="BP39" s="190">
        <f t="shared" si="38"/>
        <v>213.83874027283991</v>
      </c>
      <c r="BQ39" s="190">
        <f t="shared" si="39"/>
        <v>214.78913467405255</v>
      </c>
      <c r="BR39" s="190">
        <f t="shared" si="40"/>
        <v>211.93795147041467</v>
      </c>
      <c r="BS39" s="190">
        <f t="shared" si="41"/>
        <v>210.98755706920204</v>
      </c>
      <c r="BT39" s="190">
        <f t="shared" si="42"/>
        <v>214.78913467405255</v>
      </c>
      <c r="BU39" s="190">
        <f t="shared" si="43"/>
        <v>211.93795147041467</v>
      </c>
      <c r="BV39" s="190">
        <f t="shared" si="44"/>
        <v>207.74738910694856</v>
      </c>
      <c r="BW39" s="190">
        <f t="shared" si="45"/>
        <v>205.94089007123597</v>
      </c>
      <c r="BX39" s="190">
        <f t="shared" si="46"/>
        <v>205.94089007123597</v>
      </c>
      <c r="BY39" s="190">
        <f t="shared" si="47"/>
        <v>205.03764055337965</v>
      </c>
      <c r="BZ39" s="190">
        <f t="shared" si="48"/>
        <v>205.03764055337965</v>
      </c>
      <c r="CA39" s="190">
        <f t="shared" si="49"/>
        <v>205.03764055337965</v>
      </c>
      <c r="CB39" s="190">
        <f t="shared" si="50"/>
        <v>203.23114151766706</v>
      </c>
      <c r="CC39" s="190">
        <f t="shared" si="51"/>
        <v>204.13439103552338</v>
      </c>
      <c r="CD39" s="190">
        <f t="shared" si="52"/>
        <v>201.42464248195446</v>
      </c>
      <c r="CE39" s="190">
        <f t="shared" si="53"/>
        <v>200.52139296409817</v>
      </c>
      <c r="CF39" s="190">
        <f t="shared" si="54"/>
        <v>204.13439103552338</v>
      </c>
      <c r="CG39" s="190">
        <f t="shared" si="55"/>
        <v>201.42464248195446</v>
      </c>
      <c r="CH39" s="264"/>
      <c r="CI39" s="264">
        <f t="shared" si="1"/>
        <v>2829</v>
      </c>
      <c r="CJ39" s="264">
        <f t="shared" si="2"/>
        <v>2760</v>
      </c>
      <c r="CK39" s="264">
        <f t="shared" si="3"/>
        <v>2741</v>
      </c>
      <c r="CL39" s="264">
        <f t="shared" si="4"/>
        <v>2712</v>
      </c>
      <c r="CM39" s="264">
        <f t="shared" si="5"/>
        <v>2577.4696160886306</v>
      </c>
      <c r="CN39" s="264">
        <f t="shared" si="6"/>
        <v>2449.6126924262803</v>
      </c>
      <c r="CP39" s="574">
        <f>SUMIF('Master '!D:D,D39,'Master '!AB:AB)</f>
        <v>2577.4696160886306</v>
      </c>
      <c r="CQ39" s="574">
        <f>SUMIF('Master '!D:D,D39,'Master '!AC:AC)</f>
        <v>2449.6126924262803</v>
      </c>
      <c r="CR39" s="264">
        <f t="shared" si="56"/>
        <v>0</v>
      </c>
      <c r="CS39" s="264">
        <f t="shared" si="56"/>
        <v>0</v>
      </c>
    </row>
    <row r="40" spans="1:97" s="261" customFormat="1">
      <c r="A40" s="55" t="s">
        <v>17</v>
      </c>
      <c r="B40" s="55" t="s">
        <v>993</v>
      </c>
      <c r="C40" s="55" t="s">
        <v>1245</v>
      </c>
      <c r="D40" s="55" t="s">
        <v>1305</v>
      </c>
      <c r="E40" s="55" t="str">
        <f>VLOOKUP(D40,'Input 14_Ref Table'!C:D,2,FALSE)</f>
        <v>CC812</v>
      </c>
      <c r="F40" s="172" t="s">
        <v>1287</v>
      </c>
      <c r="G40" s="55" t="str">
        <f>VLOOKUP(D40,'Input 14_Ref Table'!C:I,7,FALSE)</f>
        <v>CFG - FTS-1 - Fixed NR</v>
      </c>
      <c r="H40" s="55" t="str">
        <f>VLOOKUP(D40,'Input 14_Ref Table'!C:K,8,FALSE)</f>
        <v>FTS1</v>
      </c>
      <c r="I40" s="55"/>
      <c r="J40" s="261" t="str">
        <f>INDEX('Master '!$AD$2:AD$65,MATCH(D40,'Master '!$D$2:$D$65,0))</f>
        <v>UPC Growth Rate</v>
      </c>
      <c r="K40" s="567">
        <f>INDEX('Master '!$N$2:N$65,MATCH(D40,'Master '!$D$2:$D$65,0))</f>
        <v>-4.9605598787378136E-2</v>
      </c>
      <c r="L40" s="290">
        <f>INDEX('Master '!$S$2:S$65,MATCH(D40,'Master '!$D$2:$D$65,0))</f>
        <v>-8.2102988836874169E-2</v>
      </c>
      <c r="M40" s="1">
        <f>INDEX('Master '!$W$2:W$65,MATCH(D40,'Master '!$D$2:$D$65,0))</f>
        <v>254.90000000000003</v>
      </c>
      <c r="N40" s="55">
        <f>SUMIF('Input 16_2018CUST-YTD'!$S:$S,$G40,'Input 16_2018CUST-YTD'!C:C)</f>
        <v>22</v>
      </c>
      <c r="O40" s="55">
        <f>SUMIF('Input 16_2018CUST-YTD'!$S:$S,$G40,'Input 16_2018CUST-YTD'!D:D)</f>
        <v>22</v>
      </c>
      <c r="P40" s="55">
        <f>SUMIF('Input 16_2018CUST-YTD'!$S:$S,$G40,'Input 16_2018CUST-YTD'!E:E)</f>
        <v>22</v>
      </c>
      <c r="Q40" s="55">
        <f>SUMIF('Input 16_2018CUST-YTD'!$S:$S,$G40,'Input 16_2018CUST-YTD'!F:F)</f>
        <v>22</v>
      </c>
      <c r="R40" s="55">
        <f>SUMIF('Input 16_2018CUST-YTD'!$S:$S,$G40,'Input 16_2018CUST-YTD'!G:G)</f>
        <v>23</v>
      </c>
      <c r="S40" s="55">
        <f>SUMIF('Input 16_2018CUST-YTD'!$S:$S,$G40,'Input 16_2018CUST-YTD'!H:H)</f>
        <v>24</v>
      </c>
      <c r="T40" s="55">
        <f>SUMIF('Input 16_2018CUST-YTD'!$S:$S,$G40,'Input 16_2018CUST-YTD'!I:I)</f>
        <v>27</v>
      </c>
      <c r="U40" s="55">
        <f>SUMIF('Input 16_2018CUST-YTD'!$S:$S,$G40,'Input 16_2018CUST-YTD'!J:J)</f>
        <v>27</v>
      </c>
      <c r="V40" s="55">
        <f>SUMIF('Input 16_2018CUST-YTD'!$S:$S,$G40,'Input 16_2018CUST-YTD'!K:K)</f>
        <v>28</v>
      </c>
      <c r="W40" s="55">
        <f>SUMIF('Input 16_2018CUST-YTD'!$S:$S,$G40,'Input 16_2018CUST-YTD'!L:L)</f>
        <v>32</v>
      </c>
      <c r="X40" s="55">
        <f>SUMIF('Input 16_2018CUST-YTD'!$S:$S,$G40,'Input 16_2018CUST-YTD'!M:M)</f>
        <v>32</v>
      </c>
      <c r="Y40" s="55">
        <f>SUMIF('Input 16_2018CUST-YTD'!$S:$S,$G40,'Input 16_2018CUST-YTD'!N:N)</f>
        <v>33</v>
      </c>
      <c r="Z40" s="1">
        <f>SUMIF('Input 3_2019CUST-YTD'!$S:$S,$G40,'Input 3_2019CUST-YTD'!C:C)</f>
        <v>32</v>
      </c>
      <c r="AA40" s="1">
        <f>SUMIF('Input 3_2019CUST-YTD'!$S:$S,$G40,'Input 3_2019CUST-YTD'!D:D)</f>
        <v>32</v>
      </c>
      <c r="AB40" s="1">
        <f>SUMIF('Input 3_2019CUST-YTD'!$S:$S,$G40,'Input 3_2019CUST-YTD'!E:E)</f>
        <v>32</v>
      </c>
      <c r="AC40" s="1">
        <f>SUMIF('Input 3_2019CUST-YTD'!$S:$S,$G40,'Input 3_2019CUST-YTD'!F:F)</f>
        <v>32</v>
      </c>
      <c r="AD40" s="1">
        <f>SUMIF('Input 3_2019CUST-YTD'!$S:$S,$G40,'Input 3_2019CUST-YTD'!G:G)</f>
        <v>32</v>
      </c>
      <c r="AE40" s="1">
        <f>SUMIF('Input 3_2019CUST-YTD'!$S:$S,$G40,'Input 3_2019CUST-YTD'!H:H)</f>
        <v>32</v>
      </c>
      <c r="AF40" s="1">
        <f>SUMIF('Input 3_2019CUST-YTD'!$S:$S,$G40,'Input 3_2019CUST-YTD'!I:I)</f>
        <v>32</v>
      </c>
      <c r="AG40" s="1">
        <f>SUMIF('Input 3_2019CUST-YTD'!$S:$S,$G40,'Input 3_2019CUST-YTD'!J:J)</f>
        <v>32</v>
      </c>
      <c r="AH40" s="1">
        <f>SUMIF('Input 3_2019CUST-YTD'!$S:$S,$G40,'Input 3_2019CUST-YTD'!K:K)</f>
        <v>32</v>
      </c>
      <c r="AI40" s="1">
        <f>SUMIF('Input 3_2019CUST-YTD'!$S:$S,$G40,'Input 3_2019CUST-YTD'!L:L)</f>
        <v>33</v>
      </c>
      <c r="AJ40" s="1">
        <f>SUMIF('Input 3_2019CUST-YTD'!$S:$S,$G40,'Input 3_2019CUST-YTD'!M:M)</f>
        <v>33</v>
      </c>
      <c r="AK40" s="1">
        <f>SUMIF('Input 3_2019CUST-YTD'!$S:$S,$G40,'Input 3_2019CUST-YTD'!N:N)</f>
        <v>34</v>
      </c>
      <c r="AL40" s="1">
        <f>SUMIF('Input 4_2020CUST-YTD'!$S:$S,$G40,'Input 4_2020CUST-YTD'!C:C)</f>
        <v>37</v>
      </c>
      <c r="AM40" s="1">
        <f>SUMIF('Input 4_2020CUST-YTD'!$S:$S,$G40,'Input 4_2020CUST-YTD'!D:D)</f>
        <v>36</v>
      </c>
      <c r="AN40" s="1">
        <f>SUMIF('Input 4_2020CUST-YTD'!$S:$S,$G40,'Input 4_2020CUST-YTD'!E:E)</f>
        <v>37</v>
      </c>
      <c r="AO40" s="1">
        <f>SUMIF('Input 4_2020CUST-YTD'!$S:$S,$G40,'Input 4_2020CUST-YTD'!F:F)</f>
        <v>38</v>
      </c>
      <c r="AP40" s="1">
        <f>SUMIF('Input 4_2020CUST-YTD'!$S:$S,$G40,'Input 4_2020CUST-YTD'!G:G)</f>
        <v>38</v>
      </c>
      <c r="AQ40" s="1">
        <f>SUMIF('Input 4_2020CUST-YTD'!$S:$S,$G40,'Input 4_2020CUST-YTD'!H:H)</f>
        <v>40</v>
      </c>
      <c r="AR40" s="1">
        <f>SUMIF('Input 4_2020CUST-YTD'!$S:$S,$G40,'Input 4_2020CUST-YTD'!I:I)</f>
        <v>41</v>
      </c>
      <c r="AS40" s="1">
        <f>SUMIF('Input 4_2020CUST-YTD'!$S:$S,$G40,'Input 4_2020CUST-YTD'!J:J)</f>
        <v>42</v>
      </c>
      <c r="AT40" s="1">
        <f>SUMIF('Input 4_2020CUST-YTD'!$S:$S,$G40,'Input 4_2020CUST-YTD'!K:K)</f>
        <v>43</v>
      </c>
      <c r="AU40" s="1">
        <f>SUMIF('Input 4_2020CUST-YTD'!$S:$S,$G40,'Input 4_2020CUST-YTD'!L:L)</f>
        <v>42</v>
      </c>
      <c r="AV40" s="1">
        <f>SUMIF('Input 4_2020CUST-YTD'!$S:$S,$G40,'Input 4_2020CUST-YTD'!M:M)</f>
        <v>43</v>
      </c>
      <c r="AW40" s="1">
        <f>SUMIF('Input 4_2020CUST-YTD'!$S:$S,$G40,'Input 4_2020CUST-YTD'!N:N)</f>
        <v>43</v>
      </c>
      <c r="AX40" s="1">
        <f>SUMIF('Input 5_2021CUST-YTD'!$S:$S,$G40,'Input 5_2021CUST-YTD'!C:C)</f>
        <v>43</v>
      </c>
      <c r="AY40" s="1">
        <f>SUMIF('Input 5_2021CUST-YTD'!$S:$S,$G40,'Input 5_2021CUST-YTD'!D:D)</f>
        <v>43</v>
      </c>
      <c r="AZ40" s="1">
        <f>SUMIF('Input 5_2021CUST-YTD'!$S:$S,$G40,'Input 5_2021CUST-YTD'!E:E)</f>
        <v>44</v>
      </c>
      <c r="BA40" s="1">
        <f>SUMIF('Input 5_2021CUST-YTD'!$S:$S,$G40,'Input 5_2021CUST-YTD'!F:F)</f>
        <v>45</v>
      </c>
      <c r="BB40" s="1">
        <f>SUMIF('Input 5_2021CUST-YTD'!$S:$S,$G40,'Input 5_2021CUST-YTD'!G:G)</f>
        <v>45</v>
      </c>
      <c r="BC40" s="1">
        <f>SUMIF('Input 5_2021CUST-YTD'!$S:$S,$G40,'Input 5_2021CUST-YTD'!H:H)</f>
        <v>45</v>
      </c>
      <c r="BD40" s="1">
        <f>SUMIF('Input 5_2021CUST-YTD'!$S:$S,$G40,'Input 5_2021CUST-YTD'!I:I)</f>
        <v>46</v>
      </c>
      <c r="BE40" s="1">
        <f>SUMIF('Input 5_2021CUST-YTD'!$S:$S,$G40,'Input 5_2021CUST-YTD'!J:J)</f>
        <v>46</v>
      </c>
      <c r="BF40" s="1">
        <f>SUMIF('Input 5_2021CUST-YTD'!$S:$S,$G40,'Input 5_2021CUST-YTD'!K:K)</f>
        <v>45</v>
      </c>
      <c r="BG40" s="1">
        <f>SUMIF('Input 5_2021CUST-YTD'!$S:$S,$G40,'Input 5_2021CUST-YTD'!L:L)</f>
        <v>45</v>
      </c>
      <c r="BH40" s="1">
        <f>SUMIF('Input 5_2021CUST-YTD'!$S:$S,$G40,'Input 5_2021CUST-YTD'!M:M)</f>
        <v>46</v>
      </c>
      <c r="BI40" s="1">
        <f>SUMIF('Input 5_2021CUST-YTD'!$S:$S,$G40,'Input 5_2021CUST-YTD'!N:N)</f>
        <v>47</v>
      </c>
      <c r="BJ40" s="190">
        <f t="shared" si="32"/>
        <v>40.866959252142742</v>
      </c>
      <c r="BK40" s="190">
        <f t="shared" si="33"/>
        <v>40.866959252142742</v>
      </c>
      <c r="BL40" s="190">
        <f t="shared" si="34"/>
        <v>41.817353653355362</v>
      </c>
      <c r="BM40" s="190">
        <f t="shared" si="35"/>
        <v>42.767748054567981</v>
      </c>
      <c r="BN40" s="190">
        <f t="shared" si="36"/>
        <v>42.767748054567981</v>
      </c>
      <c r="BO40" s="190">
        <f t="shared" si="37"/>
        <v>42.767748054567981</v>
      </c>
      <c r="BP40" s="190">
        <f t="shared" si="38"/>
        <v>43.718142455780608</v>
      </c>
      <c r="BQ40" s="190">
        <f t="shared" si="39"/>
        <v>43.718142455780608</v>
      </c>
      <c r="BR40" s="190">
        <f t="shared" si="40"/>
        <v>42.767748054567981</v>
      </c>
      <c r="BS40" s="190">
        <f t="shared" si="41"/>
        <v>42.767748054567981</v>
      </c>
      <c r="BT40" s="190">
        <f t="shared" si="42"/>
        <v>43.718142455780608</v>
      </c>
      <c r="BU40" s="190">
        <f t="shared" si="43"/>
        <v>44.668536856993228</v>
      </c>
      <c r="BV40" s="190">
        <f t="shared" si="44"/>
        <v>38.839729267820822</v>
      </c>
      <c r="BW40" s="190">
        <f t="shared" si="45"/>
        <v>38.839729267820822</v>
      </c>
      <c r="BX40" s="190">
        <f t="shared" si="46"/>
        <v>39.742978785677117</v>
      </c>
      <c r="BY40" s="190">
        <f t="shared" si="47"/>
        <v>40.646228303533412</v>
      </c>
      <c r="BZ40" s="190">
        <f t="shared" si="48"/>
        <v>40.646228303533412</v>
      </c>
      <c r="CA40" s="190">
        <f t="shared" si="49"/>
        <v>40.646228303533412</v>
      </c>
      <c r="CB40" s="190">
        <f t="shared" si="50"/>
        <v>41.549477821389715</v>
      </c>
      <c r="CC40" s="190">
        <f t="shared" si="51"/>
        <v>41.549477821389715</v>
      </c>
      <c r="CD40" s="190">
        <f t="shared" si="52"/>
        <v>40.646228303533412</v>
      </c>
      <c r="CE40" s="190">
        <f t="shared" si="53"/>
        <v>40.646228303533412</v>
      </c>
      <c r="CF40" s="190">
        <f t="shared" si="54"/>
        <v>41.549477821389715</v>
      </c>
      <c r="CG40" s="190">
        <f t="shared" si="55"/>
        <v>42.45272733924601</v>
      </c>
      <c r="CH40" s="264"/>
      <c r="CI40" s="264">
        <f t="shared" si="1"/>
        <v>314</v>
      </c>
      <c r="CJ40" s="264">
        <f t="shared" si="2"/>
        <v>388</v>
      </c>
      <c r="CK40" s="264">
        <f t="shared" si="3"/>
        <v>480</v>
      </c>
      <c r="CL40" s="264">
        <f t="shared" si="4"/>
        <v>540</v>
      </c>
      <c r="CM40" s="264">
        <f t="shared" si="5"/>
        <v>513.21297665481575</v>
      </c>
      <c r="CN40" s="264">
        <f t="shared" si="6"/>
        <v>487.75473964240092</v>
      </c>
      <c r="CP40" s="574">
        <f>SUMIF('Master '!D:D,D40,'Master '!AB:AB)</f>
        <v>513.21297665481586</v>
      </c>
      <c r="CQ40" s="574">
        <f>SUMIF('Master '!D:D,D40,'Master '!AC:AC)</f>
        <v>487.75473964240098</v>
      </c>
      <c r="CR40" s="264">
        <f t="shared" si="56"/>
        <v>0</v>
      </c>
      <c r="CS40" s="264">
        <f t="shared" si="56"/>
        <v>0</v>
      </c>
    </row>
    <row r="41" spans="1:97" s="261" customFormat="1">
      <c r="A41" s="55" t="s">
        <v>17</v>
      </c>
      <c r="B41" s="55" t="s">
        <v>993</v>
      </c>
      <c r="C41" s="55" t="s">
        <v>8</v>
      </c>
      <c r="D41" s="55" t="s">
        <v>1250</v>
      </c>
      <c r="E41" s="55" t="str">
        <f>VLOOKUP(D41,'Input 14_Ref Table'!C:D,2,FALSE)</f>
        <v>CR821</v>
      </c>
      <c r="F41" s="172" t="s">
        <v>1286</v>
      </c>
      <c r="G41" s="55" t="str">
        <f>VLOOKUP(D41,'Input 14_Ref Table'!C:I,7,FALSE)</f>
        <v>CFG - FTS-2 R</v>
      </c>
      <c r="H41" s="55" t="str">
        <f>VLOOKUP(D41,'Input 14_Ref Table'!C:K,8,FALSE)</f>
        <v>FTS_2</v>
      </c>
      <c r="I41" s="55"/>
      <c r="J41" s="261" t="str">
        <f>INDEX('Master '!$AD$2:AD$65,MATCH(D41,'Master '!$D$2:$D$65,0))</f>
        <v>UPC Growth Rate</v>
      </c>
      <c r="K41" s="567">
        <f>INDEX('Master '!$N$2:N$65,MATCH(D41,'Master '!$D$2:$D$65,0))</f>
        <v>6.1347398016349964E-3</v>
      </c>
      <c r="L41" s="290">
        <f>INDEX('Master '!$S$2:S$65,MATCH(D41,'Master '!$D$2:$D$65,0))</f>
        <v>0</v>
      </c>
      <c r="M41" s="1">
        <f>INDEX('Master '!$W$2:W$65,MATCH(D41,'Master '!$D$2:$D$65,0))</f>
        <v>597.30342792519559</v>
      </c>
      <c r="N41" s="55">
        <f>SUMIF('Input 16_2018CUST-YTD'!$S:$S,$G41,'Input 16_2018CUST-YTD'!C:C)</f>
        <v>689</v>
      </c>
      <c r="O41" s="55">
        <f>SUMIF('Input 16_2018CUST-YTD'!$S:$S,$G41,'Input 16_2018CUST-YTD'!D:D)</f>
        <v>688</v>
      </c>
      <c r="P41" s="55">
        <f>SUMIF('Input 16_2018CUST-YTD'!$S:$S,$G41,'Input 16_2018CUST-YTD'!E:E)</f>
        <v>689</v>
      </c>
      <c r="Q41" s="55">
        <f>SUMIF('Input 16_2018CUST-YTD'!$S:$S,$G41,'Input 16_2018CUST-YTD'!F:F)</f>
        <v>728</v>
      </c>
      <c r="R41" s="55">
        <f>SUMIF('Input 16_2018CUST-YTD'!$S:$S,$G41,'Input 16_2018CUST-YTD'!G:G)</f>
        <v>721</v>
      </c>
      <c r="S41" s="55">
        <f>SUMIF('Input 16_2018CUST-YTD'!$S:$S,$G41,'Input 16_2018CUST-YTD'!H:H)</f>
        <v>721</v>
      </c>
      <c r="T41" s="55">
        <f>SUMIF('Input 16_2018CUST-YTD'!$S:$S,$G41,'Input 16_2018CUST-YTD'!I:I)</f>
        <v>728</v>
      </c>
      <c r="U41" s="55">
        <f>SUMIF('Input 16_2018CUST-YTD'!$S:$S,$G41,'Input 16_2018CUST-YTD'!J:J)</f>
        <v>717</v>
      </c>
      <c r="V41" s="55">
        <f>SUMIF('Input 16_2018CUST-YTD'!$S:$S,$G41,'Input 16_2018CUST-YTD'!K:K)</f>
        <v>721</v>
      </c>
      <c r="W41" s="55">
        <f>SUMIF('Input 16_2018CUST-YTD'!$S:$S,$G41,'Input 16_2018CUST-YTD'!L:L)</f>
        <v>719</v>
      </c>
      <c r="X41" s="55">
        <f>SUMIF('Input 16_2018CUST-YTD'!$S:$S,$G41,'Input 16_2018CUST-YTD'!M:M)</f>
        <v>726</v>
      </c>
      <c r="Y41" s="55">
        <f>SUMIF('Input 16_2018CUST-YTD'!$S:$S,$G41,'Input 16_2018CUST-YTD'!N:N)</f>
        <v>724</v>
      </c>
      <c r="Z41" s="1">
        <f>SUMIF('Input 3_2019CUST-YTD'!$S:$S,$G41,'Input 3_2019CUST-YTD'!C:C)</f>
        <v>731</v>
      </c>
      <c r="AA41" s="1">
        <f>SUMIF('Input 3_2019CUST-YTD'!$S:$S,$G41,'Input 3_2019CUST-YTD'!D:D)</f>
        <v>728</v>
      </c>
      <c r="AB41" s="1">
        <f>SUMIF('Input 3_2019CUST-YTD'!$S:$S,$G41,'Input 3_2019CUST-YTD'!E:E)</f>
        <v>724</v>
      </c>
      <c r="AC41" s="1">
        <f>SUMIF('Input 3_2019CUST-YTD'!$S:$S,$G41,'Input 3_2019CUST-YTD'!F:F)</f>
        <v>731</v>
      </c>
      <c r="AD41" s="1">
        <f>SUMIF('Input 3_2019CUST-YTD'!$S:$S,$G41,'Input 3_2019CUST-YTD'!G:G)</f>
        <v>731</v>
      </c>
      <c r="AE41" s="1">
        <f>SUMIF('Input 3_2019CUST-YTD'!$S:$S,$G41,'Input 3_2019CUST-YTD'!H:H)</f>
        <v>729</v>
      </c>
      <c r="AF41" s="1">
        <f>SUMIF('Input 3_2019CUST-YTD'!$S:$S,$G41,'Input 3_2019CUST-YTD'!I:I)</f>
        <v>723</v>
      </c>
      <c r="AG41" s="1">
        <f>SUMIF('Input 3_2019CUST-YTD'!$S:$S,$G41,'Input 3_2019CUST-YTD'!J:J)</f>
        <v>727</v>
      </c>
      <c r="AH41" s="1">
        <f>SUMIF('Input 3_2019CUST-YTD'!$S:$S,$G41,'Input 3_2019CUST-YTD'!K:K)</f>
        <v>728</v>
      </c>
      <c r="AI41" s="1">
        <f>SUMIF('Input 3_2019CUST-YTD'!$S:$S,$G41,'Input 3_2019CUST-YTD'!L:L)</f>
        <v>730</v>
      </c>
      <c r="AJ41" s="1">
        <f>SUMIF('Input 3_2019CUST-YTD'!$S:$S,$G41,'Input 3_2019CUST-YTD'!M:M)</f>
        <v>729</v>
      </c>
      <c r="AK41" s="1">
        <f>SUMIF('Input 3_2019CUST-YTD'!$S:$S,$G41,'Input 3_2019CUST-YTD'!N:N)</f>
        <v>731</v>
      </c>
      <c r="AL41" s="1">
        <f>SUMIF('Input 4_2020CUST-YTD'!$S:$S,$G41,'Input 4_2020CUST-YTD'!C:C)</f>
        <v>732</v>
      </c>
      <c r="AM41" s="1">
        <f>SUMIF('Input 4_2020CUST-YTD'!$S:$S,$G41,'Input 4_2020CUST-YTD'!D:D)</f>
        <v>727</v>
      </c>
      <c r="AN41" s="1">
        <f>SUMIF('Input 4_2020CUST-YTD'!$S:$S,$G41,'Input 4_2020CUST-YTD'!E:E)</f>
        <v>731</v>
      </c>
      <c r="AO41" s="1">
        <f>SUMIF('Input 4_2020CUST-YTD'!$S:$S,$G41,'Input 4_2020CUST-YTD'!F:F)</f>
        <v>733</v>
      </c>
      <c r="AP41" s="1">
        <f>SUMIF('Input 4_2020CUST-YTD'!$S:$S,$G41,'Input 4_2020CUST-YTD'!G:G)</f>
        <v>729</v>
      </c>
      <c r="AQ41" s="1">
        <f>SUMIF('Input 4_2020CUST-YTD'!$S:$S,$G41,'Input 4_2020CUST-YTD'!H:H)</f>
        <v>732</v>
      </c>
      <c r="AR41" s="1">
        <f>SUMIF('Input 4_2020CUST-YTD'!$S:$S,$G41,'Input 4_2020CUST-YTD'!I:I)</f>
        <v>729</v>
      </c>
      <c r="AS41" s="1">
        <f>SUMIF('Input 4_2020CUST-YTD'!$S:$S,$G41,'Input 4_2020CUST-YTD'!J:J)</f>
        <v>730</v>
      </c>
      <c r="AT41" s="1">
        <f>SUMIF('Input 4_2020CUST-YTD'!$S:$S,$G41,'Input 4_2020CUST-YTD'!K:K)</f>
        <v>734</v>
      </c>
      <c r="AU41" s="1">
        <f>SUMIF('Input 4_2020CUST-YTD'!$S:$S,$G41,'Input 4_2020CUST-YTD'!L:L)</f>
        <v>739</v>
      </c>
      <c r="AV41" s="1">
        <f>SUMIF('Input 4_2020CUST-YTD'!$S:$S,$G41,'Input 4_2020CUST-YTD'!M:M)</f>
        <v>737</v>
      </c>
      <c r="AW41" s="1">
        <f>SUMIF('Input 4_2020CUST-YTD'!$S:$S,$G41,'Input 4_2020CUST-YTD'!N:N)</f>
        <v>740</v>
      </c>
      <c r="AX41" s="1">
        <f>SUMIF('Input 5_2021CUST-YTD'!$S:$S,$G41,'Input 5_2021CUST-YTD'!C:C)</f>
        <v>739</v>
      </c>
      <c r="AY41" s="1">
        <f>SUMIF('Input 5_2021CUST-YTD'!$S:$S,$G41,'Input 5_2021CUST-YTD'!D:D)</f>
        <v>736</v>
      </c>
      <c r="AZ41" s="1">
        <f>SUMIF('Input 5_2021CUST-YTD'!$S:$S,$G41,'Input 5_2021CUST-YTD'!E:E)</f>
        <v>734</v>
      </c>
      <c r="BA41" s="1">
        <f>SUMIF('Input 5_2021CUST-YTD'!$S:$S,$G41,'Input 5_2021CUST-YTD'!F:F)</f>
        <v>733</v>
      </c>
      <c r="BB41" s="1">
        <f>SUMIF('Input 5_2021CUST-YTD'!$S:$S,$G41,'Input 5_2021CUST-YTD'!G:G)</f>
        <v>737</v>
      </c>
      <c r="BC41" s="1">
        <f>SUMIF('Input 5_2021CUST-YTD'!$S:$S,$G41,'Input 5_2021CUST-YTD'!H:H)</f>
        <v>737</v>
      </c>
      <c r="BD41" s="1">
        <f>SUMIF('Input 5_2021CUST-YTD'!$S:$S,$G41,'Input 5_2021CUST-YTD'!I:I)</f>
        <v>737</v>
      </c>
      <c r="BE41" s="1">
        <f>SUMIF('Input 5_2021CUST-YTD'!$S:$S,$G41,'Input 5_2021CUST-YTD'!J:J)</f>
        <v>733</v>
      </c>
      <c r="BF41" s="1">
        <f>SUMIF('Input 5_2021CUST-YTD'!$S:$S,$G41,'Input 5_2021CUST-YTD'!K:K)</f>
        <v>734</v>
      </c>
      <c r="BG41" s="1">
        <f>SUMIF('Input 5_2021CUST-YTD'!$S:$S,$G41,'Input 5_2021CUST-YTD'!L:L)</f>
        <v>726</v>
      </c>
      <c r="BH41" s="1">
        <f>SUMIF('Input 5_2021CUST-YTD'!$S:$S,$G41,'Input 5_2021CUST-YTD'!M:M)</f>
        <v>726</v>
      </c>
      <c r="BI41" s="1">
        <f>SUMIF('Input 5_2021CUST-YTD'!$S:$S,$G41,'Input 5_2021CUST-YTD'!N:N)</f>
        <v>730</v>
      </c>
      <c r="BJ41" s="190">
        <f t="shared" si="32"/>
        <v>743.53357271340826</v>
      </c>
      <c r="BK41" s="190">
        <f t="shared" si="33"/>
        <v>740.51516849400332</v>
      </c>
      <c r="BL41" s="190">
        <f t="shared" si="34"/>
        <v>738.50289901439999</v>
      </c>
      <c r="BM41" s="190">
        <f t="shared" si="35"/>
        <v>737.49676427459838</v>
      </c>
      <c r="BN41" s="190">
        <f t="shared" si="36"/>
        <v>741.52130323380493</v>
      </c>
      <c r="BO41" s="190">
        <f t="shared" si="37"/>
        <v>741.52130323380493</v>
      </c>
      <c r="BP41" s="190">
        <f t="shared" si="38"/>
        <v>741.52130323380493</v>
      </c>
      <c r="BQ41" s="190">
        <f t="shared" si="39"/>
        <v>737.49676427459838</v>
      </c>
      <c r="BR41" s="190">
        <f t="shared" si="40"/>
        <v>738.50289901439999</v>
      </c>
      <c r="BS41" s="190">
        <f t="shared" si="41"/>
        <v>730.453821095987</v>
      </c>
      <c r="BT41" s="190">
        <f t="shared" si="42"/>
        <v>730.453821095987</v>
      </c>
      <c r="BU41" s="190">
        <f t="shared" si="43"/>
        <v>734.47836005519355</v>
      </c>
      <c r="BV41" s="190">
        <f t="shared" si="44"/>
        <v>748.09495771578497</v>
      </c>
      <c r="BW41" s="190">
        <f t="shared" si="45"/>
        <v>745.05803637187785</v>
      </c>
      <c r="BX41" s="190">
        <f t="shared" si="46"/>
        <v>743.03342214260636</v>
      </c>
      <c r="BY41" s="190">
        <f t="shared" si="47"/>
        <v>742.02111502797072</v>
      </c>
      <c r="BZ41" s="190">
        <f t="shared" si="48"/>
        <v>746.07034348651359</v>
      </c>
      <c r="CA41" s="190">
        <f t="shared" si="49"/>
        <v>746.07034348651359</v>
      </c>
      <c r="CB41" s="190">
        <f t="shared" si="50"/>
        <v>746.07034348651359</v>
      </c>
      <c r="CC41" s="190">
        <f t="shared" si="51"/>
        <v>742.02111502797072</v>
      </c>
      <c r="CD41" s="190">
        <f t="shared" si="52"/>
        <v>743.03342214260636</v>
      </c>
      <c r="CE41" s="190">
        <f t="shared" si="53"/>
        <v>734.93496522552084</v>
      </c>
      <c r="CF41" s="190">
        <f t="shared" si="54"/>
        <v>734.93496522552084</v>
      </c>
      <c r="CG41" s="190">
        <f t="shared" si="55"/>
        <v>738.98419368406371</v>
      </c>
      <c r="CH41" s="264"/>
      <c r="CI41" s="264">
        <f t="shared" si="1"/>
        <v>8571</v>
      </c>
      <c r="CJ41" s="264">
        <f t="shared" si="2"/>
        <v>8742</v>
      </c>
      <c r="CK41" s="264">
        <f t="shared" si="3"/>
        <v>8793</v>
      </c>
      <c r="CL41" s="264">
        <f t="shared" si="4"/>
        <v>8802</v>
      </c>
      <c r="CM41" s="264">
        <f t="shared" si="5"/>
        <v>8855.9979797339911</v>
      </c>
      <c r="CN41" s="264">
        <f t="shared" si="6"/>
        <v>8910.3272230234634</v>
      </c>
      <c r="CP41" s="574">
        <f>SUMIF('Master '!D:D,D41,'Master '!AB:AB)</f>
        <v>8855.9979797339911</v>
      </c>
      <c r="CQ41" s="574">
        <f>SUMIF('Master '!D:D,D41,'Master '!AC:AC)</f>
        <v>8910.3272230234634</v>
      </c>
      <c r="CR41" s="264">
        <f t="shared" si="56"/>
        <v>0</v>
      </c>
      <c r="CS41" s="264">
        <f t="shared" si="56"/>
        <v>0</v>
      </c>
    </row>
    <row r="42" spans="1:97" s="261" customFormat="1">
      <c r="A42" s="55" t="s">
        <v>17</v>
      </c>
      <c r="B42" s="55" t="s">
        <v>993</v>
      </c>
      <c r="C42" s="55" t="s">
        <v>8</v>
      </c>
      <c r="D42" s="55" t="s">
        <v>1251</v>
      </c>
      <c r="E42" s="55" t="str">
        <f>VLOOKUP(D42,'Input 14_Ref Table'!C:D,2,FALSE)</f>
        <v>CR839</v>
      </c>
      <c r="F42" s="172" t="s">
        <v>1287</v>
      </c>
      <c r="G42" s="55" t="str">
        <f>VLOOKUP(D42,'Input 14_Ref Table'!C:I,7,FALSE)</f>
        <v>CFG - FTS-2 - Fixed R</v>
      </c>
      <c r="H42" s="55" t="str">
        <f>VLOOKUP(D42,'Input 14_Ref Table'!C:K,8,FALSE)</f>
        <v>FTS_2</v>
      </c>
      <c r="I42" s="55"/>
      <c r="J42" s="261" t="str">
        <f>INDEX('Master '!$AD$2:AD$65,MATCH(D42,'Master '!$D$2:$D$65,0))</f>
        <v>UPC Growth Rate</v>
      </c>
      <c r="K42" s="567">
        <f>INDEX('Master '!$N$2:N$65,MATCH(D42,'Master '!$D$2:$D$65,0))</f>
        <v>6.1347398016349964E-3</v>
      </c>
      <c r="L42" s="290">
        <f>INDEX('Master '!$S$2:S$65,MATCH(D42,'Master '!$D$2:$D$65,0))</f>
        <v>0</v>
      </c>
      <c r="M42" s="1">
        <f>INDEX('Master '!$W$2:W$65,MATCH(D42,'Master '!$D$2:$D$65,0))</f>
        <v>597.30342792519559</v>
      </c>
      <c r="N42" s="55">
        <f>SUMIF('Input 16_2018CUST-YTD'!$S:$S,$G42,'Input 16_2018CUST-YTD'!C:C)</f>
        <v>17</v>
      </c>
      <c r="O42" s="55">
        <f>SUMIF('Input 16_2018CUST-YTD'!$S:$S,$G42,'Input 16_2018CUST-YTD'!D:D)</f>
        <v>16</v>
      </c>
      <c r="P42" s="55">
        <f>SUMIF('Input 16_2018CUST-YTD'!$S:$S,$G42,'Input 16_2018CUST-YTD'!E:E)</f>
        <v>16</v>
      </c>
      <c r="Q42" s="55">
        <f>SUMIF('Input 16_2018CUST-YTD'!$S:$S,$G42,'Input 16_2018CUST-YTD'!F:F)</f>
        <v>20</v>
      </c>
      <c r="R42" s="55">
        <f>SUMIF('Input 16_2018CUST-YTD'!$S:$S,$G42,'Input 16_2018CUST-YTD'!G:G)</f>
        <v>20</v>
      </c>
      <c r="S42" s="55">
        <f>SUMIF('Input 16_2018CUST-YTD'!$S:$S,$G42,'Input 16_2018CUST-YTD'!H:H)</f>
        <v>19</v>
      </c>
      <c r="T42" s="55">
        <f>SUMIF('Input 16_2018CUST-YTD'!$S:$S,$G42,'Input 16_2018CUST-YTD'!I:I)</f>
        <v>19</v>
      </c>
      <c r="U42" s="55">
        <f>SUMIF('Input 16_2018CUST-YTD'!$S:$S,$G42,'Input 16_2018CUST-YTD'!J:J)</f>
        <v>19</v>
      </c>
      <c r="V42" s="55">
        <f>SUMIF('Input 16_2018CUST-YTD'!$S:$S,$G42,'Input 16_2018CUST-YTD'!K:K)</f>
        <v>19</v>
      </c>
      <c r="W42" s="55">
        <f>SUMIF('Input 16_2018CUST-YTD'!$S:$S,$G42,'Input 16_2018CUST-YTD'!L:L)</f>
        <v>19</v>
      </c>
      <c r="X42" s="55">
        <f>SUMIF('Input 16_2018CUST-YTD'!$S:$S,$G42,'Input 16_2018CUST-YTD'!M:M)</f>
        <v>20</v>
      </c>
      <c r="Y42" s="55">
        <f>SUMIF('Input 16_2018CUST-YTD'!$S:$S,$G42,'Input 16_2018CUST-YTD'!N:N)</f>
        <v>20</v>
      </c>
      <c r="Z42" s="1">
        <f>SUMIF('Input 3_2019CUST-YTD'!$S:$S,$G42,'Input 3_2019CUST-YTD'!C:C)</f>
        <v>19</v>
      </c>
      <c r="AA42" s="1">
        <f>SUMIF('Input 3_2019CUST-YTD'!$S:$S,$G42,'Input 3_2019CUST-YTD'!D:D)</f>
        <v>19</v>
      </c>
      <c r="AB42" s="1">
        <f>SUMIF('Input 3_2019CUST-YTD'!$S:$S,$G42,'Input 3_2019CUST-YTD'!E:E)</f>
        <v>19</v>
      </c>
      <c r="AC42" s="1">
        <f>SUMIF('Input 3_2019CUST-YTD'!$S:$S,$G42,'Input 3_2019CUST-YTD'!F:F)</f>
        <v>19</v>
      </c>
      <c r="AD42" s="1">
        <f>SUMIF('Input 3_2019CUST-YTD'!$S:$S,$G42,'Input 3_2019CUST-YTD'!G:G)</f>
        <v>19</v>
      </c>
      <c r="AE42" s="1">
        <f>SUMIF('Input 3_2019CUST-YTD'!$S:$S,$G42,'Input 3_2019CUST-YTD'!H:H)</f>
        <v>18</v>
      </c>
      <c r="AF42" s="1">
        <f>SUMIF('Input 3_2019CUST-YTD'!$S:$S,$G42,'Input 3_2019CUST-YTD'!I:I)</f>
        <v>18</v>
      </c>
      <c r="AG42" s="1">
        <f>SUMIF('Input 3_2019CUST-YTD'!$S:$S,$G42,'Input 3_2019CUST-YTD'!J:J)</f>
        <v>18</v>
      </c>
      <c r="AH42" s="1">
        <f>SUMIF('Input 3_2019CUST-YTD'!$S:$S,$G42,'Input 3_2019CUST-YTD'!K:K)</f>
        <v>18</v>
      </c>
      <c r="AI42" s="1">
        <f>SUMIF('Input 3_2019CUST-YTD'!$S:$S,$G42,'Input 3_2019CUST-YTD'!L:L)</f>
        <v>18</v>
      </c>
      <c r="AJ42" s="1">
        <f>SUMIF('Input 3_2019CUST-YTD'!$S:$S,$G42,'Input 3_2019CUST-YTD'!M:M)</f>
        <v>19</v>
      </c>
      <c r="AK42" s="1">
        <f>SUMIF('Input 3_2019CUST-YTD'!$S:$S,$G42,'Input 3_2019CUST-YTD'!N:N)</f>
        <v>19</v>
      </c>
      <c r="AL42" s="1">
        <f>SUMIF('Input 4_2020CUST-YTD'!$S:$S,$G42,'Input 4_2020CUST-YTD'!C:C)</f>
        <v>19</v>
      </c>
      <c r="AM42" s="1">
        <f>SUMIF('Input 4_2020CUST-YTD'!$S:$S,$G42,'Input 4_2020CUST-YTD'!D:D)</f>
        <v>19</v>
      </c>
      <c r="AN42" s="1">
        <f>SUMIF('Input 4_2020CUST-YTD'!$S:$S,$G42,'Input 4_2020CUST-YTD'!E:E)</f>
        <v>20</v>
      </c>
      <c r="AO42" s="1">
        <f>SUMIF('Input 4_2020CUST-YTD'!$S:$S,$G42,'Input 4_2020CUST-YTD'!F:F)</f>
        <v>20</v>
      </c>
      <c r="AP42" s="1">
        <f>SUMIF('Input 4_2020CUST-YTD'!$S:$S,$G42,'Input 4_2020CUST-YTD'!G:G)</f>
        <v>20</v>
      </c>
      <c r="AQ42" s="1">
        <f>SUMIF('Input 4_2020CUST-YTD'!$S:$S,$G42,'Input 4_2020CUST-YTD'!H:H)</f>
        <v>20</v>
      </c>
      <c r="AR42" s="1">
        <f>SUMIF('Input 4_2020CUST-YTD'!$S:$S,$G42,'Input 4_2020CUST-YTD'!I:I)</f>
        <v>20</v>
      </c>
      <c r="AS42" s="1">
        <f>SUMIF('Input 4_2020CUST-YTD'!$S:$S,$G42,'Input 4_2020CUST-YTD'!J:J)</f>
        <v>20</v>
      </c>
      <c r="AT42" s="1">
        <f>SUMIF('Input 4_2020CUST-YTD'!$S:$S,$G42,'Input 4_2020CUST-YTD'!K:K)</f>
        <v>20</v>
      </c>
      <c r="AU42" s="1">
        <f>SUMIF('Input 4_2020CUST-YTD'!$S:$S,$G42,'Input 4_2020CUST-YTD'!L:L)</f>
        <v>21</v>
      </c>
      <c r="AV42" s="1">
        <f>SUMIF('Input 4_2020CUST-YTD'!$S:$S,$G42,'Input 4_2020CUST-YTD'!M:M)</f>
        <v>20</v>
      </c>
      <c r="AW42" s="1">
        <f>SUMIF('Input 4_2020CUST-YTD'!$S:$S,$G42,'Input 4_2020CUST-YTD'!N:N)</f>
        <v>20</v>
      </c>
      <c r="AX42" s="1">
        <f>SUMIF('Input 5_2021CUST-YTD'!$S:$S,$G42,'Input 5_2021CUST-YTD'!C:C)</f>
        <v>20</v>
      </c>
      <c r="AY42" s="1">
        <f>SUMIF('Input 5_2021CUST-YTD'!$S:$S,$G42,'Input 5_2021CUST-YTD'!D:D)</f>
        <v>20</v>
      </c>
      <c r="AZ42" s="1">
        <f>SUMIF('Input 5_2021CUST-YTD'!$S:$S,$G42,'Input 5_2021CUST-YTD'!E:E)</f>
        <v>20</v>
      </c>
      <c r="BA42" s="1">
        <f>SUMIF('Input 5_2021CUST-YTD'!$S:$S,$G42,'Input 5_2021CUST-YTD'!F:F)</f>
        <v>20</v>
      </c>
      <c r="BB42" s="1">
        <f>SUMIF('Input 5_2021CUST-YTD'!$S:$S,$G42,'Input 5_2021CUST-YTD'!G:G)</f>
        <v>20</v>
      </c>
      <c r="BC42" s="1">
        <f>SUMIF('Input 5_2021CUST-YTD'!$S:$S,$G42,'Input 5_2021CUST-YTD'!H:H)</f>
        <v>19</v>
      </c>
      <c r="BD42" s="1">
        <f>SUMIF('Input 5_2021CUST-YTD'!$S:$S,$G42,'Input 5_2021CUST-YTD'!I:I)</f>
        <v>20</v>
      </c>
      <c r="BE42" s="1">
        <f>SUMIF('Input 5_2021CUST-YTD'!$S:$S,$G42,'Input 5_2021CUST-YTD'!J:J)</f>
        <v>19</v>
      </c>
      <c r="BF42" s="1">
        <f>SUMIF('Input 5_2021CUST-YTD'!$S:$S,$G42,'Input 5_2021CUST-YTD'!K:K)</f>
        <v>19</v>
      </c>
      <c r="BG42" s="1">
        <f>SUMIF('Input 5_2021CUST-YTD'!$S:$S,$G42,'Input 5_2021CUST-YTD'!L:L)</f>
        <v>19</v>
      </c>
      <c r="BH42" s="1">
        <f>SUMIF('Input 5_2021CUST-YTD'!$S:$S,$G42,'Input 5_2021CUST-YTD'!M:M)</f>
        <v>20</v>
      </c>
      <c r="BI42" s="1">
        <f>SUMIF('Input 5_2021CUST-YTD'!$S:$S,$G42,'Input 5_2021CUST-YTD'!N:N)</f>
        <v>20</v>
      </c>
      <c r="BJ42" s="190">
        <f t="shared" si="32"/>
        <v>20.122694796032697</v>
      </c>
      <c r="BK42" s="190">
        <f t="shared" si="33"/>
        <v>20.122694796032697</v>
      </c>
      <c r="BL42" s="190">
        <f t="shared" si="34"/>
        <v>20.122694796032697</v>
      </c>
      <c r="BM42" s="190">
        <f t="shared" si="35"/>
        <v>20.122694796032697</v>
      </c>
      <c r="BN42" s="190">
        <f t="shared" si="36"/>
        <v>20.122694796032697</v>
      </c>
      <c r="BO42" s="190">
        <f t="shared" si="37"/>
        <v>19.116560056231062</v>
      </c>
      <c r="BP42" s="190">
        <f t="shared" si="38"/>
        <v>20.122694796032697</v>
      </c>
      <c r="BQ42" s="190">
        <f t="shared" si="39"/>
        <v>19.116560056231062</v>
      </c>
      <c r="BR42" s="190">
        <f t="shared" si="40"/>
        <v>19.116560056231062</v>
      </c>
      <c r="BS42" s="190">
        <f t="shared" si="41"/>
        <v>19.116560056231062</v>
      </c>
      <c r="BT42" s="190">
        <f t="shared" si="42"/>
        <v>20.122694796032697</v>
      </c>
      <c r="BU42" s="190">
        <f t="shared" si="43"/>
        <v>20.122694796032697</v>
      </c>
      <c r="BV42" s="190">
        <f t="shared" si="44"/>
        <v>20.246142292714069</v>
      </c>
      <c r="BW42" s="190">
        <f t="shared" si="45"/>
        <v>20.246142292714069</v>
      </c>
      <c r="BX42" s="190">
        <f t="shared" si="46"/>
        <v>20.246142292714069</v>
      </c>
      <c r="BY42" s="190">
        <f t="shared" si="47"/>
        <v>20.246142292714069</v>
      </c>
      <c r="BZ42" s="190">
        <f t="shared" si="48"/>
        <v>20.246142292714069</v>
      </c>
      <c r="CA42" s="190">
        <f t="shared" si="49"/>
        <v>19.233835178078369</v>
      </c>
      <c r="CB42" s="190">
        <f t="shared" si="50"/>
        <v>20.246142292714069</v>
      </c>
      <c r="CC42" s="190">
        <f t="shared" si="51"/>
        <v>19.233835178078369</v>
      </c>
      <c r="CD42" s="190">
        <f t="shared" si="52"/>
        <v>19.233835178078369</v>
      </c>
      <c r="CE42" s="190">
        <f t="shared" si="53"/>
        <v>19.233835178078369</v>
      </c>
      <c r="CF42" s="190">
        <f t="shared" si="54"/>
        <v>20.246142292714069</v>
      </c>
      <c r="CG42" s="190">
        <f t="shared" si="55"/>
        <v>20.246142292714069</v>
      </c>
      <c r="CH42" s="264"/>
      <c r="CI42" s="264">
        <f t="shared" si="1"/>
        <v>224</v>
      </c>
      <c r="CJ42" s="264">
        <f t="shared" si="2"/>
        <v>223</v>
      </c>
      <c r="CK42" s="264">
        <f t="shared" si="3"/>
        <v>239</v>
      </c>
      <c r="CL42" s="264">
        <f t="shared" si="4"/>
        <v>236</v>
      </c>
      <c r="CM42" s="264">
        <f t="shared" si="5"/>
        <v>237.44779859318587</v>
      </c>
      <c r="CN42" s="264">
        <f t="shared" si="6"/>
        <v>238.90447905402607</v>
      </c>
      <c r="CP42" s="574">
        <f>SUMIF('Master '!D:D,D42,'Master '!AB:AB)</f>
        <v>237.44779859318584</v>
      </c>
      <c r="CQ42" s="574">
        <f>SUMIF('Master '!D:D,D42,'Master '!AC:AC)</f>
        <v>238.90447905402604</v>
      </c>
      <c r="CR42" s="264">
        <f t="shared" si="56"/>
        <v>0</v>
      </c>
      <c r="CS42" s="264">
        <f t="shared" si="56"/>
        <v>0</v>
      </c>
    </row>
    <row r="43" spans="1:97" s="261" customFormat="1">
      <c r="A43" s="55" t="s">
        <v>17</v>
      </c>
      <c r="B43" s="55" t="s">
        <v>993</v>
      </c>
      <c r="C43" s="55" t="s">
        <v>1245</v>
      </c>
      <c r="D43" s="55" t="s">
        <v>1252</v>
      </c>
      <c r="E43" s="55" t="str">
        <f>VLOOKUP(D43,'Input 14_Ref Table'!C:D,2,FALSE)</f>
        <v>CC815</v>
      </c>
      <c r="F43" s="172" t="s">
        <v>1286</v>
      </c>
      <c r="G43" s="55" t="str">
        <f>VLOOKUP(D43,'Input 14_Ref Table'!C:I,7,FALSE)</f>
        <v>CFG - FTS-2 NR</v>
      </c>
      <c r="H43" s="55" t="str">
        <f>VLOOKUP(D43,'Input 14_Ref Table'!C:K,8,FALSE)</f>
        <v>FTS2</v>
      </c>
      <c r="I43" s="55"/>
      <c r="J43" s="261" t="str">
        <f>INDEX('Master '!$AD$2:AD$65,MATCH(D43,'Master '!$D$2:$D$65,0))</f>
        <v>UPC Growth Rate</v>
      </c>
      <c r="K43" s="567">
        <f>INDEX('Master '!$N$2:N$65,MATCH(D43,'Master '!$D$2:$D$65,0))</f>
        <v>5.7427510434033407E-2</v>
      </c>
      <c r="L43" s="290">
        <f>INDEX('Master '!$S$2:S$65,MATCH(D43,'Master '!$D$2:$D$65,0))</f>
        <v>-1.970443349753722E-2</v>
      </c>
      <c r="M43" s="1">
        <f>INDEX('Master '!$W$2:W$65,MATCH(D43,'Master '!$D$2:$D$65,0))</f>
        <v>636.79999999999995</v>
      </c>
      <c r="N43" s="55">
        <f>SUMIF('Input 16_2018CUST-YTD'!$S:$S,$G43,'Input 16_2018CUST-YTD'!C:C)</f>
        <v>92</v>
      </c>
      <c r="O43" s="55">
        <f>SUMIF('Input 16_2018CUST-YTD'!$S:$S,$G43,'Input 16_2018CUST-YTD'!D:D)</f>
        <v>92</v>
      </c>
      <c r="P43" s="55">
        <f>SUMIF('Input 16_2018CUST-YTD'!$S:$S,$G43,'Input 16_2018CUST-YTD'!E:E)</f>
        <v>91</v>
      </c>
      <c r="Q43" s="55">
        <f>SUMIF('Input 16_2018CUST-YTD'!$S:$S,$G43,'Input 16_2018CUST-YTD'!F:F)</f>
        <v>93</v>
      </c>
      <c r="R43" s="55">
        <f>SUMIF('Input 16_2018CUST-YTD'!$S:$S,$G43,'Input 16_2018CUST-YTD'!G:G)</f>
        <v>94</v>
      </c>
      <c r="S43" s="55">
        <f>SUMIF('Input 16_2018CUST-YTD'!$S:$S,$G43,'Input 16_2018CUST-YTD'!H:H)</f>
        <v>95</v>
      </c>
      <c r="T43" s="55">
        <f>SUMIF('Input 16_2018CUST-YTD'!$S:$S,$G43,'Input 16_2018CUST-YTD'!I:I)</f>
        <v>92</v>
      </c>
      <c r="U43" s="55">
        <f>SUMIF('Input 16_2018CUST-YTD'!$S:$S,$G43,'Input 16_2018CUST-YTD'!J:J)</f>
        <v>92</v>
      </c>
      <c r="V43" s="55">
        <f>SUMIF('Input 16_2018CUST-YTD'!$S:$S,$G43,'Input 16_2018CUST-YTD'!K:K)</f>
        <v>92</v>
      </c>
      <c r="W43" s="55">
        <f>SUMIF('Input 16_2018CUST-YTD'!$S:$S,$G43,'Input 16_2018CUST-YTD'!L:L)</f>
        <v>92</v>
      </c>
      <c r="X43" s="55">
        <f>SUMIF('Input 16_2018CUST-YTD'!$S:$S,$G43,'Input 16_2018CUST-YTD'!M:M)</f>
        <v>92</v>
      </c>
      <c r="Y43" s="55">
        <f>SUMIF('Input 16_2018CUST-YTD'!$S:$S,$G43,'Input 16_2018CUST-YTD'!N:N)</f>
        <v>97</v>
      </c>
      <c r="Z43" s="1">
        <f>SUMIF('Input 3_2019CUST-YTD'!$S:$S,$G43,'Input 3_2019CUST-YTD'!C:C)</f>
        <v>94</v>
      </c>
      <c r="AA43" s="1">
        <f>SUMIF('Input 3_2019CUST-YTD'!$S:$S,$G43,'Input 3_2019CUST-YTD'!D:D)</f>
        <v>92</v>
      </c>
      <c r="AB43" s="1">
        <f>SUMIF('Input 3_2019CUST-YTD'!$S:$S,$G43,'Input 3_2019CUST-YTD'!E:E)</f>
        <v>93</v>
      </c>
      <c r="AC43" s="1">
        <f>SUMIF('Input 3_2019CUST-YTD'!$S:$S,$G43,'Input 3_2019CUST-YTD'!F:F)</f>
        <v>95</v>
      </c>
      <c r="AD43" s="1">
        <f>SUMIF('Input 3_2019CUST-YTD'!$S:$S,$G43,'Input 3_2019CUST-YTD'!G:G)</f>
        <v>94</v>
      </c>
      <c r="AE43" s="1">
        <f>SUMIF('Input 3_2019CUST-YTD'!$S:$S,$G43,'Input 3_2019CUST-YTD'!H:H)</f>
        <v>95</v>
      </c>
      <c r="AF43" s="1">
        <f>SUMIF('Input 3_2019CUST-YTD'!$S:$S,$G43,'Input 3_2019CUST-YTD'!I:I)</f>
        <v>95</v>
      </c>
      <c r="AG43" s="1">
        <f>SUMIF('Input 3_2019CUST-YTD'!$S:$S,$G43,'Input 3_2019CUST-YTD'!J:J)</f>
        <v>96</v>
      </c>
      <c r="AH43" s="1">
        <f>SUMIF('Input 3_2019CUST-YTD'!$S:$S,$G43,'Input 3_2019CUST-YTD'!K:K)</f>
        <v>94</v>
      </c>
      <c r="AI43" s="1">
        <f>SUMIF('Input 3_2019CUST-YTD'!$S:$S,$G43,'Input 3_2019CUST-YTD'!L:L)</f>
        <v>96</v>
      </c>
      <c r="AJ43" s="1">
        <f>SUMIF('Input 3_2019CUST-YTD'!$S:$S,$G43,'Input 3_2019CUST-YTD'!M:M)</f>
        <v>97</v>
      </c>
      <c r="AK43" s="1">
        <f>SUMIF('Input 3_2019CUST-YTD'!$S:$S,$G43,'Input 3_2019CUST-YTD'!N:N)</f>
        <v>99</v>
      </c>
      <c r="AL43" s="1">
        <f>SUMIF('Input 4_2020CUST-YTD'!$S:$S,$G43,'Input 4_2020CUST-YTD'!C:C)</f>
        <v>99</v>
      </c>
      <c r="AM43" s="1">
        <f>SUMIF('Input 4_2020CUST-YTD'!$S:$S,$G43,'Input 4_2020CUST-YTD'!D:D)</f>
        <v>100</v>
      </c>
      <c r="AN43" s="1">
        <f>SUMIF('Input 4_2020CUST-YTD'!$S:$S,$G43,'Input 4_2020CUST-YTD'!E:E)</f>
        <v>101</v>
      </c>
      <c r="AO43" s="1">
        <f>SUMIF('Input 4_2020CUST-YTD'!$S:$S,$G43,'Input 4_2020CUST-YTD'!F:F)</f>
        <v>101</v>
      </c>
      <c r="AP43" s="1">
        <f>SUMIF('Input 4_2020CUST-YTD'!$S:$S,$G43,'Input 4_2020CUST-YTD'!G:G)</f>
        <v>100</v>
      </c>
      <c r="AQ43" s="1">
        <f>SUMIF('Input 4_2020CUST-YTD'!$S:$S,$G43,'Input 4_2020CUST-YTD'!H:H)</f>
        <v>101</v>
      </c>
      <c r="AR43" s="1">
        <f>SUMIF('Input 4_2020CUST-YTD'!$S:$S,$G43,'Input 4_2020CUST-YTD'!I:I)</f>
        <v>99</v>
      </c>
      <c r="AS43" s="1">
        <f>SUMIF('Input 4_2020CUST-YTD'!$S:$S,$G43,'Input 4_2020CUST-YTD'!J:J)</f>
        <v>101</v>
      </c>
      <c r="AT43" s="1">
        <f>SUMIF('Input 4_2020CUST-YTD'!$S:$S,$G43,'Input 4_2020CUST-YTD'!K:K)</f>
        <v>101</v>
      </c>
      <c r="AU43" s="1">
        <f>SUMIF('Input 4_2020CUST-YTD'!$S:$S,$G43,'Input 4_2020CUST-YTD'!L:L)</f>
        <v>101</v>
      </c>
      <c r="AV43" s="1">
        <f>SUMIF('Input 4_2020CUST-YTD'!$S:$S,$G43,'Input 4_2020CUST-YTD'!M:M)</f>
        <v>101</v>
      </c>
      <c r="AW43" s="1">
        <f>SUMIF('Input 4_2020CUST-YTD'!$S:$S,$G43,'Input 4_2020CUST-YTD'!N:N)</f>
        <v>99</v>
      </c>
      <c r="AX43" s="1">
        <f>SUMIF('Input 5_2021CUST-YTD'!$S:$S,$G43,'Input 5_2021CUST-YTD'!C:C)</f>
        <v>102</v>
      </c>
      <c r="AY43" s="1">
        <f>SUMIF('Input 5_2021CUST-YTD'!$S:$S,$G43,'Input 5_2021CUST-YTD'!D:D)</f>
        <v>99</v>
      </c>
      <c r="AZ43" s="1">
        <f>SUMIF('Input 5_2021CUST-YTD'!$S:$S,$G43,'Input 5_2021CUST-YTD'!E:E)</f>
        <v>99</v>
      </c>
      <c r="BA43" s="1">
        <f>SUMIF('Input 5_2021CUST-YTD'!$S:$S,$G43,'Input 5_2021CUST-YTD'!F:F)</f>
        <v>99</v>
      </c>
      <c r="BB43" s="1">
        <f>SUMIF('Input 5_2021CUST-YTD'!$S:$S,$G43,'Input 5_2021CUST-YTD'!G:G)</f>
        <v>98</v>
      </c>
      <c r="BC43" s="1">
        <f>SUMIF('Input 5_2021CUST-YTD'!$S:$S,$G43,'Input 5_2021CUST-YTD'!H:H)</f>
        <v>98</v>
      </c>
      <c r="BD43" s="1">
        <f>SUMIF('Input 5_2021CUST-YTD'!$S:$S,$G43,'Input 5_2021CUST-YTD'!I:I)</f>
        <v>97</v>
      </c>
      <c r="BE43" s="1">
        <f>SUMIF('Input 5_2021CUST-YTD'!$S:$S,$G43,'Input 5_2021CUST-YTD'!J:J)</f>
        <v>96</v>
      </c>
      <c r="BF43" s="1">
        <f>SUMIF('Input 5_2021CUST-YTD'!$S:$S,$G43,'Input 5_2021CUST-YTD'!K:K)</f>
        <v>97</v>
      </c>
      <c r="BG43" s="1">
        <f>SUMIF('Input 5_2021CUST-YTD'!$S:$S,$G43,'Input 5_2021CUST-YTD'!L:L)</f>
        <v>98</v>
      </c>
      <c r="BH43" s="1">
        <f>SUMIF('Input 5_2021CUST-YTD'!$S:$S,$G43,'Input 5_2021CUST-YTD'!M:M)</f>
        <v>96</v>
      </c>
      <c r="BI43" s="1">
        <f>SUMIF('Input 5_2021CUST-YTD'!$S:$S,$G43,'Input 5_2021CUST-YTD'!N:N)</f>
        <v>96</v>
      </c>
      <c r="BJ43" s="190">
        <f t="shared" si="32"/>
        <v>107.85760606427141</v>
      </c>
      <c r="BK43" s="190">
        <f t="shared" si="33"/>
        <v>104.68532353296931</v>
      </c>
      <c r="BL43" s="190">
        <f t="shared" si="34"/>
        <v>104.68532353296931</v>
      </c>
      <c r="BM43" s="190">
        <f t="shared" si="35"/>
        <v>104.68532353296931</v>
      </c>
      <c r="BN43" s="190">
        <f t="shared" si="36"/>
        <v>103.62789602253527</v>
      </c>
      <c r="BO43" s="190">
        <f t="shared" si="37"/>
        <v>103.62789602253527</v>
      </c>
      <c r="BP43" s="190">
        <f t="shared" si="38"/>
        <v>102.57046851210124</v>
      </c>
      <c r="BQ43" s="190">
        <f t="shared" si="39"/>
        <v>101.5130410016672</v>
      </c>
      <c r="BR43" s="190">
        <f t="shared" si="40"/>
        <v>102.57046851210124</v>
      </c>
      <c r="BS43" s="190">
        <f t="shared" si="41"/>
        <v>103.62789602253527</v>
      </c>
      <c r="BT43" s="190">
        <f t="shared" si="42"/>
        <v>101.5130410016672</v>
      </c>
      <c r="BU43" s="190">
        <f t="shared" si="43"/>
        <v>101.5130410016672</v>
      </c>
      <c r="BV43" s="190">
        <f t="shared" si="44"/>
        <v>114.05159986191721</v>
      </c>
      <c r="BW43" s="190">
        <f t="shared" si="45"/>
        <v>110.69714104244906</v>
      </c>
      <c r="BX43" s="190">
        <f t="shared" si="46"/>
        <v>110.69714104244906</v>
      </c>
      <c r="BY43" s="190">
        <f t="shared" si="47"/>
        <v>110.69714104244906</v>
      </c>
      <c r="BZ43" s="190">
        <f t="shared" si="48"/>
        <v>109.57898810262634</v>
      </c>
      <c r="CA43" s="190">
        <f t="shared" si="49"/>
        <v>109.57898810262634</v>
      </c>
      <c r="CB43" s="190">
        <f t="shared" si="50"/>
        <v>108.46083516280363</v>
      </c>
      <c r="CC43" s="190">
        <f t="shared" si="51"/>
        <v>107.34268222298091</v>
      </c>
      <c r="CD43" s="190">
        <f t="shared" si="52"/>
        <v>108.46083516280363</v>
      </c>
      <c r="CE43" s="190">
        <f t="shared" si="53"/>
        <v>109.57898810262634</v>
      </c>
      <c r="CF43" s="190">
        <f t="shared" si="54"/>
        <v>107.34268222298091</v>
      </c>
      <c r="CG43" s="190">
        <f t="shared" si="55"/>
        <v>107.34268222298091</v>
      </c>
      <c r="CH43" s="264"/>
      <c r="CI43" s="264">
        <f t="shared" si="1"/>
        <v>1114</v>
      </c>
      <c r="CJ43" s="264">
        <f t="shared" si="2"/>
        <v>1140</v>
      </c>
      <c r="CK43" s="264">
        <f t="shared" si="3"/>
        <v>1204</v>
      </c>
      <c r="CL43" s="264">
        <f t="shared" si="4"/>
        <v>1175</v>
      </c>
      <c r="CM43" s="264">
        <f t="shared" si="5"/>
        <v>1242.4773247599894</v>
      </c>
      <c r="CN43" s="264">
        <f t="shared" si="6"/>
        <v>1313.8297042916936</v>
      </c>
      <c r="CP43" s="574">
        <f>SUMIF('Master '!D:D,D43,'Master '!AB:AB)</f>
        <v>1242.4773247599892</v>
      </c>
      <c r="CQ43" s="574">
        <f>SUMIF('Master '!D:D,D43,'Master '!AC:AC)</f>
        <v>1313.8297042916934</v>
      </c>
      <c r="CR43" s="264">
        <f t="shared" si="56"/>
        <v>0</v>
      </c>
      <c r="CS43" s="264">
        <f t="shared" si="56"/>
        <v>0</v>
      </c>
    </row>
    <row r="44" spans="1:97" s="261" customFormat="1">
      <c r="A44" s="55" t="s">
        <v>17</v>
      </c>
      <c r="B44" s="55" t="s">
        <v>993</v>
      </c>
      <c r="C44" s="55" t="s">
        <v>1245</v>
      </c>
      <c r="D44" s="55" t="s">
        <v>1253</v>
      </c>
      <c r="E44" s="55" t="str">
        <f>VLOOKUP(D44,'Input 14_Ref Table'!C:D,2,FALSE)</f>
        <v>CC820</v>
      </c>
      <c r="F44" s="172" t="s">
        <v>1287</v>
      </c>
      <c r="G44" s="55" t="str">
        <f>VLOOKUP(D44,'Input 14_Ref Table'!C:I,7,FALSE)</f>
        <v>CFG - FTS-2 - Fixed NR</v>
      </c>
      <c r="H44" s="55" t="str">
        <f>VLOOKUP(D44,'Input 14_Ref Table'!C:K,8,FALSE)</f>
        <v>FTS2</v>
      </c>
      <c r="I44" s="55"/>
      <c r="J44" s="261" t="str">
        <f>INDEX('Master '!$AD$2:AD$65,MATCH(D44,'Master '!$D$2:$D$65,0))</f>
        <v>UPC Growth Rate</v>
      </c>
      <c r="K44" s="567">
        <f>INDEX('Master '!$N$2:N$65,MATCH(D44,'Master '!$D$2:$D$65,0))</f>
        <v>5.7427510434033407E-2</v>
      </c>
      <c r="L44" s="290">
        <f>INDEX('Master '!$S$2:S$65,MATCH(D44,'Master '!$D$2:$D$65,0))</f>
        <v>-1.970443349753722E-2</v>
      </c>
      <c r="M44" s="1">
        <f>INDEX('Master '!$W$2:W$65,MATCH(D44,'Master '!$D$2:$D$65,0))</f>
        <v>636.79999999999995</v>
      </c>
      <c r="N44" s="55">
        <f>SUMIF('Input 16_2018CUST-YTD'!$S:$S,$G44,'Input 16_2018CUST-YTD'!C:C)</f>
        <v>4</v>
      </c>
      <c r="O44" s="55">
        <f>SUMIF('Input 16_2018CUST-YTD'!$S:$S,$G44,'Input 16_2018CUST-YTD'!D:D)</f>
        <v>4</v>
      </c>
      <c r="P44" s="55">
        <f>SUMIF('Input 16_2018CUST-YTD'!$S:$S,$G44,'Input 16_2018CUST-YTD'!E:E)</f>
        <v>4</v>
      </c>
      <c r="Q44" s="55">
        <f>SUMIF('Input 16_2018CUST-YTD'!$S:$S,$G44,'Input 16_2018CUST-YTD'!F:F)</f>
        <v>4</v>
      </c>
      <c r="R44" s="55">
        <f>SUMIF('Input 16_2018CUST-YTD'!$S:$S,$G44,'Input 16_2018CUST-YTD'!G:G)</f>
        <v>4</v>
      </c>
      <c r="S44" s="55">
        <f>SUMIF('Input 16_2018CUST-YTD'!$S:$S,$G44,'Input 16_2018CUST-YTD'!H:H)</f>
        <v>4</v>
      </c>
      <c r="T44" s="55">
        <f>SUMIF('Input 16_2018CUST-YTD'!$S:$S,$G44,'Input 16_2018CUST-YTD'!I:I)</f>
        <v>4</v>
      </c>
      <c r="U44" s="55">
        <f>SUMIF('Input 16_2018CUST-YTD'!$S:$S,$G44,'Input 16_2018CUST-YTD'!J:J)</f>
        <v>4</v>
      </c>
      <c r="V44" s="55">
        <f>SUMIF('Input 16_2018CUST-YTD'!$S:$S,$G44,'Input 16_2018CUST-YTD'!K:K)</f>
        <v>5</v>
      </c>
      <c r="W44" s="55">
        <f>SUMIF('Input 16_2018CUST-YTD'!$S:$S,$G44,'Input 16_2018CUST-YTD'!L:L)</f>
        <v>5</v>
      </c>
      <c r="X44" s="55">
        <f>SUMIF('Input 16_2018CUST-YTD'!$S:$S,$G44,'Input 16_2018CUST-YTD'!M:M)</f>
        <v>5</v>
      </c>
      <c r="Y44" s="55">
        <f>SUMIF('Input 16_2018CUST-YTD'!$S:$S,$G44,'Input 16_2018CUST-YTD'!N:N)</f>
        <v>5</v>
      </c>
      <c r="Z44" s="1">
        <f>SUMIF('Input 3_2019CUST-YTD'!$S:$S,$G44,'Input 3_2019CUST-YTD'!C:C)</f>
        <v>5</v>
      </c>
      <c r="AA44" s="1">
        <f>SUMIF('Input 3_2019CUST-YTD'!$S:$S,$G44,'Input 3_2019CUST-YTD'!D:D)</f>
        <v>5</v>
      </c>
      <c r="AB44" s="1">
        <f>SUMIF('Input 3_2019CUST-YTD'!$S:$S,$G44,'Input 3_2019CUST-YTD'!E:E)</f>
        <v>5</v>
      </c>
      <c r="AC44" s="1">
        <f>SUMIF('Input 3_2019CUST-YTD'!$S:$S,$G44,'Input 3_2019CUST-YTD'!F:F)</f>
        <v>5</v>
      </c>
      <c r="AD44" s="1">
        <f>SUMIF('Input 3_2019CUST-YTD'!$S:$S,$G44,'Input 3_2019CUST-YTD'!G:G)</f>
        <v>5</v>
      </c>
      <c r="AE44" s="1">
        <f>SUMIF('Input 3_2019CUST-YTD'!$S:$S,$G44,'Input 3_2019CUST-YTD'!H:H)</f>
        <v>6</v>
      </c>
      <c r="AF44" s="1">
        <f>SUMIF('Input 3_2019CUST-YTD'!$S:$S,$G44,'Input 3_2019CUST-YTD'!I:I)</f>
        <v>6</v>
      </c>
      <c r="AG44" s="1">
        <f>SUMIF('Input 3_2019CUST-YTD'!$S:$S,$G44,'Input 3_2019CUST-YTD'!J:J)</f>
        <v>6</v>
      </c>
      <c r="AH44" s="1">
        <f>SUMIF('Input 3_2019CUST-YTD'!$S:$S,$G44,'Input 3_2019CUST-YTD'!K:K)</f>
        <v>5</v>
      </c>
      <c r="AI44" s="1">
        <f>SUMIF('Input 3_2019CUST-YTD'!$S:$S,$G44,'Input 3_2019CUST-YTD'!L:L)</f>
        <v>5</v>
      </c>
      <c r="AJ44" s="1">
        <f>SUMIF('Input 3_2019CUST-YTD'!$S:$S,$G44,'Input 3_2019CUST-YTD'!M:M)</f>
        <v>5</v>
      </c>
      <c r="AK44" s="1">
        <f>SUMIF('Input 3_2019CUST-YTD'!$S:$S,$G44,'Input 3_2019CUST-YTD'!N:N)</f>
        <v>5</v>
      </c>
      <c r="AL44" s="1">
        <f>SUMIF('Input 4_2020CUST-YTD'!$S:$S,$G44,'Input 4_2020CUST-YTD'!C:C)</f>
        <v>5</v>
      </c>
      <c r="AM44" s="1">
        <f>SUMIF('Input 4_2020CUST-YTD'!$S:$S,$G44,'Input 4_2020CUST-YTD'!D:D)</f>
        <v>6</v>
      </c>
      <c r="AN44" s="1">
        <f>SUMIF('Input 4_2020CUST-YTD'!$S:$S,$G44,'Input 4_2020CUST-YTD'!E:E)</f>
        <v>6</v>
      </c>
      <c r="AO44" s="1">
        <f>SUMIF('Input 4_2020CUST-YTD'!$S:$S,$G44,'Input 4_2020CUST-YTD'!F:F)</f>
        <v>6</v>
      </c>
      <c r="AP44" s="1">
        <f>SUMIF('Input 4_2020CUST-YTD'!$S:$S,$G44,'Input 4_2020CUST-YTD'!G:G)</f>
        <v>6</v>
      </c>
      <c r="AQ44" s="1">
        <f>SUMIF('Input 4_2020CUST-YTD'!$S:$S,$G44,'Input 4_2020CUST-YTD'!H:H)</f>
        <v>6</v>
      </c>
      <c r="AR44" s="1">
        <f>SUMIF('Input 4_2020CUST-YTD'!$S:$S,$G44,'Input 4_2020CUST-YTD'!I:I)</f>
        <v>6</v>
      </c>
      <c r="AS44" s="1">
        <f>SUMIF('Input 4_2020CUST-YTD'!$S:$S,$G44,'Input 4_2020CUST-YTD'!J:J)</f>
        <v>5</v>
      </c>
      <c r="AT44" s="1">
        <f>SUMIF('Input 4_2020CUST-YTD'!$S:$S,$G44,'Input 4_2020CUST-YTD'!K:K)</f>
        <v>5</v>
      </c>
      <c r="AU44" s="1">
        <f>SUMIF('Input 4_2020CUST-YTD'!$S:$S,$G44,'Input 4_2020CUST-YTD'!L:L)</f>
        <v>5</v>
      </c>
      <c r="AV44" s="1">
        <f>SUMIF('Input 4_2020CUST-YTD'!$S:$S,$G44,'Input 4_2020CUST-YTD'!M:M)</f>
        <v>5</v>
      </c>
      <c r="AW44" s="1">
        <f>SUMIF('Input 4_2020CUST-YTD'!$S:$S,$G44,'Input 4_2020CUST-YTD'!N:N)</f>
        <v>6</v>
      </c>
      <c r="AX44" s="1">
        <f>SUMIF('Input 5_2021CUST-YTD'!$S:$S,$G44,'Input 5_2021CUST-YTD'!C:C)</f>
        <v>6</v>
      </c>
      <c r="AY44" s="1">
        <f>SUMIF('Input 5_2021CUST-YTD'!$S:$S,$G44,'Input 5_2021CUST-YTD'!D:D)</f>
        <v>6</v>
      </c>
      <c r="AZ44" s="1">
        <f>SUMIF('Input 5_2021CUST-YTD'!$S:$S,$G44,'Input 5_2021CUST-YTD'!E:E)</f>
        <v>6</v>
      </c>
      <c r="BA44" s="1">
        <f>SUMIF('Input 5_2021CUST-YTD'!$S:$S,$G44,'Input 5_2021CUST-YTD'!F:F)</f>
        <v>6</v>
      </c>
      <c r="BB44" s="1">
        <f>SUMIF('Input 5_2021CUST-YTD'!$S:$S,$G44,'Input 5_2021CUST-YTD'!G:G)</f>
        <v>6</v>
      </c>
      <c r="BC44" s="1">
        <f>SUMIF('Input 5_2021CUST-YTD'!$S:$S,$G44,'Input 5_2021CUST-YTD'!H:H)</f>
        <v>6</v>
      </c>
      <c r="BD44" s="1">
        <f>SUMIF('Input 5_2021CUST-YTD'!$S:$S,$G44,'Input 5_2021CUST-YTD'!I:I)</f>
        <v>6</v>
      </c>
      <c r="BE44" s="1">
        <f>SUMIF('Input 5_2021CUST-YTD'!$S:$S,$G44,'Input 5_2021CUST-YTD'!J:J)</f>
        <v>5</v>
      </c>
      <c r="BF44" s="1">
        <f>SUMIF('Input 5_2021CUST-YTD'!$S:$S,$G44,'Input 5_2021CUST-YTD'!K:K)</f>
        <v>5</v>
      </c>
      <c r="BG44" s="1">
        <f>SUMIF('Input 5_2021CUST-YTD'!$S:$S,$G44,'Input 5_2021CUST-YTD'!L:L)</f>
        <v>5</v>
      </c>
      <c r="BH44" s="1">
        <f>SUMIF('Input 5_2021CUST-YTD'!$S:$S,$G44,'Input 5_2021CUST-YTD'!M:M)</f>
        <v>5</v>
      </c>
      <c r="BI44" s="1">
        <f>SUMIF('Input 5_2021CUST-YTD'!$S:$S,$G44,'Input 5_2021CUST-YTD'!N:N)</f>
        <v>5</v>
      </c>
      <c r="BJ44" s="190">
        <f t="shared" si="32"/>
        <v>6.3445650626042003</v>
      </c>
      <c r="BK44" s="190">
        <f t="shared" si="33"/>
        <v>6.3445650626042003</v>
      </c>
      <c r="BL44" s="190">
        <f t="shared" si="34"/>
        <v>6.3445650626042003</v>
      </c>
      <c r="BM44" s="190">
        <f t="shared" si="35"/>
        <v>6.3445650626042003</v>
      </c>
      <c r="BN44" s="190">
        <f t="shared" si="36"/>
        <v>6.3445650626042003</v>
      </c>
      <c r="BO44" s="190">
        <f t="shared" si="37"/>
        <v>6.3445650626042003</v>
      </c>
      <c r="BP44" s="190">
        <f t="shared" si="38"/>
        <v>6.3445650626042003</v>
      </c>
      <c r="BQ44" s="190">
        <f t="shared" si="39"/>
        <v>5.2871375521701669</v>
      </c>
      <c r="BR44" s="190">
        <f t="shared" si="40"/>
        <v>5.2871375521701669</v>
      </c>
      <c r="BS44" s="190">
        <f t="shared" si="41"/>
        <v>5.2871375521701669</v>
      </c>
      <c r="BT44" s="190">
        <f t="shared" si="42"/>
        <v>5.2871375521701669</v>
      </c>
      <c r="BU44" s="190">
        <f t="shared" si="43"/>
        <v>5.2871375521701669</v>
      </c>
      <c r="BV44" s="190">
        <f t="shared" si="44"/>
        <v>6.708917638936307</v>
      </c>
      <c r="BW44" s="190">
        <f t="shared" si="45"/>
        <v>6.708917638936307</v>
      </c>
      <c r="BX44" s="190">
        <f t="shared" si="46"/>
        <v>6.708917638936307</v>
      </c>
      <c r="BY44" s="190">
        <f t="shared" si="47"/>
        <v>6.708917638936307</v>
      </c>
      <c r="BZ44" s="190">
        <f t="shared" si="48"/>
        <v>6.708917638936307</v>
      </c>
      <c r="CA44" s="190">
        <f t="shared" si="49"/>
        <v>6.708917638936307</v>
      </c>
      <c r="CB44" s="190">
        <f t="shared" si="50"/>
        <v>6.708917638936307</v>
      </c>
      <c r="CC44" s="190">
        <f t="shared" si="51"/>
        <v>5.5907646991135884</v>
      </c>
      <c r="CD44" s="190">
        <f t="shared" si="52"/>
        <v>5.5907646991135884</v>
      </c>
      <c r="CE44" s="190">
        <f t="shared" si="53"/>
        <v>5.5907646991135884</v>
      </c>
      <c r="CF44" s="190">
        <f t="shared" si="54"/>
        <v>5.5907646991135884</v>
      </c>
      <c r="CG44" s="190">
        <f t="shared" si="55"/>
        <v>5.5907646991135884</v>
      </c>
      <c r="CH44" s="264"/>
      <c r="CI44" s="264">
        <f t="shared" si="1"/>
        <v>52</v>
      </c>
      <c r="CJ44" s="264">
        <f t="shared" si="2"/>
        <v>63</v>
      </c>
      <c r="CK44" s="264">
        <f t="shared" si="3"/>
        <v>67</v>
      </c>
      <c r="CL44" s="264">
        <f t="shared" si="4"/>
        <v>67</v>
      </c>
      <c r="CM44" s="264">
        <f t="shared" si="5"/>
        <v>70.847643199080224</v>
      </c>
      <c r="CN44" s="264">
        <f t="shared" si="6"/>
        <v>74.91624696812211</v>
      </c>
      <c r="CP44" s="574">
        <f>SUMIF('Master '!D:D,D44,'Master '!AB:AB)</f>
        <v>70.847643199080238</v>
      </c>
      <c r="CQ44" s="574">
        <f>SUMIF('Master '!D:D,D44,'Master '!AC:AC)</f>
        <v>74.916246968122095</v>
      </c>
      <c r="CR44" s="264">
        <f t="shared" si="56"/>
        <v>0</v>
      </c>
      <c r="CS44" s="264">
        <f t="shared" si="56"/>
        <v>0</v>
      </c>
    </row>
    <row r="45" spans="1:97" s="261" customFormat="1">
      <c r="A45" s="55" t="s">
        <v>17</v>
      </c>
      <c r="B45" s="55" t="s">
        <v>993</v>
      </c>
      <c r="C45" s="55" t="s">
        <v>8</v>
      </c>
      <c r="D45" s="55" t="s">
        <v>1254</v>
      </c>
      <c r="E45" s="55" t="str">
        <f>VLOOKUP(D45,'Input 14_Ref Table'!C:D,2,FALSE)</f>
        <v>CR825</v>
      </c>
      <c r="F45" s="172" t="s">
        <v>1286</v>
      </c>
      <c r="G45" s="55" t="str">
        <f>VLOOKUP(D45,'Input 14_Ref Table'!C:I,7,FALSE)</f>
        <v>CFG - FTS-2.1 R</v>
      </c>
      <c r="H45" s="55" t="str">
        <f>VLOOKUP(D45,'Input 14_Ref Table'!C:K,8,FALSE)</f>
        <v>FTS_2.1</v>
      </c>
      <c r="I45" s="55"/>
      <c r="J45" s="261" t="str">
        <f>INDEX('Master '!$AD$2:AD$65,MATCH(D45,'Master '!$D$2:$D$65,0))</f>
        <v>UPC Growth Rate</v>
      </c>
      <c r="K45" s="567">
        <f>INDEX('Master '!$N$2:N$65,MATCH(D45,'Master '!$D$2:$D$65,0))</f>
        <v>-2.0400907354704373E-2</v>
      </c>
      <c r="L45" s="290">
        <f>INDEX('Master '!$S$2:S$65,MATCH(D45,'Master '!$D$2:$D$65,0))</f>
        <v>-4.2673976859106559E-2</v>
      </c>
      <c r="M45" s="1">
        <f>INDEX('Master '!$W$2:W$65,MATCH(D45,'Master '!$D$2:$D$65,0))</f>
        <v>871.59467421763247</v>
      </c>
      <c r="N45" s="55">
        <f>SUMIF('Input 16_2018CUST-YTD'!$S:$S,$G45,'Input 16_2018CUST-YTD'!C:C)</f>
        <v>516</v>
      </c>
      <c r="O45" s="55">
        <f>SUMIF('Input 16_2018CUST-YTD'!$S:$S,$G45,'Input 16_2018CUST-YTD'!D:D)</f>
        <v>515</v>
      </c>
      <c r="P45" s="55">
        <f>SUMIF('Input 16_2018CUST-YTD'!$S:$S,$G45,'Input 16_2018CUST-YTD'!E:E)</f>
        <v>512</v>
      </c>
      <c r="Q45" s="55">
        <f>SUMIF('Input 16_2018CUST-YTD'!$S:$S,$G45,'Input 16_2018CUST-YTD'!F:F)</f>
        <v>488</v>
      </c>
      <c r="R45" s="55">
        <f>SUMIF('Input 16_2018CUST-YTD'!$S:$S,$G45,'Input 16_2018CUST-YTD'!G:G)</f>
        <v>481</v>
      </c>
      <c r="S45" s="55">
        <f>SUMIF('Input 16_2018CUST-YTD'!$S:$S,$G45,'Input 16_2018CUST-YTD'!H:H)</f>
        <v>482</v>
      </c>
      <c r="T45" s="55">
        <f>SUMIF('Input 16_2018CUST-YTD'!$S:$S,$G45,'Input 16_2018CUST-YTD'!I:I)</f>
        <v>485</v>
      </c>
      <c r="U45" s="55">
        <f>SUMIF('Input 16_2018CUST-YTD'!$S:$S,$G45,'Input 16_2018CUST-YTD'!J:J)</f>
        <v>482</v>
      </c>
      <c r="V45" s="55">
        <f>SUMIF('Input 16_2018CUST-YTD'!$S:$S,$G45,'Input 16_2018CUST-YTD'!K:K)</f>
        <v>484</v>
      </c>
      <c r="W45" s="55">
        <f>SUMIF('Input 16_2018CUST-YTD'!$S:$S,$G45,'Input 16_2018CUST-YTD'!L:L)</f>
        <v>483</v>
      </c>
      <c r="X45" s="55">
        <f>SUMIF('Input 16_2018CUST-YTD'!$S:$S,$G45,'Input 16_2018CUST-YTD'!M:M)</f>
        <v>484</v>
      </c>
      <c r="Y45" s="55">
        <f>SUMIF('Input 16_2018CUST-YTD'!$S:$S,$G45,'Input 16_2018CUST-YTD'!N:N)</f>
        <v>484</v>
      </c>
      <c r="Z45" s="1">
        <f>SUMIF('Input 3_2019CUST-YTD'!$S:$S,$G45,'Input 3_2019CUST-YTD'!C:C)</f>
        <v>482</v>
      </c>
      <c r="AA45" s="1">
        <f>SUMIF('Input 3_2019CUST-YTD'!$S:$S,$G45,'Input 3_2019CUST-YTD'!D:D)</f>
        <v>480</v>
      </c>
      <c r="AB45" s="1">
        <f>SUMIF('Input 3_2019CUST-YTD'!$S:$S,$G45,'Input 3_2019CUST-YTD'!E:E)</f>
        <v>482</v>
      </c>
      <c r="AC45" s="1">
        <f>SUMIF('Input 3_2019CUST-YTD'!$S:$S,$G45,'Input 3_2019CUST-YTD'!F:F)</f>
        <v>481</v>
      </c>
      <c r="AD45" s="1">
        <f>SUMIF('Input 3_2019CUST-YTD'!$S:$S,$G45,'Input 3_2019CUST-YTD'!G:G)</f>
        <v>484</v>
      </c>
      <c r="AE45" s="1">
        <f>SUMIF('Input 3_2019CUST-YTD'!$S:$S,$G45,'Input 3_2019CUST-YTD'!H:H)</f>
        <v>481</v>
      </c>
      <c r="AF45" s="1">
        <f>SUMIF('Input 3_2019CUST-YTD'!$S:$S,$G45,'Input 3_2019CUST-YTD'!I:I)</f>
        <v>489</v>
      </c>
      <c r="AG45" s="1">
        <f>SUMIF('Input 3_2019CUST-YTD'!$S:$S,$G45,'Input 3_2019CUST-YTD'!J:J)</f>
        <v>483</v>
      </c>
      <c r="AH45" s="1">
        <f>SUMIF('Input 3_2019CUST-YTD'!$S:$S,$G45,'Input 3_2019CUST-YTD'!K:K)</f>
        <v>483</v>
      </c>
      <c r="AI45" s="1">
        <f>SUMIF('Input 3_2019CUST-YTD'!$S:$S,$G45,'Input 3_2019CUST-YTD'!L:L)</f>
        <v>483</v>
      </c>
      <c r="AJ45" s="1">
        <f>SUMIF('Input 3_2019CUST-YTD'!$S:$S,$G45,'Input 3_2019CUST-YTD'!M:M)</f>
        <v>482</v>
      </c>
      <c r="AK45" s="1">
        <f>SUMIF('Input 3_2019CUST-YTD'!$S:$S,$G45,'Input 3_2019CUST-YTD'!N:N)</f>
        <v>479</v>
      </c>
      <c r="AL45" s="1">
        <f>SUMIF('Input 4_2020CUST-YTD'!$S:$S,$G45,'Input 4_2020CUST-YTD'!C:C)</f>
        <v>479</v>
      </c>
      <c r="AM45" s="1">
        <f>SUMIF('Input 4_2020CUST-YTD'!$S:$S,$G45,'Input 4_2020CUST-YTD'!D:D)</f>
        <v>485</v>
      </c>
      <c r="AN45" s="1">
        <f>SUMIF('Input 4_2020CUST-YTD'!$S:$S,$G45,'Input 4_2020CUST-YTD'!E:E)</f>
        <v>480</v>
      </c>
      <c r="AO45" s="1">
        <f>SUMIF('Input 4_2020CUST-YTD'!$S:$S,$G45,'Input 4_2020CUST-YTD'!F:F)</f>
        <v>479</v>
      </c>
      <c r="AP45" s="1">
        <f>SUMIF('Input 4_2020CUST-YTD'!$S:$S,$G45,'Input 4_2020CUST-YTD'!G:G)</f>
        <v>475</v>
      </c>
      <c r="AQ45" s="1">
        <f>SUMIF('Input 4_2020CUST-YTD'!$S:$S,$G45,'Input 4_2020CUST-YTD'!H:H)</f>
        <v>479</v>
      </c>
      <c r="AR45" s="1">
        <f>SUMIF('Input 4_2020CUST-YTD'!$S:$S,$G45,'Input 4_2020CUST-YTD'!I:I)</f>
        <v>480</v>
      </c>
      <c r="AS45" s="1">
        <f>SUMIF('Input 4_2020CUST-YTD'!$S:$S,$G45,'Input 4_2020CUST-YTD'!J:J)</f>
        <v>480</v>
      </c>
      <c r="AT45" s="1">
        <f>SUMIF('Input 4_2020CUST-YTD'!$S:$S,$G45,'Input 4_2020CUST-YTD'!K:K)</f>
        <v>482</v>
      </c>
      <c r="AU45" s="1">
        <f>SUMIF('Input 4_2020CUST-YTD'!$S:$S,$G45,'Input 4_2020CUST-YTD'!L:L)</f>
        <v>482</v>
      </c>
      <c r="AV45" s="1">
        <f>SUMIF('Input 4_2020CUST-YTD'!$S:$S,$G45,'Input 4_2020CUST-YTD'!M:M)</f>
        <v>482</v>
      </c>
      <c r="AW45" s="1">
        <f>SUMIF('Input 4_2020CUST-YTD'!$S:$S,$G45,'Input 4_2020CUST-YTD'!N:N)</f>
        <v>481</v>
      </c>
      <c r="AX45" s="1">
        <f>SUMIF('Input 5_2021CUST-YTD'!$S:$S,$G45,'Input 5_2021CUST-YTD'!C:C)</f>
        <v>482</v>
      </c>
      <c r="AY45" s="1">
        <f>SUMIF('Input 5_2021CUST-YTD'!$S:$S,$G45,'Input 5_2021CUST-YTD'!D:D)</f>
        <v>486</v>
      </c>
      <c r="AZ45" s="1">
        <f>SUMIF('Input 5_2021CUST-YTD'!$S:$S,$G45,'Input 5_2021CUST-YTD'!E:E)</f>
        <v>483</v>
      </c>
      <c r="BA45" s="1">
        <f>SUMIF('Input 5_2021CUST-YTD'!$S:$S,$G45,'Input 5_2021CUST-YTD'!F:F)</f>
        <v>481</v>
      </c>
      <c r="BB45" s="1">
        <f>SUMIF('Input 5_2021CUST-YTD'!$S:$S,$G45,'Input 5_2021CUST-YTD'!G:G)</f>
        <v>483</v>
      </c>
      <c r="BC45" s="1">
        <f>SUMIF('Input 5_2021CUST-YTD'!$S:$S,$G45,'Input 5_2021CUST-YTD'!H:H)</f>
        <v>479</v>
      </c>
      <c r="BD45" s="1">
        <f>SUMIF('Input 5_2021CUST-YTD'!$S:$S,$G45,'Input 5_2021CUST-YTD'!I:I)</f>
        <v>478</v>
      </c>
      <c r="BE45" s="1">
        <f>SUMIF('Input 5_2021CUST-YTD'!$S:$S,$G45,'Input 5_2021CUST-YTD'!J:J)</f>
        <v>476</v>
      </c>
      <c r="BF45" s="1">
        <f>SUMIF('Input 5_2021CUST-YTD'!$S:$S,$G45,'Input 5_2021CUST-YTD'!K:K)</f>
        <v>480</v>
      </c>
      <c r="BG45" s="1">
        <f>SUMIF('Input 5_2021CUST-YTD'!$S:$S,$G45,'Input 5_2021CUST-YTD'!L:L)</f>
        <v>481</v>
      </c>
      <c r="BH45" s="1">
        <f>SUMIF('Input 5_2021CUST-YTD'!$S:$S,$G45,'Input 5_2021CUST-YTD'!M:M)</f>
        <v>482</v>
      </c>
      <c r="BI45" s="1">
        <f>SUMIF('Input 5_2021CUST-YTD'!$S:$S,$G45,'Input 5_2021CUST-YTD'!N:N)</f>
        <v>481</v>
      </c>
      <c r="BJ45" s="190">
        <f t="shared" si="32"/>
        <v>472.16676265503253</v>
      </c>
      <c r="BK45" s="190">
        <f t="shared" si="33"/>
        <v>476.08515902561368</v>
      </c>
      <c r="BL45" s="190">
        <f t="shared" si="34"/>
        <v>473.14636174767782</v>
      </c>
      <c r="BM45" s="190">
        <f t="shared" si="35"/>
        <v>471.18716356238718</v>
      </c>
      <c r="BN45" s="190">
        <f t="shared" si="36"/>
        <v>473.14636174767782</v>
      </c>
      <c r="BO45" s="190">
        <f t="shared" si="37"/>
        <v>469.22796537709661</v>
      </c>
      <c r="BP45" s="190">
        <f t="shared" si="38"/>
        <v>468.24836628445132</v>
      </c>
      <c r="BQ45" s="190">
        <f t="shared" si="39"/>
        <v>466.28916809916075</v>
      </c>
      <c r="BR45" s="190">
        <f t="shared" si="40"/>
        <v>470.2075644697419</v>
      </c>
      <c r="BS45" s="190">
        <f t="shared" si="41"/>
        <v>471.18716356238718</v>
      </c>
      <c r="BT45" s="190">
        <f t="shared" si="42"/>
        <v>472.16676265503253</v>
      </c>
      <c r="BU45" s="190">
        <f t="shared" si="43"/>
        <v>471.18716356238718</v>
      </c>
      <c r="BV45" s="190">
        <f t="shared" si="44"/>
        <v>462.53413227413654</v>
      </c>
      <c r="BW45" s="190">
        <f t="shared" si="45"/>
        <v>466.37258980338243</v>
      </c>
      <c r="BX45" s="190">
        <f t="shared" si="46"/>
        <v>463.49374665644802</v>
      </c>
      <c r="BY45" s="190">
        <f t="shared" si="47"/>
        <v>461.574517891825</v>
      </c>
      <c r="BZ45" s="190">
        <f t="shared" si="48"/>
        <v>463.49374665644802</v>
      </c>
      <c r="CA45" s="190">
        <f t="shared" si="49"/>
        <v>459.65528912720202</v>
      </c>
      <c r="CB45" s="190">
        <f t="shared" si="50"/>
        <v>458.69567474489054</v>
      </c>
      <c r="CC45" s="190">
        <f t="shared" si="51"/>
        <v>456.77644598026762</v>
      </c>
      <c r="CD45" s="190">
        <f t="shared" si="52"/>
        <v>460.61490350951351</v>
      </c>
      <c r="CE45" s="190">
        <f t="shared" si="53"/>
        <v>461.574517891825</v>
      </c>
      <c r="CF45" s="190">
        <f t="shared" si="54"/>
        <v>462.53413227413654</v>
      </c>
      <c r="CG45" s="190">
        <f t="shared" si="55"/>
        <v>461.574517891825</v>
      </c>
      <c r="CH45" s="264"/>
      <c r="CI45" s="264">
        <f t="shared" si="1"/>
        <v>5896</v>
      </c>
      <c r="CJ45" s="264">
        <f t="shared" si="2"/>
        <v>5789</v>
      </c>
      <c r="CK45" s="264">
        <f t="shared" si="3"/>
        <v>5764</v>
      </c>
      <c r="CL45" s="264">
        <f t="shared" si="4"/>
        <v>5772</v>
      </c>
      <c r="CM45" s="264">
        <f t="shared" si="5"/>
        <v>5654.2459627486469</v>
      </c>
      <c r="CN45" s="264">
        <f t="shared" si="6"/>
        <v>5538.8942147019006</v>
      </c>
      <c r="CP45" s="574">
        <f>SUMIF('Master '!D:D,D45,'Master '!AB:AB)</f>
        <v>5654.2459627486469</v>
      </c>
      <c r="CQ45" s="574">
        <f>SUMIF('Master '!D:D,D45,'Master '!AC:AC)</f>
        <v>5538.8942147019006</v>
      </c>
      <c r="CR45" s="264">
        <f t="shared" si="56"/>
        <v>0</v>
      </c>
      <c r="CS45" s="264">
        <f t="shared" si="56"/>
        <v>0</v>
      </c>
    </row>
    <row r="46" spans="1:97" s="261" customFormat="1">
      <c r="A46" s="55" t="s">
        <v>17</v>
      </c>
      <c r="B46" s="55" t="s">
        <v>993</v>
      </c>
      <c r="C46" s="55" t="s">
        <v>8</v>
      </c>
      <c r="D46" s="55" t="s">
        <v>1255</v>
      </c>
      <c r="E46" s="55" t="str">
        <f>VLOOKUP(D46,'Input 14_Ref Table'!C:D,2,FALSE)</f>
        <v>CR827</v>
      </c>
      <c r="F46" s="172" t="s">
        <v>1287</v>
      </c>
      <c r="G46" s="55" t="str">
        <f>VLOOKUP(D46,'Input 14_Ref Table'!C:I,7,FALSE)</f>
        <v>CFG - FTS-2.1 - Fixed R</v>
      </c>
      <c r="H46" s="55" t="str">
        <f>VLOOKUP(D46,'Input 14_Ref Table'!C:K,8,FALSE)</f>
        <v>FTS_2.1</v>
      </c>
      <c r="I46" s="55"/>
      <c r="J46" s="261" t="str">
        <f>INDEX('Master '!$AD$2:AD$65,MATCH(D46,'Master '!$D$2:$D$65,0))</f>
        <v>UPC Growth Rate</v>
      </c>
      <c r="K46" s="567">
        <f>INDEX('Master '!$N$2:N$65,MATCH(D46,'Master '!$D$2:$D$65,0))</f>
        <v>-2.0400907354704373E-2</v>
      </c>
      <c r="L46" s="290">
        <f>INDEX('Master '!$S$2:S$65,MATCH(D46,'Master '!$D$2:$D$65,0))</f>
        <v>-4.2673976859106559E-2</v>
      </c>
      <c r="M46" s="1">
        <f>INDEX('Master '!$W$2:W$65,MATCH(D46,'Master '!$D$2:$D$65,0))</f>
        <v>871.59467421763247</v>
      </c>
      <c r="N46" s="55">
        <f>SUMIF('Input 16_2018CUST-YTD'!$S:$S,$G46,'Input 16_2018CUST-YTD'!C:C)</f>
        <v>8</v>
      </c>
      <c r="O46" s="55">
        <f>SUMIF('Input 16_2018CUST-YTD'!$S:$S,$G46,'Input 16_2018CUST-YTD'!D:D)</f>
        <v>8</v>
      </c>
      <c r="P46" s="55">
        <f>SUMIF('Input 16_2018CUST-YTD'!$S:$S,$G46,'Input 16_2018CUST-YTD'!E:E)</f>
        <v>8</v>
      </c>
      <c r="Q46" s="55">
        <f>SUMIF('Input 16_2018CUST-YTD'!$S:$S,$G46,'Input 16_2018CUST-YTD'!F:F)</f>
        <v>9</v>
      </c>
      <c r="R46" s="55">
        <f>SUMIF('Input 16_2018CUST-YTD'!$S:$S,$G46,'Input 16_2018CUST-YTD'!G:G)</f>
        <v>9</v>
      </c>
      <c r="S46" s="55">
        <f>SUMIF('Input 16_2018CUST-YTD'!$S:$S,$G46,'Input 16_2018CUST-YTD'!H:H)</f>
        <v>9</v>
      </c>
      <c r="T46" s="55">
        <f>SUMIF('Input 16_2018CUST-YTD'!$S:$S,$G46,'Input 16_2018CUST-YTD'!I:I)</f>
        <v>9</v>
      </c>
      <c r="U46" s="55">
        <f>SUMIF('Input 16_2018CUST-YTD'!$S:$S,$G46,'Input 16_2018CUST-YTD'!J:J)</f>
        <v>9</v>
      </c>
      <c r="V46" s="55">
        <f>SUMIF('Input 16_2018CUST-YTD'!$S:$S,$G46,'Input 16_2018CUST-YTD'!K:K)</f>
        <v>9</v>
      </c>
      <c r="W46" s="55">
        <f>SUMIF('Input 16_2018CUST-YTD'!$S:$S,$G46,'Input 16_2018CUST-YTD'!L:L)</f>
        <v>10</v>
      </c>
      <c r="X46" s="55">
        <f>SUMIF('Input 16_2018CUST-YTD'!$S:$S,$G46,'Input 16_2018CUST-YTD'!M:M)</f>
        <v>9</v>
      </c>
      <c r="Y46" s="55">
        <f>SUMIF('Input 16_2018CUST-YTD'!$S:$S,$G46,'Input 16_2018CUST-YTD'!N:N)</f>
        <v>9</v>
      </c>
      <c r="Z46" s="1">
        <f>SUMIF('Input 3_2019CUST-YTD'!$S:$S,$G46,'Input 3_2019CUST-YTD'!C:C)</f>
        <v>9</v>
      </c>
      <c r="AA46" s="1">
        <f>SUMIF('Input 3_2019CUST-YTD'!$S:$S,$G46,'Input 3_2019CUST-YTD'!D:D)</f>
        <v>9</v>
      </c>
      <c r="AB46" s="1">
        <f>SUMIF('Input 3_2019CUST-YTD'!$S:$S,$G46,'Input 3_2019CUST-YTD'!E:E)</f>
        <v>9</v>
      </c>
      <c r="AC46" s="1">
        <f>SUMIF('Input 3_2019CUST-YTD'!$S:$S,$G46,'Input 3_2019CUST-YTD'!F:F)</f>
        <v>9</v>
      </c>
      <c r="AD46" s="1">
        <f>SUMIF('Input 3_2019CUST-YTD'!$S:$S,$G46,'Input 3_2019CUST-YTD'!G:G)</f>
        <v>9</v>
      </c>
      <c r="AE46" s="1">
        <f>SUMIF('Input 3_2019CUST-YTD'!$S:$S,$G46,'Input 3_2019CUST-YTD'!H:H)</f>
        <v>9</v>
      </c>
      <c r="AF46" s="1">
        <f>SUMIF('Input 3_2019CUST-YTD'!$S:$S,$G46,'Input 3_2019CUST-YTD'!I:I)</f>
        <v>9</v>
      </c>
      <c r="AG46" s="1">
        <f>SUMIF('Input 3_2019CUST-YTD'!$S:$S,$G46,'Input 3_2019CUST-YTD'!J:J)</f>
        <v>9</v>
      </c>
      <c r="AH46" s="1">
        <f>SUMIF('Input 3_2019CUST-YTD'!$S:$S,$G46,'Input 3_2019CUST-YTD'!K:K)</f>
        <v>10</v>
      </c>
      <c r="AI46" s="1">
        <f>SUMIF('Input 3_2019CUST-YTD'!$S:$S,$G46,'Input 3_2019CUST-YTD'!L:L)</f>
        <v>8</v>
      </c>
      <c r="AJ46" s="1">
        <f>SUMIF('Input 3_2019CUST-YTD'!$S:$S,$G46,'Input 3_2019CUST-YTD'!M:M)</f>
        <v>8</v>
      </c>
      <c r="AK46" s="1">
        <f>SUMIF('Input 3_2019CUST-YTD'!$S:$S,$G46,'Input 3_2019CUST-YTD'!N:N)</f>
        <v>8</v>
      </c>
      <c r="AL46" s="1">
        <f>SUMIF('Input 4_2020CUST-YTD'!$S:$S,$G46,'Input 4_2020CUST-YTD'!C:C)</f>
        <v>8</v>
      </c>
      <c r="AM46" s="1">
        <f>SUMIF('Input 4_2020CUST-YTD'!$S:$S,$G46,'Input 4_2020CUST-YTD'!D:D)</f>
        <v>8</v>
      </c>
      <c r="AN46" s="1">
        <f>SUMIF('Input 4_2020CUST-YTD'!$S:$S,$G46,'Input 4_2020CUST-YTD'!E:E)</f>
        <v>8</v>
      </c>
      <c r="AO46" s="1">
        <f>SUMIF('Input 4_2020CUST-YTD'!$S:$S,$G46,'Input 4_2020CUST-YTD'!F:F)</f>
        <v>8</v>
      </c>
      <c r="AP46" s="1">
        <f>SUMIF('Input 4_2020CUST-YTD'!$S:$S,$G46,'Input 4_2020CUST-YTD'!G:G)</f>
        <v>8</v>
      </c>
      <c r="AQ46" s="1">
        <f>SUMIF('Input 4_2020CUST-YTD'!$S:$S,$G46,'Input 4_2020CUST-YTD'!H:H)</f>
        <v>8</v>
      </c>
      <c r="AR46" s="1">
        <f>SUMIF('Input 4_2020CUST-YTD'!$S:$S,$G46,'Input 4_2020CUST-YTD'!I:I)</f>
        <v>8</v>
      </c>
      <c r="AS46" s="1">
        <f>SUMIF('Input 4_2020CUST-YTD'!$S:$S,$G46,'Input 4_2020CUST-YTD'!J:J)</f>
        <v>8</v>
      </c>
      <c r="AT46" s="1">
        <f>SUMIF('Input 4_2020CUST-YTD'!$S:$S,$G46,'Input 4_2020CUST-YTD'!K:K)</f>
        <v>8</v>
      </c>
      <c r="AU46" s="1">
        <f>SUMIF('Input 4_2020CUST-YTD'!$S:$S,$G46,'Input 4_2020CUST-YTD'!L:L)</f>
        <v>8</v>
      </c>
      <c r="AV46" s="1">
        <f>SUMIF('Input 4_2020CUST-YTD'!$S:$S,$G46,'Input 4_2020CUST-YTD'!M:M)</f>
        <v>8</v>
      </c>
      <c r="AW46" s="1">
        <f>SUMIF('Input 4_2020CUST-YTD'!$S:$S,$G46,'Input 4_2020CUST-YTD'!N:N)</f>
        <v>8</v>
      </c>
      <c r="AX46" s="1">
        <f>SUMIF('Input 5_2021CUST-YTD'!$S:$S,$G46,'Input 5_2021CUST-YTD'!C:C)</f>
        <v>7</v>
      </c>
      <c r="AY46" s="1">
        <f>SUMIF('Input 5_2021CUST-YTD'!$S:$S,$G46,'Input 5_2021CUST-YTD'!D:D)</f>
        <v>8</v>
      </c>
      <c r="AZ46" s="1">
        <f>SUMIF('Input 5_2021CUST-YTD'!$S:$S,$G46,'Input 5_2021CUST-YTD'!E:E)</f>
        <v>7</v>
      </c>
      <c r="BA46" s="1">
        <f>SUMIF('Input 5_2021CUST-YTD'!$S:$S,$G46,'Input 5_2021CUST-YTD'!F:F)</f>
        <v>7</v>
      </c>
      <c r="BB46" s="1">
        <f>SUMIF('Input 5_2021CUST-YTD'!$S:$S,$G46,'Input 5_2021CUST-YTD'!G:G)</f>
        <v>7</v>
      </c>
      <c r="BC46" s="1">
        <f>SUMIF('Input 5_2021CUST-YTD'!$S:$S,$G46,'Input 5_2021CUST-YTD'!H:H)</f>
        <v>7</v>
      </c>
      <c r="BD46" s="1">
        <f>SUMIF('Input 5_2021CUST-YTD'!$S:$S,$G46,'Input 5_2021CUST-YTD'!I:I)</f>
        <v>7</v>
      </c>
      <c r="BE46" s="1">
        <f>SUMIF('Input 5_2021CUST-YTD'!$S:$S,$G46,'Input 5_2021CUST-YTD'!J:J)</f>
        <v>7</v>
      </c>
      <c r="BF46" s="1">
        <f>SUMIF('Input 5_2021CUST-YTD'!$S:$S,$G46,'Input 5_2021CUST-YTD'!K:K)</f>
        <v>7</v>
      </c>
      <c r="BG46" s="1">
        <f>SUMIF('Input 5_2021CUST-YTD'!$S:$S,$G46,'Input 5_2021CUST-YTD'!L:L)</f>
        <v>7</v>
      </c>
      <c r="BH46" s="1">
        <f>SUMIF('Input 5_2021CUST-YTD'!$S:$S,$G46,'Input 5_2021CUST-YTD'!M:M)</f>
        <v>7</v>
      </c>
      <c r="BI46" s="1">
        <f>SUMIF('Input 5_2021CUST-YTD'!$S:$S,$G46,'Input 5_2021CUST-YTD'!N:N)</f>
        <v>7</v>
      </c>
      <c r="BJ46" s="190">
        <f t="shared" si="32"/>
        <v>6.8571936485170699</v>
      </c>
      <c r="BK46" s="190">
        <f t="shared" si="33"/>
        <v>7.8367927411623652</v>
      </c>
      <c r="BL46" s="190">
        <f t="shared" si="34"/>
        <v>6.8571936485170699</v>
      </c>
      <c r="BM46" s="190">
        <f t="shared" si="35"/>
        <v>6.8571936485170699</v>
      </c>
      <c r="BN46" s="190">
        <f t="shared" si="36"/>
        <v>6.8571936485170699</v>
      </c>
      <c r="BO46" s="190">
        <f t="shared" si="37"/>
        <v>6.8571936485170699</v>
      </c>
      <c r="BP46" s="190">
        <f t="shared" si="38"/>
        <v>6.8571936485170699</v>
      </c>
      <c r="BQ46" s="190">
        <f t="shared" si="39"/>
        <v>6.8571936485170699</v>
      </c>
      <c r="BR46" s="190">
        <f t="shared" si="40"/>
        <v>6.8571936485170699</v>
      </c>
      <c r="BS46" s="190">
        <f t="shared" si="41"/>
        <v>6.8571936485170699</v>
      </c>
      <c r="BT46" s="190">
        <f t="shared" si="42"/>
        <v>6.8571936485170699</v>
      </c>
      <c r="BU46" s="190">
        <f t="shared" si="43"/>
        <v>6.8571936485170699</v>
      </c>
      <c r="BV46" s="190">
        <f t="shared" si="44"/>
        <v>6.7173006761804057</v>
      </c>
      <c r="BW46" s="190">
        <f t="shared" si="45"/>
        <v>7.6769150584918924</v>
      </c>
      <c r="BX46" s="190">
        <f t="shared" si="46"/>
        <v>6.7173006761804057</v>
      </c>
      <c r="BY46" s="190">
        <f t="shared" si="47"/>
        <v>6.7173006761804057</v>
      </c>
      <c r="BZ46" s="190">
        <f t="shared" si="48"/>
        <v>6.7173006761804057</v>
      </c>
      <c r="CA46" s="190">
        <f t="shared" si="49"/>
        <v>6.7173006761804057</v>
      </c>
      <c r="CB46" s="190">
        <f t="shared" si="50"/>
        <v>6.7173006761804057</v>
      </c>
      <c r="CC46" s="190">
        <f t="shared" si="51"/>
        <v>6.7173006761804057</v>
      </c>
      <c r="CD46" s="190">
        <f t="shared" si="52"/>
        <v>6.7173006761804057</v>
      </c>
      <c r="CE46" s="190">
        <f t="shared" si="53"/>
        <v>6.7173006761804057</v>
      </c>
      <c r="CF46" s="190">
        <f t="shared" si="54"/>
        <v>6.7173006761804057</v>
      </c>
      <c r="CG46" s="190">
        <f t="shared" si="55"/>
        <v>6.7173006761804057</v>
      </c>
      <c r="CH46" s="264"/>
      <c r="CI46" s="264">
        <f t="shared" si="1"/>
        <v>106</v>
      </c>
      <c r="CJ46" s="264">
        <f t="shared" si="2"/>
        <v>106</v>
      </c>
      <c r="CK46" s="264">
        <f t="shared" si="3"/>
        <v>96</v>
      </c>
      <c r="CL46" s="264">
        <f t="shared" si="4"/>
        <v>85</v>
      </c>
      <c r="CM46" s="264">
        <f t="shared" si="5"/>
        <v>83.265922874850119</v>
      </c>
      <c r="CN46" s="264">
        <f t="shared" si="6"/>
        <v>81.567222496476347</v>
      </c>
      <c r="CP46" s="574">
        <f>SUMIF('Master '!D:D,D46,'Master '!AB:AB)</f>
        <v>83.265922874850133</v>
      </c>
      <c r="CQ46" s="574">
        <f>SUMIF('Master '!D:D,D46,'Master '!AC:AC)</f>
        <v>81.567222496476361</v>
      </c>
      <c r="CR46" s="264">
        <f t="shared" si="56"/>
        <v>0</v>
      </c>
      <c r="CS46" s="264">
        <f t="shared" si="56"/>
        <v>0</v>
      </c>
    </row>
    <row r="47" spans="1:97" s="261" customFormat="1">
      <c r="A47" s="55" t="s">
        <v>17</v>
      </c>
      <c r="B47" s="55" t="s">
        <v>993</v>
      </c>
      <c r="C47" s="55" t="s">
        <v>1245</v>
      </c>
      <c r="D47" s="55" t="s">
        <v>1256</v>
      </c>
      <c r="E47" s="55" t="str">
        <f>VLOOKUP(D47,'Input 14_Ref Table'!C:D,2,FALSE)</f>
        <v>CC816</v>
      </c>
      <c r="F47" s="172" t="s">
        <v>1286</v>
      </c>
      <c r="G47" s="55" t="str">
        <f>VLOOKUP(D47,'Input 14_Ref Table'!C:I,7,FALSE)</f>
        <v>CFG - FTS-2.1 NR</v>
      </c>
      <c r="H47" s="55" t="str">
        <f>VLOOKUP(D47,'Input 14_Ref Table'!C:K,8,FALSE)</f>
        <v>FTS2.1</v>
      </c>
      <c r="I47" s="55"/>
      <c r="J47" s="261" t="str">
        <f>INDEX('Master '!$AD$2:AD$65,MATCH(D47,'Master '!$D$2:$D$65,0))</f>
        <v>UPC Growth Rate</v>
      </c>
      <c r="K47" s="567">
        <f>INDEX('Master '!$N$2:N$65,MATCH(D47,'Master '!$D$2:$D$65,0))</f>
        <v>2.748906551832106E-2</v>
      </c>
      <c r="L47" s="290">
        <f>INDEX('Master '!$S$2:S$65,MATCH(D47,'Master '!$D$2:$D$65,0))</f>
        <v>-1.8059022170019087E-2</v>
      </c>
      <c r="M47" s="1">
        <f>INDEX('Master '!$W$2:W$65,MATCH(D47,'Master '!$D$2:$D$65,0))</f>
        <v>1672</v>
      </c>
      <c r="N47" s="55">
        <f>SUMIF('Input 16_2018CUST-YTD'!$S:$S,$G47,'Input 16_2018CUST-YTD'!C:C)</f>
        <v>201</v>
      </c>
      <c r="O47" s="55">
        <f>SUMIF('Input 16_2018CUST-YTD'!$S:$S,$G47,'Input 16_2018CUST-YTD'!D:D)</f>
        <v>201</v>
      </c>
      <c r="P47" s="55">
        <f>SUMIF('Input 16_2018CUST-YTD'!$S:$S,$G47,'Input 16_2018CUST-YTD'!E:E)</f>
        <v>201</v>
      </c>
      <c r="Q47" s="55">
        <f>SUMIF('Input 16_2018CUST-YTD'!$S:$S,$G47,'Input 16_2018CUST-YTD'!F:F)</f>
        <v>194</v>
      </c>
      <c r="R47" s="55">
        <f>SUMIF('Input 16_2018CUST-YTD'!$S:$S,$G47,'Input 16_2018CUST-YTD'!G:G)</f>
        <v>197</v>
      </c>
      <c r="S47" s="55">
        <f>SUMIF('Input 16_2018CUST-YTD'!$S:$S,$G47,'Input 16_2018CUST-YTD'!H:H)</f>
        <v>195</v>
      </c>
      <c r="T47" s="55">
        <f>SUMIF('Input 16_2018CUST-YTD'!$S:$S,$G47,'Input 16_2018CUST-YTD'!I:I)</f>
        <v>194</v>
      </c>
      <c r="U47" s="55">
        <f>SUMIF('Input 16_2018CUST-YTD'!$S:$S,$G47,'Input 16_2018CUST-YTD'!J:J)</f>
        <v>197</v>
      </c>
      <c r="V47" s="55">
        <f>SUMIF('Input 16_2018CUST-YTD'!$S:$S,$G47,'Input 16_2018CUST-YTD'!K:K)</f>
        <v>197</v>
      </c>
      <c r="W47" s="55">
        <f>SUMIF('Input 16_2018CUST-YTD'!$S:$S,$G47,'Input 16_2018CUST-YTD'!L:L)</f>
        <v>195</v>
      </c>
      <c r="X47" s="55">
        <f>SUMIF('Input 16_2018CUST-YTD'!$S:$S,$G47,'Input 16_2018CUST-YTD'!M:M)</f>
        <v>197</v>
      </c>
      <c r="Y47" s="55">
        <f>SUMIF('Input 16_2018CUST-YTD'!$S:$S,$G47,'Input 16_2018CUST-YTD'!N:N)</f>
        <v>216</v>
      </c>
      <c r="Z47" s="1">
        <f>SUMIF('Input 3_2019CUST-YTD'!$S:$S,$G47,'Input 3_2019CUST-YTD'!C:C)</f>
        <v>194</v>
      </c>
      <c r="AA47" s="1">
        <f>SUMIF('Input 3_2019CUST-YTD'!$S:$S,$G47,'Input 3_2019CUST-YTD'!D:D)</f>
        <v>196</v>
      </c>
      <c r="AB47" s="1">
        <f>SUMIF('Input 3_2019CUST-YTD'!$S:$S,$G47,'Input 3_2019CUST-YTD'!E:E)</f>
        <v>200</v>
      </c>
      <c r="AC47" s="1">
        <f>SUMIF('Input 3_2019CUST-YTD'!$S:$S,$G47,'Input 3_2019CUST-YTD'!F:F)</f>
        <v>198</v>
      </c>
      <c r="AD47" s="1">
        <f>SUMIF('Input 3_2019CUST-YTD'!$S:$S,$G47,'Input 3_2019CUST-YTD'!G:G)</f>
        <v>199</v>
      </c>
      <c r="AE47" s="1">
        <f>SUMIF('Input 3_2019CUST-YTD'!$S:$S,$G47,'Input 3_2019CUST-YTD'!H:H)</f>
        <v>199</v>
      </c>
      <c r="AF47" s="1">
        <f>SUMIF('Input 3_2019CUST-YTD'!$S:$S,$G47,'Input 3_2019CUST-YTD'!I:I)</f>
        <v>201</v>
      </c>
      <c r="AG47" s="1">
        <f>SUMIF('Input 3_2019CUST-YTD'!$S:$S,$G47,'Input 3_2019CUST-YTD'!J:J)</f>
        <v>205</v>
      </c>
      <c r="AH47" s="1">
        <f>SUMIF('Input 3_2019CUST-YTD'!$S:$S,$G47,'Input 3_2019CUST-YTD'!K:K)</f>
        <v>203</v>
      </c>
      <c r="AI47" s="1">
        <f>SUMIF('Input 3_2019CUST-YTD'!$S:$S,$G47,'Input 3_2019CUST-YTD'!L:L)</f>
        <v>202</v>
      </c>
      <c r="AJ47" s="1">
        <f>SUMIF('Input 3_2019CUST-YTD'!$S:$S,$G47,'Input 3_2019CUST-YTD'!M:M)</f>
        <v>208</v>
      </c>
      <c r="AK47" s="1">
        <f>SUMIF('Input 3_2019CUST-YTD'!$S:$S,$G47,'Input 3_2019CUST-YTD'!N:N)</f>
        <v>210</v>
      </c>
      <c r="AL47" s="1">
        <f>SUMIF('Input 4_2020CUST-YTD'!$S:$S,$G47,'Input 4_2020CUST-YTD'!C:C)</f>
        <v>210</v>
      </c>
      <c r="AM47" s="1">
        <f>SUMIF('Input 4_2020CUST-YTD'!$S:$S,$G47,'Input 4_2020CUST-YTD'!D:D)</f>
        <v>210</v>
      </c>
      <c r="AN47" s="1">
        <f>SUMIF('Input 4_2020CUST-YTD'!$S:$S,$G47,'Input 4_2020CUST-YTD'!E:E)</f>
        <v>211</v>
      </c>
      <c r="AO47" s="1">
        <f>SUMIF('Input 4_2020CUST-YTD'!$S:$S,$G47,'Input 4_2020CUST-YTD'!F:F)</f>
        <v>212</v>
      </c>
      <c r="AP47" s="1">
        <f>SUMIF('Input 4_2020CUST-YTD'!$S:$S,$G47,'Input 4_2020CUST-YTD'!G:G)</f>
        <v>211</v>
      </c>
      <c r="AQ47" s="1">
        <f>SUMIF('Input 4_2020CUST-YTD'!$S:$S,$G47,'Input 4_2020CUST-YTD'!H:H)</f>
        <v>210</v>
      </c>
      <c r="AR47" s="1">
        <f>SUMIF('Input 4_2020CUST-YTD'!$S:$S,$G47,'Input 4_2020CUST-YTD'!I:I)</f>
        <v>209</v>
      </c>
      <c r="AS47" s="1">
        <f>SUMIF('Input 4_2020CUST-YTD'!$S:$S,$G47,'Input 4_2020CUST-YTD'!J:J)</f>
        <v>209</v>
      </c>
      <c r="AT47" s="1">
        <f>SUMIF('Input 4_2020CUST-YTD'!$S:$S,$G47,'Input 4_2020CUST-YTD'!K:K)</f>
        <v>208</v>
      </c>
      <c r="AU47" s="1">
        <f>SUMIF('Input 4_2020CUST-YTD'!$S:$S,$G47,'Input 4_2020CUST-YTD'!L:L)</f>
        <v>210</v>
      </c>
      <c r="AV47" s="1">
        <f>SUMIF('Input 4_2020CUST-YTD'!$S:$S,$G47,'Input 4_2020CUST-YTD'!M:M)</f>
        <v>215</v>
      </c>
      <c r="AW47" s="1">
        <f>SUMIF('Input 4_2020CUST-YTD'!$S:$S,$G47,'Input 4_2020CUST-YTD'!N:N)</f>
        <v>214</v>
      </c>
      <c r="AX47" s="1">
        <f>SUMIF('Input 5_2021CUST-YTD'!$S:$S,$G47,'Input 5_2021CUST-YTD'!C:C)</f>
        <v>215</v>
      </c>
      <c r="AY47" s="1">
        <f>SUMIF('Input 5_2021CUST-YTD'!$S:$S,$G47,'Input 5_2021CUST-YTD'!D:D)</f>
        <v>214</v>
      </c>
      <c r="AZ47" s="1">
        <f>SUMIF('Input 5_2021CUST-YTD'!$S:$S,$G47,'Input 5_2021CUST-YTD'!E:E)</f>
        <v>215</v>
      </c>
      <c r="BA47" s="1">
        <f>SUMIF('Input 5_2021CUST-YTD'!$S:$S,$G47,'Input 5_2021CUST-YTD'!F:F)</f>
        <v>217</v>
      </c>
      <c r="BB47" s="1">
        <f>SUMIF('Input 5_2021CUST-YTD'!$S:$S,$G47,'Input 5_2021CUST-YTD'!G:G)</f>
        <v>219</v>
      </c>
      <c r="BC47" s="1">
        <f>SUMIF('Input 5_2021CUST-YTD'!$S:$S,$G47,'Input 5_2021CUST-YTD'!H:H)</f>
        <v>220</v>
      </c>
      <c r="BD47" s="1">
        <f>SUMIF('Input 5_2021CUST-YTD'!$S:$S,$G47,'Input 5_2021CUST-YTD'!I:I)</f>
        <v>220</v>
      </c>
      <c r="BE47" s="1">
        <f>SUMIF('Input 5_2021CUST-YTD'!$S:$S,$G47,'Input 5_2021CUST-YTD'!J:J)</f>
        <v>221</v>
      </c>
      <c r="BF47" s="1">
        <f>SUMIF('Input 5_2021CUST-YTD'!$S:$S,$G47,'Input 5_2021CUST-YTD'!K:K)</f>
        <v>221</v>
      </c>
      <c r="BG47" s="1">
        <f>SUMIF('Input 5_2021CUST-YTD'!$S:$S,$G47,'Input 5_2021CUST-YTD'!L:L)</f>
        <v>223</v>
      </c>
      <c r="BH47" s="1">
        <f>SUMIF('Input 5_2021CUST-YTD'!$S:$S,$G47,'Input 5_2021CUST-YTD'!M:M)</f>
        <v>224</v>
      </c>
      <c r="BI47" s="1">
        <f>SUMIF('Input 5_2021CUST-YTD'!$S:$S,$G47,'Input 5_2021CUST-YTD'!N:N)</f>
        <v>223</v>
      </c>
      <c r="BJ47" s="190">
        <f t="shared" si="32"/>
        <v>220.91014908643902</v>
      </c>
      <c r="BK47" s="190">
        <f t="shared" si="33"/>
        <v>219.88266002092072</v>
      </c>
      <c r="BL47" s="190">
        <f t="shared" si="34"/>
        <v>220.91014908643902</v>
      </c>
      <c r="BM47" s="190">
        <f t="shared" si="35"/>
        <v>222.96512721747567</v>
      </c>
      <c r="BN47" s="190">
        <f t="shared" si="36"/>
        <v>225.02010534851232</v>
      </c>
      <c r="BO47" s="190">
        <f t="shared" si="37"/>
        <v>226.04759441403064</v>
      </c>
      <c r="BP47" s="190">
        <f t="shared" si="38"/>
        <v>226.04759441403064</v>
      </c>
      <c r="BQ47" s="190">
        <f t="shared" si="39"/>
        <v>227.07508347954897</v>
      </c>
      <c r="BR47" s="190">
        <f t="shared" si="40"/>
        <v>227.07508347954897</v>
      </c>
      <c r="BS47" s="190">
        <f t="shared" si="41"/>
        <v>229.13006161058561</v>
      </c>
      <c r="BT47" s="190">
        <f t="shared" si="42"/>
        <v>230.15755067610394</v>
      </c>
      <c r="BU47" s="190">
        <f t="shared" si="43"/>
        <v>229.13006161058561</v>
      </c>
      <c r="BV47" s="190">
        <f t="shared" si="44"/>
        <v>226.98276264833822</v>
      </c>
      <c r="BW47" s="190">
        <f t="shared" si="45"/>
        <v>225.92702886857853</v>
      </c>
      <c r="BX47" s="190">
        <f t="shared" si="46"/>
        <v>226.98276264833822</v>
      </c>
      <c r="BY47" s="190">
        <f t="shared" si="47"/>
        <v>229.09423020785766</v>
      </c>
      <c r="BZ47" s="190">
        <f t="shared" si="48"/>
        <v>231.20569776737707</v>
      </c>
      <c r="CA47" s="190">
        <f t="shared" si="49"/>
        <v>232.26143154713679</v>
      </c>
      <c r="CB47" s="190">
        <f t="shared" si="50"/>
        <v>232.26143154713679</v>
      </c>
      <c r="CC47" s="190">
        <f t="shared" si="51"/>
        <v>233.31716532689651</v>
      </c>
      <c r="CD47" s="190">
        <f t="shared" si="52"/>
        <v>233.31716532689651</v>
      </c>
      <c r="CE47" s="190">
        <f t="shared" si="53"/>
        <v>235.42863288641595</v>
      </c>
      <c r="CF47" s="190">
        <f t="shared" si="54"/>
        <v>236.48436666617567</v>
      </c>
      <c r="CG47" s="190">
        <f t="shared" si="55"/>
        <v>235.42863288641595</v>
      </c>
      <c r="CH47" s="264"/>
      <c r="CI47" s="264">
        <f t="shared" si="1"/>
        <v>2385</v>
      </c>
      <c r="CJ47" s="264">
        <f t="shared" si="2"/>
        <v>2415</v>
      </c>
      <c r="CK47" s="264">
        <f t="shared" si="3"/>
        <v>2529</v>
      </c>
      <c r="CL47" s="264">
        <f t="shared" si="4"/>
        <v>2632</v>
      </c>
      <c r="CM47" s="264">
        <f t="shared" si="5"/>
        <v>2704.3512204442213</v>
      </c>
      <c r="CN47" s="264">
        <f t="shared" si="6"/>
        <v>2778.6913083275635</v>
      </c>
      <c r="CP47" s="574">
        <f>SUMIF('Master '!D:D,D47,'Master '!AB:AB)</f>
        <v>2704.3512204442213</v>
      </c>
      <c r="CQ47" s="574">
        <f>SUMIF('Master '!D:D,D47,'Master '!AC:AC)</f>
        <v>2778.691308327564</v>
      </c>
      <c r="CR47" s="264">
        <f t="shared" si="56"/>
        <v>0</v>
      </c>
      <c r="CS47" s="264">
        <f t="shared" si="56"/>
        <v>0</v>
      </c>
    </row>
    <row r="48" spans="1:97" s="261" customFormat="1">
      <c r="A48" s="55" t="s">
        <v>17</v>
      </c>
      <c r="B48" s="55" t="s">
        <v>993</v>
      </c>
      <c r="C48" s="55" t="s">
        <v>1245</v>
      </c>
      <c r="D48" s="55" t="s">
        <v>1257</v>
      </c>
      <c r="E48" s="55" t="str">
        <f>VLOOKUP(D48,'Input 14_Ref Table'!C:D,2,FALSE)</f>
        <v>CC827</v>
      </c>
      <c r="F48" s="172" t="s">
        <v>1287</v>
      </c>
      <c r="G48" s="55" t="str">
        <f>VLOOKUP(D48,'Input 14_Ref Table'!C:I,7,FALSE)</f>
        <v>CFG - FTS-2.1 - Fixed NR</v>
      </c>
      <c r="H48" s="55" t="str">
        <f>VLOOKUP(D48,'Input 14_Ref Table'!C:K,8,FALSE)</f>
        <v>FTS2.1</v>
      </c>
      <c r="I48" s="55"/>
      <c r="J48" s="261" t="str">
        <f>INDEX('Master '!$AD$2:AD$65,MATCH(D48,'Master '!$D$2:$D$65,0))</f>
        <v>UPC Growth Rate</v>
      </c>
      <c r="K48" s="567">
        <f>INDEX('Master '!$N$2:N$65,MATCH(D48,'Master '!$D$2:$D$65,0))</f>
        <v>2.748906551832106E-2</v>
      </c>
      <c r="L48" s="290">
        <f>INDEX('Master '!$S$2:S$65,MATCH(D48,'Master '!$D$2:$D$65,0))</f>
        <v>-1.8059022170019087E-2</v>
      </c>
      <c r="M48" s="1">
        <f>INDEX('Master '!$W$2:W$65,MATCH(D48,'Master '!$D$2:$D$65,0))</f>
        <v>1672</v>
      </c>
      <c r="N48" s="55">
        <f>SUMIF('Input 16_2018CUST-YTD'!$S:$S,$G48,'Input 16_2018CUST-YTD'!C:C)</f>
        <v>10</v>
      </c>
      <c r="O48" s="55">
        <f>SUMIF('Input 16_2018CUST-YTD'!$S:$S,$G48,'Input 16_2018CUST-YTD'!D:D)</f>
        <v>10</v>
      </c>
      <c r="P48" s="55">
        <f>SUMIF('Input 16_2018CUST-YTD'!$S:$S,$G48,'Input 16_2018CUST-YTD'!E:E)</f>
        <v>10</v>
      </c>
      <c r="Q48" s="55">
        <f>SUMIF('Input 16_2018CUST-YTD'!$S:$S,$G48,'Input 16_2018CUST-YTD'!F:F)</f>
        <v>11</v>
      </c>
      <c r="R48" s="55">
        <f>SUMIF('Input 16_2018CUST-YTD'!$S:$S,$G48,'Input 16_2018CUST-YTD'!G:G)</f>
        <v>11</v>
      </c>
      <c r="S48" s="55">
        <f>SUMIF('Input 16_2018CUST-YTD'!$S:$S,$G48,'Input 16_2018CUST-YTD'!H:H)</f>
        <v>11</v>
      </c>
      <c r="T48" s="55">
        <f>SUMIF('Input 16_2018CUST-YTD'!$S:$S,$G48,'Input 16_2018CUST-YTD'!I:I)</f>
        <v>11</v>
      </c>
      <c r="U48" s="55">
        <f>SUMIF('Input 16_2018CUST-YTD'!$S:$S,$G48,'Input 16_2018CUST-YTD'!J:J)</f>
        <v>11</v>
      </c>
      <c r="V48" s="55">
        <f>SUMIF('Input 16_2018CUST-YTD'!$S:$S,$G48,'Input 16_2018CUST-YTD'!K:K)</f>
        <v>11</v>
      </c>
      <c r="W48" s="55">
        <f>SUMIF('Input 16_2018CUST-YTD'!$S:$S,$G48,'Input 16_2018CUST-YTD'!L:L)</f>
        <v>11</v>
      </c>
      <c r="X48" s="55">
        <f>SUMIF('Input 16_2018CUST-YTD'!$S:$S,$G48,'Input 16_2018CUST-YTD'!M:M)</f>
        <v>11</v>
      </c>
      <c r="Y48" s="55">
        <f>SUMIF('Input 16_2018CUST-YTD'!$S:$S,$G48,'Input 16_2018CUST-YTD'!N:N)</f>
        <v>11</v>
      </c>
      <c r="Z48" s="1">
        <f>SUMIF('Input 3_2019CUST-YTD'!$S:$S,$G48,'Input 3_2019CUST-YTD'!C:C)</f>
        <v>11</v>
      </c>
      <c r="AA48" s="1">
        <f>SUMIF('Input 3_2019CUST-YTD'!$S:$S,$G48,'Input 3_2019CUST-YTD'!D:D)</f>
        <v>11</v>
      </c>
      <c r="AB48" s="1">
        <f>SUMIF('Input 3_2019CUST-YTD'!$S:$S,$G48,'Input 3_2019CUST-YTD'!E:E)</f>
        <v>11</v>
      </c>
      <c r="AC48" s="1">
        <f>SUMIF('Input 3_2019CUST-YTD'!$S:$S,$G48,'Input 3_2019CUST-YTD'!F:F)</f>
        <v>11</v>
      </c>
      <c r="AD48" s="1">
        <f>SUMIF('Input 3_2019CUST-YTD'!$S:$S,$G48,'Input 3_2019CUST-YTD'!G:G)</f>
        <v>11</v>
      </c>
      <c r="AE48" s="1">
        <f>SUMIF('Input 3_2019CUST-YTD'!$S:$S,$G48,'Input 3_2019CUST-YTD'!H:H)</f>
        <v>11</v>
      </c>
      <c r="AF48" s="1">
        <f>SUMIF('Input 3_2019CUST-YTD'!$S:$S,$G48,'Input 3_2019CUST-YTD'!I:I)</f>
        <v>11</v>
      </c>
      <c r="AG48" s="1">
        <f>SUMIF('Input 3_2019CUST-YTD'!$S:$S,$G48,'Input 3_2019CUST-YTD'!J:J)</f>
        <v>11</v>
      </c>
      <c r="AH48" s="1">
        <f>SUMIF('Input 3_2019CUST-YTD'!$S:$S,$G48,'Input 3_2019CUST-YTD'!K:K)</f>
        <v>10</v>
      </c>
      <c r="AI48" s="1">
        <f>SUMIF('Input 3_2019CUST-YTD'!$S:$S,$G48,'Input 3_2019CUST-YTD'!L:L)</f>
        <v>10</v>
      </c>
      <c r="AJ48" s="1">
        <f>SUMIF('Input 3_2019CUST-YTD'!$S:$S,$G48,'Input 3_2019CUST-YTD'!M:M)</f>
        <v>10</v>
      </c>
      <c r="AK48" s="1">
        <f>SUMIF('Input 3_2019CUST-YTD'!$S:$S,$G48,'Input 3_2019CUST-YTD'!N:N)</f>
        <v>10</v>
      </c>
      <c r="AL48" s="1">
        <f>SUMIF('Input 4_2020CUST-YTD'!$S:$S,$G48,'Input 4_2020CUST-YTD'!C:C)</f>
        <v>10</v>
      </c>
      <c r="AM48" s="1">
        <f>SUMIF('Input 4_2020CUST-YTD'!$S:$S,$G48,'Input 4_2020CUST-YTD'!D:D)</f>
        <v>10</v>
      </c>
      <c r="AN48" s="1">
        <f>SUMIF('Input 4_2020CUST-YTD'!$S:$S,$G48,'Input 4_2020CUST-YTD'!E:E)</f>
        <v>10</v>
      </c>
      <c r="AO48" s="1">
        <f>SUMIF('Input 4_2020CUST-YTD'!$S:$S,$G48,'Input 4_2020CUST-YTD'!F:F)</f>
        <v>10</v>
      </c>
      <c r="AP48" s="1">
        <f>SUMIF('Input 4_2020CUST-YTD'!$S:$S,$G48,'Input 4_2020CUST-YTD'!G:G)</f>
        <v>10</v>
      </c>
      <c r="AQ48" s="1">
        <f>SUMIF('Input 4_2020CUST-YTD'!$S:$S,$G48,'Input 4_2020CUST-YTD'!H:H)</f>
        <v>10</v>
      </c>
      <c r="AR48" s="1">
        <f>SUMIF('Input 4_2020CUST-YTD'!$S:$S,$G48,'Input 4_2020CUST-YTD'!I:I)</f>
        <v>10</v>
      </c>
      <c r="AS48" s="1">
        <f>SUMIF('Input 4_2020CUST-YTD'!$S:$S,$G48,'Input 4_2020CUST-YTD'!J:J)</f>
        <v>10</v>
      </c>
      <c r="AT48" s="1">
        <f>SUMIF('Input 4_2020CUST-YTD'!$S:$S,$G48,'Input 4_2020CUST-YTD'!K:K)</f>
        <v>10</v>
      </c>
      <c r="AU48" s="1">
        <f>SUMIF('Input 4_2020CUST-YTD'!$S:$S,$G48,'Input 4_2020CUST-YTD'!L:L)</f>
        <v>9</v>
      </c>
      <c r="AV48" s="1">
        <f>SUMIF('Input 4_2020CUST-YTD'!$S:$S,$G48,'Input 4_2020CUST-YTD'!M:M)</f>
        <v>10</v>
      </c>
      <c r="AW48" s="1">
        <f>SUMIF('Input 4_2020CUST-YTD'!$S:$S,$G48,'Input 4_2020CUST-YTD'!N:N)</f>
        <v>10</v>
      </c>
      <c r="AX48" s="1">
        <f>SUMIF('Input 5_2021CUST-YTD'!$S:$S,$G48,'Input 5_2021CUST-YTD'!C:C)</f>
        <v>10</v>
      </c>
      <c r="AY48" s="1">
        <f>SUMIF('Input 5_2021CUST-YTD'!$S:$S,$G48,'Input 5_2021CUST-YTD'!D:D)</f>
        <v>10</v>
      </c>
      <c r="AZ48" s="1">
        <f>SUMIF('Input 5_2021CUST-YTD'!$S:$S,$G48,'Input 5_2021CUST-YTD'!E:E)</f>
        <v>11</v>
      </c>
      <c r="BA48" s="1">
        <f>SUMIF('Input 5_2021CUST-YTD'!$S:$S,$G48,'Input 5_2021CUST-YTD'!F:F)</f>
        <v>10</v>
      </c>
      <c r="BB48" s="1">
        <f>SUMIF('Input 5_2021CUST-YTD'!$S:$S,$G48,'Input 5_2021CUST-YTD'!G:G)</f>
        <v>10</v>
      </c>
      <c r="BC48" s="1">
        <f>SUMIF('Input 5_2021CUST-YTD'!$S:$S,$G48,'Input 5_2021CUST-YTD'!H:H)</f>
        <v>10</v>
      </c>
      <c r="BD48" s="1">
        <f>SUMIF('Input 5_2021CUST-YTD'!$S:$S,$G48,'Input 5_2021CUST-YTD'!I:I)</f>
        <v>10</v>
      </c>
      <c r="BE48" s="1">
        <f>SUMIF('Input 5_2021CUST-YTD'!$S:$S,$G48,'Input 5_2021CUST-YTD'!J:J)</f>
        <v>11</v>
      </c>
      <c r="BF48" s="1">
        <f>SUMIF('Input 5_2021CUST-YTD'!$S:$S,$G48,'Input 5_2021CUST-YTD'!K:K)</f>
        <v>10</v>
      </c>
      <c r="BG48" s="1">
        <f>SUMIF('Input 5_2021CUST-YTD'!$S:$S,$G48,'Input 5_2021CUST-YTD'!L:L)</f>
        <v>10</v>
      </c>
      <c r="BH48" s="1">
        <f>SUMIF('Input 5_2021CUST-YTD'!$S:$S,$G48,'Input 5_2021CUST-YTD'!M:M)</f>
        <v>10</v>
      </c>
      <c r="BI48" s="1">
        <f>SUMIF('Input 5_2021CUST-YTD'!$S:$S,$G48,'Input 5_2021CUST-YTD'!N:N)</f>
        <v>10</v>
      </c>
      <c r="BJ48" s="190">
        <f t="shared" si="32"/>
        <v>10.27489065518321</v>
      </c>
      <c r="BK48" s="190">
        <f t="shared" si="33"/>
        <v>10.27489065518321</v>
      </c>
      <c r="BL48" s="190">
        <f t="shared" si="34"/>
        <v>11.302379720701532</v>
      </c>
      <c r="BM48" s="190">
        <f t="shared" si="35"/>
        <v>10.27489065518321</v>
      </c>
      <c r="BN48" s="190">
        <f t="shared" si="36"/>
        <v>10.27489065518321</v>
      </c>
      <c r="BO48" s="190">
        <f t="shared" si="37"/>
        <v>10.27489065518321</v>
      </c>
      <c r="BP48" s="190">
        <f t="shared" si="38"/>
        <v>10.27489065518321</v>
      </c>
      <c r="BQ48" s="190">
        <f t="shared" si="39"/>
        <v>11.302379720701532</v>
      </c>
      <c r="BR48" s="190">
        <f t="shared" si="40"/>
        <v>10.27489065518321</v>
      </c>
      <c r="BS48" s="190">
        <f t="shared" si="41"/>
        <v>10.27489065518321</v>
      </c>
      <c r="BT48" s="190">
        <f t="shared" si="42"/>
        <v>10.27489065518321</v>
      </c>
      <c r="BU48" s="190">
        <f t="shared" si="43"/>
        <v>10.27489065518321</v>
      </c>
      <c r="BV48" s="190">
        <f t="shared" si="44"/>
        <v>10.557337797597127</v>
      </c>
      <c r="BW48" s="190">
        <f t="shared" si="45"/>
        <v>10.557337797597127</v>
      </c>
      <c r="BX48" s="190">
        <f t="shared" si="46"/>
        <v>11.613071577356841</v>
      </c>
      <c r="BY48" s="190">
        <f t="shared" si="47"/>
        <v>10.557337797597127</v>
      </c>
      <c r="BZ48" s="190">
        <f t="shared" si="48"/>
        <v>10.557337797597127</v>
      </c>
      <c r="CA48" s="190">
        <f t="shared" si="49"/>
        <v>10.557337797597127</v>
      </c>
      <c r="CB48" s="190">
        <f t="shared" si="50"/>
        <v>10.557337797597127</v>
      </c>
      <c r="CC48" s="190">
        <f t="shared" si="51"/>
        <v>11.613071577356841</v>
      </c>
      <c r="CD48" s="190">
        <f t="shared" si="52"/>
        <v>10.557337797597127</v>
      </c>
      <c r="CE48" s="190">
        <f t="shared" si="53"/>
        <v>10.557337797597127</v>
      </c>
      <c r="CF48" s="190">
        <f t="shared" si="54"/>
        <v>10.557337797597127</v>
      </c>
      <c r="CG48" s="190">
        <f t="shared" si="55"/>
        <v>10.557337797597127</v>
      </c>
      <c r="CH48" s="264"/>
      <c r="CI48" s="264">
        <f t="shared" si="1"/>
        <v>129</v>
      </c>
      <c r="CJ48" s="264">
        <f t="shared" si="2"/>
        <v>128</v>
      </c>
      <c r="CK48" s="264">
        <f t="shared" si="3"/>
        <v>119</v>
      </c>
      <c r="CL48" s="264">
        <f t="shared" si="4"/>
        <v>122</v>
      </c>
      <c r="CM48" s="264">
        <f t="shared" si="5"/>
        <v>125.3536659932352</v>
      </c>
      <c r="CN48" s="264">
        <f t="shared" si="6"/>
        <v>128.79952113068495</v>
      </c>
      <c r="CP48" s="574">
        <f>SUMIF('Master '!D:D,D48,'Master '!AB:AB)</f>
        <v>125.35366599323517</v>
      </c>
      <c r="CQ48" s="574">
        <f>SUMIF('Master '!D:D,D48,'Master '!AC:AC)</f>
        <v>128.79952113068495</v>
      </c>
      <c r="CR48" s="264">
        <f t="shared" si="56"/>
        <v>0</v>
      </c>
      <c r="CS48" s="264">
        <f t="shared" si="56"/>
        <v>0</v>
      </c>
    </row>
    <row r="49" spans="1:97" s="261" customFormat="1">
      <c r="A49" s="55" t="s">
        <v>17</v>
      </c>
      <c r="B49" s="55" t="s">
        <v>993</v>
      </c>
      <c r="C49" s="55" t="s">
        <v>8</v>
      </c>
      <c r="D49" s="55" t="s">
        <v>1291</v>
      </c>
      <c r="E49" s="55" t="str">
        <f>VLOOKUP(D49,'Input 14_Ref Table'!C:D,2,FALSE)</f>
        <v>CR245</v>
      </c>
      <c r="F49" s="172" t="s">
        <v>1286</v>
      </c>
      <c r="G49" s="55" t="str">
        <f>VLOOKUP(D49,'Input 14_Ref Table'!C:I,7,FALSE)</f>
        <v>CFG - FTS-3 R</v>
      </c>
      <c r="H49" s="55" t="str">
        <f>VLOOKUP(D49,'Input 14_Ref Table'!C:K,8,FALSE)</f>
        <v>FTS3</v>
      </c>
      <c r="I49" s="55"/>
      <c r="J49" s="261" t="str">
        <f>INDEX('Master '!$AD$2:AD$65,MATCH(D49,'Master '!$D$2:$D$65,0))</f>
        <v>UPC Growth Rate</v>
      </c>
      <c r="K49" s="567">
        <f>INDEX('Master '!$N$2:N$65,MATCH(D49,'Master '!$D$2:$D$65,0))</f>
        <v>2.6784283829125063E-2</v>
      </c>
      <c r="L49" s="290">
        <f>INDEX('Master '!$S$2:S$65,MATCH(D49,'Master '!$D$2:$D$65,0))</f>
        <v>1.22672019627513E-3</v>
      </c>
      <c r="M49" s="1">
        <f>INDEX('Master '!$W$2:W$65,MATCH(D49,'Master '!$D$2:$D$65,0))</f>
        <v>3591.2</v>
      </c>
      <c r="N49" s="55">
        <f>SUMIF('Input 16_2018CUST-YTD'!$S:$S,$G49,'Input 16_2018CUST-YTD'!C:C)</f>
        <v>13</v>
      </c>
      <c r="O49" s="55">
        <f>SUMIF('Input 16_2018CUST-YTD'!$S:$S,$G49,'Input 16_2018CUST-YTD'!D:D)</f>
        <v>13</v>
      </c>
      <c r="P49" s="55">
        <f>SUMIF('Input 16_2018CUST-YTD'!$S:$S,$G49,'Input 16_2018CUST-YTD'!E:E)</f>
        <v>13</v>
      </c>
      <c r="Q49" s="55">
        <f>SUMIF('Input 16_2018CUST-YTD'!$S:$S,$G49,'Input 16_2018CUST-YTD'!F:F)</f>
        <v>16</v>
      </c>
      <c r="R49" s="55">
        <f>SUMIF('Input 16_2018CUST-YTD'!$S:$S,$G49,'Input 16_2018CUST-YTD'!G:G)</f>
        <v>16</v>
      </c>
      <c r="S49" s="55">
        <f>SUMIF('Input 16_2018CUST-YTD'!$S:$S,$G49,'Input 16_2018CUST-YTD'!H:H)</f>
        <v>16</v>
      </c>
      <c r="T49" s="55">
        <f>SUMIF('Input 16_2018CUST-YTD'!$S:$S,$G49,'Input 16_2018CUST-YTD'!I:I)</f>
        <v>16</v>
      </c>
      <c r="U49" s="55">
        <f>SUMIF('Input 16_2018CUST-YTD'!$S:$S,$G49,'Input 16_2018CUST-YTD'!J:J)</f>
        <v>16</v>
      </c>
      <c r="V49" s="55">
        <f>SUMIF('Input 16_2018CUST-YTD'!$S:$S,$G49,'Input 16_2018CUST-YTD'!K:K)</f>
        <v>16</v>
      </c>
      <c r="W49" s="55">
        <f>SUMIF('Input 16_2018CUST-YTD'!$S:$S,$G49,'Input 16_2018CUST-YTD'!L:L)</f>
        <v>16</v>
      </c>
      <c r="X49" s="55">
        <f>SUMIF('Input 16_2018CUST-YTD'!$S:$S,$G49,'Input 16_2018CUST-YTD'!M:M)</f>
        <v>16</v>
      </c>
      <c r="Y49" s="55">
        <f>SUMIF('Input 16_2018CUST-YTD'!$S:$S,$G49,'Input 16_2018CUST-YTD'!N:N)</f>
        <v>16</v>
      </c>
      <c r="Z49" s="1">
        <f>SUMIF('Input 3_2019CUST-YTD'!$S:$S,$G49,'Input 3_2019CUST-YTD'!C:C)</f>
        <v>16</v>
      </c>
      <c r="AA49" s="1">
        <f>SUMIF('Input 3_2019CUST-YTD'!$S:$S,$G49,'Input 3_2019CUST-YTD'!D:D)</f>
        <v>16</v>
      </c>
      <c r="AB49" s="1">
        <f>SUMIF('Input 3_2019CUST-YTD'!$S:$S,$G49,'Input 3_2019CUST-YTD'!E:E)</f>
        <v>16</v>
      </c>
      <c r="AC49" s="1">
        <f>SUMIF('Input 3_2019CUST-YTD'!$S:$S,$G49,'Input 3_2019CUST-YTD'!F:F)</f>
        <v>16</v>
      </c>
      <c r="AD49" s="1">
        <f>SUMIF('Input 3_2019CUST-YTD'!$S:$S,$G49,'Input 3_2019CUST-YTD'!G:G)</f>
        <v>16</v>
      </c>
      <c r="AE49" s="1">
        <f>SUMIF('Input 3_2019CUST-YTD'!$S:$S,$G49,'Input 3_2019CUST-YTD'!H:H)</f>
        <v>16</v>
      </c>
      <c r="AF49" s="1">
        <f>SUMIF('Input 3_2019CUST-YTD'!$S:$S,$G49,'Input 3_2019CUST-YTD'!I:I)</f>
        <v>17</v>
      </c>
      <c r="AG49" s="1">
        <f>SUMIF('Input 3_2019CUST-YTD'!$S:$S,$G49,'Input 3_2019CUST-YTD'!J:J)</f>
        <v>16</v>
      </c>
      <c r="AH49" s="1">
        <f>SUMIF('Input 3_2019CUST-YTD'!$S:$S,$G49,'Input 3_2019CUST-YTD'!K:K)</f>
        <v>16</v>
      </c>
      <c r="AI49" s="1">
        <f>SUMIF('Input 3_2019CUST-YTD'!$S:$S,$G49,'Input 3_2019CUST-YTD'!L:L)</f>
        <v>16</v>
      </c>
      <c r="AJ49" s="1">
        <f>SUMIF('Input 3_2019CUST-YTD'!$S:$S,$G49,'Input 3_2019CUST-YTD'!M:M)</f>
        <v>16</v>
      </c>
      <c r="AK49" s="1">
        <f>SUMIF('Input 3_2019CUST-YTD'!$S:$S,$G49,'Input 3_2019CUST-YTD'!N:N)</f>
        <v>16</v>
      </c>
      <c r="AL49" s="1">
        <f>SUMIF('Input 4_2020CUST-YTD'!$S:$S,$G49,'Input 4_2020CUST-YTD'!C:C)</f>
        <v>16</v>
      </c>
      <c r="AM49" s="1">
        <f>SUMIF('Input 4_2020CUST-YTD'!$S:$S,$G49,'Input 4_2020CUST-YTD'!D:D)</f>
        <v>16</v>
      </c>
      <c r="AN49" s="1">
        <f>SUMIF('Input 4_2020CUST-YTD'!$S:$S,$G49,'Input 4_2020CUST-YTD'!E:E)</f>
        <v>16</v>
      </c>
      <c r="AO49" s="1">
        <f>SUMIF('Input 4_2020CUST-YTD'!$S:$S,$G49,'Input 4_2020CUST-YTD'!F:F)</f>
        <v>16</v>
      </c>
      <c r="AP49" s="1">
        <f>SUMIF('Input 4_2020CUST-YTD'!$S:$S,$G49,'Input 4_2020CUST-YTD'!G:G)</f>
        <v>17</v>
      </c>
      <c r="AQ49" s="1">
        <f>SUMIF('Input 4_2020CUST-YTD'!$S:$S,$G49,'Input 4_2020CUST-YTD'!H:H)</f>
        <v>16</v>
      </c>
      <c r="AR49" s="1">
        <f>SUMIF('Input 4_2020CUST-YTD'!$S:$S,$G49,'Input 4_2020CUST-YTD'!I:I)</f>
        <v>16</v>
      </c>
      <c r="AS49" s="1">
        <f>SUMIF('Input 4_2020CUST-YTD'!$S:$S,$G49,'Input 4_2020CUST-YTD'!J:J)</f>
        <v>16</v>
      </c>
      <c r="AT49" s="1">
        <f>SUMIF('Input 4_2020CUST-YTD'!$S:$S,$G49,'Input 4_2020CUST-YTD'!K:K)</f>
        <v>16</v>
      </c>
      <c r="AU49" s="1">
        <f>SUMIF('Input 4_2020CUST-YTD'!$S:$S,$G49,'Input 4_2020CUST-YTD'!L:L)</f>
        <v>16</v>
      </c>
      <c r="AV49" s="1">
        <f>SUMIF('Input 4_2020CUST-YTD'!$S:$S,$G49,'Input 4_2020CUST-YTD'!M:M)</f>
        <v>16</v>
      </c>
      <c r="AW49" s="1">
        <f>SUMIF('Input 4_2020CUST-YTD'!$S:$S,$G49,'Input 4_2020CUST-YTD'!N:N)</f>
        <v>17</v>
      </c>
      <c r="AX49" s="1">
        <f>SUMIF('Input 5_2021CUST-YTD'!$S:$S,$G49,'Input 5_2021CUST-YTD'!C:C)</f>
        <v>16</v>
      </c>
      <c r="AY49" s="1">
        <f>SUMIF('Input 5_2021CUST-YTD'!$S:$S,$G49,'Input 5_2021CUST-YTD'!D:D)</f>
        <v>16</v>
      </c>
      <c r="AZ49" s="1">
        <f>SUMIF('Input 5_2021CUST-YTD'!$S:$S,$G49,'Input 5_2021CUST-YTD'!E:E)</f>
        <v>16</v>
      </c>
      <c r="BA49" s="1">
        <f>SUMIF('Input 5_2021CUST-YTD'!$S:$S,$G49,'Input 5_2021CUST-YTD'!F:F)</f>
        <v>16</v>
      </c>
      <c r="BB49" s="1">
        <f>SUMIF('Input 5_2021CUST-YTD'!$S:$S,$G49,'Input 5_2021CUST-YTD'!G:G)</f>
        <v>17</v>
      </c>
      <c r="BC49" s="1">
        <f>SUMIF('Input 5_2021CUST-YTD'!$S:$S,$G49,'Input 5_2021CUST-YTD'!H:H)</f>
        <v>16</v>
      </c>
      <c r="BD49" s="1">
        <f>SUMIF('Input 5_2021CUST-YTD'!$S:$S,$G49,'Input 5_2021CUST-YTD'!I:I)</f>
        <v>16</v>
      </c>
      <c r="BE49" s="1">
        <f>SUMIF('Input 5_2021CUST-YTD'!$S:$S,$G49,'Input 5_2021CUST-YTD'!J:J)</f>
        <v>16</v>
      </c>
      <c r="BF49" s="1">
        <f>SUMIF('Input 5_2021CUST-YTD'!$S:$S,$G49,'Input 5_2021CUST-YTD'!K:K)</f>
        <v>16</v>
      </c>
      <c r="BG49" s="1">
        <f>SUMIF('Input 5_2021CUST-YTD'!$S:$S,$G49,'Input 5_2021CUST-YTD'!L:L)</f>
        <v>16</v>
      </c>
      <c r="BH49" s="1">
        <f>SUMIF('Input 5_2021CUST-YTD'!$S:$S,$G49,'Input 5_2021CUST-YTD'!M:M)</f>
        <v>15</v>
      </c>
      <c r="BI49" s="1">
        <f>SUMIF('Input 5_2021CUST-YTD'!$S:$S,$G49,'Input 5_2021CUST-YTD'!N:N)</f>
        <v>15</v>
      </c>
      <c r="BJ49" s="190">
        <f t="shared" si="32"/>
        <v>16.428548541266</v>
      </c>
      <c r="BK49" s="190">
        <f t="shared" si="33"/>
        <v>16.428548541266</v>
      </c>
      <c r="BL49" s="190">
        <f t="shared" si="34"/>
        <v>16.428548541266</v>
      </c>
      <c r="BM49" s="190">
        <f t="shared" si="35"/>
        <v>16.428548541266</v>
      </c>
      <c r="BN49" s="190">
        <f t="shared" si="36"/>
        <v>17.455332825095127</v>
      </c>
      <c r="BO49" s="190">
        <f t="shared" si="37"/>
        <v>16.428548541266</v>
      </c>
      <c r="BP49" s="190">
        <f t="shared" si="38"/>
        <v>16.428548541266</v>
      </c>
      <c r="BQ49" s="190">
        <f t="shared" si="39"/>
        <v>16.428548541266</v>
      </c>
      <c r="BR49" s="190">
        <f t="shared" si="40"/>
        <v>16.428548541266</v>
      </c>
      <c r="BS49" s="190">
        <f t="shared" si="41"/>
        <v>16.428548541266</v>
      </c>
      <c r="BT49" s="190">
        <f t="shared" si="42"/>
        <v>15.401764257436875</v>
      </c>
      <c r="BU49" s="190">
        <f t="shared" si="43"/>
        <v>15.401764257436875</v>
      </c>
      <c r="BV49" s="190">
        <f t="shared" si="44"/>
        <v>16.868575448295825</v>
      </c>
      <c r="BW49" s="190">
        <f t="shared" si="45"/>
        <v>16.868575448295825</v>
      </c>
      <c r="BX49" s="190">
        <f t="shared" si="46"/>
        <v>16.868575448295825</v>
      </c>
      <c r="BY49" s="190">
        <f t="shared" si="47"/>
        <v>16.868575448295825</v>
      </c>
      <c r="BZ49" s="190">
        <f t="shared" si="48"/>
        <v>17.922861413814317</v>
      </c>
      <c r="CA49" s="190">
        <f t="shared" si="49"/>
        <v>16.868575448295825</v>
      </c>
      <c r="CB49" s="190">
        <f t="shared" si="50"/>
        <v>16.868575448295825</v>
      </c>
      <c r="CC49" s="190">
        <f t="shared" si="51"/>
        <v>16.868575448295825</v>
      </c>
      <c r="CD49" s="190">
        <f t="shared" si="52"/>
        <v>16.868575448295825</v>
      </c>
      <c r="CE49" s="190">
        <f t="shared" si="53"/>
        <v>16.868575448295825</v>
      </c>
      <c r="CF49" s="190">
        <f t="shared" si="54"/>
        <v>15.814289482777337</v>
      </c>
      <c r="CG49" s="190">
        <f t="shared" si="55"/>
        <v>15.814289482777337</v>
      </c>
      <c r="CH49" s="264"/>
      <c r="CI49" s="264">
        <f t="shared" si="1"/>
        <v>183</v>
      </c>
      <c r="CJ49" s="264">
        <f t="shared" si="2"/>
        <v>193</v>
      </c>
      <c r="CK49" s="264">
        <f t="shared" si="3"/>
        <v>194</v>
      </c>
      <c r="CL49" s="264">
        <f t="shared" si="4"/>
        <v>191</v>
      </c>
      <c r="CM49" s="264">
        <f t="shared" si="5"/>
        <v>196.11579821136286</v>
      </c>
      <c r="CN49" s="264">
        <f t="shared" si="6"/>
        <v>201.36861941403137</v>
      </c>
      <c r="CP49" s="574">
        <f>SUMIF('Master '!D:D,D49,'Master '!AB:AB)</f>
        <v>196.11579821136289</v>
      </c>
      <c r="CQ49" s="574">
        <f>SUMIF('Master '!D:D,D49,'Master '!AC:AC)</f>
        <v>201.36861941403143</v>
      </c>
      <c r="CR49" s="264">
        <f t="shared" si="56"/>
        <v>0</v>
      </c>
      <c r="CS49" s="264">
        <f t="shared" si="56"/>
        <v>0</v>
      </c>
    </row>
    <row r="50" spans="1:97" s="261" customFormat="1">
      <c r="A50" s="55" t="s">
        <v>17</v>
      </c>
      <c r="B50" s="55" t="s">
        <v>993</v>
      </c>
      <c r="C50" s="55" t="s">
        <v>8</v>
      </c>
      <c r="D50" s="55" t="s">
        <v>1292</v>
      </c>
      <c r="E50" s="55" t="str">
        <f>VLOOKUP(D50,'Input 14_Ref Table'!C:D,2,FALSE)</f>
        <v>CR828</v>
      </c>
      <c r="F50" s="172" t="s">
        <v>1287</v>
      </c>
      <c r="G50" s="55" t="str">
        <f>VLOOKUP(D50,'Input 14_Ref Table'!C:I,7,FALSE)</f>
        <v>CFG - FTS-3 - Fixed R</v>
      </c>
      <c r="H50" s="55" t="str">
        <f>VLOOKUP(D50,'Input 14_Ref Table'!C:K,8,FALSE)</f>
        <v>FTS3</v>
      </c>
      <c r="I50" s="55"/>
      <c r="J50" s="261" t="str">
        <f>INDEX('Master '!$AD$2:AD$65,MATCH(D50,'Master '!$D$2:$D$65,0))</f>
        <v>UPC Growth Rate</v>
      </c>
      <c r="K50" s="567">
        <f>INDEX('Master '!$N$2:N$65,MATCH(D50,'Master '!$D$2:$D$65,0))</f>
        <v>2.6784283829125063E-2</v>
      </c>
      <c r="L50" s="290">
        <f>INDEX('Master '!$S$2:S$65,MATCH(D50,'Master '!$D$2:$D$65,0))</f>
        <v>1.22672019627513E-3</v>
      </c>
      <c r="M50" s="1">
        <f>INDEX('Master '!$W$2:W$65,MATCH(D50,'Master '!$D$2:$D$65,0))</f>
        <v>3591.2</v>
      </c>
      <c r="N50" s="55">
        <f>SUMIF('Input 16_2018CUST-YTD'!$S:$S,$G50,'Input 16_2018CUST-YTD'!C:C)</f>
        <v>0</v>
      </c>
      <c r="O50" s="55">
        <f>SUMIF('Input 16_2018CUST-YTD'!$S:$S,$G50,'Input 16_2018CUST-YTD'!D:D)</f>
        <v>0</v>
      </c>
      <c r="P50" s="55">
        <f>SUMIF('Input 16_2018CUST-YTD'!$S:$S,$G50,'Input 16_2018CUST-YTD'!E:E)</f>
        <v>0</v>
      </c>
      <c r="Q50" s="55">
        <f>SUMIF('Input 16_2018CUST-YTD'!$S:$S,$G50,'Input 16_2018CUST-YTD'!F:F)</f>
        <v>0</v>
      </c>
      <c r="R50" s="55">
        <f>SUMIF('Input 16_2018CUST-YTD'!$S:$S,$G50,'Input 16_2018CUST-YTD'!G:G)</f>
        <v>0</v>
      </c>
      <c r="S50" s="55">
        <f>SUMIF('Input 16_2018CUST-YTD'!$S:$S,$G50,'Input 16_2018CUST-YTD'!H:H)</f>
        <v>0</v>
      </c>
      <c r="T50" s="55">
        <f>SUMIF('Input 16_2018CUST-YTD'!$S:$S,$G50,'Input 16_2018CUST-YTD'!I:I)</f>
        <v>0</v>
      </c>
      <c r="U50" s="55">
        <f>SUMIF('Input 16_2018CUST-YTD'!$S:$S,$G50,'Input 16_2018CUST-YTD'!J:J)</f>
        <v>0</v>
      </c>
      <c r="V50" s="55">
        <f>SUMIF('Input 16_2018CUST-YTD'!$S:$S,$G50,'Input 16_2018CUST-YTD'!K:K)</f>
        <v>0</v>
      </c>
      <c r="W50" s="55">
        <f>SUMIF('Input 16_2018CUST-YTD'!$S:$S,$G50,'Input 16_2018CUST-YTD'!L:L)</f>
        <v>0</v>
      </c>
      <c r="X50" s="55">
        <f>SUMIF('Input 16_2018CUST-YTD'!$S:$S,$G50,'Input 16_2018CUST-YTD'!M:M)</f>
        <v>0</v>
      </c>
      <c r="Y50" s="55">
        <f>SUMIF('Input 16_2018CUST-YTD'!$S:$S,$G50,'Input 16_2018CUST-YTD'!N:N)</f>
        <v>0</v>
      </c>
      <c r="Z50" s="1">
        <f>SUMIF('Input 3_2019CUST-YTD'!$S:$S,$G50,'Input 3_2019CUST-YTD'!C:C)</f>
        <v>0</v>
      </c>
      <c r="AA50" s="1">
        <f>SUMIF('Input 3_2019CUST-YTD'!$S:$S,$G50,'Input 3_2019CUST-YTD'!D:D)</f>
        <v>0</v>
      </c>
      <c r="AB50" s="1">
        <f>SUMIF('Input 3_2019CUST-YTD'!$S:$S,$G50,'Input 3_2019CUST-YTD'!E:E)</f>
        <v>0</v>
      </c>
      <c r="AC50" s="1">
        <f>SUMIF('Input 3_2019CUST-YTD'!$S:$S,$G50,'Input 3_2019CUST-YTD'!F:F)</f>
        <v>0</v>
      </c>
      <c r="AD50" s="1">
        <f>SUMIF('Input 3_2019CUST-YTD'!$S:$S,$G50,'Input 3_2019CUST-YTD'!G:G)</f>
        <v>0</v>
      </c>
      <c r="AE50" s="1">
        <f>SUMIF('Input 3_2019CUST-YTD'!$S:$S,$G50,'Input 3_2019CUST-YTD'!H:H)</f>
        <v>0</v>
      </c>
      <c r="AF50" s="1">
        <f>SUMIF('Input 3_2019CUST-YTD'!$S:$S,$G50,'Input 3_2019CUST-YTD'!I:I)</f>
        <v>0</v>
      </c>
      <c r="AG50" s="1">
        <f>SUMIF('Input 3_2019CUST-YTD'!$S:$S,$G50,'Input 3_2019CUST-YTD'!J:J)</f>
        <v>0</v>
      </c>
      <c r="AH50" s="1">
        <f>SUMIF('Input 3_2019CUST-YTD'!$S:$S,$G50,'Input 3_2019CUST-YTD'!K:K)</f>
        <v>0</v>
      </c>
      <c r="AI50" s="1">
        <f>SUMIF('Input 3_2019CUST-YTD'!$S:$S,$G50,'Input 3_2019CUST-YTD'!L:L)</f>
        <v>0</v>
      </c>
      <c r="AJ50" s="1">
        <f>SUMIF('Input 3_2019CUST-YTD'!$S:$S,$G50,'Input 3_2019CUST-YTD'!M:M)</f>
        <v>0</v>
      </c>
      <c r="AK50" s="1">
        <f>SUMIF('Input 3_2019CUST-YTD'!$S:$S,$G50,'Input 3_2019CUST-YTD'!N:N)</f>
        <v>0</v>
      </c>
      <c r="AL50" s="1">
        <f>SUMIF('Input 4_2020CUST-YTD'!$S:$S,$G50,'Input 4_2020CUST-YTD'!C:C)</f>
        <v>0</v>
      </c>
      <c r="AM50" s="1">
        <f>SUMIF('Input 4_2020CUST-YTD'!$S:$S,$G50,'Input 4_2020CUST-YTD'!D:D)</f>
        <v>0</v>
      </c>
      <c r="AN50" s="1">
        <f>SUMIF('Input 4_2020CUST-YTD'!$S:$S,$G50,'Input 4_2020CUST-YTD'!E:E)</f>
        <v>0</v>
      </c>
      <c r="AO50" s="1">
        <f>SUMIF('Input 4_2020CUST-YTD'!$S:$S,$G50,'Input 4_2020CUST-YTD'!F:F)</f>
        <v>0</v>
      </c>
      <c r="AP50" s="1">
        <f>SUMIF('Input 4_2020CUST-YTD'!$S:$S,$G50,'Input 4_2020CUST-YTD'!G:G)</f>
        <v>0</v>
      </c>
      <c r="AQ50" s="1">
        <f>SUMIF('Input 4_2020CUST-YTD'!$S:$S,$G50,'Input 4_2020CUST-YTD'!H:H)</f>
        <v>0</v>
      </c>
      <c r="AR50" s="1">
        <f>SUMIF('Input 4_2020CUST-YTD'!$S:$S,$G50,'Input 4_2020CUST-YTD'!I:I)</f>
        <v>0</v>
      </c>
      <c r="AS50" s="1">
        <f>SUMIF('Input 4_2020CUST-YTD'!$S:$S,$G50,'Input 4_2020CUST-YTD'!J:J)</f>
        <v>0</v>
      </c>
      <c r="AT50" s="1">
        <f>SUMIF('Input 4_2020CUST-YTD'!$S:$S,$G50,'Input 4_2020CUST-YTD'!K:K)</f>
        <v>0</v>
      </c>
      <c r="AU50" s="1">
        <f>SUMIF('Input 4_2020CUST-YTD'!$S:$S,$G50,'Input 4_2020CUST-YTD'!L:L)</f>
        <v>0</v>
      </c>
      <c r="AV50" s="1">
        <f>SUMIF('Input 4_2020CUST-YTD'!$S:$S,$G50,'Input 4_2020CUST-YTD'!M:M)</f>
        <v>0</v>
      </c>
      <c r="AW50" s="1">
        <f>SUMIF('Input 4_2020CUST-YTD'!$S:$S,$G50,'Input 4_2020CUST-YTD'!N:N)</f>
        <v>0</v>
      </c>
      <c r="AX50" s="1">
        <f>SUMIF('Input 5_2021CUST-YTD'!$S:$S,$G50,'Input 5_2021CUST-YTD'!C:C)</f>
        <v>0</v>
      </c>
      <c r="AY50" s="1">
        <f>SUMIF('Input 5_2021CUST-YTD'!$S:$S,$G50,'Input 5_2021CUST-YTD'!D:D)</f>
        <v>0</v>
      </c>
      <c r="AZ50" s="1">
        <f>SUMIF('Input 5_2021CUST-YTD'!$S:$S,$G50,'Input 5_2021CUST-YTD'!E:E)</f>
        <v>0</v>
      </c>
      <c r="BA50" s="1">
        <f>SUMIF('Input 5_2021CUST-YTD'!$S:$S,$G50,'Input 5_2021CUST-YTD'!F:F)</f>
        <v>0</v>
      </c>
      <c r="BB50" s="1">
        <f>SUMIF('Input 5_2021CUST-YTD'!$S:$S,$G50,'Input 5_2021CUST-YTD'!G:G)</f>
        <v>0</v>
      </c>
      <c r="BC50" s="1">
        <f>SUMIF('Input 5_2021CUST-YTD'!$S:$S,$G50,'Input 5_2021CUST-YTD'!H:H)</f>
        <v>0</v>
      </c>
      <c r="BD50" s="1">
        <f>SUMIF('Input 5_2021CUST-YTD'!$S:$S,$G50,'Input 5_2021CUST-YTD'!I:I)</f>
        <v>0</v>
      </c>
      <c r="BE50" s="1">
        <f>SUMIF('Input 5_2021CUST-YTD'!$S:$S,$G50,'Input 5_2021CUST-YTD'!J:J)</f>
        <v>0</v>
      </c>
      <c r="BF50" s="1">
        <f>SUMIF('Input 5_2021CUST-YTD'!$S:$S,$G50,'Input 5_2021CUST-YTD'!K:K)</f>
        <v>0</v>
      </c>
      <c r="BG50" s="1">
        <f>SUMIF('Input 5_2021CUST-YTD'!$S:$S,$G50,'Input 5_2021CUST-YTD'!L:L)</f>
        <v>0</v>
      </c>
      <c r="BH50" s="1">
        <f>SUMIF('Input 5_2021CUST-YTD'!$S:$S,$G50,'Input 5_2021CUST-YTD'!M:M)</f>
        <v>0</v>
      </c>
      <c r="BI50" s="1">
        <f>SUMIF('Input 5_2021CUST-YTD'!$S:$S,$G50,'Input 5_2021CUST-YTD'!N:N)</f>
        <v>0</v>
      </c>
      <c r="BJ50" s="190">
        <f t="shared" si="32"/>
        <v>0</v>
      </c>
      <c r="BK50" s="190">
        <f t="shared" si="33"/>
        <v>0</v>
      </c>
      <c r="BL50" s="190">
        <f t="shared" si="34"/>
        <v>0</v>
      </c>
      <c r="BM50" s="190">
        <f t="shared" si="35"/>
        <v>0</v>
      </c>
      <c r="BN50" s="190">
        <f t="shared" si="36"/>
        <v>0</v>
      </c>
      <c r="BO50" s="190">
        <f t="shared" si="37"/>
        <v>0</v>
      </c>
      <c r="BP50" s="190">
        <f t="shared" si="38"/>
        <v>0</v>
      </c>
      <c r="BQ50" s="190">
        <f t="shared" si="39"/>
        <v>0</v>
      </c>
      <c r="BR50" s="190">
        <f t="shared" si="40"/>
        <v>0</v>
      </c>
      <c r="BS50" s="190">
        <f t="shared" si="41"/>
        <v>0</v>
      </c>
      <c r="BT50" s="190">
        <f t="shared" si="42"/>
        <v>0</v>
      </c>
      <c r="BU50" s="190">
        <f t="shared" si="43"/>
        <v>0</v>
      </c>
      <c r="BV50" s="190">
        <f t="shared" si="44"/>
        <v>0</v>
      </c>
      <c r="BW50" s="190">
        <f t="shared" si="45"/>
        <v>0</v>
      </c>
      <c r="BX50" s="190">
        <f t="shared" si="46"/>
        <v>0</v>
      </c>
      <c r="BY50" s="190">
        <f t="shared" si="47"/>
        <v>0</v>
      </c>
      <c r="BZ50" s="190">
        <f t="shared" si="48"/>
        <v>0</v>
      </c>
      <c r="CA50" s="190">
        <f t="shared" si="49"/>
        <v>0</v>
      </c>
      <c r="CB50" s="190">
        <f t="shared" si="50"/>
        <v>0</v>
      </c>
      <c r="CC50" s="190">
        <f t="shared" si="51"/>
        <v>0</v>
      </c>
      <c r="CD50" s="190">
        <f t="shared" si="52"/>
        <v>0</v>
      </c>
      <c r="CE50" s="190">
        <f t="shared" si="53"/>
        <v>0</v>
      </c>
      <c r="CF50" s="190">
        <f t="shared" si="54"/>
        <v>0</v>
      </c>
      <c r="CG50" s="190">
        <f t="shared" si="55"/>
        <v>0</v>
      </c>
      <c r="CH50" s="264"/>
      <c r="CI50" s="264">
        <f t="shared" si="1"/>
        <v>0</v>
      </c>
      <c r="CJ50" s="264">
        <f t="shared" si="2"/>
        <v>0</v>
      </c>
      <c r="CK50" s="264">
        <f t="shared" si="3"/>
        <v>0</v>
      </c>
      <c r="CL50" s="264">
        <f t="shared" si="4"/>
        <v>0</v>
      </c>
      <c r="CM50" s="264">
        <f t="shared" si="5"/>
        <v>0</v>
      </c>
      <c r="CN50" s="264">
        <f t="shared" si="6"/>
        <v>0</v>
      </c>
      <c r="CP50" s="574">
        <f>SUMIF('Master '!D:D,D50,'Master '!AB:AB)</f>
        <v>0</v>
      </c>
      <c r="CQ50" s="574">
        <f>SUMIF('Master '!D:D,D50,'Master '!AC:AC)</f>
        <v>0</v>
      </c>
      <c r="CR50" s="264">
        <f t="shared" si="56"/>
        <v>0</v>
      </c>
      <c r="CS50" s="264">
        <f t="shared" si="56"/>
        <v>0</v>
      </c>
    </row>
    <row r="51" spans="1:97" s="261" customFormat="1">
      <c r="A51" s="55" t="s">
        <v>17</v>
      </c>
      <c r="B51" s="55" t="s">
        <v>993</v>
      </c>
      <c r="C51" s="55" t="s">
        <v>1245</v>
      </c>
      <c r="D51" s="55" t="s">
        <v>1299</v>
      </c>
      <c r="E51" s="55" t="str">
        <f>VLOOKUP(D51,'Input 14_Ref Table'!C:D,2,FALSE)</f>
        <v>CC245</v>
      </c>
      <c r="F51" s="172" t="s">
        <v>1286</v>
      </c>
      <c r="G51" s="55" t="str">
        <f>VLOOKUP(D51,'Input 14_Ref Table'!C:I,7,FALSE)</f>
        <v>CFG - FTS-3 NR</v>
      </c>
      <c r="H51" s="55" t="str">
        <f>VLOOKUP(D51,'Input 14_Ref Table'!C:K,8,FALSE)</f>
        <v>FTS3</v>
      </c>
      <c r="I51" s="55"/>
      <c r="J51" s="261" t="str">
        <f>INDEX('Master '!$AD$2:AD$65,MATCH(D51,'Master '!$D$2:$D$65,0))</f>
        <v>UPC Growth Rate</v>
      </c>
      <c r="K51" s="567">
        <f>INDEX('Master '!$N$2:N$65,MATCH(D51,'Master '!$D$2:$D$65,0))</f>
        <v>2.6784283829125063E-2</v>
      </c>
      <c r="L51" s="290">
        <f>INDEX('Master '!$S$2:S$65,MATCH(D51,'Master '!$D$2:$D$65,0))</f>
        <v>1.22672019627513E-3</v>
      </c>
      <c r="M51" s="1">
        <f>INDEX('Master '!$W$2:W$65,MATCH(D51,'Master '!$D$2:$D$65,0))</f>
        <v>3591.2</v>
      </c>
      <c r="N51" s="55">
        <f>SUMIF('Input 16_2018CUST-YTD'!$S:$S,$G51,'Input 16_2018CUST-YTD'!C:C)</f>
        <v>246</v>
      </c>
      <c r="O51" s="55">
        <f>SUMIF('Input 16_2018CUST-YTD'!$S:$S,$G51,'Input 16_2018CUST-YTD'!D:D)</f>
        <v>247</v>
      </c>
      <c r="P51" s="55">
        <f>SUMIF('Input 16_2018CUST-YTD'!$S:$S,$G51,'Input 16_2018CUST-YTD'!E:E)</f>
        <v>249</v>
      </c>
      <c r="Q51" s="55">
        <f>SUMIF('Input 16_2018CUST-YTD'!$S:$S,$G51,'Input 16_2018CUST-YTD'!F:F)</f>
        <v>255</v>
      </c>
      <c r="R51" s="55">
        <f>SUMIF('Input 16_2018CUST-YTD'!$S:$S,$G51,'Input 16_2018CUST-YTD'!G:G)</f>
        <v>257</v>
      </c>
      <c r="S51" s="55">
        <f>SUMIF('Input 16_2018CUST-YTD'!$S:$S,$G51,'Input 16_2018CUST-YTD'!H:H)</f>
        <v>257</v>
      </c>
      <c r="T51" s="55">
        <f>SUMIF('Input 16_2018CUST-YTD'!$S:$S,$G51,'Input 16_2018CUST-YTD'!I:I)</f>
        <v>254</v>
      </c>
      <c r="U51" s="55">
        <f>SUMIF('Input 16_2018CUST-YTD'!$S:$S,$G51,'Input 16_2018CUST-YTD'!J:J)</f>
        <v>253</v>
      </c>
      <c r="V51" s="55">
        <f>SUMIF('Input 16_2018CUST-YTD'!$S:$S,$G51,'Input 16_2018CUST-YTD'!K:K)</f>
        <v>258</v>
      </c>
      <c r="W51" s="55">
        <f>SUMIF('Input 16_2018CUST-YTD'!$S:$S,$G51,'Input 16_2018CUST-YTD'!L:L)</f>
        <v>262</v>
      </c>
      <c r="X51" s="55">
        <f>SUMIF('Input 16_2018CUST-YTD'!$S:$S,$G51,'Input 16_2018CUST-YTD'!M:M)</f>
        <v>265</v>
      </c>
      <c r="Y51" s="55">
        <f>SUMIF('Input 16_2018CUST-YTD'!$S:$S,$G51,'Input 16_2018CUST-YTD'!N:N)</f>
        <v>292</v>
      </c>
      <c r="Z51" s="1">
        <f>SUMIF('Input 3_2019CUST-YTD'!$S:$S,$G51,'Input 3_2019CUST-YTD'!C:C)</f>
        <v>265</v>
      </c>
      <c r="AA51" s="1">
        <f>SUMIF('Input 3_2019CUST-YTD'!$S:$S,$G51,'Input 3_2019CUST-YTD'!D:D)</f>
        <v>267</v>
      </c>
      <c r="AB51" s="1">
        <f>SUMIF('Input 3_2019CUST-YTD'!$S:$S,$G51,'Input 3_2019CUST-YTD'!E:E)</f>
        <v>268</v>
      </c>
      <c r="AC51" s="1">
        <f>SUMIF('Input 3_2019CUST-YTD'!$S:$S,$G51,'Input 3_2019CUST-YTD'!F:F)</f>
        <v>272</v>
      </c>
      <c r="AD51" s="1">
        <f>SUMIF('Input 3_2019CUST-YTD'!$S:$S,$G51,'Input 3_2019CUST-YTD'!G:G)</f>
        <v>268</v>
      </c>
      <c r="AE51" s="1">
        <f>SUMIF('Input 3_2019CUST-YTD'!$S:$S,$G51,'Input 3_2019CUST-YTD'!H:H)</f>
        <v>270</v>
      </c>
      <c r="AF51" s="1">
        <f>SUMIF('Input 3_2019CUST-YTD'!$S:$S,$G51,'Input 3_2019CUST-YTD'!I:I)</f>
        <v>275</v>
      </c>
      <c r="AG51" s="1">
        <f>SUMIF('Input 3_2019CUST-YTD'!$S:$S,$G51,'Input 3_2019CUST-YTD'!J:J)</f>
        <v>273</v>
      </c>
      <c r="AH51" s="1">
        <f>SUMIF('Input 3_2019CUST-YTD'!$S:$S,$G51,'Input 3_2019CUST-YTD'!K:K)</f>
        <v>271</v>
      </c>
      <c r="AI51" s="1">
        <f>SUMIF('Input 3_2019CUST-YTD'!$S:$S,$G51,'Input 3_2019CUST-YTD'!L:L)</f>
        <v>272</v>
      </c>
      <c r="AJ51" s="1">
        <f>SUMIF('Input 3_2019CUST-YTD'!$S:$S,$G51,'Input 3_2019CUST-YTD'!M:M)</f>
        <v>275</v>
      </c>
      <c r="AK51" s="1">
        <f>SUMIF('Input 3_2019CUST-YTD'!$S:$S,$G51,'Input 3_2019CUST-YTD'!N:N)</f>
        <v>275</v>
      </c>
      <c r="AL51" s="1">
        <f>SUMIF('Input 4_2020CUST-YTD'!$S:$S,$G51,'Input 4_2020CUST-YTD'!C:C)</f>
        <v>276</v>
      </c>
      <c r="AM51" s="1">
        <f>SUMIF('Input 4_2020CUST-YTD'!$S:$S,$G51,'Input 4_2020CUST-YTD'!D:D)</f>
        <v>277</v>
      </c>
      <c r="AN51" s="1">
        <f>SUMIF('Input 4_2020CUST-YTD'!$S:$S,$G51,'Input 4_2020CUST-YTD'!E:E)</f>
        <v>277</v>
      </c>
      <c r="AO51" s="1">
        <f>SUMIF('Input 4_2020CUST-YTD'!$S:$S,$G51,'Input 4_2020CUST-YTD'!F:F)</f>
        <v>280</v>
      </c>
      <c r="AP51" s="1">
        <f>SUMIF('Input 4_2020CUST-YTD'!$S:$S,$G51,'Input 4_2020CUST-YTD'!G:G)</f>
        <v>279</v>
      </c>
      <c r="AQ51" s="1">
        <f>SUMIF('Input 4_2020CUST-YTD'!$S:$S,$G51,'Input 4_2020CUST-YTD'!H:H)</f>
        <v>277</v>
      </c>
      <c r="AR51" s="1">
        <f>SUMIF('Input 4_2020CUST-YTD'!$S:$S,$G51,'Input 4_2020CUST-YTD'!I:I)</f>
        <v>278</v>
      </c>
      <c r="AS51" s="1">
        <f>SUMIF('Input 4_2020CUST-YTD'!$S:$S,$G51,'Input 4_2020CUST-YTD'!J:J)</f>
        <v>280</v>
      </c>
      <c r="AT51" s="1">
        <f>SUMIF('Input 4_2020CUST-YTD'!$S:$S,$G51,'Input 4_2020CUST-YTD'!K:K)</f>
        <v>280</v>
      </c>
      <c r="AU51" s="1">
        <f>SUMIF('Input 4_2020CUST-YTD'!$S:$S,$G51,'Input 4_2020CUST-YTD'!L:L)</f>
        <v>283</v>
      </c>
      <c r="AV51" s="1">
        <f>SUMIF('Input 4_2020CUST-YTD'!$S:$S,$G51,'Input 4_2020CUST-YTD'!M:M)</f>
        <v>281</v>
      </c>
      <c r="AW51" s="1">
        <f>SUMIF('Input 4_2020CUST-YTD'!$S:$S,$G51,'Input 4_2020CUST-YTD'!N:N)</f>
        <v>283</v>
      </c>
      <c r="AX51" s="1">
        <f>SUMIF('Input 5_2021CUST-YTD'!$S:$S,$G51,'Input 5_2021CUST-YTD'!C:C)</f>
        <v>282</v>
      </c>
      <c r="AY51" s="1">
        <f>SUMIF('Input 5_2021CUST-YTD'!$S:$S,$G51,'Input 5_2021CUST-YTD'!D:D)</f>
        <v>286</v>
      </c>
      <c r="AZ51" s="1">
        <f>SUMIF('Input 5_2021CUST-YTD'!$S:$S,$G51,'Input 5_2021CUST-YTD'!E:E)</f>
        <v>285</v>
      </c>
      <c r="BA51" s="1">
        <f>SUMIF('Input 5_2021CUST-YTD'!$S:$S,$G51,'Input 5_2021CUST-YTD'!F:F)</f>
        <v>287</v>
      </c>
      <c r="BB51" s="1">
        <f>SUMIF('Input 5_2021CUST-YTD'!$S:$S,$G51,'Input 5_2021CUST-YTD'!G:G)</f>
        <v>288</v>
      </c>
      <c r="BC51" s="1">
        <f>SUMIF('Input 5_2021CUST-YTD'!$S:$S,$G51,'Input 5_2021CUST-YTD'!H:H)</f>
        <v>287</v>
      </c>
      <c r="BD51" s="1">
        <f>SUMIF('Input 5_2021CUST-YTD'!$S:$S,$G51,'Input 5_2021CUST-YTD'!I:I)</f>
        <v>287</v>
      </c>
      <c r="BE51" s="1">
        <f>SUMIF('Input 5_2021CUST-YTD'!$S:$S,$G51,'Input 5_2021CUST-YTD'!J:J)</f>
        <v>291</v>
      </c>
      <c r="BF51" s="1">
        <f>SUMIF('Input 5_2021CUST-YTD'!$S:$S,$G51,'Input 5_2021CUST-YTD'!K:K)</f>
        <v>290</v>
      </c>
      <c r="BG51" s="1">
        <f>SUMIF('Input 5_2021CUST-YTD'!$S:$S,$G51,'Input 5_2021CUST-YTD'!L:L)</f>
        <v>293</v>
      </c>
      <c r="BH51" s="1">
        <f>SUMIF('Input 5_2021CUST-YTD'!$S:$S,$G51,'Input 5_2021CUST-YTD'!M:M)</f>
        <v>294</v>
      </c>
      <c r="BI51" s="1">
        <f>SUMIF('Input 5_2021CUST-YTD'!$S:$S,$G51,'Input 5_2021CUST-YTD'!N:N)</f>
        <v>297</v>
      </c>
      <c r="BJ51" s="190">
        <f t="shared" si="32"/>
        <v>289.55316803981327</v>
      </c>
      <c r="BK51" s="190">
        <f t="shared" si="33"/>
        <v>293.66030517512974</v>
      </c>
      <c r="BL51" s="190">
        <f t="shared" si="34"/>
        <v>292.63352089130063</v>
      </c>
      <c r="BM51" s="190">
        <f t="shared" si="35"/>
        <v>294.68708945895889</v>
      </c>
      <c r="BN51" s="190">
        <f t="shared" si="36"/>
        <v>295.713873742788</v>
      </c>
      <c r="BO51" s="190">
        <f t="shared" si="37"/>
        <v>294.68708945895889</v>
      </c>
      <c r="BP51" s="190">
        <f t="shared" si="38"/>
        <v>294.68708945895889</v>
      </c>
      <c r="BQ51" s="190">
        <f t="shared" si="39"/>
        <v>298.79422659427536</v>
      </c>
      <c r="BR51" s="190">
        <f t="shared" si="40"/>
        <v>297.76744231044626</v>
      </c>
      <c r="BS51" s="190">
        <f t="shared" si="41"/>
        <v>300.84779516193362</v>
      </c>
      <c r="BT51" s="190">
        <f t="shared" si="42"/>
        <v>301.87457944576278</v>
      </c>
      <c r="BU51" s="190">
        <f t="shared" si="43"/>
        <v>304.95493229725014</v>
      </c>
      <c r="BV51" s="190">
        <f t="shared" si="44"/>
        <v>297.30864227621396</v>
      </c>
      <c r="BW51" s="190">
        <f t="shared" si="45"/>
        <v>301.52578613828786</v>
      </c>
      <c r="BX51" s="190">
        <f t="shared" si="46"/>
        <v>300.47150017276942</v>
      </c>
      <c r="BY51" s="190">
        <f t="shared" si="47"/>
        <v>302.5800721038064</v>
      </c>
      <c r="BZ51" s="190">
        <f t="shared" si="48"/>
        <v>303.63435806932489</v>
      </c>
      <c r="CA51" s="190">
        <f t="shared" si="49"/>
        <v>302.5800721038064</v>
      </c>
      <c r="CB51" s="190">
        <f t="shared" si="50"/>
        <v>302.5800721038064</v>
      </c>
      <c r="CC51" s="190">
        <f t="shared" si="51"/>
        <v>306.7972159658803</v>
      </c>
      <c r="CD51" s="190">
        <f t="shared" si="52"/>
        <v>305.74293000036187</v>
      </c>
      <c r="CE51" s="190">
        <f t="shared" si="53"/>
        <v>308.90578789691733</v>
      </c>
      <c r="CF51" s="190">
        <f t="shared" si="54"/>
        <v>309.96007386243582</v>
      </c>
      <c r="CG51" s="190">
        <f t="shared" si="55"/>
        <v>313.12293175899129</v>
      </c>
      <c r="CH51" s="264"/>
      <c r="CI51" s="264">
        <f t="shared" si="1"/>
        <v>3095</v>
      </c>
      <c r="CJ51" s="264">
        <f t="shared" si="2"/>
        <v>3251</v>
      </c>
      <c r="CK51" s="264">
        <f t="shared" si="3"/>
        <v>3351</v>
      </c>
      <c r="CL51" s="264">
        <f t="shared" si="4"/>
        <v>3467</v>
      </c>
      <c r="CM51" s="264">
        <f t="shared" si="5"/>
        <v>3559.8611120355758</v>
      </c>
      <c r="CN51" s="264">
        <f t="shared" si="6"/>
        <v>3655.2094424526022</v>
      </c>
      <c r="CP51" s="574">
        <f>SUMIF('Master '!D:D,D51,'Master '!AB:AB)</f>
        <v>3559.8611120355763</v>
      </c>
      <c r="CQ51" s="574">
        <f>SUMIF('Master '!D:D,D51,'Master '!AC:AC)</f>
        <v>3655.2094424526017</v>
      </c>
      <c r="CR51" s="264">
        <f t="shared" si="56"/>
        <v>0</v>
      </c>
      <c r="CS51" s="264">
        <f t="shared" si="56"/>
        <v>0</v>
      </c>
    </row>
    <row r="52" spans="1:97" s="261" customFormat="1">
      <c r="A52" s="55" t="s">
        <v>17</v>
      </c>
      <c r="B52" s="55" t="s">
        <v>993</v>
      </c>
      <c r="C52" s="55" t="s">
        <v>1245</v>
      </c>
      <c r="D52" s="55" t="s">
        <v>1300</v>
      </c>
      <c r="E52" s="55" t="str">
        <f>VLOOKUP(D52,'Input 14_Ref Table'!C:D,2,FALSE)</f>
        <v>CC828</v>
      </c>
      <c r="F52" s="172" t="s">
        <v>1287</v>
      </c>
      <c r="G52" s="55" t="str">
        <f>VLOOKUP(D52,'Input 14_Ref Table'!C:I,7,FALSE)</f>
        <v>CFG - FTS-3 - Fixed NR</v>
      </c>
      <c r="H52" s="55" t="str">
        <f>VLOOKUP(D52,'Input 14_Ref Table'!C:K,8,FALSE)</f>
        <v>FTS3</v>
      </c>
      <c r="I52" s="55"/>
      <c r="J52" s="261" t="str">
        <f>INDEX('Master '!$AD$2:AD$65,MATCH(D52,'Master '!$D$2:$D$65,0))</f>
        <v>UPC Growth Rate</v>
      </c>
      <c r="K52" s="567">
        <f>INDEX('Master '!$N$2:N$65,MATCH(D52,'Master '!$D$2:$D$65,0))</f>
        <v>2.6784283829125063E-2</v>
      </c>
      <c r="L52" s="290">
        <f>INDEX('Master '!$S$2:S$65,MATCH(D52,'Master '!$D$2:$D$65,0))</f>
        <v>1.22672019627513E-3</v>
      </c>
      <c r="M52" s="1">
        <f>INDEX('Master '!$W$2:W$65,MATCH(D52,'Master '!$D$2:$D$65,0))</f>
        <v>3591.2</v>
      </c>
      <c r="N52" s="55">
        <f>SUMIF('Input 16_2018CUST-YTD'!$S:$S,$G52,'Input 16_2018CUST-YTD'!C:C)</f>
        <v>16</v>
      </c>
      <c r="O52" s="55">
        <f>SUMIF('Input 16_2018CUST-YTD'!$S:$S,$G52,'Input 16_2018CUST-YTD'!D:D)</f>
        <v>16</v>
      </c>
      <c r="P52" s="55">
        <f>SUMIF('Input 16_2018CUST-YTD'!$S:$S,$G52,'Input 16_2018CUST-YTD'!E:E)</f>
        <v>16</v>
      </c>
      <c r="Q52" s="55">
        <f>SUMIF('Input 16_2018CUST-YTD'!$S:$S,$G52,'Input 16_2018CUST-YTD'!F:F)</f>
        <v>17</v>
      </c>
      <c r="R52" s="55">
        <f>SUMIF('Input 16_2018CUST-YTD'!$S:$S,$G52,'Input 16_2018CUST-YTD'!G:G)</f>
        <v>18</v>
      </c>
      <c r="S52" s="55">
        <f>SUMIF('Input 16_2018CUST-YTD'!$S:$S,$G52,'Input 16_2018CUST-YTD'!H:H)</f>
        <v>17</v>
      </c>
      <c r="T52" s="55">
        <f>SUMIF('Input 16_2018CUST-YTD'!$S:$S,$G52,'Input 16_2018CUST-YTD'!I:I)</f>
        <v>17</v>
      </c>
      <c r="U52" s="55">
        <f>SUMIF('Input 16_2018CUST-YTD'!$S:$S,$G52,'Input 16_2018CUST-YTD'!J:J)</f>
        <v>17</v>
      </c>
      <c r="V52" s="55">
        <f>SUMIF('Input 16_2018CUST-YTD'!$S:$S,$G52,'Input 16_2018CUST-YTD'!K:K)</f>
        <v>17</v>
      </c>
      <c r="W52" s="55">
        <f>SUMIF('Input 16_2018CUST-YTD'!$S:$S,$G52,'Input 16_2018CUST-YTD'!L:L)</f>
        <v>17</v>
      </c>
      <c r="X52" s="55">
        <f>SUMIF('Input 16_2018CUST-YTD'!$S:$S,$G52,'Input 16_2018CUST-YTD'!M:M)</f>
        <v>17</v>
      </c>
      <c r="Y52" s="55">
        <f>SUMIF('Input 16_2018CUST-YTD'!$S:$S,$G52,'Input 16_2018CUST-YTD'!N:N)</f>
        <v>17</v>
      </c>
      <c r="Z52" s="1">
        <f>SUMIF('Input 3_2019CUST-YTD'!$S:$S,$G52,'Input 3_2019CUST-YTD'!C:C)</f>
        <v>16</v>
      </c>
      <c r="AA52" s="1">
        <f>SUMIF('Input 3_2019CUST-YTD'!$S:$S,$G52,'Input 3_2019CUST-YTD'!D:D)</f>
        <v>17</v>
      </c>
      <c r="AB52" s="1">
        <f>SUMIF('Input 3_2019CUST-YTD'!$S:$S,$G52,'Input 3_2019CUST-YTD'!E:E)</f>
        <v>17</v>
      </c>
      <c r="AC52" s="1">
        <f>SUMIF('Input 3_2019CUST-YTD'!$S:$S,$G52,'Input 3_2019CUST-YTD'!F:F)</f>
        <v>17</v>
      </c>
      <c r="AD52" s="1">
        <f>SUMIF('Input 3_2019CUST-YTD'!$S:$S,$G52,'Input 3_2019CUST-YTD'!G:G)</f>
        <v>17</v>
      </c>
      <c r="AE52" s="1">
        <f>SUMIF('Input 3_2019CUST-YTD'!$S:$S,$G52,'Input 3_2019CUST-YTD'!H:H)</f>
        <v>17</v>
      </c>
      <c r="AF52" s="1">
        <f>SUMIF('Input 3_2019CUST-YTD'!$S:$S,$G52,'Input 3_2019CUST-YTD'!I:I)</f>
        <v>18</v>
      </c>
      <c r="AG52" s="1">
        <f>SUMIF('Input 3_2019CUST-YTD'!$S:$S,$G52,'Input 3_2019CUST-YTD'!J:J)</f>
        <v>18</v>
      </c>
      <c r="AH52" s="1">
        <f>SUMIF('Input 3_2019CUST-YTD'!$S:$S,$G52,'Input 3_2019CUST-YTD'!K:K)</f>
        <v>18</v>
      </c>
      <c r="AI52" s="1">
        <f>SUMIF('Input 3_2019CUST-YTD'!$S:$S,$G52,'Input 3_2019CUST-YTD'!L:L)</f>
        <v>18</v>
      </c>
      <c r="AJ52" s="1">
        <f>SUMIF('Input 3_2019CUST-YTD'!$S:$S,$G52,'Input 3_2019CUST-YTD'!M:M)</f>
        <v>19</v>
      </c>
      <c r="AK52" s="1">
        <f>SUMIF('Input 3_2019CUST-YTD'!$S:$S,$G52,'Input 3_2019CUST-YTD'!N:N)</f>
        <v>19</v>
      </c>
      <c r="AL52" s="1">
        <f>SUMIF('Input 4_2020CUST-YTD'!$S:$S,$G52,'Input 4_2020CUST-YTD'!C:C)</f>
        <v>20</v>
      </c>
      <c r="AM52" s="1">
        <f>SUMIF('Input 4_2020CUST-YTD'!$S:$S,$G52,'Input 4_2020CUST-YTD'!D:D)</f>
        <v>19</v>
      </c>
      <c r="AN52" s="1">
        <f>SUMIF('Input 4_2020CUST-YTD'!$S:$S,$G52,'Input 4_2020CUST-YTD'!E:E)</f>
        <v>19</v>
      </c>
      <c r="AO52" s="1">
        <f>SUMIF('Input 4_2020CUST-YTD'!$S:$S,$G52,'Input 4_2020CUST-YTD'!F:F)</f>
        <v>19</v>
      </c>
      <c r="AP52" s="1">
        <f>SUMIF('Input 4_2020CUST-YTD'!$S:$S,$G52,'Input 4_2020CUST-YTD'!G:G)</f>
        <v>18</v>
      </c>
      <c r="AQ52" s="1">
        <f>SUMIF('Input 4_2020CUST-YTD'!$S:$S,$G52,'Input 4_2020CUST-YTD'!H:H)</f>
        <v>17</v>
      </c>
      <c r="AR52" s="1">
        <f>SUMIF('Input 4_2020CUST-YTD'!$S:$S,$G52,'Input 4_2020CUST-YTD'!I:I)</f>
        <v>17</v>
      </c>
      <c r="AS52" s="1">
        <f>SUMIF('Input 4_2020CUST-YTD'!$S:$S,$G52,'Input 4_2020CUST-YTD'!J:J)</f>
        <v>17</v>
      </c>
      <c r="AT52" s="1">
        <f>SUMIF('Input 4_2020CUST-YTD'!$S:$S,$G52,'Input 4_2020CUST-YTD'!K:K)</f>
        <v>17</v>
      </c>
      <c r="AU52" s="1">
        <f>SUMIF('Input 4_2020CUST-YTD'!$S:$S,$G52,'Input 4_2020CUST-YTD'!L:L)</f>
        <v>17</v>
      </c>
      <c r="AV52" s="1">
        <f>SUMIF('Input 4_2020CUST-YTD'!$S:$S,$G52,'Input 4_2020CUST-YTD'!M:M)</f>
        <v>17</v>
      </c>
      <c r="AW52" s="1">
        <f>SUMIF('Input 4_2020CUST-YTD'!$S:$S,$G52,'Input 4_2020CUST-YTD'!N:N)</f>
        <v>17</v>
      </c>
      <c r="AX52" s="1">
        <f>SUMIF('Input 5_2021CUST-YTD'!$S:$S,$G52,'Input 5_2021CUST-YTD'!C:C)</f>
        <v>17</v>
      </c>
      <c r="AY52" s="1">
        <f>SUMIF('Input 5_2021CUST-YTD'!$S:$S,$G52,'Input 5_2021CUST-YTD'!D:D)</f>
        <v>17</v>
      </c>
      <c r="AZ52" s="1">
        <f>SUMIF('Input 5_2021CUST-YTD'!$S:$S,$G52,'Input 5_2021CUST-YTD'!E:E)</f>
        <v>17</v>
      </c>
      <c r="BA52" s="1">
        <f>SUMIF('Input 5_2021CUST-YTD'!$S:$S,$G52,'Input 5_2021CUST-YTD'!F:F)</f>
        <v>17</v>
      </c>
      <c r="BB52" s="1">
        <f>SUMIF('Input 5_2021CUST-YTD'!$S:$S,$G52,'Input 5_2021CUST-YTD'!G:G)</f>
        <v>17</v>
      </c>
      <c r="BC52" s="1">
        <f>SUMIF('Input 5_2021CUST-YTD'!$S:$S,$G52,'Input 5_2021CUST-YTD'!H:H)</f>
        <v>17</v>
      </c>
      <c r="BD52" s="1">
        <f>SUMIF('Input 5_2021CUST-YTD'!$S:$S,$G52,'Input 5_2021CUST-YTD'!I:I)</f>
        <v>17</v>
      </c>
      <c r="BE52" s="1">
        <f>SUMIF('Input 5_2021CUST-YTD'!$S:$S,$G52,'Input 5_2021CUST-YTD'!J:J)</f>
        <v>17</v>
      </c>
      <c r="BF52" s="1">
        <f>SUMIF('Input 5_2021CUST-YTD'!$S:$S,$G52,'Input 5_2021CUST-YTD'!K:K)</f>
        <v>17</v>
      </c>
      <c r="BG52" s="1">
        <f>SUMIF('Input 5_2021CUST-YTD'!$S:$S,$G52,'Input 5_2021CUST-YTD'!L:L)</f>
        <v>17</v>
      </c>
      <c r="BH52" s="1">
        <f>SUMIF('Input 5_2021CUST-YTD'!$S:$S,$G52,'Input 5_2021CUST-YTD'!M:M)</f>
        <v>17</v>
      </c>
      <c r="BI52" s="1">
        <f>SUMIF('Input 5_2021CUST-YTD'!$S:$S,$G52,'Input 5_2021CUST-YTD'!N:N)</f>
        <v>16</v>
      </c>
      <c r="BJ52" s="190">
        <f t="shared" si="32"/>
        <v>17.455332825095127</v>
      </c>
      <c r="BK52" s="190">
        <f t="shared" si="33"/>
        <v>17.455332825095127</v>
      </c>
      <c r="BL52" s="190">
        <f t="shared" si="34"/>
        <v>17.455332825095127</v>
      </c>
      <c r="BM52" s="190">
        <f t="shared" si="35"/>
        <v>17.455332825095127</v>
      </c>
      <c r="BN52" s="190">
        <f t="shared" si="36"/>
        <v>17.455332825095127</v>
      </c>
      <c r="BO52" s="190">
        <f t="shared" si="37"/>
        <v>17.455332825095127</v>
      </c>
      <c r="BP52" s="190">
        <f t="shared" si="38"/>
        <v>17.455332825095127</v>
      </c>
      <c r="BQ52" s="190">
        <f t="shared" si="39"/>
        <v>17.455332825095127</v>
      </c>
      <c r="BR52" s="190">
        <f t="shared" si="40"/>
        <v>17.455332825095127</v>
      </c>
      <c r="BS52" s="190">
        <f t="shared" si="41"/>
        <v>17.455332825095127</v>
      </c>
      <c r="BT52" s="190">
        <f t="shared" si="42"/>
        <v>17.455332825095127</v>
      </c>
      <c r="BU52" s="190">
        <f t="shared" si="43"/>
        <v>16.428548541266</v>
      </c>
      <c r="BV52" s="190">
        <f t="shared" si="44"/>
        <v>17.922861413814317</v>
      </c>
      <c r="BW52" s="190">
        <f t="shared" si="45"/>
        <v>17.922861413814317</v>
      </c>
      <c r="BX52" s="190">
        <f t="shared" si="46"/>
        <v>17.922861413814317</v>
      </c>
      <c r="BY52" s="190">
        <f t="shared" si="47"/>
        <v>17.922861413814317</v>
      </c>
      <c r="BZ52" s="190">
        <f t="shared" si="48"/>
        <v>17.922861413814317</v>
      </c>
      <c r="CA52" s="190">
        <f t="shared" si="49"/>
        <v>17.922861413814317</v>
      </c>
      <c r="CB52" s="190">
        <f t="shared" si="50"/>
        <v>17.922861413814317</v>
      </c>
      <c r="CC52" s="190">
        <f t="shared" si="51"/>
        <v>17.922861413814317</v>
      </c>
      <c r="CD52" s="190">
        <f t="shared" si="52"/>
        <v>17.922861413814317</v>
      </c>
      <c r="CE52" s="190">
        <f t="shared" si="53"/>
        <v>17.922861413814317</v>
      </c>
      <c r="CF52" s="190">
        <f t="shared" si="54"/>
        <v>17.922861413814317</v>
      </c>
      <c r="CG52" s="190">
        <f t="shared" si="55"/>
        <v>16.868575448295825</v>
      </c>
      <c r="CH52" s="264"/>
      <c r="CI52" s="264">
        <f t="shared" si="1"/>
        <v>202</v>
      </c>
      <c r="CJ52" s="264">
        <f t="shared" si="2"/>
        <v>211</v>
      </c>
      <c r="CK52" s="264">
        <f t="shared" si="3"/>
        <v>214</v>
      </c>
      <c r="CL52" s="264">
        <f t="shared" si="4"/>
        <v>203</v>
      </c>
      <c r="CM52" s="264">
        <f t="shared" si="5"/>
        <v>208.43720961731239</v>
      </c>
      <c r="CN52" s="264">
        <f t="shared" si="6"/>
        <v>214.02005100025326</v>
      </c>
      <c r="CP52" s="574">
        <f>SUMIF('Master '!D:D,D52,'Master '!AB:AB)</f>
        <v>208.43720961731239</v>
      </c>
      <c r="CQ52" s="574">
        <f>SUMIF('Master '!D:D,D52,'Master '!AC:AC)</f>
        <v>214.02005100025332</v>
      </c>
      <c r="CR52" s="264">
        <f t="shared" si="56"/>
        <v>0</v>
      </c>
      <c r="CS52" s="264">
        <f t="shared" si="56"/>
        <v>0</v>
      </c>
    </row>
    <row r="53" spans="1:97" s="261" customFormat="1">
      <c r="A53" s="55" t="s">
        <v>17</v>
      </c>
      <c r="B53" s="55" t="s">
        <v>993</v>
      </c>
      <c r="C53" s="55" t="s">
        <v>1245</v>
      </c>
      <c r="D53" s="55" t="s">
        <v>1301</v>
      </c>
      <c r="E53" s="55" t="str">
        <f>VLOOKUP(D53,'Input 14_Ref Table'!C:D,2,FALSE)</f>
        <v>CC824</v>
      </c>
      <c r="F53" s="172" t="s">
        <v>1286</v>
      </c>
      <c r="G53" s="55" t="str">
        <f>VLOOKUP(D53,'Input 14_Ref Table'!C:I,7,FALSE)</f>
        <v>CFG - FTS-3.1 NR</v>
      </c>
      <c r="H53" s="55" t="str">
        <f>VLOOKUP(D53,'Input 14_Ref Table'!C:K,8,FALSE)</f>
        <v>FTS3.1</v>
      </c>
      <c r="I53" s="55"/>
      <c r="J53" s="261" t="str">
        <f>INDEX('Master '!$AD$2:AD$65,MATCH(D53,'Master '!$D$2:$D$65,0))</f>
        <v>UPC Growth Rate</v>
      </c>
      <c r="K53" s="567">
        <f>INDEX('Master '!$N$2:N$65,MATCH(D53,'Master '!$D$2:$D$65,0))</f>
        <v>-1.0532413897830479E-2</v>
      </c>
      <c r="L53" s="290">
        <f>INDEX('Master '!$S$2:S$65,MATCH(D53,'Master '!$D$2:$D$65,0))</f>
        <v>-5.3752990430621737E-3</v>
      </c>
      <c r="M53" s="1">
        <f>INDEX('Master '!$W$2:W$65,MATCH(D53,'Master '!$D$2:$D$65,0))</f>
        <v>6652.05</v>
      </c>
      <c r="N53" s="55">
        <f>SUMIF('Input 16_2018CUST-YTD'!$S:$S,$G53,'Input 16_2018CUST-YTD'!C:C)</f>
        <v>324</v>
      </c>
      <c r="O53" s="55">
        <f>SUMIF('Input 16_2018CUST-YTD'!$S:$S,$G53,'Input 16_2018CUST-YTD'!D:D)</f>
        <v>327</v>
      </c>
      <c r="P53" s="55">
        <f>SUMIF('Input 16_2018CUST-YTD'!$S:$S,$G53,'Input 16_2018CUST-YTD'!E:E)</f>
        <v>325</v>
      </c>
      <c r="Q53" s="55">
        <f>SUMIF('Input 16_2018CUST-YTD'!$S:$S,$G53,'Input 16_2018CUST-YTD'!F:F)</f>
        <v>335</v>
      </c>
      <c r="R53" s="55">
        <f>SUMIF('Input 16_2018CUST-YTD'!$S:$S,$G53,'Input 16_2018CUST-YTD'!G:G)</f>
        <v>334</v>
      </c>
      <c r="S53" s="55">
        <f>SUMIF('Input 16_2018CUST-YTD'!$S:$S,$G53,'Input 16_2018CUST-YTD'!H:H)</f>
        <v>330</v>
      </c>
      <c r="T53" s="55">
        <f>SUMIF('Input 16_2018CUST-YTD'!$S:$S,$G53,'Input 16_2018CUST-YTD'!I:I)</f>
        <v>329</v>
      </c>
      <c r="U53" s="55">
        <f>SUMIF('Input 16_2018CUST-YTD'!$S:$S,$G53,'Input 16_2018CUST-YTD'!J:J)</f>
        <v>327</v>
      </c>
      <c r="V53" s="55">
        <f>SUMIF('Input 16_2018CUST-YTD'!$S:$S,$G53,'Input 16_2018CUST-YTD'!K:K)</f>
        <v>325</v>
      </c>
      <c r="W53" s="55">
        <f>SUMIF('Input 16_2018CUST-YTD'!$S:$S,$G53,'Input 16_2018CUST-YTD'!L:L)</f>
        <v>328</v>
      </c>
      <c r="X53" s="55">
        <f>SUMIF('Input 16_2018CUST-YTD'!$S:$S,$G53,'Input 16_2018CUST-YTD'!M:M)</f>
        <v>331</v>
      </c>
      <c r="Y53" s="55">
        <f>SUMIF('Input 16_2018CUST-YTD'!$S:$S,$G53,'Input 16_2018CUST-YTD'!N:N)</f>
        <v>335</v>
      </c>
      <c r="Z53" s="1">
        <f>SUMIF('Input 3_2019CUST-YTD'!$S:$S,$G53,'Input 3_2019CUST-YTD'!C:C)</f>
        <v>330</v>
      </c>
      <c r="AA53" s="1">
        <f>SUMIF('Input 3_2019CUST-YTD'!$S:$S,$G53,'Input 3_2019CUST-YTD'!D:D)</f>
        <v>329</v>
      </c>
      <c r="AB53" s="1">
        <f>SUMIF('Input 3_2019CUST-YTD'!$S:$S,$G53,'Input 3_2019CUST-YTD'!E:E)</f>
        <v>330</v>
      </c>
      <c r="AC53" s="1">
        <f>SUMIF('Input 3_2019CUST-YTD'!$S:$S,$G53,'Input 3_2019CUST-YTD'!F:F)</f>
        <v>334</v>
      </c>
      <c r="AD53" s="1">
        <f>SUMIF('Input 3_2019CUST-YTD'!$S:$S,$G53,'Input 3_2019CUST-YTD'!G:G)</f>
        <v>334</v>
      </c>
      <c r="AE53" s="1">
        <f>SUMIF('Input 3_2019CUST-YTD'!$S:$S,$G53,'Input 3_2019CUST-YTD'!H:H)</f>
        <v>330</v>
      </c>
      <c r="AF53" s="1">
        <f>SUMIF('Input 3_2019CUST-YTD'!$S:$S,$G53,'Input 3_2019CUST-YTD'!I:I)</f>
        <v>331</v>
      </c>
      <c r="AG53" s="1">
        <f>SUMIF('Input 3_2019CUST-YTD'!$S:$S,$G53,'Input 3_2019CUST-YTD'!J:J)</f>
        <v>331</v>
      </c>
      <c r="AH53" s="1">
        <f>SUMIF('Input 3_2019CUST-YTD'!$S:$S,$G53,'Input 3_2019CUST-YTD'!K:K)</f>
        <v>329</v>
      </c>
      <c r="AI53" s="1">
        <f>SUMIF('Input 3_2019CUST-YTD'!$S:$S,$G53,'Input 3_2019CUST-YTD'!L:L)</f>
        <v>329</v>
      </c>
      <c r="AJ53" s="1">
        <f>SUMIF('Input 3_2019CUST-YTD'!$S:$S,$G53,'Input 3_2019CUST-YTD'!M:M)</f>
        <v>327</v>
      </c>
      <c r="AK53" s="1">
        <f>SUMIF('Input 3_2019CUST-YTD'!$S:$S,$G53,'Input 3_2019CUST-YTD'!N:N)</f>
        <v>333</v>
      </c>
      <c r="AL53" s="1">
        <f>SUMIF('Input 4_2020CUST-YTD'!$S:$S,$G53,'Input 4_2020CUST-YTD'!C:C)</f>
        <v>336</v>
      </c>
      <c r="AM53" s="1">
        <f>SUMIF('Input 4_2020CUST-YTD'!$S:$S,$G53,'Input 4_2020CUST-YTD'!D:D)</f>
        <v>337</v>
      </c>
      <c r="AN53" s="1">
        <f>SUMIF('Input 4_2020CUST-YTD'!$S:$S,$G53,'Input 4_2020CUST-YTD'!E:E)</f>
        <v>338</v>
      </c>
      <c r="AO53" s="1">
        <f>SUMIF('Input 4_2020CUST-YTD'!$S:$S,$G53,'Input 4_2020CUST-YTD'!F:F)</f>
        <v>337</v>
      </c>
      <c r="AP53" s="1">
        <f>SUMIF('Input 4_2020CUST-YTD'!$S:$S,$G53,'Input 4_2020CUST-YTD'!G:G)</f>
        <v>337</v>
      </c>
      <c r="AQ53" s="1">
        <f>SUMIF('Input 4_2020CUST-YTD'!$S:$S,$G53,'Input 4_2020CUST-YTD'!H:H)</f>
        <v>336</v>
      </c>
      <c r="AR53" s="1">
        <f>SUMIF('Input 4_2020CUST-YTD'!$S:$S,$G53,'Input 4_2020CUST-YTD'!I:I)</f>
        <v>334</v>
      </c>
      <c r="AS53" s="1">
        <f>SUMIF('Input 4_2020CUST-YTD'!$S:$S,$G53,'Input 4_2020CUST-YTD'!J:J)</f>
        <v>340</v>
      </c>
      <c r="AT53" s="1">
        <f>SUMIF('Input 4_2020CUST-YTD'!$S:$S,$G53,'Input 4_2020CUST-YTD'!K:K)</f>
        <v>334</v>
      </c>
      <c r="AU53" s="1">
        <f>SUMIF('Input 4_2020CUST-YTD'!$S:$S,$G53,'Input 4_2020CUST-YTD'!L:L)</f>
        <v>338</v>
      </c>
      <c r="AV53" s="1">
        <f>SUMIF('Input 4_2020CUST-YTD'!$S:$S,$G53,'Input 4_2020CUST-YTD'!M:M)</f>
        <v>334</v>
      </c>
      <c r="AW53" s="1">
        <f>SUMIF('Input 4_2020CUST-YTD'!$S:$S,$G53,'Input 4_2020CUST-YTD'!N:N)</f>
        <v>332</v>
      </c>
      <c r="AX53" s="1">
        <f>SUMIF('Input 5_2021CUST-YTD'!$S:$S,$G53,'Input 5_2021CUST-YTD'!C:C)</f>
        <v>335</v>
      </c>
      <c r="AY53" s="1">
        <f>SUMIF('Input 5_2021CUST-YTD'!$S:$S,$G53,'Input 5_2021CUST-YTD'!D:D)</f>
        <v>336</v>
      </c>
      <c r="AZ53" s="1">
        <f>SUMIF('Input 5_2021CUST-YTD'!$S:$S,$G53,'Input 5_2021CUST-YTD'!E:E)</f>
        <v>337</v>
      </c>
      <c r="BA53" s="1">
        <f>SUMIF('Input 5_2021CUST-YTD'!$S:$S,$G53,'Input 5_2021CUST-YTD'!F:F)</f>
        <v>334</v>
      </c>
      <c r="BB53" s="1">
        <f>SUMIF('Input 5_2021CUST-YTD'!$S:$S,$G53,'Input 5_2021CUST-YTD'!G:G)</f>
        <v>333</v>
      </c>
      <c r="BC53" s="1">
        <f>SUMIF('Input 5_2021CUST-YTD'!$S:$S,$G53,'Input 5_2021CUST-YTD'!H:H)</f>
        <v>335</v>
      </c>
      <c r="BD53" s="1">
        <f>SUMIF('Input 5_2021CUST-YTD'!$S:$S,$G53,'Input 5_2021CUST-YTD'!I:I)</f>
        <v>328</v>
      </c>
      <c r="BE53" s="1">
        <f>SUMIF('Input 5_2021CUST-YTD'!$S:$S,$G53,'Input 5_2021CUST-YTD'!J:J)</f>
        <v>330</v>
      </c>
      <c r="BF53" s="1">
        <f>SUMIF('Input 5_2021CUST-YTD'!$S:$S,$G53,'Input 5_2021CUST-YTD'!K:K)</f>
        <v>333</v>
      </c>
      <c r="BG53" s="1">
        <f>SUMIF('Input 5_2021CUST-YTD'!$S:$S,$G53,'Input 5_2021CUST-YTD'!L:L)</f>
        <v>331</v>
      </c>
      <c r="BH53" s="1">
        <f>SUMIF('Input 5_2021CUST-YTD'!$S:$S,$G53,'Input 5_2021CUST-YTD'!M:M)</f>
        <v>331</v>
      </c>
      <c r="BI53" s="1">
        <f>SUMIF('Input 5_2021CUST-YTD'!$S:$S,$G53,'Input 5_2021CUST-YTD'!N:N)</f>
        <v>337</v>
      </c>
      <c r="BJ53" s="190">
        <f t="shared" si="32"/>
        <v>331.47164134422678</v>
      </c>
      <c r="BK53" s="190">
        <f t="shared" si="33"/>
        <v>332.46110893032898</v>
      </c>
      <c r="BL53" s="190">
        <f t="shared" si="34"/>
        <v>333.45057651643117</v>
      </c>
      <c r="BM53" s="190">
        <f t="shared" si="35"/>
        <v>330.48217375812465</v>
      </c>
      <c r="BN53" s="190">
        <f t="shared" si="36"/>
        <v>329.49270617202245</v>
      </c>
      <c r="BO53" s="190">
        <f t="shared" si="37"/>
        <v>331.47164134422678</v>
      </c>
      <c r="BP53" s="190">
        <f t="shared" si="38"/>
        <v>324.5453682415116</v>
      </c>
      <c r="BQ53" s="190">
        <f t="shared" si="39"/>
        <v>326.52430341371593</v>
      </c>
      <c r="BR53" s="190">
        <f t="shared" si="40"/>
        <v>329.49270617202245</v>
      </c>
      <c r="BS53" s="190">
        <f t="shared" si="41"/>
        <v>327.51377099981812</v>
      </c>
      <c r="BT53" s="190">
        <f t="shared" si="42"/>
        <v>327.51377099981812</v>
      </c>
      <c r="BU53" s="190">
        <f t="shared" si="43"/>
        <v>333.45057651643117</v>
      </c>
      <c r="BV53" s="190">
        <f t="shared" si="44"/>
        <v>327.9804448221962</v>
      </c>
      <c r="BW53" s="190">
        <f t="shared" si="45"/>
        <v>328.95949092614308</v>
      </c>
      <c r="BX53" s="190">
        <f t="shared" si="46"/>
        <v>329.93853703008995</v>
      </c>
      <c r="BY53" s="190">
        <f t="shared" si="47"/>
        <v>327.00139871824933</v>
      </c>
      <c r="BZ53" s="190">
        <f t="shared" si="48"/>
        <v>326.02235261430246</v>
      </c>
      <c r="CA53" s="190">
        <f t="shared" si="49"/>
        <v>327.9804448221962</v>
      </c>
      <c r="CB53" s="190">
        <f t="shared" si="50"/>
        <v>321.12712209456822</v>
      </c>
      <c r="CC53" s="190">
        <f t="shared" si="51"/>
        <v>323.08521430246191</v>
      </c>
      <c r="CD53" s="190">
        <f t="shared" si="52"/>
        <v>326.02235261430246</v>
      </c>
      <c r="CE53" s="190">
        <f t="shared" si="53"/>
        <v>324.06426040640878</v>
      </c>
      <c r="CF53" s="190">
        <f t="shared" si="54"/>
        <v>324.06426040640878</v>
      </c>
      <c r="CG53" s="190">
        <f t="shared" si="55"/>
        <v>329.93853703008995</v>
      </c>
      <c r="CH53" s="264"/>
      <c r="CI53" s="264">
        <f t="shared" si="1"/>
        <v>3950</v>
      </c>
      <c r="CJ53" s="264">
        <f t="shared" si="2"/>
        <v>3967</v>
      </c>
      <c r="CK53" s="264">
        <f t="shared" si="3"/>
        <v>4033</v>
      </c>
      <c r="CL53" s="264">
        <f t="shared" si="4"/>
        <v>4000</v>
      </c>
      <c r="CM53" s="264">
        <f t="shared" si="5"/>
        <v>3957.8703444086777</v>
      </c>
      <c r="CN53" s="264">
        <f t="shared" si="6"/>
        <v>3916.1844157874166</v>
      </c>
      <c r="CP53" s="574">
        <f>SUMIF('Master '!D:D,D53,'Master '!AB:AB)</f>
        <v>3957.8703444086782</v>
      </c>
      <c r="CQ53" s="574">
        <f>SUMIF('Master '!D:D,D53,'Master '!AC:AC)</f>
        <v>3916.1844157874175</v>
      </c>
      <c r="CR53" s="264">
        <f t="shared" si="56"/>
        <v>0</v>
      </c>
      <c r="CS53" s="264">
        <f t="shared" si="56"/>
        <v>0</v>
      </c>
    </row>
    <row r="54" spans="1:97" s="261" customFormat="1">
      <c r="A54" s="55" t="s">
        <v>17</v>
      </c>
      <c r="B54" s="55" t="s">
        <v>993</v>
      </c>
      <c r="C54" s="55" t="s">
        <v>1245</v>
      </c>
      <c r="D54" s="55" t="s">
        <v>1302</v>
      </c>
      <c r="E54" s="55" t="str">
        <f>VLOOKUP(D54,'Input 14_Ref Table'!C:D,2,FALSE)</f>
        <v>CC826</v>
      </c>
      <c r="F54" s="172" t="s">
        <v>1287</v>
      </c>
      <c r="G54" s="55" t="str">
        <f>VLOOKUP(D54,'Input 14_Ref Table'!C:I,7,FALSE)</f>
        <v>CFG - FTS-3.1 - Fixed NR</v>
      </c>
      <c r="H54" s="55" t="str">
        <f>VLOOKUP(D54,'Input 14_Ref Table'!C:K,8,FALSE)</f>
        <v>FTS3.1</v>
      </c>
      <c r="I54" s="55"/>
      <c r="J54" s="261" t="str">
        <f>INDEX('Master '!$AD$2:AD$65,MATCH(D54,'Master '!$D$2:$D$65,0))</f>
        <v>UPC Growth Rate</v>
      </c>
      <c r="K54" s="567">
        <f>INDEX('Master '!$N$2:N$65,MATCH(D54,'Master '!$D$2:$D$65,0))</f>
        <v>-1.0532413897830479E-2</v>
      </c>
      <c r="L54" s="290">
        <f>INDEX('Master '!$S$2:S$65,MATCH(D54,'Master '!$D$2:$D$65,0))</f>
        <v>-5.3752990430621737E-3</v>
      </c>
      <c r="M54" s="1">
        <f>INDEX('Master '!$W$2:W$65,MATCH(D54,'Master '!$D$2:$D$65,0))</f>
        <v>6652.05</v>
      </c>
      <c r="N54" s="55">
        <f>SUMIF('Input 16_2018CUST-YTD'!$S:$S,$G54,'Input 16_2018CUST-YTD'!C:C)</f>
        <v>9</v>
      </c>
      <c r="O54" s="55">
        <f>SUMIF('Input 16_2018CUST-YTD'!$S:$S,$G54,'Input 16_2018CUST-YTD'!D:D)</f>
        <v>9</v>
      </c>
      <c r="P54" s="55">
        <f>SUMIF('Input 16_2018CUST-YTD'!$S:$S,$G54,'Input 16_2018CUST-YTD'!E:E)</f>
        <v>9</v>
      </c>
      <c r="Q54" s="55">
        <f>SUMIF('Input 16_2018CUST-YTD'!$S:$S,$G54,'Input 16_2018CUST-YTD'!F:F)</f>
        <v>7</v>
      </c>
      <c r="R54" s="55">
        <f>SUMIF('Input 16_2018CUST-YTD'!$S:$S,$G54,'Input 16_2018CUST-YTD'!G:G)</f>
        <v>7</v>
      </c>
      <c r="S54" s="55">
        <f>SUMIF('Input 16_2018CUST-YTD'!$S:$S,$G54,'Input 16_2018CUST-YTD'!H:H)</f>
        <v>7</v>
      </c>
      <c r="T54" s="55">
        <f>SUMIF('Input 16_2018CUST-YTD'!$S:$S,$G54,'Input 16_2018CUST-YTD'!I:I)</f>
        <v>7</v>
      </c>
      <c r="U54" s="55">
        <f>SUMIF('Input 16_2018CUST-YTD'!$S:$S,$G54,'Input 16_2018CUST-YTD'!J:J)</f>
        <v>7</v>
      </c>
      <c r="V54" s="55">
        <f>SUMIF('Input 16_2018CUST-YTD'!$S:$S,$G54,'Input 16_2018CUST-YTD'!K:K)</f>
        <v>7</v>
      </c>
      <c r="W54" s="55">
        <f>SUMIF('Input 16_2018CUST-YTD'!$S:$S,$G54,'Input 16_2018CUST-YTD'!L:L)</f>
        <v>7</v>
      </c>
      <c r="X54" s="55">
        <f>SUMIF('Input 16_2018CUST-YTD'!$S:$S,$G54,'Input 16_2018CUST-YTD'!M:M)</f>
        <v>7</v>
      </c>
      <c r="Y54" s="55">
        <f>SUMIF('Input 16_2018CUST-YTD'!$S:$S,$G54,'Input 16_2018CUST-YTD'!N:N)</f>
        <v>7</v>
      </c>
      <c r="Z54" s="1">
        <f>SUMIF('Input 3_2019CUST-YTD'!$S:$S,$G54,'Input 3_2019CUST-YTD'!C:C)</f>
        <v>7</v>
      </c>
      <c r="AA54" s="1">
        <f>SUMIF('Input 3_2019CUST-YTD'!$S:$S,$G54,'Input 3_2019CUST-YTD'!D:D)</f>
        <v>7</v>
      </c>
      <c r="AB54" s="1">
        <f>SUMIF('Input 3_2019CUST-YTD'!$S:$S,$G54,'Input 3_2019CUST-YTD'!E:E)</f>
        <v>7</v>
      </c>
      <c r="AC54" s="1">
        <f>SUMIF('Input 3_2019CUST-YTD'!$S:$S,$G54,'Input 3_2019CUST-YTD'!F:F)</f>
        <v>7</v>
      </c>
      <c r="AD54" s="1">
        <f>SUMIF('Input 3_2019CUST-YTD'!$S:$S,$G54,'Input 3_2019CUST-YTD'!G:G)</f>
        <v>7</v>
      </c>
      <c r="AE54" s="1">
        <f>SUMIF('Input 3_2019CUST-YTD'!$S:$S,$G54,'Input 3_2019CUST-YTD'!H:H)</f>
        <v>7</v>
      </c>
      <c r="AF54" s="1">
        <f>SUMIF('Input 3_2019CUST-YTD'!$S:$S,$G54,'Input 3_2019CUST-YTD'!I:I)</f>
        <v>7</v>
      </c>
      <c r="AG54" s="1">
        <f>SUMIF('Input 3_2019CUST-YTD'!$S:$S,$G54,'Input 3_2019CUST-YTD'!J:J)</f>
        <v>7</v>
      </c>
      <c r="AH54" s="1">
        <f>SUMIF('Input 3_2019CUST-YTD'!$S:$S,$G54,'Input 3_2019CUST-YTD'!K:K)</f>
        <v>7</v>
      </c>
      <c r="AI54" s="1">
        <f>SUMIF('Input 3_2019CUST-YTD'!$S:$S,$G54,'Input 3_2019CUST-YTD'!L:L)</f>
        <v>7</v>
      </c>
      <c r="AJ54" s="1">
        <f>SUMIF('Input 3_2019CUST-YTD'!$S:$S,$G54,'Input 3_2019CUST-YTD'!M:M)</f>
        <v>7</v>
      </c>
      <c r="AK54" s="1">
        <f>SUMIF('Input 3_2019CUST-YTD'!$S:$S,$G54,'Input 3_2019CUST-YTD'!N:N)</f>
        <v>7</v>
      </c>
      <c r="AL54" s="1">
        <f>SUMIF('Input 4_2020CUST-YTD'!$S:$S,$G54,'Input 4_2020CUST-YTD'!C:C)</f>
        <v>7</v>
      </c>
      <c r="AM54" s="1">
        <f>SUMIF('Input 4_2020CUST-YTD'!$S:$S,$G54,'Input 4_2020CUST-YTD'!D:D)</f>
        <v>7</v>
      </c>
      <c r="AN54" s="1">
        <f>SUMIF('Input 4_2020CUST-YTD'!$S:$S,$G54,'Input 4_2020CUST-YTD'!E:E)</f>
        <v>7</v>
      </c>
      <c r="AO54" s="1">
        <f>SUMIF('Input 4_2020CUST-YTD'!$S:$S,$G54,'Input 4_2020CUST-YTD'!F:F)</f>
        <v>7</v>
      </c>
      <c r="AP54" s="1">
        <f>SUMIF('Input 4_2020CUST-YTD'!$S:$S,$G54,'Input 4_2020CUST-YTD'!G:G)</f>
        <v>7</v>
      </c>
      <c r="AQ54" s="1">
        <f>SUMIF('Input 4_2020CUST-YTD'!$S:$S,$G54,'Input 4_2020CUST-YTD'!H:H)</f>
        <v>7</v>
      </c>
      <c r="AR54" s="1">
        <f>SUMIF('Input 4_2020CUST-YTD'!$S:$S,$G54,'Input 4_2020CUST-YTD'!I:I)</f>
        <v>7</v>
      </c>
      <c r="AS54" s="1">
        <f>SUMIF('Input 4_2020CUST-YTD'!$S:$S,$G54,'Input 4_2020CUST-YTD'!J:J)</f>
        <v>7</v>
      </c>
      <c r="AT54" s="1">
        <f>SUMIF('Input 4_2020CUST-YTD'!$S:$S,$G54,'Input 4_2020CUST-YTD'!K:K)</f>
        <v>7</v>
      </c>
      <c r="AU54" s="1">
        <f>SUMIF('Input 4_2020CUST-YTD'!$S:$S,$G54,'Input 4_2020CUST-YTD'!L:L)</f>
        <v>7</v>
      </c>
      <c r="AV54" s="1">
        <f>SUMIF('Input 4_2020CUST-YTD'!$S:$S,$G54,'Input 4_2020CUST-YTD'!M:M)</f>
        <v>7</v>
      </c>
      <c r="AW54" s="1">
        <f>SUMIF('Input 4_2020CUST-YTD'!$S:$S,$G54,'Input 4_2020CUST-YTD'!N:N)</f>
        <v>7</v>
      </c>
      <c r="AX54" s="1">
        <f>SUMIF('Input 5_2021CUST-YTD'!$S:$S,$G54,'Input 5_2021CUST-YTD'!C:C)</f>
        <v>7</v>
      </c>
      <c r="AY54" s="1">
        <f>SUMIF('Input 5_2021CUST-YTD'!$S:$S,$G54,'Input 5_2021CUST-YTD'!D:D)</f>
        <v>7</v>
      </c>
      <c r="AZ54" s="1">
        <f>SUMIF('Input 5_2021CUST-YTD'!$S:$S,$G54,'Input 5_2021CUST-YTD'!E:E)</f>
        <v>7</v>
      </c>
      <c r="BA54" s="1">
        <f>SUMIF('Input 5_2021CUST-YTD'!$S:$S,$G54,'Input 5_2021CUST-YTD'!F:F)</f>
        <v>7</v>
      </c>
      <c r="BB54" s="1">
        <f>SUMIF('Input 5_2021CUST-YTD'!$S:$S,$G54,'Input 5_2021CUST-YTD'!G:G)</f>
        <v>7</v>
      </c>
      <c r="BC54" s="1">
        <f>SUMIF('Input 5_2021CUST-YTD'!$S:$S,$G54,'Input 5_2021CUST-YTD'!H:H)</f>
        <v>7</v>
      </c>
      <c r="BD54" s="1">
        <f>SUMIF('Input 5_2021CUST-YTD'!$S:$S,$G54,'Input 5_2021CUST-YTD'!I:I)</f>
        <v>7</v>
      </c>
      <c r="BE54" s="1">
        <f>SUMIF('Input 5_2021CUST-YTD'!$S:$S,$G54,'Input 5_2021CUST-YTD'!J:J)</f>
        <v>7</v>
      </c>
      <c r="BF54" s="1">
        <f>SUMIF('Input 5_2021CUST-YTD'!$S:$S,$G54,'Input 5_2021CUST-YTD'!K:K)</f>
        <v>7</v>
      </c>
      <c r="BG54" s="1">
        <f>SUMIF('Input 5_2021CUST-YTD'!$S:$S,$G54,'Input 5_2021CUST-YTD'!L:L)</f>
        <v>6</v>
      </c>
      <c r="BH54" s="1">
        <f>SUMIF('Input 5_2021CUST-YTD'!$S:$S,$G54,'Input 5_2021CUST-YTD'!M:M)</f>
        <v>6</v>
      </c>
      <c r="BI54" s="1">
        <f>SUMIF('Input 5_2021CUST-YTD'!$S:$S,$G54,'Input 5_2021CUST-YTD'!N:N)</f>
        <v>6</v>
      </c>
      <c r="BJ54" s="190">
        <f t="shared" si="32"/>
        <v>6.9262731027151867</v>
      </c>
      <c r="BK54" s="190">
        <f t="shared" si="33"/>
        <v>6.9262731027151867</v>
      </c>
      <c r="BL54" s="190">
        <f t="shared" si="34"/>
        <v>6.9262731027151867</v>
      </c>
      <c r="BM54" s="190">
        <f t="shared" si="35"/>
        <v>6.9262731027151867</v>
      </c>
      <c r="BN54" s="190">
        <f t="shared" si="36"/>
        <v>6.9262731027151867</v>
      </c>
      <c r="BO54" s="190">
        <f t="shared" si="37"/>
        <v>6.9262731027151867</v>
      </c>
      <c r="BP54" s="190">
        <f t="shared" si="38"/>
        <v>6.9262731027151867</v>
      </c>
      <c r="BQ54" s="190">
        <f t="shared" si="39"/>
        <v>6.9262731027151867</v>
      </c>
      <c r="BR54" s="190">
        <f t="shared" si="40"/>
        <v>6.9262731027151867</v>
      </c>
      <c r="BS54" s="190">
        <f t="shared" si="41"/>
        <v>5.9368055166130169</v>
      </c>
      <c r="BT54" s="190">
        <f t="shared" si="42"/>
        <v>5.9368055166130169</v>
      </c>
      <c r="BU54" s="190">
        <f t="shared" si="43"/>
        <v>5.9368055166130169</v>
      </c>
      <c r="BV54" s="190">
        <f t="shared" si="44"/>
        <v>6.8533227276279804</v>
      </c>
      <c r="BW54" s="190">
        <f t="shared" si="45"/>
        <v>6.8533227276279804</v>
      </c>
      <c r="BX54" s="190">
        <f t="shared" si="46"/>
        <v>6.8533227276279804</v>
      </c>
      <c r="BY54" s="190">
        <f t="shared" si="47"/>
        <v>6.8533227276279804</v>
      </c>
      <c r="BZ54" s="190">
        <f t="shared" si="48"/>
        <v>6.8533227276279804</v>
      </c>
      <c r="CA54" s="190">
        <f t="shared" si="49"/>
        <v>6.8533227276279804</v>
      </c>
      <c r="CB54" s="190">
        <f t="shared" si="50"/>
        <v>6.8533227276279804</v>
      </c>
      <c r="CC54" s="190">
        <f t="shared" si="51"/>
        <v>6.8533227276279804</v>
      </c>
      <c r="CD54" s="190">
        <f t="shared" si="52"/>
        <v>6.8533227276279804</v>
      </c>
      <c r="CE54" s="190">
        <f t="shared" si="53"/>
        <v>5.8742766236811255</v>
      </c>
      <c r="CF54" s="190">
        <f t="shared" si="54"/>
        <v>5.8742766236811255</v>
      </c>
      <c r="CG54" s="190">
        <f t="shared" si="55"/>
        <v>5.8742766236811255</v>
      </c>
      <c r="CH54" s="264"/>
      <c r="CI54" s="264">
        <f t="shared" si="1"/>
        <v>90</v>
      </c>
      <c r="CJ54" s="264">
        <f t="shared" si="2"/>
        <v>84</v>
      </c>
      <c r="CK54" s="264">
        <f t="shared" si="3"/>
        <v>84</v>
      </c>
      <c r="CL54" s="264">
        <f t="shared" si="4"/>
        <v>81</v>
      </c>
      <c r="CM54" s="264">
        <f t="shared" si="5"/>
        <v>80.146874474275734</v>
      </c>
      <c r="CN54" s="264">
        <f t="shared" si="6"/>
        <v>79.302734419695213</v>
      </c>
      <c r="CP54" s="574">
        <f>SUMIF('Master '!D:D,D54,'Master '!AB:AB)</f>
        <v>80.146874474275734</v>
      </c>
      <c r="CQ54" s="574">
        <f>SUMIF('Master '!D:D,D54,'Master '!AC:AC)</f>
        <v>79.302734419695199</v>
      </c>
      <c r="CR54" s="264">
        <f t="shared" si="56"/>
        <v>0</v>
      </c>
      <c r="CS54" s="264">
        <f t="shared" si="56"/>
        <v>0</v>
      </c>
    </row>
    <row r="55" spans="1:97" s="261" customFormat="1">
      <c r="A55" s="55" t="s">
        <v>17</v>
      </c>
      <c r="B55" s="55" t="s">
        <v>993</v>
      </c>
      <c r="C55" s="55" t="s">
        <v>1245</v>
      </c>
      <c r="D55" s="55" t="s">
        <v>65</v>
      </c>
      <c r="E55" s="55" t="str">
        <f>VLOOKUP(D55,'Input 14_Ref Table'!C:D,2,FALSE)</f>
        <v>CC601</v>
      </c>
      <c r="F55" s="172" t="s">
        <v>1286</v>
      </c>
      <c r="G55" s="55" t="str">
        <f>VLOOKUP(D55,'Input 14_Ref Table'!C:I,7,FALSE)</f>
        <v>CFG - FTS-4</v>
      </c>
      <c r="H55" s="55" t="str">
        <f>VLOOKUP(D55,'Input 14_Ref Table'!C:K,8,FALSE)</f>
        <v>FTS4</v>
      </c>
      <c r="I55" s="55"/>
      <c r="J55" s="261" t="str">
        <f>INDEX('Master '!$AD$2:AD$65,MATCH(D55,'Master '!$D$2:$D$65,0))</f>
        <v>UPC Growth Rate</v>
      </c>
      <c r="K55" s="567">
        <f>INDEX('Master '!$N$2:N$65,MATCH(D55,'Master '!$D$2:$D$65,0))</f>
        <v>1.8974393636890258E-2</v>
      </c>
      <c r="L55" s="290">
        <f>INDEX('Master '!$S$2:S$65,MATCH(D55,'Master '!$D$2:$D$65,0))</f>
        <v>-1.9094755816262625E-5</v>
      </c>
      <c r="M55" s="1">
        <f>INDEX('Master '!$W$2:W$65,MATCH(D55,'Master '!$D$2:$D$65,0))</f>
        <v>13092.349999999999</v>
      </c>
      <c r="N55" s="55">
        <f>SUMIF('Input 16_2018CUST-YTD'!$S:$S,$G55,'Input 16_2018CUST-YTD'!C:C)</f>
        <v>197</v>
      </c>
      <c r="O55" s="55">
        <f>SUMIF('Input 16_2018CUST-YTD'!$S:$S,$G55,'Input 16_2018CUST-YTD'!D:D)</f>
        <v>197</v>
      </c>
      <c r="P55" s="55">
        <f>SUMIF('Input 16_2018CUST-YTD'!$S:$S,$G55,'Input 16_2018CUST-YTD'!E:E)</f>
        <v>200</v>
      </c>
      <c r="Q55" s="55">
        <f>SUMIF('Input 16_2018CUST-YTD'!$S:$S,$G55,'Input 16_2018CUST-YTD'!F:F)</f>
        <v>204</v>
      </c>
      <c r="R55" s="55">
        <f>SUMIF('Input 16_2018CUST-YTD'!$S:$S,$G55,'Input 16_2018CUST-YTD'!G:G)</f>
        <v>204</v>
      </c>
      <c r="S55" s="55">
        <f>SUMIF('Input 16_2018CUST-YTD'!$S:$S,$G55,'Input 16_2018CUST-YTD'!H:H)</f>
        <v>205</v>
      </c>
      <c r="T55" s="55">
        <f>SUMIF('Input 16_2018CUST-YTD'!$S:$S,$G55,'Input 16_2018CUST-YTD'!I:I)</f>
        <v>205</v>
      </c>
      <c r="U55" s="55">
        <f>SUMIF('Input 16_2018CUST-YTD'!$S:$S,$G55,'Input 16_2018CUST-YTD'!J:J)</f>
        <v>205</v>
      </c>
      <c r="V55" s="55">
        <f>SUMIF('Input 16_2018CUST-YTD'!$S:$S,$G55,'Input 16_2018CUST-YTD'!K:K)</f>
        <v>206</v>
      </c>
      <c r="W55" s="55">
        <f>SUMIF('Input 16_2018CUST-YTD'!$S:$S,$G55,'Input 16_2018CUST-YTD'!L:L)</f>
        <v>204</v>
      </c>
      <c r="X55" s="55">
        <f>SUMIF('Input 16_2018CUST-YTD'!$S:$S,$G55,'Input 16_2018CUST-YTD'!M:M)</f>
        <v>205</v>
      </c>
      <c r="Y55" s="55">
        <f>SUMIF('Input 16_2018CUST-YTD'!$S:$S,$G55,'Input 16_2018CUST-YTD'!N:N)</f>
        <v>208</v>
      </c>
      <c r="Z55" s="1">
        <f>SUMIF('Input 3_2019CUST-YTD'!$S:$S,$G55,'Input 3_2019CUST-YTD'!C:C)</f>
        <v>208</v>
      </c>
      <c r="AA55" s="1">
        <f>SUMIF('Input 3_2019CUST-YTD'!$S:$S,$G55,'Input 3_2019CUST-YTD'!D:D)</f>
        <v>208</v>
      </c>
      <c r="AB55" s="1">
        <f>SUMIF('Input 3_2019CUST-YTD'!$S:$S,$G55,'Input 3_2019CUST-YTD'!E:E)</f>
        <v>208</v>
      </c>
      <c r="AC55" s="1">
        <f>SUMIF('Input 3_2019CUST-YTD'!$S:$S,$G55,'Input 3_2019CUST-YTD'!F:F)</f>
        <v>212</v>
      </c>
      <c r="AD55" s="1">
        <f>SUMIF('Input 3_2019CUST-YTD'!$S:$S,$G55,'Input 3_2019CUST-YTD'!G:G)</f>
        <v>208</v>
      </c>
      <c r="AE55" s="1">
        <f>SUMIF('Input 3_2019CUST-YTD'!$S:$S,$G55,'Input 3_2019CUST-YTD'!H:H)</f>
        <v>210</v>
      </c>
      <c r="AF55" s="1">
        <f>SUMIF('Input 3_2019CUST-YTD'!$S:$S,$G55,'Input 3_2019CUST-YTD'!I:I)</f>
        <v>211</v>
      </c>
      <c r="AG55" s="1">
        <f>SUMIF('Input 3_2019CUST-YTD'!$S:$S,$G55,'Input 3_2019CUST-YTD'!J:J)</f>
        <v>215</v>
      </c>
      <c r="AH55" s="1">
        <f>SUMIF('Input 3_2019CUST-YTD'!$S:$S,$G55,'Input 3_2019CUST-YTD'!K:K)</f>
        <v>210</v>
      </c>
      <c r="AI55" s="1">
        <f>SUMIF('Input 3_2019CUST-YTD'!$S:$S,$G55,'Input 3_2019CUST-YTD'!L:L)</f>
        <v>212</v>
      </c>
      <c r="AJ55" s="1">
        <f>SUMIF('Input 3_2019CUST-YTD'!$S:$S,$G55,'Input 3_2019CUST-YTD'!M:M)</f>
        <v>210</v>
      </c>
      <c r="AK55" s="1">
        <f>SUMIF('Input 3_2019CUST-YTD'!$S:$S,$G55,'Input 3_2019CUST-YTD'!N:N)</f>
        <v>210</v>
      </c>
      <c r="AL55" s="1">
        <f>SUMIF('Input 4_2020CUST-YTD'!$S:$S,$G55,'Input 4_2020CUST-YTD'!C:C)</f>
        <v>210</v>
      </c>
      <c r="AM55" s="1">
        <f>SUMIF('Input 4_2020CUST-YTD'!$S:$S,$G55,'Input 4_2020CUST-YTD'!D:D)</f>
        <v>210</v>
      </c>
      <c r="AN55" s="1">
        <f>SUMIF('Input 4_2020CUST-YTD'!$S:$S,$G55,'Input 4_2020CUST-YTD'!E:E)</f>
        <v>209</v>
      </c>
      <c r="AO55" s="1">
        <f>SUMIF('Input 4_2020CUST-YTD'!$S:$S,$G55,'Input 4_2020CUST-YTD'!F:F)</f>
        <v>209</v>
      </c>
      <c r="AP55" s="1">
        <f>SUMIF('Input 4_2020CUST-YTD'!$S:$S,$G55,'Input 4_2020CUST-YTD'!G:G)</f>
        <v>211</v>
      </c>
      <c r="AQ55" s="1">
        <f>SUMIF('Input 4_2020CUST-YTD'!$S:$S,$G55,'Input 4_2020CUST-YTD'!H:H)</f>
        <v>210</v>
      </c>
      <c r="AR55" s="1">
        <f>SUMIF('Input 4_2020CUST-YTD'!$S:$S,$G55,'Input 4_2020CUST-YTD'!I:I)</f>
        <v>210</v>
      </c>
      <c r="AS55" s="1">
        <f>SUMIF('Input 4_2020CUST-YTD'!$S:$S,$G55,'Input 4_2020CUST-YTD'!J:J)</f>
        <v>211</v>
      </c>
      <c r="AT55" s="1">
        <f>SUMIF('Input 4_2020CUST-YTD'!$S:$S,$G55,'Input 4_2020CUST-YTD'!K:K)</f>
        <v>212</v>
      </c>
      <c r="AU55" s="1">
        <f>SUMIF('Input 4_2020CUST-YTD'!$S:$S,$G55,'Input 4_2020CUST-YTD'!L:L)</f>
        <v>211</v>
      </c>
      <c r="AV55" s="1">
        <f>SUMIF('Input 4_2020CUST-YTD'!$S:$S,$G55,'Input 4_2020CUST-YTD'!M:M)</f>
        <v>208</v>
      </c>
      <c r="AW55" s="1">
        <f>SUMIF('Input 4_2020CUST-YTD'!$S:$S,$G55,'Input 4_2020CUST-YTD'!N:N)</f>
        <v>210</v>
      </c>
      <c r="AX55" s="1">
        <f>SUMIF('Input 5_2021CUST-YTD'!$S:$S,$G55,'Input 5_2021CUST-YTD'!C:C)</f>
        <v>211</v>
      </c>
      <c r="AY55" s="1">
        <f>SUMIF('Input 5_2021CUST-YTD'!$S:$S,$G55,'Input 5_2021CUST-YTD'!D:D)</f>
        <v>210</v>
      </c>
      <c r="AZ55" s="1">
        <f>SUMIF('Input 5_2021CUST-YTD'!$S:$S,$G55,'Input 5_2021CUST-YTD'!E:E)</f>
        <v>211</v>
      </c>
      <c r="BA55" s="1">
        <f>SUMIF('Input 5_2021CUST-YTD'!$S:$S,$G55,'Input 5_2021CUST-YTD'!F:F)</f>
        <v>213</v>
      </c>
      <c r="BB55" s="1">
        <f>SUMIF('Input 5_2021CUST-YTD'!$S:$S,$G55,'Input 5_2021CUST-YTD'!G:G)</f>
        <v>213</v>
      </c>
      <c r="BC55" s="1">
        <f>SUMIF('Input 5_2021CUST-YTD'!$S:$S,$G55,'Input 5_2021CUST-YTD'!H:H)</f>
        <v>213</v>
      </c>
      <c r="BD55" s="1">
        <f>SUMIF('Input 5_2021CUST-YTD'!$S:$S,$G55,'Input 5_2021CUST-YTD'!I:I)</f>
        <v>214</v>
      </c>
      <c r="BE55" s="1">
        <f>SUMIF('Input 5_2021CUST-YTD'!$S:$S,$G55,'Input 5_2021CUST-YTD'!J:J)</f>
        <v>214</v>
      </c>
      <c r="BF55" s="1">
        <f>SUMIF('Input 5_2021CUST-YTD'!$S:$S,$G55,'Input 5_2021CUST-YTD'!K:K)</f>
        <v>215</v>
      </c>
      <c r="BG55" s="1">
        <f>SUMIF('Input 5_2021CUST-YTD'!$S:$S,$G55,'Input 5_2021CUST-YTD'!L:L)</f>
        <v>216</v>
      </c>
      <c r="BH55" s="1">
        <f>SUMIF('Input 5_2021CUST-YTD'!$S:$S,$G55,'Input 5_2021CUST-YTD'!M:M)</f>
        <v>214</v>
      </c>
      <c r="BI55" s="1">
        <f>SUMIF('Input 5_2021CUST-YTD'!$S:$S,$G55,'Input 5_2021CUST-YTD'!N:N)</f>
        <v>212</v>
      </c>
      <c r="BJ55" s="190">
        <f t="shared" si="32"/>
        <v>215.00359705738384</v>
      </c>
      <c r="BK55" s="190">
        <f t="shared" si="33"/>
        <v>213.98462266374696</v>
      </c>
      <c r="BL55" s="190">
        <f t="shared" si="34"/>
        <v>215.00359705738384</v>
      </c>
      <c r="BM55" s="190">
        <f t="shared" si="35"/>
        <v>217.04154584465763</v>
      </c>
      <c r="BN55" s="190">
        <f t="shared" si="36"/>
        <v>217.04154584465763</v>
      </c>
      <c r="BO55" s="190">
        <f t="shared" si="37"/>
        <v>217.04154584465763</v>
      </c>
      <c r="BP55" s="190">
        <f t="shared" si="38"/>
        <v>218.06052023829452</v>
      </c>
      <c r="BQ55" s="190">
        <f t="shared" si="39"/>
        <v>218.06052023829452</v>
      </c>
      <c r="BR55" s="190">
        <f t="shared" si="40"/>
        <v>219.0794946319314</v>
      </c>
      <c r="BS55" s="190">
        <f t="shared" si="41"/>
        <v>220.09846902556831</v>
      </c>
      <c r="BT55" s="190">
        <f t="shared" si="42"/>
        <v>218.06052023829452</v>
      </c>
      <c r="BU55" s="190">
        <f t="shared" si="43"/>
        <v>216.02257145102072</v>
      </c>
      <c r="BV55" s="190">
        <f t="shared" si="44"/>
        <v>219.08315994129799</v>
      </c>
      <c r="BW55" s="190">
        <f t="shared" si="45"/>
        <v>218.04485112641032</v>
      </c>
      <c r="BX55" s="190">
        <f t="shared" si="46"/>
        <v>219.08315994129799</v>
      </c>
      <c r="BY55" s="190">
        <f t="shared" si="47"/>
        <v>221.15977757107333</v>
      </c>
      <c r="BZ55" s="190">
        <f t="shared" si="48"/>
        <v>221.15977757107333</v>
      </c>
      <c r="CA55" s="190">
        <f t="shared" si="49"/>
        <v>221.15977757107333</v>
      </c>
      <c r="CB55" s="190">
        <f t="shared" si="50"/>
        <v>222.19808638596098</v>
      </c>
      <c r="CC55" s="190">
        <f t="shared" si="51"/>
        <v>222.19808638596098</v>
      </c>
      <c r="CD55" s="190">
        <f t="shared" si="52"/>
        <v>223.23639520084865</v>
      </c>
      <c r="CE55" s="190">
        <f t="shared" si="53"/>
        <v>224.27470401573635</v>
      </c>
      <c r="CF55" s="190">
        <f t="shared" si="54"/>
        <v>222.19808638596098</v>
      </c>
      <c r="CG55" s="190">
        <f t="shared" si="55"/>
        <v>220.12146875618564</v>
      </c>
      <c r="CH55" s="264"/>
      <c r="CI55" s="264">
        <f t="shared" si="1"/>
        <v>2440</v>
      </c>
      <c r="CJ55" s="264">
        <f t="shared" si="2"/>
        <v>2522</v>
      </c>
      <c r="CK55" s="264">
        <f t="shared" si="3"/>
        <v>2521</v>
      </c>
      <c r="CL55" s="264">
        <f t="shared" si="4"/>
        <v>2556</v>
      </c>
      <c r="CM55" s="264">
        <f t="shared" si="5"/>
        <v>2604.498550135891</v>
      </c>
      <c r="CN55" s="264">
        <f t="shared" si="6"/>
        <v>2653.9173308528798</v>
      </c>
      <c r="CP55" s="574">
        <f>SUMIF('Master '!D:D,D55,'Master '!AB:AB)</f>
        <v>2604.4985501358915</v>
      </c>
      <c r="CQ55" s="574">
        <f>SUMIF('Master '!D:D,D55,'Master '!AC:AC)</f>
        <v>2653.9173308528798</v>
      </c>
      <c r="CR55" s="264">
        <f t="shared" si="56"/>
        <v>0</v>
      </c>
      <c r="CS55" s="264">
        <f t="shared" si="56"/>
        <v>0</v>
      </c>
    </row>
    <row r="56" spans="1:97" s="261" customFormat="1">
      <c r="A56" s="55" t="s">
        <v>17</v>
      </c>
      <c r="B56" s="55" t="s">
        <v>993</v>
      </c>
      <c r="C56" s="55" t="s">
        <v>1245</v>
      </c>
      <c r="D56" s="55" t="s">
        <v>67</v>
      </c>
      <c r="E56" s="55" t="str">
        <f>VLOOKUP(D56,'Input 14_Ref Table'!C:D,2,FALSE)</f>
        <v>CC602</v>
      </c>
      <c r="F56" s="172" t="s">
        <v>1286</v>
      </c>
      <c r="G56" s="55" t="str">
        <f>VLOOKUP(D56,'Input 14_Ref Table'!C:I,7,FALSE)</f>
        <v>CFG - FTS-5</v>
      </c>
      <c r="H56" s="55" t="str">
        <f>VLOOKUP(D56,'Input 14_Ref Table'!C:K,8,FALSE)</f>
        <v>Base Period</v>
      </c>
      <c r="I56" s="55"/>
      <c r="J56" s="261" t="str">
        <f>INDEX('Master '!$AD$2:AD$65,MATCH(D56,'Master '!$D$2:$D$65,0))</f>
        <v>Base Period</v>
      </c>
      <c r="K56" s="567">
        <f>INDEX('Master '!$N$2:N$65,MATCH(D56,'Master '!$D$2:$D$65,0))</f>
        <v>0</v>
      </c>
      <c r="L56" s="290">
        <f>INDEX('Master '!$S$2:S$65,MATCH(D56,'Master '!$D$2:$D$65,0))</f>
        <v>0</v>
      </c>
      <c r="M56" s="1">
        <f>INDEX('Master '!$W$2:W$65,MATCH(D56,'Master '!$D$2:$D$65,0))</f>
        <v>29072.603888888887</v>
      </c>
      <c r="N56" s="55">
        <f>SUMIF('Input 16_2018CUST-YTD'!$S:$S,$G56,'Input 16_2018CUST-YTD'!C:C)</f>
        <v>35</v>
      </c>
      <c r="O56" s="55">
        <f>SUMIF('Input 16_2018CUST-YTD'!$S:$S,$G56,'Input 16_2018CUST-YTD'!D:D)</f>
        <v>37</v>
      </c>
      <c r="P56" s="55">
        <f>SUMIF('Input 16_2018CUST-YTD'!$S:$S,$G56,'Input 16_2018CUST-YTD'!E:E)</f>
        <v>37</v>
      </c>
      <c r="Q56" s="55">
        <f>SUMIF('Input 16_2018CUST-YTD'!$S:$S,$G56,'Input 16_2018CUST-YTD'!F:F)</f>
        <v>33</v>
      </c>
      <c r="R56" s="55">
        <f>SUMIF('Input 16_2018CUST-YTD'!$S:$S,$G56,'Input 16_2018CUST-YTD'!G:G)</f>
        <v>33</v>
      </c>
      <c r="S56" s="55">
        <f>SUMIF('Input 16_2018CUST-YTD'!$S:$S,$G56,'Input 16_2018CUST-YTD'!H:H)</f>
        <v>33</v>
      </c>
      <c r="T56" s="55">
        <f>SUMIF('Input 16_2018CUST-YTD'!$S:$S,$G56,'Input 16_2018CUST-YTD'!I:I)</f>
        <v>33</v>
      </c>
      <c r="U56" s="55">
        <f>SUMIF('Input 16_2018CUST-YTD'!$S:$S,$G56,'Input 16_2018CUST-YTD'!J:J)</f>
        <v>34</v>
      </c>
      <c r="V56" s="55">
        <f>SUMIF('Input 16_2018CUST-YTD'!$S:$S,$G56,'Input 16_2018CUST-YTD'!K:K)</f>
        <v>34</v>
      </c>
      <c r="W56" s="55">
        <f>SUMIF('Input 16_2018CUST-YTD'!$S:$S,$G56,'Input 16_2018CUST-YTD'!L:L)</f>
        <v>34</v>
      </c>
      <c r="X56" s="55">
        <f>SUMIF('Input 16_2018CUST-YTD'!$S:$S,$G56,'Input 16_2018CUST-YTD'!M:M)</f>
        <v>34</v>
      </c>
      <c r="Y56" s="55">
        <f>SUMIF('Input 16_2018CUST-YTD'!$S:$S,$G56,'Input 16_2018CUST-YTD'!N:N)</f>
        <v>34</v>
      </c>
      <c r="Z56" s="1">
        <f>SUMIF('Input 3_2019CUST-YTD'!$S:$S,$G56,'Input 3_2019CUST-YTD'!C:C)</f>
        <v>34</v>
      </c>
      <c r="AA56" s="1">
        <f>SUMIF('Input 3_2019CUST-YTD'!$S:$S,$G56,'Input 3_2019CUST-YTD'!D:D)</f>
        <v>34</v>
      </c>
      <c r="AB56" s="1">
        <f>SUMIF('Input 3_2019CUST-YTD'!$S:$S,$G56,'Input 3_2019CUST-YTD'!E:E)</f>
        <v>34</v>
      </c>
      <c r="AC56" s="1">
        <f>SUMIF('Input 3_2019CUST-YTD'!$S:$S,$G56,'Input 3_2019CUST-YTD'!F:F)</f>
        <v>34</v>
      </c>
      <c r="AD56" s="1">
        <f>SUMIF('Input 3_2019CUST-YTD'!$S:$S,$G56,'Input 3_2019CUST-YTD'!G:G)</f>
        <v>34</v>
      </c>
      <c r="AE56" s="1">
        <f>SUMIF('Input 3_2019CUST-YTD'!$S:$S,$G56,'Input 3_2019CUST-YTD'!H:H)</f>
        <v>34</v>
      </c>
      <c r="AF56" s="1">
        <f>SUMIF('Input 3_2019CUST-YTD'!$S:$S,$G56,'Input 3_2019CUST-YTD'!I:I)</f>
        <v>36</v>
      </c>
      <c r="AG56" s="1">
        <f>SUMIF('Input 3_2019CUST-YTD'!$S:$S,$G56,'Input 3_2019CUST-YTD'!J:J)</f>
        <v>34</v>
      </c>
      <c r="AH56" s="1">
        <f>SUMIF('Input 3_2019CUST-YTD'!$S:$S,$G56,'Input 3_2019CUST-YTD'!K:K)</f>
        <v>34</v>
      </c>
      <c r="AI56" s="1">
        <f>SUMIF('Input 3_2019CUST-YTD'!$S:$S,$G56,'Input 3_2019CUST-YTD'!L:L)</f>
        <v>35</v>
      </c>
      <c r="AJ56" s="1">
        <f>SUMIF('Input 3_2019CUST-YTD'!$S:$S,$G56,'Input 3_2019CUST-YTD'!M:M)</f>
        <v>35</v>
      </c>
      <c r="AK56" s="1">
        <f>SUMIF('Input 3_2019CUST-YTD'!$S:$S,$G56,'Input 3_2019CUST-YTD'!N:N)</f>
        <v>36</v>
      </c>
      <c r="AL56" s="1">
        <f>SUMIF('Input 4_2020CUST-YTD'!$S:$S,$G56,'Input 4_2020CUST-YTD'!C:C)</f>
        <v>36</v>
      </c>
      <c r="AM56" s="1">
        <f>SUMIF('Input 4_2020CUST-YTD'!$S:$S,$G56,'Input 4_2020CUST-YTD'!D:D)</f>
        <v>36</v>
      </c>
      <c r="AN56" s="1">
        <f>SUMIF('Input 4_2020CUST-YTD'!$S:$S,$G56,'Input 4_2020CUST-YTD'!E:E)</f>
        <v>36</v>
      </c>
      <c r="AO56" s="1">
        <f>SUMIF('Input 4_2020CUST-YTD'!$S:$S,$G56,'Input 4_2020CUST-YTD'!F:F)</f>
        <v>36</v>
      </c>
      <c r="AP56" s="1">
        <f>SUMIF('Input 4_2020CUST-YTD'!$S:$S,$G56,'Input 4_2020CUST-YTD'!G:G)</f>
        <v>36</v>
      </c>
      <c r="AQ56" s="1">
        <f>SUMIF('Input 4_2020CUST-YTD'!$S:$S,$G56,'Input 4_2020CUST-YTD'!H:H)</f>
        <v>36</v>
      </c>
      <c r="AR56" s="1">
        <f>SUMIF('Input 4_2020CUST-YTD'!$S:$S,$G56,'Input 4_2020CUST-YTD'!I:I)</f>
        <v>36</v>
      </c>
      <c r="AS56" s="1">
        <f>SUMIF('Input 4_2020CUST-YTD'!$S:$S,$G56,'Input 4_2020CUST-YTD'!J:J)</f>
        <v>36</v>
      </c>
      <c r="AT56" s="1">
        <f>SUMIF('Input 4_2020CUST-YTD'!$S:$S,$G56,'Input 4_2020CUST-YTD'!K:K)</f>
        <v>36</v>
      </c>
      <c r="AU56" s="1">
        <f>SUMIF('Input 4_2020CUST-YTD'!$S:$S,$G56,'Input 4_2020CUST-YTD'!L:L)</f>
        <v>36</v>
      </c>
      <c r="AV56" s="1">
        <f>SUMIF('Input 4_2020CUST-YTD'!$S:$S,$G56,'Input 4_2020CUST-YTD'!M:M)</f>
        <v>36</v>
      </c>
      <c r="AW56" s="1">
        <f>SUMIF('Input 4_2020CUST-YTD'!$S:$S,$G56,'Input 4_2020CUST-YTD'!N:N)</f>
        <v>36</v>
      </c>
      <c r="AX56" s="1">
        <f>SUMIF('Input 5_2021CUST-YTD'!$S:$S,$G56,'Input 5_2021CUST-YTD'!C:C)</f>
        <v>36</v>
      </c>
      <c r="AY56" s="1">
        <f>SUMIF('Input 5_2021CUST-YTD'!$S:$S,$G56,'Input 5_2021CUST-YTD'!D:D)</f>
        <v>36</v>
      </c>
      <c r="AZ56" s="1">
        <f>SUMIF('Input 5_2021CUST-YTD'!$S:$S,$G56,'Input 5_2021CUST-YTD'!E:E)</f>
        <v>36</v>
      </c>
      <c r="BA56" s="1">
        <f>SUMIF('Input 5_2021CUST-YTD'!$S:$S,$G56,'Input 5_2021CUST-YTD'!F:F)</f>
        <v>36</v>
      </c>
      <c r="BB56" s="1">
        <f>SUMIF('Input 5_2021CUST-YTD'!$S:$S,$G56,'Input 5_2021CUST-YTD'!G:G)</f>
        <v>36</v>
      </c>
      <c r="BC56" s="1">
        <f>SUMIF('Input 5_2021CUST-YTD'!$S:$S,$G56,'Input 5_2021CUST-YTD'!H:H)</f>
        <v>36</v>
      </c>
      <c r="BD56" s="1">
        <f>SUMIF('Input 5_2021CUST-YTD'!$S:$S,$G56,'Input 5_2021CUST-YTD'!I:I)</f>
        <v>35</v>
      </c>
      <c r="BE56" s="1">
        <f>SUMIF('Input 5_2021CUST-YTD'!$S:$S,$G56,'Input 5_2021CUST-YTD'!J:J)</f>
        <v>36</v>
      </c>
      <c r="BF56" s="1">
        <f>SUMIF('Input 5_2021CUST-YTD'!$S:$S,$G56,'Input 5_2021CUST-YTD'!K:K)</f>
        <v>36</v>
      </c>
      <c r="BG56" s="1">
        <f>SUMIF('Input 5_2021CUST-YTD'!$S:$S,$G56,'Input 5_2021CUST-YTD'!L:L)</f>
        <v>36</v>
      </c>
      <c r="BH56" s="1">
        <f>SUMIF('Input 5_2021CUST-YTD'!$S:$S,$G56,'Input 5_2021CUST-YTD'!M:M)</f>
        <v>36</v>
      </c>
      <c r="BI56" s="1">
        <f>SUMIF('Input 5_2021CUST-YTD'!$S:$S,$G56,'Input 5_2021CUST-YTD'!N:N)</f>
        <v>37</v>
      </c>
      <c r="BJ56" s="190">
        <f t="shared" si="32"/>
        <v>36</v>
      </c>
      <c r="BK56" s="190">
        <f t="shared" si="33"/>
        <v>36</v>
      </c>
      <c r="BL56" s="190">
        <f t="shared" si="34"/>
        <v>36</v>
      </c>
      <c r="BM56" s="190">
        <f t="shared" si="35"/>
        <v>36</v>
      </c>
      <c r="BN56" s="190">
        <f t="shared" si="36"/>
        <v>36</v>
      </c>
      <c r="BO56" s="190">
        <f t="shared" si="37"/>
        <v>36</v>
      </c>
      <c r="BP56" s="190">
        <f t="shared" si="38"/>
        <v>35</v>
      </c>
      <c r="BQ56" s="190">
        <f t="shared" si="39"/>
        <v>36</v>
      </c>
      <c r="BR56" s="190">
        <f t="shared" si="40"/>
        <v>36</v>
      </c>
      <c r="BS56" s="190">
        <f t="shared" si="41"/>
        <v>36</v>
      </c>
      <c r="BT56" s="190">
        <f t="shared" si="42"/>
        <v>36</v>
      </c>
      <c r="BU56" s="190">
        <f t="shared" si="43"/>
        <v>37</v>
      </c>
      <c r="BV56" s="190">
        <f t="shared" si="44"/>
        <v>36</v>
      </c>
      <c r="BW56" s="190">
        <f t="shared" si="45"/>
        <v>36</v>
      </c>
      <c r="BX56" s="190">
        <f t="shared" si="46"/>
        <v>36</v>
      </c>
      <c r="BY56" s="190">
        <f t="shared" si="47"/>
        <v>36</v>
      </c>
      <c r="BZ56" s="190">
        <f t="shared" si="48"/>
        <v>36</v>
      </c>
      <c r="CA56" s="190">
        <f t="shared" si="49"/>
        <v>36</v>
      </c>
      <c r="CB56" s="190">
        <f t="shared" si="50"/>
        <v>35</v>
      </c>
      <c r="CC56" s="190">
        <f t="shared" si="51"/>
        <v>36</v>
      </c>
      <c r="CD56" s="190">
        <f t="shared" si="52"/>
        <v>36</v>
      </c>
      <c r="CE56" s="190">
        <f t="shared" si="53"/>
        <v>36</v>
      </c>
      <c r="CF56" s="190">
        <f t="shared" si="54"/>
        <v>36</v>
      </c>
      <c r="CG56" s="190">
        <f t="shared" si="55"/>
        <v>37</v>
      </c>
      <c r="CH56" s="264"/>
      <c r="CI56" s="264">
        <f t="shared" si="1"/>
        <v>411</v>
      </c>
      <c r="CJ56" s="264">
        <f t="shared" si="2"/>
        <v>414</v>
      </c>
      <c r="CK56" s="264">
        <f t="shared" si="3"/>
        <v>432</v>
      </c>
      <c r="CL56" s="264">
        <f t="shared" si="4"/>
        <v>432</v>
      </c>
      <c r="CM56" s="264">
        <f t="shared" si="5"/>
        <v>432</v>
      </c>
      <c r="CN56" s="264">
        <f t="shared" si="6"/>
        <v>432</v>
      </c>
      <c r="CP56" s="574">
        <f>SUMIF('Master '!D:D,D56,'Master '!AB:AB)</f>
        <v>432</v>
      </c>
      <c r="CQ56" s="574">
        <f>SUMIF('Master '!D:D,D56,'Master '!AC:AC)</f>
        <v>432</v>
      </c>
      <c r="CR56" s="264">
        <f t="shared" si="56"/>
        <v>0</v>
      </c>
      <c r="CS56" s="264">
        <f t="shared" si="56"/>
        <v>0</v>
      </c>
    </row>
    <row r="57" spans="1:97" s="261" customFormat="1">
      <c r="A57" s="55" t="s">
        <v>17</v>
      </c>
      <c r="B57" s="55" t="s">
        <v>993</v>
      </c>
      <c r="C57" s="55" t="s">
        <v>1245</v>
      </c>
      <c r="D57" s="55" t="s">
        <v>69</v>
      </c>
      <c r="E57" s="55" t="str">
        <f>VLOOKUP(D57,'Input 14_Ref Table'!C:D,2,FALSE)</f>
        <v>CC603</v>
      </c>
      <c r="F57" s="172" t="s">
        <v>1286</v>
      </c>
      <c r="G57" s="55" t="str">
        <f>VLOOKUP(D57,'Input 14_Ref Table'!C:I,7,FALSE)</f>
        <v>CFG - FTS-6</v>
      </c>
      <c r="H57" s="55" t="str">
        <f>VLOOKUP(D57,'Input 14_Ref Table'!C:K,8,FALSE)</f>
        <v>Base Period</v>
      </c>
      <c r="I57" s="55"/>
      <c r="J57" s="261" t="str">
        <f>INDEX('Master '!$AD$2:AD$65,MATCH(D57,'Master '!$D$2:$D$65,0))</f>
        <v>Base Period</v>
      </c>
      <c r="K57" s="567">
        <f>INDEX('Master '!$N$2:N$65,MATCH(D57,'Master '!$D$2:$D$65,0))</f>
        <v>0</v>
      </c>
      <c r="L57" s="290">
        <f>INDEX('Master '!$S$2:S$65,MATCH(D57,'Master '!$D$2:$D$65,0))</f>
        <v>0</v>
      </c>
      <c r="M57" s="1">
        <f>INDEX('Master '!$W$2:W$65,MATCH(D57,'Master '!$D$2:$D$65,0))</f>
        <v>82722.10633333333</v>
      </c>
      <c r="N57" s="55">
        <f>SUMIF('Input 16_2018CUST-YTD'!$S:$S,$G57,'Input 16_2018CUST-YTD'!C:C)</f>
        <v>23</v>
      </c>
      <c r="O57" s="55">
        <f>SUMIF('Input 16_2018CUST-YTD'!$S:$S,$G57,'Input 16_2018CUST-YTD'!D:D)</f>
        <v>24</v>
      </c>
      <c r="P57" s="55">
        <f>SUMIF('Input 16_2018CUST-YTD'!$S:$S,$G57,'Input 16_2018CUST-YTD'!E:E)</f>
        <v>25</v>
      </c>
      <c r="Q57" s="55">
        <f>SUMIF('Input 16_2018CUST-YTD'!$S:$S,$G57,'Input 16_2018CUST-YTD'!F:F)</f>
        <v>26</v>
      </c>
      <c r="R57" s="55">
        <f>SUMIF('Input 16_2018CUST-YTD'!$S:$S,$G57,'Input 16_2018CUST-YTD'!G:G)</f>
        <v>26</v>
      </c>
      <c r="S57" s="55">
        <f>SUMIF('Input 16_2018CUST-YTD'!$S:$S,$G57,'Input 16_2018CUST-YTD'!H:H)</f>
        <v>26</v>
      </c>
      <c r="T57" s="55">
        <f>SUMIF('Input 16_2018CUST-YTD'!$S:$S,$G57,'Input 16_2018CUST-YTD'!I:I)</f>
        <v>26</v>
      </c>
      <c r="U57" s="55">
        <f>SUMIF('Input 16_2018CUST-YTD'!$S:$S,$G57,'Input 16_2018CUST-YTD'!J:J)</f>
        <v>26</v>
      </c>
      <c r="V57" s="55">
        <f>SUMIF('Input 16_2018CUST-YTD'!$S:$S,$G57,'Input 16_2018CUST-YTD'!K:K)</f>
        <v>26</v>
      </c>
      <c r="W57" s="55">
        <f>SUMIF('Input 16_2018CUST-YTD'!$S:$S,$G57,'Input 16_2018CUST-YTD'!L:L)</f>
        <v>27</v>
      </c>
      <c r="X57" s="55">
        <f>SUMIF('Input 16_2018CUST-YTD'!$S:$S,$G57,'Input 16_2018CUST-YTD'!M:M)</f>
        <v>27</v>
      </c>
      <c r="Y57" s="55">
        <f>SUMIF('Input 16_2018CUST-YTD'!$S:$S,$G57,'Input 16_2018CUST-YTD'!N:N)</f>
        <v>26</v>
      </c>
      <c r="Z57" s="1">
        <f>SUMIF('Input 3_2019CUST-YTD'!$S:$S,$G57,'Input 3_2019CUST-YTD'!C:C)</f>
        <v>26</v>
      </c>
      <c r="AA57" s="1">
        <f>SUMIF('Input 3_2019CUST-YTD'!$S:$S,$G57,'Input 3_2019CUST-YTD'!D:D)</f>
        <v>26</v>
      </c>
      <c r="AB57" s="1">
        <f>SUMIF('Input 3_2019CUST-YTD'!$S:$S,$G57,'Input 3_2019CUST-YTD'!E:E)</f>
        <v>26</v>
      </c>
      <c r="AC57" s="1">
        <f>SUMIF('Input 3_2019CUST-YTD'!$S:$S,$G57,'Input 3_2019CUST-YTD'!F:F)</f>
        <v>26</v>
      </c>
      <c r="AD57" s="1">
        <f>SUMIF('Input 3_2019CUST-YTD'!$S:$S,$G57,'Input 3_2019CUST-YTD'!G:G)</f>
        <v>26</v>
      </c>
      <c r="AE57" s="1">
        <f>SUMIF('Input 3_2019CUST-YTD'!$S:$S,$G57,'Input 3_2019CUST-YTD'!H:H)</f>
        <v>26</v>
      </c>
      <c r="AF57" s="1">
        <f>SUMIF('Input 3_2019CUST-YTD'!$S:$S,$G57,'Input 3_2019CUST-YTD'!I:I)</f>
        <v>26</v>
      </c>
      <c r="AG57" s="1">
        <f>SUMIF('Input 3_2019CUST-YTD'!$S:$S,$G57,'Input 3_2019CUST-YTD'!J:J)</f>
        <v>27</v>
      </c>
      <c r="AH57" s="1">
        <f>SUMIF('Input 3_2019CUST-YTD'!$S:$S,$G57,'Input 3_2019CUST-YTD'!K:K)</f>
        <v>25</v>
      </c>
      <c r="AI57" s="1">
        <f>SUMIF('Input 3_2019CUST-YTD'!$S:$S,$G57,'Input 3_2019CUST-YTD'!L:L)</f>
        <v>26</v>
      </c>
      <c r="AJ57" s="1">
        <f>SUMIF('Input 3_2019CUST-YTD'!$S:$S,$G57,'Input 3_2019CUST-YTD'!M:M)</f>
        <v>26</v>
      </c>
      <c r="AK57" s="1">
        <f>SUMIF('Input 3_2019CUST-YTD'!$S:$S,$G57,'Input 3_2019CUST-YTD'!N:N)</f>
        <v>26</v>
      </c>
      <c r="AL57" s="1">
        <f>SUMIF('Input 4_2020CUST-YTD'!$S:$S,$G57,'Input 4_2020CUST-YTD'!C:C)</f>
        <v>26</v>
      </c>
      <c r="AM57" s="1">
        <f>SUMIF('Input 4_2020CUST-YTD'!$S:$S,$G57,'Input 4_2020CUST-YTD'!D:D)</f>
        <v>27</v>
      </c>
      <c r="AN57" s="1">
        <f>SUMIF('Input 4_2020CUST-YTD'!$S:$S,$G57,'Input 4_2020CUST-YTD'!E:E)</f>
        <v>26</v>
      </c>
      <c r="AO57" s="1">
        <f>SUMIF('Input 4_2020CUST-YTD'!$S:$S,$G57,'Input 4_2020CUST-YTD'!F:F)</f>
        <v>27</v>
      </c>
      <c r="AP57" s="1">
        <f>SUMIF('Input 4_2020CUST-YTD'!$S:$S,$G57,'Input 4_2020CUST-YTD'!G:G)</f>
        <v>27</v>
      </c>
      <c r="AQ57" s="1">
        <f>SUMIF('Input 4_2020CUST-YTD'!$S:$S,$G57,'Input 4_2020CUST-YTD'!H:H)</f>
        <v>27</v>
      </c>
      <c r="AR57" s="1">
        <f>SUMIF('Input 4_2020CUST-YTD'!$S:$S,$G57,'Input 4_2020CUST-YTD'!I:I)</f>
        <v>27</v>
      </c>
      <c r="AS57" s="1">
        <f>SUMIF('Input 4_2020CUST-YTD'!$S:$S,$G57,'Input 4_2020CUST-YTD'!J:J)</f>
        <v>28</v>
      </c>
      <c r="AT57" s="1">
        <f>SUMIF('Input 4_2020CUST-YTD'!$S:$S,$G57,'Input 4_2020CUST-YTD'!K:K)</f>
        <v>29</v>
      </c>
      <c r="AU57" s="1">
        <f>SUMIF('Input 4_2020CUST-YTD'!$S:$S,$G57,'Input 4_2020CUST-YTD'!L:L)</f>
        <v>28</v>
      </c>
      <c r="AV57" s="1">
        <f>SUMIF('Input 4_2020CUST-YTD'!$S:$S,$G57,'Input 4_2020CUST-YTD'!M:M)</f>
        <v>29</v>
      </c>
      <c r="AW57" s="1">
        <f>SUMIF('Input 4_2020CUST-YTD'!$S:$S,$G57,'Input 4_2020CUST-YTD'!N:N)</f>
        <v>29</v>
      </c>
      <c r="AX57" s="1">
        <f>SUMIF('Input 5_2021CUST-YTD'!$S:$S,$G57,'Input 5_2021CUST-YTD'!C:C)</f>
        <v>28</v>
      </c>
      <c r="AY57" s="1">
        <f>SUMIF('Input 5_2021CUST-YTD'!$S:$S,$G57,'Input 5_2021CUST-YTD'!D:D)</f>
        <v>29</v>
      </c>
      <c r="AZ57" s="1">
        <f>SUMIF('Input 5_2021CUST-YTD'!$S:$S,$G57,'Input 5_2021CUST-YTD'!E:E)</f>
        <v>28</v>
      </c>
      <c r="BA57" s="1">
        <f>SUMIF('Input 5_2021CUST-YTD'!$S:$S,$G57,'Input 5_2021CUST-YTD'!F:F)</f>
        <v>30</v>
      </c>
      <c r="BB57" s="1">
        <f>SUMIF('Input 5_2021CUST-YTD'!$S:$S,$G57,'Input 5_2021CUST-YTD'!G:G)</f>
        <v>30</v>
      </c>
      <c r="BC57" s="1">
        <f>SUMIF('Input 5_2021CUST-YTD'!$S:$S,$G57,'Input 5_2021CUST-YTD'!H:H)</f>
        <v>30</v>
      </c>
      <c r="BD57" s="1">
        <f>SUMIF('Input 5_2021CUST-YTD'!$S:$S,$G57,'Input 5_2021CUST-YTD'!I:I)</f>
        <v>30</v>
      </c>
      <c r="BE57" s="1">
        <f>SUMIF('Input 5_2021CUST-YTD'!$S:$S,$G57,'Input 5_2021CUST-YTD'!J:J)</f>
        <v>31</v>
      </c>
      <c r="BF57" s="1">
        <f>SUMIF('Input 5_2021CUST-YTD'!$S:$S,$G57,'Input 5_2021CUST-YTD'!K:K)</f>
        <v>30</v>
      </c>
      <c r="BG57" s="1">
        <f>SUMIF('Input 5_2021CUST-YTD'!$S:$S,$G57,'Input 5_2021CUST-YTD'!L:L)</f>
        <v>31</v>
      </c>
      <c r="BH57" s="1">
        <f>SUMIF('Input 5_2021CUST-YTD'!$S:$S,$G57,'Input 5_2021CUST-YTD'!M:M)</f>
        <v>32</v>
      </c>
      <c r="BI57" s="1">
        <f>SUMIF('Input 5_2021CUST-YTD'!$S:$S,$G57,'Input 5_2021CUST-YTD'!N:N)</f>
        <v>31</v>
      </c>
      <c r="BJ57" s="190">
        <f t="shared" si="32"/>
        <v>28</v>
      </c>
      <c r="BK57" s="190">
        <f t="shared" si="33"/>
        <v>29</v>
      </c>
      <c r="BL57" s="190">
        <f t="shared" si="34"/>
        <v>28</v>
      </c>
      <c r="BM57" s="190">
        <f t="shared" si="35"/>
        <v>30</v>
      </c>
      <c r="BN57" s="190">
        <f t="shared" si="36"/>
        <v>30</v>
      </c>
      <c r="BO57" s="190">
        <f t="shared" si="37"/>
        <v>30</v>
      </c>
      <c r="BP57" s="190">
        <f t="shared" si="38"/>
        <v>30</v>
      </c>
      <c r="BQ57" s="190">
        <f t="shared" si="39"/>
        <v>31</v>
      </c>
      <c r="BR57" s="190">
        <f t="shared" si="40"/>
        <v>30</v>
      </c>
      <c r="BS57" s="190">
        <f t="shared" si="41"/>
        <v>31</v>
      </c>
      <c r="BT57" s="190">
        <f t="shared" si="42"/>
        <v>32</v>
      </c>
      <c r="BU57" s="190">
        <f t="shared" si="43"/>
        <v>31</v>
      </c>
      <c r="BV57" s="190">
        <f t="shared" si="44"/>
        <v>28</v>
      </c>
      <c r="BW57" s="190">
        <f t="shared" si="45"/>
        <v>29</v>
      </c>
      <c r="BX57" s="190">
        <f t="shared" si="46"/>
        <v>28</v>
      </c>
      <c r="BY57" s="190">
        <f t="shared" si="47"/>
        <v>30</v>
      </c>
      <c r="BZ57" s="190">
        <f t="shared" si="48"/>
        <v>30</v>
      </c>
      <c r="CA57" s="190">
        <f t="shared" si="49"/>
        <v>30</v>
      </c>
      <c r="CB57" s="190">
        <f t="shared" si="50"/>
        <v>30</v>
      </c>
      <c r="CC57" s="190">
        <f t="shared" si="51"/>
        <v>31</v>
      </c>
      <c r="CD57" s="190">
        <f t="shared" si="52"/>
        <v>30</v>
      </c>
      <c r="CE57" s="190">
        <f t="shared" si="53"/>
        <v>31</v>
      </c>
      <c r="CF57" s="190">
        <f t="shared" si="54"/>
        <v>32</v>
      </c>
      <c r="CG57" s="190">
        <f t="shared" si="55"/>
        <v>31</v>
      </c>
      <c r="CH57" s="264"/>
      <c r="CI57" s="264">
        <f t="shared" si="1"/>
        <v>308</v>
      </c>
      <c r="CJ57" s="264">
        <f t="shared" si="2"/>
        <v>312</v>
      </c>
      <c r="CK57" s="264">
        <f t="shared" si="3"/>
        <v>330</v>
      </c>
      <c r="CL57" s="264">
        <f t="shared" si="4"/>
        <v>360</v>
      </c>
      <c r="CM57" s="264">
        <f t="shared" si="5"/>
        <v>360</v>
      </c>
      <c r="CN57" s="264">
        <f t="shared" si="6"/>
        <v>360</v>
      </c>
      <c r="CP57" s="574">
        <f>SUMIF('Master '!D:D,D57,'Master '!AB:AB)</f>
        <v>360</v>
      </c>
      <c r="CQ57" s="574">
        <f>SUMIF('Master '!D:D,D57,'Master '!AC:AC)</f>
        <v>360</v>
      </c>
      <c r="CR57" s="264">
        <f t="shared" si="56"/>
        <v>0</v>
      </c>
      <c r="CS57" s="264">
        <f t="shared" si="56"/>
        <v>0</v>
      </c>
    </row>
    <row r="58" spans="1:97" s="261" customFormat="1">
      <c r="A58" s="55" t="s">
        <v>17</v>
      </c>
      <c r="B58" s="55" t="s">
        <v>993</v>
      </c>
      <c r="C58" s="55" t="s">
        <v>1245</v>
      </c>
      <c r="D58" s="55" t="s">
        <v>71</v>
      </c>
      <c r="E58" s="55" t="str">
        <f>VLOOKUP(D58,'Input 14_Ref Table'!C:D,2,FALSE)</f>
        <v>CC605</v>
      </c>
      <c r="F58" s="172" t="s">
        <v>1286</v>
      </c>
      <c r="G58" s="55" t="str">
        <f>VLOOKUP(D58,'Input 14_Ref Table'!C:I,7,FALSE)</f>
        <v>CFG - FTS-7</v>
      </c>
      <c r="H58" s="55" t="str">
        <f>VLOOKUP(D58,'Input 14_Ref Table'!C:K,8,FALSE)</f>
        <v>Base Period</v>
      </c>
      <c r="I58" s="55"/>
      <c r="J58" s="261" t="str">
        <f>INDEX('Master '!$AD$2:AD$65,MATCH(D58,'Master '!$D$2:$D$65,0))</f>
        <v>Base Period</v>
      </c>
      <c r="K58" s="567">
        <f>INDEX('Master '!$N$2:N$65,MATCH(D58,'Master '!$D$2:$D$65,0))</f>
        <v>0</v>
      </c>
      <c r="L58" s="290">
        <f>INDEX('Master '!$S$2:S$65,MATCH(D58,'Master '!$D$2:$D$65,0))</f>
        <v>0</v>
      </c>
      <c r="M58" s="1">
        <f>INDEX('Master '!$W$2:W$65,MATCH(D58,'Master '!$D$2:$D$65,0))</f>
        <v>165170.7373076923</v>
      </c>
      <c r="N58" s="55">
        <f>SUMIF('Input 16_2018CUST-YTD'!$S:$S,$G58,'Input 16_2018CUST-YTD'!C:C)</f>
        <v>23</v>
      </c>
      <c r="O58" s="55">
        <f>SUMIF('Input 16_2018CUST-YTD'!$S:$S,$G58,'Input 16_2018CUST-YTD'!D:D)</f>
        <v>22</v>
      </c>
      <c r="P58" s="55">
        <f>SUMIF('Input 16_2018CUST-YTD'!$S:$S,$G58,'Input 16_2018CUST-YTD'!E:E)</f>
        <v>22</v>
      </c>
      <c r="Q58" s="55">
        <f>SUMIF('Input 16_2018CUST-YTD'!$S:$S,$G58,'Input 16_2018CUST-YTD'!F:F)</f>
        <v>21</v>
      </c>
      <c r="R58" s="55">
        <f>SUMIF('Input 16_2018CUST-YTD'!$S:$S,$G58,'Input 16_2018CUST-YTD'!G:G)</f>
        <v>21</v>
      </c>
      <c r="S58" s="55">
        <f>SUMIF('Input 16_2018CUST-YTD'!$S:$S,$G58,'Input 16_2018CUST-YTD'!H:H)</f>
        <v>23</v>
      </c>
      <c r="T58" s="55">
        <f>SUMIF('Input 16_2018CUST-YTD'!$S:$S,$G58,'Input 16_2018CUST-YTD'!I:I)</f>
        <v>22</v>
      </c>
      <c r="U58" s="55">
        <f>SUMIF('Input 16_2018CUST-YTD'!$S:$S,$G58,'Input 16_2018CUST-YTD'!J:J)</f>
        <v>22</v>
      </c>
      <c r="V58" s="55">
        <f>SUMIF('Input 16_2018CUST-YTD'!$S:$S,$G58,'Input 16_2018CUST-YTD'!K:K)</f>
        <v>22</v>
      </c>
      <c r="W58" s="55">
        <f>SUMIF('Input 16_2018CUST-YTD'!$S:$S,$G58,'Input 16_2018CUST-YTD'!L:L)</f>
        <v>22</v>
      </c>
      <c r="X58" s="55">
        <f>SUMIF('Input 16_2018CUST-YTD'!$S:$S,$G58,'Input 16_2018CUST-YTD'!M:M)</f>
        <v>22</v>
      </c>
      <c r="Y58" s="55">
        <f>SUMIF('Input 16_2018CUST-YTD'!$S:$S,$G58,'Input 16_2018CUST-YTD'!N:N)</f>
        <v>22</v>
      </c>
      <c r="Z58" s="1">
        <f>SUMIF('Input 3_2019CUST-YTD'!$S:$S,$G58,'Input 3_2019CUST-YTD'!C:C)</f>
        <v>22</v>
      </c>
      <c r="AA58" s="1">
        <f>SUMIF('Input 3_2019CUST-YTD'!$S:$S,$G58,'Input 3_2019CUST-YTD'!D:D)</f>
        <v>22</v>
      </c>
      <c r="AB58" s="1">
        <f>SUMIF('Input 3_2019CUST-YTD'!$S:$S,$G58,'Input 3_2019CUST-YTD'!E:E)</f>
        <v>22</v>
      </c>
      <c r="AC58" s="1">
        <f>SUMIF('Input 3_2019CUST-YTD'!$S:$S,$G58,'Input 3_2019CUST-YTD'!F:F)</f>
        <v>22</v>
      </c>
      <c r="AD58" s="1">
        <f>SUMIF('Input 3_2019CUST-YTD'!$S:$S,$G58,'Input 3_2019CUST-YTD'!G:G)</f>
        <v>22</v>
      </c>
      <c r="AE58" s="1">
        <f>SUMIF('Input 3_2019CUST-YTD'!$S:$S,$G58,'Input 3_2019CUST-YTD'!H:H)</f>
        <v>22</v>
      </c>
      <c r="AF58" s="1">
        <f>SUMIF('Input 3_2019CUST-YTD'!$S:$S,$G58,'Input 3_2019CUST-YTD'!I:I)</f>
        <v>22</v>
      </c>
      <c r="AG58" s="1">
        <f>SUMIF('Input 3_2019CUST-YTD'!$S:$S,$G58,'Input 3_2019CUST-YTD'!J:J)</f>
        <v>25</v>
      </c>
      <c r="AH58" s="1">
        <f>SUMIF('Input 3_2019CUST-YTD'!$S:$S,$G58,'Input 3_2019CUST-YTD'!K:K)</f>
        <v>23</v>
      </c>
      <c r="AI58" s="1">
        <f>SUMIF('Input 3_2019CUST-YTD'!$S:$S,$G58,'Input 3_2019CUST-YTD'!L:L)</f>
        <v>23</v>
      </c>
      <c r="AJ58" s="1">
        <f>SUMIF('Input 3_2019CUST-YTD'!$S:$S,$G58,'Input 3_2019CUST-YTD'!M:M)</f>
        <v>23</v>
      </c>
      <c r="AK58" s="1">
        <f>SUMIF('Input 3_2019CUST-YTD'!$S:$S,$G58,'Input 3_2019CUST-YTD'!N:N)</f>
        <v>23</v>
      </c>
      <c r="AL58" s="1">
        <f>SUMIF('Input 4_2020CUST-YTD'!$S:$S,$G58,'Input 4_2020CUST-YTD'!C:C)</f>
        <v>25</v>
      </c>
      <c r="AM58" s="1">
        <f>SUMIF('Input 4_2020CUST-YTD'!$S:$S,$G58,'Input 4_2020CUST-YTD'!D:D)</f>
        <v>24</v>
      </c>
      <c r="AN58" s="1">
        <f>SUMIF('Input 4_2020CUST-YTD'!$S:$S,$G58,'Input 4_2020CUST-YTD'!E:E)</f>
        <v>25</v>
      </c>
      <c r="AO58" s="1">
        <f>SUMIF('Input 4_2020CUST-YTD'!$S:$S,$G58,'Input 4_2020CUST-YTD'!F:F)</f>
        <v>24</v>
      </c>
      <c r="AP58" s="1">
        <f>SUMIF('Input 4_2020CUST-YTD'!$S:$S,$G58,'Input 4_2020CUST-YTD'!G:G)</f>
        <v>26</v>
      </c>
      <c r="AQ58" s="1">
        <f>SUMIF('Input 4_2020CUST-YTD'!$S:$S,$G58,'Input 4_2020CUST-YTD'!H:H)</f>
        <v>25</v>
      </c>
      <c r="AR58" s="1">
        <f>SUMIF('Input 4_2020CUST-YTD'!$S:$S,$G58,'Input 4_2020CUST-YTD'!I:I)</f>
        <v>25</v>
      </c>
      <c r="AS58" s="1">
        <f>SUMIF('Input 4_2020CUST-YTD'!$S:$S,$G58,'Input 4_2020CUST-YTD'!J:J)</f>
        <v>25</v>
      </c>
      <c r="AT58" s="1">
        <f>SUMIF('Input 4_2020CUST-YTD'!$S:$S,$G58,'Input 4_2020CUST-YTD'!K:K)</f>
        <v>25</v>
      </c>
      <c r="AU58" s="1">
        <f>SUMIF('Input 4_2020CUST-YTD'!$S:$S,$G58,'Input 4_2020CUST-YTD'!L:L)</f>
        <v>26</v>
      </c>
      <c r="AV58" s="1">
        <f>SUMIF('Input 4_2020CUST-YTD'!$S:$S,$G58,'Input 4_2020CUST-YTD'!M:M)</f>
        <v>26</v>
      </c>
      <c r="AW58" s="1">
        <f>SUMIF('Input 4_2020CUST-YTD'!$S:$S,$G58,'Input 4_2020CUST-YTD'!N:N)</f>
        <v>26</v>
      </c>
      <c r="AX58" s="1">
        <f>SUMIF('Input 5_2021CUST-YTD'!$S:$S,$G58,'Input 5_2021CUST-YTD'!C:C)</f>
        <v>26</v>
      </c>
      <c r="AY58" s="1">
        <f>SUMIF('Input 5_2021CUST-YTD'!$S:$S,$G58,'Input 5_2021CUST-YTD'!D:D)</f>
        <v>26</v>
      </c>
      <c r="AZ58" s="1">
        <f>SUMIF('Input 5_2021CUST-YTD'!$S:$S,$G58,'Input 5_2021CUST-YTD'!E:E)</f>
        <v>26</v>
      </c>
      <c r="BA58" s="1">
        <f>SUMIF('Input 5_2021CUST-YTD'!$S:$S,$G58,'Input 5_2021CUST-YTD'!F:F)</f>
        <v>26</v>
      </c>
      <c r="BB58" s="1">
        <f>SUMIF('Input 5_2021CUST-YTD'!$S:$S,$G58,'Input 5_2021CUST-YTD'!G:G)</f>
        <v>26</v>
      </c>
      <c r="BC58" s="1">
        <f>SUMIF('Input 5_2021CUST-YTD'!$S:$S,$G58,'Input 5_2021CUST-YTD'!H:H)</f>
        <v>26</v>
      </c>
      <c r="BD58" s="1">
        <f>SUMIF('Input 5_2021CUST-YTD'!$S:$S,$G58,'Input 5_2021CUST-YTD'!I:I)</f>
        <v>26</v>
      </c>
      <c r="BE58" s="1">
        <f>SUMIF('Input 5_2021CUST-YTD'!$S:$S,$G58,'Input 5_2021CUST-YTD'!J:J)</f>
        <v>26</v>
      </c>
      <c r="BF58" s="1">
        <f>SUMIF('Input 5_2021CUST-YTD'!$S:$S,$G58,'Input 5_2021CUST-YTD'!K:K)</f>
        <v>26</v>
      </c>
      <c r="BG58" s="1">
        <f>SUMIF('Input 5_2021CUST-YTD'!$S:$S,$G58,'Input 5_2021CUST-YTD'!L:L)</f>
        <v>26</v>
      </c>
      <c r="BH58" s="1">
        <f>SUMIF('Input 5_2021CUST-YTD'!$S:$S,$G58,'Input 5_2021CUST-YTD'!M:M)</f>
        <v>26</v>
      </c>
      <c r="BI58" s="1">
        <f>SUMIF('Input 5_2021CUST-YTD'!$S:$S,$G58,'Input 5_2021CUST-YTD'!N:N)</f>
        <v>26</v>
      </c>
      <c r="BJ58" s="190">
        <f t="shared" si="32"/>
        <v>26</v>
      </c>
      <c r="BK58" s="190">
        <f t="shared" si="33"/>
        <v>26</v>
      </c>
      <c r="BL58" s="190">
        <f t="shared" si="34"/>
        <v>26</v>
      </c>
      <c r="BM58" s="190">
        <f t="shared" si="35"/>
        <v>26</v>
      </c>
      <c r="BN58" s="190">
        <f t="shared" si="36"/>
        <v>26</v>
      </c>
      <c r="BO58" s="190">
        <f t="shared" si="37"/>
        <v>26</v>
      </c>
      <c r="BP58" s="190">
        <f t="shared" si="38"/>
        <v>26</v>
      </c>
      <c r="BQ58" s="190">
        <f t="shared" si="39"/>
        <v>26</v>
      </c>
      <c r="BR58" s="190">
        <f t="shared" si="40"/>
        <v>26</v>
      </c>
      <c r="BS58" s="190">
        <f t="shared" si="41"/>
        <v>26</v>
      </c>
      <c r="BT58" s="190">
        <f t="shared" si="42"/>
        <v>26</v>
      </c>
      <c r="BU58" s="190">
        <f t="shared" si="43"/>
        <v>26</v>
      </c>
      <c r="BV58" s="190">
        <f t="shared" si="44"/>
        <v>26</v>
      </c>
      <c r="BW58" s="190">
        <f t="shared" si="45"/>
        <v>26</v>
      </c>
      <c r="BX58" s="190">
        <f t="shared" si="46"/>
        <v>26</v>
      </c>
      <c r="BY58" s="190">
        <f t="shared" si="47"/>
        <v>26</v>
      </c>
      <c r="BZ58" s="190">
        <f t="shared" si="48"/>
        <v>26</v>
      </c>
      <c r="CA58" s="190">
        <f t="shared" si="49"/>
        <v>26</v>
      </c>
      <c r="CB58" s="190">
        <f t="shared" si="50"/>
        <v>26</v>
      </c>
      <c r="CC58" s="190">
        <f t="shared" si="51"/>
        <v>26</v>
      </c>
      <c r="CD58" s="190">
        <f t="shared" si="52"/>
        <v>26</v>
      </c>
      <c r="CE58" s="190">
        <f t="shared" si="53"/>
        <v>26</v>
      </c>
      <c r="CF58" s="190">
        <f t="shared" si="54"/>
        <v>26</v>
      </c>
      <c r="CG58" s="190">
        <f t="shared" si="55"/>
        <v>26</v>
      </c>
      <c r="CH58" s="264"/>
      <c r="CI58" s="264">
        <f t="shared" si="1"/>
        <v>264</v>
      </c>
      <c r="CJ58" s="264">
        <f t="shared" si="2"/>
        <v>271</v>
      </c>
      <c r="CK58" s="264">
        <f t="shared" si="3"/>
        <v>302</v>
      </c>
      <c r="CL58" s="264">
        <f t="shared" si="4"/>
        <v>312</v>
      </c>
      <c r="CM58" s="264">
        <f t="shared" si="5"/>
        <v>312</v>
      </c>
      <c r="CN58" s="264">
        <f t="shared" si="6"/>
        <v>312</v>
      </c>
      <c r="CP58" s="574">
        <f>SUMIF('Master '!D:D,D58,'Master '!AB:AB)</f>
        <v>312</v>
      </c>
      <c r="CQ58" s="574">
        <f>SUMIF('Master '!D:D,D58,'Master '!AC:AC)</f>
        <v>312</v>
      </c>
      <c r="CR58" s="264">
        <f t="shared" si="56"/>
        <v>0</v>
      </c>
      <c r="CS58" s="264">
        <f t="shared" si="56"/>
        <v>0</v>
      </c>
    </row>
    <row r="59" spans="1:97" s="261" customFormat="1">
      <c r="A59" s="55" t="s">
        <v>17</v>
      </c>
      <c r="B59" s="55" t="s">
        <v>993</v>
      </c>
      <c r="C59" s="55" t="s">
        <v>1245</v>
      </c>
      <c r="D59" s="55" t="s">
        <v>73</v>
      </c>
      <c r="E59" s="55" t="str">
        <f>VLOOKUP(D59,'Input 14_Ref Table'!C:D,2,FALSE)</f>
        <v>CI406</v>
      </c>
      <c r="F59" s="172" t="s">
        <v>1286</v>
      </c>
      <c r="G59" s="55" t="str">
        <f>VLOOKUP(D59,'Input 14_Ref Table'!C:I,7,FALSE)</f>
        <v>CFG - FTS-8</v>
      </c>
      <c r="H59" s="55" t="str">
        <f>VLOOKUP(D59,'Input 14_Ref Table'!C:K,8,FALSE)</f>
        <v>Base Period</v>
      </c>
      <c r="I59" s="55"/>
      <c r="J59" s="261" t="str">
        <f>INDEX('Master '!$AD$2:AD$65,MATCH(D59,'Master '!$D$2:$D$65,0))</f>
        <v>Base Period</v>
      </c>
      <c r="K59" s="567">
        <f>INDEX('Master '!$N$2:N$65,MATCH(D59,'Master '!$D$2:$D$65,0))</f>
        <v>0</v>
      </c>
      <c r="L59" s="290">
        <f>INDEX('Master '!$S$2:S$65,MATCH(D59,'Master '!$D$2:$D$65,0))</f>
        <v>0</v>
      </c>
      <c r="M59" s="1">
        <f>INDEX('Master '!$W$2:W$65,MATCH(D59,'Master '!$D$2:$D$65,0))</f>
        <v>293058.25764705881</v>
      </c>
      <c r="N59" s="55">
        <f>SUMIF('Input 16_2018CUST-YTD'!$S:$S,$G59,'Input 16_2018CUST-YTD'!C:C)</f>
        <v>16</v>
      </c>
      <c r="O59" s="55">
        <f>SUMIF('Input 16_2018CUST-YTD'!$S:$S,$G59,'Input 16_2018CUST-YTD'!D:D)</f>
        <v>16</v>
      </c>
      <c r="P59" s="55">
        <f>SUMIF('Input 16_2018CUST-YTD'!$S:$S,$G59,'Input 16_2018CUST-YTD'!E:E)</f>
        <v>16</v>
      </c>
      <c r="Q59" s="55">
        <f>SUMIF('Input 16_2018CUST-YTD'!$S:$S,$G59,'Input 16_2018CUST-YTD'!F:F)</f>
        <v>18</v>
      </c>
      <c r="R59" s="55">
        <f>SUMIF('Input 16_2018CUST-YTD'!$S:$S,$G59,'Input 16_2018CUST-YTD'!G:G)</f>
        <v>18</v>
      </c>
      <c r="S59" s="55">
        <f>SUMIF('Input 16_2018CUST-YTD'!$S:$S,$G59,'Input 16_2018CUST-YTD'!H:H)</f>
        <v>18</v>
      </c>
      <c r="T59" s="55">
        <f>SUMIF('Input 16_2018CUST-YTD'!$S:$S,$G59,'Input 16_2018CUST-YTD'!I:I)</f>
        <v>18</v>
      </c>
      <c r="U59" s="55">
        <f>SUMIF('Input 16_2018CUST-YTD'!$S:$S,$G59,'Input 16_2018CUST-YTD'!J:J)</f>
        <v>18</v>
      </c>
      <c r="V59" s="55">
        <f>SUMIF('Input 16_2018CUST-YTD'!$S:$S,$G59,'Input 16_2018CUST-YTD'!K:K)</f>
        <v>18</v>
      </c>
      <c r="W59" s="55">
        <f>SUMIF('Input 16_2018CUST-YTD'!$S:$S,$G59,'Input 16_2018CUST-YTD'!L:L)</f>
        <v>18</v>
      </c>
      <c r="X59" s="55">
        <f>SUMIF('Input 16_2018CUST-YTD'!$S:$S,$G59,'Input 16_2018CUST-YTD'!M:M)</f>
        <v>17</v>
      </c>
      <c r="Y59" s="55">
        <f>SUMIF('Input 16_2018CUST-YTD'!$S:$S,$G59,'Input 16_2018CUST-YTD'!N:N)</f>
        <v>18</v>
      </c>
      <c r="Z59" s="1">
        <f>SUMIF('Input 3_2019CUST-YTD'!$S:$S,$G59,'Input 3_2019CUST-YTD'!C:C)</f>
        <v>17</v>
      </c>
      <c r="AA59" s="1">
        <f>SUMIF('Input 3_2019CUST-YTD'!$S:$S,$G59,'Input 3_2019CUST-YTD'!D:D)</f>
        <v>17</v>
      </c>
      <c r="AB59" s="1">
        <f>SUMIF('Input 3_2019CUST-YTD'!$S:$S,$G59,'Input 3_2019CUST-YTD'!E:E)</f>
        <v>17</v>
      </c>
      <c r="AC59" s="1">
        <f>SUMIF('Input 3_2019CUST-YTD'!$S:$S,$G59,'Input 3_2019CUST-YTD'!F:F)</f>
        <v>17</v>
      </c>
      <c r="AD59" s="1">
        <f>SUMIF('Input 3_2019CUST-YTD'!$S:$S,$G59,'Input 3_2019CUST-YTD'!G:G)</f>
        <v>17</v>
      </c>
      <c r="AE59" s="1">
        <f>SUMIF('Input 3_2019CUST-YTD'!$S:$S,$G59,'Input 3_2019CUST-YTD'!H:H)</f>
        <v>17</v>
      </c>
      <c r="AF59" s="1">
        <f>SUMIF('Input 3_2019CUST-YTD'!$S:$S,$G59,'Input 3_2019CUST-YTD'!I:I)</f>
        <v>19</v>
      </c>
      <c r="AG59" s="1">
        <f>SUMIF('Input 3_2019CUST-YTD'!$S:$S,$G59,'Input 3_2019CUST-YTD'!J:J)</f>
        <v>18</v>
      </c>
      <c r="AH59" s="1">
        <f>SUMIF('Input 3_2019CUST-YTD'!$S:$S,$G59,'Input 3_2019CUST-YTD'!K:K)</f>
        <v>17</v>
      </c>
      <c r="AI59" s="1">
        <f>SUMIF('Input 3_2019CUST-YTD'!$S:$S,$G59,'Input 3_2019CUST-YTD'!L:L)</f>
        <v>17</v>
      </c>
      <c r="AJ59" s="1">
        <f>SUMIF('Input 3_2019CUST-YTD'!$S:$S,$G59,'Input 3_2019CUST-YTD'!M:M)</f>
        <v>16</v>
      </c>
      <c r="AK59" s="1">
        <f>SUMIF('Input 3_2019CUST-YTD'!$S:$S,$G59,'Input 3_2019CUST-YTD'!N:N)</f>
        <v>18</v>
      </c>
      <c r="AL59" s="1">
        <f>SUMIF('Input 4_2020CUST-YTD'!$S:$S,$G59,'Input 4_2020CUST-YTD'!C:C)</f>
        <v>19</v>
      </c>
      <c r="AM59" s="1">
        <f>SUMIF('Input 4_2020CUST-YTD'!$S:$S,$G59,'Input 4_2020CUST-YTD'!D:D)</f>
        <v>16</v>
      </c>
      <c r="AN59" s="1">
        <f>SUMIF('Input 4_2020CUST-YTD'!$S:$S,$G59,'Input 4_2020CUST-YTD'!E:E)</f>
        <v>17</v>
      </c>
      <c r="AO59" s="1">
        <f>SUMIF('Input 4_2020CUST-YTD'!$S:$S,$G59,'Input 4_2020CUST-YTD'!F:F)</f>
        <v>17</v>
      </c>
      <c r="AP59" s="1">
        <f>SUMIF('Input 4_2020CUST-YTD'!$S:$S,$G59,'Input 4_2020CUST-YTD'!G:G)</f>
        <v>17</v>
      </c>
      <c r="AQ59" s="1">
        <f>SUMIF('Input 4_2020CUST-YTD'!$S:$S,$G59,'Input 4_2020CUST-YTD'!H:H)</f>
        <v>17</v>
      </c>
      <c r="AR59" s="1">
        <f>SUMIF('Input 4_2020CUST-YTD'!$S:$S,$G59,'Input 4_2020CUST-YTD'!I:I)</f>
        <v>17</v>
      </c>
      <c r="AS59" s="1">
        <f>SUMIF('Input 4_2020CUST-YTD'!$S:$S,$G59,'Input 4_2020CUST-YTD'!J:J)</f>
        <v>17</v>
      </c>
      <c r="AT59" s="1">
        <f>SUMIF('Input 4_2020CUST-YTD'!$S:$S,$G59,'Input 4_2020CUST-YTD'!K:K)</f>
        <v>17</v>
      </c>
      <c r="AU59" s="1">
        <f>SUMIF('Input 4_2020CUST-YTD'!$S:$S,$G59,'Input 4_2020CUST-YTD'!L:L)</f>
        <v>17</v>
      </c>
      <c r="AV59" s="1">
        <f>SUMIF('Input 4_2020CUST-YTD'!$S:$S,$G59,'Input 4_2020CUST-YTD'!M:M)</f>
        <v>17</v>
      </c>
      <c r="AW59" s="1">
        <f>SUMIF('Input 4_2020CUST-YTD'!$S:$S,$G59,'Input 4_2020CUST-YTD'!N:N)</f>
        <v>17</v>
      </c>
      <c r="AX59" s="1">
        <f>SUMIF('Input 5_2021CUST-YTD'!$S:$S,$G59,'Input 5_2021CUST-YTD'!C:C)</f>
        <v>17</v>
      </c>
      <c r="AY59" s="1">
        <f>SUMIF('Input 5_2021CUST-YTD'!$S:$S,$G59,'Input 5_2021CUST-YTD'!D:D)</f>
        <v>17</v>
      </c>
      <c r="AZ59" s="1">
        <f>SUMIF('Input 5_2021CUST-YTD'!$S:$S,$G59,'Input 5_2021CUST-YTD'!E:E)</f>
        <v>17</v>
      </c>
      <c r="BA59" s="1">
        <f>SUMIF('Input 5_2021CUST-YTD'!$S:$S,$G59,'Input 5_2021CUST-YTD'!F:F)</f>
        <v>17</v>
      </c>
      <c r="BB59" s="1">
        <f>SUMIF('Input 5_2021CUST-YTD'!$S:$S,$G59,'Input 5_2021CUST-YTD'!G:G)</f>
        <v>17</v>
      </c>
      <c r="BC59" s="1">
        <f>SUMIF('Input 5_2021CUST-YTD'!$S:$S,$G59,'Input 5_2021CUST-YTD'!H:H)</f>
        <v>17</v>
      </c>
      <c r="BD59" s="1">
        <f>SUMIF('Input 5_2021CUST-YTD'!$S:$S,$G59,'Input 5_2021CUST-YTD'!I:I)</f>
        <v>17</v>
      </c>
      <c r="BE59" s="1">
        <f>SUMIF('Input 5_2021CUST-YTD'!$S:$S,$G59,'Input 5_2021CUST-YTD'!J:J)</f>
        <v>17</v>
      </c>
      <c r="BF59" s="1">
        <f>SUMIF('Input 5_2021CUST-YTD'!$S:$S,$G59,'Input 5_2021CUST-YTD'!K:K)</f>
        <v>17</v>
      </c>
      <c r="BG59" s="1">
        <f>SUMIF('Input 5_2021CUST-YTD'!$S:$S,$G59,'Input 5_2021CUST-YTD'!L:L)</f>
        <v>17</v>
      </c>
      <c r="BH59" s="1">
        <f>SUMIF('Input 5_2021CUST-YTD'!$S:$S,$G59,'Input 5_2021CUST-YTD'!M:M)</f>
        <v>17</v>
      </c>
      <c r="BI59" s="1">
        <f>SUMIF('Input 5_2021CUST-YTD'!$S:$S,$G59,'Input 5_2021CUST-YTD'!N:N)</f>
        <v>17</v>
      </c>
      <c r="BJ59" s="190">
        <f>AX59*(1+$K59)+2</f>
        <v>19</v>
      </c>
      <c r="BK59" s="190">
        <f t="shared" ref="BK59:BU59" si="57">AY59*(1+$K59)+2</f>
        <v>19</v>
      </c>
      <c r="BL59" s="190">
        <f t="shared" si="57"/>
        <v>19</v>
      </c>
      <c r="BM59" s="190">
        <f t="shared" si="57"/>
        <v>19</v>
      </c>
      <c r="BN59" s="190">
        <f t="shared" si="57"/>
        <v>19</v>
      </c>
      <c r="BO59" s="190">
        <f t="shared" si="57"/>
        <v>19</v>
      </c>
      <c r="BP59" s="190">
        <f t="shared" si="57"/>
        <v>19</v>
      </c>
      <c r="BQ59" s="190">
        <f t="shared" si="57"/>
        <v>19</v>
      </c>
      <c r="BR59" s="190">
        <f t="shared" si="57"/>
        <v>19</v>
      </c>
      <c r="BS59" s="190">
        <f t="shared" si="57"/>
        <v>19</v>
      </c>
      <c r="BT59" s="190">
        <f t="shared" si="57"/>
        <v>19</v>
      </c>
      <c r="BU59" s="190">
        <f t="shared" si="57"/>
        <v>19</v>
      </c>
      <c r="BV59" s="190">
        <f>BJ59*(1+$K59)</f>
        <v>19</v>
      </c>
      <c r="BW59" s="190">
        <f t="shared" si="45"/>
        <v>19</v>
      </c>
      <c r="BX59" s="190">
        <f t="shared" si="46"/>
        <v>19</v>
      </c>
      <c r="BY59" s="190">
        <f t="shared" si="47"/>
        <v>19</v>
      </c>
      <c r="BZ59" s="190">
        <f t="shared" si="48"/>
        <v>19</v>
      </c>
      <c r="CA59" s="190">
        <f t="shared" si="49"/>
        <v>19</v>
      </c>
      <c r="CB59" s="190">
        <f t="shared" si="50"/>
        <v>19</v>
      </c>
      <c r="CC59" s="190">
        <f t="shared" si="51"/>
        <v>19</v>
      </c>
      <c r="CD59" s="190">
        <f t="shared" si="52"/>
        <v>19</v>
      </c>
      <c r="CE59" s="190">
        <f t="shared" si="53"/>
        <v>19</v>
      </c>
      <c r="CF59" s="190">
        <f t="shared" si="54"/>
        <v>19</v>
      </c>
      <c r="CG59" s="190">
        <f t="shared" si="55"/>
        <v>19</v>
      </c>
      <c r="CH59" s="264"/>
      <c r="CI59" s="264">
        <f t="shared" si="1"/>
        <v>209</v>
      </c>
      <c r="CJ59" s="264">
        <f t="shared" si="2"/>
        <v>207</v>
      </c>
      <c r="CK59" s="264">
        <f t="shared" si="3"/>
        <v>205</v>
      </c>
      <c r="CL59" s="264">
        <f t="shared" si="4"/>
        <v>204</v>
      </c>
      <c r="CM59" s="264">
        <f t="shared" si="5"/>
        <v>228</v>
      </c>
      <c r="CN59" s="264">
        <f t="shared" si="6"/>
        <v>228</v>
      </c>
      <c r="CP59" s="574">
        <f>SUMIF('Master '!D:D,D59,'Master '!AB:AB)</f>
        <v>228</v>
      </c>
      <c r="CQ59" s="574">
        <f>SUMIF('Master '!D:D,D59,'Master '!AC:AC)</f>
        <v>228</v>
      </c>
      <c r="CR59" s="264">
        <f t="shared" si="56"/>
        <v>0</v>
      </c>
      <c r="CS59" s="264">
        <f t="shared" si="56"/>
        <v>0</v>
      </c>
    </row>
    <row r="60" spans="1:97" s="261" customFormat="1">
      <c r="A60" s="55" t="s">
        <v>17</v>
      </c>
      <c r="B60" s="55" t="s">
        <v>993</v>
      </c>
      <c r="C60" s="55" t="s">
        <v>1245</v>
      </c>
      <c r="D60" s="55" t="s">
        <v>75</v>
      </c>
      <c r="E60" s="55" t="str">
        <f>VLOOKUP(D60,'Input 14_Ref Table'!C:D,2,FALSE)</f>
        <v>CC905</v>
      </c>
      <c r="F60" s="172" t="s">
        <v>1286</v>
      </c>
      <c r="G60" s="55" t="str">
        <f>VLOOKUP(D60,'Input 14_Ref Table'!C:I,7,FALSE)</f>
        <v>CFG - FTS-9</v>
      </c>
      <c r="H60" s="55" t="str">
        <f>VLOOKUP(D60,'Input 14_Ref Table'!C:K,8,FALSE)</f>
        <v>Base Period</v>
      </c>
      <c r="I60" s="55"/>
      <c r="J60" s="261" t="str">
        <f>INDEX('Master '!$AD$2:AD$65,MATCH(D60,'Master '!$D$2:$D$65,0))</f>
        <v>Base Period</v>
      </c>
      <c r="K60" s="567">
        <f>INDEX('Master '!$N$2:N$65,MATCH(D60,'Master '!$D$2:$D$65,0))</f>
        <v>0</v>
      </c>
      <c r="L60" s="290">
        <f>INDEX('Master '!$S$2:S$65,MATCH(D60,'Master '!$D$2:$D$65,0))</f>
        <v>0</v>
      </c>
      <c r="M60" s="1">
        <f>INDEX('Master '!$W$2:W$65,MATCH(D60,'Master '!$D$2:$D$65,0))</f>
        <v>522822.03811764705</v>
      </c>
      <c r="N60" s="55">
        <f>SUMIF('Input 16_2018CUST-YTD'!$S:$S,$G60,'Input 16_2018CUST-YTD'!C:C)</f>
        <v>8</v>
      </c>
      <c r="O60" s="55">
        <f>SUMIF('Input 16_2018CUST-YTD'!$S:$S,$G60,'Input 16_2018CUST-YTD'!D:D)</f>
        <v>8</v>
      </c>
      <c r="P60" s="55">
        <f>SUMIF('Input 16_2018CUST-YTD'!$S:$S,$G60,'Input 16_2018CUST-YTD'!E:E)</f>
        <v>8</v>
      </c>
      <c r="Q60" s="55">
        <f>SUMIF('Input 16_2018CUST-YTD'!$S:$S,$G60,'Input 16_2018CUST-YTD'!F:F)</f>
        <v>7</v>
      </c>
      <c r="R60" s="55">
        <f>SUMIF('Input 16_2018CUST-YTD'!$S:$S,$G60,'Input 16_2018CUST-YTD'!G:G)</f>
        <v>7</v>
      </c>
      <c r="S60" s="55">
        <f>SUMIF('Input 16_2018CUST-YTD'!$S:$S,$G60,'Input 16_2018CUST-YTD'!H:H)</f>
        <v>7</v>
      </c>
      <c r="T60" s="55">
        <f>SUMIF('Input 16_2018CUST-YTD'!$S:$S,$G60,'Input 16_2018CUST-YTD'!I:I)</f>
        <v>7</v>
      </c>
      <c r="U60" s="55">
        <f>SUMIF('Input 16_2018CUST-YTD'!$S:$S,$G60,'Input 16_2018CUST-YTD'!J:J)</f>
        <v>7</v>
      </c>
      <c r="V60" s="55">
        <f>SUMIF('Input 16_2018CUST-YTD'!$S:$S,$G60,'Input 16_2018CUST-YTD'!K:K)</f>
        <v>7</v>
      </c>
      <c r="W60" s="55">
        <f>SUMIF('Input 16_2018CUST-YTD'!$S:$S,$G60,'Input 16_2018CUST-YTD'!L:L)</f>
        <v>7</v>
      </c>
      <c r="X60" s="55">
        <f>SUMIF('Input 16_2018CUST-YTD'!$S:$S,$G60,'Input 16_2018CUST-YTD'!M:M)</f>
        <v>7</v>
      </c>
      <c r="Y60" s="55">
        <f>SUMIF('Input 16_2018CUST-YTD'!$S:$S,$G60,'Input 16_2018CUST-YTD'!N:N)</f>
        <v>7</v>
      </c>
      <c r="Z60" s="1">
        <f>SUMIF('Input 3_2019CUST-YTD'!$S:$S,$G60,'Input 3_2019CUST-YTD'!C:C)</f>
        <v>7</v>
      </c>
      <c r="AA60" s="1">
        <f>SUMIF('Input 3_2019CUST-YTD'!$S:$S,$G60,'Input 3_2019CUST-YTD'!D:D)</f>
        <v>7</v>
      </c>
      <c r="AB60" s="1">
        <f>SUMIF('Input 3_2019CUST-YTD'!$S:$S,$G60,'Input 3_2019CUST-YTD'!E:E)</f>
        <v>7</v>
      </c>
      <c r="AC60" s="1">
        <f>SUMIF('Input 3_2019CUST-YTD'!$S:$S,$G60,'Input 3_2019CUST-YTD'!F:F)</f>
        <v>7</v>
      </c>
      <c r="AD60" s="1">
        <f>SUMIF('Input 3_2019CUST-YTD'!$S:$S,$G60,'Input 3_2019CUST-YTD'!G:G)</f>
        <v>7</v>
      </c>
      <c r="AE60" s="1">
        <f>SUMIF('Input 3_2019CUST-YTD'!$S:$S,$G60,'Input 3_2019CUST-YTD'!H:H)</f>
        <v>7</v>
      </c>
      <c r="AF60" s="1">
        <f>SUMIF('Input 3_2019CUST-YTD'!$S:$S,$G60,'Input 3_2019CUST-YTD'!I:I)</f>
        <v>7</v>
      </c>
      <c r="AG60" s="1">
        <f>SUMIF('Input 3_2019CUST-YTD'!$S:$S,$G60,'Input 3_2019CUST-YTD'!J:J)</f>
        <v>6</v>
      </c>
      <c r="AH60" s="1">
        <f>SUMIF('Input 3_2019CUST-YTD'!$S:$S,$G60,'Input 3_2019CUST-YTD'!K:K)</f>
        <v>6</v>
      </c>
      <c r="AI60" s="1">
        <f>SUMIF('Input 3_2019CUST-YTD'!$S:$S,$G60,'Input 3_2019CUST-YTD'!L:L)</f>
        <v>6</v>
      </c>
      <c r="AJ60" s="1">
        <f>SUMIF('Input 3_2019CUST-YTD'!$S:$S,$G60,'Input 3_2019CUST-YTD'!M:M)</f>
        <v>6</v>
      </c>
      <c r="AK60" s="1">
        <f>SUMIF('Input 3_2019CUST-YTD'!$S:$S,$G60,'Input 3_2019CUST-YTD'!N:N)</f>
        <v>6</v>
      </c>
      <c r="AL60" s="1">
        <f>SUMIF('Input 4_2020CUST-YTD'!$S:$S,$G60,'Input 4_2020CUST-YTD'!C:C)</f>
        <v>6</v>
      </c>
      <c r="AM60" s="1">
        <f>SUMIF('Input 4_2020CUST-YTD'!$S:$S,$G60,'Input 4_2020CUST-YTD'!D:D)</f>
        <v>6</v>
      </c>
      <c r="AN60" s="1">
        <f>SUMIF('Input 4_2020CUST-YTD'!$S:$S,$G60,'Input 4_2020CUST-YTD'!E:E)</f>
        <v>6</v>
      </c>
      <c r="AO60" s="1">
        <f>SUMIF('Input 4_2020CUST-YTD'!$S:$S,$G60,'Input 4_2020CUST-YTD'!F:F)</f>
        <v>6</v>
      </c>
      <c r="AP60" s="1">
        <f>SUMIF('Input 4_2020CUST-YTD'!$S:$S,$G60,'Input 4_2020CUST-YTD'!G:G)</f>
        <v>6</v>
      </c>
      <c r="AQ60" s="1">
        <f>SUMIF('Input 4_2020CUST-YTD'!$S:$S,$G60,'Input 4_2020CUST-YTD'!H:H)</f>
        <v>6</v>
      </c>
      <c r="AR60" s="1">
        <f>SUMIF('Input 4_2020CUST-YTD'!$S:$S,$G60,'Input 4_2020CUST-YTD'!I:I)</f>
        <v>6</v>
      </c>
      <c r="AS60" s="1">
        <f>SUMIF('Input 4_2020CUST-YTD'!$S:$S,$G60,'Input 4_2020CUST-YTD'!J:J)</f>
        <v>6</v>
      </c>
      <c r="AT60" s="1">
        <f>SUMIF('Input 4_2020CUST-YTD'!$S:$S,$G60,'Input 4_2020CUST-YTD'!K:K)</f>
        <v>6</v>
      </c>
      <c r="AU60" s="1">
        <f>SUMIF('Input 4_2020CUST-YTD'!$S:$S,$G60,'Input 4_2020CUST-YTD'!L:L)</f>
        <v>6</v>
      </c>
      <c r="AV60" s="1">
        <f>SUMIF('Input 4_2020CUST-YTD'!$S:$S,$G60,'Input 4_2020CUST-YTD'!M:M)</f>
        <v>7</v>
      </c>
      <c r="AW60" s="1">
        <f>SUMIF('Input 4_2020CUST-YTD'!$S:$S,$G60,'Input 4_2020CUST-YTD'!N:N)</f>
        <v>6</v>
      </c>
      <c r="AX60" s="1">
        <f>SUMIF('Input 5_2021CUST-YTD'!$S:$S,$G60,'Input 5_2021CUST-YTD'!C:C)</f>
        <v>6</v>
      </c>
      <c r="AY60" s="1">
        <f>SUMIF('Input 5_2021CUST-YTD'!$S:$S,$G60,'Input 5_2021CUST-YTD'!D:D)</f>
        <v>6</v>
      </c>
      <c r="AZ60" s="1">
        <f>SUMIF('Input 5_2021CUST-YTD'!$S:$S,$G60,'Input 5_2021CUST-YTD'!E:E)</f>
        <v>6</v>
      </c>
      <c r="BA60" s="1">
        <f>SUMIF('Input 5_2021CUST-YTD'!$S:$S,$G60,'Input 5_2021CUST-YTD'!F:F)</f>
        <v>6</v>
      </c>
      <c r="BB60" s="1">
        <f>SUMIF('Input 5_2021CUST-YTD'!$S:$S,$G60,'Input 5_2021CUST-YTD'!G:G)</f>
        <v>6</v>
      </c>
      <c r="BC60" s="1">
        <f>SUMIF('Input 5_2021CUST-YTD'!$S:$S,$G60,'Input 5_2021CUST-YTD'!H:H)</f>
        <v>7</v>
      </c>
      <c r="BD60" s="1">
        <f>SUMIF('Input 5_2021CUST-YTD'!$S:$S,$G60,'Input 5_2021CUST-YTD'!I:I)</f>
        <v>8</v>
      </c>
      <c r="BE60" s="1">
        <f>SUMIF('Input 5_2021CUST-YTD'!$S:$S,$G60,'Input 5_2021CUST-YTD'!J:J)</f>
        <v>8</v>
      </c>
      <c r="BF60" s="1">
        <f>SUMIF('Input 5_2021CUST-YTD'!$S:$S,$G60,'Input 5_2021CUST-YTD'!K:K)</f>
        <v>8</v>
      </c>
      <c r="BG60" s="1">
        <f>SUMIF('Input 5_2021CUST-YTD'!$S:$S,$G60,'Input 5_2021CUST-YTD'!L:L)</f>
        <v>8</v>
      </c>
      <c r="BH60" s="1">
        <f>SUMIF('Input 5_2021CUST-YTD'!$S:$S,$G60,'Input 5_2021CUST-YTD'!M:M)</f>
        <v>8</v>
      </c>
      <c r="BI60" s="1">
        <f>SUMIF('Input 5_2021CUST-YTD'!$S:$S,$G60,'Input 5_2021CUST-YTD'!N:N)</f>
        <v>8</v>
      </c>
      <c r="BJ60" s="190">
        <f t="shared" si="32"/>
        <v>6</v>
      </c>
      <c r="BK60" s="190">
        <f t="shared" si="33"/>
        <v>6</v>
      </c>
      <c r="BL60" s="190">
        <f t="shared" si="34"/>
        <v>6</v>
      </c>
      <c r="BM60" s="190">
        <f t="shared" si="35"/>
        <v>6</v>
      </c>
      <c r="BN60" s="190">
        <f t="shared" si="36"/>
        <v>6</v>
      </c>
      <c r="BO60" s="190">
        <f t="shared" si="37"/>
        <v>7</v>
      </c>
      <c r="BP60" s="190">
        <f t="shared" si="38"/>
        <v>8</v>
      </c>
      <c r="BQ60" s="190">
        <f t="shared" si="39"/>
        <v>8</v>
      </c>
      <c r="BR60" s="190">
        <f t="shared" si="40"/>
        <v>8</v>
      </c>
      <c r="BS60" s="190">
        <f t="shared" si="41"/>
        <v>8</v>
      </c>
      <c r="BT60" s="190">
        <f t="shared" si="42"/>
        <v>8</v>
      </c>
      <c r="BU60" s="190">
        <f t="shared" si="43"/>
        <v>8</v>
      </c>
      <c r="BV60" s="190">
        <f t="shared" si="44"/>
        <v>6</v>
      </c>
      <c r="BW60" s="190">
        <f t="shared" si="45"/>
        <v>6</v>
      </c>
      <c r="BX60" s="190">
        <f t="shared" si="46"/>
        <v>6</v>
      </c>
      <c r="BY60" s="190">
        <f t="shared" si="47"/>
        <v>6</v>
      </c>
      <c r="BZ60" s="190">
        <f t="shared" si="48"/>
        <v>6</v>
      </c>
      <c r="CA60" s="190">
        <f t="shared" si="49"/>
        <v>7</v>
      </c>
      <c r="CB60" s="190">
        <f t="shared" si="50"/>
        <v>8</v>
      </c>
      <c r="CC60" s="190">
        <f t="shared" si="51"/>
        <v>8</v>
      </c>
      <c r="CD60" s="190">
        <f t="shared" si="52"/>
        <v>8</v>
      </c>
      <c r="CE60" s="190">
        <f t="shared" si="53"/>
        <v>8</v>
      </c>
      <c r="CF60" s="190">
        <f t="shared" si="54"/>
        <v>8</v>
      </c>
      <c r="CG60" s="190">
        <f t="shared" si="55"/>
        <v>8</v>
      </c>
      <c r="CH60" s="264"/>
      <c r="CI60" s="264">
        <f t="shared" si="1"/>
        <v>87</v>
      </c>
      <c r="CJ60" s="264">
        <f t="shared" si="2"/>
        <v>79</v>
      </c>
      <c r="CK60" s="264">
        <f t="shared" si="3"/>
        <v>73</v>
      </c>
      <c r="CL60" s="264">
        <f t="shared" si="4"/>
        <v>85</v>
      </c>
      <c r="CM60" s="264">
        <f t="shared" si="5"/>
        <v>85</v>
      </c>
      <c r="CN60" s="264">
        <f t="shared" si="6"/>
        <v>85</v>
      </c>
      <c r="CP60" s="574">
        <f>SUMIF('Master '!D:D,D60,'Master '!AB:AB)</f>
        <v>85</v>
      </c>
      <c r="CQ60" s="574">
        <f>SUMIF('Master '!D:D,D60,'Master '!AC:AC)</f>
        <v>85</v>
      </c>
      <c r="CR60" s="264">
        <f t="shared" si="56"/>
        <v>0</v>
      </c>
      <c r="CS60" s="264">
        <f t="shared" si="56"/>
        <v>0</v>
      </c>
    </row>
    <row r="61" spans="1:97">
      <c r="A61" s="53" t="s">
        <v>17</v>
      </c>
      <c r="B61" s="53" t="s">
        <v>993</v>
      </c>
      <c r="C61" s="53" t="s">
        <v>1245</v>
      </c>
      <c r="D61" s="53" t="s">
        <v>77</v>
      </c>
      <c r="E61" s="53" t="str">
        <f>VLOOKUP(D61,'Input 14_Ref Table'!C:D,2,FALSE)</f>
        <v>CI905</v>
      </c>
      <c r="F61" s="143" t="s">
        <v>1286</v>
      </c>
      <c r="G61" s="53" t="str">
        <f>VLOOKUP(D61,'Input 14_Ref Table'!C:I,7,FALSE)</f>
        <v>CFG - FTS-10</v>
      </c>
      <c r="H61" s="53" t="str">
        <f>VLOOKUP(D61,'Input 14_Ref Table'!C:K,8,FALSE)</f>
        <v>Base Period</v>
      </c>
      <c r="I61" s="53"/>
      <c r="J61" t="str">
        <f>INDEX('Master '!$AD$2:AD$65,MATCH(D61,'Master '!$D$2:$D$65,0))</f>
        <v>Base Period</v>
      </c>
      <c r="K61" s="458">
        <f>INDEX('Master '!$N$2:N$65,MATCH(D61,'Master '!$D$2:$D$65,0))</f>
        <v>0</v>
      </c>
      <c r="L61" s="137">
        <f>INDEX('Master '!$S$2:S$65,MATCH(D61,'Master '!$D$2:$D$65,0))</f>
        <v>0</v>
      </c>
      <c r="M61" s="4">
        <f>INDEX('Master '!$W$2:W$65,MATCH(D61,'Master '!$D$2:$D$65,0))</f>
        <v>1210296.3333333335</v>
      </c>
      <c r="N61" s="53">
        <f>SUMIF('Input 16_2018CUST-YTD'!$S:$S,$G61,'Input 16_2018CUST-YTD'!C:C)</f>
        <v>2</v>
      </c>
      <c r="O61" s="53">
        <f>SUMIF('Input 16_2018CUST-YTD'!$S:$S,$G61,'Input 16_2018CUST-YTD'!D:D)</f>
        <v>2</v>
      </c>
      <c r="P61" s="53">
        <f>SUMIF('Input 16_2018CUST-YTD'!$S:$S,$G61,'Input 16_2018CUST-YTD'!E:E)</f>
        <v>2</v>
      </c>
      <c r="Q61" s="53">
        <f>SUMIF('Input 16_2018CUST-YTD'!$S:$S,$G61,'Input 16_2018CUST-YTD'!F:F)</f>
        <v>3</v>
      </c>
      <c r="R61" s="53">
        <f>SUMIF('Input 16_2018CUST-YTD'!$S:$S,$G61,'Input 16_2018CUST-YTD'!G:G)</f>
        <v>3</v>
      </c>
      <c r="S61" s="53">
        <f>SUMIF('Input 16_2018CUST-YTD'!$S:$S,$G61,'Input 16_2018CUST-YTD'!H:H)</f>
        <v>3</v>
      </c>
      <c r="T61" s="53">
        <f>SUMIF('Input 16_2018CUST-YTD'!$S:$S,$G61,'Input 16_2018CUST-YTD'!I:I)</f>
        <v>3</v>
      </c>
      <c r="U61" s="53">
        <f>SUMIF('Input 16_2018CUST-YTD'!$S:$S,$G61,'Input 16_2018CUST-YTD'!J:J)</f>
        <v>3</v>
      </c>
      <c r="V61" s="53">
        <f>SUMIF('Input 16_2018CUST-YTD'!$S:$S,$G61,'Input 16_2018CUST-YTD'!K:K)</f>
        <v>3</v>
      </c>
      <c r="W61" s="53">
        <f>SUMIF('Input 16_2018CUST-YTD'!$S:$S,$G61,'Input 16_2018CUST-YTD'!L:L)</f>
        <v>3</v>
      </c>
      <c r="X61" s="53">
        <f>SUMIF('Input 16_2018CUST-YTD'!$S:$S,$G61,'Input 16_2018CUST-YTD'!M:M)</f>
        <v>3</v>
      </c>
      <c r="Y61" s="53">
        <f>SUMIF('Input 16_2018CUST-YTD'!$S:$S,$G61,'Input 16_2018CUST-YTD'!N:N)</f>
        <v>3</v>
      </c>
      <c r="Z61" s="4">
        <f>SUMIF('Input 3_2019CUST-YTD'!$S:$S,$G61,'Input 3_2019CUST-YTD'!C:C)</f>
        <v>3</v>
      </c>
      <c r="AA61" s="4">
        <f>SUMIF('Input 3_2019CUST-YTD'!$S:$S,$G61,'Input 3_2019CUST-YTD'!D:D)</f>
        <v>3</v>
      </c>
      <c r="AB61" s="4">
        <f>SUMIF('Input 3_2019CUST-YTD'!$S:$S,$G61,'Input 3_2019CUST-YTD'!E:E)</f>
        <v>3</v>
      </c>
      <c r="AC61" s="4">
        <f>SUMIF('Input 3_2019CUST-YTD'!$S:$S,$G61,'Input 3_2019CUST-YTD'!F:F)</f>
        <v>3</v>
      </c>
      <c r="AD61" s="4">
        <f>SUMIF('Input 3_2019CUST-YTD'!$S:$S,$G61,'Input 3_2019CUST-YTD'!G:G)</f>
        <v>3</v>
      </c>
      <c r="AE61" s="4">
        <f>SUMIF('Input 3_2019CUST-YTD'!$S:$S,$G61,'Input 3_2019CUST-YTD'!H:H)</f>
        <v>3</v>
      </c>
      <c r="AF61" s="4">
        <f>SUMIF('Input 3_2019CUST-YTD'!$S:$S,$G61,'Input 3_2019CUST-YTD'!I:I)</f>
        <v>3</v>
      </c>
      <c r="AG61" s="4">
        <f>SUMIF('Input 3_2019CUST-YTD'!$S:$S,$G61,'Input 3_2019CUST-YTD'!J:J)</f>
        <v>3</v>
      </c>
      <c r="AH61" s="4">
        <f>SUMIF('Input 3_2019CUST-YTD'!$S:$S,$G61,'Input 3_2019CUST-YTD'!K:K)</f>
        <v>3</v>
      </c>
      <c r="AI61" s="4">
        <f>SUMIF('Input 3_2019CUST-YTD'!$S:$S,$G61,'Input 3_2019CUST-YTD'!L:L)</f>
        <v>3</v>
      </c>
      <c r="AJ61" s="4">
        <f>SUMIF('Input 3_2019CUST-YTD'!$S:$S,$G61,'Input 3_2019CUST-YTD'!M:M)</f>
        <v>3</v>
      </c>
      <c r="AK61" s="4">
        <f>SUMIF('Input 3_2019CUST-YTD'!$S:$S,$G61,'Input 3_2019CUST-YTD'!N:N)</f>
        <v>3</v>
      </c>
      <c r="AL61" s="1">
        <f>SUMIF('Input 4_2020CUST-YTD'!$S:$S,$G61,'Input 4_2020CUST-YTD'!C:C)</f>
        <v>3</v>
      </c>
      <c r="AM61" s="1">
        <f>SUMIF('Input 4_2020CUST-YTD'!$S:$S,$G61,'Input 4_2020CUST-YTD'!D:D)</f>
        <v>3</v>
      </c>
      <c r="AN61" s="1">
        <f>SUMIF('Input 4_2020CUST-YTD'!$S:$S,$G61,'Input 4_2020CUST-YTD'!E:E)</f>
        <v>3</v>
      </c>
      <c r="AO61" s="1">
        <f>SUMIF('Input 4_2020CUST-YTD'!$S:$S,$G61,'Input 4_2020CUST-YTD'!F:F)</f>
        <v>3</v>
      </c>
      <c r="AP61" s="1">
        <f>SUMIF('Input 4_2020CUST-YTD'!$S:$S,$G61,'Input 4_2020CUST-YTD'!G:G)</f>
        <v>3</v>
      </c>
      <c r="AQ61" s="1">
        <f>SUMIF('Input 4_2020CUST-YTD'!$S:$S,$G61,'Input 4_2020CUST-YTD'!H:H)</f>
        <v>3</v>
      </c>
      <c r="AR61" s="1">
        <f>SUMIF('Input 4_2020CUST-YTD'!$S:$S,$G61,'Input 4_2020CUST-YTD'!I:I)</f>
        <v>3</v>
      </c>
      <c r="AS61" s="1">
        <f>SUMIF('Input 4_2020CUST-YTD'!$S:$S,$G61,'Input 4_2020CUST-YTD'!J:J)</f>
        <v>3</v>
      </c>
      <c r="AT61" s="1">
        <f>SUMIF('Input 4_2020CUST-YTD'!$S:$S,$G61,'Input 4_2020CUST-YTD'!K:K)</f>
        <v>3</v>
      </c>
      <c r="AU61" s="1">
        <f>SUMIF('Input 4_2020CUST-YTD'!$S:$S,$G61,'Input 4_2020CUST-YTD'!L:L)</f>
        <v>3</v>
      </c>
      <c r="AV61" s="1">
        <f>SUMIF('Input 4_2020CUST-YTD'!$S:$S,$G61,'Input 4_2020CUST-YTD'!M:M)</f>
        <v>3</v>
      </c>
      <c r="AW61" s="1">
        <f>SUMIF('Input 4_2020CUST-YTD'!$S:$S,$G61,'Input 4_2020CUST-YTD'!N:N)</f>
        <v>3</v>
      </c>
      <c r="AX61" s="4">
        <f>SUMIF('Input 5_2021CUST-YTD'!$S:$S,$G61,'Input 5_2021CUST-YTD'!C:C)</f>
        <v>3</v>
      </c>
      <c r="AY61" s="4">
        <f>SUMIF('Input 5_2021CUST-YTD'!$S:$S,$G61,'Input 5_2021CUST-YTD'!D:D)</f>
        <v>3</v>
      </c>
      <c r="AZ61" s="4">
        <f>SUMIF('Input 5_2021CUST-YTD'!$S:$S,$G61,'Input 5_2021CUST-YTD'!E:E)</f>
        <v>3</v>
      </c>
      <c r="BA61" s="4">
        <f>SUMIF('Input 5_2021CUST-YTD'!$S:$S,$G61,'Input 5_2021CUST-YTD'!F:F)</f>
        <v>3</v>
      </c>
      <c r="BB61" s="4">
        <f>SUMIF('Input 5_2021CUST-YTD'!$S:$S,$G61,'Input 5_2021CUST-YTD'!G:G)</f>
        <v>3</v>
      </c>
      <c r="BC61" s="4">
        <f>SUMIF('Input 5_2021CUST-YTD'!$S:$S,$G61,'Input 5_2021CUST-YTD'!H:H)</f>
        <v>3</v>
      </c>
      <c r="BD61" s="4">
        <f>SUMIF('Input 5_2021CUST-YTD'!$S:$S,$G61,'Input 5_2021CUST-YTD'!I:I)</f>
        <v>3</v>
      </c>
      <c r="BE61" s="4">
        <f>SUMIF('Input 5_2021CUST-YTD'!$S:$S,$G61,'Input 5_2021CUST-YTD'!J:J)</f>
        <v>3</v>
      </c>
      <c r="BF61" s="4">
        <f>SUMIF('Input 5_2021CUST-YTD'!$S:$S,$G61,'Input 5_2021CUST-YTD'!K:K)</f>
        <v>3</v>
      </c>
      <c r="BG61" s="4">
        <f>SUMIF('Input 5_2021CUST-YTD'!$S:$S,$G61,'Input 5_2021CUST-YTD'!L:L)</f>
        <v>3</v>
      </c>
      <c r="BH61" s="4">
        <f>SUMIF('Input 5_2021CUST-YTD'!$S:$S,$G61,'Input 5_2021CUST-YTD'!M:M)</f>
        <v>3</v>
      </c>
      <c r="BI61" s="4">
        <f>SUMIF('Input 5_2021CUST-YTD'!$S:$S,$G61,'Input 5_2021CUST-YTD'!N:N)</f>
        <v>3</v>
      </c>
      <c r="BJ61" s="494">
        <f t="shared" si="32"/>
        <v>3</v>
      </c>
      <c r="BK61" s="494">
        <f t="shared" si="33"/>
        <v>3</v>
      </c>
      <c r="BL61" s="494">
        <f t="shared" si="34"/>
        <v>3</v>
      </c>
      <c r="BM61" s="494">
        <f t="shared" si="35"/>
        <v>3</v>
      </c>
      <c r="BN61" s="494">
        <f t="shared" si="36"/>
        <v>3</v>
      </c>
      <c r="BO61" s="494">
        <f t="shared" si="37"/>
        <v>3</v>
      </c>
      <c r="BP61" s="494">
        <f t="shared" si="38"/>
        <v>3</v>
      </c>
      <c r="BQ61" s="494">
        <f t="shared" si="39"/>
        <v>3</v>
      </c>
      <c r="BR61" s="494">
        <f t="shared" si="40"/>
        <v>3</v>
      </c>
      <c r="BS61" s="494">
        <f t="shared" si="41"/>
        <v>3</v>
      </c>
      <c r="BT61" s="494">
        <f t="shared" si="42"/>
        <v>3</v>
      </c>
      <c r="BU61" s="494">
        <f t="shared" si="43"/>
        <v>3</v>
      </c>
      <c r="BV61" s="494">
        <f t="shared" si="44"/>
        <v>3</v>
      </c>
      <c r="BW61" s="494">
        <f t="shared" si="45"/>
        <v>3</v>
      </c>
      <c r="BX61" s="494">
        <f t="shared" si="46"/>
        <v>3</v>
      </c>
      <c r="BY61" s="494">
        <f t="shared" si="47"/>
        <v>3</v>
      </c>
      <c r="BZ61" s="494">
        <f t="shared" si="48"/>
        <v>3</v>
      </c>
      <c r="CA61" s="494">
        <f t="shared" si="49"/>
        <v>3</v>
      </c>
      <c r="CB61" s="494">
        <f t="shared" si="50"/>
        <v>3</v>
      </c>
      <c r="CC61" s="494">
        <f t="shared" si="51"/>
        <v>3</v>
      </c>
      <c r="CD61" s="494">
        <f t="shared" si="52"/>
        <v>3</v>
      </c>
      <c r="CE61" s="494">
        <f t="shared" si="53"/>
        <v>3</v>
      </c>
      <c r="CF61" s="494">
        <f t="shared" si="54"/>
        <v>3</v>
      </c>
      <c r="CG61" s="494">
        <f t="shared" si="55"/>
        <v>3</v>
      </c>
      <c r="CH61" s="197"/>
      <c r="CI61" s="197">
        <f t="shared" si="1"/>
        <v>33</v>
      </c>
      <c r="CJ61" s="197">
        <f t="shared" si="2"/>
        <v>36</v>
      </c>
      <c r="CK61" s="197">
        <f t="shared" si="3"/>
        <v>36</v>
      </c>
      <c r="CL61" s="197">
        <f t="shared" si="4"/>
        <v>36</v>
      </c>
      <c r="CM61" s="197">
        <f t="shared" si="5"/>
        <v>36</v>
      </c>
      <c r="CN61" s="197">
        <f t="shared" si="6"/>
        <v>36</v>
      </c>
      <c r="CP61" s="487">
        <f>SUMIF('Master '!D:D,D61,'Master '!AB:AB)</f>
        <v>36</v>
      </c>
      <c r="CQ61" s="487">
        <f>SUMIF('Master '!D:D,D61,'Master '!AC:AC)</f>
        <v>36</v>
      </c>
      <c r="CR61" s="197">
        <f t="shared" si="56"/>
        <v>0</v>
      </c>
      <c r="CS61" s="197">
        <f t="shared" si="56"/>
        <v>0</v>
      </c>
    </row>
    <row r="62" spans="1:97">
      <c r="A62" s="53" t="s">
        <v>17</v>
      </c>
      <c r="B62" s="53" t="s">
        <v>993</v>
      </c>
      <c r="C62" s="53" t="s">
        <v>1245</v>
      </c>
      <c r="D62" s="53" t="s">
        <v>79</v>
      </c>
      <c r="E62" s="53" t="str">
        <f>VLOOKUP(D62,'Input 14_Ref Table'!C:D,2,FALSE)</f>
        <v>CI107</v>
      </c>
      <c r="F62" s="143" t="s">
        <v>1286</v>
      </c>
      <c r="G62" s="53" t="str">
        <f>VLOOKUP(D62,'Input 14_Ref Table'!C:I,7,FALSE)</f>
        <v>CFG - FTS-11</v>
      </c>
      <c r="H62" s="53" t="str">
        <f>VLOOKUP(D62,'Input 14_Ref Table'!C:K,8,FALSE)</f>
        <v>Base Period</v>
      </c>
      <c r="I62" s="53"/>
      <c r="J62" t="str">
        <f>INDEX('Master '!$AD$2:AD$65,MATCH(D62,'Master '!$D$2:$D$65,0))</f>
        <v>Adjusted</v>
      </c>
      <c r="K62" s="458">
        <f>INDEX('Master '!$N$2:N$65,MATCH(D62,'Master '!$D$2:$D$65,0))</f>
        <v>0</v>
      </c>
      <c r="L62" s="137">
        <f>INDEX('Master '!$S$2:S$65,MATCH(D62,'Master '!$D$2:$D$65,0))</f>
        <v>0</v>
      </c>
      <c r="M62" s="4">
        <f>INDEX('Master '!$W$2:W$65,MATCH(D62,'Master '!$D$2:$D$65,0))</f>
        <v>1227248.6200000001</v>
      </c>
      <c r="N62" s="53">
        <f>SUMIF('Input 16_2018CUST-YTD'!$S:$S,$G62,'Input 16_2018CUST-YTD'!C:C)</f>
        <v>1</v>
      </c>
      <c r="O62" s="53">
        <f>SUMIF('Input 16_2018CUST-YTD'!$S:$S,$G62,'Input 16_2018CUST-YTD'!D:D)</f>
        <v>1</v>
      </c>
      <c r="P62" s="53">
        <f>SUMIF('Input 16_2018CUST-YTD'!$S:$S,$G62,'Input 16_2018CUST-YTD'!E:E)</f>
        <v>1</v>
      </c>
      <c r="Q62" s="53">
        <f>SUMIF('Input 16_2018CUST-YTD'!$S:$S,$G62,'Input 16_2018CUST-YTD'!F:F)</f>
        <v>2</v>
      </c>
      <c r="R62" s="53">
        <f>SUMIF('Input 16_2018CUST-YTD'!$S:$S,$G62,'Input 16_2018CUST-YTD'!G:G)</f>
        <v>2</v>
      </c>
      <c r="S62" s="53">
        <f>SUMIF('Input 16_2018CUST-YTD'!$S:$S,$G62,'Input 16_2018CUST-YTD'!H:H)</f>
        <v>2</v>
      </c>
      <c r="T62" s="53">
        <f>SUMIF('Input 16_2018CUST-YTD'!$S:$S,$G62,'Input 16_2018CUST-YTD'!I:I)</f>
        <v>2</v>
      </c>
      <c r="U62" s="53">
        <f>SUMIF('Input 16_2018CUST-YTD'!$S:$S,$G62,'Input 16_2018CUST-YTD'!J:J)</f>
        <v>2</v>
      </c>
      <c r="V62" s="53">
        <f>SUMIF('Input 16_2018CUST-YTD'!$S:$S,$G62,'Input 16_2018CUST-YTD'!K:K)</f>
        <v>2</v>
      </c>
      <c r="W62" s="53">
        <f>SUMIF('Input 16_2018CUST-YTD'!$S:$S,$G62,'Input 16_2018CUST-YTD'!L:L)</f>
        <v>2</v>
      </c>
      <c r="X62" s="53">
        <f>SUMIF('Input 16_2018CUST-YTD'!$S:$S,$G62,'Input 16_2018CUST-YTD'!M:M)</f>
        <v>2</v>
      </c>
      <c r="Y62" s="53">
        <f>SUMIF('Input 16_2018CUST-YTD'!$S:$S,$G62,'Input 16_2018CUST-YTD'!N:N)</f>
        <v>2</v>
      </c>
      <c r="Z62" s="4">
        <f>SUMIF('Input 3_2019CUST-YTD'!$S:$S,$G62,'Input 3_2019CUST-YTD'!C:C)</f>
        <v>2</v>
      </c>
      <c r="AA62" s="4">
        <f>SUMIF('Input 3_2019CUST-YTD'!$S:$S,$G62,'Input 3_2019CUST-YTD'!D:D)</f>
        <v>2</v>
      </c>
      <c r="AB62" s="4">
        <f>SUMIF('Input 3_2019CUST-YTD'!$S:$S,$G62,'Input 3_2019CUST-YTD'!E:E)</f>
        <v>2</v>
      </c>
      <c r="AC62" s="4">
        <f>SUMIF('Input 3_2019CUST-YTD'!$S:$S,$G62,'Input 3_2019CUST-YTD'!F:F)</f>
        <v>1</v>
      </c>
      <c r="AD62" s="4">
        <f>SUMIF('Input 3_2019CUST-YTD'!$S:$S,$G62,'Input 3_2019CUST-YTD'!G:G)</f>
        <v>1</v>
      </c>
      <c r="AE62" s="4">
        <f>SUMIF('Input 3_2019CUST-YTD'!$S:$S,$G62,'Input 3_2019CUST-YTD'!H:H)</f>
        <v>1</v>
      </c>
      <c r="AF62" s="4">
        <f>SUMIF('Input 3_2019CUST-YTD'!$S:$S,$G62,'Input 3_2019CUST-YTD'!I:I)</f>
        <v>1</v>
      </c>
      <c r="AG62" s="4">
        <f>SUMIF('Input 3_2019CUST-YTD'!$S:$S,$G62,'Input 3_2019CUST-YTD'!J:J)</f>
        <v>1</v>
      </c>
      <c r="AH62" s="4">
        <f>SUMIF('Input 3_2019CUST-YTD'!$S:$S,$G62,'Input 3_2019CUST-YTD'!K:K)</f>
        <v>1</v>
      </c>
      <c r="AI62" s="4">
        <f>SUMIF('Input 3_2019CUST-YTD'!$S:$S,$G62,'Input 3_2019CUST-YTD'!L:L)</f>
        <v>1</v>
      </c>
      <c r="AJ62" s="4">
        <f>SUMIF('Input 3_2019CUST-YTD'!$S:$S,$G62,'Input 3_2019CUST-YTD'!M:M)</f>
        <v>1</v>
      </c>
      <c r="AK62" s="4">
        <f>SUMIF('Input 3_2019CUST-YTD'!$S:$S,$G62,'Input 3_2019CUST-YTD'!N:N)</f>
        <v>1</v>
      </c>
      <c r="AL62" s="1">
        <f>SUMIF('Input 4_2020CUST-YTD'!$S:$S,$G62,'Input 4_2020CUST-YTD'!C:C)</f>
        <v>1</v>
      </c>
      <c r="AM62" s="1">
        <f>SUMIF('Input 4_2020CUST-YTD'!$S:$S,$G62,'Input 4_2020CUST-YTD'!D:D)</f>
        <v>1</v>
      </c>
      <c r="AN62" s="1">
        <f>SUMIF('Input 4_2020CUST-YTD'!$S:$S,$G62,'Input 4_2020CUST-YTD'!E:E)</f>
        <v>1</v>
      </c>
      <c r="AO62" s="1">
        <f>SUMIF('Input 4_2020CUST-YTD'!$S:$S,$G62,'Input 4_2020CUST-YTD'!F:F)</f>
        <v>1</v>
      </c>
      <c r="AP62" s="1">
        <f>SUMIF('Input 4_2020CUST-YTD'!$S:$S,$G62,'Input 4_2020CUST-YTD'!G:G)</f>
        <v>1</v>
      </c>
      <c r="AQ62" s="1">
        <f>SUMIF('Input 4_2020CUST-YTD'!$S:$S,$G62,'Input 4_2020CUST-YTD'!H:H)</f>
        <v>1</v>
      </c>
      <c r="AR62" s="1">
        <f>SUMIF('Input 4_2020CUST-YTD'!$S:$S,$G62,'Input 4_2020CUST-YTD'!I:I)</f>
        <v>1</v>
      </c>
      <c r="AS62" s="1">
        <f>SUMIF('Input 4_2020CUST-YTD'!$S:$S,$G62,'Input 4_2020CUST-YTD'!J:J)</f>
        <v>1</v>
      </c>
      <c r="AT62" s="1">
        <f>SUMIF('Input 4_2020CUST-YTD'!$S:$S,$G62,'Input 4_2020CUST-YTD'!K:K)</f>
        <v>1</v>
      </c>
      <c r="AU62" s="1">
        <f>SUMIF('Input 4_2020CUST-YTD'!$S:$S,$G62,'Input 4_2020CUST-YTD'!L:L)</f>
        <v>1</v>
      </c>
      <c r="AV62" s="1">
        <f>SUMIF('Input 4_2020CUST-YTD'!$S:$S,$G62,'Input 4_2020CUST-YTD'!M:M)</f>
        <v>1</v>
      </c>
      <c r="AW62" s="1">
        <f>SUMIF('Input 4_2020CUST-YTD'!$S:$S,$G62,'Input 4_2020CUST-YTD'!N:N)</f>
        <v>1</v>
      </c>
      <c r="AX62" s="4">
        <f>SUMIF('Input 5_2021CUST-YTD'!$S:$S,$G62,'Input 5_2021CUST-YTD'!C:C)</f>
        <v>1</v>
      </c>
      <c r="AY62" s="4">
        <f>SUMIF('Input 5_2021CUST-YTD'!$S:$S,$G62,'Input 5_2021CUST-YTD'!D:D)</f>
        <v>1</v>
      </c>
      <c r="AZ62" s="4">
        <f>SUMIF('Input 5_2021CUST-YTD'!$S:$S,$G62,'Input 5_2021CUST-YTD'!E:E)</f>
        <v>1</v>
      </c>
      <c r="BA62" s="4">
        <f>SUMIF('Input 5_2021CUST-YTD'!$S:$S,$G62,'Input 5_2021CUST-YTD'!F:F)</f>
        <v>1</v>
      </c>
      <c r="BB62" s="4">
        <f>SUMIF('Input 5_2021CUST-YTD'!$S:$S,$G62,'Input 5_2021CUST-YTD'!G:G)</f>
        <v>1</v>
      </c>
      <c r="BC62" s="4">
        <f>SUMIF('Input 5_2021CUST-YTD'!$S:$S,$G62,'Input 5_2021CUST-YTD'!H:H)</f>
        <v>1</v>
      </c>
      <c r="BD62" s="4">
        <f>SUMIF('Input 5_2021CUST-YTD'!$S:$S,$G62,'Input 5_2021CUST-YTD'!I:I)</f>
        <v>1</v>
      </c>
      <c r="BE62" s="4">
        <f>SUMIF('Input 5_2021CUST-YTD'!$S:$S,$G62,'Input 5_2021CUST-YTD'!J:J)</f>
        <v>1</v>
      </c>
      <c r="BF62" s="4">
        <f>SUMIF('Input 5_2021CUST-YTD'!$S:$S,$G62,'Input 5_2021CUST-YTD'!K:K)</f>
        <v>1</v>
      </c>
      <c r="BG62" s="4">
        <f>SUMIF('Input 5_2021CUST-YTD'!$S:$S,$G62,'Input 5_2021CUST-YTD'!L:L)</f>
        <v>1</v>
      </c>
      <c r="BH62" s="4">
        <f>SUMIF('Input 5_2021CUST-YTD'!$S:$S,$G62,'Input 5_2021CUST-YTD'!M:M)</f>
        <v>1</v>
      </c>
      <c r="BI62" s="4">
        <f>SUMIF('Input 5_2021CUST-YTD'!$S:$S,$G62,'Input 5_2021CUST-YTD'!N:N)</f>
        <v>1</v>
      </c>
      <c r="BJ62" s="494">
        <f t="shared" si="32"/>
        <v>1</v>
      </c>
      <c r="BK62" s="494">
        <f t="shared" si="33"/>
        <v>1</v>
      </c>
      <c r="BL62" s="494">
        <f t="shared" si="34"/>
        <v>1</v>
      </c>
      <c r="BM62" s="494">
        <f t="shared" si="35"/>
        <v>1</v>
      </c>
      <c r="BN62" s="494">
        <f t="shared" si="36"/>
        <v>1</v>
      </c>
      <c r="BO62" s="494">
        <f t="shared" si="37"/>
        <v>1</v>
      </c>
      <c r="BP62" s="494">
        <f t="shared" si="38"/>
        <v>1</v>
      </c>
      <c r="BQ62" s="494">
        <f t="shared" si="39"/>
        <v>1</v>
      </c>
      <c r="BR62" s="494">
        <f t="shared" si="40"/>
        <v>1</v>
      </c>
      <c r="BS62" s="494">
        <f t="shared" si="41"/>
        <v>1</v>
      </c>
      <c r="BT62" s="494">
        <f t="shared" si="42"/>
        <v>1</v>
      </c>
      <c r="BU62" s="494">
        <f t="shared" si="43"/>
        <v>1</v>
      </c>
      <c r="BV62" s="494">
        <f t="shared" si="44"/>
        <v>1</v>
      </c>
      <c r="BW62" s="494">
        <f t="shared" si="45"/>
        <v>1</v>
      </c>
      <c r="BX62" s="494">
        <f t="shared" si="46"/>
        <v>1</v>
      </c>
      <c r="BY62" s="494">
        <f t="shared" si="47"/>
        <v>1</v>
      </c>
      <c r="BZ62" s="494">
        <f t="shared" si="48"/>
        <v>1</v>
      </c>
      <c r="CA62" s="494">
        <f t="shared" si="49"/>
        <v>1</v>
      </c>
      <c r="CB62" s="494">
        <f t="shared" si="50"/>
        <v>1</v>
      </c>
      <c r="CC62" s="494">
        <f t="shared" si="51"/>
        <v>1</v>
      </c>
      <c r="CD62" s="494">
        <f t="shared" si="52"/>
        <v>1</v>
      </c>
      <c r="CE62" s="494">
        <f t="shared" si="53"/>
        <v>1</v>
      </c>
      <c r="CF62" s="494">
        <f t="shared" si="54"/>
        <v>1</v>
      </c>
      <c r="CG62" s="494">
        <f t="shared" si="55"/>
        <v>1</v>
      </c>
      <c r="CH62" s="197"/>
      <c r="CI62" s="197">
        <f t="shared" si="1"/>
        <v>21</v>
      </c>
      <c r="CJ62" s="197">
        <f t="shared" si="2"/>
        <v>15</v>
      </c>
      <c r="CK62" s="197">
        <f t="shared" si="3"/>
        <v>12</v>
      </c>
      <c r="CL62" s="197">
        <f t="shared" si="4"/>
        <v>12</v>
      </c>
      <c r="CM62" s="197">
        <f t="shared" si="5"/>
        <v>12</v>
      </c>
      <c r="CN62" s="197">
        <f t="shared" si="6"/>
        <v>12</v>
      </c>
      <c r="CP62" s="487">
        <f>SUMIF('Master '!D:D,D62,'Master '!AB:AB)</f>
        <v>12</v>
      </c>
      <c r="CQ62" s="487">
        <f>SUMIF('Master '!D:D,D62,'Master '!AC:AC)</f>
        <v>12</v>
      </c>
      <c r="CR62" s="197">
        <f t="shared" si="56"/>
        <v>0</v>
      </c>
      <c r="CS62" s="197">
        <f t="shared" si="56"/>
        <v>0</v>
      </c>
    </row>
    <row r="63" spans="1:97">
      <c r="A63" s="53" t="s">
        <v>17</v>
      </c>
      <c r="B63" s="53" t="s">
        <v>993</v>
      </c>
      <c r="C63" s="53" t="s">
        <v>1245</v>
      </c>
      <c r="D63" s="53" t="s">
        <v>81</v>
      </c>
      <c r="E63" s="53" t="str">
        <f>VLOOKUP(D63,'Input 14_Ref Table'!C:D,2,FALSE)</f>
        <v>CI108</v>
      </c>
      <c r="F63" s="143" t="s">
        <v>1286</v>
      </c>
      <c r="G63" s="53" t="str">
        <f>VLOOKUP(D63,'Input 14_Ref Table'!C:I,7,FALSE)</f>
        <v>CFG - FTS-12</v>
      </c>
      <c r="H63" s="53" t="str">
        <f>VLOOKUP(D63,'Input 14_Ref Table'!C:K,8,FALSE)</f>
        <v>Base Period</v>
      </c>
      <c r="I63" s="53"/>
      <c r="J63" t="str">
        <f>INDEX('Master '!$AD$2:AD$65,MATCH(D63,'Master '!$D$2:$D$65,0))</f>
        <v>Base Period</v>
      </c>
      <c r="K63" s="458">
        <f>INDEX('Master '!$N$2:N$65,MATCH(D63,'Master '!$D$2:$D$65,0))</f>
        <v>0</v>
      </c>
      <c r="L63" s="137">
        <f>INDEX('Master '!$S$2:S$65,MATCH(D63,'Master '!$D$2:$D$65,0))</f>
        <v>0</v>
      </c>
      <c r="M63" s="4">
        <f>INDEX('Master '!$W$2:W$65,MATCH(D63,'Master '!$D$2:$D$65,0))</f>
        <v>3405406.7120000003</v>
      </c>
      <c r="N63" s="53">
        <f>SUMIF('Input 16_2018CUST-YTD'!$S:$S,$G63,'Input 16_2018CUST-YTD'!C:C)</f>
        <v>5</v>
      </c>
      <c r="O63" s="53">
        <f>SUMIF('Input 16_2018CUST-YTD'!$S:$S,$G63,'Input 16_2018CUST-YTD'!D:D)</f>
        <v>5</v>
      </c>
      <c r="P63" s="53">
        <f>SUMIF('Input 16_2018CUST-YTD'!$S:$S,$G63,'Input 16_2018CUST-YTD'!E:E)</f>
        <v>5</v>
      </c>
      <c r="Q63" s="53">
        <f>SUMIF('Input 16_2018CUST-YTD'!$S:$S,$G63,'Input 16_2018CUST-YTD'!F:F)</f>
        <v>4</v>
      </c>
      <c r="R63" s="53">
        <f>SUMIF('Input 16_2018CUST-YTD'!$S:$S,$G63,'Input 16_2018CUST-YTD'!G:G)</f>
        <v>4</v>
      </c>
      <c r="S63" s="53">
        <f>SUMIF('Input 16_2018CUST-YTD'!$S:$S,$G63,'Input 16_2018CUST-YTD'!H:H)</f>
        <v>4</v>
      </c>
      <c r="T63" s="53">
        <f>SUMIF('Input 16_2018CUST-YTD'!$S:$S,$G63,'Input 16_2018CUST-YTD'!I:I)</f>
        <v>4</v>
      </c>
      <c r="U63" s="53">
        <f>SUMIF('Input 16_2018CUST-YTD'!$S:$S,$G63,'Input 16_2018CUST-YTD'!J:J)</f>
        <v>4</v>
      </c>
      <c r="V63" s="53">
        <f>SUMIF('Input 16_2018CUST-YTD'!$S:$S,$G63,'Input 16_2018CUST-YTD'!K:K)</f>
        <v>4</v>
      </c>
      <c r="W63" s="53">
        <f>SUMIF('Input 16_2018CUST-YTD'!$S:$S,$G63,'Input 16_2018CUST-YTD'!L:L)</f>
        <v>4</v>
      </c>
      <c r="X63" s="53">
        <f>SUMIF('Input 16_2018CUST-YTD'!$S:$S,$G63,'Input 16_2018CUST-YTD'!M:M)</f>
        <v>4</v>
      </c>
      <c r="Y63" s="53">
        <f>SUMIF('Input 16_2018CUST-YTD'!$S:$S,$G63,'Input 16_2018CUST-YTD'!N:N)</f>
        <v>4</v>
      </c>
      <c r="Z63" s="4">
        <f>SUMIF('Input 3_2019CUST-YTD'!$S:$S,$G63,'Input 3_2019CUST-YTD'!C:C)</f>
        <v>4</v>
      </c>
      <c r="AA63" s="4">
        <f>SUMIF('Input 3_2019CUST-YTD'!$S:$S,$G63,'Input 3_2019CUST-YTD'!D:D)</f>
        <v>4</v>
      </c>
      <c r="AB63" s="4">
        <f>SUMIF('Input 3_2019CUST-YTD'!$S:$S,$G63,'Input 3_2019CUST-YTD'!E:E)</f>
        <v>4</v>
      </c>
      <c r="AC63" s="4">
        <f>SUMIF('Input 3_2019CUST-YTD'!$S:$S,$G63,'Input 3_2019CUST-YTD'!F:F)</f>
        <v>4</v>
      </c>
      <c r="AD63" s="4">
        <f>SUMIF('Input 3_2019CUST-YTD'!$S:$S,$G63,'Input 3_2019CUST-YTD'!G:G)</f>
        <v>5</v>
      </c>
      <c r="AE63" s="4">
        <f>SUMIF('Input 3_2019CUST-YTD'!$S:$S,$G63,'Input 3_2019CUST-YTD'!H:H)</f>
        <v>5</v>
      </c>
      <c r="AF63" s="4">
        <f>SUMIF('Input 3_2019CUST-YTD'!$S:$S,$G63,'Input 3_2019CUST-YTD'!I:I)</f>
        <v>5</v>
      </c>
      <c r="AG63" s="4">
        <f>SUMIF('Input 3_2019CUST-YTD'!$S:$S,$G63,'Input 3_2019CUST-YTD'!J:J)</f>
        <v>5</v>
      </c>
      <c r="AH63" s="4">
        <f>SUMIF('Input 3_2019CUST-YTD'!$S:$S,$G63,'Input 3_2019CUST-YTD'!K:K)</f>
        <v>5</v>
      </c>
      <c r="AI63" s="4">
        <f>SUMIF('Input 3_2019CUST-YTD'!$S:$S,$G63,'Input 3_2019CUST-YTD'!L:L)</f>
        <v>5</v>
      </c>
      <c r="AJ63" s="4">
        <f>SUMIF('Input 3_2019CUST-YTD'!$S:$S,$G63,'Input 3_2019CUST-YTD'!M:M)</f>
        <v>5</v>
      </c>
      <c r="AK63" s="4">
        <f>SUMIF('Input 3_2019CUST-YTD'!$S:$S,$G63,'Input 3_2019CUST-YTD'!N:N)</f>
        <v>5</v>
      </c>
      <c r="AL63" s="1">
        <f>SUMIF('Input 4_2020CUST-YTD'!$S:$S,$G63,'Input 4_2020CUST-YTD'!C:C)</f>
        <v>5</v>
      </c>
      <c r="AM63" s="1">
        <f>SUMIF('Input 4_2020CUST-YTD'!$S:$S,$G63,'Input 4_2020CUST-YTD'!D:D)</f>
        <v>5</v>
      </c>
      <c r="AN63" s="1">
        <f>SUMIF('Input 4_2020CUST-YTD'!$S:$S,$G63,'Input 4_2020CUST-YTD'!E:E)</f>
        <v>5</v>
      </c>
      <c r="AO63" s="1">
        <f>SUMIF('Input 4_2020CUST-YTD'!$S:$S,$G63,'Input 4_2020CUST-YTD'!F:F)</f>
        <v>5</v>
      </c>
      <c r="AP63" s="1">
        <f>SUMIF('Input 4_2020CUST-YTD'!$S:$S,$G63,'Input 4_2020CUST-YTD'!G:G)</f>
        <v>5</v>
      </c>
      <c r="AQ63" s="1">
        <f>SUMIF('Input 4_2020CUST-YTD'!$S:$S,$G63,'Input 4_2020CUST-YTD'!H:H)</f>
        <v>5</v>
      </c>
      <c r="AR63" s="1">
        <f>SUMIF('Input 4_2020CUST-YTD'!$S:$S,$G63,'Input 4_2020CUST-YTD'!I:I)</f>
        <v>5</v>
      </c>
      <c r="AS63" s="1">
        <f>SUMIF('Input 4_2020CUST-YTD'!$S:$S,$G63,'Input 4_2020CUST-YTD'!J:J)</f>
        <v>5</v>
      </c>
      <c r="AT63" s="1">
        <f>SUMIF('Input 4_2020CUST-YTD'!$S:$S,$G63,'Input 4_2020CUST-YTD'!K:K)</f>
        <v>5</v>
      </c>
      <c r="AU63" s="1">
        <f>SUMIF('Input 4_2020CUST-YTD'!$S:$S,$G63,'Input 4_2020CUST-YTD'!L:L)</f>
        <v>5</v>
      </c>
      <c r="AV63" s="1">
        <f>SUMIF('Input 4_2020CUST-YTD'!$S:$S,$G63,'Input 4_2020CUST-YTD'!M:M)</f>
        <v>5</v>
      </c>
      <c r="AW63" s="1">
        <f>SUMIF('Input 4_2020CUST-YTD'!$S:$S,$G63,'Input 4_2020CUST-YTD'!N:N)</f>
        <v>5</v>
      </c>
      <c r="AX63" s="4">
        <f>SUMIF('Input 5_2021CUST-YTD'!$S:$S,$G63,'Input 5_2021CUST-YTD'!C:C)</f>
        <v>5</v>
      </c>
      <c r="AY63" s="4">
        <f>SUMIF('Input 5_2021CUST-YTD'!$S:$S,$G63,'Input 5_2021CUST-YTD'!D:D)</f>
        <v>5</v>
      </c>
      <c r="AZ63" s="4">
        <f>SUMIF('Input 5_2021CUST-YTD'!$S:$S,$G63,'Input 5_2021CUST-YTD'!E:E)</f>
        <v>5</v>
      </c>
      <c r="BA63" s="4">
        <f>SUMIF('Input 5_2021CUST-YTD'!$S:$S,$G63,'Input 5_2021CUST-YTD'!F:F)</f>
        <v>5</v>
      </c>
      <c r="BB63" s="4">
        <f>SUMIF('Input 5_2021CUST-YTD'!$S:$S,$G63,'Input 5_2021CUST-YTD'!G:G)</f>
        <v>5</v>
      </c>
      <c r="BC63" s="4">
        <f>SUMIF('Input 5_2021CUST-YTD'!$S:$S,$G63,'Input 5_2021CUST-YTD'!H:H)</f>
        <v>5</v>
      </c>
      <c r="BD63" s="4">
        <f>SUMIF('Input 5_2021CUST-YTD'!$S:$S,$G63,'Input 5_2021CUST-YTD'!I:I)</f>
        <v>5</v>
      </c>
      <c r="BE63" s="4">
        <f>SUMIF('Input 5_2021CUST-YTD'!$S:$S,$G63,'Input 5_2021CUST-YTD'!J:J)</f>
        <v>5</v>
      </c>
      <c r="BF63" s="4">
        <f>SUMIF('Input 5_2021CUST-YTD'!$S:$S,$G63,'Input 5_2021CUST-YTD'!K:K)</f>
        <v>5</v>
      </c>
      <c r="BG63" s="4">
        <f>SUMIF('Input 5_2021CUST-YTD'!$S:$S,$G63,'Input 5_2021CUST-YTD'!L:L)</f>
        <v>5</v>
      </c>
      <c r="BH63" s="4">
        <f>SUMIF('Input 5_2021CUST-YTD'!$S:$S,$G63,'Input 5_2021CUST-YTD'!M:M)</f>
        <v>5</v>
      </c>
      <c r="BI63" s="4">
        <f>SUMIF('Input 5_2021CUST-YTD'!$S:$S,$G63,'Input 5_2021CUST-YTD'!N:N)</f>
        <v>5</v>
      </c>
      <c r="BJ63" s="494">
        <f t="shared" si="32"/>
        <v>5</v>
      </c>
      <c r="BK63" s="494">
        <f t="shared" si="33"/>
        <v>5</v>
      </c>
      <c r="BL63" s="494">
        <f t="shared" si="34"/>
        <v>5</v>
      </c>
      <c r="BM63" s="494">
        <f t="shared" si="35"/>
        <v>5</v>
      </c>
      <c r="BN63" s="494">
        <f t="shared" si="36"/>
        <v>5</v>
      </c>
      <c r="BO63" s="494">
        <f t="shared" si="37"/>
        <v>5</v>
      </c>
      <c r="BP63" s="494">
        <f t="shared" si="38"/>
        <v>5</v>
      </c>
      <c r="BQ63" s="494">
        <f t="shared" si="39"/>
        <v>5</v>
      </c>
      <c r="BR63" s="494">
        <f t="shared" si="40"/>
        <v>5</v>
      </c>
      <c r="BS63" s="494">
        <f t="shared" si="41"/>
        <v>5</v>
      </c>
      <c r="BT63" s="494">
        <f t="shared" si="42"/>
        <v>5</v>
      </c>
      <c r="BU63" s="494">
        <f t="shared" si="43"/>
        <v>5</v>
      </c>
      <c r="BV63" s="494">
        <f t="shared" si="44"/>
        <v>5</v>
      </c>
      <c r="BW63" s="494">
        <f t="shared" si="45"/>
        <v>5</v>
      </c>
      <c r="BX63" s="494">
        <f t="shared" si="46"/>
        <v>5</v>
      </c>
      <c r="BY63" s="494">
        <f t="shared" si="47"/>
        <v>5</v>
      </c>
      <c r="BZ63" s="494">
        <f t="shared" si="48"/>
        <v>5</v>
      </c>
      <c r="CA63" s="494">
        <f t="shared" si="49"/>
        <v>5</v>
      </c>
      <c r="CB63" s="494">
        <f t="shared" si="50"/>
        <v>5</v>
      </c>
      <c r="CC63" s="494">
        <f t="shared" si="51"/>
        <v>5</v>
      </c>
      <c r="CD63" s="494">
        <f t="shared" si="52"/>
        <v>5</v>
      </c>
      <c r="CE63" s="494">
        <f t="shared" si="53"/>
        <v>5</v>
      </c>
      <c r="CF63" s="494">
        <f t="shared" si="54"/>
        <v>5</v>
      </c>
      <c r="CG63" s="494">
        <f t="shared" si="55"/>
        <v>5</v>
      </c>
      <c r="CH63" s="197"/>
      <c r="CI63" s="197">
        <f t="shared" si="1"/>
        <v>51</v>
      </c>
      <c r="CJ63" s="197">
        <f t="shared" si="2"/>
        <v>56</v>
      </c>
      <c r="CK63" s="197">
        <f t="shared" si="3"/>
        <v>60</v>
      </c>
      <c r="CL63" s="197">
        <f t="shared" si="4"/>
        <v>60</v>
      </c>
      <c r="CM63" s="197">
        <f t="shared" si="5"/>
        <v>60</v>
      </c>
      <c r="CN63" s="197">
        <f t="shared" si="6"/>
        <v>60</v>
      </c>
      <c r="CP63" s="487">
        <f>SUMIF('Master '!D:D,D63,'Master '!AB:AB)</f>
        <v>60</v>
      </c>
      <c r="CQ63" s="487">
        <f>SUMIF('Master '!D:D,D63,'Master '!AC:AC)</f>
        <v>60</v>
      </c>
      <c r="CR63" s="197">
        <f t="shared" si="56"/>
        <v>0</v>
      </c>
      <c r="CS63" s="197">
        <f t="shared" si="56"/>
        <v>0</v>
      </c>
    </row>
    <row r="64" spans="1:97">
      <c r="A64" s="53" t="s">
        <v>17</v>
      </c>
      <c r="B64" s="53" t="s">
        <v>993</v>
      </c>
      <c r="C64" s="53" t="s">
        <v>1245</v>
      </c>
      <c r="D64" s="53" t="s">
        <v>122</v>
      </c>
      <c r="E64" s="53" t="str">
        <f>VLOOKUP(D64,'Input 14_Ref Table'!C:D,2,FALSE)</f>
        <v>CICID</v>
      </c>
      <c r="F64" s="143" t="s">
        <v>1286</v>
      </c>
      <c r="G64" s="53" t="str">
        <f>VLOOKUP(D64,'Input 14_Ref Table'!C:I,7,FALSE)</f>
        <v>CFG - FTS-13</v>
      </c>
      <c r="H64" s="53" t="str">
        <f>VLOOKUP(D64,'Input 14_Ref Table'!C:K,8,FALSE)</f>
        <v>Base Period</v>
      </c>
      <c r="I64" s="53"/>
      <c r="J64" t="str">
        <f>INDEX('Master '!$AD$2:AD$65,MATCH(D64,'Master '!$D$2:$D$65,0))</f>
        <v>Base Period</v>
      </c>
      <c r="K64" s="458">
        <f>INDEX('Master '!$N$2:N$65,MATCH(D64,'Master '!$D$2:$D$65,0))</f>
        <v>0</v>
      </c>
      <c r="L64" s="137">
        <f>INDEX('Master '!$S$2:S$65,MATCH(D64,'Master '!$D$2:$D$65,0))</f>
        <v>0</v>
      </c>
      <c r="M64" s="4">
        <f>INDEX('Master '!$W$2:W$65,MATCH(D64,'Master '!$D$2:$D$65,0))</f>
        <v>0</v>
      </c>
      <c r="N64" s="53">
        <f>SUMIF('Input 16_2018CUST-YTD'!$S:$S,$G64,'Input 16_2018CUST-YTD'!C:C)</f>
        <v>0</v>
      </c>
      <c r="O64" s="53">
        <f>SUMIF('Input 16_2018CUST-YTD'!$S:$S,$G64,'Input 16_2018CUST-YTD'!D:D)</f>
        <v>0</v>
      </c>
      <c r="P64" s="53">
        <f>SUMIF('Input 16_2018CUST-YTD'!$S:$S,$G64,'Input 16_2018CUST-YTD'!E:E)</f>
        <v>0</v>
      </c>
      <c r="Q64" s="53">
        <f>SUMIF('Input 16_2018CUST-YTD'!$S:$S,$G64,'Input 16_2018CUST-YTD'!F:F)</f>
        <v>0</v>
      </c>
      <c r="R64" s="53">
        <f>SUMIF('Input 16_2018CUST-YTD'!$S:$S,$G64,'Input 16_2018CUST-YTD'!G:G)</f>
        <v>0</v>
      </c>
      <c r="S64" s="53">
        <f>SUMIF('Input 16_2018CUST-YTD'!$S:$S,$G64,'Input 16_2018CUST-YTD'!H:H)</f>
        <v>0</v>
      </c>
      <c r="T64" s="53">
        <f>SUMIF('Input 16_2018CUST-YTD'!$S:$S,$G64,'Input 16_2018CUST-YTD'!I:I)</f>
        <v>0</v>
      </c>
      <c r="U64" s="53">
        <f>SUMIF('Input 16_2018CUST-YTD'!$S:$S,$G64,'Input 16_2018CUST-YTD'!J:J)</f>
        <v>0</v>
      </c>
      <c r="V64" s="53">
        <f>SUMIF('Input 16_2018CUST-YTD'!$S:$S,$G64,'Input 16_2018CUST-YTD'!K:K)</f>
        <v>0</v>
      </c>
      <c r="W64" s="53">
        <f>SUMIF('Input 16_2018CUST-YTD'!$S:$S,$G64,'Input 16_2018CUST-YTD'!L:L)</f>
        <v>0</v>
      </c>
      <c r="X64" s="53">
        <f>SUMIF('Input 16_2018CUST-YTD'!$S:$S,$G64,'Input 16_2018CUST-YTD'!M:M)</f>
        <v>0</v>
      </c>
      <c r="Y64" s="53">
        <f>SUMIF('Input 16_2018CUST-YTD'!$S:$S,$G64,'Input 16_2018CUST-YTD'!N:N)</f>
        <v>0</v>
      </c>
      <c r="Z64" s="4">
        <f>SUMIF('Input 3_2019CUST-YTD'!$S:$S,$G64,'Input 3_2019CUST-YTD'!C:C)</f>
        <v>0</v>
      </c>
      <c r="AA64" s="4">
        <f>SUMIF('Input 3_2019CUST-YTD'!$S:$S,$G64,'Input 3_2019CUST-YTD'!D:D)</f>
        <v>0</v>
      </c>
      <c r="AB64" s="4">
        <f>SUMIF('Input 3_2019CUST-YTD'!$S:$S,$G64,'Input 3_2019CUST-YTD'!E:E)</f>
        <v>0</v>
      </c>
      <c r="AC64" s="4">
        <f>SUMIF('Input 3_2019CUST-YTD'!$S:$S,$G64,'Input 3_2019CUST-YTD'!F:F)</f>
        <v>0</v>
      </c>
      <c r="AD64" s="4">
        <f>SUMIF('Input 3_2019CUST-YTD'!$S:$S,$G64,'Input 3_2019CUST-YTD'!G:G)</f>
        <v>0</v>
      </c>
      <c r="AE64" s="4">
        <f>SUMIF('Input 3_2019CUST-YTD'!$S:$S,$G64,'Input 3_2019CUST-YTD'!H:H)</f>
        <v>0</v>
      </c>
      <c r="AF64" s="4">
        <f>SUMIF('Input 3_2019CUST-YTD'!$S:$S,$G64,'Input 3_2019CUST-YTD'!I:I)</f>
        <v>0</v>
      </c>
      <c r="AG64" s="4">
        <f>SUMIF('Input 3_2019CUST-YTD'!$S:$S,$G64,'Input 3_2019CUST-YTD'!J:J)</f>
        <v>0</v>
      </c>
      <c r="AH64" s="4">
        <f>SUMIF('Input 3_2019CUST-YTD'!$S:$S,$G64,'Input 3_2019CUST-YTD'!K:K)</f>
        <v>0</v>
      </c>
      <c r="AI64" s="4">
        <f>SUMIF('Input 3_2019CUST-YTD'!$S:$S,$G64,'Input 3_2019CUST-YTD'!L:L)</f>
        <v>0</v>
      </c>
      <c r="AJ64" s="4">
        <f>SUMIF('Input 3_2019CUST-YTD'!$S:$S,$G64,'Input 3_2019CUST-YTD'!M:M)</f>
        <v>0</v>
      </c>
      <c r="AK64" s="4">
        <f>SUMIF('Input 3_2019CUST-YTD'!$S:$S,$G64,'Input 3_2019CUST-YTD'!N:N)</f>
        <v>0</v>
      </c>
      <c r="AL64" s="1">
        <f>SUMIF('Input 4_2020CUST-YTD'!$S:$S,$G64,'Input 4_2020CUST-YTD'!C:C)</f>
        <v>0</v>
      </c>
      <c r="AM64" s="1">
        <f>SUMIF('Input 4_2020CUST-YTD'!$S:$S,$G64,'Input 4_2020CUST-YTD'!D:D)</f>
        <v>0</v>
      </c>
      <c r="AN64" s="1">
        <f>SUMIF('Input 4_2020CUST-YTD'!$S:$S,$G64,'Input 4_2020CUST-YTD'!E:E)</f>
        <v>0</v>
      </c>
      <c r="AO64" s="1">
        <f>SUMIF('Input 4_2020CUST-YTD'!$S:$S,$G64,'Input 4_2020CUST-YTD'!F:F)</f>
        <v>0</v>
      </c>
      <c r="AP64" s="1">
        <f>SUMIF('Input 4_2020CUST-YTD'!$S:$S,$G64,'Input 4_2020CUST-YTD'!G:G)</f>
        <v>0</v>
      </c>
      <c r="AQ64" s="1">
        <f>SUMIF('Input 4_2020CUST-YTD'!$S:$S,$G64,'Input 4_2020CUST-YTD'!H:H)</f>
        <v>0</v>
      </c>
      <c r="AR64" s="1">
        <f>SUMIF('Input 4_2020CUST-YTD'!$S:$S,$G64,'Input 4_2020CUST-YTD'!I:I)</f>
        <v>0</v>
      </c>
      <c r="AS64" s="1">
        <f>SUMIF('Input 4_2020CUST-YTD'!$S:$S,$G64,'Input 4_2020CUST-YTD'!J:J)</f>
        <v>0</v>
      </c>
      <c r="AT64" s="1">
        <f>SUMIF('Input 4_2020CUST-YTD'!$S:$S,$G64,'Input 4_2020CUST-YTD'!K:K)</f>
        <v>0</v>
      </c>
      <c r="AU64" s="1">
        <f>SUMIF('Input 4_2020CUST-YTD'!$S:$S,$G64,'Input 4_2020CUST-YTD'!L:L)</f>
        <v>0</v>
      </c>
      <c r="AV64" s="1">
        <f>SUMIF('Input 4_2020CUST-YTD'!$S:$S,$G64,'Input 4_2020CUST-YTD'!M:M)</f>
        <v>0</v>
      </c>
      <c r="AW64" s="1">
        <f>SUMIF('Input 4_2020CUST-YTD'!$S:$S,$G64,'Input 4_2020CUST-YTD'!N:N)</f>
        <v>0</v>
      </c>
      <c r="AX64" s="4">
        <f>SUMIF('Input 5_2021CUST-YTD'!$S:$S,$G64,'Input 5_2021CUST-YTD'!C:C)</f>
        <v>0</v>
      </c>
      <c r="AY64" s="4">
        <f>SUMIF('Input 5_2021CUST-YTD'!$S:$S,$G64,'Input 5_2021CUST-YTD'!D:D)</f>
        <v>0</v>
      </c>
      <c r="AZ64" s="4">
        <f>SUMIF('Input 5_2021CUST-YTD'!$S:$S,$G64,'Input 5_2021CUST-YTD'!E:E)</f>
        <v>0</v>
      </c>
      <c r="BA64" s="4">
        <f>SUMIF('Input 5_2021CUST-YTD'!$S:$S,$G64,'Input 5_2021CUST-YTD'!F:F)</f>
        <v>0</v>
      </c>
      <c r="BB64" s="4">
        <f>SUMIF('Input 5_2021CUST-YTD'!$S:$S,$G64,'Input 5_2021CUST-YTD'!G:G)</f>
        <v>0</v>
      </c>
      <c r="BC64" s="4">
        <f>SUMIF('Input 5_2021CUST-YTD'!$S:$S,$G64,'Input 5_2021CUST-YTD'!H:H)</f>
        <v>0</v>
      </c>
      <c r="BD64" s="4">
        <f>SUMIF('Input 5_2021CUST-YTD'!$S:$S,$G64,'Input 5_2021CUST-YTD'!I:I)</f>
        <v>0</v>
      </c>
      <c r="BE64" s="4">
        <f>SUMIF('Input 5_2021CUST-YTD'!$S:$S,$G64,'Input 5_2021CUST-YTD'!J:J)</f>
        <v>0</v>
      </c>
      <c r="BF64" s="4">
        <f>SUMIF('Input 5_2021CUST-YTD'!$S:$S,$G64,'Input 5_2021CUST-YTD'!K:K)</f>
        <v>0</v>
      </c>
      <c r="BG64" s="4">
        <f>SUMIF('Input 5_2021CUST-YTD'!$S:$S,$G64,'Input 5_2021CUST-YTD'!L:L)</f>
        <v>0</v>
      </c>
      <c r="BH64" s="4">
        <f>SUMIF('Input 5_2021CUST-YTD'!$S:$S,$G64,'Input 5_2021CUST-YTD'!M:M)</f>
        <v>0</v>
      </c>
      <c r="BI64" s="4">
        <f>SUMIF('Input 5_2021CUST-YTD'!$S:$S,$G64,'Input 5_2021CUST-YTD'!N:N)</f>
        <v>0</v>
      </c>
      <c r="BJ64" s="494">
        <f t="shared" si="32"/>
        <v>0</v>
      </c>
      <c r="BK64" s="494">
        <f t="shared" si="33"/>
        <v>0</v>
      </c>
      <c r="BL64" s="494">
        <f t="shared" si="34"/>
        <v>0</v>
      </c>
      <c r="BM64" s="494">
        <f t="shared" si="35"/>
        <v>0</v>
      </c>
      <c r="BN64" s="494">
        <f t="shared" si="36"/>
        <v>0</v>
      </c>
      <c r="BO64" s="494">
        <f t="shared" si="37"/>
        <v>0</v>
      </c>
      <c r="BP64" s="494">
        <f t="shared" si="38"/>
        <v>0</v>
      </c>
      <c r="BQ64" s="494">
        <f t="shared" si="39"/>
        <v>0</v>
      </c>
      <c r="BR64" s="494">
        <f t="shared" si="40"/>
        <v>0</v>
      </c>
      <c r="BS64" s="494">
        <f t="shared" si="41"/>
        <v>0</v>
      </c>
      <c r="BT64" s="494">
        <f t="shared" si="42"/>
        <v>0</v>
      </c>
      <c r="BU64" s="494">
        <f t="shared" si="43"/>
        <v>0</v>
      </c>
      <c r="BV64" s="494">
        <f t="shared" si="44"/>
        <v>0</v>
      </c>
      <c r="BW64" s="494">
        <f t="shared" si="45"/>
        <v>0</v>
      </c>
      <c r="BX64" s="494">
        <f t="shared" si="46"/>
        <v>0</v>
      </c>
      <c r="BY64" s="494">
        <f t="shared" si="47"/>
        <v>0</v>
      </c>
      <c r="BZ64" s="494">
        <f t="shared" si="48"/>
        <v>0</v>
      </c>
      <c r="CA64" s="494">
        <f t="shared" si="49"/>
        <v>0</v>
      </c>
      <c r="CB64" s="494">
        <f t="shared" si="50"/>
        <v>0</v>
      </c>
      <c r="CC64" s="494">
        <f t="shared" si="51"/>
        <v>0</v>
      </c>
      <c r="CD64" s="494">
        <f t="shared" si="52"/>
        <v>0</v>
      </c>
      <c r="CE64" s="494">
        <f t="shared" si="53"/>
        <v>0</v>
      </c>
      <c r="CF64" s="494">
        <f t="shared" si="54"/>
        <v>0</v>
      </c>
      <c r="CG64" s="494">
        <f t="shared" si="55"/>
        <v>0</v>
      </c>
      <c r="CH64" s="197"/>
      <c r="CI64" s="197">
        <f t="shared" si="1"/>
        <v>0</v>
      </c>
      <c r="CJ64" s="197">
        <f t="shared" si="2"/>
        <v>0</v>
      </c>
      <c r="CK64" s="197">
        <f t="shared" si="3"/>
        <v>0</v>
      </c>
      <c r="CL64" s="197">
        <f t="shared" si="4"/>
        <v>0</v>
      </c>
      <c r="CM64" s="197">
        <f t="shared" si="5"/>
        <v>0</v>
      </c>
      <c r="CN64" s="197">
        <f t="shared" si="6"/>
        <v>0</v>
      </c>
      <c r="CP64" s="487">
        <f>SUMIF('Master '!D:D,D64,'Master '!AB:AB)</f>
        <v>0</v>
      </c>
      <c r="CQ64" s="487">
        <f>SUMIF('Master '!D:D,D64,'Master '!AC:AC)</f>
        <v>0</v>
      </c>
      <c r="CR64" s="197">
        <f t="shared" si="56"/>
        <v>0</v>
      </c>
      <c r="CS64" s="197">
        <f t="shared" si="56"/>
        <v>0</v>
      </c>
    </row>
    <row r="65" spans="1:99" s="476" customFormat="1" ht="13.5" thickBot="1">
      <c r="A65" s="474" t="s">
        <v>17</v>
      </c>
      <c r="B65" s="474" t="s">
        <v>993</v>
      </c>
      <c r="C65" s="474" t="s">
        <v>1245</v>
      </c>
      <c r="D65" s="474" t="s">
        <v>83</v>
      </c>
      <c r="E65" s="474" t="str">
        <f>VLOOKUP(D65,'Input 14_Ref Table'!C:D,2,FALSE)</f>
        <v>CCNGV</v>
      </c>
      <c r="F65" s="475" t="s">
        <v>1286</v>
      </c>
      <c r="G65" s="474" t="str">
        <f>VLOOKUP(D65,'Input 14_Ref Table'!C:I,7,FALSE)</f>
        <v>CFG - FTS-NGV</v>
      </c>
      <c r="H65" s="474" t="str">
        <f>VLOOKUP(D65,'Input 14_Ref Table'!C:K,8,FALSE)</f>
        <v>Base Period</v>
      </c>
      <c r="I65" s="474"/>
      <c r="J65" s="476" t="str">
        <f>INDEX('Master '!$AD$2:AD$65,MATCH(D65,'Master '!$D$2:$D$65,0))</f>
        <v>Adjusted</v>
      </c>
      <c r="K65" s="477">
        <f>INDEX('Master '!$N$2:N$65,MATCH(D65,'Master '!$D$2:$D$65,0))</f>
        <v>0</v>
      </c>
      <c r="L65" s="478">
        <f>INDEX('Master '!$S$2:S$65,MATCH(D65,'Master '!$D$2:$D$65,0))</f>
        <v>0</v>
      </c>
      <c r="M65" s="479">
        <f>INDEX('Master '!$W$2:W$65,MATCH(D65,'Master '!$D$2:$D$65,0))</f>
        <v>887806.67999999982</v>
      </c>
      <c r="N65" s="474">
        <f>SUMIF('Input 16_2018CUST-YTD'!$S:$S,$G65,'Input 16_2018CUST-YTD'!C:C)</f>
        <v>0</v>
      </c>
      <c r="O65" s="474">
        <f>SUMIF('Input 16_2018CUST-YTD'!$S:$S,$G65,'Input 16_2018CUST-YTD'!D:D)</f>
        <v>0</v>
      </c>
      <c r="P65" s="474">
        <f>SUMIF('Input 16_2018CUST-YTD'!$S:$S,$G65,'Input 16_2018CUST-YTD'!E:E)</f>
        <v>0</v>
      </c>
      <c r="Q65" s="474">
        <f>SUMIF('Input 16_2018CUST-YTD'!$S:$S,$G65,'Input 16_2018CUST-YTD'!F:F)</f>
        <v>0</v>
      </c>
      <c r="R65" s="474">
        <f>SUMIF('Input 16_2018CUST-YTD'!$S:$S,$G65,'Input 16_2018CUST-YTD'!G:G)</f>
        <v>0</v>
      </c>
      <c r="S65" s="474">
        <f>SUMIF('Input 16_2018CUST-YTD'!$S:$S,$G65,'Input 16_2018CUST-YTD'!H:H)</f>
        <v>0</v>
      </c>
      <c r="T65" s="474">
        <f>SUMIF('Input 16_2018CUST-YTD'!$S:$S,$G65,'Input 16_2018CUST-YTD'!I:I)</f>
        <v>0</v>
      </c>
      <c r="U65" s="474">
        <f>SUMIF('Input 16_2018CUST-YTD'!$S:$S,$G65,'Input 16_2018CUST-YTD'!J:J)</f>
        <v>0</v>
      </c>
      <c r="V65" s="474">
        <f>SUMIF('Input 16_2018CUST-YTD'!$S:$S,$G65,'Input 16_2018CUST-YTD'!K:K)</f>
        <v>0</v>
      </c>
      <c r="W65" s="474">
        <f>SUMIF('Input 16_2018CUST-YTD'!$S:$S,$G65,'Input 16_2018CUST-YTD'!L:L)</f>
        <v>0</v>
      </c>
      <c r="X65" s="474">
        <f>SUMIF('Input 16_2018CUST-YTD'!$S:$S,$G65,'Input 16_2018CUST-YTD'!M:M)</f>
        <v>0</v>
      </c>
      <c r="Y65" s="474">
        <f>SUMIF('Input 16_2018CUST-YTD'!$S:$S,$G65,'Input 16_2018CUST-YTD'!N:N)</f>
        <v>0</v>
      </c>
      <c r="Z65" s="479">
        <f>SUMIF('Input 3_2019CUST-YTD'!$S:$S,$G65,'Input 3_2019CUST-YTD'!C:C)</f>
        <v>0</v>
      </c>
      <c r="AA65" s="479">
        <f>SUMIF('Input 3_2019CUST-YTD'!$S:$S,$G65,'Input 3_2019CUST-YTD'!D:D)</f>
        <v>0</v>
      </c>
      <c r="AB65" s="479">
        <f>SUMIF('Input 3_2019CUST-YTD'!$S:$S,$G65,'Input 3_2019CUST-YTD'!E:E)</f>
        <v>0</v>
      </c>
      <c r="AC65" s="479">
        <f>SUMIF('Input 3_2019CUST-YTD'!$S:$S,$G65,'Input 3_2019CUST-YTD'!F:F)</f>
        <v>1</v>
      </c>
      <c r="AD65" s="479">
        <f>SUMIF('Input 3_2019CUST-YTD'!$S:$S,$G65,'Input 3_2019CUST-YTD'!G:G)</f>
        <v>1</v>
      </c>
      <c r="AE65" s="479">
        <f>SUMIF('Input 3_2019CUST-YTD'!$S:$S,$G65,'Input 3_2019CUST-YTD'!H:H)</f>
        <v>1</v>
      </c>
      <c r="AF65" s="479">
        <f>SUMIF('Input 3_2019CUST-YTD'!$S:$S,$G65,'Input 3_2019CUST-YTD'!I:I)</f>
        <v>1</v>
      </c>
      <c r="AG65" s="479">
        <f>SUMIF('Input 3_2019CUST-YTD'!$S:$S,$G65,'Input 3_2019CUST-YTD'!J:J)</f>
        <v>1</v>
      </c>
      <c r="AH65" s="479">
        <f>SUMIF('Input 3_2019CUST-YTD'!$S:$S,$G65,'Input 3_2019CUST-YTD'!K:K)</f>
        <v>1</v>
      </c>
      <c r="AI65" s="479">
        <f>SUMIF('Input 3_2019CUST-YTD'!$S:$S,$G65,'Input 3_2019CUST-YTD'!L:L)</f>
        <v>1</v>
      </c>
      <c r="AJ65" s="479">
        <f>SUMIF('Input 3_2019CUST-YTD'!$S:$S,$G65,'Input 3_2019CUST-YTD'!M:M)</f>
        <v>1</v>
      </c>
      <c r="AK65" s="479">
        <f>SUMIF('Input 3_2019CUST-YTD'!$S:$S,$G65,'Input 3_2019CUST-YTD'!N:N)</f>
        <v>1</v>
      </c>
      <c r="AL65" s="486">
        <f>SUMIF('Input 4_2020CUST-YTD'!$S:$S,$G65,'Input 4_2020CUST-YTD'!C:C)</f>
        <v>1</v>
      </c>
      <c r="AM65" s="486">
        <f>SUMIF('Input 4_2020CUST-YTD'!$S:$S,$G65,'Input 4_2020CUST-YTD'!D:D)</f>
        <v>1</v>
      </c>
      <c r="AN65" s="486">
        <f>SUMIF('Input 4_2020CUST-YTD'!$S:$S,$G65,'Input 4_2020CUST-YTD'!E:E)</f>
        <v>1</v>
      </c>
      <c r="AO65" s="486">
        <f>SUMIF('Input 4_2020CUST-YTD'!$S:$S,$G65,'Input 4_2020CUST-YTD'!F:F)</f>
        <v>1</v>
      </c>
      <c r="AP65" s="486">
        <f>SUMIF('Input 4_2020CUST-YTD'!$S:$S,$G65,'Input 4_2020CUST-YTD'!G:G)</f>
        <v>1</v>
      </c>
      <c r="AQ65" s="486">
        <f>SUMIF('Input 4_2020CUST-YTD'!$S:$S,$G65,'Input 4_2020CUST-YTD'!H:H)</f>
        <v>1</v>
      </c>
      <c r="AR65" s="486">
        <f>SUMIF('Input 4_2020CUST-YTD'!$S:$S,$G65,'Input 4_2020CUST-YTD'!I:I)</f>
        <v>1</v>
      </c>
      <c r="AS65" s="486">
        <f>SUMIF('Input 4_2020CUST-YTD'!$S:$S,$G65,'Input 4_2020CUST-YTD'!J:J)</f>
        <v>1</v>
      </c>
      <c r="AT65" s="486">
        <f>SUMIF('Input 4_2020CUST-YTD'!$S:$S,$G65,'Input 4_2020CUST-YTD'!K:K)</f>
        <v>1</v>
      </c>
      <c r="AU65" s="486">
        <f>SUMIF('Input 4_2020CUST-YTD'!$S:$S,$G65,'Input 4_2020CUST-YTD'!L:L)</f>
        <v>1</v>
      </c>
      <c r="AV65" s="486">
        <f>SUMIF('Input 4_2020CUST-YTD'!$S:$S,$G65,'Input 4_2020CUST-YTD'!M:M)</f>
        <v>1</v>
      </c>
      <c r="AW65" s="486">
        <f>SUMIF('Input 4_2020CUST-YTD'!$S:$S,$G65,'Input 4_2020CUST-YTD'!N:N)</f>
        <v>1</v>
      </c>
      <c r="AX65" s="479">
        <f>SUMIF('Input 5_2021CUST-YTD'!$S:$S,$G65,'Input 5_2021CUST-YTD'!C:C)</f>
        <v>1</v>
      </c>
      <c r="AY65" s="479">
        <f>SUMIF('Input 5_2021CUST-YTD'!$S:$S,$G65,'Input 5_2021CUST-YTD'!D:D)</f>
        <v>1</v>
      </c>
      <c r="AZ65" s="479">
        <f>SUMIF('Input 5_2021CUST-YTD'!$S:$S,$G65,'Input 5_2021CUST-YTD'!E:E)</f>
        <v>1</v>
      </c>
      <c r="BA65" s="479">
        <f>SUMIF('Input 5_2021CUST-YTD'!$S:$S,$G65,'Input 5_2021CUST-YTD'!F:F)</f>
        <v>1</v>
      </c>
      <c r="BB65" s="479">
        <f>SUMIF('Input 5_2021CUST-YTD'!$S:$S,$G65,'Input 5_2021CUST-YTD'!G:G)</f>
        <v>1</v>
      </c>
      <c r="BC65" s="479">
        <f>SUMIF('Input 5_2021CUST-YTD'!$S:$S,$G65,'Input 5_2021CUST-YTD'!H:H)</f>
        <v>1</v>
      </c>
      <c r="BD65" s="479">
        <f>SUMIF('Input 5_2021CUST-YTD'!$S:$S,$G65,'Input 5_2021CUST-YTD'!I:I)</f>
        <v>1</v>
      </c>
      <c r="BE65" s="479">
        <f>SUMIF('Input 5_2021CUST-YTD'!$S:$S,$G65,'Input 5_2021CUST-YTD'!J:J)</f>
        <v>1</v>
      </c>
      <c r="BF65" s="479">
        <f>SUMIF('Input 5_2021CUST-YTD'!$S:$S,$G65,'Input 5_2021CUST-YTD'!K:K)</f>
        <v>1</v>
      </c>
      <c r="BG65" s="479">
        <f>SUMIF('Input 5_2021CUST-YTD'!$S:$S,$G65,'Input 5_2021CUST-YTD'!L:L)</f>
        <v>1</v>
      </c>
      <c r="BH65" s="479">
        <f>SUMIF('Input 5_2021CUST-YTD'!$S:$S,$G65,'Input 5_2021CUST-YTD'!M:M)</f>
        <v>1</v>
      </c>
      <c r="BI65" s="479">
        <f>SUMIF('Input 5_2021CUST-YTD'!$S:$S,$G65,'Input 5_2021CUST-YTD'!N:N)</f>
        <v>1</v>
      </c>
      <c r="BJ65" s="495">
        <f t="shared" si="32"/>
        <v>1</v>
      </c>
      <c r="BK65" s="495">
        <f t="shared" si="33"/>
        <v>1</v>
      </c>
      <c r="BL65" s="495">
        <f t="shared" si="34"/>
        <v>1</v>
      </c>
      <c r="BM65" s="495">
        <f t="shared" si="35"/>
        <v>1</v>
      </c>
      <c r="BN65" s="495">
        <f t="shared" si="36"/>
        <v>1</v>
      </c>
      <c r="BO65" s="495">
        <f t="shared" si="37"/>
        <v>1</v>
      </c>
      <c r="BP65" s="495">
        <f t="shared" si="38"/>
        <v>1</v>
      </c>
      <c r="BQ65" s="495">
        <f t="shared" si="39"/>
        <v>1</v>
      </c>
      <c r="BR65" s="495">
        <f t="shared" si="40"/>
        <v>1</v>
      </c>
      <c r="BS65" s="495">
        <f t="shared" si="41"/>
        <v>1</v>
      </c>
      <c r="BT65" s="495">
        <f t="shared" si="42"/>
        <v>1</v>
      </c>
      <c r="BU65" s="495">
        <f t="shared" si="43"/>
        <v>1</v>
      </c>
      <c r="BV65" s="495">
        <f t="shared" si="44"/>
        <v>1</v>
      </c>
      <c r="BW65" s="495">
        <f t="shared" si="45"/>
        <v>1</v>
      </c>
      <c r="BX65" s="495">
        <f t="shared" si="46"/>
        <v>1</v>
      </c>
      <c r="BY65" s="495">
        <f t="shared" si="47"/>
        <v>1</v>
      </c>
      <c r="BZ65" s="495">
        <f t="shared" si="48"/>
        <v>1</v>
      </c>
      <c r="CA65" s="495">
        <f t="shared" si="49"/>
        <v>1</v>
      </c>
      <c r="CB65" s="495">
        <f t="shared" si="50"/>
        <v>1</v>
      </c>
      <c r="CC65" s="495">
        <f t="shared" si="51"/>
        <v>1</v>
      </c>
      <c r="CD65" s="495">
        <f t="shared" si="52"/>
        <v>1</v>
      </c>
      <c r="CE65" s="495">
        <f t="shared" si="53"/>
        <v>1</v>
      </c>
      <c r="CF65" s="495">
        <f t="shared" si="54"/>
        <v>1</v>
      </c>
      <c r="CG65" s="495">
        <f t="shared" si="55"/>
        <v>1</v>
      </c>
      <c r="CH65" s="481"/>
      <c r="CI65" s="481">
        <f t="shared" si="1"/>
        <v>0</v>
      </c>
      <c r="CJ65" s="481">
        <f t="shared" si="2"/>
        <v>9</v>
      </c>
      <c r="CK65" s="481">
        <f t="shared" si="3"/>
        <v>12</v>
      </c>
      <c r="CL65" s="481">
        <f t="shared" si="4"/>
        <v>12</v>
      </c>
      <c r="CM65" s="481">
        <f t="shared" si="5"/>
        <v>12</v>
      </c>
      <c r="CN65" s="481">
        <f t="shared" si="6"/>
        <v>12</v>
      </c>
      <c r="CP65" s="479">
        <f>SUMIF('Master '!D:D,D65,'Master '!AB:AB)</f>
        <v>12</v>
      </c>
      <c r="CQ65" s="479">
        <f>SUMIF('Master '!D:D,D65,'Master '!AC:AC)</f>
        <v>12</v>
      </c>
      <c r="CR65" s="481">
        <f t="shared" si="56"/>
        <v>0</v>
      </c>
      <c r="CS65" s="481">
        <f t="shared" si="56"/>
        <v>0</v>
      </c>
    </row>
    <row r="66" spans="1:99">
      <c r="A66" s="288"/>
      <c r="D66" s="53"/>
      <c r="I66" s="53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68"/>
      <c r="AT66" s="268"/>
      <c r="AU66" s="268"/>
      <c r="AV66" s="268"/>
      <c r="AW66" s="268"/>
      <c r="AX66" s="268"/>
      <c r="AY66" s="268"/>
      <c r="AZ66" s="268"/>
      <c r="BA66" s="268"/>
      <c r="BB66" s="268"/>
      <c r="BC66" s="268"/>
      <c r="BD66" s="268"/>
      <c r="BE66" s="268"/>
      <c r="BF66" s="268"/>
      <c r="BG66" s="268"/>
      <c r="BH66" s="268"/>
      <c r="BI66" s="268"/>
      <c r="BJ66" s="494"/>
      <c r="BK66" s="494"/>
      <c r="BL66" s="494"/>
      <c r="BM66" s="494"/>
      <c r="BN66" s="494"/>
      <c r="BO66" s="494"/>
      <c r="BP66" s="494"/>
      <c r="BQ66" s="494"/>
      <c r="BR66" s="494"/>
      <c r="BS66" s="494"/>
      <c r="BT66" s="494"/>
      <c r="BU66" s="494"/>
      <c r="BV66" s="494"/>
      <c r="BW66" s="494"/>
      <c r="BX66" s="494"/>
      <c r="BY66" s="494"/>
      <c r="BZ66" s="494"/>
      <c r="CA66" s="494"/>
      <c r="CB66" s="494"/>
      <c r="CC66" s="494"/>
      <c r="CD66" s="494"/>
      <c r="CE66" s="494"/>
      <c r="CF66" s="494"/>
      <c r="CG66" s="494"/>
      <c r="CM66" s="197"/>
      <c r="CN66" s="197"/>
      <c r="CU66" s="137"/>
    </row>
    <row r="67" spans="1:99">
      <c r="D67" s="53"/>
      <c r="I67" s="53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  <c r="AA67" s="26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68"/>
      <c r="AU67" s="268"/>
      <c r="AV67" s="268"/>
      <c r="AW67" s="268"/>
      <c r="AX67" s="268"/>
      <c r="AY67" s="268"/>
      <c r="AZ67" s="268"/>
      <c r="BA67" s="268"/>
      <c r="BB67" s="268"/>
      <c r="BC67" s="268"/>
      <c r="BD67" s="268"/>
      <c r="BE67" s="268"/>
      <c r="BF67" s="268"/>
      <c r="BG67" s="268"/>
      <c r="BH67" s="268"/>
      <c r="BI67" s="268"/>
      <c r="BJ67" s="494"/>
      <c r="BK67" s="494"/>
      <c r="BL67" s="494"/>
      <c r="BM67" s="494"/>
      <c r="BN67" s="494"/>
      <c r="BO67" s="494"/>
      <c r="BP67" s="494"/>
      <c r="BQ67" s="494"/>
      <c r="BR67" s="494"/>
      <c r="BS67" s="494"/>
      <c r="BT67" s="494"/>
      <c r="BU67" s="494"/>
      <c r="BV67" s="494"/>
      <c r="BW67" s="494"/>
      <c r="BX67" s="494"/>
      <c r="BY67" s="494"/>
      <c r="BZ67" s="494"/>
      <c r="CA67" s="494"/>
      <c r="CB67" s="494"/>
      <c r="CC67" s="494"/>
      <c r="CD67" s="494"/>
      <c r="CE67" s="494"/>
      <c r="CF67" s="494"/>
      <c r="CG67" s="494"/>
      <c r="CM67" s="197"/>
      <c r="CN67" s="197"/>
      <c r="CU67" s="137"/>
    </row>
    <row r="68" spans="1:99">
      <c r="D68" s="53"/>
      <c r="I68" s="53"/>
      <c r="N68" s="268"/>
      <c r="O68" s="268"/>
      <c r="P68" s="268"/>
      <c r="Q68" s="268"/>
      <c r="R68" s="268"/>
      <c r="S68" s="268"/>
      <c r="T68" s="268"/>
      <c r="U68" s="268"/>
      <c r="V68" s="268"/>
      <c r="W68" s="268"/>
      <c r="X68" s="268"/>
      <c r="Y68" s="268"/>
      <c r="Z68" s="268"/>
      <c r="AA68" s="268"/>
      <c r="AB68" s="268"/>
      <c r="AC68" s="268"/>
      <c r="AD68" s="268"/>
      <c r="AE68" s="268"/>
      <c r="AF68" s="268"/>
      <c r="AG68" s="268"/>
      <c r="AH68" s="268"/>
      <c r="AI68" s="268"/>
      <c r="AJ68" s="268"/>
      <c r="AK68" s="268"/>
      <c r="AL68" s="268"/>
      <c r="AM68" s="268"/>
      <c r="AN68" s="268"/>
      <c r="AO68" s="268"/>
      <c r="AP68" s="268"/>
      <c r="AQ68" s="268"/>
      <c r="AR68" s="268"/>
      <c r="AS68" s="268"/>
      <c r="AT68" s="268"/>
      <c r="AU68" s="268"/>
      <c r="AV68" s="268"/>
      <c r="AW68" s="268"/>
      <c r="AX68" s="268"/>
      <c r="AY68" s="268"/>
      <c r="AZ68" s="268"/>
      <c r="BA68" s="268"/>
      <c r="BB68" s="268"/>
      <c r="BC68" s="268"/>
      <c r="BD68" s="268"/>
      <c r="BE68" s="268"/>
      <c r="BF68" s="268"/>
      <c r="BG68" s="268"/>
      <c r="BH68" s="268"/>
      <c r="BI68" s="268"/>
      <c r="BJ68" s="494"/>
      <c r="BK68" s="494"/>
      <c r="BL68" s="494"/>
      <c r="BM68" s="494"/>
      <c r="BN68" s="494"/>
      <c r="BO68" s="494"/>
      <c r="BP68" s="494"/>
      <c r="BQ68" s="494"/>
      <c r="BR68" s="494"/>
      <c r="BS68" s="494"/>
      <c r="BT68" s="494"/>
      <c r="BU68" s="494"/>
      <c r="BV68" s="494"/>
      <c r="BW68" s="494"/>
      <c r="BX68" s="494"/>
      <c r="BY68" s="494"/>
      <c r="BZ68" s="494"/>
      <c r="CA68" s="494"/>
      <c r="CB68" s="494"/>
      <c r="CC68" s="494"/>
      <c r="CD68" s="494"/>
      <c r="CE68" s="494"/>
      <c r="CF68" s="494"/>
      <c r="CG68" s="494"/>
      <c r="CM68" s="197"/>
      <c r="CN68" s="197"/>
      <c r="CU68" s="137"/>
    </row>
    <row r="69" spans="1:99">
      <c r="C69" s="53"/>
      <c r="D69" s="53"/>
      <c r="I69" s="53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268"/>
      <c r="BA69" s="268"/>
      <c r="BB69" s="268"/>
      <c r="BC69" s="268"/>
      <c r="BD69" s="268"/>
      <c r="BE69" s="268"/>
      <c r="BF69" s="268"/>
      <c r="BG69" s="268"/>
      <c r="BH69" s="268"/>
      <c r="BI69" s="268"/>
      <c r="BJ69" s="494"/>
      <c r="BK69" s="494"/>
      <c r="BL69" s="494"/>
      <c r="BM69" s="494"/>
      <c r="BN69" s="494"/>
      <c r="BO69" s="494"/>
      <c r="BP69" s="494"/>
      <c r="BQ69" s="494"/>
      <c r="BR69" s="494"/>
      <c r="BS69" s="494"/>
      <c r="BT69" s="494"/>
      <c r="BU69" s="494"/>
      <c r="BV69" s="494"/>
      <c r="BW69" s="494"/>
      <c r="BX69" s="494"/>
      <c r="BY69" s="494"/>
      <c r="BZ69" s="494"/>
      <c r="CA69" s="494"/>
      <c r="CB69" s="494"/>
      <c r="CC69" s="494"/>
      <c r="CD69" s="494"/>
      <c r="CE69" s="494"/>
      <c r="CF69" s="494"/>
      <c r="CG69" s="494"/>
      <c r="CM69" s="197"/>
      <c r="CN69" s="197"/>
      <c r="CU69" s="137"/>
    </row>
    <row r="70" spans="1:99">
      <c r="C70" s="53"/>
      <c r="D70" s="53"/>
      <c r="I70" s="53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268"/>
      <c r="AP70" s="268"/>
      <c r="AQ70" s="268"/>
      <c r="AR70" s="268"/>
      <c r="AS70" s="268"/>
      <c r="AT70" s="268"/>
      <c r="AU70" s="268"/>
      <c r="AV70" s="268"/>
      <c r="AW70" s="268"/>
      <c r="AX70" s="268"/>
      <c r="AY70" s="268"/>
      <c r="AZ70" s="268"/>
      <c r="BA70" s="268"/>
      <c r="BB70" s="268"/>
      <c r="BC70" s="268"/>
      <c r="BD70" s="268"/>
      <c r="BE70" s="268"/>
      <c r="BF70" s="268"/>
      <c r="BG70" s="268"/>
      <c r="BH70" s="268"/>
      <c r="BI70" s="268"/>
      <c r="BJ70" s="494"/>
      <c r="BK70" s="494"/>
      <c r="BL70" s="494"/>
      <c r="BM70" s="494"/>
      <c r="BN70" s="494"/>
      <c r="BO70" s="494"/>
      <c r="BP70" s="494"/>
      <c r="BQ70" s="494"/>
      <c r="BR70" s="494"/>
      <c r="BS70" s="494"/>
      <c r="BT70" s="494"/>
      <c r="BU70" s="494"/>
      <c r="BV70" s="494"/>
      <c r="BW70" s="494"/>
      <c r="BX70" s="494"/>
      <c r="BY70" s="494"/>
      <c r="BZ70" s="494"/>
      <c r="CA70" s="494"/>
      <c r="CB70" s="494"/>
      <c r="CC70" s="494"/>
      <c r="CD70" s="494"/>
      <c r="CE70" s="494"/>
      <c r="CF70" s="494"/>
      <c r="CG70" s="494"/>
      <c r="CM70" s="197"/>
      <c r="CN70" s="197"/>
      <c r="CU70" s="137"/>
    </row>
    <row r="71" spans="1:99">
      <c r="D71" s="53"/>
      <c r="I71" s="53"/>
      <c r="N71" s="268"/>
      <c r="O71" s="268"/>
      <c r="P71" s="268"/>
      <c r="Q71" s="268"/>
      <c r="R71" s="268"/>
      <c r="S71" s="268"/>
      <c r="T71" s="268"/>
      <c r="U71" s="268"/>
      <c r="V71" s="268"/>
      <c r="W71" s="268"/>
      <c r="X71" s="268"/>
      <c r="Y71" s="268"/>
      <c r="Z71" s="268"/>
      <c r="AA71" s="268"/>
      <c r="AB71" s="268"/>
      <c r="AC71" s="268"/>
      <c r="AD71" s="268"/>
      <c r="AE71" s="268"/>
      <c r="AF71" s="268"/>
      <c r="AG71" s="268"/>
      <c r="AH71" s="268"/>
      <c r="AI71" s="268"/>
      <c r="AJ71" s="268"/>
      <c r="AK71" s="268"/>
      <c r="AL71" s="268"/>
      <c r="AM71" s="268"/>
      <c r="AN71" s="268"/>
      <c r="AO71" s="268"/>
      <c r="AP71" s="268"/>
      <c r="AQ71" s="268"/>
      <c r="AR71" s="268"/>
      <c r="AS71" s="268"/>
      <c r="AT71" s="268"/>
      <c r="AU71" s="268"/>
      <c r="AV71" s="268"/>
      <c r="AW71" s="268"/>
      <c r="AX71" s="268"/>
      <c r="AY71" s="268"/>
      <c r="AZ71" s="268"/>
      <c r="BA71" s="268"/>
      <c r="BB71" s="268"/>
      <c r="BC71" s="268"/>
      <c r="BD71" s="268"/>
      <c r="BE71" s="268"/>
      <c r="BF71" s="268"/>
      <c r="BG71" s="268"/>
      <c r="BH71" s="268"/>
      <c r="BI71" s="268"/>
      <c r="BJ71" s="494"/>
      <c r="BK71" s="494"/>
      <c r="BL71" s="494"/>
      <c r="BM71" s="494"/>
      <c r="BN71" s="494"/>
      <c r="BO71" s="494"/>
      <c r="BP71" s="494"/>
      <c r="BQ71" s="494"/>
      <c r="BR71" s="494"/>
      <c r="BS71" s="494"/>
      <c r="BT71" s="494"/>
      <c r="BU71" s="494"/>
      <c r="BV71" s="494"/>
      <c r="BW71" s="494"/>
      <c r="BX71" s="494"/>
      <c r="BY71" s="494"/>
      <c r="BZ71" s="494"/>
      <c r="CA71" s="494"/>
      <c r="CB71" s="494"/>
      <c r="CC71" s="494"/>
      <c r="CD71" s="494"/>
      <c r="CE71" s="494"/>
      <c r="CF71" s="494"/>
      <c r="CG71" s="494"/>
      <c r="CM71" s="197"/>
      <c r="CN71" s="197"/>
      <c r="CU71" s="137"/>
    </row>
    <row r="72" spans="1:99">
      <c r="A72" s="48"/>
      <c r="D72" s="53"/>
      <c r="I72" s="53"/>
      <c r="N72" s="268"/>
      <c r="O72" s="268"/>
      <c r="P72" s="268"/>
      <c r="Q72" s="268"/>
      <c r="R72" s="268"/>
      <c r="S72" s="268"/>
      <c r="T72" s="268"/>
      <c r="U72" s="268"/>
      <c r="V72" s="268"/>
      <c r="W72" s="268"/>
      <c r="X72" s="268"/>
      <c r="Y72" s="268"/>
      <c r="Z72" s="268"/>
      <c r="AA72" s="268"/>
      <c r="AB72" s="268"/>
      <c r="AC72" s="268"/>
      <c r="AD72" s="268"/>
      <c r="AE72" s="268"/>
      <c r="AF72" s="268"/>
      <c r="AG72" s="268"/>
      <c r="AH72" s="268"/>
      <c r="AI72" s="268"/>
      <c r="AJ72" s="268"/>
      <c r="AK72" s="268"/>
      <c r="AL72" s="268"/>
      <c r="AM72" s="268"/>
      <c r="AN72" s="268"/>
      <c r="AO72" s="268"/>
      <c r="AP72" s="268"/>
      <c r="AQ72" s="268"/>
      <c r="AR72" s="268"/>
      <c r="AS72" s="268"/>
      <c r="AT72" s="268"/>
      <c r="AU72" s="268"/>
      <c r="AV72" s="268"/>
      <c r="AW72" s="268"/>
      <c r="AX72" s="268"/>
      <c r="AY72" s="268"/>
      <c r="AZ72" s="268"/>
      <c r="BA72" s="268"/>
      <c r="BB72" s="268"/>
      <c r="BC72" s="268"/>
      <c r="BD72" s="268"/>
      <c r="BE72" s="268"/>
      <c r="BF72" s="268"/>
      <c r="BG72" s="268"/>
      <c r="BH72" s="268"/>
      <c r="BI72" s="268"/>
      <c r="BJ72" s="494"/>
      <c r="BK72" s="494"/>
      <c r="BL72" s="494"/>
      <c r="BM72" s="494"/>
      <c r="BN72" s="494"/>
      <c r="BO72" s="494"/>
      <c r="BP72" s="494"/>
      <c r="BQ72" s="494"/>
      <c r="BR72" s="494"/>
      <c r="BS72" s="494"/>
      <c r="BT72" s="494"/>
      <c r="BU72" s="494"/>
      <c r="BV72" s="494"/>
      <c r="BW72" s="494"/>
      <c r="BX72" s="494"/>
      <c r="BY72" s="494"/>
      <c r="BZ72" s="494"/>
      <c r="CA72" s="494"/>
      <c r="CB72" s="494"/>
      <c r="CC72" s="494"/>
      <c r="CD72" s="494"/>
      <c r="CE72" s="494"/>
      <c r="CF72" s="494"/>
      <c r="CG72" s="494"/>
      <c r="CM72" s="197"/>
      <c r="CN72" s="197"/>
      <c r="CU72" s="137"/>
    </row>
    <row r="73" spans="1:99">
      <c r="A73" s="26"/>
      <c r="B73" s="26"/>
      <c r="C73" s="26"/>
      <c r="D73" s="53"/>
      <c r="E73" s="26"/>
      <c r="F73" s="170"/>
      <c r="G73" s="26"/>
      <c r="H73" s="26"/>
      <c r="I73" s="53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  <c r="AZ73" s="268"/>
      <c r="BA73" s="268"/>
      <c r="BB73" s="268"/>
      <c r="BC73" s="268"/>
      <c r="BD73" s="268"/>
      <c r="BE73" s="268"/>
      <c r="BF73" s="268"/>
      <c r="BG73" s="268"/>
      <c r="BH73" s="268"/>
      <c r="BI73" s="268"/>
      <c r="BJ73" s="494"/>
      <c r="BK73" s="494"/>
      <c r="BL73" s="494"/>
      <c r="BM73" s="494"/>
      <c r="BN73" s="494"/>
      <c r="BO73" s="494"/>
      <c r="BP73" s="494"/>
      <c r="BQ73" s="494"/>
      <c r="BR73" s="494"/>
      <c r="BS73" s="494"/>
      <c r="BT73" s="494"/>
      <c r="BU73" s="494"/>
      <c r="BV73" s="494"/>
      <c r="BW73" s="494"/>
      <c r="BX73" s="494"/>
      <c r="BY73" s="494"/>
      <c r="BZ73" s="494"/>
      <c r="CA73" s="494"/>
      <c r="CB73" s="494"/>
      <c r="CC73" s="494"/>
      <c r="CD73" s="494"/>
      <c r="CE73" s="494"/>
      <c r="CF73" s="494"/>
      <c r="CG73" s="494"/>
      <c r="CM73" s="197"/>
      <c r="CN73" s="197"/>
      <c r="CU73" s="137"/>
    </row>
    <row r="74" spans="1:99">
      <c r="A74" s="26"/>
      <c r="B74" s="26"/>
      <c r="C74" s="26"/>
      <c r="D74" s="53"/>
      <c r="E74" s="26"/>
      <c r="F74" s="170"/>
      <c r="G74" s="26"/>
      <c r="H74" s="26"/>
      <c r="I74" s="53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  <c r="Y74" s="268"/>
      <c r="Z74" s="268"/>
      <c r="AA74" s="268"/>
      <c r="AB74" s="268"/>
      <c r="AC74" s="268"/>
      <c r="AD74" s="268"/>
      <c r="AE74" s="268"/>
      <c r="AF74" s="268"/>
      <c r="AG74" s="268"/>
      <c r="AH74" s="268"/>
      <c r="AI74" s="268"/>
      <c r="AJ74" s="268"/>
      <c r="AK74" s="268"/>
      <c r="AL74" s="268"/>
      <c r="AM74" s="268"/>
      <c r="AN74" s="268"/>
      <c r="AO74" s="268"/>
      <c r="AP74" s="268"/>
      <c r="AQ74" s="268"/>
      <c r="AR74" s="268"/>
      <c r="AS74" s="268"/>
      <c r="AT74" s="268"/>
      <c r="AU74" s="268"/>
      <c r="AV74" s="268"/>
      <c r="AW74" s="268"/>
      <c r="AX74" s="268"/>
      <c r="AY74" s="268"/>
      <c r="AZ74" s="268"/>
      <c r="BA74" s="268"/>
      <c r="BB74" s="268"/>
      <c r="BC74" s="268"/>
      <c r="BD74" s="268"/>
      <c r="BE74" s="268"/>
      <c r="BF74" s="268"/>
      <c r="BG74" s="268"/>
      <c r="BH74" s="268"/>
      <c r="BI74" s="268"/>
      <c r="BJ74" s="494"/>
      <c r="BK74" s="494"/>
      <c r="BL74" s="494"/>
      <c r="BM74" s="494"/>
      <c r="BN74" s="494"/>
      <c r="BO74" s="494"/>
      <c r="BP74" s="494"/>
      <c r="BQ74" s="494"/>
      <c r="BR74" s="494"/>
      <c r="BS74" s="494"/>
      <c r="BT74" s="494"/>
      <c r="BU74" s="494"/>
      <c r="BV74" s="494"/>
      <c r="BW74" s="494"/>
      <c r="BX74" s="494"/>
      <c r="BY74" s="494"/>
      <c r="BZ74" s="494"/>
      <c r="CA74" s="494"/>
      <c r="CB74" s="494"/>
      <c r="CC74" s="494"/>
      <c r="CD74" s="494"/>
      <c r="CE74" s="494"/>
      <c r="CF74" s="494"/>
      <c r="CG74" s="494"/>
      <c r="CM74" s="197"/>
      <c r="CN74" s="197"/>
      <c r="CU74" s="137"/>
    </row>
    <row r="75" spans="1:99">
      <c r="A75" s="26"/>
      <c r="B75" s="26"/>
      <c r="C75" s="26"/>
      <c r="D75" s="53"/>
      <c r="E75" s="26"/>
      <c r="F75" s="170"/>
      <c r="G75" s="26"/>
      <c r="H75" s="26"/>
      <c r="I75" s="53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  <c r="AL75" s="268"/>
      <c r="AM75" s="268"/>
      <c r="AN75" s="268"/>
      <c r="AO75" s="268"/>
      <c r="AP75" s="268"/>
      <c r="AQ75" s="268"/>
      <c r="AR75" s="268"/>
      <c r="AS75" s="268"/>
      <c r="AT75" s="268"/>
      <c r="AU75" s="268"/>
      <c r="AV75" s="268"/>
      <c r="AW75" s="268"/>
      <c r="AX75" s="268"/>
      <c r="AY75" s="268"/>
      <c r="AZ75" s="268"/>
      <c r="BA75" s="268"/>
      <c r="BB75" s="268"/>
      <c r="BC75" s="268"/>
      <c r="BD75" s="268"/>
      <c r="BE75" s="268"/>
      <c r="BF75" s="268"/>
      <c r="BG75" s="268"/>
      <c r="BH75" s="268"/>
      <c r="BI75" s="268"/>
      <c r="BJ75" s="494"/>
      <c r="BK75" s="494"/>
      <c r="BL75" s="494"/>
      <c r="BM75" s="494"/>
      <c r="BN75" s="494"/>
      <c r="BO75" s="494"/>
      <c r="BP75" s="494"/>
      <c r="BQ75" s="494"/>
      <c r="BR75" s="494"/>
      <c r="BS75" s="494"/>
      <c r="BT75" s="494"/>
      <c r="BU75" s="494"/>
      <c r="BV75" s="494"/>
      <c r="BW75" s="494"/>
      <c r="BX75" s="494"/>
      <c r="BY75" s="494"/>
      <c r="BZ75" s="494"/>
      <c r="CA75" s="494"/>
      <c r="CB75" s="494"/>
      <c r="CC75" s="494"/>
      <c r="CD75" s="494"/>
      <c r="CE75" s="494"/>
      <c r="CF75" s="494"/>
      <c r="CG75" s="494"/>
      <c r="CM75" s="197"/>
      <c r="CN75" s="197"/>
      <c r="CU75" s="137"/>
    </row>
    <row r="76" spans="1:99">
      <c r="A76" s="26"/>
      <c r="B76" s="26"/>
      <c r="C76" s="26"/>
      <c r="D76" s="53"/>
      <c r="E76" s="26"/>
      <c r="F76" s="170"/>
      <c r="G76" s="26"/>
      <c r="H76" s="26"/>
      <c r="I76" s="53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  <c r="AZ76" s="268"/>
      <c r="BA76" s="268"/>
      <c r="BB76" s="268"/>
      <c r="BC76" s="268"/>
      <c r="BD76" s="268"/>
      <c r="BE76" s="268"/>
      <c r="BF76" s="268"/>
      <c r="BG76" s="268"/>
      <c r="BH76" s="268"/>
      <c r="BI76" s="268"/>
      <c r="BJ76" s="494"/>
      <c r="BK76" s="494"/>
      <c r="BL76" s="494"/>
      <c r="BM76" s="494"/>
      <c r="BN76" s="494"/>
      <c r="BO76" s="494"/>
      <c r="BP76" s="494"/>
      <c r="BQ76" s="494"/>
      <c r="BR76" s="494"/>
      <c r="BS76" s="494"/>
      <c r="BT76" s="494"/>
      <c r="BU76" s="494"/>
      <c r="BV76" s="494"/>
      <c r="BW76" s="494"/>
      <c r="BX76" s="494"/>
      <c r="BY76" s="494"/>
      <c r="BZ76" s="494"/>
      <c r="CA76" s="494"/>
      <c r="CB76" s="494"/>
      <c r="CC76" s="494"/>
      <c r="CD76" s="494"/>
      <c r="CE76" s="494"/>
      <c r="CF76" s="494"/>
      <c r="CG76" s="494"/>
      <c r="CM76" s="197"/>
      <c r="CN76" s="197"/>
      <c r="CU76" s="137"/>
    </row>
    <row r="77" spans="1:99">
      <c r="A77" s="26"/>
      <c r="B77" s="26"/>
      <c r="C77" s="26"/>
      <c r="D77" s="53"/>
      <c r="E77" s="26"/>
      <c r="F77" s="170"/>
      <c r="G77" s="26"/>
      <c r="H77" s="26"/>
      <c r="I77" s="53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8"/>
      <c r="BE77" s="268"/>
      <c r="BF77" s="268"/>
      <c r="BG77" s="268"/>
      <c r="BH77" s="268"/>
      <c r="BI77" s="268"/>
      <c r="BJ77" s="494"/>
      <c r="BK77" s="494"/>
      <c r="BL77" s="494"/>
      <c r="BM77" s="494"/>
      <c r="BN77" s="494"/>
      <c r="BO77" s="494"/>
      <c r="BP77" s="494"/>
      <c r="BQ77" s="494"/>
      <c r="BR77" s="494"/>
      <c r="BS77" s="494"/>
      <c r="BT77" s="494"/>
      <c r="BU77" s="494"/>
      <c r="BV77" s="494"/>
      <c r="BW77" s="494"/>
      <c r="BX77" s="494"/>
      <c r="BY77" s="494"/>
      <c r="BZ77" s="494"/>
      <c r="CA77" s="494"/>
      <c r="CB77" s="494"/>
      <c r="CC77" s="494"/>
      <c r="CD77" s="494"/>
      <c r="CE77" s="494"/>
      <c r="CF77" s="494"/>
      <c r="CG77" s="494"/>
      <c r="CM77" s="197"/>
      <c r="CN77" s="197"/>
      <c r="CU77" s="137"/>
    </row>
    <row r="78" spans="1:99">
      <c r="D78" s="53"/>
      <c r="I78" s="53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  <c r="AI78" s="268"/>
      <c r="AJ78" s="268"/>
      <c r="AK78" s="268"/>
      <c r="AL78" s="268"/>
      <c r="AM78" s="268"/>
      <c r="AN78" s="268"/>
      <c r="AO78" s="268"/>
      <c r="AP78" s="268"/>
      <c r="AQ78" s="268"/>
      <c r="AR78" s="268"/>
      <c r="AS78" s="268"/>
      <c r="AT78" s="268"/>
      <c r="AU78" s="268"/>
      <c r="AV78" s="268"/>
      <c r="AW78" s="268"/>
      <c r="AX78" s="268"/>
      <c r="AY78" s="268"/>
      <c r="AZ78" s="268"/>
      <c r="BA78" s="268"/>
      <c r="BB78" s="268"/>
      <c r="BC78" s="268"/>
      <c r="BD78" s="268"/>
      <c r="BE78" s="268"/>
      <c r="BF78" s="268"/>
      <c r="BG78" s="268"/>
      <c r="BH78" s="268"/>
      <c r="BI78" s="268"/>
      <c r="BJ78" s="494"/>
      <c r="BK78" s="494"/>
      <c r="BL78" s="494"/>
      <c r="BM78" s="494"/>
      <c r="BN78" s="494"/>
      <c r="BO78" s="494"/>
      <c r="BP78" s="494"/>
      <c r="BQ78" s="494"/>
      <c r="BR78" s="494"/>
      <c r="BS78" s="494"/>
      <c r="BT78" s="494"/>
      <c r="BU78" s="494"/>
      <c r="BV78" s="494"/>
      <c r="BW78" s="494"/>
      <c r="BX78" s="494"/>
      <c r="BY78" s="494"/>
      <c r="BZ78" s="494"/>
      <c r="CA78" s="494"/>
      <c r="CB78" s="494"/>
      <c r="CC78" s="494"/>
      <c r="CD78" s="494"/>
      <c r="CE78" s="494"/>
      <c r="CF78" s="494"/>
      <c r="CG78" s="494"/>
      <c r="CM78" s="197"/>
      <c r="CN78" s="197"/>
      <c r="CU78" s="137"/>
    </row>
    <row r="79" spans="1:99">
      <c r="A79" s="45"/>
      <c r="B79" s="45"/>
      <c r="C79" s="45"/>
      <c r="D79" s="53"/>
      <c r="E79" s="45"/>
      <c r="F79" s="171"/>
      <c r="G79" s="45"/>
      <c r="H79" s="45"/>
      <c r="I79" s="53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  <c r="AI79" s="268"/>
      <c r="AJ79" s="268"/>
      <c r="AK79" s="268"/>
      <c r="AL79" s="268"/>
      <c r="AM79" s="268"/>
      <c r="AN79" s="268"/>
      <c r="AO79" s="268"/>
      <c r="AP79" s="268"/>
      <c r="AQ79" s="268"/>
      <c r="AR79" s="268"/>
      <c r="AS79" s="268"/>
      <c r="AT79" s="268"/>
      <c r="AU79" s="268"/>
      <c r="AV79" s="268"/>
      <c r="AW79" s="268"/>
      <c r="AX79" s="268"/>
      <c r="AY79" s="268"/>
      <c r="AZ79" s="268"/>
      <c r="BA79" s="268"/>
      <c r="BB79" s="268"/>
      <c r="BC79" s="268"/>
      <c r="BD79" s="268"/>
      <c r="BE79" s="268"/>
      <c r="BF79" s="268"/>
      <c r="BG79" s="268"/>
      <c r="BH79" s="268"/>
      <c r="BI79" s="268"/>
      <c r="BJ79" s="494"/>
      <c r="BK79" s="494"/>
      <c r="BL79" s="494"/>
      <c r="BM79" s="494"/>
      <c r="BN79" s="494"/>
      <c r="BO79" s="494"/>
      <c r="BP79" s="494"/>
      <c r="BQ79" s="494"/>
      <c r="BR79" s="494"/>
      <c r="BS79" s="494"/>
      <c r="BT79" s="494"/>
      <c r="BU79" s="494"/>
      <c r="BV79" s="494"/>
      <c r="BW79" s="494"/>
      <c r="BX79" s="494"/>
      <c r="BY79" s="494"/>
      <c r="BZ79" s="494"/>
      <c r="CA79" s="494"/>
      <c r="CB79" s="494"/>
      <c r="CC79" s="494"/>
      <c r="CD79" s="494"/>
      <c r="CE79" s="494"/>
      <c r="CF79" s="494"/>
      <c r="CG79" s="494"/>
      <c r="CM79" s="197"/>
      <c r="CN79" s="197"/>
      <c r="CU79" s="137"/>
    </row>
    <row r="80" spans="1:99">
      <c r="A80" s="49"/>
      <c r="B80" s="45"/>
      <c r="C80" s="45"/>
      <c r="D80" s="53"/>
      <c r="E80" s="45"/>
      <c r="F80" s="171"/>
      <c r="G80" s="45"/>
      <c r="H80" s="45"/>
      <c r="I80" s="53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  <c r="Y80" s="268"/>
      <c r="Z80" s="268"/>
      <c r="AA80" s="26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  <c r="AL80" s="268"/>
      <c r="AM80" s="268"/>
      <c r="AN80" s="268"/>
      <c r="AO80" s="268"/>
      <c r="AP80" s="268"/>
      <c r="AQ80" s="268"/>
      <c r="AR80" s="268"/>
      <c r="AS80" s="268"/>
      <c r="AT80" s="268"/>
      <c r="AU80" s="268"/>
      <c r="AV80" s="268"/>
      <c r="AW80" s="268"/>
      <c r="AX80" s="268"/>
      <c r="AY80" s="268"/>
      <c r="AZ80" s="268"/>
      <c r="BA80" s="268"/>
      <c r="BB80" s="268"/>
      <c r="BC80" s="268"/>
      <c r="BD80" s="268"/>
      <c r="BE80" s="268"/>
      <c r="BF80" s="268"/>
      <c r="BG80" s="268"/>
      <c r="BH80" s="268"/>
      <c r="BI80" s="268"/>
      <c r="BJ80" s="494"/>
      <c r="BK80" s="494"/>
      <c r="BL80" s="494"/>
      <c r="BM80" s="494"/>
      <c r="BN80" s="494"/>
      <c r="BO80" s="494"/>
      <c r="BP80" s="494"/>
      <c r="BQ80" s="494"/>
      <c r="BR80" s="494"/>
      <c r="BS80" s="494"/>
      <c r="BT80" s="494"/>
      <c r="BU80" s="494"/>
      <c r="BV80" s="494"/>
      <c r="BW80" s="494"/>
      <c r="BX80" s="494"/>
      <c r="BY80" s="494"/>
      <c r="BZ80" s="494"/>
      <c r="CA80" s="494"/>
      <c r="CB80" s="494"/>
      <c r="CC80" s="494"/>
      <c r="CD80" s="494"/>
      <c r="CE80" s="494"/>
      <c r="CF80" s="494"/>
      <c r="CG80" s="494"/>
      <c r="CM80" s="197"/>
      <c r="CN80" s="197"/>
      <c r="CU80" s="137"/>
    </row>
    <row r="81" spans="1:99">
      <c r="A81" s="49"/>
      <c r="B81" s="45"/>
      <c r="C81" s="45"/>
      <c r="D81" s="53"/>
      <c r="E81" s="45"/>
      <c r="F81" s="171"/>
      <c r="G81" s="45"/>
      <c r="H81" s="45"/>
      <c r="I81" s="53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  <c r="AZ81" s="268"/>
      <c r="BA81" s="268"/>
      <c r="BB81" s="268"/>
      <c r="BC81" s="268"/>
      <c r="BD81" s="268"/>
      <c r="BE81" s="268"/>
      <c r="BF81" s="268"/>
      <c r="BG81" s="268"/>
      <c r="BH81" s="268"/>
      <c r="BI81" s="268"/>
      <c r="BJ81" s="494"/>
      <c r="BK81" s="494"/>
      <c r="BL81" s="494"/>
      <c r="BM81" s="494"/>
      <c r="BN81" s="494"/>
      <c r="BO81" s="494"/>
      <c r="BP81" s="494"/>
      <c r="BQ81" s="494"/>
      <c r="BR81" s="494"/>
      <c r="BS81" s="494"/>
      <c r="BT81" s="494"/>
      <c r="BU81" s="494"/>
      <c r="BV81" s="494"/>
      <c r="BW81" s="494"/>
      <c r="BX81" s="494"/>
      <c r="BY81" s="494"/>
      <c r="BZ81" s="494"/>
      <c r="CA81" s="494"/>
      <c r="CB81" s="494"/>
      <c r="CC81" s="494"/>
      <c r="CD81" s="494"/>
      <c r="CE81" s="494"/>
      <c r="CF81" s="494"/>
      <c r="CG81" s="494"/>
      <c r="CM81" s="197"/>
      <c r="CN81" s="197"/>
      <c r="CU81" s="137"/>
    </row>
    <row r="82" spans="1:99">
      <c r="A82" s="49"/>
      <c r="B82" s="45"/>
      <c r="C82" s="45"/>
      <c r="D82" s="53"/>
      <c r="E82" s="45"/>
      <c r="F82" s="171"/>
      <c r="G82" s="45"/>
      <c r="H82" s="45"/>
      <c r="I82" s="53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68"/>
      <c r="AT82" s="268"/>
      <c r="AU82" s="268"/>
      <c r="AV82" s="268"/>
      <c r="AW82" s="268"/>
      <c r="AX82" s="268"/>
      <c r="AY82" s="268"/>
      <c r="AZ82" s="268"/>
      <c r="BA82" s="268"/>
      <c r="BB82" s="268"/>
      <c r="BC82" s="268"/>
      <c r="BD82" s="268"/>
      <c r="BE82" s="268"/>
      <c r="BF82" s="268"/>
      <c r="BG82" s="268"/>
      <c r="BH82" s="268"/>
      <c r="BI82" s="268"/>
      <c r="BJ82" s="494"/>
      <c r="BK82" s="494"/>
      <c r="BL82" s="494"/>
      <c r="BM82" s="494"/>
      <c r="BN82" s="494"/>
      <c r="BO82" s="494"/>
      <c r="BP82" s="494"/>
      <c r="BQ82" s="494"/>
      <c r="BR82" s="494"/>
      <c r="BS82" s="494"/>
      <c r="BT82" s="494"/>
      <c r="BU82" s="494"/>
      <c r="BV82" s="494"/>
      <c r="BW82" s="494"/>
      <c r="BX82" s="494"/>
      <c r="BY82" s="494"/>
      <c r="BZ82" s="494"/>
      <c r="CA82" s="494"/>
      <c r="CB82" s="494"/>
      <c r="CC82" s="494"/>
      <c r="CD82" s="494"/>
      <c r="CE82" s="494"/>
      <c r="CF82" s="494"/>
      <c r="CG82" s="494"/>
      <c r="CM82" s="197"/>
      <c r="CN82" s="197"/>
      <c r="CU82" s="137"/>
    </row>
    <row r="83" spans="1:99">
      <c r="A83" s="49"/>
      <c r="B83" s="45"/>
      <c r="C83" s="45"/>
      <c r="D83" s="53"/>
      <c r="E83" s="45"/>
      <c r="F83" s="171"/>
      <c r="G83" s="45"/>
      <c r="H83" s="45"/>
      <c r="I83" s="53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68"/>
      <c r="AT83" s="268"/>
      <c r="AU83" s="268"/>
      <c r="AV83" s="268"/>
      <c r="AW83" s="268"/>
      <c r="AX83" s="268"/>
      <c r="AY83" s="268"/>
      <c r="AZ83" s="268"/>
      <c r="BA83" s="268"/>
      <c r="BB83" s="268"/>
      <c r="BC83" s="268"/>
      <c r="BD83" s="268"/>
      <c r="BE83" s="268"/>
      <c r="BF83" s="268"/>
      <c r="BG83" s="268"/>
      <c r="BH83" s="268"/>
      <c r="BI83" s="268"/>
      <c r="BJ83" s="494"/>
      <c r="BK83" s="494"/>
      <c r="BL83" s="494"/>
      <c r="BM83" s="494"/>
      <c r="BN83" s="494"/>
      <c r="BO83" s="494"/>
      <c r="BP83" s="494"/>
      <c r="BQ83" s="494"/>
      <c r="BR83" s="494"/>
      <c r="BS83" s="494"/>
      <c r="BT83" s="494"/>
      <c r="BU83" s="494"/>
      <c r="BV83" s="494"/>
      <c r="BW83" s="494"/>
      <c r="BX83" s="494"/>
      <c r="BY83" s="494"/>
      <c r="BZ83" s="494"/>
      <c r="CA83" s="494"/>
      <c r="CB83" s="494"/>
      <c r="CC83" s="494"/>
      <c r="CD83" s="494"/>
      <c r="CE83" s="494"/>
      <c r="CF83" s="494"/>
      <c r="CG83" s="494"/>
      <c r="CM83" s="197"/>
      <c r="CN83" s="197"/>
      <c r="CU83" s="137"/>
    </row>
    <row r="84" spans="1:99">
      <c r="A84" s="49"/>
      <c r="B84" s="45"/>
      <c r="C84" s="45"/>
      <c r="D84" s="53"/>
      <c r="E84" s="45"/>
      <c r="F84" s="171"/>
      <c r="G84" s="45"/>
      <c r="H84" s="45"/>
      <c r="I84" s="53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  <c r="Y84" s="268"/>
      <c r="Z84" s="268"/>
      <c r="AA84" s="26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268"/>
      <c r="AO84" s="268"/>
      <c r="AP84" s="268"/>
      <c r="AQ84" s="268"/>
      <c r="AR84" s="268"/>
      <c r="AS84" s="268"/>
      <c r="AT84" s="268"/>
      <c r="AU84" s="268"/>
      <c r="AV84" s="268"/>
      <c r="AW84" s="268"/>
      <c r="AX84" s="268"/>
      <c r="AY84" s="268"/>
      <c r="AZ84" s="268"/>
      <c r="BA84" s="268"/>
      <c r="BB84" s="268"/>
      <c r="BC84" s="268"/>
      <c r="BD84" s="268"/>
      <c r="BE84" s="268"/>
      <c r="BF84" s="268"/>
      <c r="BG84" s="268"/>
      <c r="BH84" s="268"/>
      <c r="BI84" s="268"/>
      <c r="BJ84" s="494"/>
      <c r="BK84" s="494"/>
      <c r="BL84" s="494"/>
      <c r="BM84" s="494"/>
      <c r="BN84" s="494"/>
      <c r="BO84" s="494"/>
      <c r="BP84" s="494"/>
      <c r="BQ84" s="494"/>
      <c r="BR84" s="494"/>
      <c r="BS84" s="494"/>
      <c r="BT84" s="494"/>
      <c r="BU84" s="494"/>
      <c r="BV84" s="494"/>
      <c r="BW84" s="494"/>
      <c r="BX84" s="494"/>
      <c r="BY84" s="494"/>
      <c r="BZ84" s="494"/>
      <c r="CA84" s="494"/>
      <c r="CB84" s="494"/>
      <c r="CC84" s="494"/>
      <c r="CD84" s="494"/>
      <c r="CE84" s="494"/>
      <c r="CF84" s="494"/>
      <c r="CG84" s="494"/>
      <c r="CM84" s="197"/>
      <c r="CN84" s="197"/>
      <c r="CU84" s="137"/>
    </row>
    <row r="85" spans="1:99">
      <c r="A85" s="49"/>
      <c r="B85" s="45"/>
      <c r="C85" s="45"/>
      <c r="D85" s="53"/>
      <c r="E85" s="45"/>
      <c r="F85" s="171"/>
      <c r="G85" s="45"/>
      <c r="H85" s="45"/>
      <c r="I85" s="53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8"/>
      <c r="BG85" s="268"/>
      <c r="BH85" s="268"/>
      <c r="BI85" s="268"/>
      <c r="BJ85" s="494"/>
      <c r="BK85" s="494"/>
      <c r="BL85" s="494"/>
      <c r="BM85" s="494"/>
      <c r="BN85" s="494"/>
      <c r="BO85" s="494"/>
      <c r="BP85" s="494"/>
      <c r="BQ85" s="494"/>
      <c r="BR85" s="494"/>
      <c r="BS85" s="494"/>
      <c r="BT85" s="494"/>
      <c r="BU85" s="494"/>
      <c r="BV85" s="494"/>
      <c r="BW85" s="494"/>
      <c r="BX85" s="494"/>
      <c r="BY85" s="494"/>
      <c r="BZ85" s="494"/>
      <c r="CA85" s="494"/>
      <c r="CB85" s="494"/>
      <c r="CC85" s="494"/>
      <c r="CD85" s="494"/>
      <c r="CE85" s="494"/>
      <c r="CF85" s="494"/>
      <c r="CG85" s="494"/>
      <c r="CM85" s="197"/>
      <c r="CN85" s="197"/>
      <c r="CU85" s="137"/>
    </row>
    <row r="86" spans="1:99">
      <c r="A86" s="26"/>
      <c r="D86" s="53"/>
      <c r="I86" s="53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  <c r="Y86" s="268"/>
      <c r="Z86" s="268"/>
      <c r="AA86" s="268"/>
      <c r="AB86" s="268"/>
      <c r="AC86" s="268"/>
      <c r="AD86" s="268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68"/>
      <c r="AT86" s="268"/>
      <c r="AU86" s="268"/>
      <c r="AV86" s="268"/>
      <c r="AW86" s="268"/>
      <c r="AX86" s="268"/>
      <c r="AY86" s="268"/>
      <c r="AZ86" s="268"/>
      <c r="BA86" s="268"/>
      <c r="BB86" s="268"/>
      <c r="BC86" s="268"/>
      <c r="BD86" s="268"/>
      <c r="BE86" s="268"/>
      <c r="BF86" s="268"/>
      <c r="BG86" s="268"/>
      <c r="BH86" s="268"/>
      <c r="BI86" s="268"/>
      <c r="BJ86" s="494"/>
      <c r="BK86" s="494"/>
      <c r="BL86" s="494"/>
      <c r="BM86" s="494"/>
      <c r="BN86" s="494"/>
      <c r="BO86" s="494"/>
      <c r="BP86" s="494"/>
      <c r="BQ86" s="494"/>
      <c r="BR86" s="494"/>
      <c r="BS86" s="494"/>
      <c r="BT86" s="494"/>
      <c r="BU86" s="494"/>
      <c r="BV86" s="494"/>
      <c r="BW86" s="494"/>
      <c r="BX86" s="494"/>
      <c r="BY86" s="494"/>
      <c r="BZ86" s="494"/>
      <c r="CA86" s="494"/>
      <c r="CB86" s="494"/>
      <c r="CC86" s="494"/>
      <c r="CD86" s="494"/>
      <c r="CE86" s="494"/>
      <c r="CF86" s="494"/>
      <c r="CG86" s="494"/>
      <c r="CM86" s="197"/>
      <c r="CN86" s="197"/>
      <c r="CU86" s="137"/>
    </row>
    <row r="87" spans="1:99">
      <c r="A87" s="26"/>
      <c r="D87" s="53"/>
      <c r="I87" s="53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  <c r="Y87" s="268"/>
      <c r="Z87" s="268"/>
      <c r="AA87" s="268"/>
      <c r="AB87" s="268"/>
      <c r="AC87" s="268"/>
      <c r="AD87" s="268"/>
      <c r="AE87" s="268"/>
      <c r="AF87" s="268"/>
      <c r="AG87" s="268"/>
      <c r="AH87" s="268"/>
      <c r="AI87" s="268"/>
      <c r="AJ87" s="268"/>
      <c r="AK87" s="268"/>
      <c r="AL87" s="268"/>
      <c r="AM87" s="268"/>
      <c r="AN87" s="268"/>
      <c r="AO87" s="268"/>
      <c r="AP87" s="268"/>
      <c r="AQ87" s="268"/>
      <c r="AR87" s="268"/>
      <c r="AS87" s="268"/>
      <c r="AT87" s="268"/>
      <c r="AU87" s="268"/>
      <c r="AV87" s="268"/>
      <c r="AW87" s="268"/>
      <c r="AX87" s="268"/>
      <c r="AY87" s="268"/>
      <c r="AZ87" s="268"/>
      <c r="BA87" s="268"/>
      <c r="BB87" s="268"/>
      <c r="BC87" s="268"/>
      <c r="BD87" s="268"/>
      <c r="BE87" s="268"/>
      <c r="BF87" s="268"/>
      <c r="BG87" s="268"/>
      <c r="BH87" s="268"/>
      <c r="BI87" s="268"/>
      <c r="BJ87" s="494"/>
      <c r="BK87" s="494"/>
      <c r="BL87" s="494"/>
      <c r="BM87" s="494"/>
      <c r="BN87" s="494"/>
      <c r="BO87" s="494"/>
      <c r="BP87" s="494"/>
      <c r="BQ87" s="494"/>
      <c r="BR87" s="494"/>
      <c r="BS87" s="494"/>
      <c r="BT87" s="494"/>
      <c r="BU87" s="494"/>
      <c r="BV87" s="494"/>
      <c r="BW87" s="494"/>
      <c r="BX87" s="494"/>
      <c r="BY87" s="494"/>
      <c r="BZ87" s="494"/>
      <c r="CA87" s="494"/>
      <c r="CB87" s="494"/>
      <c r="CC87" s="494"/>
      <c r="CD87" s="494"/>
      <c r="CE87" s="494"/>
      <c r="CF87" s="494"/>
      <c r="CG87" s="494"/>
      <c r="CM87" s="197"/>
      <c r="CN87" s="197"/>
      <c r="CU87" s="137"/>
    </row>
    <row r="88" spans="1:99">
      <c r="A88" s="26"/>
      <c r="D88" s="53"/>
      <c r="I88" s="53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  <c r="Y88" s="268"/>
      <c r="Z88" s="268"/>
      <c r="AA88" s="26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68"/>
      <c r="AT88" s="268"/>
      <c r="AU88" s="268"/>
      <c r="AV88" s="268"/>
      <c r="AW88" s="268"/>
      <c r="AX88" s="268"/>
      <c r="AY88" s="268"/>
      <c r="AZ88" s="268"/>
      <c r="BA88" s="268"/>
      <c r="BB88" s="268"/>
      <c r="BC88" s="268"/>
      <c r="BD88" s="268"/>
      <c r="BE88" s="268"/>
      <c r="BF88" s="268"/>
      <c r="BG88" s="268"/>
      <c r="BH88" s="268"/>
      <c r="BI88" s="268"/>
      <c r="BJ88" s="494"/>
      <c r="BK88" s="494"/>
      <c r="BL88" s="494"/>
      <c r="BM88" s="494"/>
      <c r="BN88" s="494"/>
      <c r="BO88" s="494"/>
      <c r="BP88" s="494"/>
      <c r="BQ88" s="494"/>
      <c r="BR88" s="494"/>
      <c r="BS88" s="494"/>
      <c r="BT88" s="494"/>
      <c r="BU88" s="494"/>
      <c r="BV88" s="494"/>
      <c r="BW88" s="494"/>
      <c r="BX88" s="494"/>
      <c r="BY88" s="494"/>
      <c r="BZ88" s="494"/>
      <c r="CA88" s="494"/>
      <c r="CB88" s="494"/>
      <c r="CC88" s="494"/>
      <c r="CD88" s="494"/>
      <c r="CE88" s="494"/>
      <c r="CF88" s="494"/>
      <c r="CG88" s="494"/>
      <c r="CM88" s="197"/>
      <c r="CN88" s="197"/>
      <c r="CU88" s="137"/>
    </row>
    <row r="89" spans="1:99">
      <c r="A89" s="26"/>
      <c r="D89" s="53"/>
      <c r="I89" s="53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  <c r="Y89" s="268"/>
      <c r="Z89" s="268"/>
      <c r="AA89" s="268"/>
      <c r="AB89" s="268"/>
      <c r="AC89" s="268"/>
      <c r="AD89" s="268"/>
      <c r="AE89" s="268"/>
      <c r="AF89" s="268"/>
      <c r="AG89" s="268"/>
      <c r="AH89" s="268"/>
      <c r="AI89" s="268"/>
      <c r="AJ89" s="268"/>
      <c r="AK89" s="268"/>
      <c r="AL89" s="268"/>
      <c r="AM89" s="268"/>
      <c r="AN89" s="268"/>
      <c r="AO89" s="268"/>
      <c r="AP89" s="268"/>
      <c r="AQ89" s="268"/>
      <c r="AR89" s="268"/>
      <c r="AS89" s="268"/>
      <c r="AT89" s="268"/>
      <c r="AU89" s="268"/>
      <c r="AV89" s="268"/>
      <c r="AW89" s="268"/>
      <c r="AX89" s="268"/>
      <c r="AY89" s="268"/>
      <c r="AZ89" s="268"/>
      <c r="BA89" s="268"/>
      <c r="BB89" s="268"/>
      <c r="BC89" s="268"/>
      <c r="BD89" s="268"/>
      <c r="BE89" s="268"/>
      <c r="BF89" s="268"/>
      <c r="BG89" s="268"/>
      <c r="BH89" s="268"/>
      <c r="BI89" s="268"/>
      <c r="BJ89" s="494"/>
      <c r="BK89" s="494"/>
      <c r="BL89" s="494"/>
      <c r="BM89" s="494"/>
      <c r="BN89" s="494"/>
      <c r="BO89" s="494"/>
      <c r="BP89" s="494"/>
      <c r="BQ89" s="494"/>
      <c r="BR89" s="494"/>
      <c r="BS89" s="494"/>
      <c r="BT89" s="494"/>
      <c r="BU89" s="494"/>
      <c r="BV89" s="494"/>
      <c r="BW89" s="494"/>
      <c r="BX89" s="494"/>
      <c r="BY89" s="494"/>
      <c r="BZ89" s="494"/>
      <c r="CA89" s="494"/>
      <c r="CB89" s="494"/>
      <c r="CC89" s="494"/>
      <c r="CD89" s="494"/>
      <c r="CE89" s="494"/>
      <c r="CF89" s="494"/>
      <c r="CG89" s="494"/>
      <c r="CM89" s="197"/>
      <c r="CN89" s="197"/>
      <c r="CU89" s="137"/>
    </row>
    <row r="90" spans="1:99">
      <c r="D90" s="53"/>
      <c r="I90" s="53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  <c r="AL90" s="268"/>
      <c r="AM90" s="268"/>
      <c r="AN90" s="268"/>
      <c r="AO90" s="268"/>
      <c r="AP90" s="268"/>
      <c r="AQ90" s="268"/>
      <c r="AR90" s="268"/>
      <c r="AS90" s="268"/>
      <c r="AT90" s="268"/>
      <c r="AU90" s="268"/>
      <c r="AV90" s="268"/>
      <c r="AW90" s="268"/>
      <c r="AX90" s="268"/>
      <c r="AY90" s="268"/>
      <c r="AZ90" s="268"/>
      <c r="BA90" s="268"/>
      <c r="BB90" s="268"/>
      <c r="BC90" s="268"/>
      <c r="BD90" s="268"/>
      <c r="BE90" s="268"/>
      <c r="BF90" s="268"/>
      <c r="BG90" s="268"/>
      <c r="BH90" s="268"/>
      <c r="BI90" s="268"/>
      <c r="BJ90" s="494"/>
      <c r="BK90" s="494"/>
      <c r="BL90" s="494"/>
      <c r="BM90" s="494"/>
      <c r="BN90" s="494"/>
      <c r="BO90" s="494"/>
      <c r="BP90" s="494"/>
      <c r="BQ90" s="494"/>
      <c r="BR90" s="494"/>
      <c r="BS90" s="494"/>
      <c r="BT90" s="494"/>
      <c r="BU90" s="494"/>
      <c r="BV90" s="494"/>
      <c r="BW90" s="494"/>
      <c r="BX90" s="494"/>
      <c r="BY90" s="494"/>
      <c r="BZ90" s="494"/>
      <c r="CA90" s="494"/>
      <c r="CB90" s="494"/>
      <c r="CC90" s="494"/>
      <c r="CD90" s="494"/>
      <c r="CE90" s="494"/>
      <c r="CF90" s="494"/>
      <c r="CG90" s="494"/>
      <c r="CM90" s="197"/>
      <c r="CN90" s="197"/>
      <c r="CU90" s="137"/>
    </row>
    <row r="91" spans="1:99">
      <c r="D91" s="53"/>
      <c r="I91" s="53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268"/>
      <c r="AE91" s="268"/>
      <c r="AF91" s="268"/>
      <c r="AG91" s="268"/>
      <c r="AH91" s="268"/>
      <c r="AI91" s="268"/>
      <c r="AJ91" s="268"/>
      <c r="AK91" s="268"/>
      <c r="AL91" s="268"/>
      <c r="AM91" s="268"/>
      <c r="AN91" s="268"/>
      <c r="AO91" s="268"/>
      <c r="AP91" s="268"/>
      <c r="AQ91" s="268"/>
      <c r="AR91" s="268"/>
      <c r="AS91" s="268"/>
      <c r="AT91" s="268"/>
      <c r="AU91" s="268"/>
      <c r="AV91" s="268"/>
      <c r="AW91" s="268"/>
      <c r="AX91" s="268"/>
      <c r="AY91" s="268"/>
      <c r="AZ91" s="268"/>
      <c r="BA91" s="268"/>
      <c r="BB91" s="268"/>
      <c r="BC91" s="268"/>
      <c r="BD91" s="268"/>
      <c r="BE91" s="268"/>
      <c r="BF91" s="268"/>
      <c r="BG91" s="268"/>
      <c r="BH91" s="268"/>
      <c r="BI91" s="268"/>
      <c r="BJ91" s="494"/>
      <c r="BK91" s="494"/>
      <c r="BL91" s="494"/>
      <c r="BM91" s="494"/>
      <c r="BN91" s="494"/>
      <c r="BO91" s="494"/>
      <c r="BP91" s="494"/>
      <c r="BQ91" s="494"/>
      <c r="BR91" s="494"/>
      <c r="BS91" s="494"/>
      <c r="BT91" s="494"/>
      <c r="BU91" s="494"/>
      <c r="BV91" s="494"/>
      <c r="BW91" s="494"/>
      <c r="BX91" s="494"/>
      <c r="BY91" s="494"/>
      <c r="BZ91" s="494"/>
      <c r="CA91" s="494"/>
      <c r="CB91" s="494"/>
      <c r="CC91" s="494"/>
      <c r="CD91" s="494"/>
      <c r="CE91" s="494"/>
      <c r="CF91" s="494"/>
      <c r="CG91" s="494"/>
      <c r="CM91" s="197"/>
      <c r="CN91" s="197"/>
      <c r="CU91" s="137"/>
    </row>
    <row r="92" spans="1:99">
      <c r="D92" s="53"/>
      <c r="I92" s="53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8"/>
      <c r="AL92" s="268"/>
      <c r="AM92" s="268"/>
      <c r="AN92" s="268"/>
      <c r="AO92" s="268"/>
      <c r="AP92" s="268"/>
      <c r="AQ92" s="268"/>
      <c r="AR92" s="268"/>
      <c r="AS92" s="268"/>
      <c r="AT92" s="268"/>
      <c r="AU92" s="268"/>
      <c r="AV92" s="268"/>
      <c r="AW92" s="268"/>
      <c r="AX92" s="268"/>
      <c r="AY92" s="268"/>
      <c r="AZ92" s="268"/>
      <c r="BA92" s="268"/>
      <c r="BB92" s="268"/>
      <c r="BC92" s="268"/>
      <c r="BD92" s="268"/>
      <c r="BE92" s="268"/>
      <c r="BF92" s="268"/>
      <c r="BG92" s="268"/>
      <c r="BH92" s="268"/>
      <c r="BI92" s="268"/>
      <c r="BJ92" s="494"/>
      <c r="BK92" s="494"/>
      <c r="BL92" s="494"/>
      <c r="BM92" s="494"/>
      <c r="BN92" s="494"/>
      <c r="BO92" s="494"/>
      <c r="BP92" s="494"/>
      <c r="BQ92" s="494"/>
      <c r="BR92" s="494"/>
      <c r="BS92" s="494"/>
      <c r="BT92" s="494"/>
      <c r="BU92" s="494"/>
      <c r="BV92" s="494"/>
      <c r="BW92" s="494"/>
      <c r="BX92" s="494"/>
      <c r="BY92" s="494"/>
      <c r="BZ92" s="494"/>
      <c r="CA92" s="494"/>
      <c r="CB92" s="494"/>
      <c r="CC92" s="494"/>
      <c r="CD92" s="494"/>
      <c r="CE92" s="494"/>
      <c r="CF92" s="494"/>
      <c r="CG92" s="494"/>
      <c r="CM92" s="197"/>
      <c r="CN92" s="197"/>
      <c r="CU92" s="137"/>
    </row>
    <row r="93" spans="1:99">
      <c r="A93" s="3"/>
      <c r="D93" s="53"/>
      <c r="I93" s="53"/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68"/>
      <c r="Z93" s="268"/>
      <c r="AA93" s="268"/>
      <c r="AB93" s="268"/>
      <c r="AC93" s="268"/>
      <c r="AD93" s="268"/>
      <c r="AE93" s="268"/>
      <c r="AF93" s="268"/>
      <c r="AG93" s="268"/>
      <c r="AH93" s="268"/>
      <c r="AI93" s="268"/>
      <c r="AJ93" s="268"/>
      <c r="AK93" s="268"/>
      <c r="AL93" s="268"/>
      <c r="AM93" s="268"/>
      <c r="AN93" s="268"/>
      <c r="AO93" s="268"/>
      <c r="AP93" s="268"/>
      <c r="AQ93" s="268"/>
      <c r="AR93" s="268"/>
      <c r="AS93" s="268"/>
      <c r="AT93" s="268"/>
      <c r="AU93" s="268"/>
      <c r="AV93" s="268"/>
      <c r="AW93" s="268"/>
      <c r="AX93" s="268"/>
      <c r="AY93" s="268"/>
      <c r="AZ93" s="268"/>
      <c r="BA93" s="268"/>
      <c r="BB93" s="268"/>
      <c r="BC93" s="268"/>
      <c r="BD93" s="268"/>
      <c r="BE93" s="268"/>
      <c r="BF93" s="268"/>
      <c r="BG93" s="268"/>
      <c r="BH93" s="268"/>
      <c r="BI93" s="268"/>
      <c r="BJ93" s="494"/>
      <c r="BK93" s="494"/>
      <c r="BL93" s="494"/>
      <c r="BM93" s="494"/>
      <c r="BN93" s="494"/>
      <c r="BO93" s="494"/>
      <c r="BP93" s="494"/>
      <c r="BQ93" s="494"/>
      <c r="BR93" s="494"/>
      <c r="BS93" s="494"/>
      <c r="BT93" s="494"/>
      <c r="BU93" s="494"/>
      <c r="BV93" s="494"/>
      <c r="BW93" s="494"/>
      <c r="BX93" s="494"/>
      <c r="BY93" s="494"/>
      <c r="BZ93" s="494"/>
      <c r="CA93" s="494"/>
      <c r="CB93" s="494"/>
      <c r="CC93" s="494"/>
      <c r="CD93" s="494"/>
      <c r="CE93" s="494"/>
      <c r="CF93" s="494"/>
      <c r="CG93" s="494"/>
      <c r="CM93" s="197"/>
      <c r="CN93" s="197"/>
      <c r="CU93" s="137"/>
    </row>
    <row r="94" spans="1:99">
      <c r="A94" s="26"/>
      <c r="B94" s="26"/>
      <c r="C94" s="26"/>
      <c r="D94" s="53"/>
      <c r="E94" s="26"/>
      <c r="F94" s="170"/>
      <c r="G94" s="26"/>
      <c r="H94" s="26"/>
      <c r="I94" s="53"/>
      <c r="N94" s="268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68"/>
      <c r="Z94" s="268"/>
      <c r="AA94" s="268"/>
      <c r="AB94" s="268"/>
      <c r="AC94" s="268"/>
      <c r="AD94" s="268"/>
      <c r="AE94" s="268"/>
      <c r="AF94" s="268"/>
      <c r="AG94" s="268"/>
      <c r="AH94" s="268"/>
      <c r="AI94" s="268"/>
      <c r="AJ94" s="268"/>
      <c r="AK94" s="268"/>
      <c r="AL94" s="268"/>
      <c r="AM94" s="268"/>
      <c r="AN94" s="268"/>
      <c r="AO94" s="268"/>
      <c r="AP94" s="268"/>
      <c r="AQ94" s="268"/>
      <c r="AR94" s="268"/>
      <c r="AS94" s="268"/>
      <c r="AT94" s="268"/>
      <c r="AU94" s="268"/>
      <c r="AV94" s="268"/>
      <c r="AW94" s="268"/>
      <c r="AX94" s="268"/>
      <c r="AY94" s="268"/>
      <c r="AZ94" s="268"/>
      <c r="BA94" s="268"/>
      <c r="BB94" s="268"/>
      <c r="BC94" s="268"/>
      <c r="BD94" s="268"/>
      <c r="BE94" s="268"/>
      <c r="BF94" s="268"/>
      <c r="BG94" s="268"/>
      <c r="BH94" s="268"/>
      <c r="BI94" s="268"/>
      <c r="BJ94" s="494"/>
      <c r="BK94" s="494"/>
      <c r="BL94" s="494"/>
      <c r="BM94" s="494"/>
      <c r="BN94" s="494"/>
      <c r="BO94" s="494"/>
      <c r="BP94" s="494"/>
      <c r="BQ94" s="494"/>
      <c r="BR94" s="494"/>
      <c r="BS94" s="494"/>
      <c r="BT94" s="494"/>
      <c r="BU94" s="494"/>
      <c r="BV94" s="494"/>
      <c r="BW94" s="494"/>
      <c r="BX94" s="494"/>
      <c r="BY94" s="494"/>
      <c r="BZ94" s="494"/>
      <c r="CA94" s="494"/>
      <c r="CB94" s="494"/>
      <c r="CC94" s="494"/>
      <c r="CD94" s="494"/>
      <c r="CE94" s="494"/>
      <c r="CF94" s="494"/>
      <c r="CG94" s="494"/>
      <c r="CM94" s="197"/>
      <c r="CN94" s="197"/>
      <c r="CU94" s="137"/>
    </row>
    <row r="95" spans="1:99">
      <c r="A95" s="26"/>
      <c r="B95" s="26"/>
      <c r="C95" s="26"/>
      <c r="D95" s="53"/>
      <c r="E95" s="26"/>
      <c r="F95" s="170"/>
      <c r="G95" s="26"/>
      <c r="H95" s="26"/>
      <c r="I95" s="53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  <c r="AA95" s="26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8"/>
      <c r="AL95" s="268"/>
      <c r="AM95" s="268"/>
      <c r="AN95" s="268"/>
      <c r="AO95" s="268"/>
      <c r="AP95" s="268"/>
      <c r="AQ95" s="268"/>
      <c r="AR95" s="268"/>
      <c r="AS95" s="268"/>
      <c r="AT95" s="268"/>
      <c r="AU95" s="268"/>
      <c r="AV95" s="268"/>
      <c r="AW95" s="268"/>
      <c r="AX95" s="268"/>
      <c r="AY95" s="268"/>
      <c r="AZ95" s="268"/>
      <c r="BA95" s="268"/>
      <c r="BB95" s="268"/>
      <c r="BC95" s="268"/>
      <c r="BD95" s="268"/>
      <c r="BE95" s="268"/>
      <c r="BF95" s="268"/>
      <c r="BG95" s="268"/>
      <c r="BH95" s="268"/>
      <c r="BI95" s="268"/>
      <c r="BJ95" s="494"/>
      <c r="BK95" s="494"/>
      <c r="BL95" s="494"/>
      <c r="BM95" s="494"/>
      <c r="BN95" s="494"/>
      <c r="BO95" s="494"/>
      <c r="BP95" s="494"/>
      <c r="BQ95" s="494"/>
      <c r="BR95" s="494"/>
      <c r="BS95" s="494"/>
      <c r="BT95" s="494"/>
      <c r="BU95" s="494"/>
      <c r="BV95" s="494"/>
      <c r="BW95" s="494"/>
      <c r="BX95" s="494"/>
      <c r="BY95" s="494"/>
      <c r="BZ95" s="494"/>
      <c r="CA95" s="494"/>
      <c r="CB95" s="494"/>
      <c r="CC95" s="494"/>
      <c r="CD95" s="494"/>
      <c r="CE95" s="494"/>
      <c r="CF95" s="494"/>
      <c r="CG95" s="494"/>
      <c r="CM95" s="197"/>
      <c r="CN95" s="197"/>
      <c r="CU95" s="137"/>
    </row>
    <row r="96" spans="1:99">
      <c r="A96" s="26"/>
      <c r="B96" s="26"/>
      <c r="C96" s="26"/>
      <c r="D96" s="53"/>
      <c r="E96" s="26"/>
      <c r="F96" s="170"/>
      <c r="G96" s="26"/>
      <c r="H96" s="26"/>
      <c r="I96" s="53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68"/>
      <c r="AH96" s="268"/>
      <c r="AI96" s="268"/>
      <c r="AJ96" s="268"/>
      <c r="AK96" s="268"/>
      <c r="AL96" s="268"/>
      <c r="AM96" s="268"/>
      <c r="AN96" s="268"/>
      <c r="AO96" s="268"/>
      <c r="AP96" s="268"/>
      <c r="AQ96" s="268"/>
      <c r="AR96" s="268"/>
      <c r="AS96" s="268"/>
      <c r="AT96" s="268"/>
      <c r="AU96" s="268"/>
      <c r="AV96" s="268"/>
      <c r="AW96" s="268"/>
      <c r="AX96" s="268"/>
      <c r="AY96" s="268"/>
      <c r="AZ96" s="268"/>
      <c r="BA96" s="268"/>
      <c r="BB96" s="268"/>
      <c r="BC96" s="268"/>
      <c r="BD96" s="268"/>
      <c r="BE96" s="268"/>
      <c r="BF96" s="268"/>
      <c r="BG96" s="268"/>
      <c r="BH96" s="268"/>
      <c r="BI96" s="268"/>
      <c r="BJ96" s="494"/>
      <c r="BK96" s="494"/>
      <c r="BL96" s="494"/>
      <c r="BM96" s="494"/>
      <c r="BN96" s="494"/>
      <c r="BO96" s="494"/>
      <c r="BP96" s="494"/>
      <c r="BQ96" s="494"/>
      <c r="BR96" s="494"/>
      <c r="BS96" s="494"/>
      <c r="BT96" s="494"/>
      <c r="BU96" s="494"/>
      <c r="BV96" s="494"/>
      <c r="BW96" s="494"/>
      <c r="BX96" s="494"/>
      <c r="BY96" s="494"/>
      <c r="BZ96" s="494"/>
      <c r="CA96" s="494"/>
      <c r="CB96" s="494"/>
      <c r="CC96" s="494"/>
      <c r="CD96" s="494"/>
      <c r="CE96" s="494"/>
      <c r="CF96" s="494"/>
      <c r="CG96" s="494"/>
      <c r="CM96" s="197"/>
      <c r="CN96" s="197"/>
      <c r="CU96" s="137"/>
    </row>
    <row r="97" spans="1:99">
      <c r="A97" s="26"/>
      <c r="B97" s="26"/>
      <c r="C97" s="26"/>
      <c r="D97" s="53"/>
      <c r="E97" s="26"/>
      <c r="F97" s="170"/>
      <c r="G97" s="26"/>
      <c r="H97" s="26"/>
      <c r="I97" s="53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268"/>
      <c r="AE97" s="268"/>
      <c r="AF97" s="268"/>
      <c r="AG97" s="268"/>
      <c r="AH97" s="268"/>
      <c r="AI97" s="268"/>
      <c r="AJ97" s="268"/>
      <c r="AK97" s="268"/>
      <c r="AL97" s="268"/>
      <c r="AM97" s="268"/>
      <c r="AN97" s="268"/>
      <c r="AO97" s="268"/>
      <c r="AP97" s="268"/>
      <c r="AQ97" s="268"/>
      <c r="AR97" s="268"/>
      <c r="AS97" s="268"/>
      <c r="AT97" s="268"/>
      <c r="AU97" s="268"/>
      <c r="AV97" s="268"/>
      <c r="AW97" s="268"/>
      <c r="AX97" s="268"/>
      <c r="AY97" s="268"/>
      <c r="AZ97" s="268"/>
      <c r="BA97" s="268"/>
      <c r="BB97" s="268"/>
      <c r="BC97" s="268"/>
      <c r="BD97" s="268"/>
      <c r="BE97" s="268"/>
      <c r="BF97" s="268"/>
      <c r="BG97" s="268"/>
      <c r="BH97" s="268"/>
      <c r="BI97" s="268"/>
      <c r="BJ97" s="494"/>
      <c r="BK97" s="494"/>
      <c r="BL97" s="494"/>
      <c r="BM97" s="494"/>
      <c r="BN97" s="494"/>
      <c r="BO97" s="494"/>
      <c r="BP97" s="494"/>
      <c r="BQ97" s="494"/>
      <c r="BR97" s="494"/>
      <c r="BS97" s="494"/>
      <c r="BT97" s="494"/>
      <c r="BU97" s="494"/>
      <c r="BV97" s="494"/>
      <c r="BW97" s="494"/>
      <c r="BX97" s="494"/>
      <c r="BY97" s="494"/>
      <c r="BZ97" s="494"/>
      <c r="CA97" s="494"/>
      <c r="CB97" s="494"/>
      <c r="CC97" s="494"/>
      <c r="CD97" s="494"/>
      <c r="CE97" s="494"/>
      <c r="CF97" s="494"/>
      <c r="CG97" s="494"/>
      <c r="CM97" s="197"/>
      <c r="CN97" s="197"/>
      <c r="CU97" s="137"/>
    </row>
    <row r="98" spans="1:99">
      <c r="A98" s="455"/>
      <c r="D98" s="53"/>
      <c r="I98" s="53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P98" s="268"/>
      <c r="AQ98" s="268"/>
      <c r="AR98" s="268"/>
      <c r="AS98" s="268"/>
      <c r="AT98" s="268"/>
      <c r="AU98" s="268"/>
      <c r="AV98" s="268"/>
      <c r="AW98" s="268"/>
      <c r="AX98" s="268"/>
      <c r="AY98" s="268"/>
      <c r="AZ98" s="268"/>
      <c r="BA98" s="268"/>
      <c r="BB98" s="268"/>
      <c r="BC98" s="268"/>
      <c r="BD98" s="268"/>
      <c r="BE98" s="268"/>
      <c r="BF98" s="268"/>
      <c r="BG98" s="268"/>
      <c r="BH98" s="268"/>
      <c r="BI98" s="268"/>
      <c r="BJ98" s="494"/>
      <c r="BK98" s="494"/>
      <c r="BL98" s="494"/>
      <c r="BM98" s="494"/>
      <c r="BN98" s="494"/>
      <c r="BO98" s="494"/>
      <c r="BP98" s="494"/>
      <c r="BQ98" s="494"/>
      <c r="BR98" s="494"/>
      <c r="BS98" s="494"/>
      <c r="BT98" s="494"/>
      <c r="BU98" s="494"/>
      <c r="BV98" s="494"/>
      <c r="BW98" s="494"/>
      <c r="BX98" s="494"/>
      <c r="BY98" s="494"/>
      <c r="BZ98" s="494"/>
      <c r="CA98" s="494"/>
      <c r="CB98" s="494"/>
      <c r="CC98" s="494"/>
      <c r="CD98" s="494"/>
      <c r="CE98" s="494"/>
      <c r="CF98" s="494"/>
      <c r="CG98" s="494"/>
      <c r="CM98" s="197"/>
      <c r="CN98" s="197"/>
      <c r="CU98" s="137"/>
    </row>
    <row r="99" spans="1:99">
      <c r="A99" s="26"/>
      <c r="D99" s="53"/>
      <c r="I99" s="53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P99" s="268"/>
      <c r="AQ99" s="268"/>
      <c r="AR99" s="268"/>
      <c r="AS99" s="268"/>
      <c r="AT99" s="268"/>
      <c r="AU99" s="268"/>
      <c r="AV99" s="268"/>
      <c r="AW99" s="268"/>
      <c r="AX99" s="268"/>
      <c r="AY99" s="268"/>
      <c r="AZ99" s="268"/>
      <c r="BA99" s="268"/>
      <c r="BB99" s="268"/>
      <c r="BC99" s="268"/>
      <c r="BD99" s="268"/>
      <c r="BE99" s="268"/>
      <c r="BF99" s="268"/>
      <c r="BG99" s="268"/>
      <c r="BH99" s="268"/>
      <c r="BI99" s="268"/>
      <c r="BJ99" s="494"/>
      <c r="BK99" s="494"/>
      <c r="BL99" s="494"/>
      <c r="BM99" s="494"/>
      <c r="BN99" s="494"/>
      <c r="BO99" s="494"/>
      <c r="BP99" s="494"/>
      <c r="BQ99" s="494"/>
      <c r="BR99" s="494"/>
      <c r="BS99" s="494"/>
      <c r="BT99" s="494"/>
      <c r="BU99" s="494"/>
      <c r="BV99" s="494"/>
      <c r="BW99" s="494"/>
      <c r="BX99" s="494"/>
      <c r="BY99" s="494"/>
      <c r="BZ99" s="494"/>
      <c r="CA99" s="494"/>
      <c r="CB99" s="494"/>
      <c r="CC99" s="494"/>
      <c r="CD99" s="494"/>
      <c r="CE99" s="494"/>
      <c r="CF99" s="494"/>
      <c r="CG99" s="494"/>
      <c r="CM99" s="197"/>
      <c r="CN99" s="197"/>
      <c r="CU99" s="137"/>
    </row>
    <row r="100" spans="1:99">
      <c r="A100" s="26"/>
      <c r="D100" s="53"/>
      <c r="I100" s="53"/>
      <c r="N100" s="268"/>
      <c r="O100" s="268"/>
      <c r="P100" s="268"/>
      <c r="Q100" s="268"/>
      <c r="R100" s="268"/>
      <c r="S100" s="268"/>
      <c r="T100" s="268"/>
      <c r="U100" s="268"/>
      <c r="V100" s="268"/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8"/>
      <c r="AL100" s="268"/>
      <c r="AM100" s="268"/>
      <c r="AN100" s="268"/>
      <c r="AO100" s="268"/>
      <c r="AP100" s="268"/>
      <c r="AQ100" s="268"/>
      <c r="AR100" s="268"/>
      <c r="AS100" s="268"/>
      <c r="AT100" s="268"/>
      <c r="AU100" s="268"/>
      <c r="AV100" s="268"/>
      <c r="AW100" s="268"/>
      <c r="AX100" s="268"/>
      <c r="AY100" s="268"/>
      <c r="AZ100" s="268"/>
      <c r="BA100" s="268"/>
      <c r="BB100" s="268"/>
      <c r="BC100" s="268"/>
      <c r="BD100" s="268"/>
      <c r="BE100" s="268"/>
      <c r="BF100" s="268"/>
      <c r="BG100" s="268"/>
      <c r="BH100" s="268"/>
      <c r="BI100" s="268"/>
      <c r="BJ100" s="494"/>
      <c r="BK100" s="494"/>
      <c r="BL100" s="494"/>
      <c r="BM100" s="494"/>
      <c r="BN100" s="494"/>
      <c r="BO100" s="494"/>
      <c r="BP100" s="494"/>
      <c r="BQ100" s="494"/>
      <c r="BR100" s="494"/>
      <c r="BS100" s="494"/>
      <c r="BT100" s="494"/>
      <c r="BU100" s="494"/>
      <c r="BV100" s="494"/>
      <c r="BW100" s="494"/>
      <c r="BX100" s="494"/>
      <c r="BY100" s="494"/>
      <c r="BZ100" s="494"/>
      <c r="CA100" s="494"/>
      <c r="CB100" s="494"/>
      <c r="CC100" s="494"/>
      <c r="CD100" s="494"/>
      <c r="CE100" s="494"/>
      <c r="CF100" s="494"/>
      <c r="CG100" s="494"/>
      <c r="CM100" s="197"/>
      <c r="CN100" s="197"/>
      <c r="CU100" s="137"/>
    </row>
    <row r="101" spans="1:99">
      <c r="A101" s="26"/>
      <c r="D101" s="53"/>
      <c r="I101" s="53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  <c r="AA101" s="268"/>
      <c r="AB101" s="268"/>
      <c r="AC101" s="268"/>
      <c r="AD101" s="268"/>
      <c r="AE101" s="268"/>
      <c r="AF101" s="268"/>
      <c r="AG101" s="268"/>
      <c r="AH101" s="268"/>
      <c r="AI101" s="268"/>
      <c r="AJ101" s="268"/>
      <c r="AK101" s="268"/>
      <c r="AL101" s="268"/>
      <c r="AM101" s="268"/>
      <c r="AN101" s="268"/>
      <c r="AO101" s="268"/>
      <c r="AP101" s="268"/>
      <c r="AQ101" s="268"/>
      <c r="AR101" s="268"/>
      <c r="AS101" s="268"/>
      <c r="AT101" s="268"/>
      <c r="AU101" s="268"/>
      <c r="AV101" s="268"/>
      <c r="AW101" s="268"/>
      <c r="AX101" s="268"/>
      <c r="AY101" s="268"/>
      <c r="AZ101" s="268"/>
      <c r="BA101" s="268"/>
      <c r="BB101" s="268"/>
      <c r="BC101" s="268"/>
      <c r="BD101" s="268"/>
      <c r="BE101" s="268"/>
      <c r="BF101" s="268"/>
      <c r="BG101" s="268"/>
      <c r="BH101" s="268"/>
      <c r="BI101" s="268"/>
      <c r="BJ101" s="494"/>
      <c r="BK101" s="494"/>
      <c r="BL101" s="494"/>
      <c r="BM101" s="494"/>
      <c r="BN101" s="494"/>
      <c r="BO101" s="494"/>
      <c r="BP101" s="494"/>
      <c r="BQ101" s="494"/>
      <c r="BR101" s="494"/>
      <c r="BS101" s="494"/>
      <c r="BT101" s="494"/>
      <c r="BU101" s="494"/>
      <c r="BV101" s="494"/>
      <c r="BW101" s="494"/>
      <c r="BX101" s="494"/>
      <c r="BY101" s="494"/>
      <c r="BZ101" s="494"/>
      <c r="CA101" s="494"/>
      <c r="CB101" s="494"/>
      <c r="CC101" s="494"/>
      <c r="CD101" s="494"/>
      <c r="CE101" s="494"/>
      <c r="CF101" s="494"/>
      <c r="CG101" s="494"/>
      <c r="CM101" s="197"/>
      <c r="CN101" s="197"/>
      <c r="CU101" s="137"/>
    </row>
    <row r="102" spans="1:99">
      <c r="A102" s="26"/>
      <c r="D102" s="53"/>
      <c r="I102" s="53"/>
      <c r="N102" s="268"/>
      <c r="O102" s="268"/>
      <c r="P102" s="268"/>
      <c r="Q102" s="268"/>
      <c r="R102" s="268"/>
      <c r="S102" s="268"/>
      <c r="T102" s="268"/>
      <c r="U102" s="268"/>
      <c r="V102" s="268"/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268"/>
      <c r="AP102" s="268"/>
      <c r="AQ102" s="268"/>
      <c r="AR102" s="268"/>
      <c r="AS102" s="268"/>
      <c r="AT102" s="268"/>
      <c r="AU102" s="268"/>
      <c r="AV102" s="268"/>
      <c r="AW102" s="268"/>
      <c r="AX102" s="268"/>
      <c r="AY102" s="268"/>
      <c r="AZ102" s="268"/>
      <c r="BA102" s="268"/>
      <c r="BB102" s="268"/>
      <c r="BC102" s="268"/>
      <c r="BD102" s="268"/>
      <c r="BE102" s="268"/>
      <c r="BF102" s="268"/>
      <c r="BG102" s="268"/>
      <c r="BH102" s="268"/>
      <c r="BI102" s="268"/>
      <c r="BJ102" s="494"/>
      <c r="BK102" s="494"/>
      <c r="BL102" s="494"/>
      <c r="BM102" s="494"/>
      <c r="BN102" s="494"/>
      <c r="BO102" s="494"/>
      <c r="BP102" s="494"/>
      <c r="BQ102" s="494"/>
      <c r="BR102" s="494"/>
      <c r="BS102" s="494"/>
      <c r="BT102" s="494"/>
      <c r="BU102" s="494"/>
      <c r="BV102" s="494"/>
      <c r="BW102" s="494"/>
      <c r="BX102" s="494"/>
      <c r="BY102" s="494"/>
      <c r="BZ102" s="494"/>
      <c r="CA102" s="494"/>
      <c r="CB102" s="494"/>
      <c r="CC102" s="494"/>
      <c r="CD102" s="494"/>
      <c r="CE102" s="494"/>
      <c r="CF102" s="494"/>
      <c r="CG102" s="494"/>
      <c r="CM102" s="197"/>
      <c r="CN102" s="197"/>
      <c r="CU102" s="137"/>
    </row>
    <row r="103" spans="1:99">
      <c r="D103" s="53"/>
      <c r="I103" s="53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268"/>
      <c r="AG103" s="268"/>
      <c r="AH103" s="268"/>
      <c r="AI103" s="268"/>
      <c r="AJ103" s="268"/>
      <c r="AK103" s="268"/>
      <c r="AL103" s="268"/>
      <c r="AM103" s="268"/>
      <c r="AN103" s="268"/>
      <c r="AO103" s="268"/>
      <c r="AP103" s="268"/>
      <c r="AQ103" s="268"/>
      <c r="AR103" s="268"/>
      <c r="AS103" s="268"/>
      <c r="AT103" s="268"/>
      <c r="AU103" s="268"/>
      <c r="AV103" s="268"/>
      <c r="AW103" s="268"/>
      <c r="AX103" s="268"/>
      <c r="AY103" s="268"/>
      <c r="AZ103" s="268"/>
      <c r="BA103" s="268"/>
      <c r="BB103" s="268"/>
      <c r="BC103" s="268"/>
      <c r="BD103" s="268"/>
      <c r="BE103" s="268"/>
      <c r="BF103" s="268"/>
      <c r="BG103" s="268"/>
      <c r="BH103" s="268"/>
      <c r="BI103" s="268"/>
      <c r="BJ103" s="494"/>
      <c r="BK103" s="494"/>
      <c r="BL103" s="494"/>
      <c r="BM103" s="494"/>
      <c r="BN103" s="494"/>
      <c r="BO103" s="494"/>
      <c r="BP103" s="494"/>
      <c r="BQ103" s="494"/>
      <c r="BR103" s="494"/>
      <c r="BS103" s="494"/>
      <c r="BT103" s="494"/>
      <c r="BU103" s="494"/>
      <c r="BV103" s="494"/>
      <c r="BW103" s="494"/>
      <c r="BX103" s="494"/>
      <c r="BY103" s="494"/>
      <c r="BZ103" s="494"/>
      <c r="CA103" s="494"/>
      <c r="CB103" s="494"/>
      <c r="CC103" s="494"/>
      <c r="CD103" s="494"/>
      <c r="CE103" s="494"/>
      <c r="CF103" s="494"/>
      <c r="CG103" s="494"/>
      <c r="CM103" s="197"/>
      <c r="CN103" s="197"/>
      <c r="CU103" s="137"/>
    </row>
    <row r="104" spans="1:99">
      <c r="D104" s="53"/>
      <c r="I104" s="53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68"/>
      <c r="AH104" s="268"/>
      <c r="AI104" s="268"/>
      <c r="AJ104" s="268"/>
      <c r="AK104" s="268"/>
      <c r="AL104" s="268"/>
      <c r="AM104" s="268"/>
      <c r="AN104" s="268"/>
      <c r="AO104" s="268"/>
      <c r="AP104" s="268"/>
      <c r="AQ104" s="268"/>
      <c r="AR104" s="268"/>
      <c r="AS104" s="268"/>
      <c r="AT104" s="268"/>
      <c r="AU104" s="268"/>
      <c r="AV104" s="268"/>
      <c r="AW104" s="268"/>
      <c r="AX104" s="268"/>
      <c r="AY104" s="268"/>
      <c r="AZ104" s="268"/>
      <c r="BA104" s="268"/>
      <c r="BB104" s="268"/>
      <c r="BC104" s="268"/>
      <c r="BD104" s="268"/>
      <c r="BE104" s="268"/>
      <c r="BF104" s="268"/>
      <c r="BG104" s="268"/>
      <c r="BH104" s="268"/>
      <c r="BI104" s="268"/>
      <c r="BJ104" s="494"/>
      <c r="BK104" s="494"/>
      <c r="BL104" s="494"/>
      <c r="BM104" s="494"/>
      <c r="BN104" s="494"/>
      <c r="BO104" s="494"/>
      <c r="BP104" s="494"/>
      <c r="BQ104" s="494"/>
      <c r="BR104" s="494"/>
      <c r="BS104" s="494"/>
      <c r="BT104" s="494"/>
      <c r="BU104" s="494"/>
      <c r="BV104" s="494"/>
      <c r="BW104" s="494"/>
      <c r="BX104" s="494"/>
      <c r="BY104" s="494"/>
      <c r="BZ104" s="494"/>
      <c r="CA104" s="494"/>
      <c r="CB104" s="494"/>
      <c r="CC104" s="494"/>
      <c r="CD104" s="494"/>
      <c r="CE104" s="494"/>
      <c r="CF104" s="494"/>
      <c r="CG104" s="494"/>
      <c r="CM104" s="197"/>
      <c r="CN104" s="197"/>
      <c r="CU104" s="137"/>
    </row>
    <row r="105" spans="1:99">
      <c r="D105" s="53"/>
      <c r="I105" s="53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68"/>
      <c r="AL105" s="268"/>
      <c r="AM105" s="268"/>
      <c r="AN105" s="268"/>
      <c r="AO105" s="268"/>
      <c r="AP105" s="268"/>
      <c r="AQ105" s="268"/>
      <c r="AR105" s="268"/>
      <c r="AS105" s="268"/>
      <c r="AT105" s="268"/>
      <c r="AU105" s="268"/>
      <c r="AV105" s="268"/>
      <c r="AW105" s="268"/>
      <c r="AX105" s="268"/>
      <c r="AY105" s="268"/>
      <c r="AZ105" s="268"/>
      <c r="BA105" s="268"/>
      <c r="BB105" s="268"/>
      <c r="BC105" s="268"/>
      <c r="BD105" s="268"/>
      <c r="BE105" s="268"/>
      <c r="BF105" s="268"/>
      <c r="BG105" s="268"/>
      <c r="BH105" s="268"/>
      <c r="BI105" s="268"/>
      <c r="BJ105" s="494"/>
      <c r="BK105" s="494"/>
      <c r="BL105" s="494"/>
      <c r="BM105" s="494"/>
      <c r="BN105" s="494"/>
      <c r="BO105" s="494"/>
      <c r="BP105" s="494"/>
      <c r="BQ105" s="494"/>
      <c r="BR105" s="494"/>
      <c r="BS105" s="494"/>
      <c r="BT105" s="494"/>
      <c r="BU105" s="494"/>
      <c r="BV105" s="494"/>
      <c r="BW105" s="494"/>
      <c r="BX105" s="494"/>
      <c r="BY105" s="494"/>
      <c r="BZ105" s="494"/>
      <c r="CA105" s="494"/>
      <c r="CB105" s="494"/>
      <c r="CC105" s="494"/>
      <c r="CD105" s="494"/>
      <c r="CE105" s="494"/>
      <c r="CF105" s="494"/>
      <c r="CG105" s="494"/>
      <c r="CM105" s="197"/>
      <c r="CN105" s="197"/>
      <c r="CU105" s="137"/>
    </row>
    <row r="106" spans="1:99">
      <c r="D106" s="53"/>
      <c r="I106" s="53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  <c r="AD106" s="268"/>
      <c r="AE106" s="268"/>
      <c r="AF106" s="268"/>
      <c r="AG106" s="268"/>
      <c r="AH106" s="268"/>
      <c r="AI106" s="268"/>
      <c r="AJ106" s="268"/>
      <c r="AK106" s="268"/>
      <c r="AL106" s="268"/>
      <c r="AM106" s="268"/>
      <c r="AN106" s="268"/>
      <c r="AO106" s="268"/>
      <c r="AP106" s="268"/>
      <c r="AQ106" s="268"/>
      <c r="AR106" s="268"/>
      <c r="AS106" s="268"/>
      <c r="AT106" s="268"/>
      <c r="AU106" s="268"/>
      <c r="AV106" s="268"/>
      <c r="AW106" s="268"/>
      <c r="AX106" s="268"/>
      <c r="AY106" s="268"/>
      <c r="AZ106" s="268"/>
      <c r="BA106" s="268"/>
      <c r="BB106" s="268"/>
      <c r="BC106" s="268"/>
      <c r="BD106" s="268"/>
      <c r="BE106" s="268"/>
      <c r="BF106" s="268"/>
      <c r="BG106" s="268"/>
      <c r="BH106" s="268"/>
      <c r="BI106" s="268"/>
      <c r="BJ106" s="494"/>
      <c r="BK106" s="494"/>
      <c r="BL106" s="494"/>
      <c r="BM106" s="494"/>
      <c r="BN106" s="494"/>
      <c r="BO106" s="494"/>
      <c r="BP106" s="494"/>
      <c r="BQ106" s="494"/>
      <c r="BR106" s="494"/>
      <c r="BS106" s="494"/>
      <c r="BT106" s="494"/>
      <c r="BU106" s="494"/>
      <c r="BV106" s="494"/>
      <c r="BW106" s="494"/>
      <c r="BX106" s="494"/>
      <c r="BY106" s="494"/>
      <c r="BZ106" s="494"/>
      <c r="CA106" s="494"/>
      <c r="CB106" s="494"/>
      <c r="CC106" s="494"/>
      <c r="CD106" s="494"/>
      <c r="CE106" s="494"/>
      <c r="CF106" s="494"/>
      <c r="CG106" s="494"/>
      <c r="CM106" s="197"/>
      <c r="CN106" s="197"/>
      <c r="CU106" s="137"/>
    </row>
    <row r="107" spans="1:99">
      <c r="D107" s="53"/>
      <c r="I107" s="5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AM107" s="268"/>
      <c r="AN107" s="268"/>
      <c r="AO107" s="268"/>
      <c r="AP107" s="268"/>
      <c r="AQ107" s="268"/>
      <c r="AR107" s="268"/>
      <c r="AS107" s="268"/>
      <c r="AT107" s="268"/>
      <c r="AU107" s="268"/>
      <c r="AV107" s="268"/>
      <c r="AW107" s="268"/>
      <c r="AX107" s="268"/>
      <c r="AY107" s="268"/>
      <c r="AZ107" s="268"/>
      <c r="BA107" s="268"/>
      <c r="BB107" s="268"/>
      <c r="BC107" s="268"/>
      <c r="BD107" s="268"/>
      <c r="BE107" s="268"/>
      <c r="BF107" s="268"/>
      <c r="BG107" s="268"/>
      <c r="BH107" s="268"/>
      <c r="BI107" s="268"/>
      <c r="BJ107" s="494"/>
      <c r="BK107" s="494"/>
      <c r="BL107" s="494"/>
      <c r="BM107" s="494"/>
      <c r="BN107" s="494"/>
      <c r="BO107" s="494"/>
      <c r="BP107" s="494"/>
      <c r="BQ107" s="494"/>
      <c r="BR107" s="494"/>
      <c r="BS107" s="494"/>
      <c r="BT107" s="494"/>
      <c r="BU107" s="494"/>
      <c r="BV107" s="494"/>
      <c r="BW107" s="494"/>
      <c r="BX107" s="494"/>
      <c r="BY107" s="494"/>
      <c r="BZ107" s="494"/>
      <c r="CA107" s="494"/>
      <c r="CB107" s="494"/>
      <c r="CC107" s="494"/>
      <c r="CD107" s="494"/>
      <c r="CE107" s="494"/>
      <c r="CF107" s="494"/>
      <c r="CG107" s="494"/>
      <c r="CM107" s="197"/>
      <c r="CN107" s="197"/>
      <c r="CU107" s="137"/>
    </row>
    <row r="108" spans="1:99">
      <c r="D108" s="53"/>
      <c r="I108" s="53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AM108" s="268"/>
      <c r="AN108" s="268"/>
      <c r="AO108" s="268"/>
      <c r="AP108" s="268"/>
      <c r="AQ108" s="268"/>
      <c r="AR108" s="268"/>
      <c r="AS108" s="268"/>
      <c r="AT108" s="268"/>
      <c r="AU108" s="268"/>
      <c r="AV108" s="268"/>
      <c r="AW108" s="268"/>
      <c r="AX108" s="268"/>
      <c r="AY108" s="268"/>
      <c r="AZ108" s="268"/>
      <c r="BA108" s="268"/>
      <c r="BB108" s="268"/>
      <c r="BC108" s="268"/>
      <c r="BD108" s="268"/>
      <c r="BE108" s="268"/>
      <c r="BF108" s="268"/>
      <c r="BG108" s="268"/>
      <c r="BH108" s="268"/>
      <c r="BI108" s="268"/>
      <c r="BJ108" s="494"/>
      <c r="BK108" s="494"/>
      <c r="BL108" s="494"/>
      <c r="BM108" s="494"/>
      <c r="BN108" s="494"/>
      <c r="BO108" s="494"/>
      <c r="BP108" s="494"/>
      <c r="BQ108" s="494"/>
      <c r="BR108" s="494"/>
      <c r="BS108" s="494"/>
      <c r="BT108" s="494"/>
      <c r="BU108" s="494"/>
      <c r="BV108" s="494"/>
      <c r="BW108" s="494"/>
      <c r="BX108" s="494"/>
      <c r="BY108" s="494"/>
      <c r="BZ108" s="494"/>
      <c r="CA108" s="494"/>
      <c r="CB108" s="494"/>
      <c r="CC108" s="494"/>
      <c r="CD108" s="494"/>
      <c r="CE108" s="494"/>
      <c r="CF108" s="494"/>
      <c r="CG108" s="494"/>
      <c r="CM108" s="197"/>
      <c r="CN108" s="197"/>
      <c r="CU108" s="137"/>
    </row>
    <row r="109" spans="1:99">
      <c r="D109" s="53"/>
      <c r="I109" s="53"/>
      <c r="N109" s="268"/>
      <c r="O109" s="268"/>
      <c r="P109" s="268"/>
      <c r="Q109" s="268"/>
      <c r="R109" s="268"/>
      <c r="S109" s="268"/>
      <c r="T109" s="268"/>
      <c r="U109" s="268"/>
      <c r="V109" s="268"/>
      <c r="W109" s="268"/>
      <c r="X109" s="268"/>
      <c r="Y109" s="268"/>
      <c r="Z109" s="268"/>
      <c r="AA109" s="268"/>
      <c r="AB109" s="268"/>
      <c r="AC109" s="268"/>
      <c r="AD109" s="268"/>
      <c r="AE109" s="268"/>
      <c r="AF109" s="268"/>
      <c r="AG109" s="268"/>
      <c r="AH109" s="268"/>
      <c r="AI109" s="268"/>
      <c r="AJ109" s="268"/>
      <c r="AK109" s="268"/>
      <c r="AL109" s="268"/>
      <c r="AM109" s="268"/>
      <c r="AN109" s="268"/>
      <c r="AO109" s="268"/>
      <c r="AP109" s="268"/>
      <c r="AQ109" s="268"/>
      <c r="AR109" s="268"/>
      <c r="AS109" s="268"/>
      <c r="AT109" s="268"/>
      <c r="AU109" s="268"/>
      <c r="AV109" s="268"/>
      <c r="AW109" s="268"/>
      <c r="AX109" s="268"/>
      <c r="AY109" s="268"/>
      <c r="AZ109" s="268"/>
      <c r="BA109" s="268"/>
      <c r="BB109" s="268"/>
      <c r="BC109" s="268"/>
      <c r="BD109" s="268"/>
      <c r="BE109" s="268"/>
      <c r="BF109" s="268"/>
      <c r="BG109" s="268"/>
      <c r="BH109" s="268"/>
      <c r="BI109" s="268"/>
      <c r="BJ109" s="494"/>
      <c r="BK109" s="494"/>
      <c r="BL109" s="494"/>
      <c r="BM109" s="494"/>
      <c r="BN109" s="494"/>
      <c r="BO109" s="494"/>
      <c r="BP109" s="494"/>
      <c r="BQ109" s="494"/>
      <c r="BR109" s="494"/>
      <c r="BS109" s="494"/>
      <c r="BT109" s="494"/>
      <c r="BU109" s="494"/>
      <c r="BV109" s="494"/>
      <c r="BW109" s="494"/>
      <c r="BX109" s="494"/>
      <c r="BY109" s="494"/>
      <c r="BZ109" s="494"/>
      <c r="CA109" s="494"/>
      <c r="CB109" s="494"/>
      <c r="CC109" s="494"/>
      <c r="CD109" s="494"/>
      <c r="CE109" s="494"/>
      <c r="CF109" s="494"/>
      <c r="CG109" s="494"/>
      <c r="CM109" s="197"/>
      <c r="CN109" s="197"/>
      <c r="CU109" s="137"/>
    </row>
    <row r="110" spans="1:99">
      <c r="D110" s="53"/>
      <c r="I110" s="53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AM110" s="268"/>
      <c r="AN110" s="268"/>
      <c r="AO110" s="268"/>
      <c r="AP110" s="268"/>
      <c r="AQ110" s="268"/>
      <c r="AR110" s="268"/>
      <c r="AS110" s="268"/>
      <c r="AT110" s="268"/>
      <c r="AU110" s="268"/>
      <c r="AV110" s="268"/>
      <c r="AW110" s="268"/>
      <c r="AX110" s="268"/>
      <c r="AY110" s="268"/>
      <c r="AZ110" s="268"/>
      <c r="BA110" s="268"/>
      <c r="BB110" s="268"/>
      <c r="BC110" s="268"/>
      <c r="BD110" s="268"/>
      <c r="BE110" s="268"/>
      <c r="BF110" s="268"/>
      <c r="BG110" s="268"/>
      <c r="BH110" s="268"/>
      <c r="BI110" s="268"/>
      <c r="BJ110" s="494"/>
      <c r="BK110" s="494"/>
      <c r="BL110" s="494"/>
      <c r="BM110" s="494"/>
      <c r="BN110" s="494"/>
      <c r="BO110" s="494"/>
      <c r="BP110" s="494"/>
      <c r="BQ110" s="494"/>
      <c r="BR110" s="494"/>
      <c r="BS110" s="494"/>
      <c r="BT110" s="494"/>
      <c r="BU110" s="494"/>
      <c r="BV110" s="494"/>
      <c r="BW110" s="494"/>
      <c r="BX110" s="494"/>
      <c r="BY110" s="494"/>
      <c r="BZ110" s="494"/>
      <c r="CA110" s="494"/>
      <c r="CB110" s="494"/>
      <c r="CC110" s="494"/>
      <c r="CD110" s="494"/>
      <c r="CE110" s="494"/>
      <c r="CF110" s="494"/>
      <c r="CG110" s="494"/>
      <c r="CM110" s="197"/>
      <c r="CN110" s="197"/>
      <c r="CU110" s="137"/>
    </row>
    <row r="111" spans="1:99">
      <c r="D111" s="53"/>
      <c r="I111" s="53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68"/>
      <c r="AH111" s="268"/>
      <c r="AI111" s="268"/>
      <c r="AJ111" s="268"/>
      <c r="AK111" s="268"/>
      <c r="AL111" s="268"/>
      <c r="AM111" s="268"/>
      <c r="AN111" s="268"/>
      <c r="AO111" s="268"/>
      <c r="AP111" s="268"/>
      <c r="AQ111" s="268"/>
      <c r="AR111" s="268"/>
      <c r="AS111" s="268"/>
      <c r="AT111" s="268"/>
      <c r="AU111" s="268"/>
      <c r="AV111" s="268"/>
      <c r="AW111" s="268"/>
      <c r="AX111" s="268"/>
      <c r="AY111" s="268"/>
      <c r="AZ111" s="268"/>
      <c r="BA111" s="268"/>
      <c r="BB111" s="268"/>
      <c r="BC111" s="268"/>
      <c r="BD111" s="268"/>
      <c r="BE111" s="268"/>
      <c r="BF111" s="268"/>
      <c r="BG111" s="268"/>
      <c r="BH111" s="268"/>
      <c r="BI111" s="268"/>
      <c r="BJ111" s="494"/>
      <c r="BK111" s="494"/>
      <c r="BL111" s="494"/>
      <c r="BM111" s="494"/>
      <c r="BN111" s="494"/>
      <c r="BO111" s="494"/>
      <c r="BP111" s="494"/>
      <c r="BQ111" s="494"/>
      <c r="BR111" s="494"/>
      <c r="BS111" s="494"/>
      <c r="BT111" s="494"/>
      <c r="BU111" s="494"/>
      <c r="BV111" s="494"/>
      <c r="BW111" s="494"/>
      <c r="BX111" s="494"/>
      <c r="BY111" s="494"/>
      <c r="BZ111" s="494"/>
      <c r="CA111" s="494"/>
      <c r="CB111" s="494"/>
      <c r="CC111" s="494"/>
      <c r="CD111" s="494"/>
      <c r="CE111" s="494"/>
      <c r="CF111" s="494"/>
      <c r="CG111" s="494"/>
      <c r="CM111" s="197"/>
      <c r="CN111" s="197"/>
      <c r="CU111" s="137"/>
    </row>
    <row r="112" spans="1:99">
      <c r="D112" s="53"/>
      <c r="I112" s="53"/>
      <c r="N112" s="268"/>
      <c r="O112" s="268"/>
      <c r="P112" s="268"/>
      <c r="Q112" s="268"/>
      <c r="R112" s="268"/>
      <c r="S112" s="268"/>
      <c r="T112" s="268"/>
      <c r="U112" s="268"/>
      <c r="V112" s="268"/>
      <c r="W112" s="268"/>
      <c r="X112" s="268"/>
      <c r="Y112" s="268"/>
      <c r="Z112" s="268"/>
      <c r="AA112" s="268"/>
      <c r="AB112" s="268"/>
      <c r="AC112" s="268"/>
      <c r="AD112" s="268"/>
      <c r="AE112" s="268"/>
      <c r="AF112" s="268"/>
      <c r="AG112" s="268"/>
      <c r="AH112" s="268"/>
      <c r="AI112" s="268"/>
      <c r="AJ112" s="268"/>
      <c r="AK112" s="268"/>
      <c r="AL112" s="268"/>
      <c r="AM112" s="268"/>
      <c r="AN112" s="268"/>
      <c r="AO112" s="268"/>
      <c r="AP112" s="268"/>
      <c r="AQ112" s="268"/>
      <c r="AR112" s="268"/>
      <c r="AS112" s="268"/>
      <c r="AT112" s="268"/>
      <c r="AU112" s="268"/>
      <c r="AV112" s="268"/>
      <c r="AW112" s="268"/>
      <c r="AX112" s="268"/>
      <c r="AY112" s="268"/>
      <c r="AZ112" s="268"/>
      <c r="BA112" s="268"/>
      <c r="BB112" s="268"/>
      <c r="BC112" s="268"/>
      <c r="BD112" s="268"/>
      <c r="BE112" s="268"/>
      <c r="BF112" s="268"/>
      <c r="BG112" s="268"/>
      <c r="BH112" s="268"/>
      <c r="BI112" s="268"/>
      <c r="BJ112" s="494"/>
      <c r="BK112" s="494"/>
      <c r="BL112" s="494"/>
      <c r="BM112" s="494"/>
      <c r="BN112" s="494"/>
      <c r="BO112" s="494"/>
      <c r="BP112" s="494"/>
      <c r="BQ112" s="494"/>
      <c r="BR112" s="494"/>
      <c r="BS112" s="494"/>
      <c r="BT112" s="494"/>
      <c r="BU112" s="494"/>
      <c r="BV112" s="494"/>
      <c r="BW112" s="494"/>
      <c r="BX112" s="494"/>
      <c r="BY112" s="494"/>
      <c r="BZ112" s="494"/>
      <c r="CA112" s="494"/>
      <c r="CB112" s="494"/>
      <c r="CC112" s="494"/>
      <c r="CD112" s="494"/>
      <c r="CE112" s="494"/>
      <c r="CF112" s="494"/>
      <c r="CG112" s="494"/>
      <c r="CM112" s="197"/>
      <c r="CN112" s="197"/>
      <c r="CU112" s="137"/>
    </row>
    <row r="113" spans="4:99">
      <c r="D113" s="53"/>
      <c r="I113" s="53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  <c r="AA113" s="268"/>
      <c r="AB113" s="268"/>
      <c r="AC113" s="268"/>
      <c r="AD113" s="268"/>
      <c r="AE113" s="268"/>
      <c r="AF113" s="268"/>
      <c r="AG113" s="268"/>
      <c r="AH113" s="268"/>
      <c r="AI113" s="268"/>
      <c r="AJ113" s="268"/>
      <c r="AK113" s="268"/>
      <c r="AL113" s="268"/>
      <c r="AM113" s="268"/>
      <c r="AN113" s="268"/>
      <c r="AO113" s="268"/>
      <c r="AP113" s="268"/>
      <c r="AQ113" s="268"/>
      <c r="AR113" s="268"/>
      <c r="AS113" s="268"/>
      <c r="AT113" s="268"/>
      <c r="AU113" s="268"/>
      <c r="AV113" s="268"/>
      <c r="AW113" s="268"/>
      <c r="AX113" s="268"/>
      <c r="AY113" s="268"/>
      <c r="AZ113" s="268"/>
      <c r="BA113" s="268"/>
      <c r="BB113" s="268"/>
      <c r="BC113" s="268"/>
      <c r="BD113" s="268"/>
      <c r="BE113" s="268"/>
      <c r="BF113" s="268"/>
      <c r="BG113" s="268"/>
      <c r="BH113" s="268"/>
      <c r="BI113" s="268"/>
      <c r="BJ113" s="494"/>
      <c r="BK113" s="494"/>
      <c r="BL113" s="494"/>
      <c r="BM113" s="494"/>
      <c r="BN113" s="494"/>
      <c r="BO113" s="494"/>
      <c r="BP113" s="494"/>
      <c r="BQ113" s="494"/>
      <c r="BR113" s="494"/>
      <c r="BS113" s="494"/>
      <c r="BT113" s="494"/>
      <c r="BU113" s="494"/>
      <c r="BV113" s="494"/>
      <c r="BW113" s="494"/>
      <c r="BX113" s="494"/>
      <c r="BY113" s="494"/>
      <c r="BZ113" s="494"/>
      <c r="CA113" s="494"/>
      <c r="CB113" s="494"/>
      <c r="CC113" s="494"/>
      <c r="CD113" s="494"/>
      <c r="CE113" s="494"/>
      <c r="CF113" s="494"/>
      <c r="CG113" s="494"/>
      <c r="CM113" s="197"/>
      <c r="CN113" s="197"/>
      <c r="CU113" s="137"/>
    </row>
    <row r="114" spans="4:99">
      <c r="D114" s="53"/>
      <c r="I114" s="53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8"/>
      <c r="AE114" s="268"/>
      <c r="AF114" s="268"/>
      <c r="AG114" s="268"/>
      <c r="AH114" s="268"/>
      <c r="AI114" s="268"/>
      <c r="AJ114" s="268"/>
      <c r="AK114" s="268"/>
      <c r="AL114" s="268"/>
      <c r="AM114" s="268"/>
      <c r="AN114" s="268"/>
      <c r="AO114" s="268"/>
      <c r="AP114" s="268"/>
      <c r="AQ114" s="268"/>
      <c r="AR114" s="268"/>
      <c r="AS114" s="268"/>
      <c r="AT114" s="268"/>
      <c r="AU114" s="268"/>
      <c r="AV114" s="268"/>
      <c r="AW114" s="268"/>
      <c r="AX114" s="268"/>
      <c r="AY114" s="268"/>
      <c r="AZ114" s="268"/>
      <c r="BA114" s="268"/>
      <c r="BB114" s="268"/>
      <c r="BC114" s="268"/>
      <c r="BD114" s="268"/>
      <c r="BE114" s="268"/>
      <c r="BF114" s="268"/>
      <c r="BG114" s="268"/>
      <c r="BH114" s="268"/>
      <c r="BI114" s="268"/>
      <c r="BJ114" s="494"/>
      <c r="BK114" s="494"/>
      <c r="BL114" s="494"/>
      <c r="BM114" s="494"/>
      <c r="BN114" s="494"/>
      <c r="BO114" s="494"/>
      <c r="BP114" s="494"/>
      <c r="BQ114" s="494"/>
      <c r="BR114" s="494"/>
      <c r="BS114" s="494"/>
      <c r="BT114" s="494"/>
      <c r="BU114" s="494"/>
      <c r="BV114" s="494"/>
      <c r="BW114" s="494"/>
      <c r="BX114" s="494"/>
      <c r="BY114" s="494"/>
      <c r="BZ114" s="494"/>
      <c r="CA114" s="494"/>
      <c r="CB114" s="494"/>
      <c r="CC114" s="494"/>
      <c r="CD114" s="494"/>
      <c r="CE114" s="494"/>
      <c r="CF114" s="494"/>
      <c r="CG114" s="494"/>
      <c r="CM114" s="197"/>
      <c r="CN114" s="197"/>
      <c r="CU114" s="137"/>
    </row>
    <row r="115" spans="4:99">
      <c r="D115" s="53"/>
      <c r="I115" s="53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268"/>
      <c r="AE115" s="268"/>
      <c r="AF115" s="268"/>
      <c r="AG115" s="268"/>
      <c r="AH115" s="268"/>
      <c r="AI115" s="268"/>
      <c r="AJ115" s="268"/>
      <c r="AK115" s="268"/>
      <c r="AL115" s="268"/>
      <c r="AM115" s="268"/>
      <c r="AN115" s="268"/>
      <c r="AO115" s="268"/>
      <c r="AP115" s="268"/>
      <c r="AQ115" s="268"/>
      <c r="AR115" s="268"/>
      <c r="AS115" s="268"/>
      <c r="AT115" s="268"/>
      <c r="AU115" s="268"/>
      <c r="AV115" s="268"/>
      <c r="AW115" s="268"/>
      <c r="AX115" s="268"/>
      <c r="AY115" s="268"/>
      <c r="AZ115" s="268"/>
      <c r="BA115" s="268"/>
      <c r="BB115" s="268"/>
      <c r="BC115" s="268"/>
      <c r="BD115" s="268"/>
      <c r="BE115" s="268"/>
      <c r="BF115" s="268"/>
      <c r="BG115" s="268"/>
      <c r="BH115" s="268"/>
      <c r="BI115" s="268"/>
      <c r="BJ115" s="494"/>
      <c r="BK115" s="494"/>
      <c r="BL115" s="494"/>
      <c r="BM115" s="494"/>
      <c r="BN115" s="494"/>
      <c r="BO115" s="494"/>
      <c r="BP115" s="494"/>
      <c r="BQ115" s="494"/>
      <c r="BR115" s="494"/>
      <c r="BS115" s="494"/>
      <c r="BT115" s="494"/>
      <c r="BU115" s="494"/>
      <c r="BV115" s="494"/>
      <c r="BW115" s="494"/>
      <c r="BX115" s="494"/>
      <c r="BY115" s="494"/>
      <c r="BZ115" s="494"/>
      <c r="CA115" s="494"/>
      <c r="CB115" s="494"/>
      <c r="CC115" s="494"/>
      <c r="CD115" s="494"/>
      <c r="CE115" s="494"/>
      <c r="CF115" s="494"/>
      <c r="CG115" s="494"/>
      <c r="CM115" s="197"/>
      <c r="CN115" s="197"/>
      <c r="CU115" s="137"/>
    </row>
    <row r="116" spans="4:99">
      <c r="D116" s="53"/>
      <c r="I116" s="53"/>
      <c r="N116" s="268"/>
      <c r="O116" s="268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/>
      <c r="Z116" s="268"/>
      <c r="AA116" s="268"/>
      <c r="AB116" s="268"/>
      <c r="AC116" s="268"/>
      <c r="AD116" s="268"/>
      <c r="AE116" s="268"/>
      <c r="AF116" s="268"/>
      <c r="AG116" s="268"/>
      <c r="AH116" s="268"/>
      <c r="AI116" s="268"/>
      <c r="AJ116" s="268"/>
      <c r="AK116" s="268"/>
      <c r="AL116" s="268"/>
      <c r="AM116" s="268"/>
      <c r="AN116" s="268"/>
      <c r="AO116" s="268"/>
      <c r="AP116" s="268"/>
      <c r="AQ116" s="268"/>
      <c r="AR116" s="268"/>
      <c r="AS116" s="268"/>
      <c r="AT116" s="268"/>
      <c r="AU116" s="268"/>
      <c r="AV116" s="268"/>
      <c r="AW116" s="268"/>
      <c r="AX116" s="268"/>
      <c r="AY116" s="268"/>
      <c r="AZ116" s="268"/>
      <c r="BA116" s="268"/>
      <c r="BB116" s="268"/>
      <c r="BC116" s="268"/>
      <c r="BD116" s="268"/>
      <c r="BE116" s="268"/>
      <c r="BF116" s="268"/>
      <c r="BG116" s="268"/>
      <c r="BH116" s="268"/>
      <c r="BI116" s="268"/>
      <c r="BJ116" s="494"/>
      <c r="BK116" s="494"/>
      <c r="BL116" s="494"/>
      <c r="BM116" s="494"/>
      <c r="BN116" s="494"/>
      <c r="BO116" s="494"/>
      <c r="BP116" s="494"/>
      <c r="BQ116" s="494"/>
      <c r="BR116" s="494"/>
      <c r="BS116" s="494"/>
      <c r="BT116" s="494"/>
      <c r="BU116" s="494"/>
      <c r="BV116" s="494"/>
      <c r="BW116" s="494"/>
      <c r="BX116" s="494"/>
      <c r="BY116" s="494"/>
      <c r="BZ116" s="494"/>
      <c r="CA116" s="494"/>
      <c r="CB116" s="494"/>
      <c r="CC116" s="494"/>
      <c r="CD116" s="494"/>
      <c r="CE116" s="494"/>
      <c r="CF116" s="494"/>
      <c r="CG116" s="494"/>
      <c r="CM116" s="197"/>
      <c r="CN116" s="197"/>
      <c r="CU116" s="137"/>
    </row>
    <row r="117" spans="4:99">
      <c r="D117" s="53"/>
      <c r="I117" s="53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  <c r="AA117" s="268"/>
      <c r="AB117" s="268"/>
      <c r="AC117" s="268"/>
      <c r="AD117" s="268"/>
      <c r="AE117" s="268"/>
      <c r="AF117" s="268"/>
      <c r="AG117" s="268"/>
      <c r="AH117" s="268"/>
      <c r="AI117" s="268"/>
      <c r="AJ117" s="268"/>
      <c r="AK117" s="268"/>
      <c r="AL117" s="268"/>
      <c r="AM117" s="268"/>
      <c r="AN117" s="268"/>
      <c r="AO117" s="268"/>
      <c r="AP117" s="268"/>
      <c r="AQ117" s="268"/>
      <c r="AR117" s="268"/>
      <c r="AS117" s="268"/>
      <c r="AT117" s="268"/>
      <c r="AU117" s="268"/>
      <c r="AV117" s="268"/>
      <c r="AW117" s="268"/>
      <c r="AX117" s="268"/>
      <c r="AY117" s="268"/>
      <c r="AZ117" s="268"/>
      <c r="BA117" s="268"/>
      <c r="BB117" s="268"/>
      <c r="BC117" s="268"/>
      <c r="BD117" s="268"/>
      <c r="BE117" s="268"/>
      <c r="BF117" s="268"/>
      <c r="BG117" s="268"/>
      <c r="BH117" s="268"/>
      <c r="BI117" s="268"/>
      <c r="BJ117" s="494"/>
      <c r="BK117" s="494"/>
      <c r="BL117" s="494"/>
      <c r="BM117" s="494"/>
      <c r="BN117" s="494"/>
      <c r="BO117" s="494"/>
      <c r="BP117" s="494"/>
      <c r="BQ117" s="494"/>
      <c r="BR117" s="494"/>
      <c r="BS117" s="494"/>
      <c r="BT117" s="494"/>
      <c r="BU117" s="494"/>
      <c r="BV117" s="494"/>
      <c r="BW117" s="494"/>
      <c r="BX117" s="494"/>
      <c r="BY117" s="494"/>
      <c r="BZ117" s="494"/>
      <c r="CA117" s="494"/>
      <c r="CB117" s="494"/>
      <c r="CC117" s="494"/>
      <c r="CD117" s="494"/>
      <c r="CE117" s="494"/>
      <c r="CF117" s="494"/>
      <c r="CG117" s="494"/>
      <c r="CM117" s="197"/>
      <c r="CN117" s="197"/>
      <c r="CU117" s="137"/>
    </row>
    <row r="118" spans="4:99">
      <c r="D118" s="53"/>
      <c r="I118" s="53"/>
      <c r="N118" s="268"/>
      <c r="O118" s="268"/>
      <c r="P118" s="268"/>
      <c r="Q118" s="268"/>
      <c r="R118" s="268"/>
      <c r="S118" s="268"/>
      <c r="T118" s="268"/>
      <c r="U118" s="268"/>
      <c r="V118" s="268"/>
      <c r="W118" s="268"/>
      <c r="X118" s="268"/>
      <c r="Y118" s="268"/>
      <c r="Z118" s="268"/>
      <c r="AA118" s="268"/>
      <c r="AB118" s="268"/>
      <c r="AC118" s="268"/>
      <c r="AD118" s="268"/>
      <c r="AE118" s="268"/>
      <c r="AF118" s="268"/>
      <c r="AG118" s="268"/>
      <c r="AH118" s="268"/>
      <c r="AI118" s="268"/>
      <c r="AJ118" s="268"/>
      <c r="AK118" s="268"/>
      <c r="AL118" s="268"/>
      <c r="AM118" s="268"/>
      <c r="AN118" s="268"/>
      <c r="AO118" s="268"/>
      <c r="AP118" s="268"/>
      <c r="AQ118" s="268"/>
      <c r="AR118" s="268"/>
      <c r="AS118" s="268"/>
      <c r="AT118" s="268"/>
      <c r="AU118" s="268"/>
      <c r="AV118" s="268"/>
      <c r="AW118" s="268"/>
      <c r="AX118" s="268"/>
      <c r="AY118" s="268"/>
      <c r="AZ118" s="268"/>
      <c r="BA118" s="268"/>
      <c r="BB118" s="268"/>
      <c r="BC118" s="268"/>
      <c r="BD118" s="268"/>
      <c r="BE118" s="268"/>
      <c r="BF118" s="268"/>
      <c r="BG118" s="268"/>
      <c r="BH118" s="268"/>
      <c r="BI118" s="268"/>
      <c r="BJ118" s="494"/>
      <c r="BK118" s="494"/>
      <c r="BL118" s="494"/>
      <c r="BM118" s="494"/>
      <c r="BN118" s="494"/>
      <c r="BO118" s="494"/>
      <c r="BP118" s="494"/>
      <c r="BQ118" s="494"/>
      <c r="BR118" s="494"/>
      <c r="BS118" s="494"/>
      <c r="BT118" s="494"/>
      <c r="BU118" s="494"/>
      <c r="BV118" s="494"/>
      <c r="BW118" s="494"/>
      <c r="BX118" s="494"/>
      <c r="BY118" s="494"/>
      <c r="BZ118" s="494"/>
      <c r="CA118" s="494"/>
      <c r="CB118" s="494"/>
      <c r="CC118" s="494"/>
      <c r="CD118" s="494"/>
      <c r="CE118" s="494"/>
      <c r="CF118" s="494"/>
      <c r="CG118" s="494"/>
      <c r="CM118" s="197"/>
      <c r="CN118" s="197"/>
      <c r="CU118" s="137"/>
    </row>
    <row r="119" spans="4:99">
      <c r="D119" s="53"/>
      <c r="I119" s="53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268"/>
      <c r="AE119" s="268"/>
      <c r="AF119" s="268"/>
      <c r="AG119" s="268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8"/>
      <c r="AR119" s="268"/>
      <c r="AS119" s="268"/>
      <c r="AT119" s="268"/>
      <c r="AU119" s="268"/>
      <c r="AV119" s="268"/>
      <c r="AW119" s="268"/>
      <c r="AX119" s="268"/>
      <c r="AY119" s="268"/>
      <c r="AZ119" s="268"/>
      <c r="BA119" s="268"/>
      <c r="BB119" s="268"/>
      <c r="BC119" s="268"/>
      <c r="BD119" s="268"/>
      <c r="BE119" s="268"/>
      <c r="BF119" s="268"/>
      <c r="BG119" s="268"/>
      <c r="BH119" s="268"/>
      <c r="BI119" s="268"/>
      <c r="BJ119" s="494"/>
      <c r="BK119" s="494"/>
      <c r="BL119" s="494"/>
      <c r="BM119" s="494"/>
      <c r="BN119" s="494"/>
      <c r="BO119" s="494"/>
      <c r="BP119" s="494"/>
      <c r="BQ119" s="494"/>
      <c r="BR119" s="494"/>
      <c r="BS119" s="494"/>
      <c r="BT119" s="494"/>
      <c r="BU119" s="494"/>
      <c r="BV119" s="494"/>
      <c r="BW119" s="494"/>
      <c r="BX119" s="494"/>
      <c r="BY119" s="494"/>
      <c r="BZ119" s="494"/>
      <c r="CA119" s="494"/>
      <c r="CB119" s="494"/>
      <c r="CC119" s="494"/>
      <c r="CD119" s="494"/>
      <c r="CE119" s="494"/>
      <c r="CF119" s="494"/>
      <c r="CG119" s="494"/>
      <c r="CM119" s="197"/>
      <c r="CN119" s="197"/>
      <c r="CU119" s="137"/>
    </row>
    <row r="120" spans="4:99">
      <c r="D120" s="53"/>
      <c r="I120" s="53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268"/>
      <c r="AE120" s="268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8"/>
      <c r="AR120" s="268"/>
      <c r="AS120" s="268"/>
      <c r="AT120" s="268"/>
      <c r="AU120" s="268"/>
      <c r="AV120" s="268"/>
      <c r="AW120" s="268"/>
      <c r="AX120" s="268"/>
      <c r="AY120" s="268"/>
      <c r="AZ120" s="268"/>
      <c r="BA120" s="268"/>
      <c r="BB120" s="268"/>
      <c r="BC120" s="268"/>
      <c r="BD120" s="268"/>
      <c r="BE120" s="268"/>
      <c r="BF120" s="268"/>
      <c r="BG120" s="268"/>
      <c r="BH120" s="268"/>
      <c r="BI120" s="268"/>
      <c r="BJ120" s="494"/>
      <c r="BK120" s="494"/>
      <c r="BL120" s="494"/>
      <c r="BM120" s="494"/>
      <c r="BN120" s="494"/>
      <c r="BO120" s="494"/>
      <c r="BP120" s="494"/>
      <c r="BQ120" s="494"/>
      <c r="BR120" s="494"/>
      <c r="BS120" s="494"/>
      <c r="BT120" s="494"/>
      <c r="BU120" s="494"/>
      <c r="BV120" s="494"/>
      <c r="BW120" s="494"/>
      <c r="BX120" s="494"/>
      <c r="BY120" s="494"/>
      <c r="BZ120" s="494"/>
      <c r="CA120" s="494"/>
      <c r="CB120" s="494"/>
      <c r="CC120" s="494"/>
      <c r="CD120" s="494"/>
      <c r="CE120" s="494"/>
      <c r="CF120" s="494"/>
      <c r="CG120" s="494"/>
      <c r="CM120" s="197"/>
      <c r="CN120" s="197"/>
      <c r="CU120" s="137"/>
    </row>
    <row r="121" spans="4:99">
      <c r="D121" s="53"/>
      <c r="I121" s="53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  <c r="X121" s="268"/>
      <c r="Y121" s="268"/>
      <c r="Z121" s="268"/>
      <c r="AA121" s="268"/>
      <c r="AB121" s="268"/>
      <c r="AC121" s="268"/>
      <c r="AD121" s="268"/>
      <c r="AE121" s="268"/>
      <c r="AF121" s="268"/>
      <c r="AG121" s="268"/>
      <c r="AH121" s="268"/>
      <c r="AI121" s="268"/>
      <c r="AJ121" s="268"/>
      <c r="AK121" s="268"/>
      <c r="AL121" s="268"/>
      <c r="AM121" s="268"/>
      <c r="AN121" s="268"/>
      <c r="AO121" s="268"/>
      <c r="AP121" s="268"/>
      <c r="AQ121" s="268"/>
      <c r="AR121" s="268"/>
      <c r="AS121" s="268"/>
      <c r="AT121" s="268"/>
      <c r="AU121" s="268"/>
      <c r="AV121" s="268"/>
      <c r="AW121" s="268"/>
      <c r="AX121" s="268"/>
      <c r="AY121" s="268"/>
      <c r="AZ121" s="268"/>
      <c r="BA121" s="268"/>
      <c r="BB121" s="268"/>
      <c r="BC121" s="268"/>
      <c r="BD121" s="268"/>
      <c r="BE121" s="268"/>
      <c r="BF121" s="268"/>
      <c r="BG121" s="268"/>
      <c r="BH121" s="268"/>
      <c r="BI121" s="268"/>
      <c r="BJ121" s="494"/>
      <c r="BK121" s="494"/>
      <c r="BL121" s="494"/>
      <c r="BM121" s="494"/>
      <c r="BN121" s="494"/>
      <c r="BO121" s="494"/>
      <c r="BP121" s="494"/>
      <c r="BQ121" s="494"/>
      <c r="BR121" s="494"/>
      <c r="BS121" s="494"/>
      <c r="BT121" s="494"/>
      <c r="BU121" s="494"/>
      <c r="BV121" s="494"/>
      <c r="BW121" s="494"/>
      <c r="BX121" s="494"/>
      <c r="BY121" s="494"/>
      <c r="BZ121" s="494"/>
      <c r="CA121" s="494"/>
      <c r="CB121" s="494"/>
      <c r="CC121" s="494"/>
      <c r="CD121" s="494"/>
      <c r="CE121" s="494"/>
      <c r="CF121" s="494"/>
      <c r="CG121" s="494"/>
      <c r="CM121" s="197"/>
      <c r="CN121" s="197"/>
      <c r="CU121" s="137"/>
    </row>
    <row r="122" spans="4:99">
      <c r="D122" s="53"/>
      <c r="I122" s="53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  <c r="X122" s="268"/>
      <c r="Y122" s="268"/>
      <c r="Z122" s="268"/>
      <c r="AA122" s="268"/>
      <c r="AB122" s="268"/>
      <c r="AC122" s="268"/>
      <c r="AD122" s="268"/>
      <c r="AE122" s="268"/>
      <c r="AF122" s="268"/>
      <c r="AG122" s="268"/>
      <c r="AH122" s="268"/>
      <c r="AI122" s="268"/>
      <c r="AJ122" s="268"/>
      <c r="AK122" s="268"/>
      <c r="AL122" s="268"/>
      <c r="AM122" s="268"/>
      <c r="AN122" s="268"/>
      <c r="AO122" s="268"/>
      <c r="AP122" s="268"/>
      <c r="AQ122" s="268"/>
      <c r="AR122" s="268"/>
      <c r="AS122" s="268"/>
      <c r="AT122" s="268"/>
      <c r="AU122" s="268"/>
      <c r="AV122" s="268"/>
      <c r="AW122" s="268"/>
      <c r="AX122" s="268"/>
      <c r="AY122" s="268"/>
      <c r="AZ122" s="268"/>
      <c r="BA122" s="268"/>
      <c r="BB122" s="268"/>
      <c r="BC122" s="268"/>
      <c r="BD122" s="268"/>
      <c r="BE122" s="268"/>
      <c r="BF122" s="268"/>
      <c r="BG122" s="268"/>
      <c r="BH122" s="268"/>
      <c r="BI122" s="268"/>
      <c r="BJ122" s="494"/>
      <c r="BK122" s="494"/>
      <c r="BL122" s="494"/>
      <c r="BM122" s="494"/>
      <c r="BN122" s="494"/>
      <c r="BO122" s="494"/>
      <c r="BP122" s="494"/>
      <c r="BQ122" s="494"/>
      <c r="BR122" s="494"/>
      <c r="BS122" s="494"/>
      <c r="BT122" s="494"/>
      <c r="BU122" s="494"/>
      <c r="BV122" s="494"/>
      <c r="BW122" s="494"/>
      <c r="BX122" s="494"/>
      <c r="BY122" s="494"/>
      <c r="BZ122" s="494"/>
      <c r="CA122" s="494"/>
      <c r="CB122" s="494"/>
      <c r="CC122" s="494"/>
      <c r="CD122" s="494"/>
      <c r="CE122" s="494"/>
      <c r="CF122" s="494"/>
      <c r="CG122" s="494"/>
      <c r="CM122" s="197"/>
      <c r="CN122" s="197"/>
      <c r="CU122" s="137"/>
    </row>
    <row r="123" spans="4:99">
      <c r="D123" s="53"/>
      <c r="I123" s="53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68"/>
      <c r="AH123" s="268"/>
      <c r="AI123" s="268"/>
      <c r="AJ123" s="268"/>
      <c r="AK123" s="268"/>
      <c r="AL123" s="268"/>
      <c r="AM123" s="268"/>
      <c r="AN123" s="268"/>
      <c r="AO123" s="268"/>
      <c r="AP123" s="268"/>
      <c r="AQ123" s="268"/>
      <c r="AR123" s="268"/>
      <c r="AS123" s="268"/>
      <c r="AT123" s="268"/>
      <c r="AU123" s="268"/>
      <c r="AV123" s="268"/>
      <c r="AW123" s="268"/>
      <c r="AX123" s="268"/>
      <c r="AY123" s="268"/>
      <c r="AZ123" s="268"/>
      <c r="BA123" s="268"/>
      <c r="BB123" s="268"/>
      <c r="BC123" s="268"/>
      <c r="BD123" s="268"/>
      <c r="BE123" s="268"/>
      <c r="BF123" s="268"/>
      <c r="BG123" s="268"/>
      <c r="BH123" s="268"/>
      <c r="BI123" s="268"/>
      <c r="BJ123" s="494"/>
      <c r="BK123" s="494"/>
      <c r="BL123" s="494"/>
      <c r="BM123" s="494"/>
      <c r="BN123" s="494"/>
      <c r="BO123" s="494"/>
      <c r="BP123" s="494"/>
      <c r="BQ123" s="494"/>
      <c r="BR123" s="494"/>
      <c r="BS123" s="494"/>
      <c r="BT123" s="494"/>
      <c r="BU123" s="494"/>
      <c r="BV123" s="494"/>
      <c r="BW123" s="494"/>
      <c r="BX123" s="494"/>
      <c r="BY123" s="494"/>
      <c r="BZ123" s="494"/>
      <c r="CA123" s="494"/>
      <c r="CB123" s="494"/>
      <c r="CC123" s="494"/>
      <c r="CD123" s="494"/>
      <c r="CE123" s="494"/>
      <c r="CF123" s="494"/>
      <c r="CG123" s="494"/>
      <c r="CM123" s="197"/>
      <c r="CN123" s="197"/>
      <c r="CU123" s="137"/>
    </row>
    <row r="124" spans="4:99">
      <c r="D124" s="53"/>
      <c r="I124" s="53"/>
      <c r="N124" s="268"/>
      <c r="O124" s="268"/>
      <c r="P124" s="268"/>
      <c r="Q124" s="268"/>
      <c r="R124" s="268"/>
      <c r="S124" s="268"/>
      <c r="T124" s="268"/>
      <c r="U124" s="268"/>
      <c r="V124" s="268"/>
      <c r="W124" s="268"/>
      <c r="X124" s="268"/>
      <c r="Y124" s="268"/>
      <c r="Z124" s="268"/>
      <c r="AA124" s="268"/>
      <c r="AB124" s="268"/>
      <c r="AC124" s="268"/>
      <c r="AD124" s="268"/>
      <c r="AE124" s="268"/>
      <c r="AF124" s="268"/>
      <c r="AG124" s="268"/>
      <c r="AH124" s="268"/>
      <c r="AI124" s="268"/>
      <c r="AJ124" s="268"/>
      <c r="AK124" s="268"/>
      <c r="AL124" s="268"/>
      <c r="AM124" s="268"/>
      <c r="AN124" s="268"/>
      <c r="AO124" s="268"/>
      <c r="AP124" s="268"/>
      <c r="AQ124" s="268"/>
      <c r="AR124" s="268"/>
      <c r="AS124" s="268"/>
      <c r="AT124" s="268"/>
      <c r="AU124" s="268"/>
      <c r="AV124" s="268"/>
      <c r="AW124" s="268"/>
      <c r="AX124" s="268"/>
      <c r="AY124" s="268"/>
      <c r="AZ124" s="268"/>
      <c r="BA124" s="268"/>
      <c r="BB124" s="268"/>
      <c r="BC124" s="268"/>
      <c r="BD124" s="268"/>
      <c r="BE124" s="268"/>
      <c r="BF124" s="268"/>
      <c r="BG124" s="268"/>
      <c r="BH124" s="268"/>
      <c r="BI124" s="268"/>
      <c r="BJ124" s="494"/>
      <c r="BK124" s="494"/>
      <c r="BL124" s="494"/>
      <c r="BM124" s="494"/>
      <c r="BN124" s="494"/>
      <c r="BO124" s="494"/>
      <c r="BP124" s="494"/>
      <c r="BQ124" s="494"/>
      <c r="BR124" s="494"/>
      <c r="BS124" s="494"/>
      <c r="BT124" s="494"/>
      <c r="BU124" s="494"/>
      <c r="BV124" s="494"/>
      <c r="BW124" s="494"/>
      <c r="BX124" s="494"/>
      <c r="BY124" s="494"/>
      <c r="BZ124" s="494"/>
      <c r="CA124" s="494"/>
      <c r="CB124" s="494"/>
      <c r="CC124" s="494"/>
      <c r="CD124" s="494"/>
      <c r="CE124" s="494"/>
      <c r="CF124" s="494"/>
      <c r="CG124" s="494"/>
      <c r="CM124" s="197"/>
      <c r="CN124" s="197"/>
      <c r="CU124" s="137"/>
    </row>
    <row r="125" spans="4:99">
      <c r="D125" s="53"/>
      <c r="I125" s="53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/>
      <c r="AD125" s="268"/>
      <c r="AE125" s="268"/>
      <c r="AF125" s="268"/>
      <c r="AG125" s="268"/>
      <c r="AH125" s="268"/>
      <c r="AI125" s="268"/>
      <c r="AJ125" s="268"/>
      <c r="AK125" s="268"/>
      <c r="AL125" s="268"/>
      <c r="AM125" s="268"/>
      <c r="AN125" s="268"/>
      <c r="AO125" s="268"/>
      <c r="AP125" s="268"/>
      <c r="AQ125" s="268"/>
      <c r="AR125" s="268"/>
      <c r="AS125" s="268"/>
      <c r="AT125" s="268"/>
      <c r="AU125" s="268"/>
      <c r="AV125" s="268"/>
      <c r="AW125" s="268"/>
      <c r="AX125" s="268"/>
      <c r="AY125" s="268"/>
      <c r="AZ125" s="268"/>
      <c r="BA125" s="268"/>
      <c r="BB125" s="268"/>
      <c r="BC125" s="268"/>
      <c r="BD125" s="268"/>
      <c r="BE125" s="268"/>
      <c r="BF125" s="268"/>
      <c r="BG125" s="268"/>
      <c r="BH125" s="268"/>
      <c r="BI125" s="268"/>
      <c r="BJ125" s="494"/>
      <c r="BK125" s="494"/>
      <c r="BL125" s="494"/>
      <c r="BM125" s="494"/>
      <c r="BN125" s="494"/>
      <c r="BO125" s="494"/>
      <c r="BP125" s="494"/>
      <c r="BQ125" s="494"/>
      <c r="BR125" s="494"/>
      <c r="BS125" s="494"/>
      <c r="BT125" s="494"/>
      <c r="BU125" s="494"/>
      <c r="BV125" s="494"/>
      <c r="BW125" s="494"/>
      <c r="BX125" s="494"/>
      <c r="BY125" s="494"/>
      <c r="BZ125" s="494"/>
      <c r="CA125" s="494"/>
      <c r="CB125" s="494"/>
      <c r="CC125" s="494"/>
      <c r="CD125" s="494"/>
      <c r="CE125" s="494"/>
      <c r="CF125" s="494"/>
      <c r="CG125" s="494"/>
      <c r="CM125" s="197"/>
      <c r="CN125" s="197"/>
      <c r="CU125" s="137"/>
    </row>
    <row r="126" spans="4:99">
      <c r="D126" s="53"/>
      <c r="I126" s="53"/>
      <c r="N126" s="268"/>
      <c r="O126" s="268"/>
      <c r="P126" s="268"/>
      <c r="Q126" s="268"/>
      <c r="R126" s="268"/>
      <c r="S126" s="268"/>
      <c r="T126" s="268"/>
      <c r="U126" s="268"/>
      <c r="V126" s="268"/>
      <c r="W126" s="268"/>
      <c r="X126" s="268"/>
      <c r="Y126" s="268"/>
      <c r="Z126" s="268"/>
      <c r="AA126" s="268"/>
      <c r="AB126" s="268"/>
      <c r="AC126" s="268"/>
      <c r="AD126" s="268"/>
      <c r="AE126" s="268"/>
      <c r="AF126" s="268"/>
      <c r="AG126" s="268"/>
      <c r="AH126" s="268"/>
      <c r="AI126" s="268"/>
      <c r="AJ126" s="268"/>
      <c r="AK126" s="268"/>
      <c r="AL126" s="268"/>
      <c r="AM126" s="268"/>
      <c r="AN126" s="268"/>
      <c r="AO126" s="268"/>
      <c r="AP126" s="268"/>
      <c r="AQ126" s="268"/>
      <c r="AR126" s="268"/>
      <c r="AS126" s="268"/>
      <c r="AT126" s="268"/>
      <c r="AU126" s="268"/>
      <c r="AV126" s="268"/>
      <c r="AW126" s="268"/>
      <c r="AX126" s="268"/>
      <c r="AY126" s="268"/>
      <c r="AZ126" s="268"/>
      <c r="BA126" s="268"/>
      <c r="BB126" s="268"/>
      <c r="BC126" s="268"/>
      <c r="BD126" s="268"/>
      <c r="BE126" s="268"/>
      <c r="BF126" s="268"/>
      <c r="BG126" s="268"/>
      <c r="BH126" s="268"/>
      <c r="BI126" s="268"/>
      <c r="BJ126" s="494"/>
      <c r="BK126" s="494"/>
      <c r="BL126" s="494"/>
      <c r="BM126" s="494"/>
      <c r="BN126" s="494"/>
      <c r="BO126" s="494"/>
      <c r="BP126" s="494"/>
      <c r="BQ126" s="494"/>
      <c r="BR126" s="494"/>
      <c r="BS126" s="494"/>
      <c r="BT126" s="494"/>
      <c r="BU126" s="494"/>
      <c r="BV126" s="494"/>
      <c r="BW126" s="494"/>
      <c r="BX126" s="494"/>
      <c r="BY126" s="494"/>
      <c r="BZ126" s="494"/>
      <c r="CA126" s="494"/>
      <c r="CB126" s="494"/>
      <c r="CC126" s="494"/>
      <c r="CD126" s="494"/>
      <c r="CE126" s="494"/>
      <c r="CF126" s="494"/>
      <c r="CG126" s="494"/>
      <c r="CM126" s="197"/>
      <c r="CN126" s="197"/>
      <c r="CU126" s="137"/>
    </row>
    <row r="127" spans="4:99">
      <c r="D127" s="53"/>
      <c r="I127" s="53"/>
      <c r="N127" s="268"/>
      <c r="O127" s="268"/>
      <c r="P127" s="268"/>
      <c r="Q127" s="268"/>
      <c r="R127" s="268"/>
      <c r="S127" s="268"/>
      <c r="T127" s="268"/>
      <c r="U127" s="268"/>
      <c r="V127" s="268"/>
      <c r="W127" s="268"/>
      <c r="X127" s="268"/>
      <c r="Y127" s="268"/>
      <c r="Z127" s="268"/>
      <c r="AA127" s="268"/>
      <c r="AB127" s="268"/>
      <c r="AC127" s="268"/>
      <c r="AD127" s="268"/>
      <c r="AE127" s="268"/>
      <c r="AF127" s="268"/>
      <c r="AG127" s="268"/>
      <c r="AH127" s="268"/>
      <c r="AI127" s="268"/>
      <c r="AJ127" s="268"/>
      <c r="AK127" s="268"/>
      <c r="AL127" s="268"/>
      <c r="AM127" s="268"/>
      <c r="AN127" s="268"/>
      <c r="AO127" s="268"/>
      <c r="AP127" s="268"/>
      <c r="AQ127" s="268"/>
      <c r="AR127" s="268"/>
      <c r="AS127" s="268"/>
      <c r="AT127" s="268"/>
      <c r="AU127" s="268"/>
      <c r="AV127" s="268"/>
      <c r="AW127" s="268"/>
      <c r="AX127" s="268"/>
      <c r="AY127" s="268"/>
      <c r="AZ127" s="268"/>
      <c r="BA127" s="268"/>
      <c r="BB127" s="268"/>
      <c r="BC127" s="268"/>
      <c r="BD127" s="268"/>
      <c r="BE127" s="268"/>
      <c r="BF127" s="268"/>
      <c r="BG127" s="268"/>
      <c r="BH127" s="268"/>
      <c r="BI127" s="268"/>
      <c r="BJ127" s="494"/>
      <c r="BK127" s="494"/>
      <c r="BL127" s="494"/>
      <c r="BM127" s="494"/>
      <c r="BN127" s="494"/>
      <c r="BO127" s="494"/>
      <c r="BP127" s="494"/>
      <c r="BQ127" s="494"/>
      <c r="BR127" s="494"/>
      <c r="BS127" s="494"/>
      <c r="BT127" s="494"/>
      <c r="BU127" s="494"/>
      <c r="BV127" s="494"/>
      <c r="BW127" s="494"/>
      <c r="BX127" s="494"/>
      <c r="BY127" s="494"/>
      <c r="BZ127" s="494"/>
      <c r="CA127" s="494"/>
      <c r="CB127" s="494"/>
      <c r="CC127" s="494"/>
      <c r="CD127" s="494"/>
      <c r="CE127" s="494"/>
      <c r="CF127" s="494"/>
      <c r="CG127" s="494"/>
      <c r="CM127" s="197"/>
      <c r="CN127" s="197"/>
      <c r="CU127" s="137"/>
    </row>
    <row r="128" spans="4:99">
      <c r="D128" s="53"/>
      <c r="I128" s="53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268"/>
      <c r="AA128" s="268"/>
      <c r="AB128" s="268"/>
      <c r="AC128" s="268"/>
      <c r="AD128" s="268"/>
      <c r="AE128" s="268"/>
      <c r="AF128" s="268"/>
      <c r="AG128" s="268"/>
      <c r="AH128" s="268"/>
      <c r="AI128" s="268"/>
      <c r="AJ128" s="268"/>
      <c r="AK128" s="268"/>
      <c r="AL128" s="268"/>
      <c r="AM128" s="268"/>
      <c r="AN128" s="268"/>
      <c r="AO128" s="268"/>
      <c r="AP128" s="268"/>
      <c r="AQ128" s="268"/>
      <c r="AR128" s="268"/>
      <c r="AS128" s="268"/>
      <c r="AT128" s="268"/>
      <c r="AU128" s="268"/>
      <c r="AV128" s="268"/>
      <c r="AW128" s="268"/>
      <c r="AX128" s="268"/>
      <c r="AY128" s="268"/>
      <c r="AZ128" s="268"/>
      <c r="BA128" s="268"/>
      <c r="BB128" s="268"/>
      <c r="BC128" s="268"/>
      <c r="BD128" s="268"/>
      <c r="BE128" s="268"/>
      <c r="BF128" s="268"/>
      <c r="BG128" s="268"/>
      <c r="BH128" s="268"/>
      <c r="BI128" s="268"/>
      <c r="BJ128" s="494"/>
      <c r="BK128" s="494"/>
      <c r="BL128" s="494"/>
      <c r="BM128" s="494"/>
      <c r="BN128" s="494"/>
      <c r="BO128" s="494"/>
      <c r="BP128" s="494"/>
      <c r="BQ128" s="494"/>
      <c r="BR128" s="494"/>
      <c r="BS128" s="494"/>
      <c r="BT128" s="494"/>
      <c r="BU128" s="494"/>
      <c r="BV128" s="494"/>
      <c r="BW128" s="494"/>
      <c r="BX128" s="494"/>
      <c r="BY128" s="494"/>
      <c r="BZ128" s="494"/>
      <c r="CA128" s="494"/>
      <c r="CB128" s="494"/>
      <c r="CC128" s="494"/>
      <c r="CD128" s="494"/>
      <c r="CE128" s="494"/>
      <c r="CF128" s="494"/>
      <c r="CG128" s="494"/>
      <c r="CM128" s="197"/>
      <c r="CN128" s="197"/>
      <c r="CU128" s="137"/>
    </row>
    <row r="129" spans="4:99">
      <c r="D129" s="53"/>
      <c r="I129" s="53"/>
      <c r="N129" s="268"/>
      <c r="O129" s="268"/>
      <c r="P129" s="268"/>
      <c r="Q129" s="268"/>
      <c r="R129" s="268"/>
      <c r="S129" s="268"/>
      <c r="T129" s="268"/>
      <c r="U129" s="268"/>
      <c r="V129" s="268"/>
      <c r="W129" s="268"/>
      <c r="X129" s="268"/>
      <c r="Y129" s="268"/>
      <c r="Z129" s="268"/>
      <c r="AA129" s="268"/>
      <c r="AB129" s="268"/>
      <c r="AC129" s="268"/>
      <c r="AD129" s="268"/>
      <c r="AE129" s="268"/>
      <c r="AF129" s="268"/>
      <c r="AG129" s="268"/>
      <c r="AH129" s="268"/>
      <c r="AI129" s="268"/>
      <c r="AJ129" s="268"/>
      <c r="AK129" s="268"/>
      <c r="AL129" s="268"/>
      <c r="AM129" s="268"/>
      <c r="AN129" s="268"/>
      <c r="AO129" s="268"/>
      <c r="AP129" s="268"/>
      <c r="AQ129" s="268"/>
      <c r="AR129" s="268"/>
      <c r="AS129" s="268"/>
      <c r="AT129" s="268"/>
      <c r="AU129" s="268"/>
      <c r="AV129" s="268"/>
      <c r="AW129" s="268"/>
      <c r="AX129" s="268"/>
      <c r="AY129" s="268"/>
      <c r="AZ129" s="268"/>
      <c r="BA129" s="268"/>
      <c r="BB129" s="268"/>
      <c r="BC129" s="268"/>
      <c r="BD129" s="268"/>
      <c r="BE129" s="268"/>
      <c r="BF129" s="268"/>
      <c r="BG129" s="268"/>
      <c r="BH129" s="268"/>
      <c r="BI129" s="268"/>
      <c r="BJ129" s="494"/>
      <c r="BK129" s="494"/>
      <c r="BL129" s="494"/>
      <c r="BM129" s="494"/>
      <c r="BN129" s="494"/>
      <c r="BO129" s="494"/>
      <c r="BP129" s="494"/>
      <c r="BQ129" s="494"/>
      <c r="BR129" s="494"/>
      <c r="BS129" s="494"/>
      <c r="BT129" s="494"/>
      <c r="BU129" s="494"/>
      <c r="BV129" s="494"/>
      <c r="BW129" s="494"/>
      <c r="BX129" s="494"/>
      <c r="BY129" s="494"/>
      <c r="BZ129" s="494"/>
      <c r="CA129" s="494"/>
      <c r="CB129" s="494"/>
      <c r="CC129" s="494"/>
      <c r="CD129" s="494"/>
      <c r="CE129" s="494"/>
      <c r="CF129" s="494"/>
      <c r="CG129" s="494"/>
      <c r="CM129" s="197"/>
      <c r="CN129" s="197"/>
      <c r="CU129" s="137"/>
    </row>
    <row r="130" spans="4:99">
      <c r="D130" s="53"/>
      <c r="I130" s="53"/>
      <c r="N130" s="268"/>
      <c r="O130" s="268"/>
      <c r="P130" s="268"/>
      <c r="Q130" s="268"/>
      <c r="R130" s="268"/>
      <c r="S130" s="268"/>
      <c r="T130" s="268"/>
      <c r="U130" s="268"/>
      <c r="V130" s="268"/>
      <c r="W130" s="268"/>
      <c r="X130" s="268"/>
      <c r="Y130" s="268"/>
      <c r="Z130" s="268"/>
      <c r="AA130" s="268"/>
      <c r="AB130" s="268"/>
      <c r="AC130" s="268"/>
      <c r="AD130" s="268"/>
      <c r="AE130" s="268"/>
      <c r="AF130" s="268"/>
      <c r="AG130" s="268"/>
      <c r="AH130" s="268"/>
      <c r="AI130" s="268"/>
      <c r="AJ130" s="268"/>
      <c r="AK130" s="268"/>
      <c r="AL130" s="268"/>
      <c r="AM130" s="268"/>
      <c r="AN130" s="268"/>
      <c r="AO130" s="268"/>
      <c r="AP130" s="268"/>
      <c r="AQ130" s="268"/>
      <c r="AR130" s="268"/>
      <c r="AS130" s="268"/>
      <c r="AT130" s="268"/>
      <c r="AU130" s="268"/>
      <c r="AV130" s="268"/>
      <c r="AW130" s="268"/>
      <c r="AX130" s="268"/>
      <c r="AY130" s="268"/>
      <c r="AZ130" s="268"/>
      <c r="BA130" s="268"/>
      <c r="BB130" s="268"/>
      <c r="BC130" s="268"/>
      <c r="BD130" s="268"/>
      <c r="BE130" s="268"/>
      <c r="BF130" s="268"/>
      <c r="BG130" s="268"/>
      <c r="BH130" s="268"/>
      <c r="BI130" s="268"/>
      <c r="BJ130" s="494"/>
      <c r="BK130" s="494"/>
      <c r="BL130" s="494"/>
      <c r="BM130" s="494"/>
      <c r="BN130" s="494"/>
      <c r="BO130" s="494"/>
      <c r="BP130" s="494"/>
      <c r="BQ130" s="494"/>
      <c r="BR130" s="494"/>
      <c r="BS130" s="494"/>
      <c r="BT130" s="494"/>
      <c r="BU130" s="494"/>
      <c r="BV130" s="494"/>
      <c r="BW130" s="494"/>
      <c r="BX130" s="494"/>
      <c r="BY130" s="494"/>
      <c r="BZ130" s="494"/>
      <c r="CA130" s="494"/>
      <c r="CB130" s="494"/>
      <c r="CC130" s="494"/>
      <c r="CD130" s="494"/>
      <c r="CE130" s="494"/>
      <c r="CF130" s="494"/>
      <c r="CG130" s="494"/>
      <c r="CM130" s="197"/>
      <c r="CN130" s="197"/>
      <c r="CU130" s="137"/>
    </row>
    <row r="131" spans="4:99">
      <c r="D131" s="53"/>
      <c r="I131" s="53"/>
      <c r="N131" s="268"/>
      <c r="O131" s="268"/>
      <c r="P131" s="268"/>
      <c r="Q131" s="268"/>
      <c r="R131" s="268"/>
      <c r="S131" s="268"/>
      <c r="T131" s="268"/>
      <c r="U131" s="268"/>
      <c r="V131" s="268"/>
      <c r="W131" s="268"/>
      <c r="X131" s="268"/>
      <c r="Y131" s="268"/>
      <c r="Z131" s="268"/>
      <c r="AA131" s="268"/>
      <c r="AB131" s="268"/>
      <c r="AC131" s="268"/>
      <c r="AD131" s="268"/>
      <c r="AE131" s="268"/>
      <c r="AF131" s="268"/>
      <c r="AG131" s="268"/>
      <c r="AH131" s="268"/>
      <c r="AI131" s="268"/>
      <c r="AJ131" s="268"/>
      <c r="AK131" s="268"/>
      <c r="AL131" s="268"/>
      <c r="AM131" s="268"/>
      <c r="AN131" s="268"/>
      <c r="AO131" s="268"/>
      <c r="AP131" s="268"/>
      <c r="AQ131" s="268"/>
      <c r="AR131" s="268"/>
      <c r="AS131" s="268"/>
      <c r="AT131" s="268"/>
      <c r="AU131" s="268"/>
      <c r="AV131" s="268"/>
      <c r="AW131" s="268"/>
      <c r="AX131" s="268"/>
      <c r="AY131" s="268"/>
      <c r="AZ131" s="268"/>
      <c r="BA131" s="268"/>
      <c r="BB131" s="268"/>
      <c r="BC131" s="268"/>
      <c r="BD131" s="268"/>
      <c r="BE131" s="268"/>
      <c r="BF131" s="268"/>
      <c r="BG131" s="268"/>
      <c r="BH131" s="268"/>
      <c r="BI131" s="268"/>
      <c r="BJ131" s="494"/>
      <c r="BK131" s="494"/>
      <c r="BL131" s="494"/>
      <c r="BM131" s="494"/>
      <c r="BN131" s="494"/>
      <c r="BO131" s="494"/>
      <c r="BP131" s="494"/>
      <c r="BQ131" s="494"/>
      <c r="BR131" s="494"/>
      <c r="BS131" s="494"/>
      <c r="BT131" s="494"/>
      <c r="BU131" s="494"/>
      <c r="BV131" s="494"/>
      <c r="BW131" s="494"/>
      <c r="BX131" s="494"/>
      <c r="BY131" s="494"/>
      <c r="BZ131" s="494"/>
      <c r="CA131" s="494"/>
      <c r="CB131" s="494"/>
      <c r="CC131" s="494"/>
      <c r="CD131" s="494"/>
      <c r="CE131" s="494"/>
      <c r="CF131" s="494"/>
      <c r="CG131" s="494"/>
      <c r="CM131" s="197"/>
      <c r="CN131" s="197"/>
      <c r="CU131" s="137"/>
    </row>
    <row r="132" spans="4:99">
      <c r="D132" s="53"/>
      <c r="I132" s="53"/>
      <c r="N132" s="268"/>
      <c r="O132" s="268"/>
      <c r="P132" s="268"/>
      <c r="Q132" s="268"/>
      <c r="R132" s="268"/>
      <c r="S132" s="268"/>
      <c r="T132" s="268"/>
      <c r="U132" s="268"/>
      <c r="V132" s="268"/>
      <c r="W132" s="268"/>
      <c r="X132" s="268"/>
      <c r="Y132" s="268"/>
      <c r="Z132" s="268"/>
      <c r="AA132" s="268"/>
      <c r="AB132" s="268"/>
      <c r="AC132" s="268"/>
      <c r="AD132" s="268"/>
      <c r="AE132" s="268"/>
      <c r="AF132" s="268"/>
      <c r="AG132" s="268"/>
      <c r="AH132" s="268"/>
      <c r="AI132" s="268"/>
      <c r="AJ132" s="268"/>
      <c r="AK132" s="268"/>
      <c r="AL132" s="268"/>
      <c r="AM132" s="268"/>
      <c r="AN132" s="268"/>
      <c r="AO132" s="268"/>
      <c r="AP132" s="268"/>
      <c r="AQ132" s="268"/>
      <c r="AR132" s="268"/>
      <c r="AS132" s="268"/>
      <c r="AT132" s="268"/>
      <c r="AU132" s="268"/>
      <c r="AV132" s="268"/>
      <c r="AW132" s="268"/>
      <c r="AX132" s="268"/>
      <c r="AY132" s="268"/>
      <c r="AZ132" s="268"/>
      <c r="BA132" s="268"/>
      <c r="BB132" s="268"/>
      <c r="BC132" s="268"/>
      <c r="BD132" s="268"/>
      <c r="BE132" s="268"/>
      <c r="BF132" s="268"/>
      <c r="BG132" s="268"/>
      <c r="BH132" s="268"/>
      <c r="BI132" s="268"/>
      <c r="BJ132" s="494"/>
      <c r="BK132" s="494"/>
      <c r="BL132" s="494"/>
      <c r="BM132" s="494"/>
      <c r="BN132" s="494"/>
      <c r="BO132" s="494"/>
      <c r="BP132" s="494"/>
      <c r="BQ132" s="494"/>
      <c r="BR132" s="494"/>
      <c r="BS132" s="494"/>
      <c r="BT132" s="494"/>
      <c r="BU132" s="494"/>
      <c r="BV132" s="494"/>
      <c r="BW132" s="494"/>
      <c r="BX132" s="494"/>
      <c r="BY132" s="494"/>
      <c r="BZ132" s="494"/>
      <c r="CA132" s="494"/>
      <c r="CB132" s="494"/>
      <c r="CC132" s="494"/>
      <c r="CD132" s="494"/>
      <c r="CE132" s="494"/>
      <c r="CF132" s="494"/>
      <c r="CG132" s="494"/>
      <c r="CM132" s="197"/>
      <c r="CN132" s="197"/>
      <c r="CU132" s="137"/>
    </row>
    <row r="133" spans="4:99">
      <c r="D133" s="53"/>
      <c r="I133" s="53"/>
      <c r="N133" s="268"/>
      <c r="O133" s="268"/>
      <c r="P133" s="268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8"/>
      <c r="AL133" s="268"/>
      <c r="AM133" s="268"/>
      <c r="AN133" s="268"/>
      <c r="AO133" s="268"/>
      <c r="AP133" s="268"/>
      <c r="AQ133" s="268"/>
      <c r="AR133" s="268"/>
      <c r="AS133" s="268"/>
      <c r="AT133" s="268"/>
      <c r="AU133" s="268"/>
      <c r="AV133" s="268"/>
      <c r="AW133" s="268"/>
      <c r="AX133" s="268"/>
      <c r="AY133" s="268"/>
      <c r="AZ133" s="268"/>
      <c r="BA133" s="268"/>
      <c r="BB133" s="268"/>
      <c r="BC133" s="268"/>
      <c r="BD133" s="268"/>
      <c r="BE133" s="268"/>
      <c r="BF133" s="268"/>
      <c r="BG133" s="268"/>
      <c r="BH133" s="268"/>
      <c r="BI133" s="268"/>
      <c r="BJ133" s="494"/>
      <c r="BK133" s="494"/>
      <c r="BL133" s="494"/>
      <c r="BM133" s="494"/>
      <c r="BN133" s="494"/>
      <c r="BO133" s="494"/>
      <c r="BP133" s="494"/>
      <c r="BQ133" s="494"/>
      <c r="BR133" s="494"/>
      <c r="BS133" s="494"/>
      <c r="BT133" s="494"/>
      <c r="BU133" s="494"/>
      <c r="BV133" s="494"/>
      <c r="BW133" s="494"/>
      <c r="BX133" s="494"/>
      <c r="BY133" s="494"/>
      <c r="BZ133" s="494"/>
      <c r="CA133" s="494"/>
      <c r="CB133" s="494"/>
      <c r="CC133" s="494"/>
      <c r="CD133" s="494"/>
      <c r="CE133" s="494"/>
      <c r="CF133" s="494"/>
      <c r="CG133" s="494"/>
      <c r="CM133" s="197"/>
      <c r="CN133" s="197"/>
      <c r="CU133" s="137"/>
    </row>
    <row r="134" spans="4:99">
      <c r="D134" s="53"/>
      <c r="I134" s="53"/>
      <c r="N134" s="268"/>
      <c r="O134" s="268"/>
      <c r="P134" s="268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268"/>
      <c r="AP134" s="268"/>
      <c r="AQ134" s="268"/>
      <c r="AR134" s="268"/>
      <c r="AS134" s="268"/>
      <c r="AT134" s="268"/>
      <c r="AU134" s="268"/>
      <c r="AV134" s="268"/>
      <c r="AW134" s="268"/>
      <c r="AX134" s="268"/>
      <c r="AY134" s="268"/>
      <c r="AZ134" s="268"/>
      <c r="BA134" s="268"/>
      <c r="BB134" s="268"/>
      <c r="BC134" s="268"/>
      <c r="BD134" s="268"/>
      <c r="BE134" s="268"/>
      <c r="BF134" s="268"/>
      <c r="BG134" s="268"/>
      <c r="BH134" s="268"/>
      <c r="BI134" s="268"/>
      <c r="BJ134" s="494"/>
      <c r="BK134" s="494"/>
      <c r="BL134" s="494"/>
      <c r="BM134" s="494"/>
      <c r="BN134" s="494"/>
      <c r="BO134" s="494"/>
      <c r="BP134" s="494"/>
      <c r="BQ134" s="494"/>
      <c r="BR134" s="494"/>
      <c r="BS134" s="494"/>
      <c r="BT134" s="494"/>
      <c r="BU134" s="494"/>
      <c r="BV134" s="494"/>
      <c r="BW134" s="494"/>
      <c r="BX134" s="494"/>
      <c r="BY134" s="494"/>
      <c r="BZ134" s="494"/>
      <c r="CA134" s="494"/>
      <c r="CB134" s="494"/>
      <c r="CC134" s="494"/>
      <c r="CD134" s="494"/>
      <c r="CE134" s="494"/>
      <c r="CF134" s="494"/>
      <c r="CG134" s="494"/>
      <c r="CM134" s="197"/>
      <c r="CN134" s="197"/>
      <c r="CU134" s="137"/>
    </row>
    <row r="135" spans="4:99">
      <c r="D135" s="53"/>
      <c r="I135" s="53"/>
      <c r="N135" s="268"/>
      <c r="O135" s="268"/>
      <c r="P135" s="268"/>
      <c r="Q135" s="268"/>
      <c r="R135" s="268"/>
      <c r="S135" s="268"/>
      <c r="T135" s="268"/>
      <c r="U135" s="268"/>
      <c r="V135" s="268"/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268"/>
      <c r="AG135" s="268"/>
      <c r="AH135" s="268"/>
      <c r="AI135" s="268"/>
      <c r="AJ135" s="268"/>
      <c r="AK135" s="268"/>
      <c r="AL135" s="268"/>
      <c r="AM135" s="268"/>
      <c r="AN135" s="268"/>
      <c r="AO135" s="268"/>
      <c r="AP135" s="268"/>
      <c r="AQ135" s="268"/>
      <c r="AR135" s="268"/>
      <c r="AS135" s="268"/>
      <c r="AT135" s="268"/>
      <c r="AU135" s="268"/>
      <c r="AV135" s="268"/>
      <c r="AW135" s="268"/>
      <c r="AX135" s="268"/>
      <c r="AY135" s="268"/>
      <c r="AZ135" s="268"/>
      <c r="BA135" s="268"/>
      <c r="BB135" s="268"/>
      <c r="BC135" s="268"/>
      <c r="BD135" s="268"/>
      <c r="BE135" s="268"/>
      <c r="BF135" s="268"/>
      <c r="BG135" s="268"/>
      <c r="BH135" s="268"/>
      <c r="BI135" s="268"/>
      <c r="BJ135" s="494"/>
      <c r="BK135" s="494"/>
      <c r="BL135" s="494"/>
      <c r="BM135" s="494"/>
      <c r="BN135" s="494"/>
      <c r="BO135" s="494"/>
      <c r="BP135" s="494"/>
      <c r="BQ135" s="494"/>
      <c r="BR135" s="494"/>
      <c r="BS135" s="494"/>
      <c r="BT135" s="494"/>
      <c r="BU135" s="494"/>
      <c r="BV135" s="494"/>
      <c r="BW135" s="494"/>
      <c r="BX135" s="494"/>
      <c r="BY135" s="494"/>
      <c r="BZ135" s="494"/>
      <c r="CA135" s="494"/>
      <c r="CB135" s="494"/>
      <c r="CC135" s="494"/>
      <c r="CD135" s="494"/>
      <c r="CE135" s="494"/>
      <c r="CF135" s="494"/>
      <c r="CG135" s="494"/>
      <c r="CM135" s="197"/>
      <c r="CN135" s="197"/>
      <c r="CU135" s="137"/>
    </row>
    <row r="136" spans="4:99">
      <c r="D136" s="53"/>
      <c r="I136" s="53"/>
      <c r="N136" s="268"/>
      <c r="O136" s="268"/>
      <c r="P136" s="268"/>
      <c r="Q136" s="268"/>
      <c r="R136" s="268"/>
      <c r="S136" s="268"/>
      <c r="T136" s="268"/>
      <c r="U136" s="268"/>
      <c r="V136" s="268"/>
      <c r="W136" s="268"/>
      <c r="X136" s="268"/>
      <c r="Y136" s="268"/>
      <c r="Z136" s="268"/>
      <c r="AA136" s="268"/>
      <c r="AB136" s="268"/>
      <c r="AC136" s="268"/>
      <c r="AD136" s="268"/>
      <c r="AE136" s="268"/>
      <c r="AF136" s="268"/>
      <c r="AG136" s="268"/>
      <c r="AH136" s="268"/>
      <c r="AI136" s="268"/>
      <c r="AJ136" s="268"/>
      <c r="AK136" s="268"/>
      <c r="AL136" s="268"/>
      <c r="AM136" s="268"/>
      <c r="AN136" s="268"/>
      <c r="AO136" s="268"/>
      <c r="AP136" s="268"/>
      <c r="AQ136" s="268"/>
      <c r="AR136" s="268"/>
      <c r="AS136" s="268"/>
      <c r="AT136" s="268"/>
      <c r="AU136" s="268"/>
      <c r="AV136" s="268"/>
      <c r="AW136" s="268"/>
      <c r="AX136" s="268"/>
      <c r="AY136" s="268"/>
      <c r="AZ136" s="268"/>
      <c r="BA136" s="268"/>
      <c r="BB136" s="268"/>
      <c r="BC136" s="268"/>
      <c r="BD136" s="268"/>
      <c r="BE136" s="268"/>
      <c r="BF136" s="268"/>
      <c r="BG136" s="268"/>
      <c r="BH136" s="268"/>
      <c r="BI136" s="268"/>
      <c r="BJ136" s="494"/>
      <c r="BK136" s="494"/>
      <c r="BL136" s="494"/>
      <c r="BM136" s="494"/>
      <c r="BN136" s="494"/>
      <c r="BO136" s="494"/>
      <c r="BP136" s="494"/>
      <c r="BQ136" s="494"/>
      <c r="BR136" s="494"/>
      <c r="BS136" s="494"/>
      <c r="BT136" s="494"/>
      <c r="BU136" s="494"/>
      <c r="BV136" s="494"/>
      <c r="BW136" s="494"/>
      <c r="BX136" s="494"/>
      <c r="BY136" s="494"/>
      <c r="BZ136" s="494"/>
      <c r="CA136" s="494"/>
      <c r="CB136" s="494"/>
      <c r="CC136" s="494"/>
      <c r="CD136" s="494"/>
      <c r="CE136" s="494"/>
      <c r="CF136" s="494"/>
      <c r="CG136" s="494"/>
      <c r="CM136" s="197"/>
      <c r="CN136" s="197"/>
      <c r="CU136" s="137"/>
    </row>
    <row r="137" spans="4:99">
      <c r="D137" s="53"/>
      <c r="I137" s="53"/>
      <c r="N137" s="268"/>
      <c r="O137" s="268"/>
      <c r="P137" s="268"/>
      <c r="Q137" s="268"/>
      <c r="R137" s="268"/>
      <c r="S137" s="268"/>
      <c r="T137" s="268"/>
      <c r="U137" s="268"/>
      <c r="V137" s="268"/>
      <c r="W137" s="268"/>
      <c r="X137" s="268"/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68"/>
      <c r="AK137" s="268"/>
      <c r="AL137" s="268"/>
      <c r="AM137" s="268"/>
      <c r="AN137" s="268"/>
      <c r="AO137" s="268"/>
      <c r="AP137" s="268"/>
      <c r="AQ137" s="268"/>
      <c r="AR137" s="268"/>
      <c r="AS137" s="268"/>
      <c r="AT137" s="268"/>
      <c r="AU137" s="268"/>
      <c r="AV137" s="268"/>
      <c r="AW137" s="268"/>
      <c r="AX137" s="268"/>
      <c r="AY137" s="268"/>
      <c r="AZ137" s="268"/>
      <c r="BA137" s="268"/>
      <c r="BB137" s="268"/>
      <c r="BC137" s="268"/>
      <c r="BD137" s="268"/>
      <c r="BE137" s="268"/>
      <c r="BF137" s="268"/>
      <c r="BG137" s="268"/>
      <c r="BH137" s="268"/>
      <c r="BI137" s="268"/>
      <c r="BJ137" s="494"/>
      <c r="BK137" s="494"/>
      <c r="BL137" s="494"/>
      <c r="BM137" s="494"/>
      <c r="BN137" s="494"/>
      <c r="BO137" s="494"/>
      <c r="BP137" s="494"/>
      <c r="BQ137" s="494"/>
      <c r="BR137" s="494"/>
      <c r="BS137" s="494"/>
      <c r="BT137" s="494"/>
      <c r="BU137" s="494"/>
      <c r="BV137" s="494"/>
      <c r="BW137" s="494"/>
      <c r="BX137" s="494"/>
      <c r="BY137" s="494"/>
      <c r="BZ137" s="494"/>
      <c r="CA137" s="494"/>
      <c r="CB137" s="494"/>
      <c r="CC137" s="494"/>
      <c r="CD137" s="494"/>
      <c r="CE137" s="494"/>
      <c r="CF137" s="494"/>
      <c r="CG137" s="494"/>
      <c r="CM137" s="197"/>
      <c r="CN137" s="197"/>
      <c r="CU137" s="137"/>
    </row>
    <row r="138" spans="4:99">
      <c r="D138" s="53"/>
      <c r="I138" s="53"/>
      <c r="N138" s="268"/>
      <c r="O138" s="268"/>
      <c r="P138" s="268"/>
      <c r="Q138" s="268"/>
      <c r="R138" s="268"/>
      <c r="S138" s="268"/>
      <c r="T138" s="268"/>
      <c r="U138" s="268"/>
      <c r="V138" s="268"/>
      <c r="W138" s="268"/>
      <c r="X138" s="268"/>
      <c r="Y138" s="268"/>
      <c r="Z138" s="268"/>
      <c r="AA138" s="268"/>
      <c r="AB138" s="268"/>
      <c r="AC138" s="268"/>
      <c r="AD138" s="268"/>
      <c r="AE138" s="268"/>
      <c r="AF138" s="268"/>
      <c r="AG138" s="268"/>
      <c r="AH138" s="268"/>
      <c r="AI138" s="268"/>
      <c r="AJ138" s="268"/>
      <c r="AK138" s="268"/>
      <c r="AL138" s="268"/>
      <c r="AM138" s="268"/>
      <c r="AN138" s="268"/>
      <c r="AO138" s="268"/>
      <c r="AP138" s="268"/>
      <c r="AQ138" s="268"/>
      <c r="AR138" s="268"/>
      <c r="AS138" s="268"/>
      <c r="AT138" s="268"/>
      <c r="AU138" s="268"/>
      <c r="AV138" s="268"/>
      <c r="AW138" s="268"/>
      <c r="AX138" s="268"/>
      <c r="AY138" s="268"/>
      <c r="AZ138" s="268"/>
      <c r="BA138" s="268"/>
      <c r="BB138" s="268"/>
      <c r="BC138" s="268"/>
      <c r="BD138" s="268"/>
      <c r="BE138" s="268"/>
      <c r="BF138" s="268"/>
      <c r="BG138" s="268"/>
      <c r="BH138" s="268"/>
      <c r="BI138" s="268"/>
      <c r="BJ138" s="494"/>
      <c r="BK138" s="494"/>
      <c r="BL138" s="494"/>
      <c r="BM138" s="494"/>
      <c r="BN138" s="494"/>
      <c r="BO138" s="494"/>
      <c r="BP138" s="494"/>
      <c r="BQ138" s="494"/>
      <c r="BR138" s="494"/>
      <c r="BS138" s="494"/>
      <c r="BT138" s="494"/>
      <c r="BU138" s="494"/>
      <c r="BV138" s="494"/>
      <c r="BW138" s="494"/>
      <c r="BX138" s="494"/>
      <c r="BY138" s="494"/>
      <c r="BZ138" s="494"/>
      <c r="CA138" s="494"/>
      <c r="CB138" s="494"/>
      <c r="CC138" s="494"/>
      <c r="CD138" s="494"/>
      <c r="CE138" s="494"/>
      <c r="CF138" s="494"/>
      <c r="CG138" s="494"/>
      <c r="CM138" s="197"/>
      <c r="CN138" s="197"/>
      <c r="CU138" s="137"/>
    </row>
    <row r="139" spans="4:99">
      <c r="D139" s="53"/>
      <c r="I139" s="53"/>
      <c r="N139" s="268"/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  <c r="AM139" s="268"/>
      <c r="AN139" s="268"/>
      <c r="AO139" s="268"/>
      <c r="AP139" s="268"/>
      <c r="AQ139" s="268"/>
      <c r="AR139" s="268"/>
      <c r="AS139" s="268"/>
      <c r="AT139" s="268"/>
      <c r="AU139" s="268"/>
      <c r="AV139" s="268"/>
      <c r="AW139" s="268"/>
      <c r="AX139" s="268"/>
      <c r="AY139" s="268"/>
      <c r="AZ139" s="268"/>
      <c r="BA139" s="268"/>
      <c r="BB139" s="268"/>
      <c r="BC139" s="268"/>
      <c r="BD139" s="268"/>
      <c r="BE139" s="268"/>
      <c r="BF139" s="268"/>
      <c r="BG139" s="268"/>
      <c r="BH139" s="268"/>
      <c r="BI139" s="268"/>
      <c r="BJ139" s="494"/>
      <c r="BK139" s="494"/>
      <c r="BL139" s="494"/>
      <c r="BM139" s="494"/>
      <c r="BN139" s="494"/>
      <c r="BO139" s="494"/>
      <c r="BP139" s="494"/>
      <c r="BQ139" s="494"/>
      <c r="BR139" s="494"/>
      <c r="BS139" s="494"/>
      <c r="BT139" s="494"/>
      <c r="BU139" s="494"/>
      <c r="BV139" s="494"/>
      <c r="BW139" s="494"/>
      <c r="BX139" s="494"/>
      <c r="BY139" s="494"/>
      <c r="BZ139" s="494"/>
      <c r="CA139" s="494"/>
      <c r="CB139" s="494"/>
      <c r="CC139" s="494"/>
      <c r="CD139" s="494"/>
      <c r="CE139" s="494"/>
      <c r="CF139" s="494"/>
      <c r="CG139" s="494"/>
      <c r="CM139" s="197"/>
      <c r="CN139" s="197"/>
      <c r="CU139" s="137"/>
    </row>
    <row r="140" spans="4:99">
      <c r="D140" s="53"/>
      <c r="I140" s="53"/>
      <c r="N140" s="268"/>
      <c r="O140" s="268"/>
      <c r="P140" s="268"/>
      <c r="Q140" s="268"/>
      <c r="R140" s="268"/>
      <c r="S140" s="268"/>
      <c r="T140" s="268"/>
      <c r="U140" s="268"/>
      <c r="V140" s="268"/>
      <c r="W140" s="268"/>
      <c r="X140" s="268"/>
      <c r="Y140" s="268"/>
      <c r="Z140" s="268"/>
      <c r="AA140" s="268"/>
      <c r="AB140" s="268"/>
      <c r="AC140" s="268"/>
      <c r="AD140" s="268"/>
      <c r="AE140" s="268"/>
      <c r="AF140" s="268"/>
      <c r="AG140" s="268"/>
      <c r="AH140" s="268"/>
      <c r="AI140" s="268"/>
      <c r="AJ140" s="268"/>
      <c r="AK140" s="268"/>
      <c r="AL140" s="268"/>
      <c r="AM140" s="268"/>
      <c r="AN140" s="268"/>
      <c r="AO140" s="268"/>
      <c r="AP140" s="268"/>
      <c r="AQ140" s="268"/>
      <c r="AR140" s="268"/>
      <c r="AS140" s="268"/>
      <c r="AT140" s="268"/>
      <c r="AU140" s="268"/>
      <c r="AV140" s="268"/>
      <c r="AW140" s="268"/>
      <c r="AX140" s="268"/>
      <c r="AY140" s="268"/>
      <c r="AZ140" s="268"/>
      <c r="BA140" s="268"/>
      <c r="BB140" s="268"/>
      <c r="BC140" s="268"/>
      <c r="BD140" s="268"/>
      <c r="BE140" s="268"/>
      <c r="BF140" s="268"/>
      <c r="BG140" s="268"/>
      <c r="BH140" s="268"/>
      <c r="BI140" s="268"/>
      <c r="BJ140" s="494"/>
      <c r="BK140" s="494"/>
      <c r="BL140" s="494"/>
      <c r="BM140" s="494"/>
      <c r="BN140" s="494"/>
      <c r="BO140" s="494"/>
      <c r="BP140" s="494"/>
      <c r="BQ140" s="494"/>
      <c r="BR140" s="494"/>
      <c r="BS140" s="494"/>
      <c r="BT140" s="494"/>
      <c r="BU140" s="494"/>
      <c r="BV140" s="494"/>
      <c r="BW140" s="494"/>
      <c r="BX140" s="494"/>
      <c r="BY140" s="494"/>
      <c r="BZ140" s="494"/>
      <c r="CA140" s="494"/>
      <c r="CB140" s="494"/>
      <c r="CC140" s="494"/>
      <c r="CD140" s="494"/>
      <c r="CE140" s="494"/>
      <c r="CF140" s="494"/>
      <c r="CG140" s="494"/>
      <c r="CM140" s="197"/>
      <c r="CN140" s="197"/>
      <c r="CU140" s="137"/>
    </row>
    <row r="141" spans="4:99">
      <c r="D141" s="53"/>
      <c r="I141" s="53"/>
      <c r="N141" s="268"/>
      <c r="O141" s="268"/>
      <c r="P141" s="268"/>
      <c r="Q141" s="268"/>
      <c r="R141" s="268"/>
      <c r="S141" s="268"/>
      <c r="T141" s="268"/>
      <c r="U141" s="268"/>
      <c r="V141" s="268"/>
      <c r="W141" s="268"/>
      <c r="X141" s="268"/>
      <c r="Y141" s="268"/>
      <c r="Z141" s="268"/>
      <c r="AA141" s="268"/>
      <c r="AB141" s="268"/>
      <c r="AC141" s="268"/>
      <c r="AD141" s="268"/>
      <c r="AE141" s="268"/>
      <c r="AF141" s="268"/>
      <c r="AG141" s="268"/>
      <c r="AH141" s="268"/>
      <c r="AI141" s="268"/>
      <c r="AJ141" s="268"/>
      <c r="AK141" s="268"/>
      <c r="AL141" s="268"/>
      <c r="AM141" s="268"/>
      <c r="AN141" s="268"/>
      <c r="AO141" s="268"/>
      <c r="AP141" s="268"/>
      <c r="AQ141" s="268"/>
      <c r="AR141" s="268"/>
      <c r="AS141" s="268"/>
      <c r="AT141" s="268"/>
      <c r="AU141" s="268"/>
      <c r="AV141" s="268"/>
      <c r="AW141" s="268"/>
      <c r="AX141" s="268"/>
      <c r="AY141" s="268"/>
      <c r="AZ141" s="268"/>
      <c r="BA141" s="268"/>
      <c r="BB141" s="268"/>
      <c r="BC141" s="268"/>
      <c r="BD141" s="268"/>
      <c r="BE141" s="268"/>
      <c r="BF141" s="268"/>
      <c r="BG141" s="268"/>
      <c r="BH141" s="268"/>
      <c r="BI141" s="268"/>
      <c r="BJ141" s="494"/>
      <c r="BK141" s="494"/>
      <c r="BL141" s="494"/>
      <c r="BM141" s="494"/>
      <c r="BN141" s="494"/>
      <c r="BO141" s="494"/>
      <c r="BP141" s="494"/>
      <c r="BQ141" s="494"/>
      <c r="BR141" s="494"/>
      <c r="BS141" s="494"/>
      <c r="BT141" s="494"/>
      <c r="BU141" s="494"/>
      <c r="BV141" s="494"/>
      <c r="BW141" s="494"/>
      <c r="BX141" s="494"/>
      <c r="BY141" s="494"/>
      <c r="BZ141" s="494"/>
      <c r="CA141" s="494"/>
      <c r="CB141" s="494"/>
      <c r="CC141" s="494"/>
      <c r="CD141" s="494"/>
      <c r="CE141" s="494"/>
      <c r="CF141" s="494"/>
      <c r="CG141" s="494"/>
      <c r="CM141" s="197"/>
      <c r="CN141" s="197"/>
      <c r="CU141" s="137"/>
    </row>
    <row r="142" spans="4:99">
      <c r="D142" s="53"/>
      <c r="I142" s="53"/>
      <c r="N142" s="268"/>
      <c r="O142" s="268"/>
      <c r="P142" s="268"/>
      <c r="Q142" s="268"/>
      <c r="R142" s="268"/>
      <c r="S142" s="268"/>
      <c r="T142" s="268"/>
      <c r="U142" s="268"/>
      <c r="V142" s="268"/>
      <c r="W142" s="268"/>
      <c r="X142" s="268"/>
      <c r="Y142" s="268"/>
      <c r="Z142" s="268"/>
      <c r="AA142" s="268"/>
      <c r="AB142" s="268"/>
      <c r="AC142" s="268"/>
      <c r="AD142" s="268"/>
      <c r="AE142" s="268"/>
      <c r="AF142" s="268"/>
      <c r="AG142" s="268"/>
      <c r="AH142" s="268"/>
      <c r="AI142" s="268"/>
      <c r="AJ142" s="268"/>
      <c r="AK142" s="268"/>
      <c r="AL142" s="268"/>
      <c r="AM142" s="268"/>
      <c r="AN142" s="268"/>
      <c r="AO142" s="268"/>
      <c r="AP142" s="268"/>
      <c r="AQ142" s="268"/>
      <c r="AR142" s="268"/>
      <c r="AS142" s="268"/>
      <c r="AT142" s="268"/>
      <c r="AU142" s="268"/>
      <c r="AV142" s="268"/>
      <c r="AW142" s="268"/>
      <c r="AX142" s="268"/>
      <c r="AY142" s="268"/>
      <c r="AZ142" s="268"/>
      <c r="BA142" s="268"/>
      <c r="BB142" s="268"/>
      <c r="BC142" s="268"/>
      <c r="BD142" s="268"/>
      <c r="BE142" s="268"/>
      <c r="BF142" s="268"/>
      <c r="BG142" s="268"/>
      <c r="BH142" s="268"/>
      <c r="BI142" s="268"/>
      <c r="BJ142" s="494"/>
      <c r="BK142" s="494"/>
      <c r="BL142" s="494"/>
      <c r="BM142" s="494"/>
      <c r="BN142" s="494"/>
      <c r="BO142" s="494"/>
      <c r="BP142" s="494"/>
      <c r="BQ142" s="494"/>
      <c r="BR142" s="494"/>
      <c r="BS142" s="494"/>
      <c r="BT142" s="494"/>
      <c r="BU142" s="494"/>
      <c r="BV142" s="494"/>
      <c r="BW142" s="494"/>
      <c r="BX142" s="494"/>
      <c r="BY142" s="494"/>
      <c r="BZ142" s="494"/>
      <c r="CA142" s="494"/>
      <c r="CB142" s="494"/>
      <c r="CC142" s="494"/>
      <c r="CD142" s="494"/>
      <c r="CE142" s="494"/>
      <c r="CF142" s="494"/>
      <c r="CG142" s="494"/>
      <c r="CM142" s="197"/>
      <c r="CN142" s="197"/>
      <c r="CU142" s="137"/>
    </row>
    <row r="143" spans="4:99">
      <c r="D143" s="53"/>
      <c r="I143" s="53"/>
      <c r="N143" s="268"/>
      <c r="O143" s="268"/>
      <c r="P143" s="268"/>
      <c r="Q143" s="268"/>
      <c r="R143" s="268"/>
      <c r="S143" s="268"/>
      <c r="T143" s="268"/>
      <c r="U143" s="268"/>
      <c r="V143" s="268"/>
      <c r="W143" s="268"/>
      <c r="X143" s="268"/>
      <c r="Y143" s="268"/>
      <c r="Z143" s="268"/>
      <c r="AA143" s="268"/>
      <c r="AB143" s="268"/>
      <c r="AC143" s="268"/>
      <c r="AD143" s="268"/>
      <c r="AE143" s="268"/>
      <c r="AF143" s="268"/>
      <c r="AG143" s="268"/>
      <c r="AH143" s="268"/>
      <c r="AI143" s="268"/>
      <c r="AJ143" s="268"/>
      <c r="AK143" s="268"/>
      <c r="AL143" s="268"/>
      <c r="AM143" s="268"/>
      <c r="AN143" s="268"/>
      <c r="AO143" s="268"/>
      <c r="AP143" s="268"/>
      <c r="AQ143" s="268"/>
      <c r="AR143" s="268"/>
      <c r="AS143" s="268"/>
      <c r="AT143" s="268"/>
      <c r="AU143" s="268"/>
      <c r="AV143" s="268"/>
      <c r="AW143" s="268"/>
      <c r="AX143" s="268"/>
      <c r="AY143" s="268"/>
      <c r="AZ143" s="268"/>
      <c r="BA143" s="268"/>
      <c r="BB143" s="268"/>
      <c r="BC143" s="268"/>
      <c r="BD143" s="268"/>
      <c r="BE143" s="268"/>
      <c r="BF143" s="268"/>
      <c r="BG143" s="268"/>
      <c r="BH143" s="268"/>
      <c r="BI143" s="268"/>
      <c r="BJ143" s="494"/>
      <c r="BK143" s="494"/>
      <c r="BL143" s="494"/>
      <c r="BM143" s="494"/>
      <c r="BN143" s="494"/>
      <c r="BO143" s="494"/>
      <c r="BP143" s="494"/>
      <c r="BQ143" s="494"/>
      <c r="BR143" s="494"/>
      <c r="BS143" s="494"/>
      <c r="BT143" s="494"/>
      <c r="BU143" s="494"/>
      <c r="BV143" s="494"/>
      <c r="BW143" s="494"/>
      <c r="BX143" s="494"/>
      <c r="BY143" s="494"/>
      <c r="BZ143" s="494"/>
      <c r="CA143" s="494"/>
      <c r="CB143" s="494"/>
      <c r="CC143" s="494"/>
      <c r="CD143" s="494"/>
      <c r="CE143" s="494"/>
      <c r="CF143" s="494"/>
      <c r="CG143" s="494"/>
      <c r="CM143" s="197"/>
      <c r="CN143" s="197"/>
      <c r="CU143" s="137"/>
    </row>
    <row r="144" spans="4:99">
      <c r="D144" s="53"/>
      <c r="I144" s="53"/>
      <c r="N144" s="268"/>
      <c r="O144" s="268"/>
      <c r="P144" s="268"/>
      <c r="Q144" s="268"/>
      <c r="R144" s="268"/>
      <c r="S144" s="268"/>
      <c r="T144" s="268"/>
      <c r="U144" s="268"/>
      <c r="V144" s="268"/>
      <c r="W144" s="268"/>
      <c r="X144" s="268"/>
      <c r="Y144" s="268"/>
      <c r="Z144" s="268"/>
      <c r="AA144" s="268"/>
      <c r="AB144" s="268"/>
      <c r="AC144" s="268"/>
      <c r="AD144" s="268"/>
      <c r="AE144" s="268"/>
      <c r="AF144" s="268"/>
      <c r="AG144" s="268"/>
      <c r="AH144" s="268"/>
      <c r="AI144" s="268"/>
      <c r="AJ144" s="268"/>
      <c r="AK144" s="268"/>
      <c r="AL144" s="268"/>
      <c r="AM144" s="268"/>
      <c r="AN144" s="268"/>
      <c r="AO144" s="268"/>
      <c r="AP144" s="268"/>
      <c r="AQ144" s="268"/>
      <c r="AR144" s="268"/>
      <c r="AS144" s="268"/>
      <c r="AT144" s="268"/>
      <c r="AU144" s="268"/>
      <c r="AV144" s="268"/>
      <c r="AW144" s="268"/>
      <c r="AX144" s="268"/>
      <c r="AY144" s="268"/>
      <c r="AZ144" s="268"/>
      <c r="BA144" s="268"/>
      <c r="BB144" s="268"/>
      <c r="BC144" s="268"/>
      <c r="BD144" s="268"/>
      <c r="BE144" s="268"/>
      <c r="BF144" s="268"/>
      <c r="BG144" s="268"/>
      <c r="BH144" s="268"/>
      <c r="BI144" s="268"/>
      <c r="BJ144" s="494"/>
      <c r="BK144" s="494"/>
      <c r="BL144" s="494"/>
      <c r="BM144" s="494"/>
      <c r="BN144" s="494"/>
      <c r="BO144" s="494"/>
      <c r="BP144" s="494"/>
      <c r="BQ144" s="494"/>
      <c r="BR144" s="494"/>
      <c r="BS144" s="494"/>
      <c r="BT144" s="494"/>
      <c r="BU144" s="494"/>
      <c r="BV144" s="494"/>
      <c r="BW144" s="494"/>
      <c r="BX144" s="494"/>
      <c r="BY144" s="494"/>
      <c r="BZ144" s="494"/>
      <c r="CA144" s="494"/>
      <c r="CB144" s="494"/>
      <c r="CC144" s="494"/>
      <c r="CD144" s="494"/>
      <c r="CE144" s="494"/>
      <c r="CF144" s="494"/>
      <c r="CG144" s="494"/>
      <c r="CM144" s="197"/>
      <c r="CN144" s="197"/>
      <c r="CU144" s="137"/>
    </row>
    <row r="145" spans="4:99">
      <c r="D145" s="53"/>
      <c r="I145" s="53"/>
      <c r="N145" s="268"/>
      <c r="O145" s="268"/>
      <c r="P145" s="268"/>
      <c r="Q145" s="268"/>
      <c r="R145" s="268"/>
      <c r="S145" s="268"/>
      <c r="T145" s="268"/>
      <c r="U145" s="268"/>
      <c r="V145" s="268"/>
      <c r="W145" s="268"/>
      <c r="X145" s="268"/>
      <c r="Y145" s="268"/>
      <c r="Z145" s="268"/>
      <c r="AA145" s="268"/>
      <c r="AB145" s="268"/>
      <c r="AC145" s="268"/>
      <c r="AD145" s="268"/>
      <c r="AE145" s="268"/>
      <c r="AF145" s="268"/>
      <c r="AG145" s="268"/>
      <c r="AH145" s="268"/>
      <c r="AI145" s="268"/>
      <c r="AJ145" s="268"/>
      <c r="AK145" s="268"/>
      <c r="AL145" s="268"/>
      <c r="AM145" s="268"/>
      <c r="AN145" s="268"/>
      <c r="AO145" s="268"/>
      <c r="AP145" s="268"/>
      <c r="AQ145" s="268"/>
      <c r="AR145" s="268"/>
      <c r="AS145" s="268"/>
      <c r="AT145" s="268"/>
      <c r="AU145" s="268"/>
      <c r="AV145" s="268"/>
      <c r="AW145" s="268"/>
      <c r="AX145" s="268"/>
      <c r="AY145" s="268"/>
      <c r="AZ145" s="268"/>
      <c r="BA145" s="268"/>
      <c r="BB145" s="268"/>
      <c r="BC145" s="268"/>
      <c r="BD145" s="268"/>
      <c r="BE145" s="268"/>
      <c r="BF145" s="268"/>
      <c r="BG145" s="268"/>
      <c r="BH145" s="268"/>
      <c r="BI145" s="268"/>
      <c r="BJ145" s="494"/>
      <c r="BK145" s="494"/>
      <c r="BL145" s="494"/>
      <c r="BM145" s="494"/>
      <c r="BN145" s="494"/>
      <c r="BO145" s="494"/>
      <c r="BP145" s="494"/>
      <c r="BQ145" s="494"/>
      <c r="BR145" s="494"/>
      <c r="BS145" s="494"/>
      <c r="BT145" s="494"/>
      <c r="BU145" s="494"/>
      <c r="BV145" s="494"/>
      <c r="BW145" s="494"/>
      <c r="BX145" s="494"/>
      <c r="BY145" s="494"/>
      <c r="BZ145" s="494"/>
      <c r="CA145" s="494"/>
      <c r="CB145" s="494"/>
      <c r="CC145" s="494"/>
      <c r="CD145" s="494"/>
      <c r="CE145" s="494"/>
      <c r="CF145" s="494"/>
      <c r="CG145" s="494"/>
      <c r="CM145" s="197"/>
      <c r="CN145" s="197"/>
      <c r="CU145" s="137"/>
    </row>
    <row r="146" spans="4:99">
      <c r="D146" s="53"/>
      <c r="I146" s="53"/>
      <c r="N146" s="268"/>
      <c r="O146" s="268"/>
      <c r="P146" s="268"/>
      <c r="Q146" s="268"/>
      <c r="R146" s="268"/>
      <c r="S146" s="268"/>
      <c r="T146" s="268"/>
      <c r="U146" s="268"/>
      <c r="V146" s="268"/>
      <c r="W146" s="268"/>
      <c r="X146" s="268"/>
      <c r="Y146" s="268"/>
      <c r="Z146" s="268"/>
      <c r="AA146" s="268"/>
      <c r="AB146" s="268"/>
      <c r="AC146" s="268"/>
      <c r="AD146" s="268"/>
      <c r="AE146" s="268"/>
      <c r="AF146" s="268"/>
      <c r="AG146" s="268"/>
      <c r="AH146" s="268"/>
      <c r="AI146" s="268"/>
      <c r="AJ146" s="268"/>
      <c r="AK146" s="268"/>
      <c r="AL146" s="268"/>
      <c r="AM146" s="268"/>
      <c r="AN146" s="268"/>
      <c r="AO146" s="268"/>
      <c r="AP146" s="268"/>
      <c r="AQ146" s="268"/>
      <c r="AR146" s="268"/>
      <c r="AS146" s="268"/>
      <c r="AT146" s="268"/>
      <c r="AU146" s="268"/>
      <c r="AV146" s="268"/>
      <c r="AW146" s="268"/>
      <c r="AX146" s="268"/>
      <c r="AY146" s="268"/>
      <c r="AZ146" s="268"/>
      <c r="BA146" s="268"/>
      <c r="BB146" s="268"/>
      <c r="BC146" s="268"/>
      <c r="BD146" s="268"/>
      <c r="BE146" s="268"/>
      <c r="BF146" s="268"/>
      <c r="BG146" s="268"/>
      <c r="BH146" s="268"/>
      <c r="BI146" s="268"/>
      <c r="BJ146" s="494"/>
      <c r="BK146" s="494"/>
      <c r="BL146" s="494"/>
      <c r="BM146" s="494"/>
      <c r="BN146" s="494"/>
      <c r="BO146" s="494"/>
      <c r="BP146" s="494"/>
      <c r="BQ146" s="494"/>
      <c r="BR146" s="494"/>
      <c r="BS146" s="494"/>
      <c r="BT146" s="494"/>
      <c r="BU146" s="494"/>
      <c r="BV146" s="494"/>
      <c r="BW146" s="494"/>
      <c r="BX146" s="494"/>
      <c r="BY146" s="494"/>
      <c r="BZ146" s="494"/>
      <c r="CA146" s="494"/>
      <c r="CB146" s="494"/>
      <c r="CC146" s="494"/>
      <c r="CD146" s="494"/>
      <c r="CE146" s="494"/>
      <c r="CF146" s="494"/>
      <c r="CG146" s="494"/>
      <c r="CM146" s="197"/>
      <c r="CN146" s="197"/>
      <c r="CU146" s="137"/>
    </row>
    <row r="147" spans="4:99">
      <c r="D147" s="53"/>
      <c r="I147" s="53"/>
      <c r="N147" s="268"/>
      <c r="O147" s="268"/>
      <c r="P147" s="268"/>
      <c r="Q147" s="268"/>
      <c r="R147" s="268"/>
      <c r="S147" s="268"/>
      <c r="T147" s="268"/>
      <c r="U147" s="268"/>
      <c r="V147" s="268"/>
      <c r="W147" s="268"/>
      <c r="X147" s="268"/>
      <c r="Y147" s="268"/>
      <c r="Z147" s="268"/>
      <c r="AA147" s="268"/>
      <c r="AB147" s="268"/>
      <c r="AC147" s="268"/>
      <c r="AD147" s="268"/>
      <c r="AE147" s="268"/>
      <c r="AF147" s="268"/>
      <c r="AG147" s="268"/>
      <c r="AH147" s="268"/>
      <c r="AI147" s="268"/>
      <c r="AJ147" s="268"/>
      <c r="AK147" s="268"/>
      <c r="AL147" s="268"/>
      <c r="AM147" s="268"/>
      <c r="AN147" s="268"/>
      <c r="AO147" s="268"/>
      <c r="AP147" s="268"/>
      <c r="AQ147" s="268"/>
      <c r="AR147" s="268"/>
      <c r="AS147" s="268"/>
      <c r="AT147" s="268"/>
      <c r="AU147" s="268"/>
      <c r="AV147" s="268"/>
      <c r="AW147" s="268"/>
      <c r="AX147" s="268"/>
      <c r="AY147" s="268"/>
      <c r="AZ147" s="268"/>
      <c r="BA147" s="268"/>
      <c r="BB147" s="268"/>
      <c r="BC147" s="268"/>
      <c r="BD147" s="268"/>
      <c r="BE147" s="268"/>
      <c r="BF147" s="268"/>
      <c r="BG147" s="268"/>
      <c r="BH147" s="268"/>
      <c r="BI147" s="268"/>
      <c r="BJ147" s="494"/>
      <c r="BK147" s="494"/>
      <c r="BL147" s="494"/>
      <c r="BM147" s="494"/>
      <c r="BN147" s="494"/>
      <c r="BO147" s="494"/>
      <c r="BP147" s="494"/>
      <c r="BQ147" s="494"/>
      <c r="BR147" s="494"/>
      <c r="BS147" s="494"/>
      <c r="BT147" s="494"/>
      <c r="BU147" s="494"/>
      <c r="BV147" s="494"/>
      <c r="BW147" s="494"/>
      <c r="BX147" s="494"/>
      <c r="BY147" s="494"/>
      <c r="BZ147" s="494"/>
      <c r="CA147" s="494"/>
      <c r="CB147" s="494"/>
      <c r="CC147" s="494"/>
      <c r="CD147" s="494"/>
      <c r="CE147" s="494"/>
      <c r="CF147" s="494"/>
      <c r="CG147" s="494"/>
      <c r="CM147" s="197"/>
      <c r="CN147" s="197"/>
      <c r="CU147" s="137"/>
    </row>
    <row r="148" spans="4:99">
      <c r="D148" s="53"/>
      <c r="I148" s="53"/>
      <c r="N148" s="268"/>
      <c r="O148" s="268"/>
      <c r="P148" s="268"/>
      <c r="Q148" s="268"/>
      <c r="R148" s="268"/>
      <c r="S148" s="268"/>
      <c r="T148" s="268"/>
      <c r="U148" s="268"/>
      <c r="V148" s="268"/>
      <c r="W148" s="268"/>
      <c r="X148" s="268"/>
      <c r="Y148" s="268"/>
      <c r="Z148" s="268"/>
      <c r="AA148" s="268"/>
      <c r="AB148" s="268"/>
      <c r="AC148" s="268"/>
      <c r="AD148" s="268"/>
      <c r="AE148" s="268"/>
      <c r="AF148" s="268"/>
      <c r="AG148" s="268"/>
      <c r="AH148" s="268"/>
      <c r="AI148" s="268"/>
      <c r="AJ148" s="268"/>
      <c r="AK148" s="268"/>
      <c r="AL148" s="268"/>
      <c r="AM148" s="268"/>
      <c r="AN148" s="268"/>
      <c r="AO148" s="268"/>
      <c r="AP148" s="268"/>
      <c r="AQ148" s="268"/>
      <c r="AR148" s="268"/>
      <c r="AS148" s="268"/>
      <c r="AT148" s="268"/>
      <c r="AU148" s="268"/>
      <c r="AV148" s="268"/>
      <c r="AW148" s="268"/>
      <c r="AX148" s="268"/>
      <c r="AY148" s="268"/>
      <c r="AZ148" s="268"/>
      <c r="BA148" s="268"/>
      <c r="BB148" s="268"/>
      <c r="BC148" s="268"/>
      <c r="BD148" s="268"/>
      <c r="BE148" s="268"/>
      <c r="BF148" s="268"/>
      <c r="BG148" s="268"/>
      <c r="BH148" s="268"/>
      <c r="BI148" s="268"/>
      <c r="BJ148" s="494"/>
      <c r="BK148" s="494"/>
      <c r="BL148" s="494"/>
      <c r="BM148" s="494"/>
      <c r="BN148" s="494"/>
      <c r="BO148" s="494"/>
      <c r="BP148" s="494"/>
      <c r="BQ148" s="494"/>
      <c r="BR148" s="494"/>
      <c r="BS148" s="494"/>
      <c r="BT148" s="494"/>
      <c r="BU148" s="494"/>
      <c r="BV148" s="494"/>
      <c r="BW148" s="494"/>
      <c r="BX148" s="494"/>
      <c r="BY148" s="494"/>
      <c r="BZ148" s="494"/>
      <c r="CA148" s="494"/>
      <c r="CB148" s="494"/>
      <c r="CC148" s="494"/>
      <c r="CD148" s="494"/>
      <c r="CE148" s="494"/>
      <c r="CF148" s="494"/>
      <c r="CG148" s="494"/>
      <c r="CM148" s="197"/>
      <c r="CN148" s="197"/>
      <c r="CU148" s="137"/>
    </row>
    <row r="149" spans="4:99">
      <c r="D149" s="53"/>
      <c r="I149" s="53"/>
      <c r="N149" s="268"/>
      <c r="O149" s="268"/>
      <c r="P149" s="268"/>
      <c r="Q149" s="268"/>
      <c r="R149" s="268"/>
      <c r="S149" s="268"/>
      <c r="T149" s="268"/>
      <c r="U149" s="268"/>
      <c r="V149" s="268"/>
      <c r="W149" s="268"/>
      <c r="X149" s="268"/>
      <c r="Y149" s="268"/>
      <c r="Z149" s="268"/>
      <c r="AA149" s="268"/>
      <c r="AB149" s="268"/>
      <c r="AC149" s="268"/>
      <c r="AD149" s="268"/>
      <c r="AE149" s="268"/>
      <c r="AF149" s="268"/>
      <c r="AG149" s="268"/>
      <c r="AH149" s="268"/>
      <c r="AI149" s="268"/>
      <c r="AJ149" s="268"/>
      <c r="AK149" s="268"/>
      <c r="AL149" s="268"/>
      <c r="AM149" s="268"/>
      <c r="AN149" s="268"/>
      <c r="AO149" s="268"/>
      <c r="AP149" s="268"/>
      <c r="AQ149" s="268"/>
      <c r="AR149" s="268"/>
      <c r="AS149" s="268"/>
      <c r="AT149" s="268"/>
      <c r="AU149" s="268"/>
      <c r="AV149" s="268"/>
      <c r="AW149" s="268"/>
      <c r="AX149" s="268"/>
      <c r="AY149" s="268"/>
      <c r="AZ149" s="268"/>
      <c r="BA149" s="268"/>
      <c r="BB149" s="268"/>
      <c r="BC149" s="268"/>
      <c r="BD149" s="268"/>
      <c r="BE149" s="268"/>
      <c r="BF149" s="268"/>
      <c r="BG149" s="268"/>
      <c r="BH149" s="268"/>
      <c r="BI149" s="268"/>
      <c r="BJ149" s="494"/>
      <c r="BK149" s="494"/>
      <c r="BL149" s="494"/>
      <c r="BM149" s="494"/>
      <c r="BN149" s="494"/>
      <c r="BO149" s="494"/>
      <c r="BP149" s="494"/>
      <c r="BQ149" s="494"/>
      <c r="BR149" s="494"/>
      <c r="BS149" s="494"/>
      <c r="BT149" s="494"/>
      <c r="BU149" s="494"/>
      <c r="BV149" s="494"/>
      <c r="BW149" s="494"/>
      <c r="BX149" s="494"/>
      <c r="BY149" s="494"/>
      <c r="BZ149" s="494"/>
      <c r="CA149" s="494"/>
      <c r="CB149" s="494"/>
      <c r="CC149" s="494"/>
      <c r="CD149" s="494"/>
      <c r="CE149" s="494"/>
      <c r="CF149" s="494"/>
      <c r="CG149" s="494"/>
      <c r="CM149" s="197"/>
      <c r="CN149" s="197"/>
      <c r="CU149" s="137"/>
    </row>
    <row r="150" spans="4:99">
      <c r="D150" s="53"/>
      <c r="I150" s="53"/>
      <c r="N150" s="268"/>
      <c r="O150" s="268"/>
      <c r="P150" s="268"/>
      <c r="Q150" s="268"/>
      <c r="R150" s="268"/>
      <c r="S150" s="268"/>
      <c r="T150" s="268"/>
      <c r="U150" s="268"/>
      <c r="V150" s="268"/>
      <c r="W150" s="268"/>
      <c r="X150" s="268"/>
      <c r="Y150" s="268"/>
      <c r="Z150" s="268"/>
      <c r="AA150" s="268"/>
      <c r="AB150" s="268"/>
      <c r="AC150" s="268"/>
      <c r="AD150" s="268"/>
      <c r="AE150" s="268"/>
      <c r="AF150" s="268"/>
      <c r="AG150" s="268"/>
      <c r="AH150" s="268"/>
      <c r="AI150" s="268"/>
      <c r="AJ150" s="268"/>
      <c r="AK150" s="268"/>
      <c r="AL150" s="268"/>
      <c r="AM150" s="268"/>
      <c r="AN150" s="268"/>
      <c r="AO150" s="268"/>
      <c r="AP150" s="268"/>
      <c r="AQ150" s="268"/>
      <c r="AR150" s="268"/>
      <c r="AS150" s="268"/>
      <c r="AT150" s="268"/>
      <c r="AU150" s="268"/>
      <c r="AV150" s="268"/>
      <c r="AW150" s="268"/>
      <c r="AX150" s="268"/>
      <c r="AY150" s="268"/>
      <c r="AZ150" s="268"/>
      <c r="BA150" s="268"/>
      <c r="BB150" s="268"/>
      <c r="BC150" s="268"/>
      <c r="BD150" s="268"/>
      <c r="BE150" s="268"/>
      <c r="BF150" s="268"/>
      <c r="BG150" s="268"/>
      <c r="BH150" s="268"/>
      <c r="BI150" s="268"/>
      <c r="BJ150" s="494"/>
      <c r="BK150" s="494"/>
      <c r="BL150" s="494"/>
      <c r="BM150" s="494"/>
      <c r="BN150" s="494"/>
      <c r="BO150" s="494"/>
      <c r="BP150" s="494"/>
      <c r="BQ150" s="494"/>
      <c r="BR150" s="494"/>
      <c r="BS150" s="494"/>
      <c r="BT150" s="494"/>
      <c r="BU150" s="494"/>
      <c r="BV150" s="494"/>
      <c r="BW150" s="494"/>
      <c r="BX150" s="494"/>
      <c r="BY150" s="494"/>
      <c r="BZ150" s="494"/>
      <c r="CA150" s="494"/>
      <c r="CB150" s="494"/>
      <c r="CC150" s="494"/>
      <c r="CD150" s="494"/>
      <c r="CE150" s="494"/>
      <c r="CF150" s="494"/>
      <c r="CG150" s="494"/>
      <c r="CM150" s="197"/>
      <c r="CN150" s="197"/>
      <c r="CU150" s="137"/>
    </row>
    <row r="151" spans="4:99">
      <c r="D151" s="53"/>
      <c r="I151" s="53"/>
      <c r="N151" s="268"/>
      <c r="O151" s="268"/>
      <c r="P151" s="268"/>
      <c r="Q151" s="268"/>
      <c r="R151" s="268"/>
      <c r="S151" s="268"/>
      <c r="T151" s="268"/>
      <c r="U151" s="268"/>
      <c r="V151" s="268"/>
      <c r="W151" s="268"/>
      <c r="X151" s="268"/>
      <c r="Y151" s="268"/>
      <c r="Z151" s="268"/>
      <c r="AA151" s="268"/>
      <c r="AB151" s="268"/>
      <c r="AC151" s="268"/>
      <c r="AD151" s="268"/>
      <c r="AE151" s="268"/>
      <c r="AF151" s="268"/>
      <c r="AG151" s="268"/>
      <c r="AH151" s="268"/>
      <c r="AI151" s="268"/>
      <c r="AJ151" s="268"/>
      <c r="AK151" s="268"/>
      <c r="AL151" s="268"/>
      <c r="AM151" s="268"/>
      <c r="AN151" s="268"/>
      <c r="AO151" s="268"/>
      <c r="AP151" s="268"/>
      <c r="AQ151" s="268"/>
      <c r="AR151" s="268"/>
      <c r="AS151" s="268"/>
      <c r="AT151" s="268"/>
      <c r="AU151" s="268"/>
      <c r="AV151" s="268"/>
      <c r="AW151" s="268"/>
      <c r="AX151" s="268"/>
      <c r="AY151" s="268"/>
      <c r="AZ151" s="268"/>
      <c r="BA151" s="268"/>
      <c r="BB151" s="268"/>
      <c r="BC151" s="268"/>
      <c r="BD151" s="268"/>
      <c r="BE151" s="268"/>
      <c r="BF151" s="268"/>
      <c r="BG151" s="268"/>
      <c r="BH151" s="268"/>
      <c r="BI151" s="268"/>
      <c r="BJ151" s="494"/>
      <c r="BK151" s="494"/>
      <c r="BL151" s="494"/>
      <c r="BM151" s="494"/>
      <c r="BN151" s="494"/>
      <c r="BO151" s="494"/>
      <c r="BP151" s="494"/>
      <c r="BQ151" s="494"/>
      <c r="BR151" s="494"/>
      <c r="BS151" s="494"/>
      <c r="BT151" s="494"/>
      <c r="BU151" s="494"/>
      <c r="BV151" s="494"/>
      <c r="BW151" s="494"/>
      <c r="BX151" s="494"/>
      <c r="BY151" s="494"/>
      <c r="BZ151" s="494"/>
      <c r="CA151" s="494"/>
      <c r="CB151" s="494"/>
      <c r="CC151" s="494"/>
      <c r="CD151" s="494"/>
      <c r="CE151" s="494"/>
      <c r="CF151" s="494"/>
      <c r="CG151" s="494"/>
      <c r="CM151" s="197"/>
      <c r="CN151" s="197"/>
      <c r="CU151" s="137"/>
    </row>
    <row r="152" spans="4:99">
      <c r="D152" s="53"/>
      <c r="I152" s="53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  <c r="AA152" s="268"/>
      <c r="AB152" s="268"/>
      <c r="AC152" s="268"/>
      <c r="AD152" s="268"/>
      <c r="AE152" s="268"/>
      <c r="AF152" s="268"/>
      <c r="AG152" s="268"/>
      <c r="AH152" s="268"/>
      <c r="AI152" s="268"/>
      <c r="AJ152" s="268"/>
      <c r="AK152" s="268"/>
      <c r="AL152" s="268"/>
      <c r="AM152" s="268"/>
      <c r="AN152" s="268"/>
      <c r="AO152" s="268"/>
      <c r="AP152" s="268"/>
      <c r="AQ152" s="268"/>
      <c r="AR152" s="268"/>
      <c r="AS152" s="268"/>
      <c r="AT152" s="268"/>
      <c r="AU152" s="268"/>
      <c r="AV152" s="268"/>
      <c r="AW152" s="268"/>
      <c r="AX152" s="268"/>
      <c r="AY152" s="268"/>
      <c r="AZ152" s="268"/>
      <c r="BA152" s="268"/>
      <c r="BB152" s="268"/>
      <c r="BC152" s="268"/>
      <c r="BD152" s="268"/>
      <c r="BE152" s="268"/>
      <c r="BF152" s="268"/>
      <c r="BG152" s="268"/>
      <c r="BH152" s="268"/>
      <c r="BI152" s="268"/>
      <c r="BJ152" s="494"/>
      <c r="BK152" s="494"/>
      <c r="BL152" s="494"/>
      <c r="BM152" s="494"/>
      <c r="BN152" s="494"/>
      <c r="BO152" s="494"/>
      <c r="BP152" s="494"/>
      <c r="BQ152" s="494"/>
      <c r="BR152" s="494"/>
      <c r="BS152" s="494"/>
      <c r="BT152" s="494"/>
      <c r="BU152" s="494"/>
      <c r="BV152" s="494"/>
      <c r="BW152" s="494"/>
      <c r="BX152" s="494"/>
      <c r="BY152" s="494"/>
      <c r="BZ152" s="494"/>
      <c r="CA152" s="494"/>
      <c r="CB152" s="494"/>
      <c r="CC152" s="494"/>
      <c r="CD152" s="494"/>
      <c r="CE152" s="494"/>
      <c r="CF152" s="494"/>
      <c r="CG152" s="494"/>
      <c r="CM152" s="197"/>
      <c r="CN152" s="197"/>
      <c r="CU152" s="137"/>
    </row>
    <row r="153" spans="4:99">
      <c r="D153" s="53"/>
      <c r="I153" s="53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  <c r="AA153" s="268"/>
      <c r="AB153" s="268"/>
      <c r="AC153" s="268"/>
      <c r="AD153" s="268"/>
      <c r="AE153" s="268"/>
      <c r="AF153" s="268"/>
      <c r="AG153" s="268"/>
      <c r="AH153" s="268"/>
      <c r="AI153" s="268"/>
      <c r="AJ153" s="268"/>
      <c r="AK153" s="268"/>
      <c r="AL153" s="268"/>
      <c r="AM153" s="268"/>
      <c r="AN153" s="268"/>
      <c r="AO153" s="268"/>
      <c r="AP153" s="268"/>
      <c r="AQ153" s="268"/>
      <c r="AR153" s="268"/>
      <c r="AS153" s="268"/>
      <c r="AT153" s="268"/>
      <c r="AU153" s="268"/>
      <c r="AV153" s="268"/>
      <c r="AW153" s="268"/>
      <c r="AX153" s="268"/>
      <c r="AY153" s="268"/>
      <c r="AZ153" s="268"/>
      <c r="BA153" s="268"/>
      <c r="BB153" s="268"/>
      <c r="BC153" s="268"/>
      <c r="BD153" s="268"/>
      <c r="BE153" s="268"/>
      <c r="BF153" s="268"/>
      <c r="BG153" s="268"/>
      <c r="BH153" s="268"/>
      <c r="BI153" s="268"/>
      <c r="BJ153" s="494"/>
      <c r="BK153" s="494"/>
      <c r="BL153" s="494"/>
      <c r="BM153" s="494"/>
      <c r="BN153" s="494"/>
      <c r="BO153" s="494"/>
      <c r="BP153" s="494"/>
      <c r="BQ153" s="494"/>
      <c r="BR153" s="494"/>
      <c r="BS153" s="494"/>
      <c r="BT153" s="494"/>
      <c r="BU153" s="494"/>
      <c r="BV153" s="494"/>
      <c r="BW153" s="494"/>
      <c r="BX153" s="494"/>
      <c r="BY153" s="494"/>
      <c r="BZ153" s="494"/>
      <c r="CA153" s="494"/>
      <c r="CB153" s="494"/>
      <c r="CC153" s="494"/>
      <c r="CD153" s="494"/>
      <c r="CE153" s="494"/>
      <c r="CF153" s="494"/>
      <c r="CG153" s="494"/>
      <c r="CM153" s="197"/>
      <c r="CN153" s="197"/>
      <c r="CU153" s="137"/>
    </row>
    <row r="154" spans="4:99">
      <c r="D154" s="53"/>
      <c r="I154" s="53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  <c r="AA154" s="268"/>
      <c r="AB154" s="268"/>
      <c r="AC154" s="268"/>
      <c r="AD154" s="268"/>
      <c r="AE154" s="268"/>
      <c r="AF154" s="268"/>
      <c r="AG154" s="268"/>
      <c r="AH154" s="268"/>
      <c r="AI154" s="268"/>
      <c r="AJ154" s="268"/>
      <c r="AK154" s="268"/>
      <c r="AL154" s="268"/>
      <c r="AM154" s="268"/>
      <c r="AN154" s="268"/>
      <c r="AO154" s="268"/>
      <c r="AP154" s="268"/>
      <c r="AQ154" s="268"/>
      <c r="AR154" s="268"/>
      <c r="AS154" s="268"/>
      <c r="AT154" s="268"/>
      <c r="AU154" s="268"/>
      <c r="AV154" s="268"/>
      <c r="AW154" s="268"/>
      <c r="AX154" s="268"/>
      <c r="AY154" s="268"/>
      <c r="AZ154" s="268"/>
      <c r="BA154" s="268"/>
      <c r="BB154" s="268"/>
      <c r="BC154" s="268"/>
      <c r="BD154" s="268"/>
      <c r="BE154" s="268"/>
      <c r="BF154" s="268"/>
      <c r="BG154" s="268"/>
      <c r="BH154" s="268"/>
      <c r="BI154" s="268"/>
      <c r="BJ154" s="494"/>
      <c r="BK154" s="494"/>
      <c r="BL154" s="494"/>
      <c r="BM154" s="494"/>
      <c r="BN154" s="494"/>
      <c r="BO154" s="494"/>
      <c r="BP154" s="494"/>
      <c r="BQ154" s="494"/>
      <c r="BR154" s="494"/>
      <c r="BS154" s="494"/>
      <c r="BT154" s="494"/>
      <c r="BU154" s="494"/>
      <c r="BV154" s="494"/>
      <c r="BW154" s="494"/>
      <c r="BX154" s="494"/>
      <c r="BY154" s="494"/>
      <c r="BZ154" s="494"/>
      <c r="CA154" s="494"/>
      <c r="CB154" s="494"/>
      <c r="CC154" s="494"/>
      <c r="CD154" s="494"/>
      <c r="CE154" s="494"/>
      <c r="CF154" s="494"/>
      <c r="CG154" s="494"/>
      <c r="CM154" s="197"/>
      <c r="CN154" s="197"/>
      <c r="CU154" s="137"/>
    </row>
    <row r="155" spans="4:99">
      <c r="D155" s="53"/>
      <c r="I155" s="53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  <c r="AA155" s="268"/>
      <c r="AB155" s="268"/>
      <c r="AC155" s="268"/>
      <c r="AD155" s="268"/>
      <c r="AE155" s="268"/>
      <c r="AF155" s="268"/>
      <c r="AG155" s="268"/>
      <c r="AH155" s="268"/>
      <c r="AI155" s="268"/>
      <c r="AJ155" s="268"/>
      <c r="AK155" s="268"/>
      <c r="AL155" s="268"/>
      <c r="AM155" s="268"/>
      <c r="AN155" s="268"/>
      <c r="AO155" s="268"/>
      <c r="AP155" s="268"/>
      <c r="AQ155" s="268"/>
      <c r="AR155" s="268"/>
      <c r="AS155" s="268"/>
      <c r="AT155" s="268"/>
      <c r="AU155" s="268"/>
      <c r="AV155" s="268"/>
      <c r="AW155" s="268"/>
      <c r="AX155" s="268"/>
      <c r="AY155" s="268"/>
      <c r="AZ155" s="268"/>
      <c r="BA155" s="268"/>
      <c r="BB155" s="268"/>
      <c r="BC155" s="268"/>
      <c r="BD155" s="268"/>
      <c r="BE155" s="268"/>
      <c r="BF155" s="268"/>
      <c r="BG155" s="268"/>
      <c r="BH155" s="268"/>
      <c r="BI155" s="268"/>
      <c r="BJ155" s="494"/>
      <c r="BK155" s="494"/>
      <c r="BL155" s="494"/>
      <c r="BM155" s="494"/>
      <c r="BN155" s="494"/>
      <c r="BO155" s="494"/>
      <c r="BP155" s="494"/>
      <c r="BQ155" s="494"/>
      <c r="BR155" s="494"/>
      <c r="BS155" s="494"/>
      <c r="BT155" s="494"/>
      <c r="BU155" s="494"/>
      <c r="BV155" s="494"/>
      <c r="BW155" s="494"/>
      <c r="BX155" s="494"/>
      <c r="BY155" s="494"/>
      <c r="BZ155" s="494"/>
      <c r="CA155" s="494"/>
      <c r="CB155" s="494"/>
      <c r="CC155" s="494"/>
      <c r="CD155" s="494"/>
      <c r="CE155" s="494"/>
      <c r="CF155" s="494"/>
      <c r="CG155" s="494"/>
      <c r="CM155" s="197"/>
      <c r="CN155" s="197"/>
      <c r="CU155" s="137"/>
    </row>
    <row r="156" spans="4:99">
      <c r="D156" s="53"/>
      <c r="I156" s="53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  <c r="AA156" s="268"/>
      <c r="AB156" s="268"/>
      <c r="AC156" s="268"/>
      <c r="AD156" s="268"/>
      <c r="AE156" s="268"/>
      <c r="AF156" s="268"/>
      <c r="AG156" s="268"/>
      <c r="AH156" s="268"/>
      <c r="AI156" s="268"/>
      <c r="AJ156" s="268"/>
      <c r="AK156" s="268"/>
      <c r="AL156" s="268"/>
      <c r="AM156" s="268"/>
      <c r="AN156" s="268"/>
      <c r="AO156" s="268"/>
      <c r="AP156" s="268"/>
      <c r="AQ156" s="268"/>
      <c r="AR156" s="268"/>
      <c r="AS156" s="268"/>
      <c r="AT156" s="268"/>
      <c r="AU156" s="268"/>
      <c r="AV156" s="268"/>
      <c r="AW156" s="268"/>
      <c r="AX156" s="268"/>
      <c r="AY156" s="268"/>
      <c r="AZ156" s="268"/>
      <c r="BA156" s="268"/>
      <c r="BB156" s="268"/>
      <c r="BC156" s="268"/>
      <c r="BD156" s="268"/>
      <c r="BE156" s="268"/>
      <c r="BF156" s="268"/>
      <c r="BG156" s="268"/>
      <c r="BH156" s="268"/>
      <c r="BI156" s="268"/>
      <c r="BJ156" s="494"/>
      <c r="BK156" s="494"/>
      <c r="BL156" s="494"/>
      <c r="BM156" s="494"/>
      <c r="BN156" s="494"/>
      <c r="BO156" s="494"/>
      <c r="BP156" s="494"/>
      <c r="BQ156" s="494"/>
      <c r="BR156" s="494"/>
      <c r="BS156" s="494"/>
      <c r="BT156" s="494"/>
      <c r="BU156" s="494"/>
      <c r="BV156" s="494"/>
      <c r="BW156" s="494"/>
      <c r="BX156" s="494"/>
      <c r="BY156" s="494"/>
      <c r="BZ156" s="494"/>
      <c r="CA156" s="494"/>
      <c r="CB156" s="494"/>
      <c r="CC156" s="494"/>
      <c r="CD156" s="494"/>
      <c r="CE156" s="494"/>
      <c r="CF156" s="494"/>
      <c r="CG156" s="494"/>
      <c r="CM156" s="197"/>
      <c r="CN156" s="197"/>
      <c r="CU156" s="137"/>
    </row>
    <row r="157" spans="4:99">
      <c r="D157" s="53"/>
      <c r="I157" s="53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  <c r="AA157" s="268"/>
      <c r="AB157" s="268"/>
      <c r="AC157" s="268"/>
      <c r="AD157" s="268"/>
      <c r="AE157" s="268"/>
      <c r="AF157" s="268"/>
      <c r="AG157" s="268"/>
      <c r="AH157" s="268"/>
      <c r="AI157" s="268"/>
      <c r="AJ157" s="268"/>
      <c r="AK157" s="268"/>
      <c r="AL157" s="268"/>
      <c r="AM157" s="268"/>
      <c r="AN157" s="268"/>
      <c r="AO157" s="268"/>
      <c r="AP157" s="268"/>
      <c r="AQ157" s="268"/>
      <c r="AR157" s="268"/>
      <c r="AS157" s="268"/>
      <c r="AT157" s="268"/>
      <c r="AU157" s="268"/>
      <c r="AV157" s="268"/>
      <c r="AW157" s="268"/>
      <c r="AX157" s="268"/>
      <c r="AY157" s="268"/>
      <c r="AZ157" s="268"/>
      <c r="BA157" s="268"/>
      <c r="BB157" s="268"/>
      <c r="BC157" s="268"/>
      <c r="BD157" s="268"/>
      <c r="BE157" s="268"/>
      <c r="BF157" s="268"/>
      <c r="BG157" s="268"/>
      <c r="BH157" s="268"/>
      <c r="BI157" s="268"/>
      <c r="BJ157" s="494"/>
      <c r="BK157" s="494"/>
      <c r="BL157" s="494"/>
      <c r="BM157" s="494"/>
      <c r="BN157" s="494"/>
      <c r="BO157" s="494"/>
      <c r="BP157" s="494"/>
      <c r="BQ157" s="494"/>
      <c r="BR157" s="494"/>
      <c r="BS157" s="494"/>
      <c r="BT157" s="494"/>
      <c r="BU157" s="494"/>
      <c r="BV157" s="494"/>
      <c r="BW157" s="494"/>
      <c r="BX157" s="494"/>
      <c r="BY157" s="494"/>
      <c r="BZ157" s="494"/>
      <c r="CA157" s="494"/>
      <c r="CB157" s="494"/>
      <c r="CC157" s="494"/>
      <c r="CD157" s="494"/>
      <c r="CE157" s="494"/>
      <c r="CF157" s="494"/>
      <c r="CG157" s="494"/>
      <c r="CM157" s="197"/>
      <c r="CN157" s="197"/>
      <c r="CU157" s="137"/>
    </row>
    <row r="158" spans="4:99">
      <c r="D158" s="53"/>
      <c r="I158" s="53"/>
      <c r="N158" s="268"/>
      <c r="O158" s="268"/>
      <c r="P158" s="268"/>
      <c r="Q158" s="268"/>
      <c r="R158" s="268"/>
      <c r="S158" s="268"/>
      <c r="T158" s="268"/>
      <c r="U158" s="268"/>
      <c r="V158" s="268"/>
      <c r="W158" s="268"/>
      <c r="X158" s="268"/>
      <c r="Y158" s="268"/>
      <c r="Z158" s="268"/>
      <c r="AA158" s="268"/>
      <c r="AB158" s="268"/>
      <c r="AC158" s="268"/>
      <c r="AD158" s="268"/>
      <c r="AE158" s="268"/>
      <c r="AF158" s="268"/>
      <c r="AG158" s="268"/>
      <c r="AH158" s="268"/>
      <c r="AI158" s="268"/>
      <c r="AJ158" s="268"/>
      <c r="AK158" s="268"/>
      <c r="AL158" s="268"/>
      <c r="AM158" s="268"/>
      <c r="AN158" s="268"/>
      <c r="AO158" s="268"/>
      <c r="AP158" s="268"/>
      <c r="AQ158" s="268"/>
      <c r="AR158" s="268"/>
      <c r="AS158" s="268"/>
      <c r="AT158" s="268"/>
      <c r="AU158" s="268"/>
      <c r="AV158" s="268"/>
      <c r="AW158" s="268"/>
      <c r="AX158" s="268"/>
      <c r="AY158" s="268"/>
      <c r="AZ158" s="268"/>
      <c r="BA158" s="268"/>
      <c r="BB158" s="268"/>
      <c r="BC158" s="268"/>
      <c r="BD158" s="268"/>
      <c r="BE158" s="268"/>
      <c r="BF158" s="268"/>
      <c r="BG158" s="268"/>
      <c r="BH158" s="268"/>
      <c r="BI158" s="268"/>
      <c r="BJ158" s="494"/>
      <c r="BK158" s="494"/>
      <c r="BL158" s="494"/>
      <c r="BM158" s="494"/>
      <c r="BN158" s="494"/>
      <c r="BO158" s="494"/>
      <c r="BP158" s="494"/>
      <c r="BQ158" s="494"/>
      <c r="BR158" s="494"/>
      <c r="BS158" s="494"/>
      <c r="BT158" s="494"/>
      <c r="BU158" s="494"/>
      <c r="BV158" s="494"/>
      <c r="BW158" s="494"/>
      <c r="BX158" s="494"/>
      <c r="BY158" s="494"/>
      <c r="BZ158" s="494"/>
      <c r="CA158" s="494"/>
      <c r="CB158" s="494"/>
      <c r="CC158" s="494"/>
      <c r="CD158" s="494"/>
      <c r="CE158" s="494"/>
      <c r="CF158" s="494"/>
      <c r="CG158" s="494"/>
      <c r="CM158" s="197"/>
      <c r="CN158" s="197"/>
      <c r="CU158" s="137"/>
    </row>
    <row r="159" spans="4:99">
      <c r="D159" s="53"/>
      <c r="I159" s="53"/>
      <c r="N159" s="268"/>
      <c r="O159" s="268"/>
      <c r="P159" s="268"/>
      <c r="Q159" s="268"/>
      <c r="R159" s="268"/>
      <c r="S159" s="268"/>
      <c r="T159" s="268"/>
      <c r="U159" s="268"/>
      <c r="V159" s="268"/>
      <c r="W159" s="268"/>
      <c r="X159" s="268"/>
      <c r="Y159" s="268"/>
      <c r="Z159" s="268"/>
      <c r="AA159" s="268"/>
      <c r="AB159" s="268"/>
      <c r="AC159" s="268"/>
      <c r="AD159" s="268"/>
      <c r="AE159" s="268"/>
      <c r="AF159" s="268"/>
      <c r="AG159" s="268"/>
      <c r="AH159" s="268"/>
      <c r="AI159" s="268"/>
      <c r="AJ159" s="268"/>
      <c r="AK159" s="268"/>
      <c r="AL159" s="268"/>
      <c r="AM159" s="268"/>
      <c r="AN159" s="268"/>
      <c r="AO159" s="268"/>
      <c r="AP159" s="268"/>
      <c r="AQ159" s="268"/>
      <c r="AR159" s="268"/>
      <c r="AS159" s="268"/>
      <c r="AT159" s="268"/>
      <c r="AU159" s="268"/>
      <c r="AV159" s="268"/>
      <c r="AW159" s="268"/>
      <c r="AX159" s="268"/>
      <c r="AY159" s="268"/>
      <c r="AZ159" s="268"/>
      <c r="BA159" s="268"/>
      <c r="BB159" s="268"/>
      <c r="BC159" s="268"/>
      <c r="BD159" s="268"/>
      <c r="BE159" s="268"/>
      <c r="BF159" s="268"/>
      <c r="BG159" s="268"/>
      <c r="BH159" s="268"/>
      <c r="BI159" s="268"/>
      <c r="BJ159" s="494"/>
      <c r="BK159" s="494"/>
      <c r="BL159" s="494"/>
      <c r="BM159" s="494"/>
      <c r="BN159" s="494"/>
      <c r="BO159" s="494"/>
      <c r="BP159" s="494"/>
      <c r="BQ159" s="494"/>
      <c r="BR159" s="494"/>
      <c r="BS159" s="494"/>
      <c r="BT159" s="494"/>
      <c r="BU159" s="494"/>
      <c r="BV159" s="494"/>
      <c r="BW159" s="494"/>
      <c r="BX159" s="494"/>
      <c r="BY159" s="494"/>
      <c r="BZ159" s="494"/>
      <c r="CA159" s="494"/>
      <c r="CB159" s="494"/>
      <c r="CC159" s="494"/>
      <c r="CD159" s="494"/>
      <c r="CE159" s="494"/>
      <c r="CF159" s="494"/>
      <c r="CG159" s="494"/>
      <c r="CM159" s="197"/>
      <c r="CN159" s="197"/>
      <c r="CU159" s="137"/>
    </row>
    <row r="160" spans="4:99">
      <c r="D160" s="53"/>
      <c r="I160" s="53"/>
      <c r="N160" s="268"/>
      <c r="O160" s="268"/>
      <c r="P160" s="268"/>
      <c r="Q160" s="268"/>
      <c r="R160" s="268"/>
      <c r="S160" s="268"/>
      <c r="T160" s="268"/>
      <c r="U160" s="268"/>
      <c r="V160" s="268"/>
      <c r="W160" s="268"/>
      <c r="X160" s="268"/>
      <c r="Y160" s="268"/>
      <c r="Z160" s="268"/>
      <c r="AA160" s="268"/>
      <c r="AB160" s="268"/>
      <c r="AC160" s="268"/>
      <c r="AD160" s="268"/>
      <c r="AE160" s="268"/>
      <c r="AF160" s="268"/>
      <c r="AG160" s="268"/>
      <c r="AH160" s="268"/>
      <c r="AI160" s="268"/>
      <c r="AJ160" s="268"/>
      <c r="AK160" s="268"/>
      <c r="AL160" s="268"/>
      <c r="AM160" s="268"/>
      <c r="AN160" s="268"/>
      <c r="AO160" s="268"/>
      <c r="AP160" s="268"/>
      <c r="AQ160" s="268"/>
      <c r="AR160" s="268"/>
      <c r="AS160" s="268"/>
      <c r="AT160" s="268"/>
      <c r="AU160" s="268"/>
      <c r="AV160" s="268"/>
      <c r="AW160" s="268"/>
      <c r="AX160" s="268"/>
      <c r="AY160" s="268"/>
      <c r="AZ160" s="268"/>
      <c r="BA160" s="268"/>
      <c r="BB160" s="268"/>
      <c r="BC160" s="268"/>
      <c r="BD160" s="268"/>
      <c r="BE160" s="268"/>
      <c r="BF160" s="268"/>
      <c r="BG160" s="268"/>
      <c r="BH160" s="268"/>
      <c r="BI160" s="268"/>
      <c r="BJ160" s="494"/>
      <c r="BK160" s="494"/>
      <c r="BL160" s="494"/>
      <c r="BM160" s="494"/>
      <c r="BN160" s="494"/>
      <c r="BO160" s="494"/>
      <c r="BP160" s="494"/>
      <c r="BQ160" s="494"/>
      <c r="BR160" s="494"/>
      <c r="BS160" s="494"/>
      <c r="BT160" s="494"/>
      <c r="BU160" s="494"/>
      <c r="BV160" s="494"/>
      <c r="BW160" s="494"/>
      <c r="BX160" s="494"/>
      <c r="BY160" s="494"/>
      <c r="BZ160" s="494"/>
      <c r="CA160" s="494"/>
      <c r="CB160" s="494"/>
      <c r="CC160" s="494"/>
      <c r="CD160" s="494"/>
      <c r="CE160" s="494"/>
      <c r="CF160" s="494"/>
      <c r="CG160" s="494"/>
      <c r="CM160" s="197"/>
      <c r="CN160" s="197"/>
      <c r="CU160" s="137"/>
    </row>
    <row r="161" spans="4:99">
      <c r="D161" s="53"/>
      <c r="I161" s="53"/>
      <c r="N161" s="268"/>
      <c r="O161" s="268"/>
      <c r="P161" s="268"/>
      <c r="Q161" s="268"/>
      <c r="R161" s="268"/>
      <c r="S161" s="268"/>
      <c r="T161" s="268"/>
      <c r="U161" s="268"/>
      <c r="V161" s="268"/>
      <c r="W161" s="268"/>
      <c r="X161" s="268"/>
      <c r="Y161" s="268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8"/>
      <c r="AL161" s="268"/>
      <c r="AM161" s="268"/>
      <c r="AN161" s="268"/>
      <c r="AO161" s="268"/>
      <c r="AP161" s="268"/>
      <c r="AQ161" s="268"/>
      <c r="AR161" s="268"/>
      <c r="AS161" s="268"/>
      <c r="AT161" s="268"/>
      <c r="AU161" s="268"/>
      <c r="AV161" s="268"/>
      <c r="AW161" s="268"/>
      <c r="AX161" s="268"/>
      <c r="AY161" s="268"/>
      <c r="AZ161" s="268"/>
      <c r="BA161" s="268"/>
      <c r="BB161" s="268"/>
      <c r="BC161" s="268"/>
      <c r="BD161" s="268"/>
      <c r="BE161" s="268"/>
      <c r="BF161" s="268"/>
      <c r="BG161" s="268"/>
      <c r="BH161" s="268"/>
      <c r="BI161" s="268"/>
      <c r="BJ161" s="494"/>
      <c r="BK161" s="494"/>
      <c r="BL161" s="494"/>
      <c r="BM161" s="494"/>
      <c r="BN161" s="494"/>
      <c r="BO161" s="494"/>
      <c r="BP161" s="494"/>
      <c r="BQ161" s="494"/>
      <c r="BR161" s="494"/>
      <c r="BS161" s="494"/>
      <c r="BT161" s="494"/>
      <c r="BU161" s="494"/>
      <c r="BV161" s="494"/>
      <c r="BW161" s="494"/>
      <c r="BX161" s="494"/>
      <c r="BY161" s="494"/>
      <c r="BZ161" s="494"/>
      <c r="CA161" s="494"/>
      <c r="CB161" s="494"/>
      <c r="CC161" s="494"/>
      <c r="CD161" s="494"/>
      <c r="CE161" s="494"/>
      <c r="CF161" s="494"/>
      <c r="CG161" s="494"/>
      <c r="CM161" s="197"/>
      <c r="CN161" s="197"/>
      <c r="CU161" s="137"/>
    </row>
    <row r="162" spans="4:99">
      <c r="D162" s="53"/>
      <c r="I162" s="53"/>
      <c r="N162" s="268"/>
      <c r="O162" s="268"/>
      <c r="P162" s="268"/>
      <c r="Q162" s="268"/>
      <c r="R162" s="268"/>
      <c r="S162" s="268"/>
      <c r="T162" s="268"/>
      <c r="U162" s="268"/>
      <c r="V162" s="268"/>
      <c r="W162" s="268"/>
      <c r="X162" s="268"/>
      <c r="Y162" s="268"/>
      <c r="Z162" s="268"/>
      <c r="AA162" s="268"/>
      <c r="AB162" s="268"/>
      <c r="AC162" s="268"/>
      <c r="AD162" s="268"/>
      <c r="AE162" s="268"/>
      <c r="AF162" s="268"/>
      <c r="AG162" s="268"/>
      <c r="AH162" s="268"/>
      <c r="AI162" s="268"/>
      <c r="AJ162" s="268"/>
      <c r="AK162" s="268"/>
      <c r="AL162" s="268"/>
      <c r="AM162" s="268"/>
      <c r="AN162" s="268"/>
      <c r="AO162" s="268"/>
      <c r="AP162" s="268"/>
      <c r="AQ162" s="268"/>
      <c r="AR162" s="268"/>
      <c r="AS162" s="268"/>
      <c r="AT162" s="268"/>
      <c r="AU162" s="268"/>
      <c r="AV162" s="268"/>
      <c r="AW162" s="268"/>
      <c r="AX162" s="268"/>
      <c r="AY162" s="268"/>
      <c r="AZ162" s="268"/>
      <c r="BA162" s="268"/>
      <c r="BB162" s="268"/>
      <c r="BC162" s="268"/>
      <c r="BD162" s="268"/>
      <c r="BE162" s="268"/>
      <c r="BF162" s="268"/>
      <c r="BG162" s="268"/>
      <c r="BH162" s="268"/>
      <c r="BI162" s="268"/>
      <c r="BJ162" s="494"/>
      <c r="BK162" s="494"/>
      <c r="BL162" s="494"/>
      <c r="BM162" s="494"/>
      <c r="BN162" s="494"/>
      <c r="BO162" s="494"/>
      <c r="BP162" s="494"/>
      <c r="BQ162" s="494"/>
      <c r="BR162" s="494"/>
      <c r="BS162" s="494"/>
      <c r="BT162" s="494"/>
      <c r="BU162" s="494"/>
      <c r="BV162" s="494"/>
      <c r="BW162" s="494"/>
      <c r="BX162" s="494"/>
      <c r="BY162" s="494"/>
      <c r="BZ162" s="494"/>
      <c r="CA162" s="494"/>
      <c r="CB162" s="494"/>
      <c r="CC162" s="494"/>
      <c r="CD162" s="494"/>
      <c r="CE162" s="494"/>
      <c r="CF162" s="494"/>
      <c r="CG162" s="494"/>
      <c r="CM162" s="197"/>
      <c r="CN162" s="197"/>
      <c r="CU162" s="137"/>
    </row>
    <row r="163" spans="4:99">
      <c r="D163" s="53"/>
      <c r="I163" s="53"/>
      <c r="N163" s="268"/>
      <c r="O163" s="268"/>
      <c r="P163" s="268"/>
      <c r="Q163" s="268"/>
      <c r="R163" s="268"/>
      <c r="S163" s="268"/>
      <c r="T163" s="268"/>
      <c r="U163" s="268"/>
      <c r="V163" s="268"/>
      <c r="W163" s="268"/>
      <c r="X163" s="268"/>
      <c r="Y163" s="268"/>
      <c r="Z163" s="268"/>
      <c r="AA163" s="26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8"/>
      <c r="AL163" s="268"/>
      <c r="AM163" s="268"/>
      <c r="AN163" s="268"/>
      <c r="AO163" s="268"/>
      <c r="AP163" s="268"/>
      <c r="AQ163" s="268"/>
      <c r="AR163" s="268"/>
      <c r="AS163" s="268"/>
      <c r="AT163" s="268"/>
      <c r="AU163" s="268"/>
      <c r="AV163" s="268"/>
      <c r="AW163" s="268"/>
      <c r="AX163" s="268"/>
      <c r="AY163" s="268"/>
      <c r="AZ163" s="268"/>
      <c r="BA163" s="268"/>
      <c r="BB163" s="268"/>
      <c r="BC163" s="268"/>
      <c r="BD163" s="268"/>
      <c r="BE163" s="268"/>
      <c r="BF163" s="268"/>
      <c r="BG163" s="268"/>
      <c r="BH163" s="268"/>
      <c r="BI163" s="268"/>
      <c r="BJ163" s="494"/>
      <c r="BK163" s="494"/>
      <c r="BL163" s="494"/>
      <c r="BM163" s="494"/>
      <c r="BN163" s="494"/>
      <c r="BO163" s="494"/>
      <c r="BP163" s="494"/>
      <c r="BQ163" s="494"/>
      <c r="BR163" s="494"/>
      <c r="BS163" s="494"/>
      <c r="BT163" s="494"/>
      <c r="BU163" s="494"/>
      <c r="BV163" s="494"/>
      <c r="BW163" s="494"/>
      <c r="BX163" s="494"/>
      <c r="BY163" s="494"/>
      <c r="BZ163" s="494"/>
      <c r="CA163" s="494"/>
      <c r="CB163" s="494"/>
      <c r="CC163" s="494"/>
      <c r="CD163" s="494"/>
      <c r="CE163" s="494"/>
      <c r="CF163" s="494"/>
      <c r="CG163" s="494"/>
      <c r="CM163" s="197"/>
      <c r="CN163" s="197"/>
      <c r="CU163" s="137"/>
    </row>
    <row r="164" spans="4:99">
      <c r="D164" s="53"/>
      <c r="I164" s="53"/>
      <c r="N164" s="268"/>
      <c r="O164" s="268"/>
      <c r="P164" s="268"/>
      <c r="Q164" s="268"/>
      <c r="R164" s="268"/>
      <c r="S164" s="268"/>
      <c r="T164" s="268"/>
      <c r="U164" s="268"/>
      <c r="V164" s="268"/>
      <c r="W164" s="268"/>
      <c r="X164" s="268"/>
      <c r="Y164" s="268"/>
      <c r="Z164" s="268"/>
      <c r="AA164" s="268"/>
      <c r="AB164" s="268"/>
      <c r="AC164" s="268"/>
      <c r="AD164" s="268"/>
      <c r="AE164" s="268"/>
      <c r="AF164" s="268"/>
      <c r="AG164" s="268"/>
      <c r="AH164" s="268"/>
      <c r="AI164" s="268"/>
      <c r="AJ164" s="268"/>
      <c r="AK164" s="268"/>
      <c r="AL164" s="268"/>
      <c r="AM164" s="268"/>
      <c r="AN164" s="268"/>
      <c r="AO164" s="268"/>
      <c r="AP164" s="268"/>
      <c r="AQ164" s="268"/>
      <c r="AR164" s="268"/>
      <c r="AS164" s="268"/>
      <c r="AT164" s="268"/>
      <c r="AU164" s="268"/>
      <c r="AV164" s="268"/>
      <c r="AW164" s="268"/>
      <c r="AX164" s="268"/>
      <c r="AY164" s="268"/>
      <c r="AZ164" s="268"/>
      <c r="BA164" s="268"/>
      <c r="BB164" s="268"/>
      <c r="BC164" s="268"/>
      <c r="BD164" s="268"/>
      <c r="BE164" s="268"/>
      <c r="BF164" s="268"/>
      <c r="BG164" s="268"/>
      <c r="BH164" s="268"/>
      <c r="BI164" s="268"/>
      <c r="BJ164" s="494"/>
      <c r="BK164" s="494"/>
      <c r="BL164" s="494"/>
      <c r="BM164" s="494"/>
      <c r="BN164" s="494"/>
      <c r="BO164" s="494"/>
      <c r="BP164" s="494"/>
      <c r="BQ164" s="494"/>
      <c r="BR164" s="494"/>
      <c r="BS164" s="494"/>
      <c r="BT164" s="494"/>
      <c r="BU164" s="494"/>
      <c r="BV164" s="494"/>
      <c r="BW164" s="494"/>
      <c r="BX164" s="494"/>
      <c r="BY164" s="494"/>
      <c r="BZ164" s="494"/>
      <c r="CA164" s="494"/>
      <c r="CB164" s="494"/>
      <c r="CC164" s="494"/>
      <c r="CD164" s="494"/>
      <c r="CE164" s="494"/>
      <c r="CF164" s="494"/>
      <c r="CG164" s="494"/>
      <c r="CM164" s="197"/>
      <c r="CN164" s="197"/>
      <c r="CU164" s="137"/>
    </row>
    <row r="165" spans="4:99">
      <c r="D165" s="53"/>
      <c r="I165" s="53"/>
      <c r="N165" s="268"/>
      <c r="O165" s="268"/>
      <c r="P165" s="268"/>
      <c r="Q165" s="268"/>
      <c r="R165" s="268"/>
      <c r="S165" s="268"/>
      <c r="T165" s="268"/>
      <c r="U165" s="268"/>
      <c r="V165" s="268"/>
      <c r="W165" s="268"/>
      <c r="X165" s="268"/>
      <c r="Y165" s="268"/>
      <c r="Z165" s="268"/>
      <c r="AA165" s="268"/>
      <c r="AB165" s="268"/>
      <c r="AC165" s="268"/>
      <c r="AD165" s="268"/>
      <c r="AE165" s="268"/>
      <c r="AF165" s="268"/>
      <c r="AG165" s="268"/>
      <c r="AH165" s="268"/>
      <c r="AI165" s="268"/>
      <c r="AJ165" s="268"/>
      <c r="AK165" s="268"/>
      <c r="AL165" s="268"/>
      <c r="AM165" s="268"/>
      <c r="AN165" s="268"/>
      <c r="AO165" s="268"/>
      <c r="AP165" s="268"/>
      <c r="AQ165" s="268"/>
      <c r="AR165" s="268"/>
      <c r="AS165" s="268"/>
      <c r="AT165" s="268"/>
      <c r="AU165" s="268"/>
      <c r="AV165" s="268"/>
      <c r="AW165" s="268"/>
      <c r="AX165" s="268"/>
      <c r="AY165" s="268"/>
      <c r="AZ165" s="268"/>
      <c r="BA165" s="268"/>
      <c r="BB165" s="268"/>
      <c r="BC165" s="268"/>
      <c r="BD165" s="268"/>
      <c r="BE165" s="268"/>
      <c r="BF165" s="268"/>
      <c r="BG165" s="268"/>
      <c r="BH165" s="268"/>
      <c r="BI165" s="268"/>
      <c r="BJ165" s="494"/>
      <c r="BK165" s="494"/>
      <c r="BL165" s="494"/>
      <c r="BM165" s="494"/>
      <c r="BN165" s="494"/>
      <c r="BO165" s="494"/>
      <c r="BP165" s="494"/>
      <c r="BQ165" s="494"/>
      <c r="BR165" s="494"/>
      <c r="BS165" s="494"/>
      <c r="BT165" s="494"/>
      <c r="BU165" s="494"/>
      <c r="BV165" s="494"/>
      <c r="BW165" s="494"/>
      <c r="BX165" s="494"/>
      <c r="BY165" s="494"/>
      <c r="BZ165" s="494"/>
      <c r="CA165" s="494"/>
      <c r="CB165" s="494"/>
      <c r="CC165" s="494"/>
      <c r="CD165" s="494"/>
      <c r="CE165" s="494"/>
      <c r="CF165" s="494"/>
      <c r="CG165" s="494"/>
      <c r="CM165" s="197"/>
      <c r="CN165" s="197"/>
      <c r="CU165" s="137"/>
    </row>
    <row r="166" spans="4:99">
      <c r="D166" s="53"/>
      <c r="I166" s="53"/>
      <c r="N166" s="268"/>
      <c r="O166" s="268"/>
      <c r="P166" s="268"/>
      <c r="Q166" s="268"/>
      <c r="R166" s="268"/>
      <c r="S166" s="268"/>
      <c r="T166" s="268"/>
      <c r="U166" s="268"/>
      <c r="V166" s="268"/>
      <c r="W166" s="268"/>
      <c r="X166" s="268"/>
      <c r="Y166" s="268"/>
      <c r="Z166" s="268"/>
      <c r="AA166" s="268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268"/>
      <c r="AP166" s="268"/>
      <c r="AQ166" s="268"/>
      <c r="AR166" s="268"/>
      <c r="AS166" s="268"/>
      <c r="AT166" s="268"/>
      <c r="AU166" s="268"/>
      <c r="AV166" s="268"/>
      <c r="AW166" s="268"/>
      <c r="AX166" s="268"/>
      <c r="AY166" s="268"/>
      <c r="AZ166" s="268"/>
      <c r="BA166" s="268"/>
      <c r="BB166" s="268"/>
      <c r="BC166" s="268"/>
      <c r="BD166" s="268"/>
      <c r="BE166" s="268"/>
      <c r="BF166" s="268"/>
      <c r="BG166" s="268"/>
      <c r="BH166" s="268"/>
      <c r="BI166" s="268"/>
      <c r="BJ166" s="494"/>
      <c r="BK166" s="494"/>
      <c r="BL166" s="494"/>
      <c r="BM166" s="494"/>
      <c r="BN166" s="494"/>
      <c r="BO166" s="494"/>
      <c r="BP166" s="494"/>
      <c r="BQ166" s="494"/>
      <c r="BR166" s="494"/>
      <c r="BS166" s="494"/>
      <c r="BT166" s="494"/>
      <c r="BU166" s="494"/>
      <c r="BV166" s="494"/>
      <c r="BW166" s="494"/>
      <c r="BX166" s="494"/>
      <c r="BY166" s="494"/>
      <c r="BZ166" s="494"/>
      <c r="CA166" s="494"/>
      <c r="CB166" s="494"/>
      <c r="CC166" s="494"/>
      <c r="CD166" s="494"/>
      <c r="CE166" s="494"/>
      <c r="CF166" s="494"/>
      <c r="CG166" s="494"/>
      <c r="CM166" s="197"/>
      <c r="CN166" s="197"/>
      <c r="CU166" s="137"/>
    </row>
    <row r="167" spans="4:99">
      <c r="D167" s="53"/>
      <c r="I167" s="53"/>
      <c r="N167" s="268"/>
      <c r="O167" s="268"/>
      <c r="P167" s="268"/>
      <c r="Q167" s="268"/>
      <c r="R167" s="268"/>
      <c r="S167" s="268"/>
      <c r="T167" s="268"/>
      <c r="U167" s="268"/>
      <c r="V167" s="268"/>
      <c r="W167" s="268"/>
      <c r="X167" s="268"/>
      <c r="Y167" s="268"/>
      <c r="Z167" s="268"/>
      <c r="AA167" s="268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68"/>
      <c r="AL167" s="268"/>
      <c r="AM167" s="268"/>
      <c r="AN167" s="268"/>
      <c r="AO167" s="268"/>
      <c r="AP167" s="268"/>
      <c r="AQ167" s="268"/>
      <c r="AR167" s="268"/>
      <c r="AS167" s="268"/>
      <c r="AT167" s="268"/>
      <c r="AU167" s="268"/>
      <c r="AV167" s="268"/>
      <c r="AW167" s="268"/>
      <c r="AX167" s="268"/>
      <c r="AY167" s="268"/>
      <c r="AZ167" s="268"/>
      <c r="BA167" s="268"/>
      <c r="BB167" s="268"/>
      <c r="BC167" s="268"/>
      <c r="BD167" s="268"/>
      <c r="BE167" s="268"/>
      <c r="BF167" s="268"/>
      <c r="BG167" s="268"/>
      <c r="BH167" s="268"/>
      <c r="BI167" s="268"/>
      <c r="BJ167" s="494"/>
      <c r="BK167" s="494"/>
      <c r="BL167" s="494"/>
      <c r="BM167" s="494"/>
      <c r="BN167" s="494"/>
      <c r="BO167" s="494"/>
      <c r="BP167" s="494"/>
      <c r="BQ167" s="494"/>
      <c r="BR167" s="494"/>
      <c r="BS167" s="494"/>
      <c r="BT167" s="494"/>
      <c r="BU167" s="494"/>
      <c r="BV167" s="494"/>
      <c r="BW167" s="494"/>
      <c r="BX167" s="494"/>
      <c r="BY167" s="494"/>
      <c r="BZ167" s="494"/>
      <c r="CA167" s="494"/>
      <c r="CB167" s="494"/>
      <c r="CC167" s="494"/>
      <c r="CD167" s="494"/>
      <c r="CE167" s="494"/>
      <c r="CF167" s="494"/>
      <c r="CG167" s="494"/>
      <c r="CM167" s="197"/>
      <c r="CN167" s="197"/>
      <c r="CU167" s="137"/>
    </row>
    <row r="168" spans="4:99">
      <c r="D168" s="53"/>
      <c r="I168" s="53"/>
      <c r="N168" s="268"/>
      <c r="O168" s="268"/>
      <c r="P168" s="268"/>
      <c r="Q168" s="268"/>
      <c r="R168" s="268"/>
      <c r="S168" s="268"/>
      <c r="T168" s="268"/>
      <c r="U168" s="268"/>
      <c r="V168" s="268"/>
      <c r="W168" s="268"/>
      <c r="X168" s="268"/>
      <c r="Y168" s="268"/>
      <c r="Z168" s="268"/>
      <c r="AA168" s="268"/>
      <c r="AB168" s="268"/>
      <c r="AC168" s="268"/>
      <c r="AD168" s="268"/>
      <c r="AE168" s="268"/>
      <c r="AF168" s="268"/>
      <c r="AG168" s="268"/>
      <c r="AH168" s="268"/>
      <c r="AI168" s="268"/>
      <c r="AJ168" s="268"/>
      <c r="AK168" s="268"/>
      <c r="AL168" s="268"/>
      <c r="AM168" s="268"/>
      <c r="AN168" s="268"/>
      <c r="AO168" s="268"/>
      <c r="AP168" s="268"/>
      <c r="AQ168" s="268"/>
      <c r="AR168" s="268"/>
      <c r="AS168" s="268"/>
      <c r="AT168" s="268"/>
      <c r="AU168" s="268"/>
      <c r="AV168" s="268"/>
      <c r="AW168" s="268"/>
      <c r="AX168" s="268"/>
      <c r="AY168" s="268"/>
      <c r="AZ168" s="268"/>
      <c r="BA168" s="268"/>
      <c r="BB168" s="268"/>
      <c r="BC168" s="268"/>
      <c r="BD168" s="268"/>
      <c r="BE168" s="268"/>
      <c r="BF168" s="268"/>
      <c r="BG168" s="268"/>
      <c r="BH168" s="268"/>
      <c r="BI168" s="268"/>
      <c r="BJ168" s="494"/>
      <c r="BK168" s="494"/>
      <c r="BL168" s="494"/>
      <c r="BM168" s="494"/>
      <c r="BN168" s="494"/>
      <c r="BO168" s="494"/>
      <c r="BP168" s="494"/>
      <c r="BQ168" s="494"/>
      <c r="BR168" s="494"/>
      <c r="BS168" s="494"/>
      <c r="BT168" s="494"/>
      <c r="BU168" s="494"/>
      <c r="BV168" s="494"/>
      <c r="BW168" s="494"/>
      <c r="BX168" s="494"/>
      <c r="BY168" s="494"/>
      <c r="BZ168" s="494"/>
      <c r="CA168" s="494"/>
      <c r="CB168" s="494"/>
      <c r="CC168" s="494"/>
      <c r="CD168" s="494"/>
      <c r="CE168" s="494"/>
      <c r="CF168" s="494"/>
      <c r="CG168" s="494"/>
      <c r="CM168" s="197"/>
      <c r="CN168" s="197"/>
      <c r="CU168" s="137"/>
    </row>
    <row r="169" spans="4:99">
      <c r="D169" s="53"/>
      <c r="I169" s="53"/>
      <c r="N169" s="268"/>
      <c r="O169" s="268"/>
      <c r="P169" s="268"/>
      <c r="Q169" s="268"/>
      <c r="R169" s="268"/>
      <c r="S169" s="268"/>
      <c r="T169" s="268"/>
      <c r="U169" s="268"/>
      <c r="V169" s="268"/>
      <c r="W169" s="268"/>
      <c r="X169" s="268"/>
      <c r="Y169" s="268"/>
      <c r="Z169" s="268"/>
      <c r="AA169" s="268"/>
      <c r="AB169" s="268"/>
      <c r="AC169" s="268"/>
      <c r="AD169" s="268"/>
      <c r="AE169" s="268"/>
      <c r="AF169" s="268"/>
      <c r="AG169" s="268"/>
      <c r="AH169" s="268"/>
      <c r="AI169" s="268"/>
      <c r="AJ169" s="268"/>
      <c r="AK169" s="268"/>
      <c r="AL169" s="268"/>
      <c r="AM169" s="268"/>
      <c r="AN169" s="268"/>
      <c r="AO169" s="268"/>
      <c r="AP169" s="268"/>
      <c r="AQ169" s="268"/>
      <c r="AR169" s="268"/>
      <c r="AS169" s="268"/>
      <c r="AT169" s="268"/>
      <c r="AU169" s="268"/>
      <c r="AV169" s="268"/>
      <c r="AW169" s="268"/>
      <c r="AX169" s="268"/>
      <c r="AY169" s="268"/>
      <c r="AZ169" s="268"/>
      <c r="BA169" s="268"/>
      <c r="BB169" s="268"/>
      <c r="BC169" s="268"/>
      <c r="BD169" s="268"/>
      <c r="BE169" s="268"/>
      <c r="BF169" s="268"/>
      <c r="BG169" s="268"/>
      <c r="BH169" s="268"/>
      <c r="BI169" s="268"/>
      <c r="BJ169" s="494"/>
      <c r="BK169" s="494"/>
      <c r="BL169" s="494"/>
      <c r="BM169" s="494"/>
      <c r="BN169" s="494"/>
      <c r="BO169" s="494"/>
      <c r="BP169" s="494"/>
      <c r="BQ169" s="494"/>
      <c r="BR169" s="494"/>
      <c r="BS169" s="494"/>
      <c r="BT169" s="494"/>
      <c r="BU169" s="494"/>
      <c r="BV169" s="494"/>
      <c r="BW169" s="494"/>
      <c r="BX169" s="494"/>
      <c r="BY169" s="494"/>
      <c r="BZ169" s="494"/>
      <c r="CA169" s="494"/>
      <c r="CB169" s="494"/>
      <c r="CC169" s="494"/>
      <c r="CD169" s="494"/>
      <c r="CE169" s="494"/>
      <c r="CF169" s="494"/>
      <c r="CG169" s="494"/>
      <c r="CM169" s="197"/>
      <c r="CN169" s="197"/>
      <c r="CU169" s="137"/>
    </row>
    <row r="170" spans="4:99">
      <c r="D170" s="53"/>
      <c r="I170" s="53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  <c r="X170" s="268"/>
      <c r="Y170" s="268"/>
      <c r="Z170" s="268"/>
      <c r="AA170" s="268"/>
      <c r="AB170" s="268"/>
      <c r="AC170" s="268"/>
      <c r="AD170" s="268"/>
      <c r="AE170" s="268"/>
      <c r="AF170" s="268"/>
      <c r="AG170" s="268"/>
      <c r="AH170" s="268"/>
      <c r="AI170" s="268"/>
      <c r="AJ170" s="268"/>
      <c r="AK170" s="268"/>
      <c r="AL170" s="268"/>
      <c r="AM170" s="268"/>
      <c r="AN170" s="268"/>
      <c r="AO170" s="268"/>
      <c r="AP170" s="268"/>
      <c r="AQ170" s="268"/>
      <c r="AR170" s="268"/>
      <c r="AS170" s="268"/>
      <c r="AT170" s="268"/>
      <c r="AU170" s="268"/>
      <c r="AV170" s="268"/>
      <c r="AW170" s="268"/>
      <c r="AX170" s="268"/>
      <c r="AY170" s="268"/>
      <c r="AZ170" s="268"/>
      <c r="BA170" s="268"/>
      <c r="BB170" s="268"/>
      <c r="BC170" s="268"/>
      <c r="BD170" s="268"/>
      <c r="BE170" s="268"/>
      <c r="BF170" s="268"/>
      <c r="BG170" s="268"/>
      <c r="BH170" s="268"/>
      <c r="BI170" s="268"/>
      <c r="BJ170" s="494"/>
      <c r="BK170" s="494"/>
      <c r="BL170" s="494"/>
      <c r="BM170" s="494"/>
      <c r="BN170" s="494"/>
      <c r="BO170" s="494"/>
      <c r="BP170" s="494"/>
      <c r="BQ170" s="494"/>
      <c r="BR170" s="494"/>
      <c r="BS170" s="494"/>
      <c r="BT170" s="494"/>
      <c r="BU170" s="494"/>
      <c r="BV170" s="494"/>
      <c r="BW170" s="494"/>
      <c r="BX170" s="494"/>
      <c r="BY170" s="494"/>
      <c r="BZ170" s="494"/>
      <c r="CA170" s="494"/>
      <c r="CB170" s="494"/>
      <c r="CC170" s="494"/>
      <c r="CD170" s="494"/>
      <c r="CE170" s="494"/>
      <c r="CF170" s="494"/>
      <c r="CG170" s="494"/>
      <c r="CM170" s="197"/>
      <c r="CN170" s="197"/>
      <c r="CU170" s="137"/>
    </row>
    <row r="171" spans="4:99">
      <c r="D171" s="53"/>
      <c r="I171" s="53"/>
      <c r="N171" s="268"/>
      <c r="O171" s="268"/>
      <c r="P171" s="268"/>
      <c r="Q171" s="268"/>
      <c r="R171" s="268"/>
      <c r="S171" s="268"/>
      <c r="T171" s="268"/>
      <c r="U171" s="268"/>
      <c r="V171" s="268"/>
      <c r="W171" s="268"/>
      <c r="X171" s="268"/>
      <c r="Y171" s="268"/>
      <c r="Z171" s="268"/>
      <c r="AA171" s="268"/>
      <c r="AB171" s="268"/>
      <c r="AC171" s="268"/>
      <c r="AD171" s="268"/>
      <c r="AE171" s="268"/>
      <c r="AF171" s="268"/>
      <c r="AG171" s="268"/>
      <c r="AH171" s="268"/>
      <c r="AI171" s="268"/>
      <c r="AJ171" s="268"/>
      <c r="AK171" s="268"/>
      <c r="AL171" s="268"/>
      <c r="AM171" s="268"/>
      <c r="AN171" s="268"/>
      <c r="AO171" s="268"/>
      <c r="AP171" s="268"/>
      <c r="AQ171" s="268"/>
      <c r="AR171" s="268"/>
      <c r="AS171" s="268"/>
      <c r="AT171" s="268"/>
      <c r="AU171" s="268"/>
      <c r="AV171" s="268"/>
      <c r="AW171" s="268"/>
      <c r="AX171" s="268"/>
      <c r="AY171" s="268"/>
      <c r="AZ171" s="268"/>
      <c r="BA171" s="268"/>
      <c r="BB171" s="268"/>
      <c r="BC171" s="268"/>
      <c r="BD171" s="268"/>
      <c r="BE171" s="268"/>
      <c r="BF171" s="268"/>
      <c r="BG171" s="268"/>
      <c r="BH171" s="268"/>
      <c r="BI171" s="268"/>
      <c r="BJ171" s="494"/>
      <c r="BK171" s="494"/>
      <c r="BL171" s="494"/>
      <c r="BM171" s="494"/>
      <c r="BN171" s="494"/>
      <c r="BO171" s="494"/>
      <c r="BP171" s="494"/>
      <c r="BQ171" s="494"/>
      <c r="BR171" s="494"/>
      <c r="BS171" s="494"/>
      <c r="BT171" s="494"/>
      <c r="BU171" s="494"/>
      <c r="BV171" s="494"/>
      <c r="BW171" s="494"/>
      <c r="BX171" s="494"/>
      <c r="BY171" s="494"/>
      <c r="BZ171" s="494"/>
      <c r="CA171" s="494"/>
      <c r="CB171" s="494"/>
      <c r="CC171" s="494"/>
      <c r="CD171" s="494"/>
      <c r="CE171" s="494"/>
      <c r="CF171" s="494"/>
      <c r="CG171" s="494"/>
      <c r="CM171" s="197"/>
      <c r="CN171" s="197"/>
      <c r="CU171" s="137"/>
    </row>
    <row r="172" spans="4:99">
      <c r="D172" s="53"/>
      <c r="I172" s="53"/>
      <c r="N172" s="268"/>
      <c r="O172" s="268"/>
      <c r="P172" s="268"/>
      <c r="Q172" s="268"/>
      <c r="R172" s="268"/>
      <c r="S172" s="268"/>
      <c r="T172" s="268"/>
      <c r="U172" s="268"/>
      <c r="V172" s="268"/>
      <c r="W172" s="268"/>
      <c r="X172" s="268"/>
      <c r="Y172" s="268"/>
      <c r="Z172" s="268"/>
      <c r="AA172" s="268"/>
      <c r="AB172" s="268"/>
      <c r="AC172" s="268"/>
      <c r="AD172" s="268"/>
      <c r="AE172" s="268"/>
      <c r="AF172" s="268"/>
      <c r="AG172" s="268"/>
      <c r="AH172" s="268"/>
      <c r="AI172" s="268"/>
      <c r="AJ172" s="268"/>
      <c r="AK172" s="268"/>
      <c r="AL172" s="268"/>
      <c r="AM172" s="268"/>
      <c r="AN172" s="268"/>
      <c r="AO172" s="268"/>
      <c r="AP172" s="268"/>
      <c r="AQ172" s="268"/>
      <c r="AR172" s="268"/>
      <c r="AS172" s="268"/>
      <c r="AT172" s="268"/>
      <c r="AU172" s="268"/>
      <c r="AV172" s="268"/>
      <c r="AW172" s="268"/>
      <c r="AX172" s="268"/>
      <c r="AY172" s="268"/>
      <c r="AZ172" s="268"/>
      <c r="BA172" s="268"/>
      <c r="BB172" s="268"/>
      <c r="BC172" s="268"/>
      <c r="BD172" s="268"/>
      <c r="BE172" s="268"/>
      <c r="BF172" s="268"/>
      <c r="BG172" s="268"/>
      <c r="BH172" s="268"/>
      <c r="BI172" s="268"/>
      <c r="BJ172" s="494"/>
      <c r="BK172" s="494"/>
      <c r="BL172" s="494"/>
      <c r="BM172" s="494"/>
      <c r="BN172" s="494"/>
      <c r="BO172" s="494"/>
      <c r="BP172" s="494"/>
      <c r="BQ172" s="494"/>
      <c r="BR172" s="494"/>
      <c r="BS172" s="494"/>
      <c r="BT172" s="494"/>
      <c r="BU172" s="494"/>
      <c r="BV172" s="494"/>
      <c r="BW172" s="494"/>
      <c r="BX172" s="494"/>
      <c r="BY172" s="494"/>
      <c r="BZ172" s="494"/>
      <c r="CA172" s="494"/>
      <c r="CB172" s="494"/>
      <c r="CC172" s="494"/>
      <c r="CD172" s="494"/>
      <c r="CE172" s="494"/>
      <c r="CF172" s="494"/>
      <c r="CG172" s="494"/>
      <c r="CM172" s="197"/>
      <c r="CN172" s="197"/>
      <c r="CU172" s="137"/>
    </row>
    <row r="173" spans="4:99">
      <c r="D173" s="53"/>
      <c r="I173" s="53"/>
      <c r="N173" s="268"/>
      <c r="O173" s="268"/>
      <c r="P173" s="268"/>
      <c r="Q173" s="268"/>
      <c r="R173" s="268"/>
      <c r="S173" s="268"/>
      <c r="T173" s="268"/>
      <c r="U173" s="268"/>
      <c r="V173" s="268"/>
      <c r="W173" s="268"/>
      <c r="X173" s="268"/>
      <c r="Y173" s="268"/>
      <c r="Z173" s="268"/>
      <c r="AA173" s="268"/>
      <c r="AB173" s="268"/>
      <c r="AC173" s="268"/>
      <c r="AD173" s="268"/>
      <c r="AE173" s="268"/>
      <c r="AF173" s="268"/>
      <c r="AG173" s="268"/>
      <c r="AH173" s="268"/>
      <c r="AI173" s="268"/>
      <c r="AJ173" s="268"/>
      <c r="AK173" s="268"/>
      <c r="AL173" s="268"/>
      <c r="AM173" s="268"/>
      <c r="AN173" s="268"/>
      <c r="AO173" s="268"/>
      <c r="AP173" s="268"/>
      <c r="AQ173" s="268"/>
      <c r="AR173" s="268"/>
      <c r="AS173" s="268"/>
      <c r="AT173" s="268"/>
      <c r="AU173" s="268"/>
      <c r="AV173" s="268"/>
      <c r="AW173" s="268"/>
      <c r="AX173" s="268"/>
      <c r="AY173" s="268"/>
      <c r="AZ173" s="268"/>
      <c r="BA173" s="268"/>
      <c r="BB173" s="268"/>
      <c r="BC173" s="268"/>
      <c r="BD173" s="268"/>
      <c r="BE173" s="268"/>
      <c r="BF173" s="268"/>
      <c r="BG173" s="268"/>
      <c r="BH173" s="268"/>
      <c r="BI173" s="268"/>
      <c r="BJ173" s="494"/>
      <c r="BK173" s="494"/>
      <c r="BL173" s="494"/>
      <c r="BM173" s="494"/>
      <c r="BN173" s="494"/>
      <c r="BO173" s="494"/>
      <c r="BP173" s="494"/>
      <c r="BQ173" s="494"/>
      <c r="BR173" s="494"/>
      <c r="BS173" s="494"/>
      <c r="BT173" s="494"/>
      <c r="BU173" s="494"/>
      <c r="BV173" s="494"/>
      <c r="BW173" s="494"/>
      <c r="BX173" s="494"/>
      <c r="BY173" s="494"/>
      <c r="BZ173" s="494"/>
      <c r="CA173" s="494"/>
      <c r="CB173" s="494"/>
      <c r="CC173" s="494"/>
      <c r="CD173" s="494"/>
      <c r="CE173" s="494"/>
      <c r="CF173" s="494"/>
      <c r="CG173" s="494"/>
      <c r="CM173" s="197"/>
      <c r="CN173" s="197"/>
      <c r="CU173" s="137"/>
    </row>
    <row r="174" spans="4:99">
      <c r="D174" s="53"/>
      <c r="I174" s="53"/>
      <c r="N174" s="268"/>
      <c r="O174" s="268"/>
      <c r="P174" s="268"/>
      <c r="Q174" s="268"/>
      <c r="R174" s="268"/>
      <c r="S174" s="268"/>
      <c r="T174" s="268"/>
      <c r="U174" s="268"/>
      <c r="V174" s="268"/>
      <c r="W174" s="268"/>
      <c r="X174" s="268"/>
      <c r="Y174" s="268"/>
      <c r="Z174" s="268"/>
      <c r="AA174" s="268"/>
      <c r="AB174" s="268"/>
      <c r="AC174" s="268"/>
      <c r="AD174" s="268"/>
      <c r="AE174" s="268"/>
      <c r="AF174" s="268"/>
      <c r="AG174" s="268"/>
      <c r="AH174" s="268"/>
      <c r="AI174" s="268"/>
      <c r="AJ174" s="268"/>
      <c r="AK174" s="268"/>
      <c r="AL174" s="268"/>
      <c r="AM174" s="268"/>
      <c r="AN174" s="268"/>
      <c r="AO174" s="268"/>
      <c r="AP174" s="268"/>
      <c r="AQ174" s="268"/>
      <c r="AR174" s="268"/>
      <c r="AS174" s="268"/>
      <c r="AT174" s="268"/>
      <c r="AU174" s="268"/>
      <c r="AV174" s="268"/>
      <c r="AW174" s="268"/>
      <c r="AX174" s="268"/>
      <c r="AY174" s="268"/>
      <c r="AZ174" s="268"/>
      <c r="BA174" s="268"/>
      <c r="BB174" s="268"/>
      <c r="BC174" s="268"/>
      <c r="BD174" s="268"/>
      <c r="BE174" s="268"/>
      <c r="BF174" s="268"/>
      <c r="BG174" s="268"/>
      <c r="BH174" s="268"/>
      <c r="BI174" s="268"/>
      <c r="BJ174" s="494"/>
      <c r="BK174" s="494"/>
      <c r="BL174" s="494"/>
      <c r="BM174" s="494"/>
      <c r="BN174" s="494"/>
      <c r="BO174" s="494"/>
      <c r="BP174" s="494"/>
      <c r="BQ174" s="494"/>
      <c r="BR174" s="494"/>
      <c r="BS174" s="494"/>
      <c r="BT174" s="494"/>
      <c r="BU174" s="494"/>
      <c r="BV174" s="494"/>
      <c r="BW174" s="494"/>
      <c r="BX174" s="494"/>
      <c r="BY174" s="494"/>
      <c r="BZ174" s="494"/>
      <c r="CA174" s="494"/>
      <c r="CB174" s="494"/>
      <c r="CC174" s="494"/>
      <c r="CD174" s="494"/>
      <c r="CE174" s="494"/>
      <c r="CF174" s="494"/>
      <c r="CG174" s="494"/>
      <c r="CM174" s="197"/>
      <c r="CN174" s="197"/>
      <c r="CU174" s="137"/>
    </row>
    <row r="175" spans="4:99">
      <c r="D175" s="53"/>
      <c r="I175" s="53"/>
      <c r="N175" s="268"/>
      <c r="O175" s="268"/>
      <c r="P175" s="268"/>
      <c r="Q175" s="268"/>
      <c r="R175" s="268"/>
      <c r="S175" s="268"/>
      <c r="T175" s="268"/>
      <c r="U175" s="268"/>
      <c r="V175" s="268"/>
      <c r="W175" s="268"/>
      <c r="X175" s="268"/>
      <c r="Y175" s="268"/>
      <c r="Z175" s="268"/>
      <c r="AA175" s="268"/>
      <c r="AB175" s="268"/>
      <c r="AC175" s="268"/>
      <c r="AD175" s="268"/>
      <c r="AE175" s="268"/>
      <c r="AF175" s="268"/>
      <c r="AG175" s="268"/>
      <c r="AH175" s="268"/>
      <c r="AI175" s="268"/>
      <c r="AJ175" s="268"/>
      <c r="AK175" s="268"/>
      <c r="AL175" s="268"/>
      <c r="AM175" s="268"/>
      <c r="AN175" s="268"/>
      <c r="AO175" s="268"/>
      <c r="AP175" s="268"/>
      <c r="AQ175" s="268"/>
      <c r="AR175" s="268"/>
      <c r="AS175" s="268"/>
      <c r="AT175" s="268"/>
      <c r="AU175" s="268"/>
      <c r="AV175" s="268"/>
      <c r="AW175" s="268"/>
      <c r="AX175" s="268"/>
      <c r="AY175" s="268"/>
      <c r="AZ175" s="268"/>
      <c r="BA175" s="268"/>
      <c r="BB175" s="268"/>
      <c r="BC175" s="268"/>
      <c r="BD175" s="268"/>
      <c r="BE175" s="268"/>
      <c r="BF175" s="268"/>
      <c r="BG175" s="268"/>
      <c r="BH175" s="268"/>
      <c r="BI175" s="268"/>
      <c r="BJ175" s="494"/>
      <c r="BK175" s="494"/>
      <c r="BL175" s="494"/>
      <c r="BM175" s="494"/>
      <c r="BN175" s="494"/>
      <c r="BO175" s="494"/>
      <c r="BP175" s="494"/>
      <c r="BQ175" s="494"/>
      <c r="BR175" s="494"/>
      <c r="BS175" s="494"/>
      <c r="BT175" s="494"/>
      <c r="BU175" s="494"/>
      <c r="BV175" s="494"/>
      <c r="BW175" s="494"/>
      <c r="BX175" s="494"/>
      <c r="BY175" s="494"/>
      <c r="BZ175" s="494"/>
      <c r="CA175" s="494"/>
      <c r="CB175" s="494"/>
      <c r="CC175" s="494"/>
      <c r="CD175" s="494"/>
      <c r="CE175" s="494"/>
      <c r="CF175" s="494"/>
      <c r="CG175" s="494"/>
      <c r="CM175" s="197"/>
      <c r="CN175" s="197"/>
      <c r="CU175" s="137"/>
    </row>
    <row r="176" spans="4:99">
      <c r="D176" s="53"/>
      <c r="I176" s="53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  <c r="X176" s="268"/>
      <c r="Y176" s="268"/>
      <c r="Z176" s="268"/>
      <c r="AA176" s="268"/>
      <c r="AB176" s="268"/>
      <c r="AC176" s="268"/>
      <c r="AD176" s="268"/>
      <c r="AE176" s="268"/>
      <c r="AF176" s="268"/>
      <c r="AG176" s="268"/>
      <c r="AH176" s="268"/>
      <c r="AI176" s="268"/>
      <c r="AJ176" s="268"/>
      <c r="AK176" s="268"/>
      <c r="AL176" s="268"/>
      <c r="AM176" s="268"/>
      <c r="AN176" s="268"/>
      <c r="AO176" s="268"/>
      <c r="AP176" s="268"/>
      <c r="AQ176" s="268"/>
      <c r="AR176" s="268"/>
      <c r="AS176" s="268"/>
      <c r="AT176" s="268"/>
      <c r="AU176" s="268"/>
      <c r="AV176" s="268"/>
      <c r="AW176" s="268"/>
      <c r="AX176" s="268"/>
      <c r="AY176" s="268"/>
      <c r="AZ176" s="268"/>
      <c r="BA176" s="268"/>
      <c r="BB176" s="268"/>
      <c r="BC176" s="268"/>
      <c r="BD176" s="268"/>
      <c r="BE176" s="268"/>
      <c r="BF176" s="268"/>
      <c r="BG176" s="268"/>
      <c r="BH176" s="268"/>
      <c r="BI176" s="268"/>
      <c r="BJ176" s="494"/>
      <c r="BK176" s="494"/>
      <c r="BL176" s="494"/>
      <c r="BM176" s="494"/>
      <c r="BN176" s="494"/>
      <c r="BO176" s="494"/>
      <c r="BP176" s="494"/>
      <c r="BQ176" s="494"/>
      <c r="BR176" s="494"/>
      <c r="BS176" s="494"/>
      <c r="BT176" s="494"/>
      <c r="BU176" s="494"/>
      <c r="BV176" s="494"/>
      <c r="BW176" s="494"/>
      <c r="BX176" s="494"/>
      <c r="BY176" s="494"/>
      <c r="BZ176" s="494"/>
      <c r="CA176" s="494"/>
      <c r="CB176" s="494"/>
      <c r="CC176" s="494"/>
      <c r="CD176" s="494"/>
      <c r="CE176" s="494"/>
      <c r="CF176" s="494"/>
      <c r="CG176" s="494"/>
      <c r="CM176" s="197"/>
      <c r="CN176" s="197"/>
      <c r="CU176" s="137"/>
    </row>
    <row r="177" spans="4:99">
      <c r="D177" s="53"/>
      <c r="I177" s="53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  <c r="X177" s="268"/>
      <c r="Y177" s="268"/>
      <c r="Z177" s="268"/>
      <c r="AA177" s="268"/>
      <c r="AB177" s="268"/>
      <c r="AC177" s="268"/>
      <c r="AD177" s="268"/>
      <c r="AE177" s="268"/>
      <c r="AF177" s="268"/>
      <c r="AG177" s="268"/>
      <c r="AH177" s="268"/>
      <c r="AI177" s="268"/>
      <c r="AJ177" s="268"/>
      <c r="AK177" s="268"/>
      <c r="AL177" s="268"/>
      <c r="AM177" s="268"/>
      <c r="AN177" s="268"/>
      <c r="AO177" s="268"/>
      <c r="AP177" s="268"/>
      <c r="AQ177" s="268"/>
      <c r="AR177" s="268"/>
      <c r="AS177" s="268"/>
      <c r="AT177" s="268"/>
      <c r="AU177" s="268"/>
      <c r="AV177" s="268"/>
      <c r="AW177" s="268"/>
      <c r="AX177" s="268"/>
      <c r="AY177" s="268"/>
      <c r="AZ177" s="268"/>
      <c r="BA177" s="268"/>
      <c r="BB177" s="268"/>
      <c r="BC177" s="268"/>
      <c r="BD177" s="268"/>
      <c r="BE177" s="268"/>
      <c r="BF177" s="268"/>
      <c r="BG177" s="268"/>
      <c r="BH177" s="268"/>
      <c r="BI177" s="268"/>
      <c r="BJ177" s="494"/>
      <c r="BK177" s="494"/>
      <c r="BL177" s="494"/>
      <c r="BM177" s="494"/>
      <c r="BN177" s="494"/>
      <c r="BO177" s="494"/>
      <c r="BP177" s="494"/>
      <c r="BQ177" s="494"/>
      <c r="BR177" s="494"/>
      <c r="BS177" s="494"/>
      <c r="BT177" s="494"/>
      <c r="BU177" s="494"/>
      <c r="BV177" s="494"/>
      <c r="BW177" s="494"/>
      <c r="BX177" s="494"/>
      <c r="BY177" s="494"/>
      <c r="BZ177" s="494"/>
      <c r="CA177" s="494"/>
      <c r="CB177" s="494"/>
      <c r="CC177" s="494"/>
      <c r="CD177" s="494"/>
      <c r="CE177" s="494"/>
      <c r="CF177" s="494"/>
      <c r="CG177" s="494"/>
      <c r="CM177" s="197"/>
      <c r="CN177" s="197"/>
      <c r="CU177" s="137"/>
    </row>
    <row r="178" spans="4:99">
      <c r="D178" s="53"/>
      <c r="I178" s="53"/>
      <c r="N178" s="268"/>
      <c r="O178" s="268"/>
      <c r="P178" s="268"/>
      <c r="Q178" s="268"/>
      <c r="R178" s="268"/>
      <c r="S178" s="268"/>
      <c r="T178" s="268"/>
      <c r="U178" s="268"/>
      <c r="V178" s="268"/>
      <c r="W178" s="268"/>
      <c r="X178" s="268"/>
      <c r="Y178" s="268"/>
      <c r="Z178" s="268"/>
      <c r="AA178" s="268"/>
      <c r="AB178" s="268"/>
      <c r="AC178" s="268"/>
      <c r="AD178" s="268"/>
      <c r="AE178" s="268"/>
      <c r="AF178" s="268"/>
      <c r="AG178" s="268"/>
      <c r="AH178" s="268"/>
      <c r="AI178" s="268"/>
      <c r="AJ178" s="268"/>
      <c r="AK178" s="268"/>
      <c r="AL178" s="268"/>
      <c r="AM178" s="268"/>
      <c r="AN178" s="268"/>
      <c r="AO178" s="268"/>
      <c r="AP178" s="268"/>
      <c r="AQ178" s="268"/>
      <c r="AR178" s="268"/>
      <c r="AS178" s="268"/>
      <c r="AT178" s="268"/>
      <c r="AU178" s="268"/>
      <c r="AV178" s="268"/>
      <c r="AW178" s="268"/>
      <c r="AX178" s="268"/>
      <c r="AY178" s="268"/>
      <c r="AZ178" s="268"/>
      <c r="BA178" s="268"/>
      <c r="BB178" s="268"/>
      <c r="BC178" s="268"/>
      <c r="BD178" s="268"/>
      <c r="BE178" s="268"/>
      <c r="BF178" s="268"/>
      <c r="BG178" s="268"/>
      <c r="BH178" s="268"/>
      <c r="BI178" s="268"/>
      <c r="BJ178" s="494"/>
      <c r="BK178" s="494"/>
      <c r="BL178" s="494"/>
      <c r="BM178" s="494"/>
      <c r="BN178" s="494"/>
      <c r="BO178" s="494"/>
      <c r="BP178" s="494"/>
      <c r="BQ178" s="494"/>
      <c r="BR178" s="494"/>
      <c r="BS178" s="494"/>
      <c r="BT178" s="494"/>
      <c r="BU178" s="494"/>
      <c r="BV178" s="494"/>
      <c r="BW178" s="494"/>
      <c r="BX178" s="494"/>
      <c r="BY178" s="494"/>
      <c r="BZ178" s="494"/>
      <c r="CA178" s="494"/>
      <c r="CB178" s="494"/>
      <c r="CC178" s="494"/>
      <c r="CD178" s="494"/>
      <c r="CE178" s="494"/>
      <c r="CF178" s="494"/>
      <c r="CG178" s="494"/>
      <c r="CM178" s="197"/>
      <c r="CN178" s="197"/>
      <c r="CU178" s="137"/>
    </row>
    <row r="179" spans="4:99">
      <c r="D179" s="53"/>
      <c r="I179" s="53"/>
      <c r="N179" s="268"/>
      <c r="O179" s="268"/>
      <c r="P179" s="268"/>
      <c r="Q179" s="268"/>
      <c r="R179" s="268"/>
      <c r="S179" s="268"/>
      <c r="T179" s="268"/>
      <c r="U179" s="268"/>
      <c r="V179" s="268"/>
      <c r="W179" s="268"/>
      <c r="X179" s="268"/>
      <c r="Y179" s="268"/>
      <c r="Z179" s="268"/>
      <c r="AA179" s="268"/>
      <c r="AB179" s="268"/>
      <c r="AC179" s="268"/>
      <c r="AD179" s="268"/>
      <c r="AE179" s="268"/>
      <c r="AF179" s="268"/>
      <c r="AG179" s="268"/>
      <c r="AH179" s="268"/>
      <c r="AI179" s="268"/>
      <c r="AJ179" s="268"/>
      <c r="AK179" s="268"/>
      <c r="AL179" s="268"/>
      <c r="AM179" s="268"/>
      <c r="AN179" s="268"/>
      <c r="AO179" s="268"/>
      <c r="AP179" s="268"/>
      <c r="AQ179" s="268"/>
      <c r="AR179" s="268"/>
      <c r="AS179" s="268"/>
      <c r="AT179" s="268"/>
      <c r="AU179" s="268"/>
      <c r="AV179" s="268"/>
      <c r="AW179" s="268"/>
      <c r="AX179" s="268"/>
      <c r="AY179" s="268"/>
      <c r="AZ179" s="268"/>
      <c r="BA179" s="268"/>
      <c r="BB179" s="268"/>
      <c r="BC179" s="268"/>
      <c r="BD179" s="268"/>
      <c r="BE179" s="268"/>
      <c r="BF179" s="268"/>
      <c r="BG179" s="268"/>
      <c r="BH179" s="268"/>
      <c r="BI179" s="268"/>
      <c r="BJ179" s="494"/>
      <c r="BK179" s="494"/>
      <c r="BL179" s="494"/>
      <c r="BM179" s="494"/>
      <c r="BN179" s="494"/>
      <c r="BO179" s="494"/>
      <c r="BP179" s="494"/>
      <c r="BQ179" s="494"/>
      <c r="BR179" s="494"/>
      <c r="BS179" s="494"/>
      <c r="BT179" s="494"/>
      <c r="BU179" s="494"/>
      <c r="BV179" s="494"/>
      <c r="BW179" s="494"/>
      <c r="BX179" s="494"/>
      <c r="BY179" s="494"/>
      <c r="BZ179" s="494"/>
      <c r="CA179" s="494"/>
      <c r="CB179" s="494"/>
      <c r="CC179" s="494"/>
      <c r="CD179" s="494"/>
      <c r="CE179" s="494"/>
      <c r="CF179" s="494"/>
      <c r="CG179" s="494"/>
      <c r="CM179" s="197"/>
      <c r="CN179" s="197"/>
      <c r="CU179" s="137"/>
    </row>
    <row r="180" spans="4:99">
      <c r="D180" s="53"/>
      <c r="I180" s="53"/>
      <c r="N180" s="268"/>
      <c r="O180" s="268"/>
      <c r="P180" s="268"/>
      <c r="Q180" s="268"/>
      <c r="R180" s="268"/>
      <c r="S180" s="268"/>
      <c r="T180" s="268"/>
      <c r="U180" s="268"/>
      <c r="V180" s="268"/>
      <c r="W180" s="268"/>
      <c r="X180" s="268"/>
      <c r="Y180" s="268"/>
      <c r="Z180" s="268"/>
      <c r="AA180" s="268"/>
      <c r="AB180" s="268"/>
      <c r="AC180" s="268"/>
      <c r="AD180" s="268"/>
      <c r="AE180" s="268"/>
      <c r="AF180" s="268"/>
      <c r="AG180" s="268"/>
      <c r="AH180" s="268"/>
      <c r="AI180" s="268"/>
      <c r="AJ180" s="268"/>
      <c r="AK180" s="268"/>
      <c r="AL180" s="268"/>
      <c r="AM180" s="268"/>
      <c r="AN180" s="268"/>
      <c r="AO180" s="268"/>
      <c r="AP180" s="268"/>
      <c r="AQ180" s="268"/>
      <c r="AR180" s="268"/>
      <c r="AS180" s="268"/>
      <c r="AT180" s="268"/>
      <c r="AU180" s="268"/>
      <c r="AV180" s="268"/>
      <c r="AW180" s="268"/>
      <c r="AX180" s="268"/>
      <c r="AY180" s="268"/>
      <c r="AZ180" s="268"/>
      <c r="BA180" s="268"/>
      <c r="BB180" s="268"/>
      <c r="BC180" s="268"/>
      <c r="BD180" s="268"/>
      <c r="BE180" s="268"/>
      <c r="BF180" s="268"/>
      <c r="BG180" s="268"/>
      <c r="BH180" s="268"/>
      <c r="BI180" s="268"/>
      <c r="BJ180" s="494"/>
      <c r="BK180" s="494"/>
      <c r="BL180" s="494"/>
      <c r="BM180" s="494"/>
      <c r="BN180" s="494"/>
      <c r="BO180" s="494"/>
      <c r="BP180" s="494"/>
      <c r="BQ180" s="494"/>
      <c r="BR180" s="494"/>
      <c r="BS180" s="494"/>
      <c r="BT180" s="494"/>
      <c r="BU180" s="494"/>
      <c r="BV180" s="494"/>
      <c r="BW180" s="494"/>
      <c r="BX180" s="494"/>
      <c r="BY180" s="494"/>
      <c r="BZ180" s="494"/>
      <c r="CA180" s="494"/>
      <c r="CB180" s="494"/>
      <c r="CC180" s="494"/>
      <c r="CD180" s="494"/>
      <c r="CE180" s="494"/>
      <c r="CF180" s="494"/>
      <c r="CG180" s="494"/>
      <c r="CM180" s="197"/>
      <c r="CN180" s="197"/>
      <c r="CU180" s="137"/>
    </row>
    <row r="181" spans="4:99">
      <c r="D181" s="53"/>
      <c r="I181" s="53"/>
      <c r="N181" s="268"/>
      <c r="O181" s="268"/>
      <c r="P181" s="268"/>
      <c r="Q181" s="268"/>
      <c r="R181" s="268"/>
      <c r="S181" s="268"/>
      <c r="T181" s="268"/>
      <c r="U181" s="268"/>
      <c r="V181" s="268"/>
      <c r="W181" s="268"/>
      <c r="X181" s="268"/>
      <c r="Y181" s="268"/>
      <c r="Z181" s="268"/>
      <c r="AA181" s="268"/>
      <c r="AB181" s="268"/>
      <c r="AC181" s="268"/>
      <c r="AD181" s="268"/>
      <c r="AE181" s="268"/>
      <c r="AF181" s="268"/>
      <c r="AG181" s="268"/>
      <c r="AH181" s="268"/>
      <c r="AI181" s="268"/>
      <c r="AJ181" s="268"/>
      <c r="AK181" s="268"/>
      <c r="AL181" s="268"/>
      <c r="AM181" s="268"/>
      <c r="AN181" s="268"/>
      <c r="AO181" s="268"/>
      <c r="AP181" s="268"/>
      <c r="AQ181" s="268"/>
      <c r="AR181" s="268"/>
      <c r="AS181" s="268"/>
      <c r="AT181" s="268"/>
      <c r="AU181" s="268"/>
      <c r="AV181" s="268"/>
      <c r="AW181" s="268"/>
      <c r="AX181" s="268"/>
      <c r="AY181" s="268"/>
      <c r="AZ181" s="268"/>
      <c r="BA181" s="268"/>
      <c r="BB181" s="268"/>
      <c r="BC181" s="268"/>
      <c r="BD181" s="268"/>
      <c r="BE181" s="268"/>
      <c r="BF181" s="268"/>
      <c r="BG181" s="268"/>
      <c r="BH181" s="268"/>
      <c r="BI181" s="268"/>
      <c r="BJ181" s="494"/>
      <c r="BK181" s="494"/>
      <c r="BL181" s="494"/>
      <c r="BM181" s="494"/>
      <c r="BN181" s="494"/>
      <c r="BO181" s="494"/>
      <c r="BP181" s="494"/>
      <c r="BQ181" s="494"/>
      <c r="BR181" s="494"/>
      <c r="BS181" s="494"/>
      <c r="BT181" s="494"/>
      <c r="BU181" s="494"/>
      <c r="BV181" s="494"/>
      <c r="BW181" s="494"/>
      <c r="BX181" s="494"/>
      <c r="BY181" s="494"/>
      <c r="BZ181" s="494"/>
      <c r="CA181" s="494"/>
      <c r="CB181" s="494"/>
      <c r="CC181" s="494"/>
      <c r="CD181" s="494"/>
      <c r="CE181" s="494"/>
      <c r="CF181" s="494"/>
      <c r="CG181" s="494"/>
      <c r="CM181" s="197"/>
      <c r="CN181" s="197"/>
      <c r="CU181" s="137"/>
    </row>
    <row r="182" spans="4:99">
      <c r="D182" s="53"/>
      <c r="I182" s="53"/>
      <c r="N182" s="268"/>
      <c r="O182" s="268"/>
      <c r="P182" s="268"/>
      <c r="Q182" s="268"/>
      <c r="R182" s="268"/>
      <c r="S182" s="268"/>
      <c r="T182" s="268"/>
      <c r="U182" s="268"/>
      <c r="V182" s="268"/>
      <c r="W182" s="268"/>
      <c r="X182" s="268"/>
      <c r="Y182" s="268"/>
      <c r="Z182" s="268"/>
      <c r="AA182" s="268"/>
      <c r="AB182" s="268"/>
      <c r="AC182" s="268"/>
      <c r="AD182" s="268"/>
      <c r="AE182" s="268"/>
      <c r="AF182" s="268"/>
      <c r="AG182" s="268"/>
      <c r="AH182" s="268"/>
      <c r="AI182" s="268"/>
      <c r="AJ182" s="268"/>
      <c r="AK182" s="268"/>
      <c r="AL182" s="268"/>
      <c r="AM182" s="268"/>
      <c r="AN182" s="268"/>
      <c r="AO182" s="268"/>
      <c r="AP182" s="268"/>
      <c r="AQ182" s="268"/>
      <c r="AR182" s="268"/>
      <c r="AS182" s="268"/>
      <c r="AT182" s="268"/>
      <c r="AU182" s="268"/>
      <c r="AV182" s="268"/>
      <c r="AW182" s="268"/>
      <c r="AX182" s="268"/>
      <c r="AY182" s="268"/>
      <c r="AZ182" s="268"/>
      <c r="BA182" s="268"/>
      <c r="BB182" s="268"/>
      <c r="BC182" s="268"/>
      <c r="BD182" s="268"/>
      <c r="BE182" s="268"/>
      <c r="BF182" s="268"/>
      <c r="BG182" s="268"/>
      <c r="BH182" s="268"/>
      <c r="BI182" s="268"/>
      <c r="BJ182" s="494"/>
      <c r="BK182" s="494"/>
      <c r="BL182" s="494"/>
      <c r="BM182" s="494"/>
      <c r="BN182" s="494"/>
      <c r="BO182" s="494"/>
      <c r="BP182" s="494"/>
      <c r="BQ182" s="494"/>
      <c r="BR182" s="494"/>
      <c r="BS182" s="494"/>
      <c r="BT182" s="494"/>
      <c r="BU182" s="494"/>
      <c r="BV182" s="494"/>
      <c r="BW182" s="494"/>
      <c r="BX182" s="494"/>
      <c r="BY182" s="494"/>
      <c r="BZ182" s="494"/>
      <c r="CA182" s="494"/>
      <c r="CB182" s="494"/>
      <c r="CC182" s="494"/>
      <c r="CD182" s="494"/>
      <c r="CE182" s="494"/>
      <c r="CF182" s="494"/>
      <c r="CG182" s="494"/>
      <c r="CM182" s="197"/>
      <c r="CN182" s="197"/>
      <c r="CU182" s="137"/>
    </row>
    <row r="183" spans="4:99">
      <c r="D183" s="53"/>
      <c r="I183" s="53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  <c r="X183" s="268"/>
      <c r="Y183" s="268"/>
      <c r="Z183" s="268"/>
      <c r="AA183" s="268"/>
      <c r="AB183" s="268"/>
      <c r="AC183" s="268"/>
      <c r="AD183" s="268"/>
      <c r="AE183" s="268"/>
      <c r="AF183" s="268"/>
      <c r="AG183" s="268"/>
      <c r="AH183" s="268"/>
      <c r="AI183" s="268"/>
      <c r="AJ183" s="268"/>
      <c r="AK183" s="268"/>
      <c r="AL183" s="268"/>
      <c r="AM183" s="268"/>
      <c r="AN183" s="268"/>
      <c r="AO183" s="268"/>
      <c r="AP183" s="268"/>
      <c r="AQ183" s="268"/>
      <c r="AR183" s="268"/>
      <c r="AS183" s="268"/>
      <c r="AT183" s="268"/>
      <c r="AU183" s="268"/>
      <c r="AV183" s="268"/>
      <c r="AW183" s="268"/>
      <c r="AX183" s="268"/>
      <c r="AY183" s="268"/>
      <c r="AZ183" s="268"/>
      <c r="BA183" s="268"/>
      <c r="BB183" s="268"/>
      <c r="BC183" s="268"/>
      <c r="BD183" s="268"/>
      <c r="BE183" s="268"/>
      <c r="BF183" s="268"/>
      <c r="BG183" s="268"/>
      <c r="BH183" s="268"/>
      <c r="BI183" s="268"/>
      <c r="BJ183" s="494"/>
      <c r="BK183" s="494"/>
      <c r="BL183" s="494"/>
      <c r="BM183" s="494"/>
      <c r="BN183" s="494"/>
      <c r="BO183" s="494"/>
      <c r="BP183" s="494"/>
      <c r="BQ183" s="494"/>
      <c r="BR183" s="494"/>
      <c r="BS183" s="494"/>
      <c r="BT183" s="494"/>
      <c r="BU183" s="494"/>
      <c r="BV183" s="494"/>
      <c r="BW183" s="494"/>
      <c r="BX183" s="494"/>
      <c r="BY183" s="494"/>
      <c r="BZ183" s="494"/>
      <c r="CA183" s="494"/>
      <c r="CB183" s="494"/>
      <c r="CC183" s="494"/>
      <c r="CD183" s="494"/>
      <c r="CE183" s="494"/>
      <c r="CF183" s="494"/>
      <c r="CG183" s="494"/>
      <c r="CM183" s="197"/>
      <c r="CN183" s="197"/>
      <c r="CU183" s="137"/>
    </row>
    <row r="184" spans="4:99">
      <c r="D184" s="53"/>
      <c r="I184" s="53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  <c r="X184" s="268"/>
      <c r="Y184" s="268"/>
      <c r="Z184" s="268"/>
      <c r="AA184" s="268"/>
      <c r="AB184" s="268"/>
      <c r="AC184" s="268"/>
      <c r="AD184" s="268"/>
      <c r="AE184" s="268"/>
      <c r="AF184" s="268"/>
      <c r="AG184" s="268"/>
      <c r="AH184" s="268"/>
      <c r="AI184" s="268"/>
      <c r="AJ184" s="268"/>
      <c r="AK184" s="268"/>
      <c r="AL184" s="268"/>
      <c r="AM184" s="268"/>
      <c r="AN184" s="268"/>
      <c r="AO184" s="268"/>
      <c r="AP184" s="268"/>
      <c r="AQ184" s="268"/>
      <c r="AR184" s="268"/>
      <c r="AS184" s="268"/>
      <c r="AT184" s="268"/>
      <c r="AU184" s="268"/>
      <c r="AV184" s="268"/>
      <c r="AW184" s="268"/>
      <c r="AX184" s="268"/>
      <c r="AY184" s="268"/>
      <c r="AZ184" s="268"/>
      <c r="BA184" s="268"/>
      <c r="BB184" s="268"/>
      <c r="BC184" s="268"/>
      <c r="BD184" s="268"/>
      <c r="BE184" s="268"/>
      <c r="BF184" s="268"/>
      <c r="BG184" s="268"/>
      <c r="BH184" s="268"/>
      <c r="BI184" s="268"/>
      <c r="BJ184" s="494"/>
      <c r="BK184" s="494"/>
      <c r="BL184" s="494"/>
      <c r="BM184" s="494"/>
      <c r="BN184" s="494"/>
      <c r="BO184" s="494"/>
      <c r="BP184" s="494"/>
      <c r="BQ184" s="494"/>
      <c r="BR184" s="494"/>
      <c r="BS184" s="494"/>
      <c r="BT184" s="494"/>
      <c r="BU184" s="494"/>
      <c r="BV184" s="494"/>
      <c r="BW184" s="494"/>
      <c r="BX184" s="494"/>
      <c r="BY184" s="494"/>
      <c r="BZ184" s="494"/>
      <c r="CA184" s="494"/>
      <c r="CB184" s="494"/>
      <c r="CC184" s="494"/>
      <c r="CD184" s="494"/>
      <c r="CE184" s="494"/>
      <c r="CF184" s="494"/>
      <c r="CG184" s="494"/>
      <c r="CM184" s="197"/>
      <c r="CN184" s="197"/>
      <c r="CU184" s="137"/>
    </row>
    <row r="185" spans="4:99">
      <c r="D185" s="53"/>
      <c r="I185" s="53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  <c r="X185" s="268"/>
      <c r="Y185" s="268"/>
      <c r="Z185" s="268"/>
      <c r="AA185" s="268"/>
      <c r="AB185" s="268"/>
      <c r="AC185" s="268"/>
      <c r="AD185" s="268"/>
      <c r="AE185" s="268"/>
      <c r="AF185" s="268"/>
      <c r="AG185" s="268"/>
      <c r="AH185" s="268"/>
      <c r="AI185" s="268"/>
      <c r="AJ185" s="268"/>
      <c r="AK185" s="268"/>
      <c r="AL185" s="268"/>
      <c r="AM185" s="268"/>
      <c r="AN185" s="268"/>
      <c r="AO185" s="268"/>
      <c r="AP185" s="268"/>
      <c r="AQ185" s="268"/>
      <c r="AR185" s="268"/>
      <c r="AS185" s="268"/>
      <c r="AT185" s="268"/>
      <c r="AU185" s="268"/>
      <c r="AV185" s="268"/>
      <c r="AW185" s="268"/>
      <c r="AX185" s="268"/>
      <c r="AY185" s="268"/>
      <c r="AZ185" s="268"/>
      <c r="BA185" s="268"/>
      <c r="BB185" s="268"/>
      <c r="BC185" s="268"/>
      <c r="BD185" s="268"/>
      <c r="BE185" s="268"/>
      <c r="BF185" s="268"/>
      <c r="BG185" s="268"/>
      <c r="BH185" s="268"/>
      <c r="BI185" s="268"/>
      <c r="BJ185" s="494"/>
      <c r="BK185" s="494"/>
      <c r="BL185" s="494"/>
      <c r="BM185" s="494"/>
      <c r="BN185" s="494"/>
      <c r="BO185" s="494"/>
      <c r="BP185" s="494"/>
      <c r="BQ185" s="494"/>
      <c r="BR185" s="494"/>
      <c r="BS185" s="494"/>
      <c r="BT185" s="494"/>
      <c r="BU185" s="494"/>
      <c r="BV185" s="494"/>
      <c r="BW185" s="494"/>
      <c r="BX185" s="494"/>
      <c r="BY185" s="494"/>
      <c r="BZ185" s="494"/>
      <c r="CA185" s="494"/>
      <c r="CB185" s="494"/>
      <c r="CC185" s="494"/>
      <c r="CD185" s="494"/>
      <c r="CE185" s="494"/>
      <c r="CF185" s="494"/>
      <c r="CG185" s="494"/>
      <c r="CM185" s="197"/>
      <c r="CN185" s="197"/>
      <c r="CU185" s="137"/>
    </row>
    <row r="186" spans="4:99">
      <c r="D186" s="53"/>
      <c r="I186" s="53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  <c r="X186" s="268"/>
      <c r="Y186" s="268"/>
      <c r="Z186" s="268"/>
      <c r="AA186" s="268"/>
      <c r="AB186" s="268"/>
      <c r="AC186" s="268"/>
      <c r="AD186" s="268"/>
      <c r="AE186" s="268"/>
      <c r="AF186" s="268"/>
      <c r="AG186" s="268"/>
      <c r="AH186" s="268"/>
      <c r="AI186" s="268"/>
      <c r="AJ186" s="268"/>
      <c r="AK186" s="268"/>
      <c r="AL186" s="268"/>
      <c r="AM186" s="268"/>
      <c r="AN186" s="268"/>
      <c r="AO186" s="268"/>
      <c r="AP186" s="268"/>
      <c r="AQ186" s="268"/>
      <c r="AR186" s="268"/>
      <c r="AS186" s="268"/>
      <c r="AT186" s="268"/>
      <c r="AU186" s="268"/>
      <c r="AV186" s="268"/>
      <c r="AW186" s="268"/>
      <c r="AX186" s="268"/>
      <c r="AY186" s="268"/>
      <c r="AZ186" s="268"/>
      <c r="BA186" s="268"/>
      <c r="BB186" s="268"/>
      <c r="BC186" s="268"/>
      <c r="BD186" s="268"/>
      <c r="BE186" s="268"/>
      <c r="BF186" s="268"/>
      <c r="BG186" s="268"/>
      <c r="BH186" s="268"/>
      <c r="BI186" s="268"/>
      <c r="BJ186" s="494"/>
      <c r="BK186" s="494"/>
      <c r="BL186" s="494"/>
      <c r="BM186" s="494"/>
      <c r="BN186" s="494"/>
      <c r="BO186" s="494"/>
      <c r="BP186" s="494"/>
      <c r="BQ186" s="494"/>
      <c r="BR186" s="494"/>
      <c r="BS186" s="494"/>
      <c r="BT186" s="494"/>
      <c r="BU186" s="494"/>
      <c r="BV186" s="494"/>
      <c r="BW186" s="494"/>
      <c r="BX186" s="494"/>
      <c r="BY186" s="494"/>
      <c r="BZ186" s="494"/>
      <c r="CA186" s="494"/>
      <c r="CB186" s="494"/>
      <c r="CC186" s="494"/>
      <c r="CD186" s="494"/>
      <c r="CE186" s="494"/>
      <c r="CF186" s="494"/>
      <c r="CG186" s="494"/>
      <c r="CM186" s="197"/>
      <c r="CN186" s="197"/>
      <c r="CU186" s="137"/>
    </row>
    <row r="187" spans="4:99">
      <c r="D187" s="53"/>
      <c r="I187" s="53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  <c r="X187" s="268"/>
      <c r="Y187" s="268"/>
      <c r="Z187" s="268"/>
      <c r="AA187" s="268"/>
      <c r="AB187" s="268"/>
      <c r="AC187" s="268"/>
      <c r="AD187" s="268"/>
      <c r="AE187" s="268"/>
      <c r="AF187" s="268"/>
      <c r="AG187" s="268"/>
      <c r="AH187" s="268"/>
      <c r="AI187" s="268"/>
      <c r="AJ187" s="268"/>
      <c r="AK187" s="268"/>
      <c r="AL187" s="268"/>
      <c r="AM187" s="268"/>
      <c r="AN187" s="268"/>
      <c r="AO187" s="268"/>
      <c r="AP187" s="268"/>
      <c r="AQ187" s="268"/>
      <c r="AR187" s="268"/>
      <c r="AS187" s="268"/>
      <c r="AT187" s="268"/>
      <c r="AU187" s="268"/>
      <c r="AV187" s="268"/>
      <c r="AW187" s="268"/>
      <c r="AX187" s="268"/>
      <c r="AY187" s="268"/>
      <c r="AZ187" s="268"/>
      <c r="BA187" s="268"/>
      <c r="BB187" s="268"/>
      <c r="BC187" s="268"/>
      <c r="BD187" s="268"/>
      <c r="BE187" s="268"/>
      <c r="BF187" s="268"/>
      <c r="BG187" s="268"/>
      <c r="BH187" s="268"/>
      <c r="BI187" s="268"/>
      <c r="BJ187" s="494"/>
      <c r="BK187" s="494"/>
      <c r="BL187" s="494"/>
      <c r="BM187" s="494"/>
      <c r="BN187" s="494"/>
      <c r="BO187" s="494"/>
      <c r="BP187" s="494"/>
      <c r="BQ187" s="494"/>
      <c r="BR187" s="494"/>
      <c r="BS187" s="494"/>
      <c r="BT187" s="494"/>
      <c r="BU187" s="494"/>
      <c r="BV187" s="494"/>
      <c r="BW187" s="494"/>
      <c r="BX187" s="494"/>
      <c r="BY187" s="494"/>
      <c r="BZ187" s="494"/>
      <c r="CA187" s="494"/>
      <c r="CB187" s="494"/>
      <c r="CC187" s="494"/>
      <c r="CD187" s="494"/>
      <c r="CE187" s="494"/>
      <c r="CF187" s="494"/>
      <c r="CG187" s="494"/>
      <c r="CM187" s="197"/>
      <c r="CN187" s="197"/>
      <c r="CU187" s="137"/>
    </row>
    <row r="188" spans="4:99">
      <c r="D188" s="53"/>
      <c r="I188" s="53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  <c r="X188" s="268"/>
      <c r="Y188" s="268"/>
      <c r="Z188" s="268"/>
      <c r="AA188" s="268"/>
      <c r="AB188" s="268"/>
      <c r="AC188" s="268"/>
      <c r="AD188" s="268"/>
      <c r="AE188" s="268"/>
      <c r="AF188" s="268"/>
      <c r="AG188" s="268"/>
      <c r="AH188" s="268"/>
      <c r="AI188" s="268"/>
      <c r="AJ188" s="268"/>
      <c r="AK188" s="268"/>
      <c r="AL188" s="268"/>
      <c r="AM188" s="268"/>
      <c r="AN188" s="268"/>
      <c r="AO188" s="268"/>
      <c r="AP188" s="268"/>
      <c r="AQ188" s="268"/>
      <c r="AR188" s="268"/>
      <c r="AS188" s="268"/>
      <c r="AT188" s="268"/>
      <c r="AU188" s="268"/>
      <c r="AV188" s="268"/>
      <c r="AW188" s="268"/>
      <c r="AX188" s="268"/>
      <c r="AY188" s="268"/>
      <c r="AZ188" s="268"/>
      <c r="BA188" s="268"/>
      <c r="BB188" s="268"/>
      <c r="BC188" s="268"/>
      <c r="BD188" s="268"/>
      <c r="BE188" s="268"/>
      <c r="BF188" s="268"/>
      <c r="BG188" s="268"/>
      <c r="BH188" s="268"/>
      <c r="BI188" s="268"/>
      <c r="BJ188" s="494"/>
      <c r="BK188" s="494"/>
      <c r="BL188" s="494"/>
      <c r="BM188" s="494"/>
      <c r="BN188" s="494"/>
      <c r="BO188" s="494"/>
      <c r="BP188" s="494"/>
      <c r="BQ188" s="494"/>
      <c r="BR188" s="494"/>
      <c r="BS188" s="494"/>
      <c r="BT188" s="494"/>
      <c r="BU188" s="494"/>
      <c r="BV188" s="494"/>
      <c r="BW188" s="494"/>
      <c r="BX188" s="494"/>
      <c r="BY188" s="494"/>
      <c r="BZ188" s="494"/>
      <c r="CA188" s="494"/>
      <c r="CB188" s="494"/>
      <c r="CC188" s="494"/>
      <c r="CD188" s="494"/>
      <c r="CE188" s="494"/>
      <c r="CF188" s="494"/>
      <c r="CG188" s="494"/>
      <c r="CM188" s="197"/>
      <c r="CN188" s="197"/>
      <c r="CU188" s="137"/>
    </row>
    <row r="189" spans="4:99">
      <c r="D189" s="53"/>
      <c r="I189" s="53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  <c r="X189" s="268"/>
      <c r="Y189" s="268"/>
      <c r="Z189" s="268"/>
      <c r="AA189" s="268"/>
      <c r="AB189" s="268"/>
      <c r="AC189" s="268"/>
      <c r="AD189" s="268"/>
      <c r="AE189" s="268"/>
      <c r="AF189" s="268"/>
      <c r="AG189" s="268"/>
      <c r="AH189" s="268"/>
      <c r="AI189" s="268"/>
      <c r="AJ189" s="268"/>
      <c r="AK189" s="268"/>
      <c r="AL189" s="268"/>
      <c r="AM189" s="268"/>
      <c r="AN189" s="268"/>
      <c r="AO189" s="268"/>
      <c r="AP189" s="268"/>
      <c r="AQ189" s="268"/>
      <c r="AR189" s="268"/>
      <c r="AS189" s="268"/>
      <c r="AT189" s="268"/>
      <c r="AU189" s="268"/>
      <c r="AV189" s="268"/>
      <c r="AW189" s="268"/>
      <c r="AX189" s="268"/>
      <c r="AY189" s="268"/>
      <c r="AZ189" s="268"/>
      <c r="BA189" s="268"/>
      <c r="BB189" s="268"/>
      <c r="BC189" s="268"/>
      <c r="BD189" s="268"/>
      <c r="BE189" s="268"/>
      <c r="BF189" s="268"/>
      <c r="BG189" s="268"/>
      <c r="BH189" s="268"/>
      <c r="BI189" s="268"/>
      <c r="BJ189" s="494"/>
      <c r="BK189" s="494"/>
      <c r="BL189" s="494"/>
      <c r="BM189" s="494"/>
      <c r="BN189" s="494"/>
      <c r="BO189" s="494"/>
      <c r="BP189" s="494"/>
      <c r="BQ189" s="494"/>
      <c r="BR189" s="494"/>
      <c r="BS189" s="494"/>
      <c r="BT189" s="494"/>
      <c r="BU189" s="494"/>
      <c r="BV189" s="494"/>
      <c r="BW189" s="494"/>
      <c r="BX189" s="494"/>
      <c r="BY189" s="494"/>
      <c r="BZ189" s="494"/>
      <c r="CA189" s="494"/>
      <c r="CB189" s="494"/>
      <c r="CC189" s="494"/>
      <c r="CD189" s="494"/>
      <c r="CE189" s="494"/>
      <c r="CF189" s="494"/>
      <c r="CG189" s="494"/>
      <c r="CM189" s="197"/>
      <c r="CN189" s="197"/>
      <c r="CU189" s="137"/>
    </row>
    <row r="190" spans="4:99">
      <c r="D190" s="53"/>
      <c r="I190" s="53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  <c r="X190" s="268"/>
      <c r="Y190" s="268"/>
      <c r="Z190" s="268"/>
      <c r="AA190" s="268"/>
      <c r="AB190" s="268"/>
      <c r="AC190" s="268"/>
      <c r="AD190" s="268"/>
      <c r="AE190" s="268"/>
      <c r="AF190" s="268"/>
      <c r="AG190" s="268"/>
      <c r="AH190" s="268"/>
      <c r="AI190" s="268"/>
      <c r="AJ190" s="268"/>
      <c r="AK190" s="268"/>
      <c r="AL190" s="268"/>
      <c r="AM190" s="268"/>
      <c r="AN190" s="268"/>
      <c r="AO190" s="268"/>
      <c r="AP190" s="268"/>
      <c r="AQ190" s="268"/>
      <c r="AR190" s="268"/>
      <c r="AS190" s="268"/>
      <c r="AT190" s="268"/>
      <c r="AU190" s="268"/>
      <c r="AV190" s="268"/>
      <c r="AW190" s="268"/>
      <c r="AX190" s="268"/>
      <c r="AY190" s="268"/>
      <c r="AZ190" s="268"/>
      <c r="BA190" s="268"/>
      <c r="BB190" s="268"/>
      <c r="BC190" s="268"/>
      <c r="BD190" s="268"/>
      <c r="BE190" s="268"/>
      <c r="BF190" s="268"/>
      <c r="BG190" s="268"/>
      <c r="BH190" s="268"/>
      <c r="BI190" s="268"/>
      <c r="BJ190" s="494"/>
      <c r="BK190" s="494"/>
      <c r="BL190" s="494"/>
      <c r="BM190" s="494"/>
      <c r="BN190" s="494"/>
      <c r="BO190" s="494"/>
      <c r="BP190" s="494"/>
      <c r="BQ190" s="494"/>
      <c r="BR190" s="494"/>
      <c r="BS190" s="494"/>
      <c r="BT190" s="494"/>
      <c r="BU190" s="494"/>
      <c r="BV190" s="494"/>
      <c r="BW190" s="494"/>
      <c r="BX190" s="494"/>
      <c r="BY190" s="494"/>
      <c r="BZ190" s="494"/>
      <c r="CA190" s="494"/>
      <c r="CB190" s="494"/>
      <c r="CC190" s="494"/>
      <c r="CD190" s="494"/>
      <c r="CE190" s="494"/>
      <c r="CF190" s="494"/>
      <c r="CG190" s="494"/>
      <c r="CM190" s="197"/>
      <c r="CN190" s="197"/>
      <c r="CU190" s="137"/>
    </row>
    <row r="191" spans="4:99">
      <c r="D191" s="53"/>
      <c r="I191" s="53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  <c r="X191" s="268"/>
      <c r="Y191" s="268"/>
      <c r="Z191" s="268"/>
      <c r="AA191" s="268"/>
      <c r="AB191" s="268"/>
      <c r="AC191" s="268"/>
      <c r="AD191" s="268"/>
      <c r="AE191" s="268"/>
      <c r="AF191" s="268"/>
      <c r="AG191" s="268"/>
      <c r="AH191" s="268"/>
      <c r="AI191" s="268"/>
      <c r="AJ191" s="268"/>
      <c r="AK191" s="268"/>
      <c r="AL191" s="268"/>
      <c r="AM191" s="268"/>
      <c r="AN191" s="268"/>
      <c r="AO191" s="268"/>
      <c r="AP191" s="268"/>
      <c r="AQ191" s="268"/>
      <c r="AR191" s="268"/>
      <c r="AS191" s="268"/>
      <c r="AT191" s="268"/>
      <c r="AU191" s="268"/>
      <c r="AV191" s="268"/>
      <c r="AW191" s="268"/>
      <c r="AX191" s="268"/>
      <c r="AY191" s="268"/>
      <c r="AZ191" s="268"/>
      <c r="BA191" s="268"/>
      <c r="BB191" s="268"/>
      <c r="BC191" s="268"/>
      <c r="BD191" s="268"/>
      <c r="BE191" s="268"/>
      <c r="BF191" s="268"/>
      <c r="BG191" s="268"/>
      <c r="BH191" s="268"/>
      <c r="BI191" s="268"/>
      <c r="BJ191" s="494"/>
      <c r="BK191" s="494"/>
      <c r="BL191" s="494"/>
      <c r="BM191" s="494"/>
      <c r="BN191" s="494"/>
      <c r="BO191" s="494"/>
      <c r="BP191" s="494"/>
      <c r="BQ191" s="494"/>
      <c r="BR191" s="494"/>
      <c r="BS191" s="494"/>
      <c r="BT191" s="494"/>
      <c r="BU191" s="494"/>
      <c r="BV191" s="494"/>
      <c r="BW191" s="494"/>
      <c r="BX191" s="494"/>
      <c r="BY191" s="494"/>
      <c r="BZ191" s="494"/>
      <c r="CA191" s="494"/>
      <c r="CB191" s="494"/>
      <c r="CC191" s="494"/>
      <c r="CD191" s="494"/>
      <c r="CE191" s="494"/>
      <c r="CF191" s="494"/>
      <c r="CG191" s="494"/>
      <c r="CM191" s="197"/>
      <c r="CN191" s="197"/>
      <c r="CU191" s="137"/>
    </row>
    <row r="192" spans="4:99">
      <c r="D192" s="53"/>
      <c r="I192" s="53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  <c r="X192" s="268"/>
      <c r="Y192" s="268"/>
      <c r="Z192" s="268"/>
      <c r="AA192" s="268"/>
      <c r="AB192" s="268"/>
      <c r="AC192" s="268"/>
      <c r="AD192" s="268"/>
      <c r="AE192" s="268"/>
      <c r="AF192" s="268"/>
      <c r="AG192" s="268"/>
      <c r="AH192" s="268"/>
      <c r="AI192" s="268"/>
      <c r="AJ192" s="268"/>
      <c r="AK192" s="268"/>
      <c r="AL192" s="268"/>
      <c r="AM192" s="268"/>
      <c r="AN192" s="268"/>
      <c r="AO192" s="268"/>
      <c r="AP192" s="268"/>
      <c r="AQ192" s="268"/>
      <c r="AR192" s="268"/>
      <c r="AS192" s="268"/>
      <c r="AT192" s="268"/>
      <c r="AU192" s="268"/>
      <c r="AV192" s="268"/>
      <c r="AW192" s="268"/>
      <c r="AX192" s="268"/>
      <c r="AY192" s="268"/>
      <c r="AZ192" s="268"/>
      <c r="BA192" s="268"/>
      <c r="BB192" s="268"/>
      <c r="BC192" s="268"/>
      <c r="BD192" s="268"/>
      <c r="BE192" s="268"/>
      <c r="BF192" s="268"/>
      <c r="BG192" s="268"/>
      <c r="BH192" s="268"/>
      <c r="BI192" s="268"/>
      <c r="BJ192" s="494"/>
      <c r="BK192" s="494"/>
      <c r="BL192" s="494"/>
      <c r="BM192" s="494"/>
      <c r="BN192" s="494"/>
      <c r="BO192" s="494"/>
      <c r="BP192" s="494"/>
      <c r="BQ192" s="494"/>
      <c r="BR192" s="494"/>
      <c r="BS192" s="494"/>
      <c r="BT192" s="494"/>
      <c r="BU192" s="494"/>
      <c r="BV192" s="494"/>
      <c r="BW192" s="494"/>
      <c r="BX192" s="494"/>
      <c r="BY192" s="494"/>
      <c r="BZ192" s="494"/>
      <c r="CA192" s="494"/>
      <c r="CB192" s="494"/>
      <c r="CC192" s="494"/>
      <c r="CD192" s="494"/>
      <c r="CE192" s="494"/>
      <c r="CF192" s="494"/>
      <c r="CG192" s="494"/>
      <c r="CM192" s="197"/>
      <c r="CN192" s="197"/>
      <c r="CU192" s="137"/>
    </row>
    <row r="193" spans="4:99">
      <c r="D193" s="53"/>
      <c r="I193" s="53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  <c r="X193" s="268"/>
      <c r="Y193" s="268"/>
      <c r="Z193" s="268"/>
      <c r="AA193" s="268"/>
      <c r="AB193" s="268"/>
      <c r="AC193" s="268"/>
      <c r="AD193" s="268"/>
      <c r="AE193" s="268"/>
      <c r="AF193" s="268"/>
      <c r="AG193" s="268"/>
      <c r="AH193" s="268"/>
      <c r="AI193" s="268"/>
      <c r="AJ193" s="268"/>
      <c r="AK193" s="268"/>
      <c r="AL193" s="268"/>
      <c r="AM193" s="268"/>
      <c r="AN193" s="268"/>
      <c r="AO193" s="268"/>
      <c r="AP193" s="268"/>
      <c r="AQ193" s="268"/>
      <c r="AR193" s="268"/>
      <c r="AS193" s="268"/>
      <c r="AT193" s="268"/>
      <c r="AU193" s="268"/>
      <c r="AV193" s="268"/>
      <c r="AW193" s="268"/>
      <c r="AX193" s="268"/>
      <c r="AY193" s="268"/>
      <c r="AZ193" s="268"/>
      <c r="BA193" s="268"/>
      <c r="BB193" s="268"/>
      <c r="BC193" s="268"/>
      <c r="BD193" s="268"/>
      <c r="BE193" s="268"/>
      <c r="BF193" s="268"/>
      <c r="BG193" s="268"/>
      <c r="BH193" s="268"/>
      <c r="BI193" s="268"/>
      <c r="BJ193" s="494"/>
      <c r="BK193" s="494"/>
      <c r="BL193" s="494"/>
      <c r="BM193" s="494"/>
      <c r="BN193" s="494"/>
      <c r="BO193" s="494"/>
      <c r="BP193" s="494"/>
      <c r="BQ193" s="494"/>
      <c r="BR193" s="494"/>
      <c r="BS193" s="494"/>
      <c r="BT193" s="494"/>
      <c r="BU193" s="494"/>
      <c r="BV193" s="494"/>
      <c r="BW193" s="494"/>
      <c r="BX193" s="494"/>
      <c r="BY193" s="494"/>
      <c r="BZ193" s="494"/>
      <c r="CA193" s="494"/>
      <c r="CB193" s="494"/>
      <c r="CC193" s="494"/>
      <c r="CD193" s="494"/>
      <c r="CE193" s="494"/>
      <c r="CF193" s="494"/>
      <c r="CG193" s="494"/>
      <c r="CM193" s="197"/>
      <c r="CN193" s="197"/>
      <c r="CU193" s="137"/>
    </row>
    <row r="194" spans="4:99">
      <c r="D194" s="53"/>
      <c r="I194" s="53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  <c r="X194" s="268"/>
      <c r="Y194" s="268"/>
      <c r="Z194" s="268"/>
      <c r="AA194" s="268"/>
      <c r="AB194" s="268"/>
      <c r="AC194" s="268"/>
      <c r="AD194" s="268"/>
      <c r="AE194" s="268"/>
      <c r="AF194" s="268"/>
      <c r="AG194" s="268"/>
      <c r="AH194" s="268"/>
      <c r="AI194" s="268"/>
      <c r="AJ194" s="268"/>
      <c r="AK194" s="268"/>
      <c r="AL194" s="268"/>
      <c r="AM194" s="268"/>
      <c r="AN194" s="268"/>
      <c r="AO194" s="268"/>
      <c r="AP194" s="268"/>
      <c r="AQ194" s="268"/>
      <c r="AR194" s="268"/>
      <c r="AS194" s="268"/>
      <c r="AT194" s="268"/>
      <c r="AU194" s="268"/>
      <c r="AV194" s="268"/>
      <c r="AW194" s="268"/>
      <c r="AX194" s="268"/>
      <c r="AY194" s="268"/>
      <c r="AZ194" s="268"/>
      <c r="BA194" s="268"/>
      <c r="BB194" s="268"/>
      <c r="BC194" s="268"/>
      <c r="BD194" s="268"/>
      <c r="BE194" s="268"/>
      <c r="BF194" s="268"/>
      <c r="BG194" s="268"/>
      <c r="BH194" s="268"/>
      <c r="BI194" s="268"/>
      <c r="BJ194" s="494"/>
      <c r="BK194" s="494"/>
      <c r="BL194" s="494"/>
      <c r="BM194" s="494"/>
      <c r="BN194" s="494"/>
      <c r="BO194" s="494"/>
      <c r="BP194" s="494"/>
      <c r="BQ194" s="494"/>
      <c r="BR194" s="494"/>
      <c r="BS194" s="494"/>
      <c r="BT194" s="494"/>
      <c r="BU194" s="494"/>
      <c r="BV194" s="494"/>
      <c r="BW194" s="494"/>
      <c r="BX194" s="494"/>
      <c r="BY194" s="494"/>
      <c r="BZ194" s="494"/>
      <c r="CA194" s="494"/>
      <c r="CB194" s="494"/>
      <c r="CC194" s="494"/>
      <c r="CD194" s="494"/>
      <c r="CE194" s="494"/>
      <c r="CF194" s="494"/>
      <c r="CG194" s="494"/>
      <c r="CM194" s="197"/>
      <c r="CN194" s="197"/>
      <c r="CU194" s="137"/>
    </row>
    <row r="195" spans="4:99">
      <c r="D195" s="53"/>
      <c r="I195" s="53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  <c r="X195" s="268"/>
      <c r="Y195" s="268"/>
      <c r="Z195" s="268"/>
      <c r="AA195" s="268"/>
      <c r="AB195" s="268"/>
      <c r="AC195" s="268"/>
      <c r="AD195" s="268"/>
      <c r="AE195" s="268"/>
      <c r="AF195" s="268"/>
      <c r="AG195" s="268"/>
      <c r="AH195" s="268"/>
      <c r="AI195" s="268"/>
      <c r="AJ195" s="268"/>
      <c r="AK195" s="268"/>
      <c r="AL195" s="268"/>
      <c r="AM195" s="268"/>
      <c r="AN195" s="268"/>
      <c r="AO195" s="268"/>
      <c r="AP195" s="268"/>
      <c r="AQ195" s="268"/>
      <c r="AR195" s="268"/>
      <c r="AS195" s="268"/>
      <c r="AT195" s="268"/>
      <c r="AU195" s="268"/>
      <c r="AV195" s="268"/>
      <c r="AW195" s="268"/>
      <c r="AX195" s="268"/>
      <c r="AY195" s="268"/>
      <c r="AZ195" s="268"/>
      <c r="BA195" s="268"/>
      <c r="BB195" s="268"/>
      <c r="BC195" s="268"/>
      <c r="BD195" s="268"/>
      <c r="BE195" s="268"/>
      <c r="BF195" s="268"/>
      <c r="BG195" s="268"/>
      <c r="BH195" s="268"/>
      <c r="BI195" s="268"/>
      <c r="BJ195" s="494"/>
      <c r="BK195" s="494"/>
      <c r="BL195" s="494"/>
      <c r="BM195" s="494"/>
      <c r="BN195" s="494"/>
      <c r="BO195" s="494"/>
      <c r="BP195" s="494"/>
      <c r="BQ195" s="494"/>
      <c r="BR195" s="494"/>
      <c r="BS195" s="494"/>
      <c r="BT195" s="494"/>
      <c r="BU195" s="494"/>
      <c r="BV195" s="494"/>
      <c r="BW195" s="494"/>
      <c r="BX195" s="494"/>
      <c r="BY195" s="494"/>
      <c r="BZ195" s="494"/>
      <c r="CA195" s="494"/>
      <c r="CB195" s="494"/>
      <c r="CC195" s="494"/>
      <c r="CD195" s="494"/>
      <c r="CE195" s="494"/>
      <c r="CF195" s="494"/>
      <c r="CG195" s="494"/>
      <c r="CM195" s="197"/>
      <c r="CN195" s="197"/>
      <c r="CU195" s="137"/>
    </row>
    <row r="196" spans="4:99">
      <c r="D196" s="53"/>
      <c r="I196" s="53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  <c r="X196" s="268"/>
      <c r="Y196" s="268"/>
      <c r="Z196" s="268"/>
      <c r="AA196" s="268"/>
      <c r="AB196" s="268"/>
      <c r="AC196" s="268"/>
      <c r="AD196" s="268"/>
      <c r="AE196" s="268"/>
      <c r="AF196" s="268"/>
      <c r="AG196" s="268"/>
      <c r="AH196" s="268"/>
      <c r="AI196" s="268"/>
      <c r="AJ196" s="268"/>
      <c r="AK196" s="268"/>
      <c r="AL196" s="268"/>
      <c r="AM196" s="268"/>
      <c r="AN196" s="268"/>
      <c r="AO196" s="268"/>
      <c r="AP196" s="268"/>
      <c r="AQ196" s="268"/>
      <c r="AR196" s="268"/>
      <c r="AS196" s="268"/>
      <c r="AT196" s="268"/>
      <c r="AU196" s="268"/>
      <c r="AV196" s="268"/>
      <c r="AW196" s="268"/>
      <c r="AX196" s="268"/>
      <c r="AY196" s="268"/>
      <c r="AZ196" s="268"/>
      <c r="BA196" s="268"/>
      <c r="BB196" s="268"/>
      <c r="BC196" s="268"/>
      <c r="BD196" s="268"/>
      <c r="BE196" s="268"/>
      <c r="BF196" s="268"/>
      <c r="BG196" s="268"/>
      <c r="BH196" s="268"/>
      <c r="BI196" s="268"/>
      <c r="BJ196" s="494"/>
      <c r="BK196" s="494"/>
      <c r="BL196" s="494"/>
      <c r="BM196" s="494"/>
      <c r="BN196" s="494"/>
      <c r="BO196" s="494"/>
      <c r="BP196" s="494"/>
      <c r="BQ196" s="494"/>
      <c r="BR196" s="494"/>
      <c r="BS196" s="494"/>
      <c r="BT196" s="494"/>
      <c r="BU196" s="494"/>
      <c r="BV196" s="494"/>
      <c r="BW196" s="494"/>
      <c r="BX196" s="494"/>
      <c r="BY196" s="494"/>
      <c r="BZ196" s="494"/>
      <c r="CA196" s="494"/>
      <c r="CB196" s="494"/>
      <c r="CC196" s="494"/>
      <c r="CD196" s="494"/>
      <c r="CE196" s="494"/>
      <c r="CF196" s="494"/>
      <c r="CG196" s="494"/>
      <c r="CM196" s="197"/>
      <c r="CN196" s="197"/>
      <c r="CU196" s="137"/>
    </row>
    <row r="197" spans="4:99">
      <c r="D197" s="53"/>
      <c r="I197" s="53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  <c r="X197" s="268"/>
      <c r="Y197" s="268"/>
      <c r="Z197" s="268"/>
      <c r="AA197" s="268"/>
      <c r="AB197" s="268"/>
      <c r="AC197" s="268"/>
      <c r="AD197" s="268"/>
      <c r="AE197" s="268"/>
      <c r="AF197" s="268"/>
      <c r="AG197" s="268"/>
      <c r="AH197" s="268"/>
      <c r="AI197" s="268"/>
      <c r="AJ197" s="268"/>
      <c r="AK197" s="268"/>
      <c r="AL197" s="268"/>
      <c r="AM197" s="268"/>
      <c r="AN197" s="268"/>
      <c r="AO197" s="268"/>
      <c r="AP197" s="268"/>
      <c r="AQ197" s="268"/>
      <c r="AR197" s="268"/>
      <c r="AS197" s="268"/>
      <c r="AT197" s="268"/>
      <c r="AU197" s="268"/>
      <c r="AV197" s="268"/>
      <c r="AW197" s="268"/>
      <c r="AX197" s="268"/>
      <c r="AY197" s="268"/>
      <c r="AZ197" s="268"/>
      <c r="BA197" s="268"/>
      <c r="BB197" s="268"/>
      <c r="BC197" s="268"/>
      <c r="BD197" s="268"/>
      <c r="BE197" s="268"/>
      <c r="BF197" s="268"/>
      <c r="BG197" s="268"/>
      <c r="BH197" s="268"/>
      <c r="BI197" s="268"/>
      <c r="BJ197" s="494"/>
      <c r="BK197" s="494"/>
      <c r="BL197" s="494"/>
      <c r="BM197" s="494"/>
      <c r="BN197" s="494"/>
      <c r="BO197" s="494"/>
      <c r="BP197" s="494"/>
      <c r="BQ197" s="494"/>
      <c r="BR197" s="494"/>
      <c r="BS197" s="494"/>
      <c r="BT197" s="494"/>
      <c r="BU197" s="494"/>
      <c r="BV197" s="494"/>
      <c r="BW197" s="494"/>
      <c r="BX197" s="494"/>
      <c r="BY197" s="494"/>
      <c r="BZ197" s="494"/>
      <c r="CA197" s="494"/>
      <c r="CB197" s="494"/>
      <c r="CC197" s="494"/>
      <c r="CD197" s="494"/>
      <c r="CE197" s="494"/>
      <c r="CF197" s="494"/>
      <c r="CG197" s="494"/>
      <c r="CM197" s="197"/>
      <c r="CN197" s="197"/>
      <c r="CU197" s="137"/>
    </row>
    <row r="198" spans="4:99">
      <c r="D198" s="53"/>
      <c r="I198" s="53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  <c r="X198" s="268"/>
      <c r="Y198" s="268"/>
      <c r="Z198" s="268"/>
      <c r="AA198" s="268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268"/>
      <c r="AP198" s="268"/>
      <c r="AQ198" s="268"/>
      <c r="AR198" s="268"/>
      <c r="AS198" s="268"/>
      <c r="AT198" s="268"/>
      <c r="AU198" s="268"/>
      <c r="AV198" s="268"/>
      <c r="AW198" s="268"/>
      <c r="AX198" s="268"/>
      <c r="AY198" s="268"/>
      <c r="AZ198" s="268"/>
      <c r="BA198" s="268"/>
      <c r="BB198" s="268"/>
      <c r="BC198" s="268"/>
      <c r="BD198" s="268"/>
      <c r="BE198" s="268"/>
      <c r="BF198" s="268"/>
      <c r="BG198" s="268"/>
      <c r="BH198" s="268"/>
      <c r="BI198" s="268"/>
      <c r="BJ198" s="494"/>
      <c r="BK198" s="494"/>
      <c r="BL198" s="494"/>
      <c r="BM198" s="494"/>
      <c r="BN198" s="494"/>
      <c r="BO198" s="494"/>
      <c r="BP198" s="494"/>
      <c r="BQ198" s="494"/>
      <c r="BR198" s="494"/>
      <c r="BS198" s="494"/>
      <c r="BT198" s="494"/>
      <c r="BU198" s="494"/>
      <c r="BV198" s="494"/>
      <c r="BW198" s="494"/>
      <c r="BX198" s="494"/>
      <c r="BY198" s="494"/>
      <c r="BZ198" s="494"/>
      <c r="CA198" s="494"/>
      <c r="CB198" s="494"/>
      <c r="CC198" s="494"/>
      <c r="CD198" s="494"/>
      <c r="CE198" s="494"/>
      <c r="CF198" s="494"/>
      <c r="CG198" s="494"/>
      <c r="CM198" s="197"/>
      <c r="CN198" s="197"/>
      <c r="CU198" s="137"/>
    </row>
    <row r="199" spans="4:99">
      <c r="D199" s="53"/>
      <c r="I199" s="53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68"/>
      <c r="AI199" s="268"/>
      <c r="AJ199" s="268"/>
      <c r="AK199" s="268"/>
      <c r="AL199" s="268"/>
      <c r="AM199" s="268"/>
      <c r="AN199" s="268"/>
      <c r="AO199" s="268"/>
      <c r="AP199" s="268"/>
      <c r="AQ199" s="268"/>
      <c r="AR199" s="268"/>
      <c r="AS199" s="268"/>
      <c r="AT199" s="268"/>
      <c r="AU199" s="268"/>
      <c r="AV199" s="268"/>
      <c r="AW199" s="268"/>
      <c r="AX199" s="268"/>
      <c r="AY199" s="268"/>
      <c r="AZ199" s="268"/>
      <c r="BA199" s="268"/>
      <c r="BB199" s="268"/>
      <c r="BC199" s="268"/>
      <c r="BD199" s="268"/>
      <c r="BE199" s="268"/>
      <c r="BF199" s="268"/>
      <c r="BG199" s="268"/>
      <c r="BH199" s="268"/>
      <c r="BI199" s="268"/>
      <c r="BJ199" s="494"/>
      <c r="BK199" s="494"/>
      <c r="BL199" s="494"/>
      <c r="BM199" s="494"/>
      <c r="BN199" s="494"/>
      <c r="BO199" s="494"/>
      <c r="BP199" s="494"/>
      <c r="BQ199" s="494"/>
      <c r="BR199" s="494"/>
      <c r="BS199" s="494"/>
      <c r="BT199" s="494"/>
      <c r="BU199" s="494"/>
      <c r="BV199" s="494"/>
      <c r="BW199" s="494"/>
      <c r="BX199" s="494"/>
      <c r="BY199" s="494"/>
      <c r="BZ199" s="494"/>
      <c r="CA199" s="494"/>
      <c r="CB199" s="494"/>
      <c r="CC199" s="494"/>
      <c r="CD199" s="494"/>
      <c r="CE199" s="494"/>
      <c r="CF199" s="494"/>
      <c r="CG199" s="494"/>
      <c r="CM199" s="197"/>
      <c r="CN199" s="197"/>
      <c r="CU199" s="137"/>
    </row>
    <row r="200" spans="4:99">
      <c r="D200" s="53"/>
      <c r="I200" s="53"/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  <c r="X200" s="268"/>
      <c r="Y200" s="268"/>
      <c r="Z200" s="268"/>
      <c r="AA200" s="268"/>
      <c r="AB200" s="268"/>
      <c r="AC200" s="268"/>
      <c r="AD200" s="268"/>
      <c r="AE200" s="268"/>
      <c r="AF200" s="268"/>
      <c r="AG200" s="268"/>
      <c r="AH200" s="268"/>
      <c r="AI200" s="268"/>
      <c r="AJ200" s="268"/>
      <c r="AK200" s="268"/>
      <c r="AL200" s="268"/>
      <c r="AM200" s="268"/>
      <c r="AN200" s="268"/>
      <c r="AO200" s="268"/>
      <c r="AP200" s="268"/>
      <c r="AQ200" s="268"/>
      <c r="AR200" s="268"/>
      <c r="AS200" s="268"/>
      <c r="AT200" s="268"/>
      <c r="AU200" s="268"/>
      <c r="AV200" s="268"/>
      <c r="AW200" s="268"/>
      <c r="AX200" s="268"/>
      <c r="AY200" s="268"/>
      <c r="AZ200" s="268"/>
      <c r="BA200" s="268"/>
      <c r="BB200" s="268"/>
      <c r="BC200" s="268"/>
      <c r="BD200" s="268"/>
      <c r="BE200" s="268"/>
      <c r="BF200" s="268"/>
      <c r="BG200" s="268"/>
      <c r="BH200" s="268"/>
      <c r="BI200" s="268"/>
      <c r="BJ200" s="494"/>
      <c r="BK200" s="494"/>
      <c r="BL200" s="494"/>
      <c r="BM200" s="494"/>
      <c r="BN200" s="494"/>
      <c r="BO200" s="494"/>
      <c r="BP200" s="494"/>
      <c r="BQ200" s="494"/>
      <c r="BR200" s="494"/>
      <c r="BS200" s="494"/>
      <c r="BT200" s="494"/>
      <c r="BU200" s="494"/>
      <c r="BV200" s="494"/>
      <c r="BW200" s="494"/>
      <c r="BX200" s="494"/>
      <c r="BY200" s="494"/>
      <c r="BZ200" s="494"/>
      <c r="CA200" s="494"/>
      <c r="CB200" s="494"/>
      <c r="CC200" s="494"/>
      <c r="CD200" s="494"/>
      <c r="CE200" s="494"/>
      <c r="CF200" s="494"/>
      <c r="CG200" s="494"/>
      <c r="CM200" s="197"/>
      <c r="CN200" s="197"/>
      <c r="CU200" s="137"/>
    </row>
    <row r="201" spans="4:99">
      <c r="D201" s="53"/>
      <c r="I201" s="53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  <c r="X201" s="268"/>
      <c r="Y201" s="268"/>
      <c r="Z201" s="268"/>
      <c r="AA201" s="268"/>
      <c r="AB201" s="268"/>
      <c r="AC201" s="268"/>
      <c r="AD201" s="268"/>
      <c r="AE201" s="268"/>
      <c r="AF201" s="268"/>
      <c r="AG201" s="268"/>
      <c r="AH201" s="268"/>
      <c r="AI201" s="268"/>
      <c r="AJ201" s="268"/>
      <c r="AK201" s="268"/>
      <c r="AL201" s="268"/>
      <c r="AM201" s="268"/>
      <c r="AN201" s="268"/>
      <c r="AO201" s="268"/>
      <c r="AP201" s="268"/>
      <c r="AQ201" s="268"/>
      <c r="AR201" s="268"/>
      <c r="AS201" s="268"/>
      <c r="AT201" s="268"/>
      <c r="AU201" s="268"/>
      <c r="AV201" s="268"/>
      <c r="AW201" s="268"/>
      <c r="AX201" s="268"/>
      <c r="AY201" s="268"/>
      <c r="AZ201" s="268"/>
      <c r="BA201" s="268"/>
      <c r="BB201" s="268"/>
      <c r="BC201" s="268"/>
      <c r="BD201" s="268"/>
      <c r="BE201" s="268"/>
      <c r="BF201" s="268"/>
      <c r="BG201" s="268"/>
      <c r="BH201" s="268"/>
      <c r="BI201" s="268"/>
      <c r="BJ201" s="494"/>
      <c r="BK201" s="494"/>
      <c r="BL201" s="494"/>
      <c r="BM201" s="494"/>
      <c r="BN201" s="494"/>
      <c r="BO201" s="494"/>
      <c r="BP201" s="494"/>
      <c r="BQ201" s="494"/>
      <c r="BR201" s="494"/>
      <c r="BS201" s="494"/>
      <c r="BT201" s="494"/>
      <c r="BU201" s="494"/>
      <c r="BV201" s="494"/>
      <c r="BW201" s="494"/>
      <c r="BX201" s="494"/>
      <c r="BY201" s="494"/>
      <c r="BZ201" s="494"/>
      <c r="CA201" s="494"/>
      <c r="CB201" s="494"/>
      <c r="CC201" s="494"/>
      <c r="CD201" s="494"/>
      <c r="CE201" s="494"/>
      <c r="CF201" s="494"/>
      <c r="CG201" s="494"/>
      <c r="CM201" s="197"/>
      <c r="CN201" s="197"/>
      <c r="CU201" s="137"/>
    </row>
    <row r="202" spans="4:99">
      <c r="D202" s="53"/>
      <c r="I202" s="53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/>
      <c r="Z202" s="268"/>
      <c r="AA202" s="268"/>
      <c r="AB202" s="268"/>
      <c r="AC202" s="268"/>
      <c r="AD202" s="268"/>
      <c r="AE202" s="268"/>
      <c r="AF202" s="268"/>
      <c r="AG202" s="268"/>
      <c r="AH202" s="268"/>
      <c r="AI202" s="268"/>
      <c r="AJ202" s="268"/>
      <c r="AK202" s="268"/>
      <c r="AL202" s="268"/>
      <c r="AM202" s="268"/>
      <c r="AN202" s="268"/>
      <c r="AO202" s="268"/>
      <c r="AP202" s="268"/>
      <c r="AQ202" s="268"/>
      <c r="AR202" s="268"/>
      <c r="AS202" s="268"/>
      <c r="AT202" s="268"/>
      <c r="AU202" s="268"/>
      <c r="AV202" s="268"/>
      <c r="AW202" s="268"/>
      <c r="AX202" s="268"/>
      <c r="AY202" s="268"/>
      <c r="AZ202" s="268"/>
      <c r="BA202" s="268"/>
      <c r="BB202" s="268"/>
      <c r="BC202" s="268"/>
      <c r="BD202" s="268"/>
      <c r="BE202" s="268"/>
      <c r="BF202" s="268"/>
      <c r="BG202" s="268"/>
      <c r="BH202" s="268"/>
      <c r="BI202" s="268"/>
      <c r="BJ202" s="494"/>
      <c r="BK202" s="494"/>
      <c r="BL202" s="494"/>
      <c r="BM202" s="494"/>
      <c r="BN202" s="494"/>
      <c r="BO202" s="494"/>
      <c r="BP202" s="494"/>
      <c r="BQ202" s="494"/>
      <c r="BR202" s="494"/>
      <c r="BS202" s="494"/>
      <c r="BT202" s="494"/>
      <c r="BU202" s="494"/>
      <c r="BV202" s="494"/>
      <c r="BW202" s="494"/>
      <c r="BX202" s="494"/>
      <c r="BY202" s="494"/>
      <c r="BZ202" s="494"/>
      <c r="CA202" s="494"/>
      <c r="CB202" s="494"/>
      <c r="CC202" s="494"/>
      <c r="CD202" s="494"/>
      <c r="CE202" s="494"/>
      <c r="CF202" s="494"/>
      <c r="CG202" s="494"/>
      <c r="CM202" s="197"/>
      <c r="CN202" s="197"/>
      <c r="CU202" s="137"/>
    </row>
    <row r="203" spans="4:99">
      <c r="D203" s="53"/>
      <c r="I203" s="53"/>
      <c r="N203" s="268"/>
      <c r="O203" s="268"/>
      <c r="P203" s="268"/>
      <c r="Q203" s="268"/>
      <c r="R203" s="268"/>
      <c r="S203" s="268"/>
      <c r="T203" s="268"/>
      <c r="U203" s="268"/>
      <c r="V203" s="268"/>
      <c r="W203" s="268"/>
      <c r="X203" s="268"/>
      <c r="Y203" s="268"/>
      <c r="Z203" s="268"/>
      <c r="AA203" s="268"/>
      <c r="AB203" s="268"/>
      <c r="AC203" s="268"/>
      <c r="AD203" s="268"/>
      <c r="AE203" s="268"/>
      <c r="AF203" s="268"/>
      <c r="AG203" s="268"/>
      <c r="AH203" s="268"/>
      <c r="AI203" s="268"/>
      <c r="AJ203" s="268"/>
      <c r="AK203" s="268"/>
      <c r="AL203" s="268"/>
      <c r="AM203" s="268"/>
      <c r="AN203" s="268"/>
      <c r="AO203" s="268"/>
      <c r="AP203" s="268"/>
      <c r="AQ203" s="268"/>
      <c r="AR203" s="268"/>
      <c r="AS203" s="268"/>
      <c r="AT203" s="268"/>
      <c r="AU203" s="268"/>
      <c r="AV203" s="268"/>
      <c r="AW203" s="268"/>
      <c r="AX203" s="268"/>
      <c r="AY203" s="268"/>
      <c r="AZ203" s="268"/>
      <c r="BA203" s="268"/>
      <c r="BB203" s="268"/>
      <c r="BC203" s="268"/>
      <c r="BD203" s="268"/>
      <c r="BE203" s="268"/>
      <c r="BF203" s="268"/>
      <c r="BG203" s="268"/>
      <c r="BH203" s="268"/>
      <c r="BI203" s="268"/>
      <c r="BJ203" s="494"/>
      <c r="BK203" s="494"/>
      <c r="BL203" s="494"/>
      <c r="BM203" s="494"/>
      <c r="BN203" s="494"/>
      <c r="BO203" s="494"/>
      <c r="BP203" s="494"/>
      <c r="BQ203" s="494"/>
      <c r="BR203" s="494"/>
      <c r="BS203" s="494"/>
      <c r="BT203" s="494"/>
      <c r="BU203" s="494"/>
      <c r="BV203" s="494"/>
      <c r="BW203" s="494"/>
      <c r="BX203" s="494"/>
      <c r="BY203" s="494"/>
      <c r="BZ203" s="494"/>
      <c r="CA203" s="494"/>
      <c r="CB203" s="494"/>
      <c r="CC203" s="494"/>
      <c r="CD203" s="494"/>
      <c r="CE203" s="494"/>
      <c r="CF203" s="494"/>
      <c r="CG203" s="494"/>
      <c r="CM203" s="197"/>
      <c r="CN203" s="197"/>
      <c r="CU203" s="137"/>
    </row>
    <row r="204" spans="4:99">
      <c r="D204" s="53"/>
      <c r="I204" s="53"/>
      <c r="N204" s="268"/>
      <c r="O204" s="268"/>
      <c r="P204" s="268"/>
      <c r="Q204" s="268"/>
      <c r="R204" s="268"/>
      <c r="S204" s="268"/>
      <c r="T204" s="268"/>
      <c r="U204" s="268"/>
      <c r="V204" s="268"/>
      <c r="W204" s="268"/>
      <c r="X204" s="268"/>
      <c r="Y204" s="268"/>
      <c r="Z204" s="268"/>
      <c r="AA204" s="268"/>
      <c r="AB204" s="268"/>
      <c r="AC204" s="268"/>
      <c r="AD204" s="268"/>
      <c r="AE204" s="268"/>
      <c r="AF204" s="268"/>
      <c r="AG204" s="268"/>
      <c r="AH204" s="268"/>
      <c r="AI204" s="268"/>
      <c r="AJ204" s="268"/>
      <c r="AK204" s="268"/>
      <c r="AL204" s="268"/>
      <c r="AM204" s="268"/>
      <c r="AN204" s="268"/>
      <c r="AO204" s="268"/>
      <c r="AP204" s="268"/>
      <c r="AQ204" s="268"/>
      <c r="AR204" s="268"/>
      <c r="AS204" s="268"/>
      <c r="AT204" s="268"/>
      <c r="AU204" s="268"/>
      <c r="AV204" s="268"/>
      <c r="AW204" s="268"/>
      <c r="AX204" s="268"/>
      <c r="AY204" s="268"/>
      <c r="AZ204" s="268"/>
      <c r="BA204" s="268"/>
      <c r="BB204" s="268"/>
      <c r="BC204" s="268"/>
      <c r="BD204" s="268"/>
      <c r="BE204" s="268"/>
      <c r="BF204" s="268"/>
      <c r="BG204" s="268"/>
      <c r="BH204" s="268"/>
      <c r="BI204" s="268"/>
      <c r="BJ204" s="494"/>
      <c r="BK204" s="494"/>
      <c r="BL204" s="494"/>
      <c r="BM204" s="494"/>
      <c r="BN204" s="494"/>
      <c r="BO204" s="494"/>
      <c r="BP204" s="494"/>
      <c r="BQ204" s="494"/>
      <c r="BR204" s="494"/>
      <c r="BS204" s="494"/>
      <c r="BT204" s="494"/>
      <c r="BU204" s="494"/>
      <c r="BV204" s="494"/>
      <c r="BW204" s="494"/>
      <c r="BX204" s="494"/>
      <c r="BY204" s="494"/>
      <c r="BZ204" s="494"/>
      <c r="CA204" s="494"/>
      <c r="CB204" s="494"/>
      <c r="CC204" s="494"/>
      <c r="CD204" s="494"/>
      <c r="CE204" s="494"/>
      <c r="CF204" s="494"/>
      <c r="CG204" s="494"/>
      <c r="CM204" s="197"/>
      <c r="CN204" s="197"/>
      <c r="CU204" s="137"/>
    </row>
    <row r="205" spans="4:99">
      <c r="D205" s="53"/>
      <c r="I205" s="53"/>
      <c r="N205" s="268"/>
      <c r="O205" s="268"/>
      <c r="P205" s="268"/>
      <c r="Q205" s="268"/>
      <c r="R205" s="268"/>
      <c r="S205" s="268"/>
      <c r="T205" s="268"/>
      <c r="U205" s="268"/>
      <c r="V205" s="268"/>
      <c r="W205" s="268"/>
      <c r="X205" s="268"/>
      <c r="Y205" s="268"/>
      <c r="Z205" s="268"/>
      <c r="AA205" s="268"/>
      <c r="AB205" s="268"/>
      <c r="AC205" s="268"/>
      <c r="AD205" s="268"/>
      <c r="AE205" s="268"/>
      <c r="AF205" s="268"/>
      <c r="AG205" s="268"/>
      <c r="AH205" s="268"/>
      <c r="AI205" s="268"/>
      <c r="AJ205" s="268"/>
      <c r="AK205" s="268"/>
      <c r="AL205" s="268"/>
      <c r="AM205" s="268"/>
      <c r="AN205" s="268"/>
      <c r="AO205" s="268"/>
      <c r="AP205" s="268"/>
      <c r="AQ205" s="268"/>
      <c r="AR205" s="268"/>
      <c r="AS205" s="268"/>
      <c r="AT205" s="268"/>
      <c r="AU205" s="268"/>
      <c r="AV205" s="268"/>
      <c r="AW205" s="268"/>
      <c r="AX205" s="268"/>
      <c r="AY205" s="268"/>
      <c r="AZ205" s="268"/>
      <c r="BA205" s="268"/>
      <c r="BB205" s="268"/>
      <c r="BC205" s="268"/>
      <c r="BD205" s="268"/>
      <c r="BE205" s="268"/>
      <c r="BF205" s="268"/>
      <c r="BG205" s="268"/>
      <c r="BH205" s="268"/>
      <c r="BI205" s="268"/>
      <c r="BJ205" s="494"/>
      <c r="BK205" s="494"/>
      <c r="BL205" s="494"/>
      <c r="BM205" s="494"/>
      <c r="BN205" s="494"/>
      <c r="BO205" s="494"/>
      <c r="BP205" s="494"/>
      <c r="BQ205" s="494"/>
      <c r="BR205" s="494"/>
      <c r="BS205" s="494"/>
      <c r="BT205" s="494"/>
      <c r="BU205" s="494"/>
      <c r="BV205" s="494"/>
      <c r="BW205" s="494"/>
      <c r="BX205" s="494"/>
      <c r="BY205" s="494"/>
      <c r="BZ205" s="494"/>
      <c r="CA205" s="494"/>
      <c r="CB205" s="494"/>
      <c r="CC205" s="494"/>
      <c r="CD205" s="494"/>
      <c r="CE205" s="494"/>
      <c r="CF205" s="494"/>
      <c r="CG205" s="494"/>
      <c r="CM205" s="197"/>
      <c r="CN205" s="197"/>
      <c r="CU205" s="137"/>
    </row>
    <row r="206" spans="4:99">
      <c r="D206" s="53"/>
      <c r="I206" s="53"/>
      <c r="N206" s="268"/>
      <c r="O206" s="268"/>
      <c r="P206" s="268"/>
      <c r="Q206" s="268"/>
      <c r="R206" s="268"/>
      <c r="S206" s="268"/>
      <c r="T206" s="268"/>
      <c r="U206" s="268"/>
      <c r="V206" s="268"/>
      <c r="W206" s="268"/>
      <c r="X206" s="268"/>
      <c r="Y206" s="268"/>
      <c r="Z206" s="268"/>
      <c r="AA206" s="268"/>
      <c r="AB206" s="268"/>
      <c r="AC206" s="268"/>
      <c r="AD206" s="268"/>
      <c r="AE206" s="268"/>
      <c r="AF206" s="268"/>
      <c r="AG206" s="268"/>
      <c r="AH206" s="268"/>
      <c r="AI206" s="268"/>
      <c r="AJ206" s="268"/>
      <c r="AK206" s="268"/>
      <c r="AL206" s="268"/>
      <c r="AM206" s="268"/>
      <c r="AN206" s="268"/>
      <c r="AO206" s="268"/>
      <c r="AP206" s="268"/>
      <c r="AQ206" s="268"/>
      <c r="AR206" s="268"/>
      <c r="AS206" s="268"/>
      <c r="AT206" s="268"/>
      <c r="AU206" s="268"/>
      <c r="AV206" s="268"/>
      <c r="AW206" s="268"/>
      <c r="AX206" s="268"/>
      <c r="AY206" s="268"/>
      <c r="AZ206" s="268"/>
      <c r="BA206" s="268"/>
      <c r="BB206" s="268"/>
      <c r="BC206" s="268"/>
      <c r="BD206" s="268"/>
      <c r="BE206" s="268"/>
      <c r="BF206" s="268"/>
      <c r="BG206" s="268"/>
      <c r="BH206" s="268"/>
      <c r="BI206" s="268"/>
      <c r="BJ206" s="494"/>
      <c r="BK206" s="494"/>
      <c r="BL206" s="494"/>
      <c r="BM206" s="494"/>
      <c r="BN206" s="494"/>
      <c r="BO206" s="494"/>
      <c r="BP206" s="494"/>
      <c r="BQ206" s="494"/>
      <c r="BR206" s="494"/>
      <c r="BS206" s="494"/>
      <c r="BT206" s="494"/>
      <c r="BU206" s="494"/>
      <c r="BV206" s="494"/>
      <c r="BW206" s="494"/>
      <c r="BX206" s="494"/>
      <c r="BY206" s="494"/>
      <c r="BZ206" s="494"/>
      <c r="CA206" s="494"/>
      <c r="CB206" s="494"/>
      <c r="CC206" s="494"/>
      <c r="CD206" s="494"/>
      <c r="CE206" s="494"/>
      <c r="CF206" s="494"/>
      <c r="CG206" s="494"/>
      <c r="CM206" s="197"/>
      <c r="CN206" s="197"/>
      <c r="CU206" s="137"/>
    </row>
    <row r="207" spans="4:99">
      <c r="D207" s="53"/>
      <c r="I207" s="53"/>
      <c r="N207" s="268"/>
      <c r="O207" s="268"/>
      <c r="P207" s="268"/>
      <c r="Q207" s="268"/>
      <c r="R207" s="268"/>
      <c r="S207" s="268"/>
      <c r="T207" s="268"/>
      <c r="U207" s="268"/>
      <c r="V207" s="268"/>
      <c r="W207" s="268"/>
      <c r="X207" s="268"/>
      <c r="Y207" s="268"/>
      <c r="Z207" s="268"/>
      <c r="AA207" s="268"/>
      <c r="AB207" s="268"/>
      <c r="AC207" s="268"/>
      <c r="AD207" s="268"/>
      <c r="AE207" s="268"/>
      <c r="AF207" s="268"/>
      <c r="AG207" s="268"/>
      <c r="AH207" s="268"/>
      <c r="AI207" s="268"/>
      <c r="AJ207" s="268"/>
      <c r="AK207" s="268"/>
      <c r="AL207" s="268"/>
      <c r="AM207" s="268"/>
      <c r="AN207" s="268"/>
      <c r="AO207" s="268"/>
      <c r="AP207" s="268"/>
      <c r="AQ207" s="268"/>
      <c r="AR207" s="268"/>
      <c r="AS207" s="268"/>
      <c r="AT207" s="268"/>
      <c r="AU207" s="268"/>
      <c r="AV207" s="268"/>
      <c r="AW207" s="268"/>
      <c r="AX207" s="268"/>
      <c r="AY207" s="268"/>
      <c r="AZ207" s="268"/>
      <c r="BA207" s="268"/>
      <c r="BB207" s="268"/>
      <c r="BC207" s="268"/>
      <c r="BD207" s="268"/>
      <c r="BE207" s="268"/>
      <c r="BF207" s="268"/>
      <c r="BG207" s="268"/>
      <c r="BH207" s="268"/>
      <c r="BI207" s="268"/>
      <c r="BJ207" s="494"/>
      <c r="BK207" s="494"/>
      <c r="BL207" s="494"/>
      <c r="BM207" s="494"/>
      <c r="BN207" s="494"/>
      <c r="BO207" s="494"/>
      <c r="BP207" s="494"/>
      <c r="BQ207" s="494"/>
      <c r="BR207" s="494"/>
      <c r="BS207" s="494"/>
      <c r="BT207" s="494"/>
      <c r="BU207" s="494"/>
      <c r="BV207" s="494"/>
      <c r="BW207" s="494"/>
      <c r="BX207" s="494"/>
      <c r="BY207" s="494"/>
      <c r="BZ207" s="494"/>
      <c r="CA207" s="494"/>
      <c r="CB207" s="494"/>
      <c r="CC207" s="494"/>
      <c r="CD207" s="494"/>
      <c r="CE207" s="494"/>
      <c r="CF207" s="494"/>
      <c r="CG207" s="494"/>
      <c r="CM207" s="197"/>
      <c r="CN207" s="197"/>
      <c r="CU207" s="137"/>
    </row>
    <row r="208" spans="4:99">
      <c r="D208" s="53"/>
      <c r="I208" s="53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  <c r="X208" s="268"/>
      <c r="Y208" s="268"/>
      <c r="Z208" s="268"/>
      <c r="AA208" s="268"/>
      <c r="AB208" s="268"/>
      <c r="AC208" s="268"/>
      <c r="AD208" s="268"/>
      <c r="AE208" s="268"/>
      <c r="AF208" s="268"/>
      <c r="AG208" s="268"/>
      <c r="AH208" s="268"/>
      <c r="AI208" s="268"/>
      <c r="AJ208" s="268"/>
      <c r="AK208" s="268"/>
      <c r="AL208" s="268"/>
      <c r="AM208" s="268"/>
      <c r="AN208" s="268"/>
      <c r="AO208" s="268"/>
      <c r="AP208" s="268"/>
      <c r="AQ208" s="268"/>
      <c r="AR208" s="268"/>
      <c r="AS208" s="268"/>
      <c r="AT208" s="268"/>
      <c r="AU208" s="268"/>
      <c r="AV208" s="268"/>
      <c r="AW208" s="268"/>
      <c r="AX208" s="268"/>
      <c r="AY208" s="268"/>
      <c r="AZ208" s="268"/>
      <c r="BA208" s="268"/>
      <c r="BB208" s="268"/>
      <c r="BC208" s="268"/>
      <c r="BD208" s="268"/>
      <c r="BE208" s="268"/>
      <c r="BF208" s="268"/>
      <c r="BG208" s="268"/>
      <c r="BH208" s="268"/>
      <c r="BI208" s="268"/>
      <c r="BJ208" s="494"/>
      <c r="BK208" s="494"/>
      <c r="BL208" s="494"/>
      <c r="BM208" s="494"/>
      <c r="BN208" s="494"/>
      <c r="BO208" s="494"/>
      <c r="BP208" s="494"/>
      <c r="BQ208" s="494"/>
      <c r="BR208" s="494"/>
      <c r="BS208" s="494"/>
      <c r="BT208" s="494"/>
      <c r="BU208" s="494"/>
      <c r="BV208" s="494"/>
      <c r="BW208" s="494"/>
      <c r="BX208" s="494"/>
      <c r="BY208" s="494"/>
      <c r="BZ208" s="494"/>
      <c r="CA208" s="494"/>
      <c r="CB208" s="494"/>
      <c r="CC208" s="494"/>
      <c r="CD208" s="494"/>
      <c r="CE208" s="494"/>
      <c r="CF208" s="494"/>
      <c r="CG208" s="494"/>
      <c r="CM208" s="197"/>
      <c r="CN208" s="197"/>
      <c r="CU208" s="137"/>
    </row>
    <row r="209" spans="4:99">
      <c r="D209" s="53"/>
      <c r="I209" s="53"/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  <c r="X209" s="268"/>
      <c r="Y209" s="268"/>
      <c r="Z209" s="268"/>
      <c r="AA209" s="268"/>
      <c r="AB209" s="268"/>
      <c r="AC209" s="268"/>
      <c r="AD209" s="268"/>
      <c r="AE209" s="268"/>
      <c r="AF209" s="268"/>
      <c r="AG209" s="268"/>
      <c r="AH209" s="268"/>
      <c r="AI209" s="268"/>
      <c r="AJ209" s="268"/>
      <c r="AK209" s="268"/>
      <c r="AL209" s="268"/>
      <c r="AM209" s="268"/>
      <c r="AN209" s="268"/>
      <c r="AO209" s="268"/>
      <c r="AP209" s="268"/>
      <c r="AQ209" s="268"/>
      <c r="AR209" s="268"/>
      <c r="AS209" s="268"/>
      <c r="AT209" s="268"/>
      <c r="AU209" s="268"/>
      <c r="AV209" s="268"/>
      <c r="AW209" s="268"/>
      <c r="AX209" s="268"/>
      <c r="AY209" s="268"/>
      <c r="AZ209" s="268"/>
      <c r="BA209" s="268"/>
      <c r="BB209" s="268"/>
      <c r="BC209" s="268"/>
      <c r="BD209" s="268"/>
      <c r="BE209" s="268"/>
      <c r="BF209" s="268"/>
      <c r="BG209" s="268"/>
      <c r="BH209" s="268"/>
      <c r="BI209" s="268"/>
      <c r="BJ209" s="494"/>
      <c r="BK209" s="494"/>
      <c r="BL209" s="494"/>
      <c r="BM209" s="494"/>
      <c r="BN209" s="494"/>
      <c r="BO209" s="494"/>
      <c r="BP209" s="494"/>
      <c r="BQ209" s="494"/>
      <c r="BR209" s="494"/>
      <c r="BS209" s="494"/>
      <c r="BT209" s="494"/>
      <c r="BU209" s="494"/>
      <c r="BV209" s="494"/>
      <c r="BW209" s="494"/>
      <c r="BX209" s="494"/>
      <c r="BY209" s="494"/>
      <c r="BZ209" s="494"/>
      <c r="CA209" s="494"/>
      <c r="CB209" s="494"/>
      <c r="CC209" s="494"/>
      <c r="CD209" s="494"/>
      <c r="CE209" s="494"/>
      <c r="CF209" s="494"/>
      <c r="CG209" s="494"/>
      <c r="CM209" s="197"/>
      <c r="CN209" s="197"/>
      <c r="CU209" s="137"/>
    </row>
    <row r="210" spans="4:99">
      <c r="D210" s="53"/>
      <c r="I210" s="53"/>
      <c r="N210" s="268"/>
      <c r="O210" s="268"/>
      <c r="P210" s="268"/>
      <c r="Q210" s="268"/>
      <c r="R210" s="268"/>
      <c r="S210" s="268"/>
      <c r="T210" s="268"/>
      <c r="U210" s="268"/>
      <c r="V210" s="268"/>
      <c r="W210" s="268"/>
      <c r="X210" s="268"/>
      <c r="Y210" s="268"/>
      <c r="Z210" s="268"/>
      <c r="AA210" s="268"/>
      <c r="AB210" s="268"/>
      <c r="AC210" s="268"/>
      <c r="AD210" s="268"/>
      <c r="AE210" s="268"/>
      <c r="AF210" s="268"/>
      <c r="AG210" s="268"/>
      <c r="AH210" s="268"/>
      <c r="AI210" s="268"/>
      <c r="AJ210" s="268"/>
      <c r="AK210" s="268"/>
      <c r="AL210" s="268"/>
      <c r="AM210" s="268"/>
      <c r="AN210" s="268"/>
      <c r="AO210" s="268"/>
      <c r="AP210" s="268"/>
      <c r="AQ210" s="268"/>
      <c r="AR210" s="268"/>
      <c r="AS210" s="268"/>
      <c r="AT210" s="268"/>
      <c r="AU210" s="268"/>
      <c r="AV210" s="268"/>
      <c r="AW210" s="268"/>
      <c r="AX210" s="268"/>
      <c r="AY210" s="268"/>
      <c r="AZ210" s="268"/>
      <c r="BA210" s="268"/>
      <c r="BB210" s="268"/>
      <c r="BC210" s="268"/>
      <c r="BD210" s="268"/>
      <c r="BE210" s="268"/>
      <c r="BF210" s="268"/>
      <c r="BG210" s="268"/>
      <c r="BH210" s="268"/>
      <c r="BI210" s="268"/>
      <c r="BJ210" s="494"/>
      <c r="BK210" s="494"/>
      <c r="BL210" s="494"/>
      <c r="BM210" s="494"/>
      <c r="BN210" s="494"/>
      <c r="BO210" s="494"/>
      <c r="BP210" s="494"/>
      <c r="BQ210" s="494"/>
      <c r="BR210" s="494"/>
      <c r="BS210" s="494"/>
      <c r="BT210" s="494"/>
      <c r="BU210" s="494"/>
      <c r="BV210" s="494"/>
      <c r="BW210" s="494"/>
      <c r="BX210" s="494"/>
      <c r="BY210" s="494"/>
      <c r="BZ210" s="494"/>
      <c r="CA210" s="494"/>
      <c r="CB210" s="494"/>
      <c r="CC210" s="494"/>
      <c r="CD210" s="494"/>
      <c r="CE210" s="494"/>
      <c r="CF210" s="494"/>
      <c r="CG210" s="494"/>
      <c r="CM210" s="197"/>
      <c r="CN210" s="197"/>
      <c r="CU210" s="137"/>
    </row>
    <row r="211" spans="4:99">
      <c r="D211" s="53"/>
      <c r="I211" s="53"/>
      <c r="N211" s="268"/>
      <c r="O211" s="268"/>
      <c r="P211" s="268"/>
      <c r="Q211" s="268"/>
      <c r="R211" s="268"/>
      <c r="S211" s="268"/>
      <c r="T211" s="268"/>
      <c r="U211" s="268"/>
      <c r="V211" s="268"/>
      <c r="W211" s="268"/>
      <c r="X211" s="268"/>
      <c r="Y211" s="268"/>
      <c r="Z211" s="268"/>
      <c r="AA211" s="268"/>
      <c r="AB211" s="268"/>
      <c r="AC211" s="268"/>
      <c r="AD211" s="268"/>
      <c r="AE211" s="268"/>
      <c r="AF211" s="268"/>
      <c r="AG211" s="268"/>
      <c r="AH211" s="268"/>
      <c r="AI211" s="268"/>
      <c r="AJ211" s="268"/>
      <c r="AK211" s="268"/>
      <c r="AL211" s="268"/>
      <c r="AM211" s="268"/>
      <c r="AN211" s="268"/>
      <c r="AO211" s="268"/>
      <c r="AP211" s="268"/>
      <c r="AQ211" s="268"/>
      <c r="AR211" s="268"/>
      <c r="AS211" s="268"/>
      <c r="AT211" s="268"/>
      <c r="AU211" s="268"/>
      <c r="AV211" s="268"/>
      <c r="AW211" s="268"/>
      <c r="AX211" s="268"/>
      <c r="AY211" s="268"/>
      <c r="AZ211" s="268"/>
      <c r="BA211" s="268"/>
      <c r="BB211" s="268"/>
      <c r="BC211" s="268"/>
      <c r="BD211" s="268"/>
      <c r="BE211" s="268"/>
      <c r="BF211" s="268"/>
      <c r="BG211" s="268"/>
      <c r="BH211" s="268"/>
      <c r="BI211" s="268"/>
      <c r="BJ211" s="494"/>
      <c r="BK211" s="494"/>
      <c r="BL211" s="494"/>
      <c r="BM211" s="494"/>
      <c r="BN211" s="494"/>
      <c r="BO211" s="494"/>
      <c r="BP211" s="494"/>
      <c r="BQ211" s="494"/>
      <c r="BR211" s="494"/>
      <c r="BS211" s="494"/>
      <c r="BT211" s="494"/>
      <c r="BU211" s="494"/>
      <c r="BV211" s="494"/>
      <c r="BW211" s="494"/>
      <c r="BX211" s="494"/>
      <c r="BY211" s="494"/>
      <c r="BZ211" s="494"/>
      <c r="CA211" s="494"/>
      <c r="CB211" s="494"/>
      <c r="CC211" s="494"/>
      <c r="CD211" s="494"/>
      <c r="CE211" s="494"/>
      <c r="CF211" s="494"/>
      <c r="CG211" s="494"/>
      <c r="CM211" s="197"/>
      <c r="CN211" s="197"/>
      <c r="CU211" s="137"/>
    </row>
    <row r="212" spans="4:99">
      <c r="D212" s="53"/>
      <c r="I212" s="53"/>
      <c r="N212" s="268"/>
      <c r="O212" s="268"/>
      <c r="P212" s="268"/>
      <c r="Q212" s="268"/>
      <c r="R212" s="268"/>
      <c r="S212" s="268"/>
      <c r="T212" s="268"/>
      <c r="U212" s="268"/>
      <c r="V212" s="268"/>
      <c r="W212" s="268"/>
      <c r="X212" s="268"/>
      <c r="Y212" s="268"/>
      <c r="Z212" s="268"/>
      <c r="AA212" s="268"/>
      <c r="AB212" s="268"/>
      <c r="AC212" s="268"/>
      <c r="AD212" s="268"/>
      <c r="AE212" s="268"/>
      <c r="AF212" s="268"/>
      <c r="AG212" s="268"/>
      <c r="AH212" s="268"/>
      <c r="AI212" s="268"/>
      <c r="AJ212" s="268"/>
      <c r="AK212" s="268"/>
      <c r="AL212" s="268"/>
      <c r="AM212" s="268"/>
      <c r="AN212" s="268"/>
      <c r="AO212" s="268"/>
      <c r="AP212" s="268"/>
      <c r="AQ212" s="268"/>
      <c r="AR212" s="268"/>
      <c r="AS212" s="268"/>
      <c r="AT212" s="268"/>
      <c r="AU212" s="268"/>
      <c r="AV212" s="268"/>
      <c r="AW212" s="268"/>
      <c r="AX212" s="268"/>
      <c r="AY212" s="268"/>
      <c r="AZ212" s="268"/>
      <c r="BA212" s="268"/>
      <c r="BB212" s="268"/>
      <c r="BC212" s="268"/>
      <c r="BD212" s="268"/>
      <c r="BE212" s="268"/>
      <c r="BF212" s="268"/>
      <c r="BG212" s="268"/>
      <c r="BH212" s="268"/>
      <c r="BI212" s="268"/>
      <c r="BJ212" s="494"/>
      <c r="BK212" s="494"/>
      <c r="BL212" s="494"/>
      <c r="BM212" s="494"/>
      <c r="BN212" s="494"/>
      <c r="BO212" s="494"/>
      <c r="BP212" s="494"/>
      <c r="BQ212" s="494"/>
      <c r="BR212" s="494"/>
      <c r="BS212" s="494"/>
      <c r="BT212" s="494"/>
      <c r="BU212" s="494"/>
      <c r="BV212" s="494"/>
      <c r="BW212" s="494"/>
      <c r="BX212" s="494"/>
      <c r="BY212" s="494"/>
      <c r="BZ212" s="494"/>
      <c r="CA212" s="494"/>
      <c r="CB212" s="494"/>
      <c r="CC212" s="494"/>
      <c r="CD212" s="494"/>
      <c r="CE212" s="494"/>
      <c r="CF212" s="494"/>
      <c r="CG212" s="494"/>
      <c r="CM212" s="197"/>
      <c r="CN212" s="197"/>
      <c r="CU212" s="137"/>
    </row>
    <row r="213" spans="4:99">
      <c r="D213" s="53"/>
      <c r="I213" s="53"/>
      <c r="N213" s="268"/>
      <c r="O213" s="268"/>
      <c r="P213" s="268"/>
      <c r="Q213" s="268"/>
      <c r="R213" s="268"/>
      <c r="S213" s="268"/>
      <c r="T213" s="268"/>
      <c r="U213" s="268"/>
      <c r="V213" s="268"/>
      <c r="W213" s="268"/>
      <c r="X213" s="268"/>
      <c r="Y213" s="268"/>
      <c r="Z213" s="268"/>
      <c r="AA213" s="268"/>
      <c r="AB213" s="268"/>
      <c r="AC213" s="268"/>
      <c r="AD213" s="268"/>
      <c r="AE213" s="268"/>
      <c r="AF213" s="268"/>
      <c r="AG213" s="268"/>
      <c r="AH213" s="268"/>
      <c r="AI213" s="268"/>
      <c r="AJ213" s="268"/>
      <c r="AK213" s="268"/>
      <c r="AL213" s="268"/>
      <c r="AM213" s="268"/>
      <c r="AN213" s="268"/>
      <c r="AO213" s="268"/>
      <c r="AP213" s="268"/>
      <c r="AQ213" s="268"/>
      <c r="AR213" s="268"/>
      <c r="AS213" s="268"/>
      <c r="AT213" s="268"/>
      <c r="AU213" s="268"/>
      <c r="AV213" s="268"/>
      <c r="AW213" s="268"/>
      <c r="AX213" s="268"/>
      <c r="AY213" s="268"/>
      <c r="AZ213" s="268"/>
      <c r="BA213" s="268"/>
      <c r="BB213" s="268"/>
      <c r="BC213" s="268"/>
      <c r="BD213" s="268"/>
      <c r="BE213" s="268"/>
      <c r="BF213" s="268"/>
      <c r="BG213" s="268"/>
      <c r="BH213" s="268"/>
      <c r="BI213" s="268"/>
      <c r="BJ213" s="494"/>
      <c r="BK213" s="494"/>
      <c r="BL213" s="494"/>
      <c r="BM213" s="494"/>
      <c r="BN213" s="494"/>
      <c r="BO213" s="494"/>
      <c r="BP213" s="494"/>
      <c r="BQ213" s="494"/>
      <c r="BR213" s="494"/>
      <c r="BS213" s="494"/>
      <c r="BT213" s="494"/>
      <c r="BU213" s="494"/>
      <c r="BV213" s="494"/>
      <c r="BW213" s="494"/>
      <c r="BX213" s="494"/>
      <c r="BY213" s="494"/>
      <c r="BZ213" s="494"/>
      <c r="CA213" s="494"/>
      <c r="CB213" s="494"/>
      <c r="CC213" s="494"/>
      <c r="CD213" s="494"/>
      <c r="CE213" s="494"/>
      <c r="CF213" s="494"/>
      <c r="CG213" s="494"/>
      <c r="CM213" s="197"/>
      <c r="CN213" s="197"/>
      <c r="CU213" s="137"/>
    </row>
    <row r="214" spans="4:99">
      <c r="D214" s="53"/>
      <c r="I214" s="53"/>
      <c r="N214" s="268"/>
      <c r="O214" s="268"/>
      <c r="P214" s="268"/>
      <c r="Q214" s="268"/>
      <c r="R214" s="268"/>
      <c r="S214" s="268"/>
      <c r="T214" s="268"/>
      <c r="U214" s="268"/>
      <c r="V214" s="268"/>
      <c r="W214" s="268"/>
      <c r="X214" s="268"/>
      <c r="Y214" s="268"/>
      <c r="Z214" s="268"/>
      <c r="AA214" s="268"/>
      <c r="AB214" s="268"/>
      <c r="AC214" s="268"/>
      <c r="AD214" s="268"/>
      <c r="AE214" s="268"/>
      <c r="AF214" s="268"/>
      <c r="AG214" s="268"/>
      <c r="AH214" s="268"/>
      <c r="AI214" s="268"/>
      <c r="AJ214" s="268"/>
      <c r="AK214" s="268"/>
      <c r="AL214" s="268"/>
      <c r="AM214" s="268"/>
      <c r="AN214" s="268"/>
      <c r="AO214" s="268"/>
      <c r="AP214" s="268"/>
      <c r="AQ214" s="268"/>
      <c r="AR214" s="268"/>
      <c r="AS214" s="268"/>
      <c r="AT214" s="268"/>
      <c r="AU214" s="268"/>
      <c r="AV214" s="268"/>
      <c r="AW214" s="268"/>
      <c r="AX214" s="268"/>
      <c r="AY214" s="268"/>
      <c r="AZ214" s="268"/>
      <c r="BA214" s="268"/>
      <c r="BB214" s="268"/>
      <c r="BC214" s="268"/>
      <c r="BD214" s="268"/>
      <c r="BE214" s="268"/>
      <c r="BF214" s="268"/>
      <c r="BG214" s="268"/>
      <c r="BH214" s="268"/>
      <c r="BI214" s="268"/>
      <c r="BJ214" s="494"/>
      <c r="BK214" s="494"/>
      <c r="BL214" s="494"/>
      <c r="BM214" s="494"/>
      <c r="BN214" s="494"/>
      <c r="BO214" s="494"/>
      <c r="BP214" s="494"/>
      <c r="BQ214" s="494"/>
      <c r="BR214" s="494"/>
      <c r="BS214" s="494"/>
      <c r="BT214" s="494"/>
      <c r="BU214" s="494"/>
      <c r="BV214" s="494"/>
      <c r="BW214" s="494"/>
      <c r="BX214" s="494"/>
      <c r="BY214" s="494"/>
      <c r="BZ214" s="494"/>
      <c r="CA214" s="494"/>
      <c r="CB214" s="494"/>
      <c r="CC214" s="494"/>
      <c r="CD214" s="494"/>
      <c r="CE214" s="494"/>
      <c r="CF214" s="494"/>
      <c r="CG214" s="494"/>
      <c r="CM214" s="197"/>
      <c r="CN214" s="197"/>
      <c r="CU214" s="137"/>
    </row>
    <row r="215" spans="4:99">
      <c r="D215" s="53"/>
      <c r="I215" s="53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68"/>
      <c r="AA215" s="268"/>
      <c r="AB215" s="268"/>
      <c r="AC215" s="268"/>
      <c r="AD215" s="268"/>
      <c r="AE215" s="268"/>
      <c r="AF215" s="268"/>
      <c r="AG215" s="268"/>
      <c r="AH215" s="268"/>
      <c r="AI215" s="268"/>
      <c r="AJ215" s="268"/>
      <c r="AK215" s="268"/>
      <c r="AL215" s="268"/>
      <c r="AM215" s="268"/>
      <c r="AN215" s="268"/>
      <c r="AO215" s="268"/>
      <c r="AP215" s="268"/>
      <c r="AQ215" s="268"/>
      <c r="AR215" s="268"/>
      <c r="AS215" s="268"/>
      <c r="AT215" s="268"/>
      <c r="AU215" s="268"/>
      <c r="AV215" s="268"/>
      <c r="AW215" s="268"/>
      <c r="AX215" s="268"/>
      <c r="AY215" s="268"/>
      <c r="AZ215" s="268"/>
      <c r="BA215" s="268"/>
      <c r="BB215" s="268"/>
      <c r="BC215" s="268"/>
      <c r="BD215" s="268"/>
      <c r="BE215" s="268"/>
      <c r="BF215" s="268"/>
      <c r="BG215" s="268"/>
      <c r="BH215" s="268"/>
      <c r="BI215" s="268"/>
      <c r="BJ215" s="494"/>
      <c r="BK215" s="494"/>
      <c r="BL215" s="494"/>
      <c r="BM215" s="494"/>
      <c r="BN215" s="494"/>
      <c r="BO215" s="494"/>
      <c r="BP215" s="494"/>
      <c r="BQ215" s="494"/>
      <c r="BR215" s="494"/>
      <c r="BS215" s="494"/>
      <c r="BT215" s="494"/>
      <c r="BU215" s="494"/>
      <c r="BV215" s="494"/>
      <c r="BW215" s="494"/>
      <c r="BX215" s="494"/>
      <c r="BY215" s="494"/>
      <c r="BZ215" s="494"/>
      <c r="CA215" s="494"/>
      <c r="CB215" s="494"/>
      <c r="CC215" s="494"/>
      <c r="CD215" s="494"/>
      <c r="CE215" s="494"/>
      <c r="CF215" s="494"/>
      <c r="CG215" s="494"/>
      <c r="CM215" s="197"/>
      <c r="CN215" s="197"/>
      <c r="CU215" s="137"/>
    </row>
    <row r="216" spans="4:99">
      <c r="D216" s="53"/>
      <c r="I216" s="53"/>
      <c r="N216" s="268"/>
      <c r="O216" s="268"/>
      <c r="P216" s="268"/>
      <c r="Q216" s="268"/>
      <c r="R216" s="268"/>
      <c r="S216" s="268"/>
      <c r="T216" s="268"/>
      <c r="U216" s="268"/>
      <c r="V216" s="268"/>
      <c r="W216" s="268"/>
      <c r="X216" s="268"/>
      <c r="Y216" s="268"/>
      <c r="Z216" s="268"/>
      <c r="AA216" s="268"/>
      <c r="AB216" s="268"/>
      <c r="AC216" s="268"/>
      <c r="AD216" s="268"/>
      <c r="AE216" s="268"/>
      <c r="AF216" s="268"/>
      <c r="AG216" s="268"/>
      <c r="AH216" s="268"/>
      <c r="AI216" s="268"/>
      <c r="AJ216" s="268"/>
      <c r="AK216" s="268"/>
      <c r="AL216" s="268"/>
      <c r="AM216" s="268"/>
      <c r="AN216" s="268"/>
      <c r="AO216" s="268"/>
      <c r="AP216" s="268"/>
      <c r="AQ216" s="268"/>
      <c r="AR216" s="268"/>
      <c r="AS216" s="268"/>
      <c r="AT216" s="268"/>
      <c r="AU216" s="268"/>
      <c r="AV216" s="268"/>
      <c r="AW216" s="268"/>
      <c r="AX216" s="268"/>
      <c r="AY216" s="268"/>
      <c r="AZ216" s="268"/>
      <c r="BA216" s="268"/>
      <c r="BB216" s="268"/>
      <c r="BC216" s="268"/>
      <c r="BD216" s="268"/>
      <c r="BE216" s="268"/>
      <c r="BF216" s="268"/>
      <c r="BG216" s="268"/>
      <c r="BH216" s="268"/>
      <c r="BI216" s="268"/>
      <c r="BJ216" s="494"/>
      <c r="BK216" s="494"/>
      <c r="BL216" s="494"/>
      <c r="BM216" s="494"/>
      <c r="BN216" s="494"/>
      <c r="BO216" s="494"/>
      <c r="BP216" s="494"/>
      <c r="BQ216" s="494"/>
      <c r="BR216" s="494"/>
      <c r="BS216" s="494"/>
      <c r="BT216" s="494"/>
      <c r="BU216" s="494"/>
      <c r="BV216" s="494"/>
      <c r="BW216" s="494"/>
      <c r="BX216" s="494"/>
      <c r="BY216" s="494"/>
      <c r="BZ216" s="494"/>
      <c r="CA216" s="494"/>
      <c r="CB216" s="494"/>
      <c r="CC216" s="494"/>
      <c r="CD216" s="494"/>
      <c r="CE216" s="494"/>
      <c r="CF216" s="494"/>
      <c r="CG216" s="494"/>
      <c r="CM216" s="197"/>
      <c r="CN216" s="197"/>
      <c r="CU216" s="137"/>
    </row>
    <row r="217" spans="4:99">
      <c r="D217" s="53"/>
      <c r="I217" s="53"/>
      <c r="N217" s="268"/>
      <c r="O217" s="268"/>
      <c r="P217" s="268"/>
      <c r="Q217" s="268"/>
      <c r="R217" s="268"/>
      <c r="S217" s="268"/>
      <c r="T217" s="268"/>
      <c r="U217" s="268"/>
      <c r="V217" s="268"/>
      <c r="W217" s="268"/>
      <c r="X217" s="268"/>
      <c r="Y217" s="268"/>
      <c r="Z217" s="268"/>
      <c r="AA217" s="268"/>
      <c r="AB217" s="268"/>
      <c r="AC217" s="268"/>
      <c r="AD217" s="268"/>
      <c r="AE217" s="268"/>
      <c r="AF217" s="268"/>
      <c r="AG217" s="268"/>
      <c r="AH217" s="268"/>
      <c r="AI217" s="268"/>
      <c r="AJ217" s="268"/>
      <c r="AK217" s="268"/>
      <c r="AL217" s="268"/>
      <c r="AM217" s="268"/>
      <c r="AN217" s="268"/>
      <c r="AO217" s="268"/>
      <c r="AP217" s="268"/>
      <c r="AQ217" s="268"/>
      <c r="AR217" s="268"/>
      <c r="AS217" s="268"/>
      <c r="AT217" s="268"/>
      <c r="AU217" s="268"/>
      <c r="AV217" s="268"/>
      <c r="AW217" s="268"/>
      <c r="AX217" s="268"/>
      <c r="AY217" s="268"/>
      <c r="AZ217" s="268"/>
      <c r="BA217" s="268"/>
      <c r="BB217" s="268"/>
      <c r="BC217" s="268"/>
      <c r="BD217" s="268"/>
      <c r="BE217" s="268"/>
      <c r="BF217" s="268"/>
      <c r="BG217" s="268"/>
      <c r="BH217" s="268"/>
      <c r="BI217" s="268"/>
      <c r="BJ217" s="494"/>
      <c r="BK217" s="494"/>
      <c r="BL217" s="494"/>
      <c r="BM217" s="494"/>
      <c r="BN217" s="494"/>
      <c r="BO217" s="494"/>
      <c r="BP217" s="494"/>
      <c r="BQ217" s="494"/>
      <c r="BR217" s="494"/>
      <c r="BS217" s="494"/>
      <c r="BT217" s="494"/>
      <c r="BU217" s="494"/>
      <c r="BV217" s="494"/>
      <c r="BW217" s="494"/>
      <c r="BX217" s="494"/>
      <c r="BY217" s="494"/>
      <c r="BZ217" s="494"/>
      <c r="CA217" s="494"/>
      <c r="CB217" s="494"/>
      <c r="CC217" s="494"/>
      <c r="CD217" s="494"/>
      <c r="CE217" s="494"/>
      <c r="CF217" s="494"/>
      <c r="CG217" s="494"/>
      <c r="CM217" s="197"/>
      <c r="CN217" s="197"/>
      <c r="CU217" s="137"/>
    </row>
    <row r="218" spans="4:99">
      <c r="D218" s="53"/>
      <c r="I218" s="53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  <c r="X218" s="268"/>
      <c r="Y218" s="268"/>
      <c r="Z218" s="268"/>
      <c r="AA218" s="268"/>
      <c r="AB218" s="268"/>
      <c r="AC218" s="268"/>
      <c r="AD218" s="268"/>
      <c r="AE218" s="268"/>
      <c r="AF218" s="268"/>
      <c r="AG218" s="268"/>
      <c r="AH218" s="268"/>
      <c r="AI218" s="268"/>
      <c r="AJ218" s="268"/>
      <c r="AK218" s="268"/>
      <c r="AL218" s="268"/>
      <c r="AM218" s="268"/>
      <c r="AN218" s="268"/>
      <c r="AO218" s="268"/>
      <c r="AP218" s="268"/>
      <c r="AQ218" s="268"/>
      <c r="AR218" s="268"/>
      <c r="AS218" s="268"/>
      <c r="AT218" s="268"/>
      <c r="AU218" s="268"/>
      <c r="AV218" s="268"/>
      <c r="AW218" s="268"/>
      <c r="AX218" s="268"/>
      <c r="AY218" s="268"/>
      <c r="AZ218" s="268"/>
      <c r="BA218" s="268"/>
      <c r="BB218" s="268"/>
      <c r="BC218" s="268"/>
      <c r="BD218" s="268"/>
      <c r="BE218" s="268"/>
      <c r="BF218" s="268"/>
      <c r="BG218" s="268"/>
      <c r="BH218" s="268"/>
      <c r="BI218" s="268"/>
      <c r="BJ218" s="494"/>
      <c r="BK218" s="494"/>
      <c r="BL218" s="494"/>
      <c r="BM218" s="494"/>
      <c r="BN218" s="494"/>
      <c r="BO218" s="494"/>
      <c r="BP218" s="494"/>
      <c r="BQ218" s="494"/>
      <c r="BR218" s="494"/>
      <c r="BS218" s="494"/>
      <c r="BT218" s="494"/>
      <c r="BU218" s="494"/>
      <c r="BV218" s="494"/>
      <c r="BW218" s="494"/>
      <c r="BX218" s="494"/>
      <c r="BY218" s="494"/>
      <c r="BZ218" s="494"/>
      <c r="CA218" s="494"/>
      <c r="CB218" s="494"/>
      <c r="CC218" s="494"/>
      <c r="CD218" s="494"/>
      <c r="CE218" s="494"/>
      <c r="CF218" s="494"/>
      <c r="CG218" s="494"/>
      <c r="CM218" s="197"/>
      <c r="CN218" s="197"/>
      <c r="CU218" s="137"/>
    </row>
    <row r="219" spans="4:99">
      <c r="D219" s="53"/>
      <c r="I219" s="53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  <c r="X219" s="268"/>
      <c r="Y219" s="268"/>
      <c r="Z219" s="268"/>
      <c r="AA219" s="268"/>
      <c r="AB219" s="268"/>
      <c r="AC219" s="268"/>
      <c r="AD219" s="268"/>
      <c r="AE219" s="268"/>
      <c r="AF219" s="268"/>
      <c r="AG219" s="268"/>
      <c r="AH219" s="268"/>
      <c r="AI219" s="268"/>
      <c r="AJ219" s="268"/>
      <c r="AK219" s="268"/>
      <c r="AL219" s="268"/>
      <c r="AM219" s="268"/>
      <c r="AN219" s="268"/>
      <c r="AO219" s="268"/>
      <c r="AP219" s="268"/>
      <c r="AQ219" s="268"/>
      <c r="AR219" s="268"/>
      <c r="AS219" s="268"/>
      <c r="AT219" s="268"/>
      <c r="AU219" s="268"/>
      <c r="AV219" s="268"/>
      <c r="AW219" s="268"/>
      <c r="AX219" s="268"/>
      <c r="AY219" s="268"/>
      <c r="AZ219" s="268"/>
      <c r="BA219" s="268"/>
      <c r="BB219" s="268"/>
      <c r="BC219" s="268"/>
      <c r="BD219" s="268"/>
      <c r="BE219" s="268"/>
      <c r="BF219" s="268"/>
      <c r="BG219" s="268"/>
      <c r="BH219" s="268"/>
      <c r="BI219" s="268"/>
      <c r="BJ219" s="494"/>
      <c r="BK219" s="494"/>
      <c r="BL219" s="494"/>
      <c r="BM219" s="494"/>
      <c r="BN219" s="494"/>
      <c r="BO219" s="494"/>
      <c r="BP219" s="494"/>
      <c r="BQ219" s="494"/>
      <c r="BR219" s="494"/>
      <c r="BS219" s="494"/>
      <c r="BT219" s="494"/>
      <c r="BU219" s="494"/>
      <c r="BV219" s="494"/>
      <c r="BW219" s="494"/>
      <c r="BX219" s="494"/>
      <c r="BY219" s="494"/>
      <c r="BZ219" s="494"/>
      <c r="CA219" s="494"/>
      <c r="CB219" s="494"/>
      <c r="CC219" s="494"/>
      <c r="CD219" s="494"/>
      <c r="CE219" s="494"/>
      <c r="CF219" s="494"/>
      <c r="CG219" s="494"/>
      <c r="CM219" s="197"/>
      <c r="CN219" s="197"/>
      <c r="CU219" s="137"/>
    </row>
    <row r="220" spans="4:99">
      <c r="D220" s="53"/>
      <c r="I220" s="53"/>
      <c r="N220" s="268"/>
      <c r="O220" s="268"/>
      <c r="P220" s="268"/>
      <c r="Q220" s="268"/>
      <c r="R220" s="268"/>
      <c r="S220" s="268"/>
      <c r="T220" s="268"/>
      <c r="U220" s="268"/>
      <c r="V220" s="268"/>
      <c r="W220" s="268"/>
      <c r="X220" s="268"/>
      <c r="Y220" s="268"/>
      <c r="Z220" s="268"/>
      <c r="AA220" s="268"/>
      <c r="AB220" s="268"/>
      <c r="AC220" s="268"/>
      <c r="AD220" s="268"/>
      <c r="AE220" s="268"/>
      <c r="AF220" s="268"/>
      <c r="AG220" s="268"/>
      <c r="AH220" s="268"/>
      <c r="AI220" s="268"/>
      <c r="AJ220" s="268"/>
      <c r="AK220" s="268"/>
      <c r="AL220" s="268"/>
      <c r="AM220" s="268"/>
      <c r="AN220" s="268"/>
      <c r="AO220" s="268"/>
      <c r="AP220" s="268"/>
      <c r="AQ220" s="268"/>
      <c r="AR220" s="268"/>
      <c r="AS220" s="268"/>
      <c r="AT220" s="268"/>
      <c r="AU220" s="268"/>
      <c r="AV220" s="268"/>
      <c r="AW220" s="268"/>
      <c r="AX220" s="268"/>
      <c r="AY220" s="268"/>
      <c r="AZ220" s="268"/>
      <c r="BA220" s="268"/>
      <c r="BB220" s="268"/>
      <c r="BC220" s="268"/>
      <c r="BD220" s="268"/>
      <c r="BE220" s="268"/>
      <c r="BF220" s="268"/>
      <c r="BG220" s="268"/>
      <c r="BH220" s="268"/>
      <c r="BI220" s="268"/>
      <c r="BJ220" s="494"/>
      <c r="BK220" s="494"/>
      <c r="BL220" s="494"/>
      <c r="BM220" s="494"/>
      <c r="BN220" s="494"/>
      <c r="BO220" s="494"/>
      <c r="BP220" s="494"/>
      <c r="BQ220" s="494"/>
      <c r="BR220" s="494"/>
      <c r="BS220" s="494"/>
      <c r="BT220" s="494"/>
      <c r="BU220" s="494"/>
      <c r="BV220" s="494"/>
      <c r="BW220" s="494"/>
      <c r="BX220" s="494"/>
      <c r="BY220" s="494"/>
      <c r="BZ220" s="494"/>
      <c r="CA220" s="494"/>
      <c r="CB220" s="494"/>
      <c r="CC220" s="494"/>
      <c r="CD220" s="494"/>
      <c r="CE220" s="494"/>
      <c r="CF220" s="494"/>
      <c r="CG220" s="494"/>
      <c r="CM220" s="197"/>
      <c r="CN220" s="197"/>
      <c r="CU220" s="137"/>
    </row>
    <row r="221" spans="4:99">
      <c r="D221" s="53"/>
      <c r="I221" s="53"/>
      <c r="N221" s="268"/>
      <c r="O221" s="268"/>
      <c r="P221" s="268"/>
      <c r="Q221" s="268"/>
      <c r="R221" s="268"/>
      <c r="S221" s="268"/>
      <c r="T221" s="268"/>
      <c r="U221" s="268"/>
      <c r="V221" s="268"/>
      <c r="W221" s="268"/>
      <c r="X221" s="268"/>
      <c r="Y221" s="268"/>
      <c r="Z221" s="268"/>
      <c r="AA221" s="268"/>
      <c r="AB221" s="268"/>
      <c r="AC221" s="268"/>
      <c r="AD221" s="268"/>
      <c r="AE221" s="268"/>
      <c r="AF221" s="268"/>
      <c r="AG221" s="268"/>
      <c r="AH221" s="268"/>
      <c r="AI221" s="268"/>
      <c r="AJ221" s="268"/>
      <c r="AK221" s="268"/>
      <c r="AL221" s="268"/>
      <c r="AM221" s="268"/>
      <c r="AN221" s="268"/>
      <c r="AO221" s="268"/>
      <c r="AP221" s="268"/>
      <c r="AQ221" s="268"/>
      <c r="AR221" s="268"/>
      <c r="AS221" s="268"/>
      <c r="AT221" s="268"/>
      <c r="AU221" s="268"/>
      <c r="AV221" s="268"/>
      <c r="AW221" s="268"/>
      <c r="AX221" s="268"/>
      <c r="AY221" s="268"/>
      <c r="AZ221" s="268"/>
      <c r="BA221" s="268"/>
      <c r="BB221" s="268"/>
      <c r="BC221" s="268"/>
      <c r="BD221" s="268"/>
      <c r="BE221" s="268"/>
      <c r="BF221" s="268"/>
      <c r="BG221" s="268"/>
      <c r="BH221" s="268"/>
      <c r="BI221" s="268"/>
      <c r="BJ221" s="494"/>
      <c r="BK221" s="494"/>
      <c r="BL221" s="494"/>
      <c r="BM221" s="494"/>
      <c r="BN221" s="494"/>
      <c r="BO221" s="494"/>
      <c r="BP221" s="494"/>
      <c r="BQ221" s="494"/>
      <c r="BR221" s="494"/>
      <c r="BS221" s="494"/>
      <c r="BT221" s="494"/>
      <c r="BU221" s="494"/>
      <c r="BV221" s="494"/>
      <c r="BW221" s="494"/>
      <c r="BX221" s="494"/>
      <c r="BY221" s="494"/>
      <c r="BZ221" s="494"/>
      <c r="CA221" s="494"/>
      <c r="CB221" s="494"/>
      <c r="CC221" s="494"/>
      <c r="CD221" s="494"/>
      <c r="CE221" s="494"/>
      <c r="CF221" s="494"/>
      <c r="CG221" s="494"/>
      <c r="CM221" s="197"/>
      <c r="CN221" s="197"/>
      <c r="CU221" s="137"/>
    </row>
    <row r="222" spans="4:99">
      <c r="D222" s="53"/>
      <c r="I222" s="53"/>
      <c r="N222" s="268"/>
      <c r="O222" s="268"/>
      <c r="P222" s="268"/>
      <c r="Q222" s="268"/>
      <c r="R222" s="268"/>
      <c r="S222" s="268"/>
      <c r="T222" s="268"/>
      <c r="U222" s="268"/>
      <c r="V222" s="268"/>
      <c r="W222" s="268"/>
      <c r="X222" s="268"/>
      <c r="Y222" s="268"/>
      <c r="Z222" s="268"/>
      <c r="AA222" s="268"/>
      <c r="AB222" s="268"/>
      <c r="AC222" s="268"/>
      <c r="AD222" s="268"/>
      <c r="AE222" s="268"/>
      <c r="AF222" s="268"/>
      <c r="AG222" s="268"/>
      <c r="AH222" s="268"/>
      <c r="AI222" s="268"/>
      <c r="AJ222" s="268"/>
      <c r="AK222" s="268"/>
      <c r="AL222" s="268"/>
      <c r="AM222" s="268"/>
      <c r="AN222" s="268"/>
      <c r="AO222" s="268"/>
      <c r="AP222" s="268"/>
      <c r="AQ222" s="268"/>
      <c r="AR222" s="268"/>
      <c r="AS222" s="268"/>
      <c r="AT222" s="268"/>
      <c r="AU222" s="268"/>
      <c r="AV222" s="268"/>
      <c r="AW222" s="268"/>
      <c r="AX222" s="268"/>
      <c r="AY222" s="268"/>
      <c r="AZ222" s="268"/>
      <c r="BA222" s="268"/>
      <c r="BB222" s="268"/>
      <c r="BC222" s="268"/>
      <c r="BD222" s="268"/>
      <c r="BE222" s="268"/>
      <c r="BF222" s="268"/>
      <c r="BG222" s="268"/>
      <c r="BH222" s="268"/>
      <c r="BI222" s="268"/>
      <c r="BJ222" s="494"/>
      <c r="BK222" s="494"/>
      <c r="BL222" s="494"/>
      <c r="BM222" s="494"/>
      <c r="BN222" s="494"/>
      <c r="BO222" s="494"/>
      <c r="BP222" s="494"/>
      <c r="BQ222" s="494"/>
      <c r="BR222" s="494"/>
      <c r="BS222" s="494"/>
      <c r="BT222" s="494"/>
      <c r="BU222" s="494"/>
      <c r="BV222" s="494"/>
      <c r="BW222" s="494"/>
      <c r="BX222" s="494"/>
      <c r="BY222" s="494"/>
      <c r="BZ222" s="494"/>
      <c r="CA222" s="494"/>
      <c r="CB222" s="494"/>
      <c r="CC222" s="494"/>
      <c r="CD222" s="494"/>
      <c r="CE222" s="494"/>
      <c r="CF222" s="494"/>
      <c r="CG222" s="494"/>
      <c r="CM222" s="197"/>
      <c r="CN222" s="197"/>
      <c r="CU222" s="137"/>
    </row>
    <row r="223" spans="4:99">
      <c r="D223" s="53"/>
      <c r="I223" s="53"/>
      <c r="N223" s="268"/>
      <c r="O223" s="268"/>
      <c r="P223" s="268"/>
      <c r="Q223" s="268"/>
      <c r="R223" s="268"/>
      <c r="S223" s="268"/>
      <c r="T223" s="268"/>
      <c r="U223" s="268"/>
      <c r="V223" s="268"/>
      <c r="W223" s="268"/>
      <c r="X223" s="268"/>
      <c r="Y223" s="268"/>
      <c r="Z223" s="268"/>
      <c r="AA223" s="268"/>
      <c r="AB223" s="268"/>
      <c r="AC223" s="268"/>
      <c r="AD223" s="268"/>
      <c r="AE223" s="268"/>
      <c r="AF223" s="268"/>
      <c r="AG223" s="268"/>
      <c r="AH223" s="268"/>
      <c r="AI223" s="268"/>
      <c r="AJ223" s="268"/>
      <c r="AK223" s="268"/>
      <c r="AL223" s="268"/>
      <c r="AM223" s="268"/>
      <c r="AN223" s="268"/>
      <c r="AO223" s="268"/>
      <c r="AP223" s="268"/>
      <c r="AQ223" s="268"/>
      <c r="AR223" s="268"/>
      <c r="AS223" s="268"/>
      <c r="AT223" s="268"/>
      <c r="AU223" s="268"/>
      <c r="AV223" s="268"/>
      <c r="AW223" s="268"/>
      <c r="AX223" s="268"/>
      <c r="AY223" s="268"/>
      <c r="AZ223" s="268"/>
      <c r="BA223" s="268"/>
      <c r="BB223" s="268"/>
      <c r="BC223" s="268"/>
      <c r="BD223" s="268"/>
      <c r="BE223" s="268"/>
      <c r="BF223" s="268"/>
      <c r="BG223" s="268"/>
      <c r="BH223" s="268"/>
      <c r="BI223" s="268"/>
      <c r="BJ223" s="494"/>
      <c r="BK223" s="494"/>
      <c r="BL223" s="494"/>
      <c r="BM223" s="494"/>
      <c r="BN223" s="494"/>
      <c r="BO223" s="494"/>
      <c r="BP223" s="494"/>
      <c r="BQ223" s="494"/>
      <c r="BR223" s="494"/>
      <c r="BS223" s="494"/>
      <c r="BT223" s="494"/>
      <c r="BU223" s="494"/>
      <c r="BV223" s="494"/>
      <c r="BW223" s="494"/>
      <c r="BX223" s="494"/>
      <c r="BY223" s="494"/>
      <c r="BZ223" s="494"/>
      <c r="CA223" s="494"/>
      <c r="CB223" s="494"/>
      <c r="CC223" s="494"/>
      <c r="CD223" s="494"/>
      <c r="CE223" s="494"/>
      <c r="CF223" s="494"/>
      <c r="CG223" s="494"/>
      <c r="CM223" s="197"/>
      <c r="CN223" s="197"/>
      <c r="CU223" s="137"/>
    </row>
    <row r="224" spans="4:99">
      <c r="D224" s="53"/>
      <c r="I224" s="53"/>
      <c r="N224" s="268"/>
      <c r="O224" s="268"/>
      <c r="P224" s="268"/>
      <c r="Q224" s="268"/>
      <c r="R224" s="268"/>
      <c r="S224" s="268"/>
      <c r="T224" s="268"/>
      <c r="U224" s="268"/>
      <c r="V224" s="268"/>
      <c r="W224" s="268"/>
      <c r="X224" s="268"/>
      <c r="Y224" s="268"/>
      <c r="Z224" s="268"/>
      <c r="AA224" s="268"/>
      <c r="AB224" s="268"/>
      <c r="AC224" s="268"/>
      <c r="AD224" s="268"/>
      <c r="AE224" s="268"/>
      <c r="AF224" s="268"/>
      <c r="AG224" s="268"/>
      <c r="AH224" s="268"/>
      <c r="AI224" s="268"/>
      <c r="AJ224" s="268"/>
      <c r="AK224" s="268"/>
      <c r="AL224" s="268"/>
      <c r="AM224" s="268"/>
      <c r="AN224" s="268"/>
      <c r="AO224" s="268"/>
      <c r="AP224" s="268"/>
      <c r="AQ224" s="268"/>
      <c r="AR224" s="268"/>
      <c r="AS224" s="268"/>
      <c r="AT224" s="268"/>
      <c r="AU224" s="268"/>
      <c r="AV224" s="268"/>
      <c r="AW224" s="268"/>
      <c r="AX224" s="268"/>
      <c r="AY224" s="268"/>
      <c r="AZ224" s="268"/>
      <c r="BA224" s="268"/>
      <c r="BB224" s="268"/>
      <c r="BC224" s="268"/>
      <c r="BD224" s="268"/>
      <c r="BE224" s="268"/>
      <c r="BF224" s="268"/>
      <c r="BG224" s="268"/>
      <c r="BH224" s="268"/>
      <c r="BI224" s="268"/>
      <c r="BJ224" s="494"/>
      <c r="BK224" s="494"/>
      <c r="BL224" s="494"/>
      <c r="BM224" s="494"/>
      <c r="BN224" s="494"/>
      <c r="BO224" s="494"/>
      <c r="BP224" s="494"/>
      <c r="BQ224" s="494"/>
      <c r="BR224" s="494"/>
      <c r="BS224" s="494"/>
      <c r="BT224" s="494"/>
      <c r="BU224" s="494"/>
      <c r="BV224" s="494"/>
      <c r="BW224" s="494"/>
      <c r="BX224" s="494"/>
      <c r="BY224" s="494"/>
      <c r="BZ224" s="494"/>
      <c r="CA224" s="494"/>
      <c r="CB224" s="494"/>
      <c r="CC224" s="494"/>
      <c r="CD224" s="494"/>
      <c r="CE224" s="494"/>
      <c r="CF224" s="494"/>
      <c r="CG224" s="494"/>
      <c r="CM224" s="197"/>
      <c r="CN224" s="197"/>
      <c r="CU224" s="137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85622-EA9E-49A2-A04E-D930ECB3BB59}">
  <dimension ref="A1:CV65"/>
  <sheetViews>
    <sheetView workbookViewId="0">
      <selection activeCell="E15" sqref="E15:E16"/>
    </sheetView>
  </sheetViews>
  <sheetFormatPr defaultRowHeight="12.75"/>
  <cols>
    <col min="1" max="1" width="11.42578125" customWidth="1"/>
    <col min="2" max="3" width="14.140625" customWidth="1"/>
    <col min="4" max="4" width="51.28515625" bestFit="1" customWidth="1"/>
    <col min="5" max="5" width="6.42578125" customWidth="1"/>
    <col min="6" max="6" width="8.28515625" style="255" customWidth="1"/>
    <col min="7" max="7" width="14.5703125" customWidth="1"/>
    <col min="8" max="8" width="17" customWidth="1"/>
    <col min="9" max="9" width="18.5703125" customWidth="1"/>
    <col min="10" max="10" width="16.42578125" customWidth="1"/>
    <col min="11" max="11" width="15.42578125" customWidth="1"/>
    <col min="12" max="12" width="12.42578125" customWidth="1"/>
    <col min="13" max="13" width="13.140625" bestFit="1" customWidth="1"/>
    <col min="14" max="14" width="10.5703125" style="268" customWidth="1"/>
    <col min="15" max="15" width="11" style="268" customWidth="1"/>
    <col min="16" max="16" width="11.28515625" style="268" customWidth="1"/>
    <col min="17" max="17" width="11" style="268" customWidth="1"/>
    <col min="18" max="18" width="11.42578125" style="268" customWidth="1"/>
    <col min="19" max="19" width="10.7109375" style="268" customWidth="1"/>
    <col min="20" max="20" width="10.140625" style="268" customWidth="1"/>
    <col min="21" max="21" width="11.140625" style="268" customWidth="1"/>
    <col min="22" max="22" width="11" style="268" customWidth="1"/>
    <col min="23" max="23" width="10.85546875" style="268" customWidth="1"/>
    <col min="24" max="24" width="11.28515625" style="268" customWidth="1"/>
    <col min="25" max="25" width="11" style="268" customWidth="1"/>
    <col min="26" max="26" width="10.5703125" style="268" customWidth="1"/>
    <col min="27" max="27" width="11" style="268" customWidth="1"/>
    <col min="28" max="28" width="11.28515625" style="268" customWidth="1"/>
    <col min="29" max="29" width="11" style="268" customWidth="1"/>
    <col min="30" max="30" width="11.42578125" style="268" customWidth="1"/>
    <col min="31" max="31" width="10.7109375" style="268" customWidth="1"/>
    <col min="32" max="32" width="10.140625" style="268" customWidth="1"/>
    <col min="33" max="33" width="11.140625" style="268" customWidth="1"/>
    <col min="34" max="34" width="11" style="268" customWidth="1"/>
    <col min="35" max="35" width="10.85546875" style="268" customWidth="1"/>
    <col min="36" max="36" width="11.28515625" style="268" customWidth="1"/>
    <col min="37" max="37" width="11" style="268" customWidth="1"/>
    <col min="38" max="38" width="10.5703125" style="268" customWidth="1"/>
    <col min="39" max="39" width="11" style="268" customWidth="1"/>
    <col min="40" max="40" width="11.28515625" style="268" customWidth="1"/>
    <col min="41" max="41" width="11" style="268" customWidth="1"/>
    <col min="42" max="42" width="11.42578125" style="268" customWidth="1"/>
    <col min="43" max="43" width="10.7109375" style="268" customWidth="1"/>
    <col min="44" max="44" width="10.140625" style="268" customWidth="1"/>
    <col min="45" max="45" width="11.140625" style="268" customWidth="1"/>
    <col min="46" max="46" width="11" style="268" customWidth="1"/>
    <col min="47" max="47" width="10.85546875" style="268" customWidth="1"/>
    <col min="48" max="48" width="11.28515625" style="268" customWidth="1"/>
    <col min="49" max="49" width="11" style="268" customWidth="1"/>
    <col min="50" max="50" width="10.5703125" style="268" customWidth="1"/>
    <col min="51" max="51" width="11" style="268" customWidth="1"/>
    <col min="52" max="52" width="11.28515625" style="268" customWidth="1"/>
    <col min="53" max="53" width="11" style="268" customWidth="1"/>
    <col min="54" max="54" width="11.42578125" style="268" customWidth="1"/>
    <col min="55" max="55" width="10.7109375" style="268" customWidth="1"/>
    <col min="56" max="56" width="10.140625" style="268" customWidth="1"/>
    <col min="57" max="57" width="11.140625" style="268" customWidth="1"/>
    <col min="58" max="58" width="11" style="268" customWidth="1"/>
    <col min="59" max="59" width="10.85546875" style="268" customWidth="1"/>
    <col min="60" max="60" width="11.28515625" style="268" customWidth="1"/>
    <col min="61" max="61" width="11" style="268" customWidth="1"/>
    <col min="62" max="62" width="10.5703125" style="483" bestFit="1" customWidth="1"/>
    <col min="63" max="63" width="11" style="483" bestFit="1" customWidth="1"/>
    <col min="64" max="64" width="11.28515625" style="483" bestFit="1" customWidth="1"/>
    <col min="65" max="65" width="11" style="483" bestFit="1" customWidth="1"/>
    <col min="66" max="66" width="11.42578125" style="483" bestFit="1" customWidth="1"/>
    <col min="67" max="67" width="10.7109375" style="483" bestFit="1" customWidth="1"/>
    <col min="68" max="68" width="10.5703125" style="483" bestFit="1" customWidth="1"/>
    <col min="69" max="69" width="11.140625" style="483" bestFit="1" customWidth="1"/>
    <col min="70" max="70" width="11" style="483" bestFit="1" customWidth="1"/>
    <col min="71" max="71" width="10.85546875" style="483" bestFit="1" customWidth="1"/>
    <col min="72" max="72" width="11.28515625" style="483" bestFit="1" customWidth="1"/>
    <col min="73" max="73" width="11" style="483" bestFit="1" customWidth="1"/>
    <col min="74" max="74" width="10.5703125" style="483" bestFit="1" customWidth="1"/>
    <col min="75" max="75" width="11" style="483" bestFit="1" customWidth="1"/>
    <col min="76" max="76" width="11.28515625" style="483" bestFit="1" customWidth="1"/>
    <col min="77" max="77" width="11" style="483" bestFit="1" customWidth="1"/>
    <col min="78" max="78" width="11.42578125" style="483" bestFit="1" customWidth="1"/>
    <col min="79" max="79" width="10.7109375" style="483" bestFit="1" customWidth="1"/>
    <col min="80" max="80" width="10.5703125" style="483" bestFit="1" customWidth="1"/>
    <col min="81" max="81" width="11.140625" style="483" bestFit="1" customWidth="1"/>
    <col min="82" max="82" width="11" style="483" bestFit="1" customWidth="1"/>
    <col min="83" max="83" width="10.85546875" style="483" bestFit="1" customWidth="1"/>
    <col min="84" max="84" width="11.28515625" style="483" bestFit="1" customWidth="1"/>
    <col min="85" max="85" width="11" style="483" bestFit="1" customWidth="1"/>
    <col min="87" max="92" width="12.42578125" customWidth="1"/>
    <col min="94" max="97" width="15.140625" customWidth="1"/>
    <col min="99" max="99" width="10.5703125" bestFit="1" customWidth="1"/>
  </cols>
  <sheetData>
    <row r="1" spans="1:100" s="468" customFormat="1" ht="40.5" customHeight="1">
      <c r="A1" s="464" t="s">
        <v>997</v>
      </c>
      <c r="B1" s="464" t="s">
        <v>992</v>
      </c>
      <c r="C1" s="464" t="s">
        <v>1244</v>
      </c>
      <c r="D1" s="464" t="s">
        <v>1001</v>
      </c>
      <c r="E1" s="464" t="s">
        <v>11</v>
      </c>
      <c r="F1" s="464" t="s">
        <v>1285</v>
      </c>
      <c r="G1" s="464" t="s">
        <v>104</v>
      </c>
      <c r="H1" s="464" t="s">
        <v>1101</v>
      </c>
      <c r="I1" s="464" t="s">
        <v>1000</v>
      </c>
      <c r="J1" s="464" t="str">
        <f>'Master '!AD1</f>
        <v>Billing Det Fcst Calc Method</v>
      </c>
      <c r="K1" s="465" t="str">
        <f>'Master '!N1</f>
        <v>Customer Growth Rate (Modeled)</v>
      </c>
      <c r="L1" s="466" t="str">
        <f>'Master '!S1</f>
        <v>BP to TY UPC Modeled</v>
      </c>
      <c r="M1" s="467" t="str">
        <f>'Master '!W1</f>
        <v>UPC (Modeled)</v>
      </c>
      <c r="N1" s="485">
        <v>43101</v>
      </c>
      <c r="O1" s="485">
        <v>43132</v>
      </c>
      <c r="P1" s="485">
        <v>43160</v>
      </c>
      <c r="Q1" s="485">
        <v>43191</v>
      </c>
      <c r="R1" s="485">
        <v>43221</v>
      </c>
      <c r="S1" s="485">
        <v>43252</v>
      </c>
      <c r="T1" s="485">
        <v>43282</v>
      </c>
      <c r="U1" s="485">
        <v>43313</v>
      </c>
      <c r="V1" s="485">
        <v>43344</v>
      </c>
      <c r="W1" s="485">
        <v>43374</v>
      </c>
      <c r="X1" s="485">
        <v>43405</v>
      </c>
      <c r="Y1" s="485">
        <v>43435</v>
      </c>
      <c r="Z1" s="485">
        <v>43466</v>
      </c>
      <c r="AA1" s="485">
        <v>43497</v>
      </c>
      <c r="AB1" s="485">
        <v>43525</v>
      </c>
      <c r="AC1" s="485">
        <v>43556</v>
      </c>
      <c r="AD1" s="485">
        <v>43586</v>
      </c>
      <c r="AE1" s="485">
        <v>43617</v>
      </c>
      <c r="AF1" s="485">
        <v>43647</v>
      </c>
      <c r="AG1" s="485">
        <v>43678</v>
      </c>
      <c r="AH1" s="485">
        <v>43709</v>
      </c>
      <c r="AI1" s="485">
        <v>43739</v>
      </c>
      <c r="AJ1" s="485">
        <v>43770</v>
      </c>
      <c r="AK1" s="485">
        <v>43800</v>
      </c>
      <c r="AL1" s="485">
        <v>43831</v>
      </c>
      <c r="AM1" s="485">
        <v>43862</v>
      </c>
      <c r="AN1" s="485">
        <v>43891</v>
      </c>
      <c r="AO1" s="485">
        <v>43922</v>
      </c>
      <c r="AP1" s="485">
        <v>43952</v>
      </c>
      <c r="AQ1" s="485">
        <v>43983</v>
      </c>
      <c r="AR1" s="485">
        <v>44013</v>
      </c>
      <c r="AS1" s="485">
        <v>44044</v>
      </c>
      <c r="AT1" s="485">
        <v>44075</v>
      </c>
      <c r="AU1" s="485">
        <v>44105</v>
      </c>
      <c r="AV1" s="485">
        <v>44136</v>
      </c>
      <c r="AW1" s="485">
        <v>44166</v>
      </c>
      <c r="AX1" s="485">
        <v>44197</v>
      </c>
      <c r="AY1" s="485">
        <v>44228</v>
      </c>
      <c r="AZ1" s="485">
        <v>44256</v>
      </c>
      <c r="BA1" s="485">
        <v>44287</v>
      </c>
      <c r="BB1" s="485">
        <v>44317</v>
      </c>
      <c r="BC1" s="485">
        <v>44348</v>
      </c>
      <c r="BD1" s="485">
        <v>44378</v>
      </c>
      <c r="BE1" s="485">
        <v>44409</v>
      </c>
      <c r="BF1" s="485">
        <v>44440</v>
      </c>
      <c r="BG1" s="485">
        <v>44470</v>
      </c>
      <c r="BH1" s="485">
        <v>44501</v>
      </c>
      <c r="BI1" s="485">
        <v>44531</v>
      </c>
      <c r="BJ1" s="482">
        <v>44562</v>
      </c>
      <c r="BK1" s="482">
        <v>44593</v>
      </c>
      <c r="BL1" s="482">
        <v>44621</v>
      </c>
      <c r="BM1" s="482">
        <v>44652</v>
      </c>
      <c r="BN1" s="482">
        <v>44682</v>
      </c>
      <c r="BO1" s="482">
        <v>44713</v>
      </c>
      <c r="BP1" s="482">
        <v>44743</v>
      </c>
      <c r="BQ1" s="482">
        <v>44774</v>
      </c>
      <c r="BR1" s="482">
        <v>44805</v>
      </c>
      <c r="BS1" s="482">
        <v>44835</v>
      </c>
      <c r="BT1" s="482">
        <v>44866</v>
      </c>
      <c r="BU1" s="482">
        <v>44896</v>
      </c>
      <c r="BV1" s="482">
        <v>44927</v>
      </c>
      <c r="BW1" s="482">
        <v>44958</v>
      </c>
      <c r="BX1" s="482">
        <v>44986</v>
      </c>
      <c r="BY1" s="482">
        <v>45017</v>
      </c>
      <c r="BZ1" s="482">
        <v>45047</v>
      </c>
      <c r="CA1" s="482">
        <v>45078</v>
      </c>
      <c r="CB1" s="482">
        <v>45108</v>
      </c>
      <c r="CC1" s="482">
        <v>45139</v>
      </c>
      <c r="CD1" s="482">
        <v>45170</v>
      </c>
      <c r="CE1" s="482">
        <v>45200</v>
      </c>
      <c r="CF1" s="482">
        <v>45231</v>
      </c>
      <c r="CG1" s="482">
        <v>45261</v>
      </c>
      <c r="CH1" s="468" t="s">
        <v>1246</v>
      </c>
      <c r="CI1" s="469" t="s">
        <v>1426</v>
      </c>
      <c r="CJ1" s="470" t="s">
        <v>1427</v>
      </c>
      <c r="CK1" s="470" t="s">
        <v>1428</v>
      </c>
      <c r="CL1" s="470" t="s">
        <v>1429</v>
      </c>
      <c r="CM1" s="470" t="s">
        <v>1424</v>
      </c>
      <c r="CN1" s="470" t="s">
        <v>1425</v>
      </c>
      <c r="CO1" s="470" t="s">
        <v>1246</v>
      </c>
      <c r="CP1" s="464" t="s">
        <v>1430</v>
      </c>
      <c r="CQ1" s="464" t="s">
        <v>1431</v>
      </c>
      <c r="CR1" s="464" t="s">
        <v>1395</v>
      </c>
      <c r="CS1" s="464" t="s">
        <v>1396</v>
      </c>
      <c r="CT1" s="468" t="s">
        <v>1433</v>
      </c>
      <c r="CU1" s="468" t="s">
        <v>1434</v>
      </c>
      <c r="CV1" s="468" t="s">
        <v>1481</v>
      </c>
    </row>
    <row r="2" spans="1:100">
      <c r="A2" s="53" t="s">
        <v>12</v>
      </c>
      <c r="B2" s="53" t="s">
        <v>993</v>
      </c>
      <c r="C2" s="53" t="s">
        <v>8</v>
      </c>
      <c r="D2" s="53" t="s">
        <v>85</v>
      </c>
      <c r="E2" s="53" t="str">
        <f>VLOOKUP(D2,'Input 14_Ref Table'!C:D,2,FALSE)</f>
        <v>TS1R</v>
      </c>
      <c r="F2" s="143" t="s">
        <v>1286</v>
      </c>
      <c r="G2" s="53" t="str">
        <f>VLOOKUP(D2,'Input 14_Ref Table'!C:I,7,FALSE)</f>
        <v>IGC - IGC - TS1</v>
      </c>
      <c r="H2" s="53" t="str">
        <f>VLOOKUP(D2,'Input 14_Ref Table'!C:K,8,FALSE)</f>
        <v>TS_1</v>
      </c>
      <c r="I2" s="53"/>
      <c r="J2" t="str">
        <f>INDEX('Master '!$AD$2:AD$65,MATCH(D2,'Master '!$D$2:$D$65,0))</f>
        <v>Modeled UPC</v>
      </c>
      <c r="K2" s="458">
        <f>INDEX('Master '!$N$2:N$65,MATCH(D2,'Master '!$D$2:$D$65,0))</f>
        <v>2.5051703091705339E-3</v>
      </c>
      <c r="L2" s="137">
        <f>INDEX('Master '!$S$2:S$65,MATCH(D2,'Master '!$D$2:$D$65,0))</f>
        <v>-4.3943718717954036E-2</v>
      </c>
      <c r="M2" s="4">
        <f>INDEX('Master '!$W$2:W$65,MATCH(D2,'Master '!$D$2:$D$65,0))</f>
        <v>147.81172002816606</v>
      </c>
      <c r="N2" s="268">
        <f>SUMIF('Input 16.1_2018VOL-YTD'!$R:$R,$G2,'Input 16.1_2018VOL-YTD'!C:C)</f>
        <v>12552.070000000014</v>
      </c>
      <c r="O2" s="268">
        <f>SUMIF('Input 16.1_2018VOL-YTD'!$R:$R,$G2,'Input 16.1_2018VOL-YTD'!D:D)</f>
        <v>9829.5199999999968</v>
      </c>
      <c r="P2" s="268">
        <f>SUMIF('Input 16.1_2018VOL-YTD'!$R:$R,$G2,'Input 16.1_2018VOL-YTD'!E:E)</f>
        <v>10092.409999999987</v>
      </c>
      <c r="Q2" s="268">
        <f>SUMIF('Input 16.1_2018VOL-YTD'!$R:$R,$G2,'Input 16.1_2018VOL-YTD'!F:F)</f>
        <v>9695.7999999999884</v>
      </c>
      <c r="R2" s="268">
        <f>SUMIF('Input 16.1_2018VOL-YTD'!$R:$R,$G2,'Input 16.1_2018VOL-YTD'!G:G)</f>
        <v>10058.989999999993</v>
      </c>
      <c r="S2" s="268">
        <f>SUMIF('Input 16.1_2018VOL-YTD'!$R:$R,$G2,'Input 16.1_2018VOL-YTD'!H:H)</f>
        <v>8916.84</v>
      </c>
      <c r="T2" s="268">
        <f>SUMIF('Input 16.1_2018VOL-YTD'!$R:$R,$G2,'Input 16.1_2018VOL-YTD'!I:I)</f>
        <v>8744.8200000000143</v>
      </c>
      <c r="U2" s="268">
        <f>SUMIF('Input 16.1_2018VOL-YTD'!$R:$R,$G2,'Input 16.1_2018VOL-YTD'!J:J)</f>
        <v>8385.1499999999887</v>
      </c>
      <c r="V2" s="268">
        <f>SUMIF('Input 16.1_2018VOL-YTD'!$R:$R,$G2,'Input 16.1_2018VOL-YTD'!K:K)</f>
        <v>8389.5200000000114</v>
      </c>
      <c r="W2" s="268">
        <f>SUMIF('Input 16.1_2018VOL-YTD'!$R:$R,$G2,'Input 16.1_2018VOL-YTD'!L:L)</f>
        <v>8656.9799999999905</v>
      </c>
      <c r="X2" s="268">
        <f>SUMIF('Input 16.1_2018VOL-YTD'!$R:$R,$G2,'Input 16.1_2018VOL-YTD'!M:M)</f>
        <v>9601.6500000000015</v>
      </c>
      <c r="Y2" s="268">
        <f>SUMIF('Input 16.1_2018VOL-YTD'!$R:$R,$G2,'Input 16.1_2018VOL-YTD'!N:N)</f>
        <v>11316.030000000008</v>
      </c>
      <c r="Z2" s="268">
        <f>SUMIF('Input 3.1_2019VOL-YTD'!$R:$R,$G2,'Input 3.1_2019VOL-YTD'!C:C)</f>
        <v>11154.030000000035</v>
      </c>
      <c r="AA2" s="268">
        <f>SUMIF('Input 3.1_2019VOL-YTD'!$R:$R,$G2,'Input 3.1_2019VOL-YTD'!D:D)</f>
        <v>10010.990000000005</v>
      </c>
      <c r="AB2" s="268">
        <f>SUMIF('Input 3.1_2019VOL-YTD'!$R:$R,$G2,'Input 3.1_2019VOL-YTD'!E:E)</f>
        <v>10109.27000000001</v>
      </c>
      <c r="AC2" s="268">
        <f>SUMIF('Input 3.1_2019VOL-YTD'!$R:$R,$G2,'Input 3.1_2019VOL-YTD'!F:F)</f>
        <v>9733.7700000000023</v>
      </c>
      <c r="AD2" s="268">
        <f>SUMIF('Input 3.1_2019VOL-YTD'!$R:$R,$G2,'Input 3.1_2019VOL-YTD'!G:G)</f>
        <v>10057.659999999996</v>
      </c>
      <c r="AE2" s="268">
        <f>SUMIF('Input 3.1_2019VOL-YTD'!$R:$R,$G2,'Input 3.1_2019VOL-YTD'!H:H)</f>
        <v>8428.7499999999782</v>
      </c>
      <c r="AF2" s="268">
        <f>SUMIF('Input 3.1_2019VOL-YTD'!$R:$R,$G2,'Input 3.1_2019VOL-YTD'!I:I)</f>
        <v>8761.3299999999908</v>
      </c>
      <c r="AG2" s="268">
        <f>SUMIF('Input 3.1_2019VOL-YTD'!$R:$R,$G2,'Input 3.1_2019VOL-YTD'!J:J)</f>
        <v>8513.5500000000065</v>
      </c>
      <c r="AH2" s="268">
        <f>SUMIF('Input 3.1_2019VOL-YTD'!$R:$R,$G2,'Input 3.1_2019VOL-YTD'!K:K)</f>
        <v>8570.73</v>
      </c>
      <c r="AI2" s="268">
        <f>SUMIF('Input 3.1_2019VOL-YTD'!$R:$R,$G2,'Input 3.1_2019VOL-YTD'!L:L)</f>
        <v>9414.6200000000044</v>
      </c>
      <c r="AJ2" s="268">
        <f>SUMIF('Input 3.1_2019VOL-YTD'!$R:$R,$G2,'Input 3.1_2019VOL-YTD'!M:M)</f>
        <v>9228.58</v>
      </c>
      <c r="AK2" s="268">
        <f>SUMIF('Input 3.1_2019VOL-YTD'!$R:$R,$G2,'Input 3.1_2019VOL-YTD'!N:N)</f>
        <v>10659.200000000004</v>
      </c>
      <c r="AL2" s="268">
        <f>SUMIF('Input 4.1_2020VOL-YTD'!$R:$R,$G2,'Input 4.1_2020VOL-YTD'!C:C)</f>
        <v>12095.140000000001</v>
      </c>
      <c r="AM2" s="268">
        <f>SUMIF('Input 4.1_2020VOL-YTD'!$R:$R,$G2,'Input 4.1_2020VOL-YTD'!D:D)</f>
        <v>9833.1400000000049</v>
      </c>
      <c r="AN2" s="268">
        <f>SUMIF('Input 4.1_2020VOL-YTD'!$R:$R,$G2,'Input 4.1_2020VOL-YTD'!E:E)</f>
        <v>10152.490000000002</v>
      </c>
      <c r="AO2" s="268">
        <f>SUMIF('Input 4.1_2020VOL-YTD'!$R:$R,$G2,'Input 4.1_2020VOL-YTD'!F:F)</f>
        <v>10868.439999999984</v>
      </c>
      <c r="AP2" s="268">
        <f>SUMIF('Input 4.1_2020VOL-YTD'!$R:$R,$G2,'Input 4.1_2020VOL-YTD'!G:G)</f>
        <v>10105.520000000002</v>
      </c>
      <c r="AQ2" s="268">
        <f>SUMIF('Input 4.1_2020VOL-YTD'!$R:$R,$G2,'Input 4.1_2020VOL-YTD'!H:H)</f>
        <v>9038.2800000000061</v>
      </c>
      <c r="AR2" s="268">
        <f>SUMIF('Input 4.1_2020VOL-YTD'!$R:$R,$G2,'Input 4.1_2020VOL-YTD'!I:I)</f>
        <v>10027.969999999992</v>
      </c>
      <c r="AS2" s="268">
        <f>SUMIF('Input 4.1_2020VOL-YTD'!$R:$R,$G2,'Input 4.1_2020VOL-YTD'!J:J)</f>
        <v>8411.3600000000115</v>
      </c>
      <c r="AT2" s="268">
        <f>SUMIF('Input 4.1_2020VOL-YTD'!$R:$R,$G2,'Input 4.1_2020VOL-YTD'!K:K)</f>
        <v>8850.9299999999948</v>
      </c>
      <c r="AU2" s="268">
        <f>SUMIF('Input 4.1_2020VOL-YTD'!$R:$R,$G2,'Input 4.1_2020VOL-YTD'!L:L)</f>
        <v>8731.8499999999967</v>
      </c>
      <c r="AV2" s="268">
        <f>SUMIF('Input 4.1_2020VOL-YTD'!$R:$R,$G2,'Input 4.1_2020VOL-YTD'!M:M)</f>
        <v>10559.289999999992</v>
      </c>
      <c r="AW2" s="268">
        <f>SUMIF('Input 4.1_2020VOL-YTD'!$R:$R,$G2,'Input 4.1_2020VOL-YTD'!N:N)</f>
        <v>11851.660000000005</v>
      </c>
      <c r="AX2" s="268">
        <f>SUMIF('Input 5.1_2021VOL-YTD'!$R:$R,$G2,'Input 5.1_2021VOL-YTD'!C:C)</f>
        <v>11824.13999999999</v>
      </c>
      <c r="AY2" s="268">
        <f>SUMIF('Input 5.1_2021VOL-YTD'!$R:$R,$G2,'Input 5.1_2021VOL-YTD'!D:D)</f>
        <v>10132.179999999978</v>
      </c>
      <c r="AZ2" s="268">
        <f>SUMIF('Input 5.1_2021VOL-YTD'!$R:$R,$G2,'Input 5.1_2021VOL-YTD'!E:E)</f>
        <v>10598.280000000004</v>
      </c>
      <c r="BA2" s="268">
        <f>SUMIF('Input 5.1_2021VOL-YTD'!$R:$R,$G2,'Input 5.1_2021VOL-YTD'!F:F)</f>
        <v>9859.7199999999884</v>
      </c>
      <c r="BB2" s="268">
        <f>SUMIF('Input 5.1_2021VOL-YTD'!$R:$R,$G2,'Input 5.1_2021VOL-YTD'!G:G)</f>
        <v>8941.309999999994</v>
      </c>
      <c r="BC2" s="268">
        <f>SUMIF('Input 5.1_2021VOL-YTD'!$R:$R,$G2,'Input 5.1_2021VOL-YTD'!H:H)</f>
        <v>9310.2099999999828</v>
      </c>
      <c r="BD2" s="268">
        <f>SUMIF('Input 5.1_2021VOL-YTD'!$R:$R,$G2,'Input 5.1_2021VOL-YTD'!I:I)</f>
        <v>9022.7600000000039</v>
      </c>
      <c r="BE2" s="268">
        <f>SUMIF('Input 5.1_2021VOL-YTD'!$R:$R,$G2,'Input 5.1_2021VOL-YTD'!J:J)</f>
        <v>8030.0000000000073</v>
      </c>
      <c r="BF2" s="268">
        <f>SUMIF('Input 5.1_2021VOL-YTD'!$R:$R,$G2,'Input 5.1_2021VOL-YTD'!K:K)</f>
        <v>9185.0499999999975</v>
      </c>
      <c r="BG2" s="268">
        <f>SUMIF('Input 5.1_2021VOL-YTD'!$R:$R,$G2,'Input 5.1_2021VOL-YTD'!L:L)</f>
        <v>8354.6400000000012</v>
      </c>
      <c r="BH2" s="268">
        <f>SUMIF('Input 5.1_2021VOL-YTD'!$R:$R,$G2,'Input 5.1_2021VOL-YTD'!M:M)</f>
        <v>7953.5899999999947</v>
      </c>
      <c r="BI2" s="268">
        <f>SUMIF('Input 5.1_2021VOL-YTD'!$R:$R,$G2,'Input 5.1_2021VOL-YTD'!N:N)</f>
        <v>12685.599999999993</v>
      </c>
      <c r="BJ2" s="483">
        <f>IFERROR(IF($J2="Historical Average",INDEX('Monthly UPC'!$CM$2:$DJ$65,MATCH($D2,'Monthly UPC'!$D$2:$D$65,0),MATCH(BJ$1,'Monthly UPC'!$CM$1:$DJ$1))*(INDEX('Monthly CUST'!$N$2:$CG$65,MATCH($D2,'Monthly CUST'!$D$2:$D$65,0),MATCH(BJ$1,'Monthly CUST'!$N$1:$CG$1,0))),IF($J2="UPC Growth Rate",((AX2/INDEX('Monthly CUST'!$N$2:$CG$65,MATCH($D2,'Monthly CUST'!$D$2:$D$65,0),MATCH(AX$1,'Monthly CUST'!$N$1:$CG$1,0)))*(1+$L2)*INDEX('Monthly CUST'!$N$2:$CG$65,MATCH($D2,'Monthly CUST'!$D$2:$D$65,0),MATCH(BJ$1,'Monthly CUST'!$N$1:$CG$1,0))),IF($J2="Modeled UPC",INDEX('Monthly CUST'!$N$2:$CG$65,MATCH($D2,'Monthly CUST'!$D$2:$D$65,0),MATCH(BJ$1,'Monthly CUST'!$N$1:$CG$1,0))/12*$M2,IF($J2="Base Period",AX2,IF($J2="Adjusted",SUMIF('Input 15_Fcst Inputs'!$A:$A,$D2,'Input 15_Fcst Inputs'!$G:$G)/12))))),0)</f>
        <v>8335.2382627797033</v>
      </c>
      <c r="BK2" s="483">
        <f>IFERROR(IF($J2="Historical Average",INDEX('Monthly UPC'!$CM$2:$DJ$65,MATCH($D2,'Monthly UPC'!$D$2:$D$65,0),MATCH(BK$1,'Monthly UPC'!$CM$1:$DJ$1))*(INDEX('Monthly CUST'!$N$2:$CG$65,MATCH($D2,'Monthly CUST'!$D$2:$D$65,0),MATCH(BK$1,'Monthly CUST'!$N$1:$CG$1,0))),IF($J2="UPC Growth Rate",((AY2/INDEX('Monthly CUST'!$N$2:$CG$65,MATCH($D2,'Monthly CUST'!$D$2:$D$65,0),MATCH(AY$1,'Monthly CUST'!$N$1:$CG$1,0)))*(1+$L2)*INDEX('Monthly CUST'!$N$2:$CG$65,MATCH($D2,'Monthly CUST'!$D$2:$D$65,0),MATCH(BK$1,'Monthly CUST'!$N$1:$CG$1,0))),IF($J2="Modeled UPC",INDEX('Monthly CUST'!$N$2:$CG$65,MATCH($D2,'Monthly CUST'!$D$2:$D$65,0),MATCH(BK$1,'Monthly CUST'!$N$1:$CG$1,0))/12*$M2,IF($J2="Base Period",AY2,IF($J2="Adjusted",SUMIF('Input 15_Fcst Inputs'!$A:$A,$D2,'Input 15_Fcst Inputs'!$G:$G)/12))))),0)</f>
        <v>8372.2837661698359</v>
      </c>
      <c r="BL2" s="483">
        <f>IFERROR(IF($J2="Historical Average",INDEX('Monthly UPC'!$CM$2:$DJ$65,MATCH($D2,'Monthly UPC'!$D$2:$D$65,0),MATCH(BL$1,'Monthly UPC'!$CM$1:$DJ$1))*(INDEX('Monthly CUST'!$N$2:$CG$65,MATCH($D2,'Monthly CUST'!$D$2:$D$65,0),MATCH(BL$1,'Monthly CUST'!$N$1:$CG$1,0))),IF($J2="UPC Growth Rate",((AZ2/INDEX('Monthly CUST'!$N$2:$CG$65,MATCH($D2,'Monthly CUST'!$D$2:$D$65,0),MATCH(AZ$1,'Monthly CUST'!$N$1:$CG$1,0)))*(1+$L2)*INDEX('Monthly CUST'!$N$2:$CG$65,MATCH($D2,'Monthly CUST'!$D$2:$D$65,0),MATCH(BL$1,'Monthly CUST'!$N$1:$CG$1,0))),IF($J2="Modeled UPC",INDEX('Monthly CUST'!$N$2:$CG$65,MATCH($D2,'Monthly CUST'!$D$2:$D$65,0),MATCH(BL$1,'Monthly CUST'!$N$1:$CG$1,0))/12*$M2,IF($J2="Base Period",AZ2,IF($J2="Adjusted",SUMIF('Input 15_Fcst Inputs'!$A:$A,$D2,'Input 15_Fcst Inputs'!$G:$G)/12))))),0)</f>
        <v>8322.8897616496597</v>
      </c>
      <c r="BM2" s="483">
        <f>IFERROR(IF($J2="Historical Average",INDEX('Monthly UPC'!$CM$2:$DJ$65,MATCH($D2,'Monthly UPC'!$D$2:$D$65,0),MATCH(BM$1,'Monthly UPC'!$CM$1:$DJ$1))*(INDEX('Monthly CUST'!$N$2:$CG$65,MATCH($D2,'Monthly CUST'!$D$2:$D$65,0),MATCH(BM$1,'Monthly CUST'!$N$1:$CG$1,0))),IF($J2="UPC Growth Rate",((BA2/INDEX('Monthly CUST'!$N$2:$CG$65,MATCH($D2,'Monthly CUST'!$D$2:$D$65,0),MATCH(BA$1,'Monthly CUST'!$N$1:$CG$1,0)))*(1+$L2)*INDEX('Monthly CUST'!$N$2:$CG$65,MATCH($D2,'Monthly CUST'!$D$2:$D$65,0),MATCH(BM$1,'Monthly CUST'!$N$1:$CG$1,0))),IF($J2="Modeled UPC",INDEX('Monthly CUST'!$N$2:$CG$65,MATCH($D2,'Monthly CUST'!$D$2:$D$65,0),MATCH(BM$1,'Monthly CUST'!$N$1:$CG$1,0))/12*$M2,IF($J2="Base Period",BA2,IF($J2="Adjusted",SUMIF('Input 15_Fcst Inputs'!$A:$A,$D2,'Input 15_Fcst Inputs'!$G:$G)/12))))),0)</f>
        <v>8372.2837661698359</v>
      </c>
      <c r="BN2" s="483">
        <f>IFERROR(IF($J2="Historical Average",INDEX('Monthly UPC'!$CM$2:$DJ$65,MATCH($D2,'Monthly UPC'!$D$2:$D$65,0),MATCH(BN$1,'Monthly UPC'!$CM$1:$DJ$1))*(INDEX('Monthly CUST'!$N$2:$CG$65,MATCH($D2,'Monthly CUST'!$D$2:$D$65,0),MATCH(BN$1,'Monthly CUST'!$N$1:$CG$1,0))),IF($J2="UPC Growth Rate",((BB2/INDEX('Monthly CUST'!$N$2:$CG$65,MATCH($D2,'Monthly CUST'!$D$2:$D$65,0),MATCH(BB$1,'Monthly CUST'!$N$1:$CG$1,0)))*(1+$L2)*INDEX('Monthly CUST'!$N$2:$CG$65,MATCH($D2,'Monthly CUST'!$D$2:$D$65,0),MATCH(BN$1,'Monthly CUST'!$N$1:$CG$1,0))),IF($J2="Modeled UPC",INDEX('Monthly CUST'!$N$2:$CG$65,MATCH($D2,'Monthly CUST'!$D$2:$D$65,0),MATCH(BN$1,'Monthly CUST'!$N$1:$CG$1,0))/12*$M2,IF($J2="Base Period",BB2,IF($J2="Adjusted",SUMIF('Input 15_Fcst Inputs'!$A:$A,$D2,'Input 15_Fcst Inputs'!$G:$G)/12))))),0)</f>
        <v>8322.8897616496597</v>
      </c>
      <c r="BO2" s="483">
        <f>IFERROR(IF($J2="Historical Average",INDEX('Monthly UPC'!$CM$2:$DJ$65,MATCH($D2,'Monthly UPC'!$D$2:$D$65,0),MATCH(BO$1,'Monthly UPC'!$CM$1:$DJ$1))*(INDEX('Monthly CUST'!$N$2:$CG$65,MATCH($D2,'Monthly CUST'!$D$2:$D$65,0),MATCH(BO$1,'Monthly CUST'!$N$1:$CG$1,0))),IF($J2="UPC Growth Rate",((BC2/INDEX('Monthly CUST'!$N$2:$CG$65,MATCH($D2,'Monthly CUST'!$D$2:$D$65,0),MATCH(BC$1,'Monthly CUST'!$N$1:$CG$1,0)))*(1+$L2)*INDEX('Monthly CUST'!$N$2:$CG$65,MATCH($D2,'Monthly CUST'!$D$2:$D$65,0),MATCH(BO$1,'Monthly CUST'!$N$1:$CG$1,0))),IF($J2="Modeled UPC",INDEX('Monthly CUST'!$N$2:$CG$65,MATCH($D2,'Monthly CUST'!$D$2:$D$65,0),MATCH(BO$1,'Monthly CUST'!$N$1:$CG$1,0))/12*$M2,IF($J2="Base Period",BC2,IF($J2="Adjusted",SUMIF('Input 15_Fcst Inputs'!$A:$A,$D2,'Input 15_Fcst Inputs'!$G:$G)/12))))),0)</f>
        <v>8322.8897616496597</v>
      </c>
      <c r="BP2" s="483">
        <f>IFERROR(IF($J2="Historical Average",INDEX('Monthly UPC'!$CM$2:$DJ$65,MATCH($D2,'Monthly UPC'!$D$2:$D$65,0),MATCH(BP$1,'Monthly UPC'!$CM$1:$DJ$1))*(INDEX('Monthly CUST'!$N$2:$CG$65,MATCH($D2,'Monthly CUST'!$D$2:$D$65,0),MATCH(BP$1,'Monthly CUST'!$N$1:$CG$1,0))),IF($J2="UPC Growth Rate",((BD2/INDEX('Monthly CUST'!$N$2:$CG$65,MATCH($D2,'Monthly CUST'!$D$2:$D$65,0),MATCH(BD$1,'Monthly CUST'!$N$1:$CG$1,0)))*(1+$L2)*INDEX('Monthly CUST'!$N$2:$CG$65,MATCH($D2,'Monthly CUST'!$D$2:$D$65,0),MATCH(BP$1,'Monthly CUST'!$N$1:$CG$1,0))),IF($J2="Modeled UPC",INDEX('Monthly CUST'!$N$2:$CG$65,MATCH($D2,'Monthly CUST'!$D$2:$D$65,0),MATCH(BP$1,'Monthly CUST'!$N$1:$CG$1,0))/12*$M2,IF($J2="Base Period",BD2,IF($J2="Adjusted",SUMIF('Input 15_Fcst Inputs'!$A:$A,$D2,'Input 15_Fcst Inputs'!$G:$G)/12))))),0)</f>
        <v>8347.5867639097469</v>
      </c>
      <c r="BQ2" s="483">
        <f>IFERROR(IF($J2="Historical Average",INDEX('Monthly UPC'!$CM$2:$DJ$65,MATCH($D2,'Monthly UPC'!$D$2:$D$65,0),MATCH(BQ$1,'Monthly UPC'!$CM$1:$DJ$1))*(INDEX('Monthly CUST'!$N$2:$CG$65,MATCH($D2,'Monthly CUST'!$D$2:$D$65,0),MATCH(BQ$1,'Monthly CUST'!$N$1:$CG$1,0))),IF($J2="UPC Growth Rate",((BE2/INDEX('Monthly CUST'!$N$2:$CG$65,MATCH($D2,'Monthly CUST'!$D$2:$D$65,0),MATCH(BE$1,'Monthly CUST'!$N$1:$CG$1,0)))*(1+$L2)*INDEX('Monthly CUST'!$N$2:$CG$65,MATCH($D2,'Monthly CUST'!$D$2:$D$65,0),MATCH(BQ$1,'Monthly CUST'!$N$1:$CG$1,0))),IF($J2="Modeled UPC",INDEX('Monthly CUST'!$N$2:$CG$65,MATCH($D2,'Monthly CUST'!$D$2:$D$65,0),MATCH(BQ$1,'Monthly CUST'!$N$1:$CG$1,0))/12*$M2,IF($J2="Base Period",BE2,IF($J2="Adjusted",SUMIF('Input 15_Fcst Inputs'!$A:$A,$D2,'Input 15_Fcst Inputs'!$G:$G)/12))))),0)</f>
        <v>8335.2382627797033</v>
      </c>
      <c r="BR2" s="483">
        <f>IFERROR(IF($J2="Historical Average",INDEX('Monthly UPC'!$CM$2:$DJ$65,MATCH($D2,'Monthly UPC'!$D$2:$D$65,0),MATCH(BR$1,'Monthly UPC'!$CM$1:$DJ$1))*(INDEX('Monthly CUST'!$N$2:$CG$65,MATCH($D2,'Monthly CUST'!$D$2:$D$65,0),MATCH(BR$1,'Monthly CUST'!$N$1:$CG$1,0))),IF($J2="UPC Growth Rate",((BF2/INDEX('Monthly CUST'!$N$2:$CG$65,MATCH($D2,'Monthly CUST'!$D$2:$D$65,0),MATCH(BF$1,'Monthly CUST'!$N$1:$CG$1,0)))*(1+$L2)*INDEX('Monthly CUST'!$N$2:$CG$65,MATCH($D2,'Monthly CUST'!$D$2:$D$65,0),MATCH(BR$1,'Monthly CUST'!$N$1:$CG$1,0))),IF($J2="Modeled UPC",INDEX('Monthly CUST'!$N$2:$CG$65,MATCH($D2,'Monthly CUST'!$D$2:$D$65,0),MATCH(BR$1,'Monthly CUST'!$N$1:$CG$1,0))/12*$M2,IF($J2="Base Period",BF2,IF($J2="Adjusted",SUMIF('Input 15_Fcst Inputs'!$A:$A,$D2,'Input 15_Fcst Inputs'!$G:$G)/12))))),0)</f>
        <v>8359.9352650397905</v>
      </c>
      <c r="BS2" s="483">
        <f>IFERROR(IF($J2="Historical Average",INDEX('Monthly UPC'!$CM$2:$DJ$65,MATCH($D2,'Monthly UPC'!$D$2:$D$65,0),MATCH(BS$1,'Monthly UPC'!$CM$1:$DJ$1))*(INDEX('Monthly CUST'!$N$2:$CG$65,MATCH($D2,'Monthly CUST'!$D$2:$D$65,0),MATCH(BS$1,'Monthly CUST'!$N$1:$CG$1,0))),IF($J2="UPC Growth Rate",((BG2/INDEX('Monthly CUST'!$N$2:$CG$65,MATCH($D2,'Monthly CUST'!$D$2:$D$65,0),MATCH(BG$1,'Monthly CUST'!$N$1:$CG$1,0)))*(1+$L2)*INDEX('Monthly CUST'!$N$2:$CG$65,MATCH($D2,'Monthly CUST'!$D$2:$D$65,0),MATCH(BS$1,'Monthly CUST'!$N$1:$CG$1,0))),IF($J2="Modeled UPC",INDEX('Monthly CUST'!$N$2:$CG$65,MATCH($D2,'Monthly CUST'!$D$2:$D$65,0),MATCH(BS$1,'Monthly CUST'!$N$1:$CG$1,0))/12*$M2,IF($J2="Base Period",BG2,IF($J2="Adjusted",SUMIF('Input 15_Fcst Inputs'!$A:$A,$D2,'Input 15_Fcst Inputs'!$G:$G)/12))))),0)</f>
        <v>8396.980768429923</v>
      </c>
      <c r="BT2" s="483">
        <f>IFERROR(IF($J2="Historical Average",INDEX('Monthly UPC'!$CM$2:$DJ$65,MATCH($D2,'Monthly UPC'!$D$2:$D$65,0),MATCH(BT$1,'Monthly UPC'!$CM$1:$DJ$1))*(INDEX('Monthly CUST'!$N$2:$CG$65,MATCH($D2,'Monthly CUST'!$D$2:$D$65,0),MATCH(BT$1,'Monthly CUST'!$N$1:$CG$1,0))),IF($J2="UPC Growth Rate",((BH2/INDEX('Monthly CUST'!$N$2:$CG$65,MATCH($D2,'Monthly CUST'!$D$2:$D$65,0),MATCH(BH$1,'Monthly CUST'!$N$1:$CG$1,0)))*(1+$L2)*INDEX('Monthly CUST'!$N$2:$CG$65,MATCH($D2,'Monthly CUST'!$D$2:$D$65,0),MATCH(BT$1,'Monthly CUST'!$N$1:$CG$1,0))),IF($J2="Modeled UPC",INDEX('Monthly CUST'!$N$2:$CG$65,MATCH($D2,'Monthly CUST'!$D$2:$D$65,0),MATCH(BT$1,'Monthly CUST'!$N$1:$CG$1,0))/12*$M2,IF($J2="Base Period",BH2,IF($J2="Adjusted",SUMIF('Input 15_Fcst Inputs'!$A:$A,$D2,'Input 15_Fcst Inputs'!$G:$G)/12))))),0)</f>
        <v>8248.7987548693945</v>
      </c>
      <c r="BU2" s="483">
        <f>IFERROR(IF($J2="Historical Average",INDEX('Monthly UPC'!$CM$2:$DJ$65,MATCH($D2,'Monthly UPC'!$D$2:$D$65,0),MATCH(BU$1,'Monthly UPC'!$CM$1:$DJ$1))*(INDEX('Monthly CUST'!$N$2:$CG$65,MATCH($D2,'Monthly CUST'!$D$2:$D$65,0),MATCH(BU$1,'Monthly CUST'!$N$1:$CG$1,0))),IF($J2="UPC Growth Rate",((BI2/INDEX('Monthly CUST'!$N$2:$CG$65,MATCH($D2,'Monthly CUST'!$D$2:$D$65,0),MATCH(BI$1,'Monthly CUST'!$N$1:$CG$1,0)))*(1+$L2)*INDEX('Monthly CUST'!$N$2:$CG$65,MATCH($D2,'Monthly CUST'!$D$2:$D$65,0),MATCH(BU$1,'Monthly CUST'!$N$1:$CG$1,0))),IF($J2="Modeled UPC",INDEX('Monthly CUST'!$N$2:$CG$65,MATCH($D2,'Monthly CUST'!$D$2:$D$65,0),MATCH(BU$1,'Monthly CUST'!$N$1:$CG$1,0))/12*$M2,IF($J2="Base Period",BI2,IF($J2="Adjusted",SUMIF('Input 15_Fcst Inputs'!$A:$A,$D2,'Input 15_Fcst Inputs'!$G:$G)/12))))),0)</f>
        <v>8261.1472559994381</v>
      </c>
      <c r="BV2" s="483">
        <f>IFERROR(IF($J2="Historical Average",INDEX('Monthly UPC'!$CM$2:$DJ$65,MATCH($D2,'Monthly UPC'!$D$2:$D$65,0),MATCH(BV$1,'Monthly UPC'!$CM$1:$DJ$1))*(INDEX('Monthly CUST'!$N$2:$CG$65,MATCH($D2,'Monthly CUST'!$D$2:$D$65,0),MATCH(BV$1,'Monthly CUST'!$N$1:$CG$1,0))),IF($J2="UPC Growth Rate",((BJ2/INDEX('Monthly CUST'!$N$2:$CG$65,MATCH($D2,'Monthly CUST'!$D$2:$D$65,0),MATCH(BJ$1,'Monthly CUST'!$N$1:$CG$1,0)))*(1+$L2)*INDEX('Monthly CUST'!$N$2:$CG$65,MATCH($D2,'Monthly CUST'!$D$2:$D$65,0),MATCH(BV$1,'Monthly CUST'!$N$1:$CG$1,0))),IF($J2="Modeled UPC",INDEX('Monthly CUST'!$N$2:$CG$65,MATCH($D2,'Monthly CUST'!$D$2:$D$65,0),MATCH(BV$1,'Monthly CUST'!$N$1:$CG$1,0))/12*$M2,IF($J2="Base Period",BJ2,IF($J2="Adjusted",SUMIF('Input 15_Fcst Inputs'!$A:$A,$D2,'Input 15_Fcst Inputs'!$G:$G)/12))))),0)</f>
        <v>8356.119454195481</v>
      </c>
      <c r="BW2" s="483">
        <f>IFERROR(IF($J2="Historical Average",INDEX('Monthly UPC'!$CM$2:$DJ$65,MATCH($D2,'Monthly UPC'!$D$2:$D$65,0),MATCH(BW$1,'Monthly UPC'!$CM$1:$DJ$1))*(INDEX('Monthly CUST'!$N$2:$CG$65,MATCH($D2,'Monthly CUST'!$D$2:$D$65,0),MATCH(BW$1,'Monthly CUST'!$N$1:$CG$1,0))),IF($J2="UPC Growth Rate",((BK2/INDEX('Monthly CUST'!$N$2:$CG$65,MATCH($D2,'Monthly CUST'!$D$2:$D$65,0),MATCH(BK$1,'Monthly CUST'!$N$1:$CG$1,0)))*(1+$L2)*INDEX('Monthly CUST'!$N$2:$CG$65,MATCH($D2,'Monthly CUST'!$D$2:$D$65,0),MATCH(BW$1,'Monthly CUST'!$N$1:$CG$1,0))),IF($J2="Modeled UPC",INDEX('Monthly CUST'!$N$2:$CG$65,MATCH($D2,'Monthly CUST'!$D$2:$D$65,0),MATCH(BW$1,'Monthly CUST'!$N$1:$CG$1,0))/12*$M2,IF($J2="Base Period",BK2,IF($J2="Adjusted",SUMIF('Input 15_Fcst Inputs'!$A:$A,$D2,'Input 15_Fcst Inputs'!$G:$G)/12))))),0)</f>
        <v>8393.257762880794</v>
      </c>
      <c r="BX2" s="483">
        <f>IFERROR(IF($J2="Historical Average",INDEX('Monthly UPC'!$CM$2:$DJ$65,MATCH($D2,'Monthly UPC'!$D$2:$D$65,0),MATCH(BX$1,'Monthly UPC'!$CM$1:$DJ$1))*(INDEX('Monthly CUST'!$N$2:$CG$65,MATCH($D2,'Monthly CUST'!$D$2:$D$65,0),MATCH(BX$1,'Monthly CUST'!$N$1:$CG$1,0))),IF($J2="UPC Growth Rate",((BL2/INDEX('Monthly CUST'!$N$2:$CG$65,MATCH($D2,'Monthly CUST'!$D$2:$D$65,0),MATCH(BL$1,'Monthly CUST'!$N$1:$CG$1,0)))*(1+$L2)*INDEX('Monthly CUST'!$N$2:$CG$65,MATCH($D2,'Monthly CUST'!$D$2:$D$65,0),MATCH(BX$1,'Monthly CUST'!$N$1:$CG$1,0))),IF($J2="Modeled UPC",INDEX('Monthly CUST'!$N$2:$CG$65,MATCH($D2,'Monthly CUST'!$D$2:$D$65,0),MATCH(BX$1,'Monthly CUST'!$N$1:$CG$1,0))/12*$M2,IF($J2="Base Period",BL2,IF($J2="Adjusted",SUMIF('Input 15_Fcst Inputs'!$A:$A,$D2,'Input 15_Fcst Inputs'!$G:$G)/12))))),0)</f>
        <v>8343.740017967044</v>
      </c>
      <c r="BY2" s="483">
        <f>IFERROR(IF($J2="Historical Average",INDEX('Monthly UPC'!$CM$2:$DJ$65,MATCH($D2,'Monthly UPC'!$D$2:$D$65,0),MATCH(BY$1,'Monthly UPC'!$CM$1:$DJ$1))*(INDEX('Monthly CUST'!$N$2:$CG$65,MATCH($D2,'Monthly CUST'!$D$2:$D$65,0),MATCH(BY$1,'Monthly CUST'!$N$1:$CG$1,0))),IF($J2="UPC Growth Rate",((BM2/INDEX('Monthly CUST'!$N$2:$CG$65,MATCH($D2,'Monthly CUST'!$D$2:$D$65,0),MATCH(BM$1,'Monthly CUST'!$N$1:$CG$1,0)))*(1+$L2)*INDEX('Monthly CUST'!$N$2:$CG$65,MATCH($D2,'Monthly CUST'!$D$2:$D$65,0),MATCH(BY$1,'Monthly CUST'!$N$1:$CG$1,0))),IF($J2="Modeled UPC",INDEX('Monthly CUST'!$N$2:$CG$65,MATCH($D2,'Monthly CUST'!$D$2:$D$65,0),MATCH(BY$1,'Monthly CUST'!$N$1:$CG$1,0))/12*$M2,IF($J2="Base Period",BM2,IF($J2="Adjusted",SUMIF('Input 15_Fcst Inputs'!$A:$A,$D2,'Input 15_Fcst Inputs'!$G:$G)/12))))),0)</f>
        <v>8393.257762880794</v>
      </c>
      <c r="BZ2" s="483">
        <f>IFERROR(IF($J2="Historical Average",INDEX('Monthly UPC'!$CM$2:$DJ$65,MATCH($D2,'Monthly UPC'!$D$2:$D$65,0),MATCH(BZ$1,'Monthly UPC'!$CM$1:$DJ$1))*(INDEX('Monthly CUST'!$N$2:$CG$65,MATCH($D2,'Monthly CUST'!$D$2:$D$65,0),MATCH(BZ$1,'Monthly CUST'!$N$1:$CG$1,0))),IF($J2="UPC Growth Rate",((BN2/INDEX('Monthly CUST'!$N$2:$CG$65,MATCH($D2,'Monthly CUST'!$D$2:$D$65,0),MATCH(BN$1,'Monthly CUST'!$N$1:$CG$1,0)))*(1+$L2)*INDEX('Monthly CUST'!$N$2:$CG$65,MATCH($D2,'Monthly CUST'!$D$2:$D$65,0),MATCH(BZ$1,'Monthly CUST'!$N$1:$CG$1,0))),IF($J2="Modeled UPC",INDEX('Monthly CUST'!$N$2:$CG$65,MATCH($D2,'Monthly CUST'!$D$2:$D$65,0),MATCH(BZ$1,'Monthly CUST'!$N$1:$CG$1,0))/12*$M2,IF($J2="Base Period",BN2,IF($J2="Adjusted",SUMIF('Input 15_Fcst Inputs'!$A:$A,$D2,'Input 15_Fcst Inputs'!$G:$G)/12))))),0)</f>
        <v>8343.740017967044</v>
      </c>
      <c r="CA2" s="483">
        <f>IFERROR(IF($J2="Historical Average",INDEX('Monthly UPC'!$CM$2:$DJ$65,MATCH($D2,'Monthly UPC'!$D$2:$D$65,0),MATCH(CA$1,'Monthly UPC'!$CM$1:$DJ$1))*(INDEX('Monthly CUST'!$N$2:$CG$65,MATCH($D2,'Monthly CUST'!$D$2:$D$65,0),MATCH(CA$1,'Monthly CUST'!$N$1:$CG$1,0))),IF($J2="UPC Growth Rate",((BO2/INDEX('Monthly CUST'!$N$2:$CG$65,MATCH($D2,'Monthly CUST'!$D$2:$D$65,0),MATCH(BO$1,'Monthly CUST'!$N$1:$CG$1,0)))*(1+$L2)*INDEX('Monthly CUST'!$N$2:$CG$65,MATCH($D2,'Monthly CUST'!$D$2:$D$65,0),MATCH(CA$1,'Monthly CUST'!$N$1:$CG$1,0))),IF($J2="Modeled UPC",INDEX('Monthly CUST'!$N$2:$CG$65,MATCH($D2,'Monthly CUST'!$D$2:$D$65,0),MATCH(CA$1,'Monthly CUST'!$N$1:$CG$1,0))/12*$M2,IF($J2="Base Period",BO2,IF($J2="Adjusted",SUMIF('Input 15_Fcst Inputs'!$A:$A,$D2,'Input 15_Fcst Inputs'!$G:$G)/12))))),0)</f>
        <v>8343.740017967044</v>
      </c>
      <c r="CB2" s="483">
        <f>IFERROR(IF($J2="Historical Average",INDEX('Monthly UPC'!$CM$2:$DJ$65,MATCH($D2,'Monthly UPC'!$D$2:$D$65,0),MATCH(CB$1,'Monthly UPC'!$CM$1:$DJ$1))*(INDEX('Monthly CUST'!$N$2:$CG$65,MATCH($D2,'Monthly CUST'!$D$2:$D$65,0),MATCH(CB$1,'Monthly CUST'!$N$1:$CG$1,0))),IF($J2="UPC Growth Rate",((BP2/INDEX('Monthly CUST'!$N$2:$CG$65,MATCH($D2,'Monthly CUST'!$D$2:$D$65,0),MATCH(BP$1,'Monthly CUST'!$N$1:$CG$1,0)))*(1+$L2)*INDEX('Monthly CUST'!$N$2:$CG$65,MATCH($D2,'Monthly CUST'!$D$2:$D$65,0),MATCH(CB$1,'Monthly CUST'!$N$1:$CG$1,0))),IF($J2="Modeled UPC",INDEX('Monthly CUST'!$N$2:$CG$65,MATCH($D2,'Monthly CUST'!$D$2:$D$65,0),MATCH(CB$1,'Monthly CUST'!$N$1:$CG$1,0))/12*$M2,IF($J2="Base Period",BP2,IF($J2="Adjusted",SUMIF('Input 15_Fcst Inputs'!$A:$A,$D2,'Input 15_Fcst Inputs'!$G:$G)/12))))),0)</f>
        <v>8368.4988904239199</v>
      </c>
      <c r="CC2" s="483">
        <f>IFERROR(IF($J2="Historical Average",INDEX('Monthly UPC'!$CM$2:$DJ$65,MATCH($D2,'Monthly UPC'!$D$2:$D$65,0),MATCH(CC$1,'Monthly UPC'!$CM$1:$DJ$1))*(INDEX('Monthly CUST'!$N$2:$CG$65,MATCH($D2,'Monthly CUST'!$D$2:$D$65,0),MATCH(CC$1,'Monthly CUST'!$N$1:$CG$1,0))),IF($J2="UPC Growth Rate",((BQ2/INDEX('Monthly CUST'!$N$2:$CG$65,MATCH($D2,'Monthly CUST'!$D$2:$D$65,0),MATCH(BQ$1,'Monthly CUST'!$N$1:$CG$1,0)))*(1+$L2)*INDEX('Monthly CUST'!$N$2:$CG$65,MATCH($D2,'Monthly CUST'!$D$2:$D$65,0),MATCH(CC$1,'Monthly CUST'!$N$1:$CG$1,0))),IF($J2="Modeled UPC",INDEX('Monthly CUST'!$N$2:$CG$65,MATCH($D2,'Monthly CUST'!$D$2:$D$65,0),MATCH(CC$1,'Monthly CUST'!$N$1:$CG$1,0))/12*$M2,IF($J2="Base Period",BQ2,IF($J2="Adjusted",SUMIF('Input 15_Fcst Inputs'!$A:$A,$D2,'Input 15_Fcst Inputs'!$G:$G)/12))))),0)</f>
        <v>8356.119454195481</v>
      </c>
      <c r="CD2" s="483">
        <f>IFERROR(IF($J2="Historical Average",INDEX('Monthly UPC'!$CM$2:$DJ$65,MATCH($D2,'Monthly UPC'!$D$2:$D$65,0),MATCH(CD$1,'Monthly UPC'!$CM$1:$DJ$1))*(INDEX('Monthly CUST'!$N$2:$CG$65,MATCH($D2,'Monthly CUST'!$D$2:$D$65,0),MATCH(CD$1,'Monthly CUST'!$N$1:$CG$1,0))),IF($J2="UPC Growth Rate",((BR2/INDEX('Monthly CUST'!$N$2:$CG$65,MATCH($D2,'Monthly CUST'!$D$2:$D$65,0),MATCH(BR$1,'Monthly CUST'!$N$1:$CG$1,0)))*(1+$L2)*INDEX('Monthly CUST'!$N$2:$CG$65,MATCH($D2,'Monthly CUST'!$D$2:$D$65,0),MATCH(CD$1,'Monthly CUST'!$N$1:$CG$1,0))),IF($J2="Modeled UPC",INDEX('Monthly CUST'!$N$2:$CG$65,MATCH($D2,'Monthly CUST'!$D$2:$D$65,0),MATCH(CD$1,'Monthly CUST'!$N$1:$CG$1,0))/12*$M2,IF($J2="Base Period",BR2,IF($J2="Adjusted",SUMIF('Input 15_Fcst Inputs'!$A:$A,$D2,'Input 15_Fcst Inputs'!$G:$G)/12))))),0)</f>
        <v>8380.8783266523569</v>
      </c>
      <c r="CE2" s="483">
        <f>IFERROR(IF($J2="Historical Average",INDEX('Monthly UPC'!$CM$2:$DJ$65,MATCH($D2,'Monthly UPC'!$D$2:$D$65,0),MATCH(CE$1,'Monthly UPC'!$CM$1:$DJ$1))*(INDEX('Monthly CUST'!$N$2:$CG$65,MATCH($D2,'Monthly CUST'!$D$2:$D$65,0),MATCH(CE$1,'Monthly CUST'!$N$1:$CG$1,0))),IF($J2="UPC Growth Rate",((BS2/INDEX('Monthly CUST'!$N$2:$CG$65,MATCH($D2,'Monthly CUST'!$D$2:$D$65,0),MATCH(BS$1,'Monthly CUST'!$N$1:$CG$1,0)))*(1+$L2)*INDEX('Monthly CUST'!$N$2:$CG$65,MATCH($D2,'Monthly CUST'!$D$2:$D$65,0),MATCH(CE$1,'Monthly CUST'!$N$1:$CG$1,0))),IF($J2="Modeled UPC",INDEX('Monthly CUST'!$N$2:$CG$65,MATCH($D2,'Monthly CUST'!$D$2:$D$65,0),MATCH(CE$1,'Monthly CUST'!$N$1:$CG$1,0))/12*$M2,IF($J2="Base Period",BS2,IF($J2="Adjusted",SUMIF('Input 15_Fcst Inputs'!$A:$A,$D2,'Input 15_Fcst Inputs'!$G:$G)/12))))),0)</f>
        <v>8418.0166353376699</v>
      </c>
      <c r="CF2" s="483">
        <f>IFERROR(IF($J2="Historical Average",INDEX('Monthly UPC'!$CM$2:$DJ$65,MATCH($D2,'Monthly UPC'!$D$2:$D$65,0),MATCH(CF$1,'Monthly UPC'!$CM$1:$DJ$1))*(INDEX('Monthly CUST'!$N$2:$CG$65,MATCH($D2,'Monthly CUST'!$D$2:$D$65,0),MATCH(CF$1,'Monthly CUST'!$N$1:$CG$1,0))),IF($J2="UPC Growth Rate",((BT2/INDEX('Monthly CUST'!$N$2:$CG$65,MATCH($D2,'Monthly CUST'!$D$2:$D$65,0),MATCH(BT$1,'Monthly CUST'!$N$1:$CG$1,0)))*(1+$L2)*INDEX('Monthly CUST'!$N$2:$CG$65,MATCH($D2,'Monthly CUST'!$D$2:$D$65,0),MATCH(CF$1,'Monthly CUST'!$N$1:$CG$1,0))),IF($J2="Modeled UPC",INDEX('Monthly CUST'!$N$2:$CG$65,MATCH($D2,'Monthly CUST'!$D$2:$D$65,0),MATCH(CF$1,'Monthly CUST'!$N$1:$CG$1,0))/12*$M2,IF($J2="Base Period",BT2,IF($J2="Adjusted",SUMIF('Input 15_Fcst Inputs'!$A:$A,$D2,'Input 15_Fcst Inputs'!$G:$G)/12))))),0)</f>
        <v>8269.4634005964162</v>
      </c>
      <c r="CG2" s="483">
        <f>IFERROR(IF($J2="Historical Average",INDEX('Monthly UPC'!$CM$2:$DJ$65,MATCH($D2,'Monthly UPC'!$D$2:$D$65,0),MATCH(CG$1,'Monthly UPC'!$CM$1:$DJ$1))*(INDEX('Monthly CUST'!$N$2:$CG$65,MATCH($D2,'Monthly CUST'!$D$2:$D$65,0),MATCH(CG$1,'Monthly CUST'!$N$1:$CG$1,0))),IF($J2="UPC Growth Rate",((BU2/INDEX('Monthly CUST'!$N$2:$CG$65,MATCH($D2,'Monthly CUST'!$D$2:$D$65,0),MATCH(BU$1,'Monthly CUST'!$N$1:$CG$1,0)))*(1+$L2)*INDEX('Monthly CUST'!$N$2:$CG$65,MATCH($D2,'Monthly CUST'!$D$2:$D$65,0),MATCH(CG$1,'Monthly CUST'!$N$1:$CG$1,0))),IF($J2="Modeled UPC",INDEX('Monthly CUST'!$N$2:$CG$65,MATCH($D2,'Monthly CUST'!$D$2:$D$65,0),MATCH(CG$1,'Monthly CUST'!$N$1:$CG$1,0))/12*$M2,IF($J2="Base Period",BU2,IF($J2="Adjusted",SUMIF('Input 15_Fcst Inputs'!$A:$A,$D2,'Input 15_Fcst Inputs'!$G:$G)/12))))),0)</f>
        <v>8281.8428368248533</v>
      </c>
      <c r="CH2" s="197"/>
      <c r="CI2" s="197">
        <f t="shared" ref="CI2:CI33" si="0">SUM(N2:Y2)</f>
        <v>116239.78000000001</v>
      </c>
      <c r="CJ2" s="197">
        <f t="shared" ref="CJ2:CJ33" si="1">SUM(Z2:AK2)</f>
        <v>114642.48000000004</v>
      </c>
      <c r="CK2" s="197">
        <f t="shared" ref="CK2:CK33" si="2">SUM(AL2:AW2)</f>
        <v>120526.06999999999</v>
      </c>
      <c r="CL2" s="197">
        <f t="shared" ref="CL2:CL33" si="3">SUM(AX2:BI2)</f>
        <v>115897.47999999994</v>
      </c>
      <c r="CM2" s="197">
        <f t="shared" ref="CM2:CM33" si="4">SUM(BJ2:BU2)</f>
        <v>99998.162151096374</v>
      </c>
      <c r="CN2" s="197">
        <f t="shared" ref="CN2:CN33" si="5">SUM(BV2:CG2)</f>
        <v>100248.6745778889</v>
      </c>
      <c r="CP2" s="4">
        <f>SUMIF('Master '!D:D,D2,'Master '!AH:AH)</f>
        <v>99998.162151096345</v>
      </c>
      <c r="CQ2" s="4">
        <f>SUMIF('Master '!D:D,D2,'Master '!AI:AI)</f>
        <v>100248.67457788889</v>
      </c>
      <c r="CR2" s="197">
        <f t="shared" ref="CR2:CR33" si="6">CM2-CP2</f>
        <v>0</v>
      </c>
      <c r="CS2" s="197">
        <f t="shared" ref="CS2:CS33" si="7">CN2-CQ2</f>
        <v>0</v>
      </c>
      <c r="CT2" t="s">
        <v>287</v>
      </c>
      <c r="CV2" t="str">
        <f>VLOOKUP(G2,'Master '!G:CC,75,FALSE)</f>
        <v>TS-1</v>
      </c>
    </row>
    <row r="3" spans="1:100">
      <c r="A3" s="53" t="s">
        <v>12</v>
      </c>
      <c r="B3" s="53" t="s">
        <v>993</v>
      </c>
      <c r="C3" s="53" t="s">
        <v>1245</v>
      </c>
      <c r="D3" s="53" t="s">
        <v>87</v>
      </c>
      <c r="E3" s="53" t="str">
        <f>VLOOKUP(D3,'Input 14_Ref Table'!C:D,2,FALSE)</f>
        <v>TS2C</v>
      </c>
      <c r="F3" s="143" t="s">
        <v>1286</v>
      </c>
      <c r="G3" s="53" t="str">
        <f>VLOOKUP(D3,'Input 14_Ref Table'!C:I,7,FALSE)</f>
        <v>IGC - IGC - TS2</v>
      </c>
      <c r="H3" s="53" t="str">
        <f>VLOOKUP(D3,'Input 14_Ref Table'!C:K,8,FALSE)</f>
        <v>Base Period</v>
      </c>
      <c r="I3" s="53"/>
      <c r="J3" t="str">
        <f>INDEX('Master '!$AD$2:AD$65,MATCH(D3,'Master '!$D$2:$D$65,0))</f>
        <v>Base Period</v>
      </c>
      <c r="K3" s="458">
        <f>INDEX('Master '!$N$2:N$65,MATCH(D3,'Master '!$D$2:$D$65,0))</f>
        <v>0</v>
      </c>
      <c r="L3" s="137">
        <f>INDEX('Master '!$S$2:S$65,MATCH(D3,'Master '!$D$2:$D$65,0))</f>
        <v>0</v>
      </c>
      <c r="M3" s="4">
        <f>INDEX('Master '!$W$2:W$65,MATCH(D3,'Master '!$D$2:$D$65,0))</f>
        <v>3722.1586206896554</v>
      </c>
      <c r="N3" s="268">
        <f>SUMIF('Input 16.1_2018VOL-YTD'!$R:$R,$G3,'Input 16.1_2018VOL-YTD'!C:C)</f>
        <v>8029.3300000000008</v>
      </c>
      <c r="O3" s="268">
        <f>SUMIF('Input 16.1_2018VOL-YTD'!$R:$R,$G3,'Input 16.1_2018VOL-YTD'!D:D)</f>
        <v>6886.7</v>
      </c>
      <c r="P3" s="268">
        <f>SUMIF('Input 16.1_2018VOL-YTD'!$R:$R,$G3,'Input 16.1_2018VOL-YTD'!E:E)</f>
        <v>7121.05</v>
      </c>
      <c r="Q3" s="268">
        <f>SUMIF('Input 16.1_2018VOL-YTD'!$R:$R,$G3,'Input 16.1_2018VOL-YTD'!F:F)</f>
        <v>6952.9</v>
      </c>
      <c r="R3" s="268">
        <f>SUMIF('Input 16.1_2018VOL-YTD'!$R:$R,$G3,'Input 16.1_2018VOL-YTD'!G:G)</f>
        <v>7539.02</v>
      </c>
      <c r="S3" s="268">
        <f>SUMIF('Input 16.1_2018VOL-YTD'!$R:$R,$G3,'Input 16.1_2018VOL-YTD'!H:H)</f>
        <v>6694.5699999999988</v>
      </c>
      <c r="T3" s="268">
        <f>SUMIF('Input 16.1_2018VOL-YTD'!$R:$R,$G3,'Input 16.1_2018VOL-YTD'!I:I)</f>
        <v>7065</v>
      </c>
      <c r="U3" s="268">
        <f>SUMIF('Input 16.1_2018VOL-YTD'!$R:$R,$G3,'Input 16.1_2018VOL-YTD'!J:J)</f>
        <v>6600.1699999999983</v>
      </c>
      <c r="V3" s="268">
        <f>SUMIF('Input 16.1_2018VOL-YTD'!$R:$R,$G3,'Input 16.1_2018VOL-YTD'!K:K)</f>
        <v>6558.16</v>
      </c>
      <c r="W3" s="268">
        <f>SUMIF('Input 16.1_2018VOL-YTD'!$R:$R,$G3,'Input 16.1_2018VOL-YTD'!L:L)</f>
        <v>7139</v>
      </c>
      <c r="X3" s="268">
        <f>SUMIF('Input 16.1_2018VOL-YTD'!$R:$R,$G3,'Input 16.1_2018VOL-YTD'!M:M)</f>
        <v>7179.4099999999989</v>
      </c>
      <c r="Y3" s="268">
        <f>SUMIF('Input 16.1_2018VOL-YTD'!$R:$R,$G3,'Input 16.1_2018VOL-YTD'!N:N)</f>
        <v>7649.88</v>
      </c>
      <c r="Z3" s="268">
        <f>SUMIF('Input 3.1_2019VOL-YTD'!$R:$R,$G3,'Input 3.1_2019VOL-YTD'!C:C)</f>
        <v>7078.9699999999993</v>
      </c>
      <c r="AA3" s="268">
        <f>SUMIF('Input 3.1_2019VOL-YTD'!$R:$R,$G3,'Input 3.1_2019VOL-YTD'!D:D)</f>
        <v>6864.81</v>
      </c>
      <c r="AB3" s="268">
        <f>SUMIF('Input 3.1_2019VOL-YTD'!$R:$R,$G3,'Input 3.1_2019VOL-YTD'!E:E)</f>
        <v>7091.27</v>
      </c>
      <c r="AC3" s="268">
        <f>SUMIF('Input 3.1_2019VOL-YTD'!$R:$R,$G3,'Input 3.1_2019VOL-YTD'!F:F)</f>
        <v>6953.58</v>
      </c>
      <c r="AD3" s="268">
        <f>SUMIF('Input 3.1_2019VOL-YTD'!$R:$R,$G3,'Input 3.1_2019VOL-YTD'!G:G)</f>
        <v>7347.97</v>
      </c>
      <c r="AE3" s="268">
        <f>SUMIF('Input 3.1_2019VOL-YTD'!$R:$R,$G3,'Input 3.1_2019VOL-YTD'!H:H)</f>
        <v>6512.81</v>
      </c>
      <c r="AF3" s="268">
        <f>SUMIF('Input 3.1_2019VOL-YTD'!$R:$R,$G3,'Input 3.1_2019VOL-YTD'!I:I)</f>
        <v>7009.5000000000009</v>
      </c>
      <c r="AG3" s="268">
        <f>SUMIF('Input 3.1_2019VOL-YTD'!$R:$R,$G3,'Input 3.1_2019VOL-YTD'!J:J)</f>
        <v>6164.6699999999983</v>
      </c>
      <c r="AH3" s="268">
        <f>SUMIF('Input 3.1_2019VOL-YTD'!$R:$R,$G3,'Input 3.1_2019VOL-YTD'!K:K)</f>
        <v>6533.83</v>
      </c>
      <c r="AI3" s="268">
        <f>SUMIF('Input 3.1_2019VOL-YTD'!$R:$R,$G3,'Input 3.1_2019VOL-YTD'!L:L)</f>
        <v>7296.1600000000017</v>
      </c>
      <c r="AJ3" s="268">
        <f>SUMIF('Input 3.1_2019VOL-YTD'!$R:$R,$G3,'Input 3.1_2019VOL-YTD'!M:M)</f>
        <v>6681.9599999999991</v>
      </c>
      <c r="AK3" s="268">
        <f>SUMIF('Input 3.1_2019VOL-YTD'!$R:$R,$G3,'Input 3.1_2019VOL-YTD'!N:N)</f>
        <v>8000.81</v>
      </c>
      <c r="AL3" s="268">
        <f>SUMIF('Input 4.1_2020VOL-YTD'!$R:$R,$G3,'Input 4.1_2020VOL-YTD'!C:C)</f>
        <v>7392.8199999999988</v>
      </c>
      <c r="AM3" s="268">
        <f>SUMIF('Input 4.1_2020VOL-YTD'!$R:$R,$G3,'Input 4.1_2020VOL-YTD'!D:D)</f>
        <v>7396.12</v>
      </c>
      <c r="AN3" s="268">
        <f>SUMIF('Input 4.1_2020VOL-YTD'!$R:$R,$G3,'Input 4.1_2020VOL-YTD'!E:E)</f>
        <v>7179.5</v>
      </c>
      <c r="AO3" s="268">
        <f>SUMIF('Input 4.1_2020VOL-YTD'!$R:$R,$G3,'Input 4.1_2020VOL-YTD'!F:F)</f>
        <v>6443.3700000000017</v>
      </c>
      <c r="AP3" s="268">
        <f>SUMIF('Input 4.1_2020VOL-YTD'!$R:$R,$G3,'Input 4.1_2020VOL-YTD'!G:G)</f>
        <v>6559.7</v>
      </c>
      <c r="AQ3" s="268">
        <f>SUMIF('Input 4.1_2020VOL-YTD'!$R:$R,$G3,'Input 4.1_2020VOL-YTD'!H:H)</f>
        <v>6108.75</v>
      </c>
      <c r="AR3" s="268">
        <f>SUMIF('Input 4.1_2020VOL-YTD'!$R:$R,$G3,'Input 4.1_2020VOL-YTD'!I:I)</f>
        <v>6833.6</v>
      </c>
      <c r="AS3" s="268">
        <f>SUMIF('Input 4.1_2020VOL-YTD'!$R:$R,$G3,'Input 4.1_2020VOL-YTD'!J:J)</f>
        <v>5995.8999999999987</v>
      </c>
      <c r="AT3" s="268">
        <f>SUMIF('Input 4.1_2020VOL-YTD'!$R:$R,$G3,'Input 4.1_2020VOL-YTD'!K:K)</f>
        <v>6874.9099999999989</v>
      </c>
      <c r="AU3" s="268">
        <f>SUMIF('Input 4.1_2020VOL-YTD'!$R:$R,$G3,'Input 4.1_2020VOL-YTD'!L:L)</f>
        <v>5936.35</v>
      </c>
      <c r="AV3" s="268">
        <f>SUMIF('Input 4.1_2020VOL-YTD'!$R:$R,$G3,'Input 4.1_2020VOL-YTD'!M:M)</f>
        <v>7011.8499999999995</v>
      </c>
      <c r="AW3" s="268">
        <f>SUMIF('Input 4.1_2020VOL-YTD'!$R:$R,$G3,'Input 4.1_2020VOL-YTD'!N:N)</f>
        <v>6728.0899999999992</v>
      </c>
      <c r="AX3" s="268">
        <f>SUMIF('Input 5.1_2021VOL-YTD'!$R:$R,$G3,'Input 5.1_2021VOL-YTD'!C:C)</f>
        <v>6665.2400000000007</v>
      </c>
      <c r="AY3" s="268">
        <f>SUMIF('Input 5.1_2021VOL-YTD'!$R:$R,$G3,'Input 5.1_2021VOL-YTD'!D:D)</f>
        <v>6371.8</v>
      </c>
      <c r="AZ3" s="268">
        <f>SUMIF('Input 5.1_2021VOL-YTD'!$R:$R,$G3,'Input 5.1_2021VOL-YTD'!E:E)</f>
        <v>7049.2799999999988</v>
      </c>
      <c r="BA3" s="268">
        <f>SUMIF('Input 5.1_2021VOL-YTD'!$R:$R,$G3,'Input 5.1_2021VOL-YTD'!F:F)</f>
        <v>7238.2999999999993</v>
      </c>
      <c r="BB3" s="268">
        <f>SUMIF('Input 5.1_2021VOL-YTD'!$R:$R,$G3,'Input 5.1_2021VOL-YTD'!G:G)</f>
        <v>6676.26</v>
      </c>
      <c r="BC3" s="268">
        <f>SUMIF('Input 5.1_2021VOL-YTD'!$R:$R,$G3,'Input 5.1_2021VOL-YTD'!H:H)</f>
        <v>6988.9099999999989</v>
      </c>
      <c r="BD3" s="268">
        <f>SUMIF('Input 5.1_2021VOL-YTD'!$R:$R,$G3,'Input 5.1_2021VOL-YTD'!I:I)</f>
        <v>6613.47</v>
      </c>
      <c r="BE3" s="268">
        <f>SUMIF('Input 5.1_2021VOL-YTD'!$R:$R,$G3,'Input 5.1_2021VOL-YTD'!J:J)</f>
        <v>6333.8199999999988</v>
      </c>
      <c r="BF3" s="268">
        <f>SUMIF('Input 5.1_2021VOL-YTD'!$R:$R,$G3,'Input 5.1_2021VOL-YTD'!K:K)</f>
        <v>7330.6399999999985</v>
      </c>
      <c r="BG3" s="268">
        <f>SUMIF('Input 5.1_2021VOL-YTD'!$R:$R,$G3,'Input 5.1_2021VOL-YTD'!L:L)</f>
        <v>5625.0700000000006</v>
      </c>
      <c r="BH3" s="268">
        <f>SUMIF('Input 5.1_2021VOL-YTD'!$R:$R,$G3,'Input 5.1_2021VOL-YTD'!M:M)</f>
        <v>7308.43</v>
      </c>
      <c r="BI3" s="268">
        <f>SUMIF('Input 5.1_2021VOL-YTD'!$R:$R,$G3,'Input 5.1_2021VOL-YTD'!N:N)</f>
        <v>6755.73</v>
      </c>
      <c r="BJ3" s="483">
        <f>IFERROR(IF($J3="Historical Average",INDEX('Monthly UPC'!$CM$2:$DJ$65,MATCH($D3,'Monthly UPC'!$D$2:$D$65,0),MATCH(BJ$1,'Monthly UPC'!$CM$1:$DJ$1))*(INDEX('Monthly CUST'!$N$2:$CG$65,MATCH($D3,'Monthly CUST'!$D$2:$D$65,0),MATCH(BJ$1,'Monthly CUST'!$N$1:$CG$1,0))),IF($J3="UPC Growth Rate",((AX3/INDEX('Monthly CUST'!$N$2:$CG$65,MATCH($D3,'Monthly CUST'!$D$2:$D$65,0),MATCH(AX$1,'Monthly CUST'!$N$1:$CG$1,0)))*(1+$L3)*INDEX('Monthly CUST'!$N$2:$CG$65,MATCH($D3,'Monthly CUST'!$D$2:$D$65,0),MATCH(BJ$1,'Monthly CUST'!$N$1:$CG$1,0))),IF($J3="Modeled UPC",INDEX('Monthly CUST'!$N$2:$CG$65,MATCH($D3,'Monthly CUST'!$D$2:$D$65,0),MATCH(BJ$1,'Monthly CUST'!$N$1:$CG$1,0))/12*$M3,IF($J3="Base Period",AX3,IF($J3="Adjusted",SUMIF('Input 15_Fcst Inputs'!$A:$A,$D3,'Input 15_Fcst Inputs'!$G:$G)/12))))),0)</f>
        <v>6665.2400000000007</v>
      </c>
      <c r="BK3" s="483">
        <f>IFERROR(IF($J3="Historical Average",INDEX('Monthly UPC'!$CM$2:$DJ$65,MATCH($D3,'Monthly UPC'!$D$2:$D$65,0),MATCH(BK$1,'Monthly UPC'!$CM$1:$DJ$1))*(INDEX('Monthly CUST'!$N$2:$CG$65,MATCH($D3,'Monthly CUST'!$D$2:$D$65,0),MATCH(BK$1,'Monthly CUST'!$N$1:$CG$1,0))),IF($J3="UPC Growth Rate",((AY3/INDEX('Monthly CUST'!$N$2:$CG$65,MATCH($D3,'Monthly CUST'!$D$2:$D$65,0),MATCH(AY$1,'Monthly CUST'!$N$1:$CG$1,0)))*(1+$L3)*INDEX('Monthly CUST'!$N$2:$CG$65,MATCH($D3,'Monthly CUST'!$D$2:$D$65,0),MATCH(BK$1,'Monthly CUST'!$N$1:$CG$1,0))),IF($J3="Modeled UPC",INDEX('Monthly CUST'!$N$2:$CG$65,MATCH($D3,'Monthly CUST'!$D$2:$D$65,0),MATCH(BK$1,'Monthly CUST'!$N$1:$CG$1,0))/12*$M3,IF($J3="Base Period",AY3,IF($J3="Adjusted",SUMIF('Input 15_Fcst Inputs'!$A:$A,$D3,'Input 15_Fcst Inputs'!$G:$G)/12))))),0)</f>
        <v>6371.8</v>
      </c>
      <c r="BL3" s="483">
        <f>IFERROR(IF($J3="Historical Average",INDEX('Monthly UPC'!$CM$2:$DJ$65,MATCH($D3,'Monthly UPC'!$D$2:$D$65,0),MATCH(BL$1,'Monthly UPC'!$CM$1:$DJ$1))*(INDEX('Monthly CUST'!$N$2:$CG$65,MATCH($D3,'Monthly CUST'!$D$2:$D$65,0),MATCH(BL$1,'Monthly CUST'!$N$1:$CG$1,0))),IF($J3="UPC Growth Rate",((AZ3/INDEX('Monthly CUST'!$N$2:$CG$65,MATCH($D3,'Monthly CUST'!$D$2:$D$65,0),MATCH(AZ$1,'Monthly CUST'!$N$1:$CG$1,0)))*(1+$L3)*INDEX('Monthly CUST'!$N$2:$CG$65,MATCH($D3,'Monthly CUST'!$D$2:$D$65,0),MATCH(BL$1,'Monthly CUST'!$N$1:$CG$1,0))),IF($J3="Modeled UPC",INDEX('Monthly CUST'!$N$2:$CG$65,MATCH($D3,'Monthly CUST'!$D$2:$D$65,0),MATCH(BL$1,'Monthly CUST'!$N$1:$CG$1,0))/12*$M3,IF($J3="Base Period",AZ3,IF($J3="Adjusted",SUMIF('Input 15_Fcst Inputs'!$A:$A,$D3,'Input 15_Fcst Inputs'!$G:$G)/12))))),0)</f>
        <v>7049.2799999999988</v>
      </c>
      <c r="BM3" s="483">
        <f>IFERROR(IF($J3="Historical Average",INDEX('Monthly UPC'!$CM$2:$DJ$65,MATCH($D3,'Monthly UPC'!$D$2:$D$65,0),MATCH(BM$1,'Monthly UPC'!$CM$1:$DJ$1))*(INDEX('Monthly CUST'!$N$2:$CG$65,MATCH($D3,'Monthly CUST'!$D$2:$D$65,0),MATCH(BM$1,'Monthly CUST'!$N$1:$CG$1,0))),IF($J3="UPC Growth Rate",((BA3/INDEX('Monthly CUST'!$N$2:$CG$65,MATCH($D3,'Monthly CUST'!$D$2:$D$65,0),MATCH(BA$1,'Monthly CUST'!$N$1:$CG$1,0)))*(1+$L3)*INDEX('Monthly CUST'!$N$2:$CG$65,MATCH($D3,'Monthly CUST'!$D$2:$D$65,0),MATCH(BM$1,'Monthly CUST'!$N$1:$CG$1,0))),IF($J3="Modeled UPC",INDEX('Monthly CUST'!$N$2:$CG$65,MATCH($D3,'Monthly CUST'!$D$2:$D$65,0),MATCH(BM$1,'Monthly CUST'!$N$1:$CG$1,0))/12*$M3,IF($J3="Base Period",BA3,IF($J3="Adjusted",SUMIF('Input 15_Fcst Inputs'!$A:$A,$D3,'Input 15_Fcst Inputs'!$G:$G)/12))))),0)</f>
        <v>7238.2999999999993</v>
      </c>
      <c r="BN3" s="483">
        <f>IFERROR(IF($J3="Historical Average",INDEX('Monthly UPC'!$CM$2:$DJ$65,MATCH($D3,'Monthly UPC'!$D$2:$D$65,0),MATCH(BN$1,'Monthly UPC'!$CM$1:$DJ$1))*(INDEX('Monthly CUST'!$N$2:$CG$65,MATCH($D3,'Monthly CUST'!$D$2:$D$65,0),MATCH(BN$1,'Monthly CUST'!$N$1:$CG$1,0))),IF($J3="UPC Growth Rate",((BB3/INDEX('Monthly CUST'!$N$2:$CG$65,MATCH($D3,'Monthly CUST'!$D$2:$D$65,0),MATCH(BB$1,'Monthly CUST'!$N$1:$CG$1,0)))*(1+$L3)*INDEX('Monthly CUST'!$N$2:$CG$65,MATCH($D3,'Monthly CUST'!$D$2:$D$65,0),MATCH(BN$1,'Monthly CUST'!$N$1:$CG$1,0))),IF($J3="Modeled UPC",INDEX('Monthly CUST'!$N$2:$CG$65,MATCH($D3,'Monthly CUST'!$D$2:$D$65,0),MATCH(BN$1,'Monthly CUST'!$N$1:$CG$1,0))/12*$M3,IF($J3="Base Period",BB3,IF($J3="Adjusted",SUMIF('Input 15_Fcst Inputs'!$A:$A,$D3,'Input 15_Fcst Inputs'!$G:$G)/12))))),0)</f>
        <v>6676.26</v>
      </c>
      <c r="BO3" s="483">
        <f>IFERROR(IF($J3="Historical Average",INDEX('Monthly UPC'!$CM$2:$DJ$65,MATCH($D3,'Monthly UPC'!$D$2:$D$65,0),MATCH(BO$1,'Monthly UPC'!$CM$1:$DJ$1))*(INDEX('Monthly CUST'!$N$2:$CG$65,MATCH($D3,'Monthly CUST'!$D$2:$D$65,0),MATCH(BO$1,'Monthly CUST'!$N$1:$CG$1,0))),IF($J3="UPC Growth Rate",((BC3/INDEX('Monthly CUST'!$N$2:$CG$65,MATCH($D3,'Monthly CUST'!$D$2:$D$65,0),MATCH(BC$1,'Monthly CUST'!$N$1:$CG$1,0)))*(1+$L3)*INDEX('Monthly CUST'!$N$2:$CG$65,MATCH($D3,'Monthly CUST'!$D$2:$D$65,0),MATCH(BO$1,'Monthly CUST'!$N$1:$CG$1,0))),IF($J3="Modeled UPC",INDEX('Monthly CUST'!$N$2:$CG$65,MATCH($D3,'Monthly CUST'!$D$2:$D$65,0),MATCH(BO$1,'Monthly CUST'!$N$1:$CG$1,0))/12*$M3,IF($J3="Base Period",BC3,IF($J3="Adjusted",SUMIF('Input 15_Fcst Inputs'!$A:$A,$D3,'Input 15_Fcst Inputs'!$G:$G)/12))))),0)</f>
        <v>6988.9099999999989</v>
      </c>
      <c r="BP3" s="483">
        <f>IFERROR(IF($J3="Historical Average",INDEX('Monthly UPC'!$CM$2:$DJ$65,MATCH($D3,'Monthly UPC'!$D$2:$D$65,0),MATCH(BP$1,'Monthly UPC'!$CM$1:$DJ$1))*(INDEX('Monthly CUST'!$N$2:$CG$65,MATCH($D3,'Monthly CUST'!$D$2:$D$65,0),MATCH(BP$1,'Monthly CUST'!$N$1:$CG$1,0))),IF($J3="UPC Growth Rate",((BD3/INDEX('Monthly CUST'!$N$2:$CG$65,MATCH($D3,'Monthly CUST'!$D$2:$D$65,0),MATCH(BD$1,'Monthly CUST'!$N$1:$CG$1,0)))*(1+$L3)*INDEX('Monthly CUST'!$N$2:$CG$65,MATCH($D3,'Monthly CUST'!$D$2:$D$65,0),MATCH(BP$1,'Monthly CUST'!$N$1:$CG$1,0))),IF($J3="Modeled UPC",INDEX('Monthly CUST'!$N$2:$CG$65,MATCH($D3,'Monthly CUST'!$D$2:$D$65,0),MATCH(BP$1,'Monthly CUST'!$N$1:$CG$1,0))/12*$M3,IF($J3="Base Period",BD3,IF($J3="Adjusted",SUMIF('Input 15_Fcst Inputs'!$A:$A,$D3,'Input 15_Fcst Inputs'!$G:$G)/12))))),0)</f>
        <v>6613.47</v>
      </c>
      <c r="BQ3" s="483">
        <f>IFERROR(IF($J3="Historical Average",INDEX('Monthly UPC'!$CM$2:$DJ$65,MATCH($D3,'Monthly UPC'!$D$2:$D$65,0),MATCH(BQ$1,'Monthly UPC'!$CM$1:$DJ$1))*(INDEX('Monthly CUST'!$N$2:$CG$65,MATCH($D3,'Monthly CUST'!$D$2:$D$65,0),MATCH(BQ$1,'Monthly CUST'!$N$1:$CG$1,0))),IF($J3="UPC Growth Rate",((BE3/INDEX('Monthly CUST'!$N$2:$CG$65,MATCH($D3,'Monthly CUST'!$D$2:$D$65,0),MATCH(BE$1,'Monthly CUST'!$N$1:$CG$1,0)))*(1+$L3)*INDEX('Monthly CUST'!$N$2:$CG$65,MATCH($D3,'Monthly CUST'!$D$2:$D$65,0),MATCH(BQ$1,'Monthly CUST'!$N$1:$CG$1,0))),IF($J3="Modeled UPC",INDEX('Monthly CUST'!$N$2:$CG$65,MATCH($D3,'Monthly CUST'!$D$2:$D$65,0),MATCH(BQ$1,'Monthly CUST'!$N$1:$CG$1,0))/12*$M3,IF($J3="Base Period",BE3,IF($J3="Adjusted",SUMIF('Input 15_Fcst Inputs'!$A:$A,$D3,'Input 15_Fcst Inputs'!$G:$G)/12))))),0)</f>
        <v>6333.8199999999988</v>
      </c>
      <c r="BR3" s="483">
        <f>IFERROR(IF($J3="Historical Average",INDEX('Monthly UPC'!$CM$2:$DJ$65,MATCH($D3,'Monthly UPC'!$D$2:$D$65,0),MATCH(BR$1,'Monthly UPC'!$CM$1:$DJ$1))*(INDEX('Monthly CUST'!$N$2:$CG$65,MATCH($D3,'Monthly CUST'!$D$2:$D$65,0),MATCH(BR$1,'Monthly CUST'!$N$1:$CG$1,0))),IF($J3="UPC Growth Rate",((BF3/INDEX('Monthly CUST'!$N$2:$CG$65,MATCH($D3,'Monthly CUST'!$D$2:$D$65,0),MATCH(BF$1,'Monthly CUST'!$N$1:$CG$1,0)))*(1+$L3)*INDEX('Monthly CUST'!$N$2:$CG$65,MATCH($D3,'Monthly CUST'!$D$2:$D$65,0),MATCH(BR$1,'Monthly CUST'!$N$1:$CG$1,0))),IF($J3="Modeled UPC",INDEX('Monthly CUST'!$N$2:$CG$65,MATCH($D3,'Monthly CUST'!$D$2:$D$65,0),MATCH(BR$1,'Monthly CUST'!$N$1:$CG$1,0))/12*$M3,IF($J3="Base Period",BF3,IF($J3="Adjusted",SUMIF('Input 15_Fcst Inputs'!$A:$A,$D3,'Input 15_Fcst Inputs'!$G:$G)/12))))),0)</f>
        <v>7330.6399999999985</v>
      </c>
      <c r="BS3" s="483">
        <f>IFERROR(IF($J3="Historical Average",INDEX('Monthly UPC'!$CM$2:$DJ$65,MATCH($D3,'Monthly UPC'!$D$2:$D$65,0),MATCH(BS$1,'Monthly UPC'!$CM$1:$DJ$1))*(INDEX('Monthly CUST'!$N$2:$CG$65,MATCH($D3,'Monthly CUST'!$D$2:$D$65,0),MATCH(BS$1,'Monthly CUST'!$N$1:$CG$1,0))),IF($J3="UPC Growth Rate",((BG3/INDEX('Monthly CUST'!$N$2:$CG$65,MATCH($D3,'Monthly CUST'!$D$2:$D$65,0),MATCH(BG$1,'Monthly CUST'!$N$1:$CG$1,0)))*(1+$L3)*INDEX('Monthly CUST'!$N$2:$CG$65,MATCH($D3,'Monthly CUST'!$D$2:$D$65,0),MATCH(BS$1,'Monthly CUST'!$N$1:$CG$1,0))),IF($J3="Modeled UPC",INDEX('Monthly CUST'!$N$2:$CG$65,MATCH($D3,'Monthly CUST'!$D$2:$D$65,0),MATCH(BS$1,'Monthly CUST'!$N$1:$CG$1,0))/12*$M3,IF($J3="Base Period",BG3,IF($J3="Adjusted",SUMIF('Input 15_Fcst Inputs'!$A:$A,$D3,'Input 15_Fcst Inputs'!$G:$G)/12))))),0)</f>
        <v>5625.0700000000006</v>
      </c>
      <c r="BT3" s="483">
        <f>IFERROR(IF($J3="Historical Average",INDEX('Monthly UPC'!$CM$2:$DJ$65,MATCH($D3,'Monthly UPC'!$D$2:$D$65,0),MATCH(BT$1,'Monthly UPC'!$CM$1:$DJ$1))*(INDEX('Monthly CUST'!$N$2:$CG$65,MATCH($D3,'Monthly CUST'!$D$2:$D$65,0),MATCH(BT$1,'Monthly CUST'!$N$1:$CG$1,0))),IF($J3="UPC Growth Rate",((BH3/INDEX('Monthly CUST'!$N$2:$CG$65,MATCH($D3,'Monthly CUST'!$D$2:$D$65,0),MATCH(BH$1,'Monthly CUST'!$N$1:$CG$1,0)))*(1+$L3)*INDEX('Monthly CUST'!$N$2:$CG$65,MATCH($D3,'Monthly CUST'!$D$2:$D$65,0),MATCH(BT$1,'Monthly CUST'!$N$1:$CG$1,0))),IF($J3="Modeled UPC",INDEX('Monthly CUST'!$N$2:$CG$65,MATCH($D3,'Monthly CUST'!$D$2:$D$65,0),MATCH(BT$1,'Monthly CUST'!$N$1:$CG$1,0))/12*$M3,IF($J3="Base Period",BH3,IF($J3="Adjusted",SUMIF('Input 15_Fcst Inputs'!$A:$A,$D3,'Input 15_Fcst Inputs'!$G:$G)/12))))),0)</f>
        <v>7308.43</v>
      </c>
      <c r="BU3" s="483">
        <f>IFERROR(IF($J3="Historical Average",INDEX('Monthly UPC'!$CM$2:$DJ$65,MATCH($D3,'Monthly UPC'!$D$2:$D$65,0),MATCH(BU$1,'Monthly UPC'!$CM$1:$DJ$1))*(INDEX('Monthly CUST'!$N$2:$CG$65,MATCH($D3,'Monthly CUST'!$D$2:$D$65,0),MATCH(BU$1,'Monthly CUST'!$N$1:$CG$1,0))),IF($J3="UPC Growth Rate",((BI3/INDEX('Monthly CUST'!$N$2:$CG$65,MATCH($D3,'Monthly CUST'!$D$2:$D$65,0),MATCH(BI$1,'Monthly CUST'!$N$1:$CG$1,0)))*(1+$L3)*INDEX('Monthly CUST'!$N$2:$CG$65,MATCH($D3,'Monthly CUST'!$D$2:$D$65,0),MATCH(BU$1,'Monthly CUST'!$N$1:$CG$1,0))),IF($J3="Modeled UPC",INDEX('Monthly CUST'!$N$2:$CG$65,MATCH($D3,'Monthly CUST'!$D$2:$D$65,0),MATCH(BU$1,'Monthly CUST'!$N$1:$CG$1,0))/12*$M3,IF($J3="Base Period",BI3,IF($J3="Adjusted",SUMIF('Input 15_Fcst Inputs'!$A:$A,$D3,'Input 15_Fcst Inputs'!$G:$G)/12))))),0)</f>
        <v>6755.73</v>
      </c>
      <c r="BV3" s="483">
        <f>IFERROR(IF($J3="Historical Average",INDEX('Monthly UPC'!$CM$2:$DJ$65,MATCH($D3,'Monthly UPC'!$D$2:$D$65,0),MATCH(BV$1,'Monthly UPC'!$CM$1:$DJ$1))*(INDEX('Monthly CUST'!$N$2:$CG$65,MATCH($D3,'Monthly CUST'!$D$2:$D$65,0),MATCH(BV$1,'Monthly CUST'!$N$1:$CG$1,0))),IF($J3="UPC Growth Rate",((BJ3/INDEX('Monthly CUST'!$N$2:$CG$65,MATCH($D3,'Monthly CUST'!$D$2:$D$65,0),MATCH(BJ$1,'Monthly CUST'!$N$1:$CG$1,0)))*(1+$L3)*INDEX('Monthly CUST'!$N$2:$CG$65,MATCH($D3,'Monthly CUST'!$D$2:$D$65,0),MATCH(BV$1,'Monthly CUST'!$N$1:$CG$1,0))),IF($J3="Modeled UPC",INDEX('Monthly CUST'!$N$2:$CG$65,MATCH($D3,'Monthly CUST'!$D$2:$D$65,0),MATCH(BV$1,'Monthly CUST'!$N$1:$CG$1,0))/12*$M3,IF($J3="Base Period",BJ3,IF($J3="Adjusted",SUMIF('Input 15_Fcst Inputs'!$A:$A,$D3,'Input 15_Fcst Inputs'!$G:$G)/12))))),0)</f>
        <v>6665.2400000000007</v>
      </c>
      <c r="BW3" s="483">
        <f>IFERROR(IF($J3="Historical Average",INDEX('Monthly UPC'!$CM$2:$DJ$65,MATCH($D3,'Monthly UPC'!$D$2:$D$65,0),MATCH(BW$1,'Monthly UPC'!$CM$1:$DJ$1))*(INDEX('Monthly CUST'!$N$2:$CG$65,MATCH($D3,'Monthly CUST'!$D$2:$D$65,0),MATCH(BW$1,'Monthly CUST'!$N$1:$CG$1,0))),IF($J3="UPC Growth Rate",((BK3/INDEX('Monthly CUST'!$N$2:$CG$65,MATCH($D3,'Monthly CUST'!$D$2:$D$65,0),MATCH(BK$1,'Monthly CUST'!$N$1:$CG$1,0)))*(1+$L3)*INDEX('Monthly CUST'!$N$2:$CG$65,MATCH($D3,'Monthly CUST'!$D$2:$D$65,0),MATCH(BW$1,'Monthly CUST'!$N$1:$CG$1,0))),IF($J3="Modeled UPC",INDEX('Monthly CUST'!$N$2:$CG$65,MATCH($D3,'Monthly CUST'!$D$2:$D$65,0),MATCH(BW$1,'Monthly CUST'!$N$1:$CG$1,0))/12*$M3,IF($J3="Base Period",BK3,IF($J3="Adjusted",SUMIF('Input 15_Fcst Inputs'!$A:$A,$D3,'Input 15_Fcst Inputs'!$G:$G)/12))))),0)</f>
        <v>6371.8</v>
      </c>
      <c r="BX3" s="483">
        <f>IFERROR(IF($J3="Historical Average",INDEX('Monthly UPC'!$CM$2:$DJ$65,MATCH($D3,'Monthly UPC'!$D$2:$D$65,0),MATCH(BX$1,'Monthly UPC'!$CM$1:$DJ$1))*(INDEX('Monthly CUST'!$N$2:$CG$65,MATCH($D3,'Monthly CUST'!$D$2:$D$65,0),MATCH(BX$1,'Monthly CUST'!$N$1:$CG$1,0))),IF($J3="UPC Growth Rate",((BL3/INDEX('Monthly CUST'!$N$2:$CG$65,MATCH($D3,'Monthly CUST'!$D$2:$D$65,0),MATCH(BL$1,'Monthly CUST'!$N$1:$CG$1,0)))*(1+$L3)*INDEX('Monthly CUST'!$N$2:$CG$65,MATCH($D3,'Monthly CUST'!$D$2:$D$65,0),MATCH(BX$1,'Monthly CUST'!$N$1:$CG$1,0))),IF($J3="Modeled UPC",INDEX('Monthly CUST'!$N$2:$CG$65,MATCH($D3,'Monthly CUST'!$D$2:$D$65,0),MATCH(BX$1,'Monthly CUST'!$N$1:$CG$1,0))/12*$M3,IF($J3="Base Period",BL3,IF($J3="Adjusted",SUMIF('Input 15_Fcst Inputs'!$A:$A,$D3,'Input 15_Fcst Inputs'!$G:$G)/12))))),0)</f>
        <v>7049.2799999999988</v>
      </c>
      <c r="BY3" s="483">
        <f>IFERROR(IF($J3="Historical Average",INDEX('Monthly UPC'!$CM$2:$DJ$65,MATCH($D3,'Monthly UPC'!$D$2:$D$65,0),MATCH(BY$1,'Monthly UPC'!$CM$1:$DJ$1))*(INDEX('Monthly CUST'!$N$2:$CG$65,MATCH($D3,'Monthly CUST'!$D$2:$D$65,0),MATCH(BY$1,'Monthly CUST'!$N$1:$CG$1,0))),IF($J3="UPC Growth Rate",((BM3/INDEX('Monthly CUST'!$N$2:$CG$65,MATCH($D3,'Monthly CUST'!$D$2:$D$65,0),MATCH(BM$1,'Monthly CUST'!$N$1:$CG$1,0)))*(1+$L3)*INDEX('Monthly CUST'!$N$2:$CG$65,MATCH($D3,'Monthly CUST'!$D$2:$D$65,0),MATCH(BY$1,'Monthly CUST'!$N$1:$CG$1,0))),IF($J3="Modeled UPC",INDEX('Monthly CUST'!$N$2:$CG$65,MATCH($D3,'Monthly CUST'!$D$2:$D$65,0),MATCH(BY$1,'Monthly CUST'!$N$1:$CG$1,0))/12*$M3,IF($J3="Base Period",BM3,IF($J3="Adjusted",SUMIF('Input 15_Fcst Inputs'!$A:$A,$D3,'Input 15_Fcst Inputs'!$G:$G)/12))))),0)</f>
        <v>7238.2999999999993</v>
      </c>
      <c r="BZ3" s="483">
        <f>IFERROR(IF($J3="Historical Average",INDEX('Monthly UPC'!$CM$2:$DJ$65,MATCH($D3,'Monthly UPC'!$D$2:$D$65,0),MATCH(BZ$1,'Monthly UPC'!$CM$1:$DJ$1))*(INDEX('Monthly CUST'!$N$2:$CG$65,MATCH($D3,'Monthly CUST'!$D$2:$D$65,0),MATCH(BZ$1,'Monthly CUST'!$N$1:$CG$1,0))),IF($J3="UPC Growth Rate",((BN3/INDEX('Monthly CUST'!$N$2:$CG$65,MATCH($D3,'Monthly CUST'!$D$2:$D$65,0),MATCH(BN$1,'Monthly CUST'!$N$1:$CG$1,0)))*(1+$L3)*INDEX('Monthly CUST'!$N$2:$CG$65,MATCH($D3,'Monthly CUST'!$D$2:$D$65,0),MATCH(BZ$1,'Monthly CUST'!$N$1:$CG$1,0))),IF($J3="Modeled UPC",INDEX('Monthly CUST'!$N$2:$CG$65,MATCH($D3,'Monthly CUST'!$D$2:$D$65,0),MATCH(BZ$1,'Monthly CUST'!$N$1:$CG$1,0))/12*$M3,IF($J3="Base Period",BN3,IF($J3="Adjusted",SUMIF('Input 15_Fcst Inputs'!$A:$A,$D3,'Input 15_Fcst Inputs'!$G:$G)/12))))),0)</f>
        <v>6676.26</v>
      </c>
      <c r="CA3" s="483">
        <f>IFERROR(IF($J3="Historical Average",INDEX('Monthly UPC'!$CM$2:$DJ$65,MATCH($D3,'Monthly UPC'!$D$2:$D$65,0),MATCH(CA$1,'Monthly UPC'!$CM$1:$DJ$1))*(INDEX('Monthly CUST'!$N$2:$CG$65,MATCH($D3,'Monthly CUST'!$D$2:$D$65,0),MATCH(CA$1,'Monthly CUST'!$N$1:$CG$1,0))),IF($J3="UPC Growth Rate",((BO3/INDEX('Monthly CUST'!$N$2:$CG$65,MATCH($D3,'Monthly CUST'!$D$2:$D$65,0),MATCH(BO$1,'Monthly CUST'!$N$1:$CG$1,0)))*(1+$L3)*INDEX('Monthly CUST'!$N$2:$CG$65,MATCH($D3,'Monthly CUST'!$D$2:$D$65,0),MATCH(CA$1,'Monthly CUST'!$N$1:$CG$1,0))),IF($J3="Modeled UPC",INDEX('Monthly CUST'!$N$2:$CG$65,MATCH($D3,'Monthly CUST'!$D$2:$D$65,0),MATCH(CA$1,'Monthly CUST'!$N$1:$CG$1,0))/12*$M3,IF($J3="Base Period",BO3,IF($J3="Adjusted",SUMIF('Input 15_Fcst Inputs'!$A:$A,$D3,'Input 15_Fcst Inputs'!$G:$G)/12))))),0)</f>
        <v>6988.9099999999989</v>
      </c>
      <c r="CB3" s="483">
        <f>IFERROR(IF($J3="Historical Average",INDEX('Monthly UPC'!$CM$2:$DJ$65,MATCH($D3,'Monthly UPC'!$D$2:$D$65,0),MATCH(CB$1,'Monthly UPC'!$CM$1:$DJ$1))*(INDEX('Monthly CUST'!$N$2:$CG$65,MATCH($D3,'Monthly CUST'!$D$2:$D$65,0),MATCH(CB$1,'Monthly CUST'!$N$1:$CG$1,0))),IF($J3="UPC Growth Rate",((BP3/INDEX('Monthly CUST'!$N$2:$CG$65,MATCH($D3,'Monthly CUST'!$D$2:$D$65,0),MATCH(BP$1,'Monthly CUST'!$N$1:$CG$1,0)))*(1+$L3)*INDEX('Monthly CUST'!$N$2:$CG$65,MATCH($D3,'Monthly CUST'!$D$2:$D$65,0),MATCH(CB$1,'Monthly CUST'!$N$1:$CG$1,0))),IF($J3="Modeled UPC",INDEX('Monthly CUST'!$N$2:$CG$65,MATCH($D3,'Monthly CUST'!$D$2:$D$65,0),MATCH(CB$1,'Monthly CUST'!$N$1:$CG$1,0))/12*$M3,IF($J3="Base Period",BP3,IF($J3="Adjusted",SUMIF('Input 15_Fcst Inputs'!$A:$A,$D3,'Input 15_Fcst Inputs'!$G:$G)/12))))),0)</f>
        <v>6613.47</v>
      </c>
      <c r="CC3" s="483">
        <f>IFERROR(IF($J3="Historical Average",INDEX('Monthly UPC'!$CM$2:$DJ$65,MATCH($D3,'Monthly UPC'!$D$2:$D$65,0),MATCH(CC$1,'Monthly UPC'!$CM$1:$DJ$1))*(INDEX('Monthly CUST'!$N$2:$CG$65,MATCH($D3,'Monthly CUST'!$D$2:$D$65,0),MATCH(CC$1,'Monthly CUST'!$N$1:$CG$1,0))),IF($J3="UPC Growth Rate",((BQ3/INDEX('Monthly CUST'!$N$2:$CG$65,MATCH($D3,'Monthly CUST'!$D$2:$D$65,0),MATCH(BQ$1,'Monthly CUST'!$N$1:$CG$1,0)))*(1+$L3)*INDEX('Monthly CUST'!$N$2:$CG$65,MATCH($D3,'Monthly CUST'!$D$2:$D$65,0),MATCH(CC$1,'Monthly CUST'!$N$1:$CG$1,0))),IF($J3="Modeled UPC",INDEX('Monthly CUST'!$N$2:$CG$65,MATCH($D3,'Monthly CUST'!$D$2:$D$65,0),MATCH(CC$1,'Monthly CUST'!$N$1:$CG$1,0))/12*$M3,IF($J3="Base Period",BQ3,IF($J3="Adjusted",SUMIF('Input 15_Fcst Inputs'!$A:$A,$D3,'Input 15_Fcst Inputs'!$G:$G)/12))))),0)</f>
        <v>6333.8199999999988</v>
      </c>
      <c r="CD3" s="483">
        <f>IFERROR(IF($J3="Historical Average",INDEX('Monthly UPC'!$CM$2:$DJ$65,MATCH($D3,'Monthly UPC'!$D$2:$D$65,0),MATCH(CD$1,'Monthly UPC'!$CM$1:$DJ$1))*(INDEX('Monthly CUST'!$N$2:$CG$65,MATCH($D3,'Monthly CUST'!$D$2:$D$65,0),MATCH(CD$1,'Monthly CUST'!$N$1:$CG$1,0))),IF($J3="UPC Growth Rate",((BR3/INDEX('Monthly CUST'!$N$2:$CG$65,MATCH($D3,'Monthly CUST'!$D$2:$D$65,0),MATCH(BR$1,'Monthly CUST'!$N$1:$CG$1,0)))*(1+$L3)*INDEX('Monthly CUST'!$N$2:$CG$65,MATCH($D3,'Monthly CUST'!$D$2:$D$65,0),MATCH(CD$1,'Monthly CUST'!$N$1:$CG$1,0))),IF($J3="Modeled UPC",INDEX('Monthly CUST'!$N$2:$CG$65,MATCH($D3,'Monthly CUST'!$D$2:$D$65,0),MATCH(CD$1,'Monthly CUST'!$N$1:$CG$1,0))/12*$M3,IF($J3="Base Period",BR3,IF($J3="Adjusted",SUMIF('Input 15_Fcst Inputs'!$A:$A,$D3,'Input 15_Fcst Inputs'!$G:$G)/12))))),0)</f>
        <v>7330.6399999999985</v>
      </c>
      <c r="CE3" s="483">
        <f>IFERROR(IF($J3="Historical Average",INDEX('Monthly UPC'!$CM$2:$DJ$65,MATCH($D3,'Monthly UPC'!$D$2:$D$65,0),MATCH(CE$1,'Monthly UPC'!$CM$1:$DJ$1))*(INDEX('Monthly CUST'!$N$2:$CG$65,MATCH($D3,'Monthly CUST'!$D$2:$D$65,0),MATCH(CE$1,'Monthly CUST'!$N$1:$CG$1,0))),IF($J3="UPC Growth Rate",((BS3/INDEX('Monthly CUST'!$N$2:$CG$65,MATCH($D3,'Monthly CUST'!$D$2:$D$65,0),MATCH(BS$1,'Monthly CUST'!$N$1:$CG$1,0)))*(1+$L3)*INDEX('Monthly CUST'!$N$2:$CG$65,MATCH($D3,'Monthly CUST'!$D$2:$D$65,0),MATCH(CE$1,'Monthly CUST'!$N$1:$CG$1,0))),IF($J3="Modeled UPC",INDEX('Monthly CUST'!$N$2:$CG$65,MATCH($D3,'Monthly CUST'!$D$2:$D$65,0),MATCH(CE$1,'Monthly CUST'!$N$1:$CG$1,0))/12*$M3,IF($J3="Base Period",BS3,IF($J3="Adjusted",SUMIF('Input 15_Fcst Inputs'!$A:$A,$D3,'Input 15_Fcst Inputs'!$G:$G)/12))))),0)</f>
        <v>5625.0700000000006</v>
      </c>
      <c r="CF3" s="483">
        <f>IFERROR(IF($J3="Historical Average",INDEX('Monthly UPC'!$CM$2:$DJ$65,MATCH($D3,'Monthly UPC'!$D$2:$D$65,0),MATCH(CF$1,'Monthly UPC'!$CM$1:$DJ$1))*(INDEX('Monthly CUST'!$N$2:$CG$65,MATCH($D3,'Monthly CUST'!$D$2:$D$65,0),MATCH(CF$1,'Monthly CUST'!$N$1:$CG$1,0))),IF($J3="UPC Growth Rate",((BT3/INDEX('Monthly CUST'!$N$2:$CG$65,MATCH($D3,'Monthly CUST'!$D$2:$D$65,0),MATCH(BT$1,'Monthly CUST'!$N$1:$CG$1,0)))*(1+$L3)*INDEX('Monthly CUST'!$N$2:$CG$65,MATCH($D3,'Monthly CUST'!$D$2:$D$65,0),MATCH(CF$1,'Monthly CUST'!$N$1:$CG$1,0))),IF($J3="Modeled UPC",INDEX('Monthly CUST'!$N$2:$CG$65,MATCH($D3,'Monthly CUST'!$D$2:$D$65,0),MATCH(CF$1,'Monthly CUST'!$N$1:$CG$1,0))/12*$M3,IF($J3="Base Period",BT3,IF($J3="Adjusted",SUMIF('Input 15_Fcst Inputs'!$A:$A,$D3,'Input 15_Fcst Inputs'!$G:$G)/12))))),0)</f>
        <v>7308.43</v>
      </c>
      <c r="CG3" s="483">
        <f>IFERROR(IF($J3="Historical Average",INDEX('Monthly UPC'!$CM$2:$DJ$65,MATCH($D3,'Monthly UPC'!$D$2:$D$65,0),MATCH(CG$1,'Monthly UPC'!$CM$1:$DJ$1))*(INDEX('Monthly CUST'!$N$2:$CG$65,MATCH($D3,'Monthly CUST'!$D$2:$D$65,0),MATCH(CG$1,'Monthly CUST'!$N$1:$CG$1,0))),IF($J3="UPC Growth Rate",((BU3/INDEX('Monthly CUST'!$N$2:$CG$65,MATCH($D3,'Monthly CUST'!$D$2:$D$65,0),MATCH(BU$1,'Monthly CUST'!$N$1:$CG$1,0)))*(1+$L3)*INDEX('Monthly CUST'!$N$2:$CG$65,MATCH($D3,'Monthly CUST'!$D$2:$D$65,0),MATCH(CG$1,'Monthly CUST'!$N$1:$CG$1,0))),IF($J3="Modeled UPC",INDEX('Monthly CUST'!$N$2:$CG$65,MATCH($D3,'Monthly CUST'!$D$2:$D$65,0),MATCH(CG$1,'Monthly CUST'!$N$1:$CG$1,0))/12*$M3,IF($J3="Base Period",BU3,IF($J3="Adjusted",SUMIF('Input 15_Fcst Inputs'!$A:$A,$D3,'Input 15_Fcst Inputs'!$G:$G)/12))))),0)</f>
        <v>6755.73</v>
      </c>
      <c r="CH3" s="197"/>
      <c r="CI3" s="197">
        <f t="shared" si="0"/>
        <v>85415.19</v>
      </c>
      <c r="CJ3" s="197">
        <f t="shared" si="1"/>
        <v>83536.34</v>
      </c>
      <c r="CK3" s="197">
        <f t="shared" si="2"/>
        <v>80460.960000000006</v>
      </c>
      <c r="CL3" s="197">
        <f t="shared" si="3"/>
        <v>80956.95</v>
      </c>
      <c r="CM3" s="197">
        <f t="shared" si="4"/>
        <v>80956.95</v>
      </c>
      <c r="CN3" s="197">
        <f t="shared" si="5"/>
        <v>80956.95</v>
      </c>
      <c r="CP3" s="4">
        <f>SUMIF('Master '!D:D,D3,'Master '!AH:AH)</f>
        <v>80956.95</v>
      </c>
      <c r="CQ3" s="4">
        <f>SUMIF('Master '!D:D,D3,'Master '!AI:AI)</f>
        <v>80956.95</v>
      </c>
      <c r="CR3" s="197">
        <f t="shared" si="6"/>
        <v>0</v>
      </c>
      <c r="CS3" s="197">
        <f t="shared" si="7"/>
        <v>0</v>
      </c>
      <c r="CT3" t="s">
        <v>287</v>
      </c>
      <c r="CV3" t="str">
        <f>VLOOKUP(G3,'Master '!G:CC,75,FALSE)</f>
        <v>TS-2</v>
      </c>
    </row>
    <row r="4" spans="1:100">
      <c r="A4" s="53" t="s">
        <v>12</v>
      </c>
      <c r="B4" s="53" t="s">
        <v>993</v>
      </c>
      <c r="C4" s="53" t="s">
        <v>1245</v>
      </c>
      <c r="D4" s="53" t="s">
        <v>89</v>
      </c>
      <c r="E4" s="53" t="str">
        <f>VLOOKUP(D4,'Input 14_Ref Table'!C:D,2,FALSE)</f>
        <v>TS3C</v>
      </c>
      <c r="F4" s="143" t="s">
        <v>1286</v>
      </c>
      <c r="G4" s="53" t="str">
        <f>VLOOKUP(D4,'Input 14_Ref Table'!C:I,7,FALSE)</f>
        <v>IGC - IGC - TS3</v>
      </c>
      <c r="H4" s="53" t="str">
        <f>VLOOKUP(D4,'Input 14_Ref Table'!C:K,8,FALSE)</f>
        <v>Base Period</v>
      </c>
      <c r="I4" s="53"/>
      <c r="J4" t="str">
        <f>INDEX('Master '!$AD$2:AD$65,MATCH(D4,'Master '!$D$2:$D$65,0))</f>
        <v>Base Period</v>
      </c>
      <c r="K4" s="458">
        <f>INDEX('Master '!$N$2:N$65,MATCH(D4,'Master '!$D$2:$D$65,0))</f>
        <v>0</v>
      </c>
      <c r="L4" s="137">
        <f>INDEX('Master '!$S$2:S$65,MATCH(D4,'Master '!$D$2:$D$65,0))</f>
        <v>0</v>
      </c>
      <c r="M4" s="4">
        <f>INDEX('Master '!$W$2:W$65,MATCH(D4,'Master '!$D$2:$D$65,0))</f>
        <v>7985.92</v>
      </c>
      <c r="N4" s="268">
        <f>SUMIF('Input 16.1_2018VOL-YTD'!$R:$R,$G4,'Input 16.1_2018VOL-YTD'!C:C)</f>
        <v>341.84</v>
      </c>
      <c r="O4" s="268">
        <f>SUMIF('Input 16.1_2018VOL-YTD'!$R:$R,$G4,'Input 16.1_2018VOL-YTD'!D:D)</f>
        <v>274.42</v>
      </c>
      <c r="P4" s="268">
        <f>SUMIF('Input 16.1_2018VOL-YTD'!$R:$R,$G4,'Input 16.1_2018VOL-YTD'!E:E)</f>
        <v>295.33</v>
      </c>
      <c r="Q4" s="268">
        <f>SUMIF('Input 16.1_2018VOL-YTD'!$R:$R,$G4,'Input 16.1_2018VOL-YTD'!F:F)</f>
        <v>352.4</v>
      </c>
      <c r="R4" s="268">
        <f>SUMIF('Input 16.1_2018VOL-YTD'!$R:$R,$G4,'Input 16.1_2018VOL-YTD'!G:G)</f>
        <v>294.93</v>
      </c>
      <c r="S4" s="268">
        <f>SUMIF('Input 16.1_2018VOL-YTD'!$R:$R,$G4,'Input 16.1_2018VOL-YTD'!H:H)</f>
        <v>378.86</v>
      </c>
      <c r="T4" s="268">
        <f>SUMIF('Input 16.1_2018VOL-YTD'!$R:$R,$G4,'Input 16.1_2018VOL-YTD'!I:I)</f>
        <v>265</v>
      </c>
      <c r="U4" s="268">
        <f>SUMIF('Input 16.1_2018VOL-YTD'!$R:$R,$G4,'Input 16.1_2018VOL-YTD'!J:J)</f>
        <v>399.06</v>
      </c>
      <c r="V4" s="268">
        <f>SUMIF('Input 16.1_2018VOL-YTD'!$R:$R,$G4,'Input 16.1_2018VOL-YTD'!K:K)</f>
        <v>322.02999999999997</v>
      </c>
      <c r="W4" s="268">
        <f>SUMIF('Input 16.1_2018VOL-YTD'!$R:$R,$G4,'Input 16.1_2018VOL-YTD'!L:L)</f>
        <v>297</v>
      </c>
      <c r="X4" s="268">
        <f>SUMIF('Input 16.1_2018VOL-YTD'!$R:$R,$G4,'Input 16.1_2018VOL-YTD'!M:M)</f>
        <v>189.74</v>
      </c>
      <c r="Y4" s="268">
        <f>SUMIF('Input 16.1_2018VOL-YTD'!$R:$R,$G4,'Input 16.1_2018VOL-YTD'!N:N)</f>
        <v>422.62</v>
      </c>
      <c r="Z4" s="268">
        <f>SUMIF('Input 3.1_2019VOL-YTD'!$R:$R,$G4,'Input 3.1_2019VOL-YTD'!C:C)</f>
        <v>445.11</v>
      </c>
      <c r="AA4" s="268">
        <f>SUMIF('Input 3.1_2019VOL-YTD'!$R:$R,$G4,'Input 3.1_2019VOL-YTD'!D:D)</f>
        <v>341.07</v>
      </c>
      <c r="AB4" s="268">
        <f>SUMIF('Input 3.1_2019VOL-YTD'!$R:$R,$G4,'Input 3.1_2019VOL-YTD'!E:E)</f>
        <v>222.51</v>
      </c>
      <c r="AC4" s="268">
        <f>SUMIF('Input 3.1_2019VOL-YTD'!$R:$R,$G4,'Input 3.1_2019VOL-YTD'!F:F)</f>
        <v>235.01</v>
      </c>
      <c r="AD4" s="268">
        <f>SUMIF('Input 3.1_2019VOL-YTD'!$R:$R,$G4,'Input 3.1_2019VOL-YTD'!G:G)</f>
        <v>382.05</v>
      </c>
      <c r="AE4" s="268">
        <f>SUMIF('Input 3.1_2019VOL-YTD'!$R:$R,$G4,'Input 3.1_2019VOL-YTD'!H:H)</f>
        <v>406</v>
      </c>
      <c r="AF4" s="268">
        <f>SUMIF('Input 3.1_2019VOL-YTD'!$R:$R,$G4,'Input 3.1_2019VOL-YTD'!I:I)</f>
        <v>430.46</v>
      </c>
      <c r="AG4" s="268">
        <f>SUMIF('Input 3.1_2019VOL-YTD'!$R:$R,$G4,'Input 3.1_2019VOL-YTD'!J:J)</f>
        <v>266.26</v>
      </c>
      <c r="AH4" s="268">
        <f>SUMIF('Input 3.1_2019VOL-YTD'!$R:$R,$G4,'Input 3.1_2019VOL-YTD'!K:K)</f>
        <v>411.79</v>
      </c>
      <c r="AI4" s="268">
        <f>SUMIF('Input 3.1_2019VOL-YTD'!$R:$R,$G4,'Input 3.1_2019VOL-YTD'!L:L)</f>
        <v>196.56</v>
      </c>
      <c r="AJ4" s="268">
        <f>SUMIF('Input 3.1_2019VOL-YTD'!$R:$R,$G4,'Input 3.1_2019VOL-YTD'!M:M)</f>
        <v>243.9</v>
      </c>
      <c r="AK4" s="268">
        <f>SUMIF('Input 3.1_2019VOL-YTD'!$R:$R,$G4,'Input 3.1_2019VOL-YTD'!N:N)</f>
        <v>289.37</v>
      </c>
      <c r="AL4" s="268">
        <f>SUMIF('Input 4.1_2020VOL-YTD'!$R:$R,$G4,'Input 4.1_2020VOL-YTD'!C:C)</f>
        <v>325.58999999999997</v>
      </c>
      <c r="AM4" s="268">
        <f>SUMIF('Input 4.1_2020VOL-YTD'!$R:$R,$G4,'Input 4.1_2020VOL-YTD'!D:D)</f>
        <v>296.39999999999998</v>
      </c>
      <c r="AN4" s="268">
        <f>SUMIF('Input 4.1_2020VOL-YTD'!$R:$R,$G4,'Input 4.1_2020VOL-YTD'!E:E)</f>
        <v>392.9</v>
      </c>
      <c r="AO4" s="268">
        <f>SUMIF('Input 4.1_2020VOL-YTD'!$R:$R,$G4,'Input 4.1_2020VOL-YTD'!F:F)</f>
        <v>348.94</v>
      </c>
      <c r="AP4" s="268">
        <f>SUMIF('Input 4.1_2020VOL-YTD'!$R:$R,$G4,'Input 4.1_2020VOL-YTD'!G:G)</f>
        <v>499.33</v>
      </c>
      <c r="AQ4" s="268">
        <f>SUMIF('Input 4.1_2020VOL-YTD'!$R:$R,$G4,'Input 4.1_2020VOL-YTD'!H:H)</f>
        <v>354.32</v>
      </c>
      <c r="AR4" s="268">
        <f>SUMIF('Input 4.1_2020VOL-YTD'!$R:$R,$G4,'Input 4.1_2020VOL-YTD'!I:I)</f>
        <v>445.32</v>
      </c>
      <c r="AS4" s="268">
        <f>SUMIF('Input 4.1_2020VOL-YTD'!$R:$R,$G4,'Input 4.1_2020VOL-YTD'!J:J)</f>
        <v>406.96</v>
      </c>
      <c r="AT4" s="268">
        <f>SUMIF('Input 4.1_2020VOL-YTD'!$R:$R,$G4,'Input 4.1_2020VOL-YTD'!K:K)</f>
        <v>342.1</v>
      </c>
      <c r="AU4" s="268">
        <f>SUMIF('Input 4.1_2020VOL-YTD'!$R:$R,$G4,'Input 4.1_2020VOL-YTD'!L:L)</f>
        <v>262.31</v>
      </c>
      <c r="AV4" s="268">
        <f>SUMIF('Input 4.1_2020VOL-YTD'!$R:$R,$G4,'Input 4.1_2020VOL-YTD'!M:M)</f>
        <v>421.06</v>
      </c>
      <c r="AW4" s="268">
        <f>SUMIF('Input 4.1_2020VOL-YTD'!$R:$R,$G4,'Input 4.1_2020VOL-YTD'!N:N)</f>
        <v>571.37</v>
      </c>
      <c r="AX4" s="268">
        <f>SUMIF('Input 5.1_2021VOL-YTD'!$R:$R,$G4,'Input 5.1_2021VOL-YTD'!C:C)</f>
        <v>944.37</v>
      </c>
      <c r="AY4" s="268">
        <f>SUMIF('Input 5.1_2021VOL-YTD'!$R:$R,$G4,'Input 5.1_2021VOL-YTD'!D:D)</f>
        <v>755.21</v>
      </c>
      <c r="AZ4" s="268">
        <f>SUMIF('Input 5.1_2021VOL-YTD'!$R:$R,$G4,'Input 5.1_2021VOL-YTD'!E:E)</f>
        <v>662.62</v>
      </c>
      <c r="BA4" s="268">
        <f>SUMIF('Input 5.1_2021VOL-YTD'!$R:$R,$G4,'Input 5.1_2021VOL-YTD'!F:F)</f>
        <v>839.3</v>
      </c>
      <c r="BB4" s="268">
        <f>SUMIF('Input 5.1_2021VOL-YTD'!$R:$R,$G4,'Input 5.1_2021VOL-YTD'!G:G)</f>
        <v>494.3</v>
      </c>
      <c r="BC4" s="268">
        <f>SUMIF('Input 5.1_2021VOL-YTD'!$R:$R,$G4,'Input 5.1_2021VOL-YTD'!H:H)</f>
        <v>884.63</v>
      </c>
      <c r="BD4" s="268">
        <f>SUMIF('Input 5.1_2021VOL-YTD'!$R:$R,$G4,'Input 5.1_2021VOL-YTD'!I:I)</f>
        <v>480.33</v>
      </c>
      <c r="BE4" s="268">
        <f>SUMIF('Input 5.1_2021VOL-YTD'!$R:$R,$G4,'Input 5.1_2021VOL-YTD'!J:J)</f>
        <v>481.03</v>
      </c>
      <c r="BF4" s="268">
        <f>SUMIF('Input 5.1_2021VOL-YTD'!$R:$R,$G4,'Input 5.1_2021VOL-YTD'!K:K)</f>
        <v>663.99</v>
      </c>
      <c r="BG4" s="268">
        <f>SUMIF('Input 5.1_2021VOL-YTD'!$R:$R,$G4,'Input 5.1_2021VOL-YTD'!L:L)</f>
        <v>557.28</v>
      </c>
      <c r="BH4" s="268">
        <f>SUMIF('Input 5.1_2021VOL-YTD'!$R:$R,$G4,'Input 5.1_2021VOL-YTD'!M:M)</f>
        <v>694.3</v>
      </c>
      <c r="BI4" s="268">
        <f>SUMIF('Input 5.1_2021VOL-YTD'!$R:$R,$G4,'Input 5.1_2021VOL-YTD'!N:N)</f>
        <v>528.55999999999995</v>
      </c>
      <c r="BJ4" s="483">
        <f>IFERROR(IF($J4="Historical Average",INDEX('Monthly UPC'!$CM$2:$DJ$65,MATCH($D4,'Monthly UPC'!$D$2:$D$65,0),MATCH(BJ$1,'Monthly UPC'!$CM$1:$DJ$1))*(INDEX('Monthly CUST'!$N$2:$CG$65,MATCH($D4,'Monthly CUST'!$D$2:$D$65,0),MATCH(BJ$1,'Monthly CUST'!$N$1:$CG$1,0))),IF($J4="UPC Growth Rate",((AX4/INDEX('Monthly CUST'!$N$2:$CG$65,MATCH($D4,'Monthly CUST'!$D$2:$D$65,0),MATCH(AX$1,'Monthly CUST'!$N$1:$CG$1,0)))*(1+$L4)*INDEX('Monthly CUST'!$N$2:$CG$65,MATCH($D4,'Monthly CUST'!$D$2:$D$65,0),MATCH(BJ$1,'Monthly CUST'!$N$1:$CG$1,0))),IF($J4="Modeled UPC",INDEX('Monthly CUST'!$N$2:$CG$65,MATCH($D4,'Monthly CUST'!$D$2:$D$65,0),MATCH(BJ$1,'Monthly CUST'!$N$1:$CG$1,0))/12*$M4,IF($J4="Base Period",AX4,IF($J4="Adjusted",SUMIF('Input 15_Fcst Inputs'!$A:$A,$D4,'Input 15_Fcst Inputs'!$G:$G)/12))))),0)</f>
        <v>944.37</v>
      </c>
      <c r="BK4" s="483">
        <f>IFERROR(IF($J4="Historical Average",INDEX('Monthly UPC'!$CM$2:$DJ$65,MATCH($D4,'Monthly UPC'!$D$2:$D$65,0),MATCH(BK$1,'Monthly UPC'!$CM$1:$DJ$1))*(INDEX('Monthly CUST'!$N$2:$CG$65,MATCH($D4,'Monthly CUST'!$D$2:$D$65,0),MATCH(BK$1,'Monthly CUST'!$N$1:$CG$1,0))),IF($J4="UPC Growth Rate",((AY4/INDEX('Monthly CUST'!$N$2:$CG$65,MATCH($D4,'Monthly CUST'!$D$2:$D$65,0),MATCH(AY$1,'Monthly CUST'!$N$1:$CG$1,0)))*(1+$L4)*INDEX('Monthly CUST'!$N$2:$CG$65,MATCH($D4,'Monthly CUST'!$D$2:$D$65,0),MATCH(BK$1,'Monthly CUST'!$N$1:$CG$1,0))),IF($J4="Modeled UPC",INDEX('Monthly CUST'!$N$2:$CG$65,MATCH($D4,'Monthly CUST'!$D$2:$D$65,0),MATCH(BK$1,'Monthly CUST'!$N$1:$CG$1,0))/12*$M4,IF($J4="Base Period",AY4,IF($J4="Adjusted",SUMIF('Input 15_Fcst Inputs'!$A:$A,$D4,'Input 15_Fcst Inputs'!$G:$G)/12))))),0)</f>
        <v>755.21</v>
      </c>
      <c r="BL4" s="483">
        <f>IFERROR(IF($J4="Historical Average",INDEX('Monthly UPC'!$CM$2:$DJ$65,MATCH($D4,'Monthly UPC'!$D$2:$D$65,0),MATCH(BL$1,'Monthly UPC'!$CM$1:$DJ$1))*(INDEX('Monthly CUST'!$N$2:$CG$65,MATCH($D4,'Monthly CUST'!$D$2:$D$65,0),MATCH(BL$1,'Monthly CUST'!$N$1:$CG$1,0))),IF($J4="UPC Growth Rate",((AZ4/INDEX('Monthly CUST'!$N$2:$CG$65,MATCH($D4,'Monthly CUST'!$D$2:$D$65,0),MATCH(AZ$1,'Monthly CUST'!$N$1:$CG$1,0)))*(1+$L4)*INDEX('Monthly CUST'!$N$2:$CG$65,MATCH($D4,'Monthly CUST'!$D$2:$D$65,0),MATCH(BL$1,'Monthly CUST'!$N$1:$CG$1,0))),IF($J4="Modeled UPC",INDEX('Monthly CUST'!$N$2:$CG$65,MATCH($D4,'Monthly CUST'!$D$2:$D$65,0),MATCH(BL$1,'Monthly CUST'!$N$1:$CG$1,0))/12*$M4,IF($J4="Base Period",AZ4,IF($J4="Adjusted",SUMIF('Input 15_Fcst Inputs'!$A:$A,$D4,'Input 15_Fcst Inputs'!$G:$G)/12))))),0)</f>
        <v>662.62</v>
      </c>
      <c r="BM4" s="483">
        <f>IFERROR(IF($J4="Historical Average",INDEX('Monthly UPC'!$CM$2:$DJ$65,MATCH($D4,'Monthly UPC'!$D$2:$D$65,0),MATCH(BM$1,'Monthly UPC'!$CM$1:$DJ$1))*(INDEX('Monthly CUST'!$N$2:$CG$65,MATCH($D4,'Monthly CUST'!$D$2:$D$65,0),MATCH(BM$1,'Monthly CUST'!$N$1:$CG$1,0))),IF($J4="UPC Growth Rate",((BA4/INDEX('Monthly CUST'!$N$2:$CG$65,MATCH($D4,'Monthly CUST'!$D$2:$D$65,0),MATCH(BA$1,'Monthly CUST'!$N$1:$CG$1,0)))*(1+$L4)*INDEX('Monthly CUST'!$N$2:$CG$65,MATCH($D4,'Monthly CUST'!$D$2:$D$65,0),MATCH(BM$1,'Monthly CUST'!$N$1:$CG$1,0))),IF($J4="Modeled UPC",INDEX('Monthly CUST'!$N$2:$CG$65,MATCH($D4,'Monthly CUST'!$D$2:$D$65,0),MATCH(BM$1,'Monthly CUST'!$N$1:$CG$1,0))/12*$M4,IF($J4="Base Period",BA4,IF($J4="Adjusted",SUMIF('Input 15_Fcst Inputs'!$A:$A,$D4,'Input 15_Fcst Inputs'!$G:$G)/12))))),0)</f>
        <v>839.3</v>
      </c>
      <c r="BN4" s="483">
        <f>IFERROR(IF($J4="Historical Average",INDEX('Monthly UPC'!$CM$2:$DJ$65,MATCH($D4,'Monthly UPC'!$D$2:$D$65,0),MATCH(BN$1,'Monthly UPC'!$CM$1:$DJ$1))*(INDEX('Monthly CUST'!$N$2:$CG$65,MATCH($D4,'Monthly CUST'!$D$2:$D$65,0),MATCH(BN$1,'Monthly CUST'!$N$1:$CG$1,0))),IF($J4="UPC Growth Rate",((BB4/INDEX('Monthly CUST'!$N$2:$CG$65,MATCH($D4,'Monthly CUST'!$D$2:$D$65,0),MATCH(BB$1,'Monthly CUST'!$N$1:$CG$1,0)))*(1+$L4)*INDEX('Monthly CUST'!$N$2:$CG$65,MATCH($D4,'Monthly CUST'!$D$2:$D$65,0),MATCH(BN$1,'Monthly CUST'!$N$1:$CG$1,0))),IF($J4="Modeled UPC",INDEX('Monthly CUST'!$N$2:$CG$65,MATCH($D4,'Monthly CUST'!$D$2:$D$65,0),MATCH(BN$1,'Monthly CUST'!$N$1:$CG$1,0))/12*$M4,IF($J4="Base Period",BB4,IF($J4="Adjusted",SUMIF('Input 15_Fcst Inputs'!$A:$A,$D4,'Input 15_Fcst Inputs'!$G:$G)/12))))),0)</f>
        <v>494.3</v>
      </c>
      <c r="BO4" s="483">
        <f>IFERROR(IF($J4="Historical Average",INDEX('Monthly UPC'!$CM$2:$DJ$65,MATCH($D4,'Monthly UPC'!$D$2:$D$65,0),MATCH(BO$1,'Monthly UPC'!$CM$1:$DJ$1))*(INDEX('Monthly CUST'!$N$2:$CG$65,MATCH($D4,'Monthly CUST'!$D$2:$D$65,0),MATCH(BO$1,'Monthly CUST'!$N$1:$CG$1,0))),IF($J4="UPC Growth Rate",((BC4/INDEX('Monthly CUST'!$N$2:$CG$65,MATCH($D4,'Monthly CUST'!$D$2:$D$65,0),MATCH(BC$1,'Monthly CUST'!$N$1:$CG$1,0)))*(1+$L4)*INDEX('Monthly CUST'!$N$2:$CG$65,MATCH($D4,'Monthly CUST'!$D$2:$D$65,0),MATCH(BO$1,'Monthly CUST'!$N$1:$CG$1,0))),IF($J4="Modeled UPC",INDEX('Monthly CUST'!$N$2:$CG$65,MATCH($D4,'Monthly CUST'!$D$2:$D$65,0),MATCH(BO$1,'Monthly CUST'!$N$1:$CG$1,0))/12*$M4,IF($J4="Base Period",BC4,IF($J4="Adjusted",SUMIF('Input 15_Fcst Inputs'!$A:$A,$D4,'Input 15_Fcst Inputs'!$G:$G)/12))))),0)</f>
        <v>884.63</v>
      </c>
      <c r="BP4" s="483">
        <f>IFERROR(IF($J4="Historical Average",INDEX('Monthly UPC'!$CM$2:$DJ$65,MATCH($D4,'Monthly UPC'!$D$2:$D$65,0),MATCH(BP$1,'Monthly UPC'!$CM$1:$DJ$1))*(INDEX('Monthly CUST'!$N$2:$CG$65,MATCH($D4,'Monthly CUST'!$D$2:$D$65,0),MATCH(BP$1,'Monthly CUST'!$N$1:$CG$1,0))),IF($J4="UPC Growth Rate",((BD4/INDEX('Monthly CUST'!$N$2:$CG$65,MATCH($D4,'Monthly CUST'!$D$2:$D$65,0),MATCH(BD$1,'Monthly CUST'!$N$1:$CG$1,0)))*(1+$L4)*INDEX('Monthly CUST'!$N$2:$CG$65,MATCH($D4,'Monthly CUST'!$D$2:$D$65,0),MATCH(BP$1,'Monthly CUST'!$N$1:$CG$1,0))),IF($J4="Modeled UPC",INDEX('Monthly CUST'!$N$2:$CG$65,MATCH($D4,'Monthly CUST'!$D$2:$D$65,0),MATCH(BP$1,'Monthly CUST'!$N$1:$CG$1,0))/12*$M4,IF($J4="Base Period",BD4,IF($J4="Adjusted",SUMIF('Input 15_Fcst Inputs'!$A:$A,$D4,'Input 15_Fcst Inputs'!$G:$G)/12))))),0)</f>
        <v>480.33</v>
      </c>
      <c r="BQ4" s="483">
        <f>IFERROR(IF($J4="Historical Average",INDEX('Monthly UPC'!$CM$2:$DJ$65,MATCH($D4,'Monthly UPC'!$D$2:$D$65,0),MATCH(BQ$1,'Monthly UPC'!$CM$1:$DJ$1))*(INDEX('Monthly CUST'!$N$2:$CG$65,MATCH($D4,'Monthly CUST'!$D$2:$D$65,0),MATCH(BQ$1,'Monthly CUST'!$N$1:$CG$1,0))),IF($J4="UPC Growth Rate",((BE4/INDEX('Monthly CUST'!$N$2:$CG$65,MATCH($D4,'Monthly CUST'!$D$2:$D$65,0),MATCH(BE$1,'Monthly CUST'!$N$1:$CG$1,0)))*(1+$L4)*INDEX('Monthly CUST'!$N$2:$CG$65,MATCH($D4,'Monthly CUST'!$D$2:$D$65,0),MATCH(BQ$1,'Monthly CUST'!$N$1:$CG$1,0))),IF($J4="Modeled UPC",INDEX('Monthly CUST'!$N$2:$CG$65,MATCH($D4,'Monthly CUST'!$D$2:$D$65,0),MATCH(BQ$1,'Monthly CUST'!$N$1:$CG$1,0))/12*$M4,IF($J4="Base Period",BE4,IF($J4="Adjusted",SUMIF('Input 15_Fcst Inputs'!$A:$A,$D4,'Input 15_Fcst Inputs'!$G:$G)/12))))),0)</f>
        <v>481.03</v>
      </c>
      <c r="BR4" s="483">
        <f>IFERROR(IF($J4="Historical Average",INDEX('Monthly UPC'!$CM$2:$DJ$65,MATCH($D4,'Monthly UPC'!$D$2:$D$65,0),MATCH(BR$1,'Monthly UPC'!$CM$1:$DJ$1))*(INDEX('Monthly CUST'!$N$2:$CG$65,MATCH($D4,'Monthly CUST'!$D$2:$D$65,0),MATCH(BR$1,'Monthly CUST'!$N$1:$CG$1,0))),IF($J4="UPC Growth Rate",((BF4/INDEX('Monthly CUST'!$N$2:$CG$65,MATCH($D4,'Monthly CUST'!$D$2:$D$65,0),MATCH(BF$1,'Monthly CUST'!$N$1:$CG$1,0)))*(1+$L4)*INDEX('Monthly CUST'!$N$2:$CG$65,MATCH($D4,'Monthly CUST'!$D$2:$D$65,0),MATCH(BR$1,'Monthly CUST'!$N$1:$CG$1,0))),IF($J4="Modeled UPC",INDEX('Monthly CUST'!$N$2:$CG$65,MATCH($D4,'Monthly CUST'!$D$2:$D$65,0),MATCH(BR$1,'Monthly CUST'!$N$1:$CG$1,0))/12*$M4,IF($J4="Base Period",BF4,IF($J4="Adjusted",SUMIF('Input 15_Fcst Inputs'!$A:$A,$D4,'Input 15_Fcst Inputs'!$G:$G)/12))))),0)</f>
        <v>663.99</v>
      </c>
      <c r="BS4" s="483">
        <f>IFERROR(IF($J4="Historical Average",INDEX('Monthly UPC'!$CM$2:$DJ$65,MATCH($D4,'Monthly UPC'!$D$2:$D$65,0),MATCH(BS$1,'Monthly UPC'!$CM$1:$DJ$1))*(INDEX('Monthly CUST'!$N$2:$CG$65,MATCH($D4,'Monthly CUST'!$D$2:$D$65,0),MATCH(BS$1,'Monthly CUST'!$N$1:$CG$1,0))),IF($J4="UPC Growth Rate",((BG4/INDEX('Monthly CUST'!$N$2:$CG$65,MATCH($D4,'Monthly CUST'!$D$2:$D$65,0),MATCH(BG$1,'Monthly CUST'!$N$1:$CG$1,0)))*(1+$L4)*INDEX('Monthly CUST'!$N$2:$CG$65,MATCH($D4,'Monthly CUST'!$D$2:$D$65,0),MATCH(BS$1,'Monthly CUST'!$N$1:$CG$1,0))),IF($J4="Modeled UPC",INDEX('Monthly CUST'!$N$2:$CG$65,MATCH($D4,'Monthly CUST'!$D$2:$D$65,0),MATCH(BS$1,'Monthly CUST'!$N$1:$CG$1,0))/12*$M4,IF($J4="Base Period",BG4,IF($J4="Adjusted",SUMIF('Input 15_Fcst Inputs'!$A:$A,$D4,'Input 15_Fcst Inputs'!$G:$G)/12))))),0)</f>
        <v>557.28</v>
      </c>
      <c r="BT4" s="483">
        <f>IFERROR(IF($J4="Historical Average",INDEX('Monthly UPC'!$CM$2:$DJ$65,MATCH($D4,'Monthly UPC'!$D$2:$D$65,0),MATCH(BT$1,'Monthly UPC'!$CM$1:$DJ$1))*(INDEX('Monthly CUST'!$N$2:$CG$65,MATCH($D4,'Monthly CUST'!$D$2:$D$65,0),MATCH(BT$1,'Monthly CUST'!$N$1:$CG$1,0))),IF($J4="UPC Growth Rate",((BH4/INDEX('Monthly CUST'!$N$2:$CG$65,MATCH($D4,'Monthly CUST'!$D$2:$D$65,0),MATCH(BH$1,'Monthly CUST'!$N$1:$CG$1,0)))*(1+$L4)*INDEX('Monthly CUST'!$N$2:$CG$65,MATCH($D4,'Monthly CUST'!$D$2:$D$65,0),MATCH(BT$1,'Monthly CUST'!$N$1:$CG$1,0))),IF($J4="Modeled UPC",INDEX('Monthly CUST'!$N$2:$CG$65,MATCH($D4,'Monthly CUST'!$D$2:$D$65,0),MATCH(BT$1,'Monthly CUST'!$N$1:$CG$1,0))/12*$M4,IF($J4="Base Period",BH4,IF($J4="Adjusted",SUMIF('Input 15_Fcst Inputs'!$A:$A,$D4,'Input 15_Fcst Inputs'!$G:$G)/12))))),0)</f>
        <v>694.3</v>
      </c>
      <c r="BU4" s="483">
        <f>IFERROR(IF($J4="Historical Average",INDEX('Monthly UPC'!$CM$2:$DJ$65,MATCH($D4,'Monthly UPC'!$D$2:$D$65,0),MATCH(BU$1,'Monthly UPC'!$CM$1:$DJ$1))*(INDEX('Monthly CUST'!$N$2:$CG$65,MATCH($D4,'Monthly CUST'!$D$2:$D$65,0),MATCH(BU$1,'Monthly CUST'!$N$1:$CG$1,0))),IF($J4="UPC Growth Rate",((BI4/INDEX('Monthly CUST'!$N$2:$CG$65,MATCH($D4,'Monthly CUST'!$D$2:$D$65,0),MATCH(BI$1,'Monthly CUST'!$N$1:$CG$1,0)))*(1+$L4)*INDEX('Monthly CUST'!$N$2:$CG$65,MATCH($D4,'Monthly CUST'!$D$2:$D$65,0),MATCH(BU$1,'Monthly CUST'!$N$1:$CG$1,0))),IF($J4="Modeled UPC",INDEX('Monthly CUST'!$N$2:$CG$65,MATCH($D4,'Monthly CUST'!$D$2:$D$65,0),MATCH(BU$1,'Monthly CUST'!$N$1:$CG$1,0))/12*$M4,IF($J4="Base Period",BI4,IF($J4="Adjusted",SUMIF('Input 15_Fcst Inputs'!$A:$A,$D4,'Input 15_Fcst Inputs'!$G:$G)/12))))),0)</f>
        <v>528.55999999999995</v>
      </c>
      <c r="BV4" s="483">
        <f>IFERROR(IF($J4="Historical Average",INDEX('Monthly UPC'!$CM$2:$DJ$65,MATCH($D4,'Monthly UPC'!$D$2:$D$65,0),MATCH(BV$1,'Monthly UPC'!$CM$1:$DJ$1))*(INDEX('Monthly CUST'!$N$2:$CG$65,MATCH($D4,'Monthly CUST'!$D$2:$D$65,0),MATCH(BV$1,'Monthly CUST'!$N$1:$CG$1,0))),IF($J4="UPC Growth Rate",((BJ4/INDEX('Monthly CUST'!$N$2:$CG$65,MATCH($D4,'Monthly CUST'!$D$2:$D$65,0),MATCH(BJ$1,'Monthly CUST'!$N$1:$CG$1,0)))*(1+$L4)*INDEX('Monthly CUST'!$N$2:$CG$65,MATCH($D4,'Monthly CUST'!$D$2:$D$65,0),MATCH(BV$1,'Monthly CUST'!$N$1:$CG$1,0))),IF($J4="Modeled UPC",INDEX('Monthly CUST'!$N$2:$CG$65,MATCH($D4,'Monthly CUST'!$D$2:$D$65,0),MATCH(BV$1,'Monthly CUST'!$N$1:$CG$1,0))/12*$M4,IF($J4="Base Period",BJ4,IF($J4="Adjusted",SUMIF('Input 15_Fcst Inputs'!$A:$A,$D4,'Input 15_Fcst Inputs'!$G:$G)/12))))),0)</f>
        <v>944.37</v>
      </c>
      <c r="BW4" s="483">
        <f>IFERROR(IF($J4="Historical Average",INDEX('Monthly UPC'!$CM$2:$DJ$65,MATCH($D4,'Monthly UPC'!$D$2:$D$65,0),MATCH(BW$1,'Monthly UPC'!$CM$1:$DJ$1))*(INDEX('Monthly CUST'!$N$2:$CG$65,MATCH($D4,'Monthly CUST'!$D$2:$D$65,0),MATCH(BW$1,'Monthly CUST'!$N$1:$CG$1,0))),IF($J4="UPC Growth Rate",((BK4/INDEX('Monthly CUST'!$N$2:$CG$65,MATCH($D4,'Monthly CUST'!$D$2:$D$65,0),MATCH(BK$1,'Monthly CUST'!$N$1:$CG$1,0)))*(1+$L4)*INDEX('Monthly CUST'!$N$2:$CG$65,MATCH($D4,'Monthly CUST'!$D$2:$D$65,0),MATCH(BW$1,'Monthly CUST'!$N$1:$CG$1,0))),IF($J4="Modeled UPC",INDEX('Monthly CUST'!$N$2:$CG$65,MATCH($D4,'Monthly CUST'!$D$2:$D$65,0),MATCH(BW$1,'Monthly CUST'!$N$1:$CG$1,0))/12*$M4,IF($J4="Base Period",BK4,IF($J4="Adjusted",SUMIF('Input 15_Fcst Inputs'!$A:$A,$D4,'Input 15_Fcst Inputs'!$G:$G)/12))))),0)</f>
        <v>755.21</v>
      </c>
      <c r="BX4" s="483">
        <f>IFERROR(IF($J4="Historical Average",INDEX('Monthly UPC'!$CM$2:$DJ$65,MATCH($D4,'Monthly UPC'!$D$2:$D$65,0),MATCH(BX$1,'Monthly UPC'!$CM$1:$DJ$1))*(INDEX('Monthly CUST'!$N$2:$CG$65,MATCH($D4,'Monthly CUST'!$D$2:$D$65,0),MATCH(BX$1,'Monthly CUST'!$N$1:$CG$1,0))),IF($J4="UPC Growth Rate",((BL4/INDEX('Monthly CUST'!$N$2:$CG$65,MATCH($D4,'Monthly CUST'!$D$2:$D$65,0),MATCH(BL$1,'Monthly CUST'!$N$1:$CG$1,0)))*(1+$L4)*INDEX('Monthly CUST'!$N$2:$CG$65,MATCH($D4,'Monthly CUST'!$D$2:$D$65,0),MATCH(BX$1,'Monthly CUST'!$N$1:$CG$1,0))),IF($J4="Modeled UPC",INDEX('Monthly CUST'!$N$2:$CG$65,MATCH($D4,'Monthly CUST'!$D$2:$D$65,0),MATCH(BX$1,'Monthly CUST'!$N$1:$CG$1,0))/12*$M4,IF($J4="Base Period",BL4,IF($J4="Adjusted",SUMIF('Input 15_Fcst Inputs'!$A:$A,$D4,'Input 15_Fcst Inputs'!$G:$G)/12))))),0)</f>
        <v>662.62</v>
      </c>
      <c r="BY4" s="483">
        <f>IFERROR(IF($J4="Historical Average",INDEX('Monthly UPC'!$CM$2:$DJ$65,MATCH($D4,'Monthly UPC'!$D$2:$D$65,0),MATCH(BY$1,'Monthly UPC'!$CM$1:$DJ$1))*(INDEX('Monthly CUST'!$N$2:$CG$65,MATCH($D4,'Monthly CUST'!$D$2:$D$65,0),MATCH(BY$1,'Monthly CUST'!$N$1:$CG$1,0))),IF($J4="UPC Growth Rate",((BM4/INDEX('Monthly CUST'!$N$2:$CG$65,MATCH($D4,'Monthly CUST'!$D$2:$D$65,0),MATCH(BM$1,'Monthly CUST'!$N$1:$CG$1,0)))*(1+$L4)*INDEX('Monthly CUST'!$N$2:$CG$65,MATCH($D4,'Monthly CUST'!$D$2:$D$65,0),MATCH(BY$1,'Monthly CUST'!$N$1:$CG$1,0))),IF($J4="Modeled UPC",INDEX('Monthly CUST'!$N$2:$CG$65,MATCH($D4,'Monthly CUST'!$D$2:$D$65,0),MATCH(BY$1,'Monthly CUST'!$N$1:$CG$1,0))/12*$M4,IF($J4="Base Period",BM4,IF($J4="Adjusted",SUMIF('Input 15_Fcst Inputs'!$A:$A,$D4,'Input 15_Fcst Inputs'!$G:$G)/12))))),0)</f>
        <v>839.3</v>
      </c>
      <c r="BZ4" s="483">
        <f>IFERROR(IF($J4="Historical Average",INDEX('Monthly UPC'!$CM$2:$DJ$65,MATCH($D4,'Monthly UPC'!$D$2:$D$65,0),MATCH(BZ$1,'Monthly UPC'!$CM$1:$DJ$1))*(INDEX('Monthly CUST'!$N$2:$CG$65,MATCH($D4,'Monthly CUST'!$D$2:$D$65,0),MATCH(BZ$1,'Monthly CUST'!$N$1:$CG$1,0))),IF($J4="UPC Growth Rate",((BN4/INDEX('Monthly CUST'!$N$2:$CG$65,MATCH($D4,'Monthly CUST'!$D$2:$D$65,0),MATCH(BN$1,'Monthly CUST'!$N$1:$CG$1,0)))*(1+$L4)*INDEX('Monthly CUST'!$N$2:$CG$65,MATCH($D4,'Monthly CUST'!$D$2:$D$65,0),MATCH(BZ$1,'Monthly CUST'!$N$1:$CG$1,0))),IF($J4="Modeled UPC",INDEX('Monthly CUST'!$N$2:$CG$65,MATCH($D4,'Monthly CUST'!$D$2:$D$65,0),MATCH(BZ$1,'Monthly CUST'!$N$1:$CG$1,0))/12*$M4,IF($J4="Base Period",BN4,IF($J4="Adjusted",SUMIF('Input 15_Fcst Inputs'!$A:$A,$D4,'Input 15_Fcst Inputs'!$G:$G)/12))))),0)</f>
        <v>494.3</v>
      </c>
      <c r="CA4" s="483">
        <f>IFERROR(IF($J4="Historical Average",INDEX('Monthly UPC'!$CM$2:$DJ$65,MATCH($D4,'Monthly UPC'!$D$2:$D$65,0),MATCH(CA$1,'Monthly UPC'!$CM$1:$DJ$1))*(INDEX('Monthly CUST'!$N$2:$CG$65,MATCH($D4,'Monthly CUST'!$D$2:$D$65,0),MATCH(CA$1,'Monthly CUST'!$N$1:$CG$1,0))),IF($J4="UPC Growth Rate",((BO4/INDEX('Monthly CUST'!$N$2:$CG$65,MATCH($D4,'Monthly CUST'!$D$2:$D$65,0),MATCH(BO$1,'Monthly CUST'!$N$1:$CG$1,0)))*(1+$L4)*INDEX('Monthly CUST'!$N$2:$CG$65,MATCH($D4,'Monthly CUST'!$D$2:$D$65,0),MATCH(CA$1,'Monthly CUST'!$N$1:$CG$1,0))),IF($J4="Modeled UPC",INDEX('Monthly CUST'!$N$2:$CG$65,MATCH($D4,'Monthly CUST'!$D$2:$D$65,0),MATCH(CA$1,'Monthly CUST'!$N$1:$CG$1,0))/12*$M4,IF($J4="Base Period",BO4,IF($J4="Adjusted",SUMIF('Input 15_Fcst Inputs'!$A:$A,$D4,'Input 15_Fcst Inputs'!$G:$G)/12))))),0)</f>
        <v>884.63</v>
      </c>
      <c r="CB4" s="483">
        <f>IFERROR(IF($J4="Historical Average",INDEX('Monthly UPC'!$CM$2:$DJ$65,MATCH($D4,'Monthly UPC'!$D$2:$D$65,0),MATCH(CB$1,'Monthly UPC'!$CM$1:$DJ$1))*(INDEX('Monthly CUST'!$N$2:$CG$65,MATCH($D4,'Monthly CUST'!$D$2:$D$65,0),MATCH(CB$1,'Monthly CUST'!$N$1:$CG$1,0))),IF($J4="UPC Growth Rate",((BP4/INDEX('Monthly CUST'!$N$2:$CG$65,MATCH($D4,'Monthly CUST'!$D$2:$D$65,0),MATCH(BP$1,'Monthly CUST'!$N$1:$CG$1,0)))*(1+$L4)*INDEX('Monthly CUST'!$N$2:$CG$65,MATCH($D4,'Monthly CUST'!$D$2:$D$65,0),MATCH(CB$1,'Monthly CUST'!$N$1:$CG$1,0))),IF($J4="Modeled UPC",INDEX('Monthly CUST'!$N$2:$CG$65,MATCH($D4,'Monthly CUST'!$D$2:$D$65,0),MATCH(CB$1,'Monthly CUST'!$N$1:$CG$1,0))/12*$M4,IF($J4="Base Period",BP4,IF($J4="Adjusted",SUMIF('Input 15_Fcst Inputs'!$A:$A,$D4,'Input 15_Fcst Inputs'!$G:$G)/12))))),0)</f>
        <v>480.33</v>
      </c>
      <c r="CC4" s="483">
        <f>IFERROR(IF($J4="Historical Average",INDEX('Monthly UPC'!$CM$2:$DJ$65,MATCH($D4,'Monthly UPC'!$D$2:$D$65,0),MATCH(CC$1,'Monthly UPC'!$CM$1:$DJ$1))*(INDEX('Monthly CUST'!$N$2:$CG$65,MATCH($D4,'Monthly CUST'!$D$2:$D$65,0),MATCH(CC$1,'Monthly CUST'!$N$1:$CG$1,0))),IF($J4="UPC Growth Rate",((BQ4/INDEX('Monthly CUST'!$N$2:$CG$65,MATCH($D4,'Monthly CUST'!$D$2:$D$65,0),MATCH(BQ$1,'Monthly CUST'!$N$1:$CG$1,0)))*(1+$L4)*INDEX('Monthly CUST'!$N$2:$CG$65,MATCH($D4,'Monthly CUST'!$D$2:$D$65,0),MATCH(CC$1,'Monthly CUST'!$N$1:$CG$1,0))),IF($J4="Modeled UPC",INDEX('Monthly CUST'!$N$2:$CG$65,MATCH($D4,'Monthly CUST'!$D$2:$D$65,0),MATCH(CC$1,'Monthly CUST'!$N$1:$CG$1,0))/12*$M4,IF($J4="Base Period",BQ4,IF($J4="Adjusted",SUMIF('Input 15_Fcst Inputs'!$A:$A,$D4,'Input 15_Fcst Inputs'!$G:$G)/12))))),0)</f>
        <v>481.03</v>
      </c>
      <c r="CD4" s="483">
        <f>IFERROR(IF($J4="Historical Average",INDEX('Monthly UPC'!$CM$2:$DJ$65,MATCH($D4,'Monthly UPC'!$D$2:$D$65,0),MATCH(CD$1,'Monthly UPC'!$CM$1:$DJ$1))*(INDEX('Monthly CUST'!$N$2:$CG$65,MATCH($D4,'Monthly CUST'!$D$2:$D$65,0),MATCH(CD$1,'Monthly CUST'!$N$1:$CG$1,0))),IF($J4="UPC Growth Rate",((BR4/INDEX('Monthly CUST'!$N$2:$CG$65,MATCH($D4,'Monthly CUST'!$D$2:$D$65,0),MATCH(BR$1,'Monthly CUST'!$N$1:$CG$1,0)))*(1+$L4)*INDEX('Monthly CUST'!$N$2:$CG$65,MATCH($D4,'Monthly CUST'!$D$2:$D$65,0),MATCH(CD$1,'Monthly CUST'!$N$1:$CG$1,0))),IF($J4="Modeled UPC",INDEX('Monthly CUST'!$N$2:$CG$65,MATCH($D4,'Monthly CUST'!$D$2:$D$65,0),MATCH(CD$1,'Monthly CUST'!$N$1:$CG$1,0))/12*$M4,IF($J4="Base Period",BR4,IF($J4="Adjusted",SUMIF('Input 15_Fcst Inputs'!$A:$A,$D4,'Input 15_Fcst Inputs'!$G:$G)/12))))),0)</f>
        <v>663.99</v>
      </c>
      <c r="CE4" s="483">
        <f>IFERROR(IF($J4="Historical Average",INDEX('Monthly UPC'!$CM$2:$DJ$65,MATCH($D4,'Monthly UPC'!$D$2:$D$65,0),MATCH(CE$1,'Monthly UPC'!$CM$1:$DJ$1))*(INDEX('Monthly CUST'!$N$2:$CG$65,MATCH($D4,'Monthly CUST'!$D$2:$D$65,0),MATCH(CE$1,'Monthly CUST'!$N$1:$CG$1,0))),IF($J4="UPC Growth Rate",((BS4/INDEX('Monthly CUST'!$N$2:$CG$65,MATCH($D4,'Monthly CUST'!$D$2:$D$65,0),MATCH(BS$1,'Monthly CUST'!$N$1:$CG$1,0)))*(1+$L4)*INDEX('Monthly CUST'!$N$2:$CG$65,MATCH($D4,'Monthly CUST'!$D$2:$D$65,0),MATCH(CE$1,'Monthly CUST'!$N$1:$CG$1,0))),IF($J4="Modeled UPC",INDEX('Monthly CUST'!$N$2:$CG$65,MATCH($D4,'Monthly CUST'!$D$2:$D$65,0),MATCH(CE$1,'Monthly CUST'!$N$1:$CG$1,0))/12*$M4,IF($J4="Base Period",BS4,IF($J4="Adjusted",SUMIF('Input 15_Fcst Inputs'!$A:$A,$D4,'Input 15_Fcst Inputs'!$G:$G)/12))))),0)</f>
        <v>557.28</v>
      </c>
      <c r="CF4" s="483">
        <f>IFERROR(IF($J4="Historical Average",INDEX('Monthly UPC'!$CM$2:$DJ$65,MATCH($D4,'Monthly UPC'!$D$2:$D$65,0),MATCH(CF$1,'Monthly UPC'!$CM$1:$DJ$1))*(INDEX('Monthly CUST'!$N$2:$CG$65,MATCH($D4,'Monthly CUST'!$D$2:$D$65,0),MATCH(CF$1,'Monthly CUST'!$N$1:$CG$1,0))),IF($J4="UPC Growth Rate",((BT4/INDEX('Monthly CUST'!$N$2:$CG$65,MATCH($D4,'Monthly CUST'!$D$2:$D$65,0),MATCH(BT$1,'Monthly CUST'!$N$1:$CG$1,0)))*(1+$L4)*INDEX('Monthly CUST'!$N$2:$CG$65,MATCH($D4,'Monthly CUST'!$D$2:$D$65,0),MATCH(CF$1,'Monthly CUST'!$N$1:$CG$1,0))),IF($J4="Modeled UPC",INDEX('Monthly CUST'!$N$2:$CG$65,MATCH($D4,'Monthly CUST'!$D$2:$D$65,0),MATCH(CF$1,'Monthly CUST'!$N$1:$CG$1,0))/12*$M4,IF($J4="Base Period",BT4,IF($J4="Adjusted",SUMIF('Input 15_Fcst Inputs'!$A:$A,$D4,'Input 15_Fcst Inputs'!$G:$G)/12))))),0)</f>
        <v>694.3</v>
      </c>
      <c r="CG4" s="483">
        <f>IFERROR(IF($J4="Historical Average",INDEX('Monthly UPC'!$CM$2:$DJ$65,MATCH($D4,'Monthly UPC'!$D$2:$D$65,0),MATCH(CG$1,'Monthly UPC'!$CM$1:$DJ$1))*(INDEX('Monthly CUST'!$N$2:$CG$65,MATCH($D4,'Monthly CUST'!$D$2:$D$65,0),MATCH(CG$1,'Monthly CUST'!$N$1:$CG$1,0))),IF($J4="UPC Growth Rate",((BU4/INDEX('Monthly CUST'!$N$2:$CG$65,MATCH($D4,'Monthly CUST'!$D$2:$D$65,0),MATCH(BU$1,'Monthly CUST'!$N$1:$CG$1,0)))*(1+$L4)*INDEX('Monthly CUST'!$N$2:$CG$65,MATCH($D4,'Monthly CUST'!$D$2:$D$65,0),MATCH(CG$1,'Monthly CUST'!$N$1:$CG$1,0))),IF($J4="Modeled UPC",INDEX('Monthly CUST'!$N$2:$CG$65,MATCH($D4,'Monthly CUST'!$D$2:$D$65,0),MATCH(CG$1,'Monthly CUST'!$N$1:$CG$1,0))/12*$M4,IF($J4="Base Period",BU4,IF($J4="Adjusted",SUMIF('Input 15_Fcst Inputs'!$A:$A,$D4,'Input 15_Fcst Inputs'!$G:$G)/12))))),0)</f>
        <v>528.55999999999995</v>
      </c>
      <c r="CH4" s="197"/>
      <c r="CI4" s="197">
        <f t="shared" si="0"/>
        <v>3833.2299999999996</v>
      </c>
      <c r="CJ4" s="197">
        <f t="shared" si="1"/>
        <v>3870.09</v>
      </c>
      <c r="CK4" s="197">
        <f t="shared" si="2"/>
        <v>4666.6000000000004</v>
      </c>
      <c r="CL4" s="197">
        <f t="shared" si="3"/>
        <v>7985.92</v>
      </c>
      <c r="CM4" s="197">
        <f t="shared" si="4"/>
        <v>7985.92</v>
      </c>
      <c r="CN4" s="197">
        <f t="shared" si="5"/>
        <v>7985.92</v>
      </c>
      <c r="CP4" s="4">
        <f>SUMIF('Master '!D:D,D4,'Master '!AH:AH)</f>
        <v>7985.92</v>
      </c>
      <c r="CQ4" s="4">
        <f>SUMIF('Master '!D:D,D4,'Master '!AI:AI)</f>
        <v>7985.92</v>
      </c>
      <c r="CR4" s="197">
        <f t="shared" si="6"/>
        <v>0</v>
      </c>
      <c r="CS4" s="197">
        <f t="shared" si="7"/>
        <v>0</v>
      </c>
      <c r="CT4" t="s">
        <v>287</v>
      </c>
      <c r="CV4" t="str">
        <f>VLOOKUP(G4,'Master '!G:CC,75,FALSE)</f>
        <v>TS-3</v>
      </c>
    </row>
    <row r="5" spans="1:100">
      <c r="A5" s="53" t="s">
        <v>12</v>
      </c>
      <c r="B5" s="53" t="s">
        <v>993</v>
      </c>
      <c r="C5" s="53" t="s">
        <v>1245</v>
      </c>
      <c r="D5" s="53" t="s">
        <v>91</v>
      </c>
      <c r="E5" s="53" t="str">
        <f>VLOOKUP(D5,'Input 14_Ref Table'!C:D,2,FALSE)</f>
        <v>TS4I</v>
      </c>
      <c r="F5" s="143" t="s">
        <v>1286</v>
      </c>
      <c r="G5" s="53" t="str">
        <f>VLOOKUP(D5,'Input 14_Ref Table'!C:I,7,FALSE)</f>
        <v>IGC - IGC - TS4</v>
      </c>
      <c r="H5" s="53" t="str">
        <f>VLOOKUP(D5,'Input 14_Ref Table'!C:K,8,FALSE)</f>
        <v>Base Period</v>
      </c>
      <c r="I5" s="53"/>
      <c r="J5" t="str">
        <f>INDEX('Master '!$AD$2:AD$65,MATCH(D5,'Master '!$D$2:$D$65,0))</f>
        <v>Base Period</v>
      </c>
      <c r="K5" s="458">
        <f>INDEX('Master '!$N$2:N$65,MATCH(D5,'Master '!$D$2:$D$65,0))</f>
        <v>0</v>
      </c>
      <c r="L5" s="137">
        <f>INDEX('Master '!$S$2:S$65,MATCH(D5,'Master '!$D$2:$D$65,0))</f>
        <v>0</v>
      </c>
      <c r="M5" s="4">
        <f>INDEX('Master '!$W$2:W$65,MATCH(D5,'Master '!$D$2:$D$65,0))</f>
        <v>0</v>
      </c>
      <c r="N5" s="268">
        <f>SUMIF('Input 16.1_2018VOL-YTD'!$R:$R,$G5,'Input 16.1_2018VOL-YTD'!C:C)</f>
        <v>0</v>
      </c>
      <c r="O5" s="268">
        <f>SUMIF('Input 16.1_2018VOL-YTD'!$R:$R,$G5,'Input 16.1_2018VOL-YTD'!D:D)</f>
        <v>0</v>
      </c>
      <c r="P5" s="268">
        <f>SUMIF('Input 16.1_2018VOL-YTD'!$R:$R,$G5,'Input 16.1_2018VOL-YTD'!E:E)</f>
        <v>0</v>
      </c>
      <c r="Q5" s="268">
        <f>SUMIF('Input 16.1_2018VOL-YTD'!$R:$R,$G5,'Input 16.1_2018VOL-YTD'!F:F)</f>
        <v>94116.83</v>
      </c>
      <c r="R5" s="268">
        <f>SUMIF('Input 16.1_2018VOL-YTD'!$R:$R,$G5,'Input 16.1_2018VOL-YTD'!G:G)</f>
        <v>110371.46</v>
      </c>
      <c r="S5" s="268">
        <f>SUMIF('Input 16.1_2018VOL-YTD'!$R:$R,$G5,'Input 16.1_2018VOL-YTD'!H:H)</f>
        <v>0</v>
      </c>
      <c r="T5" s="268">
        <f>SUMIF('Input 16.1_2018VOL-YTD'!$R:$R,$G5,'Input 16.1_2018VOL-YTD'!I:I)</f>
        <v>0</v>
      </c>
      <c r="U5" s="268">
        <f>SUMIF('Input 16.1_2018VOL-YTD'!$R:$R,$G5,'Input 16.1_2018VOL-YTD'!J:J)</f>
        <v>0</v>
      </c>
      <c r="V5" s="268">
        <f>SUMIF('Input 16.1_2018VOL-YTD'!$R:$R,$G5,'Input 16.1_2018VOL-YTD'!K:K)</f>
        <v>0</v>
      </c>
      <c r="W5" s="268">
        <f>SUMIF('Input 16.1_2018VOL-YTD'!$R:$R,$G5,'Input 16.1_2018VOL-YTD'!L:L)</f>
        <v>0</v>
      </c>
      <c r="X5" s="268">
        <f>SUMIF('Input 16.1_2018VOL-YTD'!$R:$R,$G5,'Input 16.1_2018VOL-YTD'!M:M)</f>
        <v>0</v>
      </c>
      <c r="Y5" s="268">
        <f>SUMIF('Input 16.1_2018VOL-YTD'!$R:$R,$G5,'Input 16.1_2018VOL-YTD'!N:N)</f>
        <v>0</v>
      </c>
      <c r="Z5" s="268">
        <f>SUMIF('Input 3.1_2019VOL-YTD'!$R:$R,$G5,'Input 3.1_2019VOL-YTD'!C:C)</f>
        <v>0</v>
      </c>
      <c r="AA5" s="268">
        <f>SUMIF('Input 3.1_2019VOL-YTD'!$R:$R,$G5,'Input 3.1_2019VOL-YTD'!D:D)</f>
        <v>0</v>
      </c>
      <c r="AB5" s="268">
        <f>SUMIF('Input 3.1_2019VOL-YTD'!$R:$R,$G5,'Input 3.1_2019VOL-YTD'!E:E)</f>
        <v>0</v>
      </c>
      <c r="AC5" s="268">
        <f>SUMIF('Input 3.1_2019VOL-YTD'!$R:$R,$G5,'Input 3.1_2019VOL-YTD'!F:F)</f>
        <v>0</v>
      </c>
      <c r="AD5" s="268">
        <f>SUMIF('Input 3.1_2019VOL-YTD'!$R:$R,$G5,'Input 3.1_2019VOL-YTD'!G:G)</f>
        <v>0</v>
      </c>
      <c r="AE5" s="268">
        <f>SUMIF('Input 3.1_2019VOL-YTD'!$R:$R,$G5,'Input 3.1_2019VOL-YTD'!H:H)</f>
        <v>0</v>
      </c>
      <c r="AF5" s="268">
        <f>SUMIF('Input 3.1_2019VOL-YTD'!$R:$R,$G5,'Input 3.1_2019VOL-YTD'!I:I)</f>
        <v>0</v>
      </c>
      <c r="AG5" s="268">
        <f>SUMIF('Input 3.1_2019VOL-YTD'!$R:$R,$G5,'Input 3.1_2019VOL-YTD'!J:J)</f>
        <v>0</v>
      </c>
      <c r="AH5" s="268">
        <f>SUMIF('Input 3.1_2019VOL-YTD'!$R:$R,$G5,'Input 3.1_2019VOL-YTD'!K:K)</f>
        <v>0</v>
      </c>
      <c r="AI5" s="268">
        <f>SUMIF('Input 3.1_2019VOL-YTD'!$R:$R,$G5,'Input 3.1_2019VOL-YTD'!L:L)</f>
        <v>0</v>
      </c>
      <c r="AJ5" s="268">
        <f>SUMIF('Input 3.1_2019VOL-YTD'!$R:$R,$G5,'Input 3.1_2019VOL-YTD'!M:M)</f>
        <v>0</v>
      </c>
      <c r="AK5" s="268">
        <f>SUMIF('Input 3.1_2019VOL-YTD'!$R:$R,$G5,'Input 3.1_2019VOL-YTD'!N:N)</f>
        <v>0</v>
      </c>
      <c r="AL5" s="268">
        <f>SUMIF('Input 4.1_2020VOL-YTD'!$R:$R,$G5,'Input 4.1_2020VOL-YTD'!C:C)</f>
        <v>0</v>
      </c>
      <c r="AM5" s="268">
        <f>SUMIF('Input 4.1_2020VOL-YTD'!$R:$R,$G5,'Input 4.1_2020VOL-YTD'!D:D)</f>
        <v>0</v>
      </c>
      <c r="AN5" s="268">
        <f>SUMIF('Input 4.1_2020VOL-YTD'!$R:$R,$G5,'Input 4.1_2020VOL-YTD'!E:E)</f>
        <v>0</v>
      </c>
      <c r="AO5" s="268">
        <f>SUMIF('Input 4.1_2020VOL-YTD'!$R:$R,$G5,'Input 4.1_2020VOL-YTD'!F:F)</f>
        <v>0</v>
      </c>
      <c r="AP5" s="268">
        <f>SUMIF('Input 4.1_2020VOL-YTD'!$R:$R,$G5,'Input 4.1_2020VOL-YTD'!G:G)</f>
        <v>0</v>
      </c>
      <c r="AQ5" s="268">
        <f>SUMIF('Input 4.1_2020VOL-YTD'!$R:$R,$G5,'Input 4.1_2020VOL-YTD'!H:H)</f>
        <v>0</v>
      </c>
      <c r="AR5" s="268">
        <f>SUMIF('Input 4.1_2020VOL-YTD'!$R:$R,$G5,'Input 4.1_2020VOL-YTD'!I:I)</f>
        <v>0</v>
      </c>
      <c r="AS5" s="268">
        <f>SUMIF('Input 4.1_2020VOL-YTD'!$R:$R,$G5,'Input 4.1_2020VOL-YTD'!J:J)</f>
        <v>0</v>
      </c>
      <c r="AT5" s="268">
        <f>SUMIF('Input 4.1_2020VOL-YTD'!$R:$R,$G5,'Input 4.1_2020VOL-YTD'!K:K)</f>
        <v>0</v>
      </c>
      <c r="AU5" s="268">
        <f>SUMIF('Input 4.1_2020VOL-YTD'!$R:$R,$G5,'Input 4.1_2020VOL-YTD'!L:L)</f>
        <v>0</v>
      </c>
      <c r="AV5" s="268">
        <f>SUMIF('Input 4.1_2020VOL-YTD'!$R:$R,$G5,'Input 4.1_2020VOL-YTD'!M:M)</f>
        <v>0</v>
      </c>
      <c r="AW5" s="268">
        <f>SUMIF('Input 4.1_2020VOL-YTD'!$R:$R,$G5,'Input 4.1_2020VOL-YTD'!N:N)</f>
        <v>0</v>
      </c>
      <c r="AX5" s="268">
        <f>SUMIF('Input 5.1_2021VOL-YTD'!$R:$R,$G5,'Input 5.1_2021VOL-YTD'!C:C)</f>
        <v>0</v>
      </c>
      <c r="AY5" s="268">
        <f>SUMIF('Input 5.1_2021VOL-YTD'!$R:$R,$G5,'Input 5.1_2021VOL-YTD'!D:D)</f>
        <v>0</v>
      </c>
      <c r="AZ5" s="268">
        <f>SUMIF('Input 5.1_2021VOL-YTD'!$R:$R,$G5,'Input 5.1_2021VOL-YTD'!E:E)</f>
        <v>0</v>
      </c>
      <c r="BA5" s="268">
        <f>SUMIF('Input 5.1_2021VOL-YTD'!$R:$R,$G5,'Input 5.1_2021VOL-YTD'!F:F)</f>
        <v>0</v>
      </c>
      <c r="BB5" s="268">
        <f>SUMIF('Input 5.1_2021VOL-YTD'!$R:$R,$G5,'Input 5.1_2021VOL-YTD'!G:G)</f>
        <v>0</v>
      </c>
      <c r="BC5" s="268">
        <f>SUMIF('Input 5.1_2021VOL-YTD'!$R:$R,$G5,'Input 5.1_2021VOL-YTD'!H:H)</f>
        <v>0</v>
      </c>
      <c r="BD5" s="268">
        <f>SUMIF('Input 5.1_2021VOL-YTD'!$R:$R,$G5,'Input 5.1_2021VOL-YTD'!I:I)</f>
        <v>0</v>
      </c>
      <c r="BE5" s="268">
        <f>SUMIF('Input 5.1_2021VOL-YTD'!$R:$R,$G5,'Input 5.1_2021VOL-YTD'!J:J)</f>
        <v>0</v>
      </c>
      <c r="BF5" s="268">
        <f>SUMIF('Input 5.1_2021VOL-YTD'!$R:$R,$G5,'Input 5.1_2021VOL-YTD'!K:K)</f>
        <v>0</v>
      </c>
      <c r="BG5" s="268">
        <f>SUMIF('Input 5.1_2021VOL-YTD'!$R:$R,$G5,'Input 5.1_2021VOL-YTD'!L:L)</f>
        <v>0</v>
      </c>
      <c r="BH5" s="268">
        <f>SUMIF('Input 5.1_2021VOL-YTD'!$R:$R,$G5,'Input 5.1_2021VOL-YTD'!M:M)</f>
        <v>0</v>
      </c>
      <c r="BI5" s="268">
        <f>SUMIF('Input 5.1_2021VOL-YTD'!$R:$R,$G5,'Input 5.1_2021VOL-YTD'!N:N)</f>
        <v>0</v>
      </c>
      <c r="BJ5" s="483">
        <f>IFERROR(IF($J5="Historical Average",INDEX('Monthly UPC'!$CM$2:$DJ$65,MATCH($D5,'Monthly UPC'!$D$2:$D$65,0),MATCH(BJ$1,'Monthly UPC'!$CM$1:$DJ$1))*(INDEX('Monthly CUST'!$N$2:$CG$65,MATCH($D5,'Monthly CUST'!$D$2:$D$65,0),MATCH(BJ$1,'Monthly CUST'!$N$1:$CG$1,0))),IF($J5="UPC Growth Rate",((AX5/INDEX('Monthly CUST'!$N$2:$CG$65,MATCH($D5,'Monthly CUST'!$D$2:$D$65,0),MATCH(AX$1,'Monthly CUST'!$N$1:$CG$1,0)))*(1+$L5)*INDEX('Monthly CUST'!$N$2:$CG$65,MATCH($D5,'Monthly CUST'!$D$2:$D$65,0),MATCH(BJ$1,'Monthly CUST'!$N$1:$CG$1,0))),IF($J5="Modeled UPC",INDEX('Monthly CUST'!$N$2:$CG$65,MATCH($D5,'Monthly CUST'!$D$2:$D$65,0),MATCH(BJ$1,'Monthly CUST'!$N$1:$CG$1,0))/12*$M5,IF($J5="Base Period",AX5,IF($J5="Adjusted",SUMIF('Input 15_Fcst Inputs'!$A:$A,$D5,'Input 15_Fcst Inputs'!$G:$G)/12))))),0)</f>
        <v>0</v>
      </c>
      <c r="BK5" s="483">
        <f>IFERROR(IF($J5="Historical Average",INDEX('Monthly UPC'!$CM$2:$DJ$65,MATCH($D5,'Monthly UPC'!$D$2:$D$65,0),MATCH(BK$1,'Monthly UPC'!$CM$1:$DJ$1))*(INDEX('Monthly CUST'!$N$2:$CG$65,MATCH($D5,'Monthly CUST'!$D$2:$D$65,0),MATCH(BK$1,'Monthly CUST'!$N$1:$CG$1,0))),IF($J5="UPC Growth Rate",((AY5/INDEX('Monthly CUST'!$N$2:$CG$65,MATCH($D5,'Monthly CUST'!$D$2:$D$65,0),MATCH(AY$1,'Monthly CUST'!$N$1:$CG$1,0)))*(1+$L5)*INDEX('Monthly CUST'!$N$2:$CG$65,MATCH($D5,'Monthly CUST'!$D$2:$D$65,0),MATCH(BK$1,'Monthly CUST'!$N$1:$CG$1,0))),IF($J5="Modeled UPC",INDEX('Monthly CUST'!$N$2:$CG$65,MATCH($D5,'Monthly CUST'!$D$2:$D$65,0),MATCH(BK$1,'Monthly CUST'!$N$1:$CG$1,0))/12*$M5,IF($J5="Base Period",AY5,IF($J5="Adjusted",SUMIF('Input 15_Fcst Inputs'!$A:$A,$D5,'Input 15_Fcst Inputs'!$G:$G)/12))))),0)</f>
        <v>0</v>
      </c>
      <c r="BL5" s="483">
        <f>IFERROR(IF($J5="Historical Average",INDEX('Monthly UPC'!$CM$2:$DJ$65,MATCH($D5,'Monthly UPC'!$D$2:$D$65,0),MATCH(BL$1,'Monthly UPC'!$CM$1:$DJ$1))*(INDEX('Monthly CUST'!$N$2:$CG$65,MATCH($D5,'Monthly CUST'!$D$2:$D$65,0),MATCH(BL$1,'Monthly CUST'!$N$1:$CG$1,0))),IF($J5="UPC Growth Rate",((AZ5/INDEX('Monthly CUST'!$N$2:$CG$65,MATCH($D5,'Monthly CUST'!$D$2:$D$65,0),MATCH(AZ$1,'Monthly CUST'!$N$1:$CG$1,0)))*(1+$L5)*INDEX('Monthly CUST'!$N$2:$CG$65,MATCH($D5,'Monthly CUST'!$D$2:$D$65,0),MATCH(BL$1,'Monthly CUST'!$N$1:$CG$1,0))),IF($J5="Modeled UPC",INDEX('Monthly CUST'!$N$2:$CG$65,MATCH($D5,'Monthly CUST'!$D$2:$D$65,0),MATCH(BL$1,'Monthly CUST'!$N$1:$CG$1,0))/12*$M5,IF($J5="Base Period",AZ5,IF($J5="Adjusted",SUMIF('Input 15_Fcst Inputs'!$A:$A,$D5,'Input 15_Fcst Inputs'!$G:$G)/12))))),0)</f>
        <v>0</v>
      </c>
      <c r="BM5" s="483">
        <f>IFERROR(IF($J5="Historical Average",INDEX('Monthly UPC'!$CM$2:$DJ$65,MATCH($D5,'Monthly UPC'!$D$2:$D$65,0),MATCH(BM$1,'Monthly UPC'!$CM$1:$DJ$1))*(INDEX('Monthly CUST'!$N$2:$CG$65,MATCH($D5,'Monthly CUST'!$D$2:$D$65,0),MATCH(BM$1,'Monthly CUST'!$N$1:$CG$1,0))),IF($J5="UPC Growth Rate",((BA5/INDEX('Monthly CUST'!$N$2:$CG$65,MATCH($D5,'Monthly CUST'!$D$2:$D$65,0),MATCH(BA$1,'Monthly CUST'!$N$1:$CG$1,0)))*(1+$L5)*INDEX('Monthly CUST'!$N$2:$CG$65,MATCH($D5,'Monthly CUST'!$D$2:$D$65,0),MATCH(BM$1,'Monthly CUST'!$N$1:$CG$1,0))),IF($J5="Modeled UPC",INDEX('Monthly CUST'!$N$2:$CG$65,MATCH($D5,'Monthly CUST'!$D$2:$D$65,0),MATCH(BM$1,'Monthly CUST'!$N$1:$CG$1,0))/12*$M5,IF($J5="Base Period",BA5,IF($J5="Adjusted",SUMIF('Input 15_Fcst Inputs'!$A:$A,$D5,'Input 15_Fcst Inputs'!$G:$G)/12))))),0)</f>
        <v>0</v>
      </c>
      <c r="BN5" s="483">
        <f>IFERROR(IF($J5="Historical Average",INDEX('Monthly UPC'!$CM$2:$DJ$65,MATCH($D5,'Monthly UPC'!$D$2:$D$65,0),MATCH(BN$1,'Monthly UPC'!$CM$1:$DJ$1))*(INDEX('Monthly CUST'!$N$2:$CG$65,MATCH($D5,'Monthly CUST'!$D$2:$D$65,0),MATCH(BN$1,'Monthly CUST'!$N$1:$CG$1,0))),IF($J5="UPC Growth Rate",((BB5/INDEX('Monthly CUST'!$N$2:$CG$65,MATCH($D5,'Monthly CUST'!$D$2:$D$65,0),MATCH(BB$1,'Monthly CUST'!$N$1:$CG$1,0)))*(1+$L5)*INDEX('Monthly CUST'!$N$2:$CG$65,MATCH($D5,'Monthly CUST'!$D$2:$D$65,0),MATCH(BN$1,'Monthly CUST'!$N$1:$CG$1,0))),IF($J5="Modeled UPC",INDEX('Monthly CUST'!$N$2:$CG$65,MATCH($D5,'Monthly CUST'!$D$2:$D$65,0),MATCH(BN$1,'Monthly CUST'!$N$1:$CG$1,0))/12*$M5,IF($J5="Base Period",BB5,IF($J5="Adjusted",SUMIF('Input 15_Fcst Inputs'!$A:$A,$D5,'Input 15_Fcst Inputs'!$G:$G)/12))))),0)</f>
        <v>0</v>
      </c>
      <c r="BO5" s="483">
        <f>IFERROR(IF($J5="Historical Average",INDEX('Monthly UPC'!$CM$2:$DJ$65,MATCH($D5,'Monthly UPC'!$D$2:$D$65,0),MATCH(BO$1,'Monthly UPC'!$CM$1:$DJ$1))*(INDEX('Monthly CUST'!$N$2:$CG$65,MATCH($D5,'Monthly CUST'!$D$2:$D$65,0),MATCH(BO$1,'Monthly CUST'!$N$1:$CG$1,0))),IF($J5="UPC Growth Rate",((BC5/INDEX('Monthly CUST'!$N$2:$CG$65,MATCH($D5,'Monthly CUST'!$D$2:$D$65,0),MATCH(BC$1,'Monthly CUST'!$N$1:$CG$1,0)))*(1+$L5)*INDEX('Monthly CUST'!$N$2:$CG$65,MATCH($D5,'Monthly CUST'!$D$2:$D$65,0),MATCH(BO$1,'Monthly CUST'!$N$1:$CG$1,0))),IF($J5="Modeled UPC",INDEX('Monthly CUST'!$N$2:$CG$65,MATCH($D5,'Monthly CUST'!$D$2:$D$65,0),MATCH(BO$1,'Monthly CUST'!$N$1:$CG$1,0))/12*$M5,IF($J5="Base Period",BC5,IF($J5="Adjusted",SUMIF('Input 15_Fcst Inputs'!$A:$A,$D5,'Input 15_Fcst Inputs'!$G:$G)/12))))),0)</f>
        <v>0</v>
      </c>
      <c r="BP5" s="483">
        <f>IFERROR(IF($J5="Historical Average",INDEX('Monthly UPC'!$CM$2:$DJ$65,MATCH($D5,'Monthly UPC'!$D$2:$D$65,0),MATCH(BP$1,'Monthly UPC'!$CM$1:$DJ$1))*(INDEX('Monthly CUST'!$N$2:$CG$65,MATCH($D5,'Monthly CUST'!$D$2:$D$65,0),MATCH(BP$1,'Monthly CUST'!$N$1:$CG$1,0))),IF($J5="UPC Growth Rate",((BD5/INDEX('Monthly CUST'!$N$2:$CG$65,MATCH($D5,'Monthly CUST'!$D$2:$D$65,0),MATCH(BD$1,'Monthly CUST'!$N$1:$CG$1,0)))*(1+$L5)*INDEX('Monthly CUST'!$N$2:$CG$65,MATCH($D5,'Monthly CUST'!$D$2:$D$65,0),MATCH(BP$1,'Monthly CUST'!$N$1:$CG$1,0))),IF($J5="Modeled UPC",INDEX('Monthly CUST'!$N$2:$CG$65,MATCH($D5,'Monthly CUST'!$D$2:$D$65,0),MATCH(BP$1,'Monthly CUST'!$N$1:$CG$1,0))/12*$M5,IF($J5="Base Period",BD5,IF($J5="Adjusted",SUMIF('Input 15_Fcst Inputs'!$A:$A,$D5,'Input 15_Fcst Inputs'!$G:$G)/12))))),0)</f>
        <v>0</v>
      </c>
      <c r="BQ5" s="483">
        <f>IFERROR(IF($J5="Historical Average",INDEX('Monthly UPC'!$CM$2:$DJ$65,MATCH($D5,'Monthly UPC'!$D$2:$D$65,0),MATCH(BQ$1,'Monthly UPC'!$CM$1:$DJ$1))*(INDEX('Monthly CUST'!$N$2:$CG$65,MATCH($D5,'Monthly CUST'!$D$2:$D$65,0),MATCH(BQ$1,'Monthly CUST'!$N$1:$CG$1,0))),IF($J5="UPC Growth Rate",((BE5/INDEX('Monthly CUST'!$N$2:$CG$65,MATCH($D5,'Monthly CUST'!$D$2:$D$65,0),MATCH(BE$1,'Monthly CUST'!$N$1:$CG$1,0)))*(1+$L5)*INDEX('Monthly CUST'!$N$2:$CG$65,MATCH($D5,'Monthly CUST'!$D$2:$D$65,0),MATCH(BQ$1,'Monthly CUST'!$N$1:$CG$1,0))),IF($J5="Modeled UPC",INDEX('Monthly CUST'!$N$2:$CG$65,MATCH($D5,'Monthly CUST'!$D$2:$D$65,0),MATCH(BQ$1,'Monthly CUST'!$N$1:$CG$1,0))/12*$M5,IF($J5="Base Period",BE5,IF($J5="Adjusted",SUMIF('Input 15_Fcst Inputs'!$A:$A,$D5,'Input 15_Fcst Inputs'!$G:$G)/12))))),0)</f>
        <v>0</v>
      </c>
      <c r="BR5" s="483">
        <f>IFERROR(IF($J5="Historical Average",INDEX('Monthly UPC'!$CM$2:$DJ$65,MATCH($D5,'Monthly UPC'!$D$2:$D$65,0),MATCH(BR$1,'Monthly UPC'!$CM$1:$DJ$1))*(INDEX('Monthly CUST'!$N$2:$CG$65,MATCH($D5,'Monthly CUST'!$D$2:$D$65,0),MATCH(BR$1,'Monthly CUST'!$N$1:$CG$1,0))),IF($J5="UPC Growth Rate",((BF5/INDEX('Monthly CUST'!$N$2:$CG$65,MATCH($D5,'Monthly CUST'!$D$2:$D$65,0),MATCH(BF$1,'Monthly CUST'!$N$1:$CG$1,0)))*(1+$L5)*INDEX('Monthly CUST'!$N$2:$CG$65,MATCH($D5,'Monthly CUST'!$D$2:$D$65,0),MATCH(BR$1,'Monthly CUST'!$N$1:$CG$1,0))),IF($J5="Modeled UPC",INDEX('Monthly CUST'!$N$2:$CG$65,MATCH($D5,'Monthly CUST'!$D$2:$D$65,0),MATCH(BR$1,'Monthly CUST'!$N$1:$CG$1,0))/12*$M5,IF($J5="Base Period",BF5,IF($J5="Adjusted",SUMIF('Input 15_Fcst Inputs'!$A:$A,$D5,'Input 15_Fcst Inputs'!$G:$G)/12))))),0)</f>
        <v>0</v>
      </c>
      <c r="BS5" s="483">
        <f>IFERROR(IF($J5="Historical Average",INDEX('Monthly UPC'!$CM$2:$DJ$65,MATCH($D5,'Monthly UPC'!$D$2:$D$65,0),MATCH(BS$1,'Monthly UPC'!$CM$1:$DJ$1))*(INDEX('Monthly CUST'!$N$2:$CG$65,MATCH($D5,'Monthly CUST'!$D$2:$D$65,0),MATCH(BS$1,'Monthly CUST'!$N$1:$CG$1,0))),IF($J5="UPC Growth Rate",((BG5/INDEX('Monthly CUST'!$N$2:$CG$65,MATCH($D5,'Monthly CUST'!$D$2:$D$65,0),MATCH(BG$1,'Monthly CUST'!$N$1:$CG$1,0)))*(1+$L5)*INDEX('Monthly CUST'!$N$2:$CG$65,MATCH($D5,'Monthly CUST'!$D$2:$D$65,0),MATCH(BS$1,'Monthly CUST'!$N$1:$CG$1,0))),IF($J5="Modeled UPC",INDEX('Monthly CUST'!$N$2:$CG$65,MATCH($D5,'Monthly CUST'!$D$2:$D$65,0),MATCH(BS$1,'Monthly CUST'!$N$1:$CG$1,0))/12*$M5,IF($J5="Base Period",BG5,IF($J5="Adjusted",SUMIF('Input 15_Fcst Inputs'!$A:$A,$D5,'Input 15_Fcst Inputs'!$G:$G)/12))))),0)</f>
        <v>0</v>
      </c>
      <c r="BT5" s="483">
        <f>IFERROR(IF($J5="Historical Average",INDEX('Monthly UPC'!$CM$2:$DJ$65,MATCH($D5,'Monthly UPC'!$D$2:$D$65,0),MATCH(BT$1,'Monthly UPC'!$CM$1:$DJ$1))*(INDEX('Monthly CUST'!$N$2:$CG$65,MATCH($D5,'Monthly CUST'!$D$2:$D$65,0),MATCH(BT$1,'Monthly CUST'!$N$1:$CG$1,0))),IF($J5="UPC Growth Rate",((BH5/INDEX('Monthly CUST'!$N$2:$CG$65,MATCH($D5,'Monthly CUST'!$D$2:$D$65,0),MATCH(BH$1,'Monthly CUST'!$N$1:$CG$1,0)))*(1+$L5)*INDEX('Monthly CUST'!$N$2:$CG$65,MATCH($D5,'Monthly CUST'!$D$2:$D$65,0),MATCH(BT$1,'Monthly CUST'!$N$1:$CG$1,0))),IF($J5="Modeled UPC",INDEX('Monthly CUST'!$N$2:$CG$65,MATCH($D5,'Monthly CUST'!$D$2:$D$65,0),MATCH(BT$1,'Monthly CUST'!$N$1:$CG$1,0))/12*$M5,IF($J5="Base Period",BH5,IF($J5="Adjusted",SUMIF('Input 15_Fcst Inputs'!$A:$A,$D5,'Input 15_Fcst Inputs'!$G:$G)/12))))),0)</f>
        <v>0</v>
      </c>
      <c r="BU5" s="483">
        <f>IFERROR(IF($J5="Historical Average",INDEX('Monthly UPC'!$CM$2:$DJ$65,MATCH($D5,'Monthly UPC'!$D$2:$D$65,0),MATCH(BU$1,'Monthly UPC'!$CM$1:$DJ$1))*(INDEX('Monthly CUST'!$N$2:$CG$65,MATCH($D5,'Monthly CUST'!$D$2:$D$65,0),MATCH(BU$1,'Monthly CUST'!$N$1:$CG$1,0))),IF($J5="UPC Growth Rate",((BI5/INDEX('Monthly CUST'!$N$2:$CG$65,MATCH($D5,'Monthly CUST'!$D$2:$D$65,0),MATCH(BI$1,'Monthly CUST'!$N$1:$CG$1,0)))*(1+$L5)*INDEX('Monthly CUST'!$N$2:$CG$65,MATCH($D5,'Monthly CUST'!$D$2:$D$65,0),MATCH(BU$1,'Monthly CUST'!$N$1:$CG$1,0))),IF($J5="Modeled UPC",INDEX('Monthly CUST'!$N$2:$CG$65,MATCH($D5,'Monthly CUST'!$D$2:$D$65,0),MATCH(BU$1,'Monthly CUST'!$N$1:$CG$1,0))/12*$M5,IF($J5="Base Period",BI5,IF($J5="Adjusted",SUMIF('Input 15_Fcst Inputs'!$A:$A,$D5,'Input 15_Fcst Inputs'!$G:$G)/12))))),0)</f>
        <v>0</v>
      </c>
      <c r="BV5" s="483">
        <f>IFERROR(IF($J5="Historical Average",INDEX('Monthly UPC'!$CM$2:$DJ$65,MATCH($D5,'Monthly UPC'!$D$2:$D$65,0),MATCH(BV$1,'Monthly UPC'!$CM$1:$DJ$1))*(INDEX('Monthly CUST'!$N$2:$CG$65,MATCH($D5,'Monthly CUST'!$D$2:$D$65,0),MATCH(BV$1,'Monthly CUST'!$N$1:$CG$1,0))),IF($J5="UPC Growth Rate",((BJ5/INDEX('Monthly CUST'!$N$2:$CG$65,MATCH($D5,'Monthly CUST'!$D$2:$D$65,0),MATCH(BJ$1,'Monthly CUST'!$N$1:$CG$1,0)))*(1+$L5)*INDEX('Monthly CUST'!$N$2:$CG$65,MATCH($D5,'Monthly CUST'!$D$2:$D$65,0),MATCH(BV$1,'Monthly CUST'!$N$1:$CG$1,0))),IF($J5="Modeled UPC",INDEX('Monthly CUST'!$N$2:$CG$65,MATCH($D5,'Monthly CUST'!$D$2:$D$65,0),MATCH(BV$1,'Monthly CUST'!$N$1:$CG$1,0))/12*$M5,IF($J5="Base Period",BJ5,IF($J5="Adjusted",SUMIF('Input 15_Fcst Inputs'!$A:$A,$D5,'Input 15_Fcst Inputs'!$G:$G)/12))))),0)</f>
        <v>0</v>
      </c>
      <c r="BW5" s="483">
        <f>IFERROR(IF($J5="Historical Average",INDEX('Monthly UPC'!$CM$2:$DJ$65,MATCH($D5,'Monthly UPC'!$D$2:$D$65,0),MATCH(BW$1,'Monthly UPC'!$CM$1:$DJ$1))*(INDEX('Monthly CUST'!$N$2:$CG$65,MATCH($D5,'Monthly CUST'!$D$2:$D$65,0),MATCH(BW$1,'Monthly CUST'!$N$1:$CG$1,0))),IF($J5="UPC Growth Rate",((BK5/INDEX('Monthly CUST'!$N$2:$CG$65,MATCH($D5,'Monthly CUST'!$D$2:$D$65,0),MATCH(BK$1,'Monthly CUST'!$N$1:$CG$1,0)))*(1+$L5)*INDEX('Monthly CUST'!$N$2:$CG$65,MATCH($D5,'Monthly CUST'!$D$2:$D$65,0),MATCH(BW$1,'Monthly CUST'!$N$1:$CG$1,0))),IF($J5="Modeled UPC",INDEX('Monthly CUST'!$N$2:$CG$65,MATCH($D5,'Monthly CUST'!$D$2:$D$65,0),MATCH(BW$1,'Monthly CUST'!$N$1:$CG$1,0))/12*$M5,IF($J5="Base Period",BK5,IF($J5="Adjusted",SUMIF('Input 15_Fcst Inputs'!$A:$A,$D5,'Input 15_Fcst Inputs'!$G:$G)/12))))),0)</f>
        <v>0</v>
      </c>
      <c r="BX5" s="483">
        <f>IFERROR(IF($J5="Historical Average",INDEX('Monthly UPC'!$CM$2:$DJ$65,MATCH($D5,'Monthly UPC'!$D$2:$D$65,0),MATCH(BX$1,'Monthly UPC'!$CM$1:$DJ$1))*(INDEX('Monthly CUST'!$N$2:$CG$65,MATCH($D5,'Monthly CUST'!$D$2:$D$65,0),MATCH(BX$1,'Monthly CUST'!$N$1:$CG$1,0))),IF($J5="UPC Growth Rate",((BL5/INDEX('Monthly CUST'!$N$2:$CG$65,MATCH($D5,'Monthly CUST'!$D$2:$D$65,0),MATCH(BL$1,'Monthly CUST'!$N$1:$CG$1,0)))*(1+$L5)*INDEX('Monthly CUST'!$N$2:$CG$65,MATCH($D5,'Monthly CUST'!$D$2:$D$65,0),MATCH(BX$1,'Monthly CUST'!$N$1:$CG$1,0))),IF($J5="Modeled UPC",INDEX('Monthly CUST'!$N$2:$CG$65,MATCH($D5,'Monthly CUST'!$D$2:$D$65,0),MATCH(BX$1,'Monthly CUST'!$N$1:$CG$1,0))/12*$M5,IF($J5="Base Period",BL5,IF($J5="Adjusted",SUMIF('Input 15_Fcst Inputs'!$A:$A,$D5,'Input 15_Fcst Inputs'!$G:$G)/12))))),0)</f>
        <v>0</v>
      </c>
      <c r="BY5" s="483">
        <f>IFERROR(IF($J5="Historical Average",INDEX('Monthly UPC'!$CM$2:$DJ$65,MATCH($D5,'Monthly UPC'!$D$2:$D$65,0),MATCH(BY$1,'Monthly UPC'!$CM$1:$DJ$1))*(INDEX('Monthly CUST'!$N$2:$CG$65,MATCH($D5,'Monthly CUST'!$D$2:$D$65,0),MATCH(BY$1,'Monthly CUST'!$N$1:$CG$1,0))),IF($J5="UPC Growth Rate",((BM5/INDEX('Monthly CUST'!$N$2:$CG$65,MATCH($D5,'Monthly CUST'!$D$2:$D$65,0),MATCH(BM$1,'Monthly CUST'!$N$1:$CG$1,0)))*(1+$L5)*INDEX('Monthly CUST'!$N$2:$CG$65,MATCH($D5,'Monthly CUST'!$D$2:$D$65,0),MATCH(BY$1,'Monthly CUST'!$N$1:$CG$1,0))),IF($J5="Modeled UPC",INDEX('Monthly CUST'!$N$2:$CG$65,MATCH($D5,'Monthly CUST'!$D$2:$D$65,0),MATCH(BY$1,'Monthly CUST'!$N$1:$CG$1,0))/12*$M5,IF($J5="Base Period",BM5,IF($J5="Adjusted",SUMIF('Input 15_Fcst Inputs'!$A:$A,$D5,'Input 15_Fcst Inputs'!$G:$G)/12))))),0)</f>
        <v>0</v>
      </c>
      <c r="BZ5" s="483">
        <f>IFERROR(IF($J5="Historical Average",INDEX('Monthly UPC'!$CM$2:$DJ$65,MATCH($D5,'Monthly UPC'!$D$2:$D$65,0),MATCH(BZ$1,'Monthly UPC'!$CM$1:$DJ$1))*(INDEX('Monthly CUST'!$N$2:$CG$65,MATCH($D5,'Monthly CUST'!$D$2:$D$65,0),MATCH(BZ$1,'Monthly CUST'!$N$1:$CG$1,0))),IF($J5="UPC Growth Rate",((BN5/INDEX('Monthly CUST'!$N$2:$CG$65,MATCH($D5,'Monthly CUST'!$D$2:$D$65,0),MATCH(BN$1,'Monthly CUST'!$N$1:$CG$1,0)))*(1+$L5)*INDEX('Monthly CUST'!$N$2:$CG$65,MATCH($D5,'Monthly CUST'!$D$2:$D$65,0),MATCH(BZ$1,'Monthly CUST'!$N$1:$CG$1,0))),IF($J5="Modeled UPC",INDEX('Monthly CUST'!$N$2:$CG$65,MATCH($D5,'Monthly CUST'!$D$2:$D$65,0),MATCH(BZ$1,'Monthly CUST'!$N$1:$CG$1,0))/12*$M5,IF($J5="Base Period",BN5,IF($J5="Adjusted",SUMIF('Input 15_Fcst Inputs'!$A:$A,$D5,'Input 15_Fcst Inputs'!$G:$G)/12))))),0)</f>
        <v>0</v>
      </c>
      <c r="CA5" s="483">
        <f>IFERROR(IF($J5="Historical Average",INDEX('Monthly UPC'!$CM$2:$DJ$65,MATCH($D5,'Monthly UPC'!$D$2:$D$65,0),MATCH(CA$1,'Monthly UPC'!$CM$1:$DJ$1))*(INDEX('Monthly CUST'!$N$2:$CG$65,MATCH($D5,'Monthly CUST'!$D$2:$D$65,0),MATCH(CA$1,'Monthly CUST'!$N$1:$CG$1,0))),IF($J5="UPC Growth Rate",((BO5/INDEX('Monthly CUST'!$N$2:$CG$65,MATCH($D5,'Monthly CUST'!$D$2:$D$65,0),MATCH(BO$1,'Monthly CUST'!$N$1:$CG$1,0)))*(1+$L5)*INDEX('Monthly CUST'!$N$2:$CG$65,MATCH($D5,'Monthly CUST'!$D$2:$D$65,0),MATCH(CA$1,'Monthly CUST'!$N$1:$CG$1,0))),IF($J5="Modeled UPC",INDEX('Monthly CUST'!$N$2:$CG$65,MATCH($D5,'Monthly CUST'!$D$2:$D$65,0),MATCH(CA$1,'Monthly CUST'!$N$1:$CG$1,0))/12*$M5,IF($J5="Base Period",BO5,IF($J5="Adjusted",SUMIF('Input 15_Fcst Inputs'!$A:$A,$D5,'Input 15_Fcst Inputs'!$G:$G)/12))))),0)</f>
        <v>0</v>
      </c>
      <c r="CB5" s="483">
        <f>IFERROR(IF($J5="Historical Average",INDEX('Monthly UPC'!$CM$2:$DJ$65,MATCH($D5,'Monthly UPC'!$D$2:$D$65,0),MATCH(CB$1,'Monthly UPC'!$CM$1:$DJ$1))*(INDEX('Monthly CUST'!$N$2:$CG$65,MATCH($D5,'Monthly CUST'!$D$2:$D$65,0),MATCH(CB$1,'Monthly CUST'!$N$1:$CG$1,0))),IF($J5="UPC Growth Rate",((BP5/INDEX('Monthly CUST'!$N$2:$CG$65,MATCH($D5,'Monthly CUST'!$D$2:$D$65,0),MATCH(BP$1,'Monthly CUST'!$N$1:$CG$1,0)))*(1+$L5)*INDEX('Monthly CUST'!$N$2:$CG$65,MATCH($D5,'Monthly CUST'!$D$2:$D$65,0),MATCH(CB$1,'Monthly CUST'!$N$1:$CG$1,0))),IF($J5="Modeled UPC",INDEX('Monthly CUST'!$N$2:$CG$65,MATCH($D5,'Monthly CUST'!$D$2:$D$65,0),MATCH(CB$1,'Monthly CUST'!$N$1:$CG$1,0))/12*$M5,IF($J5="Base Period",BP5,IF($J5="Adjusted",SUMIF('Input 15_Fcst Inputs'!$A:$A,$D5,'Input 15_Fcst Inputs'!$G:$G)/12))))),0)</f>
        <v>0</v>
      </c>
      <c r="CC5" s="483">
        <f>IFERROR(IF($J5="Historical Average",INDEX('Monthly UPC'!$CM$2:$DJ$65,MATCH($D5,'Monthly UPC'!$D$2:$D$65,0),MATCH(CC$1,'Monthly UPC'!$CM$1:$DJ$1))*(INDEX('Monthly CUST'!$N$2:$CG$65,MATCH($D5,'Monthly CUST'!$D$2:$D$65,0),MATCH(CC$1,'Monthly CUST'!$N$1:$CG$1,0))),IF($J5="UPC Growth Rate",((BQ5/INDEX('Monthly CUST'!$N$2:$CG$65,MATCH($D5,'Monthly CUST'!$D$2:$D$65,0),MATCH(BQ$1,'Monthly CUST'!$N$1:$CG$1,0)))*(1+$L5)*INDEX('Monthly CUST'!$N$2:$CG$65,MATCH($D5,'Monthly CUST'!$D$2:$D$65,0),MATCH(CC$1,'Monthly CUST'!$N$1:$CG$1,0))),IF($J5="Modeled UPC",INDEX('Monthly CUST'!$N$2:$CG$65,MATCH($D5,'Monthly CUST'!$D$2:$D$65,0),MATCH(CC$1,'Monthly CUST'!$N$1:$CG$1,0))/12*$M5,IF($J5="Base Period",BQ5,IF($J5="Adjusted",SUMIF('Input 15_Fcst Inputs'!$A:$A,$D5,'Input 15_Fcst Inputs'!$G:$G)/12))))),0)</f>
        <v>0</v>
      </c>
      <c r="CD5" s="483">
        <f>IFERROR(IF($J5="Historical Average",INDEX('Monthly UPC'!$CM$2:$DJ$65,MATCH($D5,'Monthly UPC'!$D$2:$D$65,0),MATCH(CD$1,'Monthly UPC'!$CM$1:$DJ$1))*(INDEX('Monthly CUST'!$N$2:$CG$65,MATCH($D5,'Monthly CUST'!$D$2:$D$65,0),MATCH(CD$1,'Monthly CUST'!$N$1:$CG$1,0))),IF($J5="UPC Growth Rate",((BR5/INDEX('Monthly CUST'!$N$2:$CG$65,MATCH($D5,'Monthly CUST'!$D$2:$D$65,0),MATCH(BR$1,'Monthly CUST'!$N$1:$CG$1,0)))*(1+$L5)*INDEX('Monthly CUST'!$N$2:$CG$65,MATCH($D5,'Monthly CUST'!$D$2:$D$65,0),MATCH(CD$1,'Monthly CUST'!$N$1:$CG$1,0))),IF($J5="Modeled UPC",INDEX('Monthly CUST'!$N$2:$CG$65,MATCH($D5,'Monthly CUST'!$D$2:$D$65,0),MATCH(CD$1,'Monthly CUST'!$N$1:$CG$1,0))/12*$M5,IF($J5="Base Period",BR5,IF($J5="Adjusted",SUMIF('Input 15_Fcst Inputs'!$A:$A,$D5,'Input 15_Fcst Inputs'!$G:$G)/12))))),0)</f>
        <v>0</v>
      </c>
      <c r="CE5" s="483">
        <f>IFERROR(IF($J5="Historical Average",INDEX('Monthly UPC'!$CM$2:$DJ$65,MATCH($D5,'Monthly UPC'!$D$2:$D$65,0),MATCH(CE$1,'Monthly UPC'!$CM$1:$DJ$1))*(INDEX('Monthly CUST'!$N$2:$CG$65,MATCH($D5,'Monthly CUST'!$D$2:$D$65,0),MATCH(CE$1,'Monthly CUST'!$N$1:$CG$1,0))),IF($J5="UPC Growth Rate",((BS5/INDEX('Monthly CUST'!$N$2:$CG$65,MATCH($D5,'Monthly CUST'!$D$2:$D$65,0),MATCH(BS$1,'Monthly CUST'!$N$1:$CG$1,0)))*(1+$L5)*INDEX('Monthly CUST'!$N$2:$CG$65,MATCH($D5,'Monthly CUST'!$D$2:$D$65,0),MATCH(CE$1,'Monthly CUST'!$N$1:$CG$1,0))),IF($J5="Modeled UPC",INDEX('Monthly CUST'!$N$2:$CG$65,MATCH($D5,'Monthly CUST'!$D$2:$D$65,0),MATCH(CE$1,'Monthly CUST'!$N$1:$CG$1,0))/12*$M5,IF($J5="Base Period",BS5,IF($J5="Adjusted",SUMIF('Input 15_Fcst Inputs'!$A:$A,$D5,'Input 15_Fcst Inputs'!$G:$G)/12))))),0)</f>
        <v>0</v>
      </c>
      <c r="CF5" s="483">
        <f>IFERROR(IF($J5="Historical Average",INDEX('Monthly UPC'!$CM$2:$DJ$65,MATCH($D5,'Monthly UPC'!$D$2:$D$65,0),MATCH(CF$1,'Monthly UPC'!$CM$1:$DJ$1))*(INDEX('Monthly CUST'!$N$2:$CG$65,MATCH($D5,'Monthly CUST'!$D$2:$D$65,0),MATCH(CF$1,'Monthly CUST'!$N$1:$CG$1,0))),IF($J5="UPC Growth Rate",((BT5/INDEX('Monthly CUST'!$N$2:$CG$65,MATCH($D5,'Monthly CUST'!$D$2:$D$65,0),MATCH(BT$1,'Monthly CUST'!$N$1:$CG$1,0)))*(1+$L5)*INDEX('Monthly CUST'!$N$2:$CG$65,MATCH($D5,'Monthly CUST'!$D$2:$D$65,0),MATCH(CF$1,'Monthly CUST'!$N$1:$CG$1,0))),IF($J5="Modeled UPC",INDEX('Monthly CUST'!$N$2:$CG$65,MATCH($D5,'Monthly CUST'!$D$2:$D$65,0),MATCH(CF$1,'Monthly CUST'!$N$1:$CG$1,0))/12*$M5,IF($J5="Base Period",BT5,IF($J5="Adjusted",SUMIF('Input 15_Fcst Inputs'!$A:$A,$D5,'Input 15_Fcst Inputs'!$G:$G)/12))))),0)</f>
        <v>0</v>
      </c>
      <c r="CG5" s="483">
        <f>IFERROR(IF($J5="Historical Average",INDEX('Monthly UPC'!$CM$2:$DJ$65,MATCH($D5,'Monthly UPC'!$D$2:$D$65,0),MATCH(CG$1,'Monthly UPC'!$CM$1:$DJ$1))*(INDEX('Monthly CUST'!$N$2:$CG$65,MATCH($D5,'Monthly CUST'!$D$2:$D$65,0),MATCH(CG$1,'Monthly CUST'!$N$1:$CG$1,0))),IF($J5="UPC Growth Rate",((BU5/INDEX('Monthly CUST'!$N$2:$CG$65,MATCH($D5,'Monthly CUST'!$D$2:$D$65,0),MATCH(BU$1,'Monthly CUST'!$N$1:$CG$1,0)))*(1+$L5)*INDEX('Monthly CUST'!$N$2:$CG$65,MATCH($D5,'Monthly CUST'!$D$2:$D$65,0),MATCH(CG$1,'Monthly CUST'!$N$1:$CG$1,0))),IF($J5="Modeled UPC",INDEX('Monthly CUST'!$N$2:$CG$65,MATCH($D5,'Monthly CUST'!$D$2:$D$65,0),MATCH(CG$1,'Monthly CUST'!$N$1:$CG$1,0))/12*$M5,IF($J5="Base Period",BU5,IF($J5="Adjusted",SUMIF('Input 15_Fcst Inputs'!$A:$A,$D5,'Input 15_Fcst Inputs'!$G:$G)/12))))),0)</f>
        <v>0</v>
      </c>
      <c r="CH5" s="197"/>
      <c r="CI5" s="197">
        <f t="shared" si="0"/>
        <v>204488.29</v>
      </c>
      <c r="CJ5" s="197">
        <f t="shared" si="1"/>
        <v>0</v>
      </c>
      <c r="CK5" s="197">
        <f t="shared" si="2"/>
        <v>0</v>
      </c>
      <c r="CL5" s="197">
        <f t="shared" si="3"/>
        <v>0</v>
      </c>
      <c r="CM5" s="197">
        <f t="shared" si="4"/>
        <v>0</v>
      </c>
      <c r="CN5" s="197">
        <f t="shared" si="5"/>
        <v>0</v>
      </c>
      <c r="CP5" s="4">
        <f>SUMIF('Master '!D:D,D5,'Master '!AH:AH)</f>
        <v>0</v>
      </c>
      <c r="CQ5" s="4">
        <f>SUMIF('Master '!D:D,D5,'Master '!AI:AI)</f>
        <v>0</v>
      </c>
      <c r="CR5" s="197">
        <f t="shared" si="6"/>
        <v>0</v>
      </c>
      <c r="CS5" s="197">
        <f t="shared" si="7"/>
        <v>0</v>
      </c>
      <c r="CT5" t="s">
        <v>287</v>
      </c>
      <c r="CV5" t="str">
        <f>VLOOKUP(G5,'Master '!G:CC,75,FALSE)</f>
        <v>TS-4</v>
      </c>
    </row>
    <row r="6" spans="1:100">
      <c r="A6" s="53" t="s">
        <v>12</v>
      </c>
      <c r="B6" s="53" t="s">
        <v>993</v>
      </c>
      <c r="C6" s="53" t="s">
        <v>1245</v>
      </c>
      <c r="D6" s="53" t="s">
        <v>93</v>
      </c>
      <c r="E6" s="53" t="str">
        <f>VLOOKUP(D6,'Input 14_Ref Table'!C:D,2,FALSE)</f>
        <v>TSNGV</v>
      </c>
      <c r="F6" s="143" t="s">
        <v>1286</v>
      </c>
      <c r="G6" s="53" t="str">
        <f>VLOOKUP(D6,'Input 14_Ref Table'!C:I,7,FALSE)</f>
        <v>TSNGV</v>
      </c>
      <c r="H6" s="53" t="str">
        <f>VLOOKUP(D6,'Input 14_Ref Table'!C:K,8,FALSE)</f>
        <v>Base Period</v>
      </c>
      <c r="I6" s="53"/>
      <c r="J6" t="str">
        <f>INDEX('Master '!$AD$2:AD$65,MATCH(D6,'Master '!$D$2:$D$65,0))</f>
        <v>Base Period</v>
      </c>
      <c r="K6" s="458">
        <f>INDEX('Master '!$N$2:N$65,MATCH(D6,'Master '!$D$2:$D$65,0))</f>
        <v>0</v>
      </c>
      <c r="L6" s="137">
        <f>INDEX('Master '!$S$2:S$65,MATCH(D6,'Master '!$D$2:$D$65,0))</f>
        <v>0</v>
      </c>
      <c r="M6" s="4">
        <f>INDEX('Master '!$W$2:W$65,MATCH(D6,'Master '!$D$2:$D$65,0))</f>
        <v>0</v>
      </c>
      <c r="N6" s="268">
        <f>SUMIF('Input 16.1_2018VOL-YTD'!$R:$R,$G6,'Input 16.1_2018VOL-YTD'!C:C)</f>
        <v>0</v>
      </c>
      <c r="O6" s="268">
        <f>SUMIF('Input 16.1_2018VOL-YTD'!$R:$R,$G6,'Input 16.1_2018VOL-YTD'!D:D)</f>
        <v>0</v>
      </c>
      <c r="P6" s="268">
        <f>SUMIF('Input 16.1_2018VOL-YTD'!$R:$R,$G6,'Input 16.1_2018VOL-YTD'!E:E)</f>
        <v>0</v>
      </c>
      <c r="Q6" s="268">
        <f>SUMIF('Input 16.1_2018VOL-YTD'!$R:$R,$G6,'Input 16.1_2018VOL-YTD'!F:F)</f>
        <v>0</v>
      </c>
      <c r="R6" s="268">
        <f>SUMIF('Input 16.1_2018VOL-YTD'!$R:$R,$G6,'Input 16.1_2018VOL-YTD'!G:G)</f>
        <v>0</v>
      </c>
      <c r="S6" s="268">
        <f>SUMIF('Input 16.1_2018VOL-YTD'!$R:$R,$G6,'Input 16.1_2018VOL-YTD'!H:H)</f>
        <v>0</v>
      </c>
      <c r="T6" s="268">
        <f>SUMIF('Input 16.1_2018VOL-YTD'!$R:$R,$G6,'Input 16.1_2018VOL-YTD'!I:I)</f>
        <v>0</v>
      </c>
      <c r="U6" s="268">
        <f>SUMIF('Input 16.1_2018VOL-YTD'!$R:$R,$G6,'Input 16.1_2018VOL-YTD'!J:J)</f>
        <v>0</v>
      </c>
      <c r="V6" s="268">
        <f>SUMIF('Input 16.1_2018VOL-YTD'!$R:$R,$G6,'Input 16.1_2018VOL-YTD'!K:K)</f>
        <v>0</v>
      </c>
      <c r="W6" s="268">
        <f>SUMIF('Input 16.1_2018VOL-YTD'!$R:$R,$G6,'Input 16.1_2018VOL-YTD'!L:L)</f>
        <v>0</v>
      </c>
      <c r="X6" s="268">
        <f>SUMIF('Input 16.1_2018VOL-YTD'!$R:$R,$G6,'Input 16.1_2018VOL-YTD'!M:M)</f>
        <v>0</v>
      </c>
      <c r="Y6" s="268">
        <f>SUMIF('Input 16.1_2018VOL-YTD'!$R:$R,$G6,'Input 16.1_2018VOL-YTD'!N:N)</f>
        <v>0</v>
      </c>
      <c r="Z6" s="268">
        <f>SUMIF('Input 3.1_2019VOL-YTD'!$R:$R,$G6,'Input 3.1_2019VOL-YTD'!C:C)</f>
        <v>0</v>
      </c>
      <c r="AA6" s="268">
        <f>SUMIF('Input 3.1_2019VOL-YTD'!$R:$R,$G6,'Input 3.1_2019VOL-YTD'!D:D)</f>
        <v>0</v>
      </c>
      <c r="AB6" s="268">
        <f>SUMIF('Input 3.1_2019VOL-YTD'!$R:$R,$G6,'Input 3.1_2019VOL-YTD'!E:E)</f>
        <v>0</v>
      </c>
      <c r="AC6" s="268">
        <f>SUMIF('Input 3.1_2019VOL-YTD'!$R:$R,$G6,'Input 3.1_2019VOL-YTD'!F:F)</f>
        <v>0</v>
      </c>
      <c r="AD6" s="268">
        <f>SUMIF('Input 3.1_2019VOL-YTD'!$R:$R,$G6,'Input 3.1_2019VOL-YTD'!G:G)</f>
        <v>0</v>
      </c>
      <c r="AE6" s="268">
        <f>SUMIF('Input 3.1_2019VOL-YTD'!$R:$R,$G6,'Input 3.1_2019VOL-YTD'!H:H)</f>
        <v>0</v>
      </c>
      <c r="AF6" s="268">
        <f>SUMIF('Input 3.1_2019VOL-YTD'!$R:$R,$G6,'Input 3.1_2019VOL-YTD'!I:I)</f>
        <v>0</v>
      </c>
      <c r="AG6" s="268">
        <f>SUMIF('Input 3.1_2019VOL-YTD'!$R:$R,$G6,'Input 3.1_2019VOL-YTD'!J:J)</f>
        <v>0</v>
      </c>
      <c r="AH6" s="268">
        <f>SUMIF('Input 3.1_2019VOL-YTD'!$R:$R,$G6,'Input 3.1_2019VOL-YTD'!K:K)</f>
        <v>0</v>
      </c>
      <c r="AI6" s="268">
        <f>SUMIF('Input 3.1_2019VOL-YTD'!$R:$R,$G6,'Input 3.1_2019VOL-YTD'!L:L)</f>
        <v>0</v>
      </c>
      <c r="AJ6" s="268">
        <f>SUMIF('Input 3.1_2019VOL-YTD'!$R:$R,$G6,'Input 3.1_2019VOL-YTD'!M:M)</f>
        <v>0</v>
      </c>
      <c r="AK6" s="268">
        <f>SUMIF('Input 3.1_2019VOL-YTD'!$R:$R,$G6,'Input 3.1_2019VOL-YTD'!N:N)</f>
        <v>0</v>
      </c>
      <c r="AL6" s="268">
        <f>SUMIF('Input 4.1_2020VOL-YTD'!$R:$R,$G6,'Input 4.1_2020VOL-YTD'!C:C)</f>
        <v>0</v>
      </c>
      <c r="AM6" s="268">
        <f>SUMIF('Input 4.1_2020VOL-YTD'!$R:$R,$G6,'Input 4.1_2020VOL-YTD'!D:D)</f>
        <v>0</v>
      </c>
      <c r="AN6" s="268">
        <f>SUMIF('Input 4.1_2020VOL-YTD'!$R:$R,$G6,'Input 4.1_2020VOL-YTD'!E:E)</f>
        <v>0</v>
      </c>
      <c r="AO6" s="268">
        <f>SUMIF('Input 4.1_2020VOL-YTD'!$R:$R,$G6,'Input 4.1_2020VOL-YTD'!F:F)</f>
        <v>0</v>
      </c>
      <c r="AP6" s="268">
        <f>SUMIF('Input 4.1_2020VOL-YTD'!$R:$R,$G6,'Input 4.1_2020VOL-YTD'!G:G)</f>
        <v>0</v>
      </c>
      <c r="AQ6" s="268">
        <f>SUMIF('Input 4.1_2020VOL-YTD'!$R:$R,$G6,'Input 4.1_2020VOL-YTD'!H:H)</f>
        <v>0</v>
      </c>
      <c r="AR6" s="268">
        <f>SUMIF('Input 4.1_2020VOL-YTD'!$R:$R,$G6,'Input 4.1_2020VOL-YTD'!I:I)</f>
        <v>0</v>
      </c>
      <c r="AS6" s="268">
        <f>SUMIF('Input 4.1_2020VOL-YTD'!$R:$R,$G6,'Input 4.1_2020VOL-YTD'!J:J)</f>
        <v>0</v>
      </c>
      <c r="AT6" s="268">
        <f>SUMIF('Input 4.1_2020VOL-YTD'!$R:$R,$G6,'Input 4.1_2020VOL-YTD'!K:K)</f>
        <v>0</v>
      </c>
      <c r="AU6" s="268">
        <f>SUMIF('Input 4.1_2020VOL-YTD'!$R:$R,$G6,'Input 4.1_2020VOL-YTD'!L:L)</f>
        <v>0</v>
      </c>
      <c r="AV6" s="268">
        <f>SUMIF('Input 4.1_2020VOL-YTD'!$R:$R,$G6,'Input 4.1_2020VOL-YTD'!M:M)</f>
        <v>0</v>
      </c>
      <c r="AW6" s="268">
        <f>SUMIF('Input 4.1_2020VOL-YTD'!$R:$R,$G6,'Input 4.1_2020VOL-YTD'!N:N)</f>
        <v>0</v>
      </c>
      <c r="AX6" s="268">
        <f>SUMIF('Input 5.1_2021VOL-YTD'!$R:$R,$G6,'Input 5.1_2021VOL-YTD'!C:C)</f>
        <v>0</v>
      </c>
      <c r="AY6" s="268">
        <f>SUMIF('Input 5.1_2021VOL-YTD'!$R:$R,$G6,'Input 5.1_2021VOL-YTD'!D:D)</f>
        <v>0</v>
      </c>
      <c r="AZ6" s="268">
        <f>SUMIF('Input 5.1_2021VOL-YTD'!$R:$R,$G6,'Input 5.1_2021VOL-YTD'!E:E)</f>
        <v>0</v>
      </c>
      <c r="BA6" s="268">
        <f>SUMIF('Input 5.1_2021VOL-YTD'!$R:$R,$G6,'Input 5.1_2021VOL-YTD'!F:F)</f>
        <v>0</v>
      </c>
      <c r="BB6" s="268">
        <f>SUMIF('Input 5.1_2021VOL-YTD'!$R:$R,$G6,'Input 5.1_2021VOL-YTD'!G:G)</f>
        <v>0</v>
      </c>
      <c r="BC6" s="268">
        <f>SUMIF('Input 5.1_2021VOL-YTD'!$R:$R,$G6,'Input 5.1_2021VOL-YTD'!H:H)</f>
        <v>0</v>
      </c>
      <c r="BD6" s="268">
        <f>SUMIF('Input 5.1_2021VOL-YTD'!$R:$R,$G6,'Input 5.1_2021VOL-YTD'!I:I)</f>
        <v>0</v>
      </c>
      <c r="BE6" s="268">
        <f>SUMIF('Input 5.1_2021VOL-YTD'!$R:$R,$G6,'Input 5.1_2021VOL-YTD'!J:J)</f>
        <v>0</v>
      </c>
      <c r="BF6" s="268">
        <f>SUMIF('Input 5.1_2021VOL-YTD'!$R:$R,$G6,'Input 5.1_2021VOL-YTD'!K:K)</f>
        <v>0</v>
      </c>
      <c r="BG6" s="268">
        <f>SUMIF('Input 5.1_2021VOL-YTD'!$R:$R,$G6,'Input 5.1_2021VOL-YTD'!L:L)</f>
        <v>0</v>
      </c>
      <c r="BH6" s="268">
        <f>SUMIF('Input 5.1_2021VOL-YTD'!$R:$R,$G6,'Input 5.1_2021VOL-YTD'!M:M)</f>
        <v>0</v>
      </c>
      <c r="BI6" s="268">
        <f>SUMIF('Input 5.1_2021VOL-YTD'!$R:$R,$G6,'Input 5.1_2021VOL-YTD'!N:N)</f>
        <v>0</v>
      </c>
      <c r="BJ6" s="483">
        <f>IFERROR(IF($J6="Historical Average",INDEX('Monthly UPC'!$CM$2:$DJ$65,MATCH($D6,'Monthly UPC'!$D$2:$D$65,0),MATCH(BJ$1,'Monthly UPC'!$CM$1:$DJ$1))*(INDEX('Monthly CUST'!$N$2:$CG$65,MATCH($D6,'Monthly CUST'!$D$2:$D$65,0),MATCH(BJ$1,'Monthly CUST'!$N$1:$CG$1,0))),IF($J6="UPC Growth Rate",((AX6/INDEX('Monthly CUST'!$N$2:$CG$65,MATCH($D6,'Monthly CUST'!$D$2:$D$65,0),MATCH(AX$1,'Monthly CUST'!$N$1:$CG$1,0)))*(1+$L6)*INDEX('Monthly CUST'!$N$2:$CG$65,MATCH($D6,'Monthly CUST'!$D$2:$D$65,0),MATCH(BJ$1,'Monthly CUST'!$N$1:$CG$1,0))),IF($J6="Modeled UPC",INDEX('Monthly CUST'!$N$2:$CG$65,MATCH($D6,'Monthly CUST'!$D$2:$D$65,0),MATCH(BJ$1,'Monthly CUST'!$N$1:$CG$1,0))/12*$M6,IF($J6="Base Period",AX6,IF($J6="Adjusted",SUMIF('Input 15_Fcst Inputs'!$A:$A,$D6,'Input 15_Fcst Inputs'!$G:$G)/12))))),0)</f>
        <v>0</v>
      </c>
      <c r="BK6" s="483">
        <f>IFERROR(IF($J6="Historical Average",INDEX('Monthly UPC'!$CM$2:$DJ$65,MATCH($D6,'Monthly UPC'!$D$2:$D$65,0),MATCH(BK$1,'Monthly UPC'!$CM$1:$DJ$1))*(INDEX('Monthly CUST'!$N$2:$CG$65,MATCH($D6,'Monthly CUST'!$D$2:$D$65,0),MATCH(BK$1,'Monthly CUST'!$N$1:$CG$1,0))),IF($J6="UPC Growth Rate",((AY6/INDEX('Monthly CUST'!$N$2:$CG$65,MATCH($D6,'Monthly CUST'!$D$2:$D$65,0),MATCH(AY$1,'Monthly CUST'!$N$1:$CG$1,0)))*(1+$L6)*INDEX('Monthly CUST'!$N$2:$CG$65,MATCH($D6,'Monthly CUST'!$D$2:$D$65,0),MATCH(BK$1,'Monthly CUST'!$N$1:$CG$1,0))),IF($J6="Modeled UPC",INDEX('Monthly CUST'!$N$2:$CG$65,MATCH($D6,'Monthly CUST'!$D$2:$D$65,0),MATCH(BK$1,'Monthly CUST'!$N$1:$CG$1,0))/12*$M6,IF($J6="Base Period",AY6,IF($J6="Adjusted",SUMIF('Input 15_Fcst Inputs'!$A:$A,$D6,'Input 15_Fcst Inputs'!$G:$G)/12))))),0)</f>
        <v>0</v>
      </c>
      <c r="BL6" s="483">
        <f>IFERROR(IF($J6="Historical Average",INDEX('Monthly UPC'!$CM$2:$DJ$65,MATCH($D6,'Monthly UPC'!$D$2:$D$65,0),MATCH(BL$1,'Monthly UPC'!$CM$1:$DJ$1))*(INDEX('Monthly CUST'!$N$2:$CG$65,MATCH($D6,'Monthly CUST'!$D$2:$D$65,0),MATCH(BL$1,'Monthly CUST'!$N$1:$CG$1,0))),IF($J6="UPC Growth Rate",((AZ6/INDEX('Monthly CUST'!$N$2:$CG$65,MATCH($D6,'Monthly CUST'!$D$2:$D$65,0),MATCH(AZ$1,'Monthly CUST'!$N$1:$CG$1,0)))*(1+$L6)*INDEX('Monthly CUST'!$N$2:$CG$65,MATCH($D6,'Monthly CUST'!$D$2:$D$65,0),MATCH(BL$1,'Monthly CUST'!$N$1:$CG$1,0))),IF($J6="Modeled UPC",INDEX('Monthly CUST'!$N$2:$CG$65,MATCH($D6,'Monthly CUST'!$D$2:$D$65,0),MATCH(BL$1,'Monthly CUST'!$N$1:$CG$1,0))/12*$M6,IF($J6="Base Period",AZ6,IF($J6="Adjusted",SUMIF('Input 15_Fcst Inputs'!$A:$A,$D6,'Input 15_Fcst Inputs'!$G:$G)/12))))),0)</f>
        <v>0</v>
      </c>
      <c r="BM6" s="483">
        <f>IFERROR(IF($J6="Historical Average",INDEX('Monthly UPC'!$CM$2:$DJ$65,MATCH($D6,'Monthly UPC'!$D$2:$D$65,0),MATCH(BM$1,'Monthly UPC'!$CM$1:$DJ$1))*(INDEX('Monthly CUST'!$N$2:$CG$65,MATCH($D6,'Monthly CUST'!$D$2:$D$65,0),MATCH(BM$1,'Monthly CUST'!$N$1:$CG$1,0))),IF($J6="UPC Growth Rate",((BA6/INDEX('Monthly CUST'!$N$2:$CG$65,MATCH($D6,'Monthly CUST'!$D$2:$D$65,0),MATCH(BA$1,'Monthly CUST'!$N$1:$CG$1,0)))*(1+$L6)*INDEX('Monthly CUST'!$N$2:$CG$65,MATCH($D6,'Monthly CUST'!$D$2:$D$65,0),MATCH(BM$1,'Monthly CUST'!$N$1:$CG$1,0))),IF($J6="Modeled UPC",INDEX('Monthly CUST'!$N$2:$CG$65,MATCH($D6,'Monthly CUST'!$D$2:$D$65,0),MATCH(BM$1,'Monthly CUST'!$N$1:$CG$1,0))/12*$M6,IF($J6="Base Period",BA6,IF($J6="Adjusted",SUMIF('Input 15_Fcst Inputs'!$A:$A,$D6,'Input 15_Fcst Inputs'!$G:$G)/12))))),0)</f>
        <v>0</v>
      </c>
      <c r="BN6" s="483">
        <f>IFERROR(IF($J6="Historical Average",INDEX('Monthly UPC'!$CM$2:$DJ$65,MATCH($D6,'Monthly UPC'!$D$2:$D$65,0),MATCH(BN$1,'Monthly UPC'!$CM$1:$DJ$1))*(INDEX('Monthly CUST'!$N$2:$CG$65,MATCH($D6,'Monthly CUST'!$D$2:$D$65,0),MATCH(BN$1,'Monthly CUST'!$N$1:$CG$1,0))),IF($J6="UPC Growth Rate",((BB6/INDEX('Monthly CUST'!$N$2:$CG$65,MATCH($D6,'Monthly CUST'!$D$2:$D$65,0),MATCH(BB$1,'Monthly CUST'!$N$1:$CG$1,0)))*(1+$L6)*INDEX('Monthly CUST'!$N$2:$CG$65,MATCH($D6,'Monthly CUST'!$D$2:$D$65,0),MATCH(BN$1,'Monthly CUST'!$N$1:$CG$1,0))),IF($J6="Modeled UPC",INDEX('Monthly CUST'!$N$2:$CG$65,MATCH($D6,'Monthly CUST'!$D$2:$D$65,0),MATCH(BN$1,'Monthly CUST'!$N$1:$CG$1,0))/12*$M6,IF($J6="Base Period",BB6,IF($J6="Adjusted",SUMIF('Input 15_Fcst Inputs'!$A:$A,$D6,'Input 15_Fcst Inputs'!$G:$G)/12))))),0)</f>
        <v>0</v>
      </c>
      <c r="BO6" s="483">
        <f>IFERROR(IF($J6="Historical Average",INDEX('Monthly UPC'!$CM$2:$DJ$65,MATCH($D6,'Monthly UPC'!$D$2:$D$65,0),MATCH(BO$1,'Monthly UPC'!$CM$1:$DJ$1))*(INDEX('Monthly CUST'!$N$2:$CG$65,MATCH($D6,'Monthly CUST'!$D$2:$D$65,0),MATCH(BO$1,'Monthly CUST'!$N$1:$CG$1,0))),IF($J6="UPC Growth Rate",((BC6/INDEX('Monthly CUST'!$N$2:$CG$65,MATCH($D6,'Monthly CUST'!$D$2:$D$65,0),MATCH(BC$1,'Monthly CUST'!$N$1:$CG$1,0)))*(1+$L6)*INDEX('Monthly CUST'!$N$2:$CG$65,MATCH($D6,'Monthly CUST'!$D$2:$D$65,0),MATCH(BO$1,'Monthly CUST'!$N$1:$CG$1,0))),IF($J6="Modeled UPC",INDEX('Monthly CUST'!$N$2:$CG$65,MATCH($D6,'Monthly CUST'!$D$2:$D$65,0),MATCH(BO$1,'Monthly CUST'!$N$1:$CG$1,0))/12*$M6,IF($J6="Base Period",BC6,IF($J6="Adjusted",SUMIF('Input 15_Fcst Inputs'!$A:$A,$D6,'Input 15_Fcst Inputs'!$G:$G)/12))))),0)</f>
        <v>0</v>
      </c>
      <c r="BP6" s="483">
        <f>IFERROR(IF($J6="Historical Average",INDEX('Monthly UPC'!$CM$2:$DJ$65,MATCH($D6,'Monthly UPC'!$D$2:$D$65,0),MATCH(BP$1,'Monthly UPC'!$CM$1:$DJ$1))*(INDEX('Monthly CUST'!$N$2:$CG$65,MATCH($D6,'Monthly CUST'!$D$2:$D$65,0),MATCH(BP$1,'Monthly CUST'!$N$1:$CG$1,0))),IF($J6="UPC Growth Rate",((BD6/INDEX('Monthly CUST'!$N$2:$CG$65,MATCH($D6,'Monthly CUST'!$D$2:$D$65,0),MATCH(BD$1,'Monthly CUST'!$N$1:$CG$1,0)))*(1+$L6)*INDEX('Monthly CUST'!$N$2:$CG$65,MATCH($D6,'Monthly CUST'!$D$2:$D$65,0),MATCH(BP$1,'Monthly CUST'!$N$1:$CG$1,0))),IF($J6="Modeled UPC",INDEX('Monthly CUST'!$N$2:$CG$65,MATCH($D6,'Monthly CUST'!$D$2:$D$65,0),MATCH(BP$1,'Monthly CUST'!$N$1:$CG$1,0))/12*$M6,IF($J6="Base Period",BD6,IF($J6="Adjusted",SUMIF('Input 15_Fcst Inputs'!$A:$A,$D6,'Input 15_Fcst Inputs'!$G:$G)/12))))),0)</f>
        <v>0</v>
      </c>
      <c r="BQ6" s="483">
        <f>IFERROR(IF($J6="Historical Average",INDEX('Monthly UPC'!$CM$2:$DJ$65,MATCH($D6,'Monthly UPC'!$D$2:$D$65,0),MATCH(BQ$1,'Monthly UPC'!$CM$1:$DJ$1))*(INDEX('Monthly CUST'!$N$2:$CG$65,MATCH($D6,'Monthly CUST'!$D$2:$D$65,0),MATCH(BQ$1,'Monthly CUST'!$N$1:$CG$1,0))),IF($J6="UPC Growth Rate",((BE6/INDEX('Monthly CUST'!$N$2:$CG$65,MATCH($D6,'Monthly CUST'!$D$2:$D$65,0),MATCH(BE$1,'Monthly CUST'!$N$1:$CG$1,0)))*(1+$L6)*INDEX('Monthly CUST'!$N$2:$CG$65,MATCH($D6,'Monthly CUST'!$D$2:$D$65,0),MATCH(BQ$1,'Monthly CUST'!$N$1:$CG$1,0))),IF($J6="Modeled UPC",INDEX('Monthly CUST'!$N$2:$CG$65,MATCH($D6,'Monthly CUST'!$D$2:$D$65,0),MATCH(BQ$1,'Monthly CUST'!$N$1:$CG$1,0))/12*$M6,IF($J6="Base Period",BE6,IF($J6="Adjusted",SUMIF('Input 15_Fcst Inputs'!$A:$A,$D6,'Input 15_Fcst Inputs'!$G:$G)/12))))),0)</f>
        <v>0</v>
      </c>
      <c r="BR6" s="483">
        <f>IFERROR(IF($J6="Historical Average",INDEX('Monthly UPC'!$CM$2:$DJ$65,MATCH($D6,'Monthly UPC'!$D$2:$D$65,0),MATCH(BR$1,'Monthly UPC'!$CM$1:$DJ$1))*(INDEX('Monthly CUST'!$N$2:$CG$65,MATCH($D6,'Monthly CUST'!$D$2:$D$65,0),MATCH(BR$1,'Monthly CUST'!$N$1:$CG$1,0))),IF($J6="UPC Growth Rate",((BF6/INDEX('Monthly CUST'!$N$2:$CG$65,MATCH($D6,'Monthly CUST'!$D$2:$D$65,0),MATCH(BF$1,'Monthly CUST'!$N$1:$CG$1,0)))*(1+$L6)*INDEX('Monthly CUST'!$N$2:$CG$65,MATCH($D6,'Monthly CUST'!$D$2:$D$65,0),MATCH(BR$1,'Monthly CUST'!$N$1:$CG$1,0))),IF($J6="Modeled UPC",INDEX('Monthly CUST'!$N$2:$CG$65,MATCH($D6,'Monthly CUST'!$D$2:$D$65,0),MATCH(BR$1,'Monthly CUST'!$N$1:$CG$1,0))/12*$M6,IF($J6="Base Period",BF6,IF($J6="Adjusted",SUMIF('Input 15_Fcst Inputs'!$A:$A,$D6,'Input 15_Fcst Inputs'!$G:$G)/12))))),0)</f>
        <v>0</v>
      </c>
      <c r="BS6" s="483">
        <f>IFERROR(IF($J6="Historical Average",INDEX('Monthly UPC'!$CM$2:$DJ$65,MATCH($D6,'Monthly UPC'!$D$2:$D$65,0),MATCH(BS$1,'Monthly UPC'!$CM$1:$DJ$1))*(INDEX('Monthly CUST'!$N$2:$CG$65,MATCH($D6,'Monthly CUST'!$D$2:$D$65,0),MATCH(BS$1,'Monthly CUST'!$N$1:$CG$1,0))),IF($J6="UPC Growth Rate",((BG6/INDEX('Monthly CUST'!$N$2:$CG$65,MATCH($D6,'Monthly CUST'!$D$2:$D$65,0),MATCH(BG$1,'Monthly CUST'!$N$1:$CG$1,0)))*(1+$L6)*INDEX('Monthly CUST'!$N$2:$CG$65,MATCH($D6,'Monthly CUST'!$D$2:$D$65,0),MATCH(BS$1,'Monthly CUST'!$N$1:$CG$1,0))),IF($J6="Modeled UPC",INDEX('Monthly CUST'!$N$2:$CG$65,MATCH($D6,'Monthly CUST'!$D$2:$D$65,0),MATCH(BS$1,'Monthly CUST'!$N$1:$CG$1,0))/12*$M6,IF($J6="Base Period",BG6,IF($J6="Adjusted",SUMIF('Input 15_Fcst Inputs'!$A:$A,$D6,'Input 15_Fcst Inputs'!$G:$G)/12))))),0)</f>
        <v>0</v>
      </c>
      <c r="BT6" s="483">
        <f>IFERROR(IF($J6="Historical Average",INDEX('Monthly UPC'!$CM$2:$DJ$65,MATCH($D6,'Monthly UPC'!$D$2:$D$65,0),MATCH(BT$1,'Monthly UPC'!$CM$1:$DJ$1))*(INDEX('Monthly CUST'!$N$2:$CG$65,MATCH($D6,'Monthly CUST'!$D$2:$D$65,0),MATCH(BT$1,'Monthly CUST'!$N$1:$CG$1,0))),IF($J6="UPC Growth Rate",((BH6/INDEX('Monthly CUST'!$N$2:$CG$65,MATCH($D6,'Monthly CUST'!$D$2:$D$65,0),MATCH(BH$1,'Monthly CUST'!$N$1:$CG$1,0)))*(1+$L6)*INDEX('Monthly CUST'!$N$2:$CG$65,MATCH($D6,'Monthly CUST'!$D$2:$D$65,0),MATCH(BT$1,'Monthly CUST'!$N$1:$CG$1,0))),IF($J6="Modeled UPC",INDEX('Monthly CUST'!$N$2:$CG$65,MATCH($D6,'Monthly CUST'!$D$2:$D$65,0),MATCH(BT$1,'Monthly CUST'!$N$1:$CG$1,0))/12*$M6,IF($J6="Base Period",BH6,IF($J6="Adjusted",SUMIF('Input 15_Fcst Inputs'!$A:$A,$D6,'Input 15_Fcst Inputs'!$G:$G)/12))))),0)</f>
        <v>0</v>
      </c>
      <c r="BU6" s="483">
        <f>IFERROR(IF($J6="Historical Average",INDEX('Monthly UPC'!$CM$2:$DJ$65,MATCH($D6,'Monthly UPC'!$D$2:$D$65,0),MATCH(BU$1,'Monthly UPC'!$CM$1:$DJ$1))*(INDEX('Monthly CUST'!$N$2:$CG$65,MATCH($D6,'Monthly CUST'!$D$2:$D$65,0),MATCH(BU$1,'Monthly CUST'!$N$1:$CG$1,0))),IF($J6="UPC Growth Rate",((BI6/INDEX('Monthly CUST'!$N$2:$CG$65,MATCH($D6,'Monthly CUST'!$D$2:$D$65,0),MATCH(BI$1,'Monthly CUST'!$N$1:$CG$1,0)))*(1+$L6)*INDEX('Monthly CUST'!$N$2:$CG$65,MATCH($D6,'Monthly CUST'!$D$2:$D$65,0),MATCH(BU$1,'Monthly CUST'!$N$1:$CG$1,0))),IF($J6="Modeled UPC",INDEX('Monthly CUST'!$N$2:$CG$65,MATCH($D6,'Monthly CUST'!$D$2:$D$65,0),MATCH(BU$1,'Monthly CUST'!$N$1:$CG$1,0))/12*$M6,IF($J6="Base Period",BI6,IF($J6="Adjusted",SUMIF('Input 15_Fcst Inputs'!$A:$A,$D6,'Input 15_Fcst Inputs'!$G:$G)/12))))),0)</f>
        <v>0</v>
      </c>
      <c r="BV6" s="483">
        <f>IFERROR(IF($J6="Historical Average",INDEX('Monthly UPC'!$CM$2:$DJ$65,MATCH($D6,'Monthly UPC'!$D$2:$D$65,0),MATCH(BV$1,'Monthly UPC'!$CM$1:$DJ$1))*(INDEX('Monthly CUST'!$N$2:$CG$65,MATCH($D6,'Monthly CUST'!$D$2:$D$65,0),MATCH(BV$1,'Monthly CUST'!$N$1:$CG$1,0))),IF($J6="UPC Growth Rate",((BJ6/INDEX('Monthly CUST'!$N$2:$CG$65,MATCH($D6,'Monthly CUST'!$D$2:$D$65,0),MATCH(BJ$1,'Monthly CUST'!$N$1:$CG$1,0)))*(1+$L6)*INDEX('Monthly CUST'!$N$2:$CG$65,MATCH($D6,'Monthly CUST'!$D$2:$D$65,0),MATCH(BV$1,'Monthly CUST'!$N$1:$CG$1,0))),IF($J6="Modeled UPC",INDEX('Monthly CUST'!$N$2:$CG$65,MATCH($D6,'Monthly CUST'!$D$2:$D$65,0),MATCH(BV$1,'Monthly CUST'!$N$1:$CG$1,0))/12*$M6,IF($J6="Base Period",BJ6,IF($J6="Adjusted",SUMIF('Input 15_Fcst Inputs'!$A:$A,$D6,'Input 15_Fcst Inputs'!$G:$G)/12))))),0)</f>
        <v>0</v>
      </c>
      <c r="BW6" s="483">
        <f>IFERROR(IF($J6="Historical Average",INDEX('Monthly UPC'!$CM$2:$DJ$65,MATCH($D6,'Monthly UPC'!$D$2:$D$65,0),MATCH(BW$1,'Monthly UPC'!$CM$1:$DJ$1))*(INDEX('Monthly CUST'!$N$2:$CG$65,MATCH($D6,'Monthly CUST'!$D$2:$D$65,0),MATCH(BW$1,'Monthly CUST'!$N$1:$CG$1,0))),IF($J6="UPC Growth Rate",((BK6/INDEX('Monthly CUST'!$N$2:$CG$65,MATCH($D6,'Monthly CUST'!$D$2:$D$65,0),MATCH(BK$1,'Monthly CUST'!$N$1:$CG$1,0)))*(1+$L6)*INDEX('Monthly CUST'!$N$2:$CG$65,MATCH($D6,'Monthly CUST'!$D$2:$D$65,0),MATCH(BW$1,'Monthly CUST'!$N$1:$CG$1,0))),IF($J6="Modeled UPC",INDEX('Monthly CUST'!$N$2:$CG$65,MATCH($D6,'Monthly CUST'!$D$2:$D$65,0),MATCH(BW$1,'Monthly CUST'!$N$1:$CG$1,0))/12*$M6,IF($J6="Base Period",BK6,IF($J6="Adjusted",SUMIF('Input 15_Fcst Inputs'!$A:$A,$D6,'Input 15_Fcst Inputs'!$G:$G)/12))))),0)</f>
        <v>0</v>
      </c>
      <c r="BX6" s="483">
        <f>IFERROR(IF($J6="Historical Average",INDEX('Monthly UPC'!$CM$2:$DJ$65,MATCH($D6,'Monthly UPC'!$D$2:$D$65,0),MATCH(BX$1,'Monthly UPC'!$CM$1:$DJ$1))*(INDEX('Monthly CUST'!$N$2:$CG$65,MATCH($D6,'Monthly CUST'!$D$2:$D$65,0),MATCH(BX$1,'Monthly CUST'!$N$1:$CG$1,0))),IF($J6="UPC Growth Rate",((BL6/INDEX('Monthly CUST'!$N$2:$CG$65,MATCH($D6,'Monthly CUST'!$D$2:$D$65,0),MATCH(BL$1,'Monthly CUST'!$N$1:$CG$1,0)))*(1+$L6)*INDEX('Monthly CUST'!$N$2:$CG$65,MATCH($D6,'Monthly CUST'!$D$2:$D$65,0),MATCH(BX$1,'Monthly CUST'!$N$1:$CG$1,0))),IF($J6="Modeled UPC",INDEX('Monthly CUST'!$N$2:$CG$65,MATCH($D6,'Monthly CUST'!$D$2:$D$65,0),MATCH(BX$1,'Monthly CUST'!$N$1:$CG$1,0))/12*$M6,IF($J6="Base Period",BL6,IF($J6="Adjusted",SUMIF('Input 15_Fcst Inputs'!$A:$A,$D6,'Input 15_Fcst Inputs'!$G:$G)/12))))),0)</f>
        <v>0</v>
      </c>
      <c r="BY6" s="483">
        <f>IFERROR(IF($J6="Historical Average",INDEX('Monthly UPC'!$CM$2:$DJ$65,MATCH($D6,'Monthly UPC'!$D$2:$D$65,0),MATCH(BY$1,'Monthly UPC'!$CM$1:$DJ$1))*(INDEX('Monthly CUST'!$N$2:$CG$65,MATCH($D6,'Monthly CUST'!$D$2:$D$65,0),MATCH(BY$1,'Monthly CUST'!$N$1:$CG$1,0))),IF($J6="UPC Growth Rate",((BM6/INDEX('Monthly CUST'!$N$2:$CG$65,MATCH($D6,'Monthly CUST'!$D$2:$D$65,0),MATCH(BM$1,'Monthly CUST'!$N$1:$CG$1,0)))*(1+$L6)*INDEX('Monthly CUST'!$N$2:$CG$65,MATCH($D6,'Monthly CUST'!$D$2:$D$65,0),MATCH(BY$1,'Monthly CUST'!$N$1:$CG$1,0))),IF($J6="Modeled UPC",INDEX('Monthly CUST'!$N$2:$CG$65,MATCH($D6,'Monthly CUST'!$D$2:$D$65,0),MATCH(BY$1,'Monthly CUST'!$N$1:$CG$1,0))/12*$M6,IF($J6="Base Period",BM6,IF($J6="Adjusted",SUMIF('Input 15_Fcst Inputs'!$A:$A,$D6,'Input 15_Fcst Inputs'!$G:$G)/12))))),0)</f>
        <v>0</v>
      </c>
      <c r="BZ6" s="483">
        <f>IFERROR(IF($J6="Historical Average",INDEX('Monthly UPC'!$CM$2:$DJ$65,MATCH($D6,'Monthly UPC'!$D$2:$D$65,0),MATCH(BZ$1,'Monthly UPC'!$CM$1:$DJ$1))*(INDEX('Monthly CUST'!$N$2:$CG$65,MATCH($D6,'Monthly CUST'!$D$2:$D$65,0),MATCH(BZ$1,'Monthly CUST'!$N$1:$CG$1,0))),IF($J6="UPC Growth Rate",((BN6/INDEX('Monthly CUST'!$N$2:$CG$65,MATCH($D6,'Monthly CUST'!$D$2:$D$65,0),MATCH(BN$1,'Monthly CUST'!$N$1:$CG$1,0)))*(1+$L6)*INDEX('Monthly CUST'!$N$2:$CG$65,MATCH($D6,'Monthly CUST'!$D$2:$D$65,0),MATCH(BZ$1,'Monthly CUST'!$N$1:$CG$1,0))),IF($J6="Modeled UPC",INDEX('Monthly CUST'!$N$2:$CG$65,MATCH($D6,'Monthly CUST'!$D$2:$D$65,0),MATCH(BZ$1,'Monthly CUST'!$N$1:$CG$1,0))/12*$M6,IF($J6="Base Period",BN6,IF($J6="Adjusted",SUMIF('Input 15_Fcst Inputs'!$A:$A,$D6,'Input 15_Fcst Inputs'!$G:$G)/12))))),0)</f>
        <v>0</v>
      </c>
      <c r="CA6" s="483">
        <f>IFERROR(IF($J6="Historical Average",INDEX('Monthly UPC'!$CM$2:$DJ$65,MATCH($D6,'Monthly UPC'!$D$2:$D$65,0),MATCH(CA$1,'Monthly UPC'!$CM$1:$DJ$1))*(INDEX('Monthly CUST'!$N$2:$CG$65,MATCH($D6,'Monthly CUST'!$D$2:$D$65,0),MATCH(CA$1,'Monthly CUST'!$N$1:$CG$1,0))),IF($J6="UPC Growth Rate",((BO6/INDEX('Monthly CUST'!$N$2:$CG$65,MATCH($D6,'Monthly CUST'!$D$2:$D$65,0),MATCH(BO$1,'Monthly CUST'!$N$1:$CG$1,0)))*(1+$L6)*INDEX('Monthly CUST'!$N$2:$CG$65,MATCH($D6,'Monthly CUST'!$D$2:$D$65,0),MATCH(CA$1,'Monthly CUST'!$N$1:$CG$1,0))),IF($J6="Modeled UPC",INDEX('Monthly CUST'!$N$2:$CG$65,MATCH($D6,'Monthly CUST'!$D$2:$D$65,0),MATCH(CA$1,'Monthly CUST'!$N$1:$CG$1,0))/12*$M6,IF($J6="Base Period",BO6,IF($J6="Adjusted",SUMIF('Input 15_Fcst Inputs'!$A:$A,$D6,'Input 15_Fcst Inputs'!$G:$G)/12))))),0)</f>
        <v>0</v>
      </c>
      <c r="CB6" s="483">
        <f>IFERROR(IF($J6="Historical Average",INDEX('Monthly UPC'!$CM$2:$DJ$65,MATCH($D6,'Monthly UPC'!$D$2:$D$65,0),MATCH(CB$1,'Monthly UPC'!$CM$1:$DJ$1))*(INDEX('Monthly CUST'!$N$2:$CG$65,MATCH($D6,'Monthly CUST'!$D$2:$D$65,0),MATCH(CB$1,'Monthly CUST'!$N$1:$CG$1,0))),IF($J6="UPC Growth Rate",((BP6/INDEX('Monthly CUST'!$N$2:$CG$65,MATCH($D6,'Monthly CUST'!$D$2:$D$65,0),MATCH(BP$1,'Monthly CUST'!$N$1:$CG$1,0)))*(1+$L6)*INDEX('Monthly CUST'!$N$2:$CG$65,MATCH($D6,'Monthly CUST'!$D$2:$D$65,0),MATCH(CB$1,'Monthly CUST'!$N$1:$CG$1,0))),IF($J6="Modeled UPC",INDEX('Monthly CUST'!$N$2:$CG$65,MATCH($D6,'Monthly CUST'!$D$2:$D$65,0),MATCH(CB$1,'Monthly CUST'!$N$1:$CG$1,0))/12*$M6,IF($J6="Base Period",BP6,IF($J6="Adjusted",SUMIF('Input 15_Fcst Inputs'!$A:$A,$D6,'Input 15_Fcst Inputs'!$G:$G)/12))))),0)</f>
        <v>0</v>
      </c>
      <c r="CC6" s="483">
        <f>IFERROR(IF($J6="Historical Average",INDEX('Monthly UPC'!$CM$2:$DJ$65,MATCH($D6,'Monthly UPC'!$D$2:$D$65,0),MATCH(CC$1,'Monthly UPC'!$CM$1:$DJ$1))*(INDEX('Monthly CUST'!$N$2:$CG$65,MATCH($D6,'Monthly CUST'!$D$2:$D$65,0),MATCH(CC$1,'Monthly CUST'!$N$1:$CG$1,0))),IF($J6="UPC Growth Rate",((BQ6/INDEX('Monthly CUST'!$N$2:$CG$65,MATCH($D6,'Monthly CUST'!$D$2:$D$65,0),MATCH(BQ$1,'Monthly CUST'!$N$1:$CG$1,0)))*(1+$L6)*INDEX('Monthly CUST'!$N$2:$CG$65,MATCH($D6,'Monthly CUST'!$D$2:$D$65,0),MATCH(CC$1,'Monthly CUST'!$N$1:$CG$1,0))),IF($J6="Modeled UPC",INDEX('Monthly CUST'!$N$2:$CG$65,MATCH($D6,'Monthly CUST'!$D$2:$D$65,0),MATCH(CC$1,'Monthly CUST'!$N$1:$CG$1,0))/12*$M6,IF($J6="Base Period",BQ6,IF($J6="Adjusted",SUMIF('Input 15_Fcst Inputs'!$A:$A,$D6,'Input 15_Fcst Inputs'!$G:$G)/12))))),0)</f>
        <v>0</v>
      </c>
      <c r="CD6" s="483">
        <f>IFERROR(IF($J6="Historical Average",INDEX('Monthly UPC'!$CM$2:$DJ$65,MATCH($D6,'Monthly UPC'!$D$2:$D$65,0),MATCH(CD$1,'Monthly UPC'!$CM$1:$DJ$1))*(INDEX('Monthly CUST'!$N$2:$CG$65,MATCH($D6,'Monthly CUST'!$D$2:$D$65,0),MATCH(CD$1,'Monthly CUST'!$N$1:$CG$1,0))),IF($J6="UPC Growth Rate",((BR6/INDEX('Monthly CUST'!$N$2:$CG$65,MATCH($D6,'Monthly CUST'!$D$2:$D$65,0),MATCH(BR$1,'Monthly CUST'!$N$1:$CG$1,0)))*(1+$L6)*INDEX('Monthly CUST'!$N$2:$CG$65,MATCH($D6,'Monthly CUST'!$D$2:$D$65,0),MATCH(CD$1,'Monthly CUST'!$N$1:$CG$1,0))),IF($J6="Modeled UPC",INDEX('Monthly CUST'!$N$2:$CG$65,MATCH($D6,'Monthly CUST'!$D$2:$D$65,0),MATCH(CD$1,'Monthly CUST'!$N$1:$CG$1,0))/12*$M6,IF($J6="Base Period",BR6,IF($J6="Adjusted",SUMIF('Input 15_Fcst Inputs'!$A:$A,$D6,'Input 15_Fcst Inputs'!$G:$G)/12))))),0)</f>
        <v>0</v>
      </c>
      <c r="CE6" s="483">
        <f>IFERROR(IF($J6="Historical Average",INDEX('Monthly UPC'!$CM$2:$DJ$65,MATCH($D6,'Monthly UPC'!$D$2:$D$65,0),MATCH(CE$1,'Monthly UPC'!$CM$1:$DJ$1))*(INDEX('Monthly CUST'!$N$2:$CG$65,MATCH($D6,'Monthly CUST'!$D$2:$D$65,0),MATCH(CE$1,'Monthly CUST'!$N$1:$CG$1,0))),IF($J6="UPC Growth Rate",((BS6/INDEX('Monthly CUST'!$N$2:$CG$65,MATCH($D6,'Monthly CUST'!$D$2:$D$65,0),MATCH(BS$1,'Monthly CUST'!$N$1:$CG$1,0)))*(1+$L6)*INDEX('Monthly CUST'!$N$2:$CG$65,MATCH($D6,'Monthly CUST'!$D$2:$D$65,0),MATCH(CE$1,'Monthly CUST'!$N$1:$CG$1,0))),IF($J6="Modeled UPC",INDEX('Monthly CUST'!$N$2:$CG$65,MATCH($D6,'Monthly CUST'!$D$2:$D$65,0),MATCH(CE$1,'Monthly CUST'!$N$1:$CG$1,0))/12*$M6,IF($J6="Base Period",BS6,IF($J6="Adjusted",SUMIF('Input 15_Fcst Inputs'!$A:$A,$D6,'Input 15_Fcst Inputs'!$G:$G)/12))))),0)</f>
        <v>0</v>
      </c>
      <c r="CF6" s="483">
        <f>IFERROR(IF($J6="Historical Average",INDEX('Monthly UPC'!$CM$2:$DJ$65,MATCH($D6,'Monthly UPC'!$D$2:$D$65,0),MATCH(CF$1,'Monthly UPC'!$CM$1:$DJ$1))*(INDEX('Monthly CUST'!$N$2:$CG$65,MATCH($D6,'Monthly CUST'!$D$2:$D$65,0),MATCH(CF$1,'Monthly CUST'!$N$1:$CG$1,0))),IF($J6="UPC Growth Rate",((BT6/INDEX('Monthly CUST'!$N$2:$CG$65,MATCH($D6,'Monthly CUST'!$D$2:$D$65,0),MATCH(BT$1,'Monthly CUST'!$N$1:$CG$1,0)))*(1+$L6)*INDEX('Monthly CUST'!$N$2:$CG$65,MATCH($D6,'Monthly CUST'!$D$2:$D$65,0),MATCH(CF$1,'Monthly CUST'!$N$1:$CG$1,0))),IF($J6="Modeled UPC",INDEX('Monthly CUST'!$N$2:$CG$65,MATCH($D6,'Monthly CUST'!$D$2:$D$65,0),MATCH(CF$1,'Monthly CUST'!$N$1:$CG$1,0))/12*$M6,IF($J6="Base Period",BT6,IF($J6="Adjusted",SUMIF('Input 15_Fcst Inputs'!$A:$A,$D6,'Input 15_Fcst Inputs'!$G:$G)/12))))),0)</f>
        <v>0</v>
      </c>
      <c r="CG6" s="483">
        <f>IFERROR(IF($J6="Historical Average",INDEX('Monthly UPC'!$CM$2:$DJ$65,MATCH($D6,'Monthly UPC'!$D$2:$D$65,0),MATCH(CG$1,'Monthly UPC'!$CM$1:$DJ$1))*(INDEX('Monthly CUST'!$N$2:$CG$65,MATCH($D6,'Monthly CUST'!$D$2:$D$65,0),MATCH(CG$1,'Monthly CUST'!$N$1:$CG$1,0))),IF($J6="UPC Growth Rate",((BU6/INDEX('Monthly CUST'!$N$2:$CG$65,MATCH($D6,'Monthly CUST'!$D$2:$D$65,0),MATCH(BU$1,'Monthly CUST'!$N$1:$CG$1,0)))*(1+$L6)*INDEX('Monthly CUST'!$N$2:$CG$65,MATCH($D6,'Monthly CUST'!$D$2:$D$65,0),MATCH(CG$1,'Monthly CUST'!$N$1:$CG$1,0))),IF($J6="Modeled UPC",INDEX('Monthly CUST'!$N$2:$CG$65,MATCH($D6,'Monthly CUST'!$D$2:$D$65,0),MATCH(CG$1,'Monthly CUST'!$N$1:$CG$1,0))/12*$M6,IF($J6="Base Period",BU6,IF($J6="Adjusted",SUMIF('Input 15_Fcst Inputs'!$A:$A,$D6,'Input 15_Fcst Inputs'!$G:$G)/12))))),0)</f>
        <v>0</v>
      </c>
      <c r="CH6" s="197"/>
      <c r="CI6" s="197">
        <f t="shared" si="0"/>
        <v>0</v>
      </c>
      <c r="CJ6" s="197">
        <f t="shared" si="1"/>
        <v>0</v>
      </c>
      <c r="CK6" s="197">
        <f t="shared" si="2"/>
        <v>0</v>
      </c>
      <c r="CL6" s="197">
        <f t="shared" si="3"/>
        <v>0</v>
      </c>
      <c r="CM6" s="197">
        <f t="shared" si="4"/>
        <v>0</v>
      </c>
      <c r="CN6" s="197">
        <f t="shared" si="5"/>
        <v>0</v>
      </c>
      <c r="CP6" s="4">
        <f>SUMIF('Master '!D:D,D6,'Master '!AH:AH)</f>
        <v>0</v>
      </c>
      <c r="CQ6" s="4">
        <f>SUMIF('Master '!D:D,D6,'Master '!AI:AI)</f>
        <v>0</v>
      </c>
      <c r="CR6" s="197">
        <f t="shared" si="6"/>
        <v>0</v>
      </c>
      <c r="CS6" s="197">
        <f t="shared" si="7"/>
        <v>0</v>
      </c>
      <c r="CT6" t="s">
        <v>287</v>
      </c>
      <c r="CV6" t="str">
        <f>VLOOKUP(G6,'Master '!G:CC,75,FALSE)</f>
        <v>TS-1</v>
      </c>
    </row>
    <row r="7" spans="1:100">
      <c r="A7" s="53" t="s">
        <v>996</v>
      </c>
      <c r="B7" s="53" t="s">
        <v>994</v>
      </c>
      <c r="C7" s="53" t="s">
        <v>8</v>
      </c>
      <c r="D7" s="53" t="s">
        <v>94</v>
      </c>
      <c r="E7" s="53" t="str">
        <f>VLOOKUP(D7,'Input 14_Ref Table'!C:D,2,FALSE)</f>
        <v>FMRES</v>
      </c>
      <c r="F7" s="143" t="s">
        <v>1286</v>
      </c>
      <c r="G7" s="53" t="str">
        <f>VLOOKUP(D7,'Input 14_Ref Table'!C:I,7,FALSE)</f>
        <v>FT - FT-RS</v>
      </c>
      <c r="H7" s="53" t="str">
        <f>VLOOKUP(D7,'Input 14_Ref Table'!C:K,8,FALSE)</f>
        <v>FortMeade_RS</v>
      </c>
      <c r="I7" s="53"/>
      <c r="J7" t="str">
        <f>INDEX('Master '!$AD$2:AD$65,MATCH(D7,'Master '!$D$2:$D$65,0))</f>
        <v>Modeled UPC</v>
      </c>
      <c r="K7" s="458">
        <f>INDEX('Master '!$N$2:N$65,MATCH(D7,'Master '!$D$2:$D$65,0))</f>
        <v>-5.2281762574494024E-2</v>
      </c>
      <c r="L7" s="137">
        <f>INDEX('Master '!$S$2:S$65,MATCH(D7,'Master '!$D$2:$D$65,0))</f>
        <v>-1.1031629750926494E-2</v>
      </c>
      <c r="M7" s="4">
        <f>INDEX('Master '!$W$2:W$65,MATCH(D7,'Master '!$D$2:$D$65,0))</f>
        <v>114.75</v>
      </c>
      <c r="N7" s="268">
        <f>SUMIF('Input 16.1_2018VOL-YTD'!$R:$R,$G7,'Input 16.1_2018VOL-YTD'!C:C)</f>
        <v>12574.500000000045</v>
      </c>
      <c r="O7" s="268">
        <f>SUMIF('Input 16.1_2018VOL-YTD'!$R:$R,$G7,'Input 16.1_2018VOL-YTD'!D:D)</f>
        <v>8347.6699999999728</v>
      </c>
      <c r="P7" s="268">
        <f>SUMIF('Input 16.1_2018VOL-YTD'!$R:$R,$G7,'Input 16.1_2018VOL-YTD'!E:E)</f>
        <v>5859.0799999999635</v>
      </c>
      <c r="Q7" s="268">
        <f>SUMIF('Input 16.1_2018VOL-YTD'!$R:$R,$G7,'Input 16.1_2018VOL-YTD'!F:F)</f>
        <v>6412.2599999999566</v>
      </c>
      <c r="R7" s="268">
        <f>SUMIF('Input 16.1_2018VOL-YTD'!$R:$R,$G7,'Input 16.1_2018VOL-YTD'!G:G)</f>
        <v>4744.7999999999956</v>
      </c>
      <c r="S7" s="268">
        <f>SUMIF('Input 16.1_2018VOL-YTD'!$R:$R,$G7,'Input 16.1_2018VOL-YTD'!H:H)</f>
        <v>5330.6499999999705</v>
      </c>
      <c r="T7" s="268">
        <f>SUMIF('Input 16.1_2018VOL-YTD'!$R:$R,$G7,'Input 16.1_2018VOL-YTD'!I:I)</f>
        <v>4154.9900000000025</v>
      </c>
      <c r="U7" s="268">
        <f>SUMIF('Input 16.1_2018VOL-YTD'!$R:$R,$G7,'Input 16.1_2018VOL-YTD'!J:J)</f>
        <v>4439</v>
      </c>
      <c r="V7" s="268">
        <f>SUMIF('Input 16.1_2018VOL-YTD'!$R:$R,$G7,'Input 16.1_2018VOL-YTD'!K:K)</f>
        <v>4496.979999999995</v>
      </c>
      <c r="W7" s="268">
        <f>SUMIF('Input 16.1_2018VOL-YTD'!$R:$R,$G7,'Input 16.1_2018VOL-YTD'!L:L)</f>
        <v>3929.1100000000047</v>
      </c>
      <c r="X7" s="268">
        <f>SUMIF('Input 16.1_2018VOL-YTD'!$R:$R,$G7,'Input 16.1_2018VOL-YTD'!M:M)</f>
        <v>4862.0899999999901</v>
      </c>
      <c r="Y7" s="268">
        <f>SUMIF('Input 16.1_2018VOL-YTD'!$R:$R,$G7,'Input 16.1_2018VOL-YTD'!N:N)</f>
        <v>7307.9499999999725</v>
      </c>
      <c r="Z7" s="268">
        <f>SUMIF('Input 3.1_2019VOL-YTD'!$R:$R,$G7,'Input 3.1_2019VOL-YTD'!C:C)</f>
        <v>9567.3800000000228</v>
      </c>
      <c r="AA7" s="268">
        <f>SUMIF('Input 3.1_2019VOL-YTD'!$R:$R,$G7,'Input 3.1_2019VOL-YTD'!D:D)</f>
        <v>9064.0400000000118</v>
      </c>
      <c r="AB7" s="268">
        <f>SUMIF('Input 3.1_2019VOL-YTD'!$R:$R,$G7,'Input 3.1_2019VOL-YTD'!E:E)</f>
        <v>5882.6399999999667</v>
      </c>
      <c r="AC7" s="268">
        <f>SUMIF('Input 3.1_2019VOL-YTD'!$R:$R,$G7,'Input 3.1_2019VOL-YTD'!F:F)</f>
        <v>5806.7899999999681</v>
      </c>
      <c r="AD7" s="268">
        <f>SUMIF('Input 3.1_2019VOL-YTD'!$R:$R,$G7,'Input 3.1_2019VOL-YTD'!G:G)</f>
        <v>5199.0499999999838</v>
      </c>
      <c r="AE7" s="268">
        <f>SUMIF('Input 3.1_2019VOL-YTD'!$R:$R,$G7,'Input 3.1_2019VOL-YTD'!H:H)</f>
        <v>4612.7999999999993</v>
      </c>
      <c r="AF7" s="268">
        <f>SUMIF('Input 3.1_2019VOL-YTD'!$R:$R,$G7,'Input 3.1_2019VOL-YTD'!I:I)</f>
        <v>3950.8200000000065</v>
      </c>
      <c r="AG7" s="268">
        <f>SUMIF('Input 3.1_2019VOL-YTD'!$R:$R,$G7,'Input 3.1_2019VOL-YTD'!J:J)</f>
        <v>4288.6500000000033</v>
      </c>
      <c r="AH7" s="268">
        <f>SUMIF('Input 3.1_2019VOL-YTD'!$R:$R,$G7,'Input 3.1_2019VOL-YTD'!K:K)</f>
        <v>4189.7</v>
      </c>
      <c r="AI7" s="268">
        <f>SUMIF('Input 3.1_2019VOL-YTD'!$R:$R,$G7,'Input 3.1_2019VOL-YTD'!L:L)</f>
        <v>4373</v>
      </c>
      <c r="AJ7" s="268">
        <f>SUMIF('Input 3.1_2019VOL-YTD'!$R:$R,$G7,'Input 3.1_2019VOL-YTD'!M:M)</f>
        <v>4843.2699999999877</v>
      </c>
      <c r="AK7" s="268">
        <f>SUMIF('Input 3.1_2019VOL-YTD'!$R:$R,$G7,'Input 3.1_2019VOL-YTD'!N:N)</f>
        <v>7729.09</v>
      </c>
      <c r="AL7" s="268">
        <f>SUMIF('Input 4.1_2020VOL-YTD'!$R:$R,$G7,'Input 4.1_2020VOL-YTD'!C:C)</f>
        <v>8151.8499999999776</v>
      </c>
      <c r="AM7" s="268">
        <f>SUMIF('Input 4.1_2020VOL-YTD'!$R:$R,$G7,'Input 4.1_2020VOL-YTD'!D:D)</f>
        <v>7549.4599999999673</v>
      </c>
      <c r="AN7" s="268">
        <f>SUMIF('Input 4.1_2020VOL-YTD'!$R:$R,$G7,'Input 4.1_2020VOL-YTD'!E:E)</f>
        <v>6797.8399999999692</v>
      </c>
      <c r="AO7" s="268">
        <f>SUMIF('Input 4.1_2020VOL-YTD'!$R:$R,$G7,'Input 4.1_2020VOL-YTD'!F:F)</f>
        <v>6009.1499999999733</v>
      </c>
      <c r="AP7" s="268">
        <f>SUMIF('Input 4.1_2020VOL-YTD'!$R:$R,$G7,'Input 4.1_2020VOL-YTD'!G:G)</f>
        <v>5323.240000000008</v>
      </c>
      <c r="AQ7" s="268">
        <f>SUMIF('Input 4.1_2020VOL-YTD'!$R:$R,$G7,'Input 4.1_2020VOL-YTD'!H:H)</f>
        <v>4575.8299999999963</v>
      </c>
      <c r="AR7" s="268">
        <f>SUMIF('Input 4.1_2020VOL-YTD'!$R:$R,$G7,'Input 4.1_2020VOL-YTD'!I:I)</f>
        <v>4700.0099999999948</v>
      </c>
      <c r="AS7" s="268">
        <f>SUMIF('Input 4.1_2020VOL-YTD'!$R:$R,$G7,'Input 4.1_2020VOL-YTD'!J:J)</f>
        <v>4104.8500000000095</v>
      </c>
      <c r="AT7" s="268">
        <f>SUMIF('Input 4.1_2020VOL-YTD'!$R:$R,$G7,'Input 4.1_2020VOL-YTD'!K:K)</f>
        <v>4652.2699999999977</v>
      </c>
      <c r="AU7" s="268">
        <f>SUMIF('Input 4.1_2020VOL-YTD'!$R:$R,$G7,'Input 4.1_2020VOL-YTD'!L:L)</f>
        <v>4668.5899999999956</v>
      </c>
      <c r="AV7" s="268">
        <f>SUMIF('Input 4.1_2020VOL-YTD'!$R:$R,$G7,'Input 4.1_2020VOL-YTD'!M:M)</f>
        <v>5208.640000000024</v>
      </c>
      <c r="AW7" s="268">
        <f>SUMIF('Input 4.1_2020VOL-YTD'!$R:$R,$G7,'Input 4.1_2020VOL-YTD'!N:N)</f>
        <v>7924.1799999999757</v>
      </c>
      <c r="AX7" s="268">
        <f>SUMIF('Input 5.1_2021VOL-YTD'!$R:$R,$G7,'Input 5.1_2021VOL-YTD'!C:C)</f>
        <v>9745.2299999999905</v>
      </c>
      <c r="AY7" s="268">
        <f>SUMIF('Input 5.1_2021VOL-YTD'!$R:$R,$G7,'Input 5.1_2021VOL-YTD'!D:D)</f>
        <v>7917.4600000000237</v>
      </c>
      <c r="AZ7" s="268">
        <f>SUMIF('Input 5.1_2021VOL-YTD'!$R:$R,$G7,'Input 5.1_2021VOL-YTD'!E:E)</f>
        <v>6080.2400000000089</v>
      </c>
      <c r="BA7" s="268">
        <f>SUMIF('Input 5.1_2021VOL-YTD'!$R:$R,$G7,'Input 5.1_2021VOL-YTD'!F:F)</f>
        <v>6465.3900000000067</v>
      </c>
      <c r="BB7" s="268">
        <f>SUMIF('Input 5.1_2021VOL-YTD'!$R:$R,$G7,'Input 5.1_2021VOL-YTD'!G:G)</f>
        <v>4844.2799999999907</v>
      </c>
      <c r="BC7" s="268">
        <f>SUMIF('Input 5.1_2021VOL-YTD'!$R:$R,$G7,'Input 5.1_2021VOL-YTD'!H:H)</f>
        <v>4263.9199999999992</v>
      </c>
      <c r="BD7" s="268">
        <f>SUMIF('Input 5.1_2021VOL-YTD'!$R:$R,$G7,'Input 5.1_2021VOL-YTD'!I:I)</f>
        <v>4465.2299999999977</v>
      </c>
      <c r="BE7" s="268">
        <f>SUMIF('Input 5.1_2021VOL-YTD'!$R:$R,$G7,'Input 5.1_2021VOL-YTD'!J:J)</f>
        <v>3661.4500000000039</v>
      </c>
      <c r="BF7" s="268">
        <f>SUMIF('Input 5.1_2021VOL-YTD'!$R:$R,$G7,'Input 5.1_2021VOL-YTD'!K:K)</f>
        <v>4400.9100000000089</v>
      </c>
      <c r="BG7" s="268">
        <f>SUMIF('Input 5.1_2021VOL-YTD'!$R:$R,$G7,'Input 5.1_2021VOL-YTD'!L:L)</f>
        <v>3995.6400000000099</v>
      </c>
      <c r="BH7" s="268">
        <f>SUMIF('Input 5.1_2021VOL-YTD'!$R:$R,$G7,'Input 5.1_2021VOL-YTD'!M:M)</f>
        <v>4766.7599999999939</v>
      </c>
      <c r="BI7" s="268">
        <f>SUMIF('Input 5.1_2021VOL-YTD'!$R:$R,$G7,'Input 5.1_2021VOL-YTD'!N:N)</f>
        <v>6815.1999999999643</v>
      </c>
      <c r="BJ7" s="483">
        <f>IFERROR(IF($J7="Historical Average",INDEX('Monthly UPC'!$CM$2:$DJ$65,MATCH($D7,'Monthly UPC'!$D$2:$D$65,0),MATCH(BJ$1,'Monthly UPC'!$CM$1:$DJ$1))*(INDEX('Monthly CUST'!$N$2:$CG$65,MATCH($D7,'Monthly CUST'!$D$2:$D$65,0),MATCH(BJ$1,'Monthly CUST'!$N$1:$CG$1,0))),IF($J7="UPC Growth Rate",((AX7/INDEX('Monthly CUST'!$N$2:$CG$65,MATCH($D7,'Monthly CUST'!$D$2:$D$65,0),MATCH(AX$1,'Monthly CUST'!$N$1:$CG$1,0)))*(1+$L7)*INDEX('Monthly CUST'!$N$2:$CG$65,MATCH($D7,'Monthly CUST'!$D$2:$D$65,0),MATCH(BJ$1,'Monthly CUST'!$N$1:$CG$1,0))),IF($J7="Modeled UPC",INDEX('Monthly CUST'!$N$2:$CG$65,MATCH($D7,'Monthly CUST'!$D$2:$D$65,0),MATCH(BJ$1,'Monthly CUST'!$N$1:$CG$1,0))/12*$M7,IF($J7="Base Period",AX7,IF($J7="Adjusted",SUMIF('Input 15_Fcst Inputs'!$A:$A,$D7,'Input 15_Fcst Inputs'!$G:$G)/12))))),0)</f>
        <v>5075.0311614135844</v>
      </c>
      <c r="BK7" s="483">
        <f>IFERROR(IF($J7="Historical Average",INDEX('Monthly UPC'!$CM$2:$DJ$65,MATCH($D7,'Monthly UPC'!$D$2:$D$65,0),MATCH(BK$1,'Monthly UPC'!$CM$1:$DJ$1))*(INDEX('Monthly CUST'!$N$2:$CG$65,MATCH($D7,'Monthly CUST'!$D$2:$D$65,0),MATCH(BK$1,'Monthly CUST'!$N$1:$CG$1,0))),IF($J7="UPC Growth Rate",((AY7/INDEX('Monthly CUST'!$N$2:$CG$65,MATCH($D7,'Monthly CUST'!$D$2:$D$65,0),MATCH(AY$1,'Monthly CUST'!$N$1:$CG$1,0)))*(1+$L7)*INDEX('Monthly CUST'!$N$2:$CG$65,MATCH($D7,'Monthly CUST'!$D$2:$D$65,0),MATCH(BK$1,'Monthly CUST'!$N$1:$CG$1,0))),IF($J7="Modeled UPC",INDEX('Monthly CUST'!$N$2:$CG$65,MATCH($D7,'Monthly CUST'!$D$2:$D$65,0),MATCH(BK$1,'Monthly CUST'!$N$1:$CG$1,0))/12*$M7,IF($J7="Base Period",AY7,IF($J7="Adjusted",SUMIF('Input 15_Fcst Inputs'!$A:$A,$D7,'Input 15_Fcst Inputs'!$G:$G)/12))))),0)</f>
        <v>5120.343939640491</v>
      </c>
      <c r="BL7" s="483">
        <f>IFERROR(IF($J7="Historical Average",INDEX('Monthly UPC'!$CM$2:$DJ$65,MATCH($D7,'Monthly UPC'!$D$2:$D$65,0),MATCH(BL$1,'Monthly UPC'!$CM$1:$DJ$1))*(INDEX('Monthly CUST'!$N$2:$CG$65,MATCH($D7,'Monthly CUST'!$D$2:$D$65,0),MATCH(BL$1,'Monthly CUST'!$N$1:$CG$1,0))),IF($J7="UPC Growth Rate",((AZ7/INDEX('Monthly CUST'!$N$2:$CG$65,MATCH($D7,'Monthly CUST'!$D$2:$D$65,0),MATCH(AZ$1,'Monthly CUST'!$N$1:$CG$1,0)))*(1+$L7)*INDEX('Monthly CUST'!$N$2:$CG$65,MATCH($D7,'Monthly CUST'!$D$2:$D$65,0),MATCH(BL$1,'Monthly CUST'!$N$1:$CG$1,0))),IF($J7="Modeled UPC",INDEX('Monthly CUST'!$N$2:$CG$65,MATCH($D7,'Monthly CUST'!$D$2:$D$65,0),MATCH(BL$1,'Monthly CUST'!$N$1:$CG$1,0))/12*$M7,IF($J7="Base Period",AZ7,IF($J7="Adjusted",SUMIF('Input 15_Fcst Inputs'!$A:$A,$D7,'Input 15_Fcst Inputs'!$G:$G)/12))))),0)</f>
        <v>5102.2188283497289</v>
      </c>
      <c r="BM7" s="483">
        <f>IFERROR(IF($J7="Historical Average",INDEX('Monthly UPC'!$CM$2:$DJ$65,MATCH($D7,'Monthly UPC'!$D$2:$D$65,0),MATCH(BM$1,'Monthly UPC'!$CM$1:$DJ$1))*(INDEX('Monthly CUST'!$N$2:$CG$65,MATCH($D7,'Monthly CUST'!$D$2:$D$65,0),MATCH(BM$1,'Monthly CUST'!$N$1:$CG$1,0))),IF($J7="UPC Growth Rate",((BA7/INDEX('Monthly CUST'!$N$2:$CG$65,MATCH($D7,'Monthly CUST'!$D$2:$D$65,0),MATCH(BA$1,'Monthly CUST'!$N$1:$CG$1,0)))*(1+$L7)*INDEX('Monthly CUST'!$N$2:$CG$65,MATCH($D7,'Monthly CUST'!$D$2:$D$65,0),MATCH(BM$1,'Monthly CUST'!$N$1:$CG$1,0))),IF($J7="Modeled UPC",INDEX('Monthly CUST'!$N$2:$CG$65,MATCH($D7,'Monthly CUST'!$D$2:$D$65,0),MATCH(BM$1,'Monthly CUST'!$N$1:$CG$1,0))/12*$M7,IF($J7="Base Period",BA7,IF($J7="Adjusted",SUMIF('Input 15_Fcst Inputs'!$A:$A,$D7,'Input 15_Fcst Inputs'!$G:$G)/12))))),0)</f>
        <v>5102.2188283497289</v>
      </c>
      <c r="BN7" s="483">
        <f>IFERROR(IF($J7="Historical Average",INDEX('Monthly UPC'!$CM$2:$DJ$65,MATCH($D7,'Monthly UPC'!$D$2:$D$65,0),MATCH(BN$1,'Monthly UPC'!$CM$1:$DJ$1))*(INDEX('Monthly CUST'!$N$2:$CG$65,MATCH($D7,'Monthly CUST'!$D$2:$D$65,0),MATCH(BN$1,'Monthly CUST'!$N$1:$CG$1,0))),IF($J7="UPC Growth Rate",((BB7/INDEX('Monthly CUST'!$N$2:$CG$65,MATCH($D7,'Monthly CUST'!$D$2:$D$65,0),MATCH(BB$1,'Monthly CUST'!$N$1:$CG$1,0)))*(1+$L7)*INDEX('Monthly CUST'!$N$2:$CG$65,MATCH($D7,'Monthly CUST'!$D$2:$D$65,0),MATCH(BN$1,'Monthly CUST'!$N$1:$CG$1,0))),IF($J7="Modeled UPC",INDEX('Monthly CUST'!$N$2:$CG$65,MATCH($D7,'Monthly CUST'!$D$2:$D$65,0),MATCH(BN$1,'Monthly CUST'!$N$1:$CG$1,0))/12*$M7,IF($J7="Base Period",BB7,IF($J7="Adjusted",SUMIF('Input 15_Fcst Inputs'!$A:$A,$D7,'Input 15_Fcst Inputs'!$G:$G)/12))))),0)</f>
        <v>4984.4056049597702</v>
      </c>
      <c r="BO7" s="483">
        <f>IFERROR(IF($J7="Historical Average",INDEX('Monthly UPC'!$CM$2:$DJ$65,MATCH($D7,'Monthly UPC'!$D$2:$D$65,0),MATCH(BO$1,'Monthly UPC'!$CM$1:$DJ$1))*(INDEX('Monthly CUST'!$N$2:$CG$65,MATCH($D7,'Monthly CUST'!$D$2:$D$65,0),MATCH(BO$1,'Monthly CUST'!$N$1:$CG$1,0))),IF($J7="UPC Growth Rate",((BC7/INDEX('Monthly CUST'!$N$2:$CG$65,MATCH($D7,'Monthly CUST'!$D$2:$D$65,0),MATCH(BC$1,'Monthly CUST'!$N$1:$CG$1,0)))*(1+$L7)*INDEX('Monthly CUST'!$N$2:$CG$65,MATCH($D7,'Monthly CUST'!$D$2:$D$65,0),MATCH(BO$1,'Monthly CUST'!$N$1:$CG$1,0))),IF($J7="Modeled UPC",INDEX('Monthly CUST'!$N$2:$CG$65,MATCH($D7,'Monthly CUST'!$D$2:$D$65,0),MATCH(BO$1,'Monthly CUST'!$N$1:$CG$1,0))/12*$M7,IF($J7="Base Period",BC7,IF($J7="Adjusted",SUMIF('Input 15_Fcst Inputs'!$A:$A,$D7,'Input 15_Fcst Inputs'!$G:$G)/12))))),0)</f>
        <v>4966.2804936690072</v>
      </c>
      <c r="BP7" s="483">
        <f>IFERROR(IF($J7="Historical Average",INDEX('Monthly UPC'!$CM$2:$DJ$65,MATCH($D7,'Monthly UPC'!$D$2:$D$65,0),MATCH(BP$1,'Monthly UPC'!$CM$1:$DJ$1))*(INDEX('Monthly CUST'!$N$2:$CG$65,MATCH($D7,'Monthly CUST'!$D$2:$D$65,0),MATCH(BP$1,'Monthly CUST'!$N$1:$CG$1,0))),IF($J7="UPC Growth Rate",((BD7/INDEX('Monthly CUST'!$N$2:$CG$65,MATCH($D7,'Monthly CUST'!$D$2:$D$65,0),MATCH(BD$1,'Monthly CUST'!$N$1:$CG$1,0)))*(1+$L7)*INDEX('Monthly CUST'!$N$2:$CG$65,MATCH($D7,'Monthly CUST'!$D$2:$D$65,0),MATCH(BP$1,'Monthly CUST'!$N$1:$CG$1,0))),IF($J7="Modeled UPC",INDEX('Monthly CUST'!$N$2:$CG$65,MATCH($D7,'Monthly CUST'!$D$2:$D$65,0),MATCH(BP$1,'Monthly CUST'!$N$1:$CG$1,0))/12*$M7,IF($J7="Base Period",BD7,IF($J7="Adjusted",SUMIF('Input 15_Fcst Inputs'!$A:$A,$D7,'Input 15_Fcst Inputs'!$G:$G)/12))))),0)</f>
        <v>5002.5307162505324</v>
      </c>
      <c r="BQ7" s="483">
        <f>IFERROR(IF($J7="Historical Average",INDEX('Monthly UPC'!$CM$2:$DJ$65,MATCH($D7,'Monthly UPC'!$D$2:$D$65,0),MATCH(BQ$1,'Monthly UPC'!$CM$1:$DJ$1))*(INDEX('Monthly CUST'!$N$2:$CG$65,MATCH($D7,'Monthly CUST'!$D$2:$D$65,0),MATCH(BQ$1,'Monthly CUST'!$N$1:$CG$1,0))),IF($J7="UPC Growth Rate",((BE7/INDEX('Monthly CUST'!$N$2:$CG$65,MATCH($D7,'Monthly CUST'!$D$2:$D$65,0),MATCH(BE$1,'Monthly CUST'!$N$1:$CG$1,0)))*(1+$L7)*INDEX('Monthly CUST'!$N$2:$CG$65,MATCH($D7,'Monthly CUST'!$D$2:$D$65,0),MATCH(BQ$1,'Monthly CUST'!$N$1:$CG$1,0))),IF($J7="Modeled UPC",INDEX('Monthly CUST'!$N$2:$CG$65,MATCH($D7,'Monthly CUST'!$D$2:$D$65,0),MATCH(BQ$1,'Monthly CUST'!$N$1:$CG$1,0))/12*$M7,IF($J7="Base Period",BE7,IF($J7="Adjusted",SUMIF('Input 15_Fcst Inputs'!$A:$A,$D7,'Input 15_Fcst Inputs'!$G:$G)/12))))),0)</f>
        <v>4957.2179380236275</v>
      </c>
      <c r="BR7" s="483">
        <f>IFERROR(IF($J7="Historical Average",INDEX('Monthly UPC'!$CM$2:$DJ$65,MATCH($D7,'Monthly UPC'!$D$2:$D$65,0),MATCH(BR$1,'Monthly UPC'!$CM$1:$DJ$1))*(INDEX('Monthly CUST'!$N$2:$CG$65,MATCH($D7,'Monthly CUST'!$D$2:$D$65,0),MATCH(BR$1,'Monthly CUST'!$N$1:$CG$1,0))),IF($J7="UPC Growth Rate",((BF7/INDEX('Monthly CUST'!$N$2:$CG$65,MATCH($D7,'Monthly CUST'!$D$2:$D$65,0),MATCH(BF$1,'Monthly CUST'!$N$1:$CG$1,0)))*(1+$L7)*INDEX('Monthly CUST'!$N$2:$CG$65,MATCH($D7,'Monthly CUST'!$D$2:$D$65,0),MATCH(BR$1,'Monthly CUST'!$N$1:$CG$1,0))),IF($J7="Modeled UPC",INDEX('Monthly CUST'!$N$2:$CG$65,MATCH($D7,'Monthly CUST'!$D$2:$D$65,0),MATCH(BR$1,'Monthly CUST'!$N$1:$CG$1,0))/12*$M7,IF($J7="Base Period",BF7,IF($J7="Adjusted",SUMIF('Input 15_Fcst Inputs'!$A:$A,$D7,'Input 15_Fcst Inputs'!$G:$G)/12))))),0)</f>
        <v>4966.2804936690072</v>
      </c>
      <c r="BS7" s="483">
        <f>IFERROR(IF($J7="Historical Average",INDEX('Monthly UPC'!$CM$2:$DJ$65,MATCH($D7,'Monthly UPC'!$D$2:$D$65,0),MATCH(BS$1,'Monthly UPC'!$CM$1:$DJ$1))*(INDEX('Monthly CUST'!$N$2:$CG$65,MATCH($D7,'Monthly CUST'!$D$2:$D$65,0),MATCH(BS$1,'Monthly CUST'!$N$1:$CG$1,0))),IF($J7="UPC Growth Rate",((BG7/INDEX('Monthly CUST'!$N$2:$CG$65,MATCH($D7,'Monthly CUST'!$D$2:$D$65,0),MATCH(BG$1,'Monthly CUST'!$N$1:$CG$1,0)))*(1+$L7)*INDEX('Monthly CUST'!$N$2:$CG$65,MATCH($D7,'Monthly CUST'!$D$2:$D$65,0),MATCH(BS$1,'Monthly CUST'!$N$1:$CG$1,0))),IF($J7="Modeled UPC",INDEX('Monthly CUST'!$N$2:$CG$65,MATCH($D7,'Monthly CUST'!$D$2:$D$65,0),MATCH(BS$1,'Monthly CUST'!$N$1:$CG$1,0))/12*$M7,IF($J7="Base Period",BG7,IF($J7="Adjusted",SUMIF('Input 15_Fcst Inputs'!$A:$A,$D7,'Input 15_Fcst Inputs'!$G:$G)/12))))),0)</f>
        <v>4939.0928267328636</v>
      </c>
      <c r="BT7" s="483">
        <f>IFERROR(IF($J7="Historical Average",INDEX('Monthly UPC'!$CM$2:$DJ$65,MATCH($D7,'Monthly UPC'!$D$2:$D$65,0),MATCH(BT$1,'Monthly UPC'!$CM$1:$DJ$1))*(INDEX('Monthly CUST'!$N$2:$CG$65,MATCH($D7,'Monthly CUST'!$D$2:$D$65,0),MATCH(BT$1,'Monthly CUST'!$N$1:$CG$1,0))),IF($J7="UPC Growth Rate",((BH7/INDEX('Monthly CUST'!$N$2:$CG$65,MATCH($D7,'Monthly CUST'!$D$2:$D$65,0),MATCH(BH$1,'Monthly CUST'!$N$1:$CG$1,0)))*(1+$L7)*INDEX('Monthly CUST'!$N$2:$CG$65,MATCH($D7,'Monthly CUST'!$D$2:$D$65,0),MATCH(BT$1,'Monthly CUST'!$N$1:$CG$1,0))),IF($J7="Modeled UPC",INDEX('Monthly CUST'!$N$2:$CG$65,MATCH($D7,'Monthly CUST'!$D$2:$D$65,0),MATCH(BT$1,'Monthly CUST'!$N$1:$CG$1,0))/12*$M7,IF($J7="Base Period",BH7,IF($J7="Adjusted",SUMIF('Input 15_Fcst Inputs'!$A:$A,$D7,'Input 15_Fcst Inputs'!$G:$G)/12))))),0)</f>
        <v>4930.0302710874821</v>
      </c>
      <c r="BU7" s="483">
        <f>IFERROR(IF($J7="Historical Average",INDEX('Monthly UPC'!$CM$2:$DJ$65,MATCH($D7,'Monthly UPC'!$D$2:$D$65,0),MATCH(BU$1,'Monthly UPC'!$CM$1:$DJ$1))*(INDEX('Monthly CUST'!$N$2:$CG$65,MATCH($D7,'Monthly CUST'!$D$2:$D$65,0),MATCH(BU$1,'Monthly CUST'!$N$1:$CG$1,0))),IF($J7="UPC Growth Rate",((BI7/INDEX('Monthly CUST'!$N$2:$CG$65,MATCH($D7,'Monthly CUST'!$D$2:$D$65,0),MATCH(BI$1,'Monthly CUST'!$N$1:$CG$1,0)))*(1+$L7)*INDEX('Monthly CUST'!$N$2:$CG$65,MATCH($D7,'Monthly CUST'!$D$2:$D$65,0),MATCH(BU$1,'Monthly CUST'!$N$1:$CG$1,0))),IF($J7="Modeled UPC",INDEX('Monthly CUST'!$N$2:$CG$65,MATCH($D7,'Monthly CUST'!$D$2:$D$65,0),MATCH(BU$1,'Monthly CUST'!$N$1:$CG$1,0))/12*$M7,IF($J7="Base Period",BI7,IF($J7="Adjusted",SUMIF('Input 15_Fcst Inputs'!$A:$A,$D7,'Input 15_Fcst Inputs'!$G:$G)/12))))),0)</f>
        <v>4948.1553823782451</v>
      </c>
      <c r="BV7" s="483">
        <f>IFERROR(IF($J7="Historical Average",INDEX('Monthly UPC'!$CM$2:$DJ$65,MATCH($D7,'Monthly UPC'!$D$2:$D$65,0),MATCH(BV$1,'Monthly UPC'!$CM$1:$DJ$1))*(INDEX('Monthly CUST'!$N$2:$CG$65,MATCH($D7,'Monthly CUST'!$D$2:$D$65,0),MATCH(BV$1,'Monthly CUST'!$N$1:$CG$1,0))),IF($J7="UPC Growth Rate",((BJ7/INDEX('Monthly CUST'!$N$2:$CG$65,MATCH($D7,'Monthly CUST'!$D$2:$D$65,0),MATCH(BJ$1,'Monthly CUST'!$N$1:$CG$1,0)))*(1+$L7)*INDEX('Monthly CUST'!$N$2:$CG$65,MATCH($D7,'Monthly CUST'!$D$2:$D$65,0),MATCH(BV$1,'Monthly CUST'!$N$1:$CG$1,0))),IF($J7="Modeled UPC",INDEX('Monthly CUST'!$N$2:$CG$65,MATCH($D7,'Monthly CUST'!$D$2:$D$65,0),MATCH(BV$1,'Monthly CUST'!$N$1:$CG$1,0))/12*$M7,IF($J7="Base Period",BJ7,IF($J7="Adjusted",SUMIF('Input 15_Fcst Inputs'!$A:$A,$D7,'Input 15_Fcst Inputs'!$G:$G)/12))))),0)</f>
        <v>4809.6995871744011</v>
      </c>
      <c r="BW7" s="483">
        <f>IFERROR(IF($J7="Historical Average",INDEX('Monthly UPC'!$CM$2:$DJ$65,MATCH($D7,'Monthly UPC'!$D$2:$D$65,0),MATCH(BW$1,'Monthly UPC'!$CM$1:$DJ$1))*(INDEX('Monthly CUST'!$N$2:$CG$65,MATCH($D7,'Monthly CUST'!$D$2:$D$65,0),MATCH(BW$1,'Monthly CUST'!$N$1:$CG$1,0))),IF($J7="UPC Growth Rate",((BK7/INDEX('Monthly CUST'!$N$2:$CG$65,MATCH($D7,'Monthly CUST'!$D$2:$D$65,0),MATCH(BK$1,'Monthly CUST'!$N$1:$CG$1,0)))*(1+$L7)*INDEX('Monthly CUST'!$N$2:$CG$65,MATCH($D7,'Monthly CUST'!$D$2:$D$65,0),MATCH(BW$1,'Monthly CUST'!$N$1:$CG$1,0))),IF($J7="Modeled UPC",INDEX('Monthly CUST'!$N$2:$CG$65,MATCH($D7,'Monthly CUST'!$D$2:$D$65,0),MATCH(BW$1,'Monthly CUST'!$N$1:$CG$1,0))/12*$M7,IF($J7="Base Period",BK7,IF($J7="Adjusted",SUMIF('Input 15_Fcst Inputs'!$A:$A,$D7,'Input 15_Fcst Inputs'!$G:$G)/12))))),0)</f>
        <v>4852.6433334884578</v>
      </c>
      <c r="BX7" s="483">
        <f>IFERROR(IF($J7="Historical Average",INDEX('Monthly UPC'!$CM$2:$DJ$65,MATCH($D7,'Monthly UPC'!$D$2:$D$65,0),MATCH(BX$1,'Monthly UPC'!$CM$1:$DJ$1))*(INDEX('Monthly CUST'!$N$2:$CG$65,MATCH($D7,'Monthly CUST'!$D$2:$D$65,0),MATCH(BX$1,'Monthly CUST'!$N$1:$CG$1,0))),IF($J7="UPC Growth Rate",((BL7/INDEX('Monthly CUST'!$N$2:$CG$65,MATCH($D7,'Monthly CUST'!$D$2:$D$65,0),MATCH(BL$1,'Monthly CUST'!$N$1:$CG$1,0)))*(1+$L7)*INDEX('Monthly CUST'!$N$2:$CG$65,MATCH($D7,'Monthly CUST'!$D$2:$D$65,0),MATCH(BX$1,'Monthly CUST'!$N$1:$CG$1,0))),IF($J7="Modeled UPC",INDEX('Monthly CUST'!$N$2:$CG$65,MATCH($D7,'Monthly CUST'!$D$2:$D$65,0),MATCH(BX$1,'Monthly CUST'!$N$1:$CG$1,0))/12*$M7,IF($J7="Base Period",BL7,IF($J7="Adjusted",SUMIF('Input 15_Fcst Inputs'!$A:$A,$D7,'Input 15_Fcst Inputs'!$G:$G)/12))))),0)</f>
        <v>4835.4658349628353</v>
      </c>
      <c r="BY7" s="483">
        <f>IFERROR(IF($J7="Historical Average",INDEX('Monthly UPC'!$CM$2:$DJ$65,MATCH($D7,'Monthly UPC'!$D$2:$D$65,0),MATCH(BY$1,'Monthly UPC'!$CM$1:$DJ$1))*(INDEX('Monthly CUST'!$N$2:$CG$65,MATCH($D7,'Monthly CUST'!$D$2:$D$65,0),MATCH(BY$1,'Monthly CUST'!$N$1:$CG$1,0))),IF($J7="UPC Growth Rate",((BM7/INDEX('Monthly CUST'!$N$2:$CG$65,MATCH($D7,'Monthly CUST'!$D$2:$D$65,0),MATCH(BM$1,'Monthly CUST'!$N$1:$CG$1,0)))*(1+$L7)*INDEX('Monthly CUST'!$N$2:$CG$65,MATCH($D7,'Monthly CUST'!$D$2:$D$65,0),MATCH(BY$1,'Monthly CUST'!$N$1:$CG$1,0))),IF($J7="Modeled UPC",INDEX('Monthly CUST'!$N$2:$CG$65,MATCH($D7,'Monthly CUST'!$D$2:$D$65,0),MATCH(BY$1,'Monthly CUST'!$N$1:$CG$1,0))/12*$M7,IF($J7="Base Period",BM7,IF($J7="Adjusted",SUMIF('Input 15_Fcst Inputs'!$A:$A,$D7,'Input 15_Fcst Inputs'!$G:$G)/12))))),0)</f>
        <v>4835.4658349628353</v>
      </c>
      <c r="BZ7" s="483">
        <f>IFERROR(IF($J7="Historical Average",INDEX('Monthly UPC'!$CM$2:$DJ$65,MATCH($D7,'Monthly UPC'!$D$2:$D$65,0),MATCH(BZ$1,'Monthly UPC'!$CM$1:$DJ$1))*(INDEX('Monthly CUST'!$N$2:$CG$65,MATCH($D7,'Monthly CUST'!$D$2:$D$65,0),MATCH(BZ$1,'Monthly CUST'!$N$1:$CG$1,0))),IF($J7="UPC Growth Rate",((BN7/INDEX('Monthly CUST'!$N$2:$CG$65,MATCH($D7,'Monthly CUST'!$D$2:$D$65,0),MATCH(BN$1,'Monthly CUST'!$N$1:$CG$1,0)))*(1+$L7)*INDEX('Monthly CUST'!$N$2:$CG$65,MATCH($D7,'Monthly CUST'!$D$2:$D$65,0),MATCH(BZ$1,'Monthly CUST'!$N$1:$CG$1,0))),IF($J7="Modeled UPC",INDEX('Monthly CUST'!$N$2:$CG$65,MATCH($D7,'Monthly CUST'!$D$2:$D$65,0),MATCH(BZ$1,'Monthly CUST'!$N$1:$CG$1,0))/12*$M7,IF($J7="Base Period",BN7,IF($J7="Adjusted",SUMIF('Input 15_Fcst Inputs'!$A:$A,$D7,'Input 15_Fcst Inputs'!$G:$G)/12))))),0)</f>
        <v>4723.812094546287</v>
      </c>
      <c r="CA7" s="483">
        <f>IFERROR(IF($J7="Historical Average",INDEX('Monthly UPC'!$CM$2:$DJ$65,MATCH($D7,'Monthly UPC'!$D$2:$D$65,0),MATCH(CA$1,'Monthly UPC'!$CM$1:$DJ$1))*(INDEX('Monthly CUST'!$N$2:$CG$65,MATCH($D7,'Monthly CUST'!$D$2:$D$65,0),MATCH(CA$1,'Monthly CUST'!$N$1:$CG$1,0))),IF($J7="UPC Growth Rate",((BO7/INDEX('Monthly CUST'!$N$2:$CG$65,MATCH($D7,'Monthly CUST'!$D$2:$D$65,0),MATCH(BO$1,'Monthly CUST'!$N$1:$CG$1,0)))*(1+$L7)*INDEX('Monthly CUST'!$N$2:$CG$65,MATCH($D7,'Monthly CUST'!$D$2:$D$65,0),MATCH(CA$1,'Monthly CUST'!$N$1:$CG$1,0))),IF($J7="Modeled UPC",INDEX('Monthly CUST'!$N$2:$CG$65,MATCH($D7,'Monthly CUST'!$D$2:$D$65,0),MATCH(CA$1,'Monthly CUST'!$N$1:$CG$1,0))/12*$M7,IF($J7="Base Period",BO7,IF($J7="Adjusted",SUMIF('Input 15_Fcst Inputs'!$A:$A,$D7,'Input 15_Fcst Inputs'!$G:$G)/12))))),0)</f>
        <v>4706.6345960206636</v>
      </c>
      <c r="CB7" s="483">
        <f>IFERROR(IF($J7="Historical Average",INDEX('Monthly UPC'!$CM$2:$DJ$65,MATCH($D7,'Monthly UPC'!$D$2:$D$65,0),MATCH(CB$1,'Monthly UPC'!$CM$1:$DJ$1))*(INDEX('Monthly CUST'!$N$2:$CG$65,MATCH($D7,'Monthly CUST'!$D$2:$D$65,0),MATCH(CB$1,'Monthly CUST'!$N$1:$CG$1,0))),IF($J7="UPC Growth Rate",((BP7/INDEX('Monthly CUST'!$N$2:$CG$65,MATCH($D7,'Monthly CUST'!$D$2:$D$65,0),MATCH(BP$1,'Monthly CUST'!$N$1:$CG$1,0)))*(1+$L7)*INDEX('Monthly CUST'!$N$2:$CG$65,MATCH($D7,'Monthly CUST'!$D$2:$D$65,0),MATCH(CB$1,'Monthly CUST'!$N$1:$CG$1,0))),IF($J7="Modeled UPC",INDEX('Monthly CUST'!$N$2:$CG$65,MATCH($D7,'Monthly CUST'!$D$2:$D$65,0),MATCH(CB$1,'Monthly CUST'!$N$1:$CG$1,0))/12*$M7,IF($J7="Base Period",BP7,IF($J7="Adjusted",SUMIF('Input 15_Fcst Inputs'!$A:$A,$D7,'Input 15_Fcst Inputs'!$G:$G)/12))))),0)</f>
        <v>4740.9895930719094</v>
      </c>
      <c r="CC7" s="483">
        <f>IFERROR(IF($J7="Historical Average",INDEX('Monthly UPC'!$CM$2:$DJ$65,MATCH($D7,'Monthly UPC'!$D$2:$D$65,0),MATCH(CC$1,'Monthly UPC'!$CM$1:$DJ$1))*(INDEX('Monthly CUST'!$N$2:$CG$65,MATCH($D7,'Monthly CUST'!$D$2:$D$65,0),MATCH(CC$1,'Monthly CUST'!$N$1:$CG$1,0))),IF($J7="UPC Growth Rate",((BQ7/INDEX('Monthly CUST'!$N$2:$CG$65,MATCH($D7,'Monthly CUST'!$D$2:$D$65,0),MATCH(BQ$1,'Monthly CUST'!$N$1:$CG$1,0)))*(1+$L7)*INDEX('Monthly CUST'!$N$2:$CG$65,MATCH($D7,'Monthly CUST'!$D$2:$D$65,0),MATCH(CC$1,'Monthly CUST'!$N$1:$CG$1,0))),IF($J7="Modeled UPC",INDEX('Monthly CUST'!$N$2:$CG$65,MATCH($D7,'Monthly CUST'!$D$2:$D$65,0),MATCH(CC$1,'Monthly CUST'!$N$1:$CG$1,0))/12*$M7,IF($J7="Base Period",BQ7,IF($J7="Adjusted",SUMIF('Input 15_Fcst Inputs'!$A:$A,$D7,'Input 15_Fcst Inputs'!$G:$G)/12))))),0)</f>
        <v>4698.0458467578537</v>
      </c>
      <c r="CD7" s="483">
        <f>IFERROR(IF($J7="Historical Average",INDEX('Monthly UPC'!$CM$2:$DJ$65,MATCH($D7,'Monthly UPC'!$D$2:$D$65,0),MATCH(CD$1,'Monthly UPC'!$CM$1:$DJ$1))*(INDEX('Monthly CUST'!$N$2:$CG$65,MATCH($D7,'Monthly CUST'!$D$2:$D$65,0),MATCH(CD$1,'Monthly CUST'!$N$1:$CG$1,0))),IF($J7="UPC Growth Rate",((BR7/INDEX('Monthly CUST'!$N$2:$CG$65,MATCH($D7,'Monthly CUST'!$D$2:$D$65,0),MATCH(BR$1,'Monthly CUST'!$N$1:$CG$1,0)))*(1+$L7)*INDEX('Monthly CUST'!$N$2:$CG$65,MATCH($D7,'Monthly CUST'!$D$2:$D$65,0),MATCH(CD$1,'Monthly CUST'!$N$1:$CG$1,0))),IF($J7="Modeled UPC",INDEX('Monthly CUST'!$N$2:$CG$65,MATCH($D7,'Monthly CUST'!$D$2:$D$65,0),MATCH(CD$1,'Monthly CUST'!$N$1:$CG$1,0))/12*$M7,IF($J7="Base Period",BR7,IF($J7="Adjusted",SUMIF('Input 15_Fcst Inputs'!$A:$A,$D7,'Input 15_Fcst Inputs'!$G:$G)/12))))),0)</f>
        <v>4706.6345960206636</v>
      </c>
      <c r="CE7" s="483">
        <f>IFERROR(IF($J7="Historical Average",INDEX('Monthly UPC'!$CM$2:$DJ$65,MATCH($D7,'Monthly UPC'!$D$2:$D$65,0),MATCH(CE$1,'Monthly UPC'!$CM$1:$DJ$1))*(INDEX('Monthly CUST'!$N$2:$CG$65,MATCH($D7,'Monthly CUST'!$D$2:$D$65,0),MATCH(CE$1,'Monthly CUST'!$N$1:$CG$1,0))),IF($J7="UPC Growth Rate",((BS7/INDEX('Monthly CUST'!$N$2:$CG$65,MATCH($D7,'Monthly CUST'!$D$2:$D$65,0),MATCH(BS$1,'Monthly CUST'!$N$1:$CG$1,0)))*(1+$L7)*INDEX('Monthly CUST'!$N$2:$CG$65,MATCH($D7,'Monthly CUST'!$D$2:$D$65,0),MATCH(CE$1,'Monthly CUST'!$N$1:$CG$1,0))),IF($J7="Modeled UPC",INDEX('Monthly CUST'!$N$2:$CG$65,MATCH($D7,'Monthly CUST'!$D$2:$D$65,0),MATCH(CE$1,'Monthly CUST'!$N$1:$CG$1,0))/12*$M7,IF($J7="Base Period",BS7,IF($J7="Adjusted",SUMIF('Input 15_Fcst Inputs'!$A:$A,$D7,'Input 15_Fcst Inputs'!$G:$G)/12))))),0)</f>
        <v>4680.8683482322294</v>
      </c>
      <c r="CF7" s="483">
        <f>IFERROR(IF($J7="Historical Average",INDEX('Monthly UPC'!$CM$2:$DJ$65,MATCH($D7,'Monthly UPC'!$D$2:$D$65,0),MATCH(CF$1,'Monthly UPC'!$CM$1:$DJ$1))*(INDEX('Monthly CUST'!$N$2:$CG$65,MATCH($D7,'Monthly CUST'!$D$2:$D$65,0),MATCH(CF$1,'Monthly CUST'!$N$1:$CG$1,0))),IF($J7="UPC Growth Rate",((BT7/INDEX('Monthly CUST'!$N$2:$CG$65,MATCH($D7,'Monthly CUST'!$D$2:$D$65,0),MATCH(BT$1,'Monthly CUST'!$N$1:$CG$1,0)))*(1+$L7)*INDEX('Monthly CUST'!$N$2:$CG$65,MATCH($D7,'Monthly CUST'!$D$2:$D$65,0),MATCH(CF$1,'Monthly CUST'!$N$1:$CG$1,0))),IF($J7="Modeled UPC",INDEX('Monthly CUST'!$N$2:$CG$65,MATCH($D7,'Monthly CUST'!$D$2:$D$65,0),MATCH(CF$1,'Monthly CUST'!$N$1:$CG$1,0))/12*$M7,IF($J7="Base Period",BT7,IF($J7="Adjusted",SUMIF('Input 15_Fcst Inputs'!$A:$A,$D7,'Input 15_Fcst Inputs'!$G:$G)/12))))),0)</f>
        <v>4672.2795989694177</v>
      </c>
      <c r="CG7" s="483">
        <f>IFERROR(IF($J7="Historical Average",INDEX('Monthly UPC'!$CM$2:$DJ$65,MATCH($D7,'Monthly UPC'!$D$2:$D$65,0),MATCH(CG$1,'Monthly UPC'!$CM$1:$DJ$1))*(INDEX('Monthly CUST'!$N$2:$CG$65,MATCH($D7,'Monthly CUST'!$D$2:$D$65,0),MATCH(CG$1,'Monthly CUST'!$N$1:$CG$1,0))),IF($J7="UPC Growth Rate",((BU7/INDEX('Monthly CUST'!$N$2:$CG$65,MATCH($D7,'Monthly CUST'!$D$2:$D$65,0),MATCH(BU$1,'Monthly CUST'!$N$1:$CG$1,0)))*(1+$L7)*INDEX('Monthly CUST'!$N$2:$CG$65,MATCH($D7,'Monthly CUST'!$D$2:$D$65,0),MATCH(CG$1,'Monthly CUST'!$N$1:$CG$1,0))),IF($J7="Modeled UPC",INDEX('Monthly CUST'!$N$2:$CG$65,MATCH($D7,'Monthly CUST'!$D$2:$D$65,0),MATCH(CG$1,'Monthly CUST'!$N$1:$CG$1,0))/12*$M7,IF($J7="Base Period",BU7,IF($J7="Adjusted",SUMIF('Input 15_Fcst Inputs'!$A:$A,$D7,'Input 15_Fcst Inputs'!$G:$G)/12))))),0)</f>
        <v>4689.4570974950411</v>
      </c>
      <c r="CH7" s="197"/>
      <c r="CI7" s="197">
        <f t="shared" si="0"/>
        <v>72459.079999999885</v>
      </c>
      <c r="CJ7" s="197">
        <f t="shared" si="1"/>
        <v>69507.229999999952</v>
      </c>
      <c r="CK7" s="197">
        <f t="shared" si="2"/>
        <v>69665.909999999887</v>
      </c>
      <c r="CL7" s="197">
        <f t="shared" si="3"/>
        <v>67421.709999999992</v>
      </c>
      <c r="CM7" s="197">
        <f t="shared" si="4"/>
        <v>60093.806484524073</v>
      </c>
      <c r="CN7" s="197">
        <f t="shared" si="5"/>
        <v>56951.996361702601</v>
      </c>
      <c r="CP7" s="4">
        <f>SUMIF('Master '!D:D,D7,'Master '!AH:AH)</f>
        <v>60093.806484524081</v>
      </c>
      <c r="CQ7" s="4">
        <f>SUMIF('Master '!D:D,D7,'Master '!AI:AI)</f>
        <v>56951.996361702601</v>
      </c>
      <c r="CR7" s="197">
        <f t="shared" si="6"/>
        <v>0</v>
      </c>
      <c r="CS7" s="197">
        <f t="shared" si="7"/>
        <v>0</v>
      </c>
      <c r="CT7" t="s">
        <v>287</v>
      </c>
      <c r="CV7" t="str">
        <f>VLOOKUP(G7,'Master '!G:CC,75,FALSE)</f>
        <v>RS</v>
      </c>
    </row>
    <row r="8" spans="1:100">
      <c r="A8" s="53" t="s">
        <v>996</v>
      </c>
      <c r="B8" s="53" t="s">
        <v>994</v>
      </c>
      <c r="C8" s="53" t="s">
        <v>1245</v>
      </c>
      <c r="D8" s="53" t="s">
        <v>96</v>
      </c>
      <c r="E8" s="53" t="str">
        <f>VLOOKUP(D8,'Input 14_Ref Table'!C:D,2,FALSE)</f>
        <v>FMCS1</v>
      </c>
      <c r="F8" s="143" t="s">
        <v>1286</v>
      </c>
      <c r="G8" s="53" t="str">
        <f>VLOOKUP(D8,'Input 14_Ref Table'!C:I,7,FALSE)</f>
        <v>FMCS1</v>
      </c>
      <c r="H8" s="53" t="str">
        <f>VLOOKUP(D8,'Input 14_Ref Table'!C:K,8,FALSE)</f>
        <v>GS1_FortMeade</v>
      </c>
      <c r="I8" s="53"/>
      <c r="J8" t="str">
        <f>INDEX('Master '!$AD$2:AD$65,MATCH(D8,'Master '!$D$2:$D$65,0))</f>
        <v>UPC Growth Rate</v>
      </c>
      <c r="K8" s="458">
        <f>INDEX('Master '!$N$2:N$65,MATCH(D8,'Master '!$D$2:$D$65,0))</f>
        <v>-2.7622859351881829E-2</v>
      </c>
      <c r="L8" s="137">
        <f>INDEX('Master '!$S$2:S$65,MATCH(D8,'Master '!$D$2:$D$65,0))</f>
        <v>-6.3629918468627502E-3</v>
      </c>
      <c r="M8" s="4">
        <f>INDEX('Master '!$W$2:W$65,MATCH(D8,'Master '!$D$2:$D$65,0))</f>
        <v>2803.05</v>
      </c>
      <c r="N8" s="268">
        <f>SUMIF('Input 16.1_2018VOL-YTD'!$R:$R,$G8,'Input 16.1_2018VOL-YTD'!C:C)</f>
        <v>6201.39</v>
      </c>
      <c r="O8" s="268">
        <f>SUMIF('Input 16.1_2018VOL-YTD'!$R:$R,$G8,'Input 16.1_2018VOL-YTD'!D:D)</f>
        <v>5585</v>
      </c>
      <c r="P8" s="268">
        <f>SUMIF('Input 16.1_2018VOL-YTD'!$R:$R,$G8,'Input 16.1_2018VOL-YTD'!E:E)</f>
        <v>4137.22</v>
      </c>
      <c r="Q8" s="268">
        <f>SUMIF('Input 16.1_2018VOL-YTD'!$R:$R,$G8,'Input 16.1_2018VOL-YTD'!F:F)</f>
        <v>4559.3899999999994</v>
      </c>
      <c r="R8" s="268">
        <f>SUMIF('Input 16.1_2018VOL-YTD'!$R:$R,$G8,'Input 16.1_2018VOL-YTD'!G:G)</f>
        <v>3026.5299999999997</v>
      </c>
      <c r="S8" s="268">
        <f>SUMIF('Input 16.1_2018VOL-YTD'!$R:$R,$G8,'Input 16.1_2018VOL-YTD'!H:H)</f>
        <v>2267.1200000000003</v>
      </c>
      <c r="T8" s="268">
        <f>SUMIF('Input 16.1_2018VOL-YTD'!$R:$R,$G8,'Input 16.1_2018VOL-YTD'!I:I)</f>
        <v>1082.3900000000001</v>
      </c>
      <c r="U8" s="268">
        <f>SUMIF('Input 16.1_2018VOL-YTD'!$R:$R,$G8,'Input 16.1_2018VOL-YTD'!J:J)</f>
        <v>1121.8400000000001</v>
      </c>
      <c r="V8" s="268">
        <f>SUMIF('Input 16.1_2018VOL-YTD'!$R:$R,$G8,'Input 16.1_2018VOL-YTD'!K:K)</f>
        <v>1344.3700000000001</v>
      </c>
      <c r="W8" s="268">
        <f>SUMIF('Input 16.1_2018VOL-YTD'!$R:$R,$G8,'Input 16.1_2018VOL-YTD'!L:L)</f>
        <v>1611.14</v>
      </c>
      <c r="X8" s="268">
        <f>SUMIF('Input 16.1_2018VOL-YTD'!$R:$R,$G8,'Input 16.1_2018VOL-YTD'!M:M)</f>
        <v>1776.44</v>
      </c>
      <c r="Y8" s="268">
        <f>SUMIF('Input 16.1_2018VOL-YTD'!$R:$R,$G8,'Input 16.1_2018VOL-YTD'!N:N)</f>
        <v>5899.5</v>
      </c>
      <c r="Z8" s="268">
        <f>SUMIF('Input 3.1_2019VOL-YTD'!$R:$R,$G8,'Input 3.1_2019VOL-YTD'!C:C)</f>
        <v>7524.6900000000005</v>
      </c>
      <c r="AA8" s="268">
        <f>SUMIF('Input 3.1_2019VOL-YTD'!$R:$R,$G8,'Input 3.1_2019VOL-YTD'!D:D)</f>
        <v>6088.1</v>
      </c>
      <c r="AB8" s="268">
        <f>SUMIF('Input 3.1_2019VOL-YTD'!$R:$R,$G8,'Input 3.1_2019VOL-YTD'!E:E)</f>
        <v>4032.7400000000002</v>
      </c>
      <c r="AC8" s="268">
        <f>SUMIF('Input 3.1_2019VOL-YTD'!$R:$R,$G8,'Input 3.1_2019VOL-YTD'!F:F)</f>
        <v>4224.12</v>
      </c>
      <c r="AD8" s="268">
        <f>SUMIF('Input 3.1_2019VOL-YTD'!$R:$R,$G8,'Input 3.1_2019VOL-YTD'!G:G)</f>
        <v>3133.6800000000003</v>
      </c>
      <c r="AE8" s="268">
        <f>SUMIF('Input 3.1_2019VOL-YTD'!$R:$R,$G8,'Input 3.1_2019VOL-YTD'!H:H)</f>
        <v>2671.5200000000004</v>
      </c>
      <c r="AF8" s="268">
        <f>SUMIF('Input 3.1_2019VOL-YTD'!$R:$R,$G8,'Input 3.1_2019VOL-YTD'!I:I)</f>
        <v>1358.8899999999999</v>
      </c>
      <c r="AG8" s="268">
        <f>SUMIF('Input 3.1_2019VOL-YTD'!$R:$R,$G8,'Input 3.1_2019VOL-YTD'!J:J)</f>
        <v>1303.8699999999999</v>
      </c>
      <c r="AH8" s="268">
        <f>SUMIF('Input 3.1_2019VOL-YTD'!$R:$R,$G8,'Input 3.1_2019VOL-YTD'!K:K)</f>
        <v>1299.8899999999999</v>
      </c>
      <c r="AI8" s="268">
        <f>SUMIF('Input 3.1_2019VOL-YTD'!$R:$R,$G8,'Input 3.1_2019VOL-YTD'!L:L)</f>
        <v>1387.1699999999998</v>
      </c>
      <c r="AJ8" s="268">
        <f>SUMIF('Input 3.1_2019VOL-YTD'!$R:$R,$G8,'Input 3.1_2019VOL-YTD'!M:M)</f>
        <v>3116.2400000000002</v>
      </c>
      <c r="AK8" s="268">
        <f>SUMIF('Input 3.1_2019VOL-YTD'!$R:$R,$G8,'Input 3.1_2019VOL-YTD'!N:N)</f>
        <v>6625.98</v>
      </c>
      <c r="AL8" s="268">
        <f>SUMIF('Input 4.1_2020VOL-YTD'!$R:$R,$G8,'Input 4.1_2020VOL-YTD'!C:C)</f>
        <v>5807.4600000000009</v>
      </c>
      <c r="AM8" s="268">
        <f>SUMIF('Input 4.1_2020VOL-YTD'!$R:$R,$G8,'Input 4.1_2020VOL-YTD'!D:D)</f>
        <v>5316.35</v>
      </c>
      <c r="AN8" s="268">
        <f>SUMIF('Input 4.1_2020VOL-YTD'!$R:$R,$G8,'Input 4.1_2020VOL-YTD'!E:E)</f>
        <v>5357.79</v>
      </c>
      <c r="AO8" s="268">
        <f>SUMIF('Input 4.1_2020VOL-YTD'!$R:$R,$G8,'Input 4.1_2020VOL-YTD'!F:F)</f>
        <v>3989.22</v>
      </c>
      <c r="AP8" s="268">
        <f>SUMIF('Input 4.1_2020VOL-YTD'!$R:$R,$G8,'Input 4.1_2020VOL-YTD'!G:G)</f>
        <v>3133.01</v>
      </c>
      <c r="AQ8" s="268">
        <f>SUMIF('Input 4.1_2020VOL-YTD'!$R:$R,$G8,'Input 4.1_2020VOL-YTD'!H:H)</f>
        <v>1660.0500000000002</v>
      </c>
      <c r="AR8" s="268">
        <f>SUMIF('Input 4.1_2020VOL-YTD'!$R:$R,$G8,'Input 4.1_2020VOL-YTD'!I:I)</f>
        <v>1199.06</v>
      </c>
      <c r="AS8" s="268">
        <f>SUMIF('Input 4.1_2020VOL-YTD'!$R:$R,$G8,'Input 4.1_2020VOL-YTD'!J:J)</f>
        <v>1215.24</v>
      </c>
      <c r="AT8" s="268">
        <f>SUMIF('Input 4.1_2020VOL-YTD'!$R:$R,$G8,'Input 4.1_2020VOL-YTD'!K:K)</f>
        <v>1319.38</v>
      </c>
      <c r="AU8" s="268">
        <f>SUMIF('Input 4.1_2020VOL-YTD'!$R:$R,$G8,'Input 4.1_2020VOL-YTD'!L:L)</f>
        <v>1626.4099999999999</v>
      </c>
      <c r="AV8" s="268">
        <f>SUMIF('Input 4.1_2020VOL-YTD'!$R:$R,$G8,'Input 4.1_2020VOL-YTD'!M:M)</f>
        <v>3439.6299999999997</v>
      </c>
      <c r="AW8" s="268">
        <f>SUMIF('Input 4.1_2020VOL-YTD'!$R:$R,$G8,'Input 4.1_2020VOL-YTD'!N:N)</f>
        <v>6277.49</v>
      </c>
      <c r="AX8" s="268">
        <f>SUMIF('Input 5.1_2021VOL-YTD'!$R:$R,$G8,'Input 5.1_2021VOL-YTD'!C:C)</f>
        <v>7456.0700000000006</v>
      </c>
      <c r="AY8" s="268">
        <f>SUMIF('Input 5.1_2021VOL-YTD'!$R:$R,$G8,'Input 5.1_2021VOL-YTD'!D:D)</f>
        <v>6724.6800000000012</v>
      </c>
      <c r="AZ8" s="268">
        <f>SUMIF('Input 5.1_2021VOL-YTD'!$R:$R,$G8,'Input 5.1_2021VOL-YTD'!E:E)</f>
        <v>5178.0600000000004</v>
      </c>
      <c r="BA8" s="268">
        <f>SUMIF('Input 5.1_2021VOL-YTD'!$R:$R,$G8,'Input 5.1_2021VOL-YTD'!F:F)</f>
        <v>4404.1399999999994</v>
      </c>
      <c r="BB8" s="268">
        <f>SUMIF('Input 5.1_2021VOL-YTD'!$R:$R,$G8,'Input 5.1_2021VOL-YTD'!G:G)</f>
        <v>3102.8900000000003</v>
      </c>
      <c r="BC8" s="268">
        <f>SUMIF('Input 5.1_2021VOL-YTD'!$R:$R,$G8,'Input 5.1_2021VOL-YTD'!H:H)</f>
        <v>1736.2099999999998</v>
      </c>
      <c r="BD8" s="268">
        <f>SUMIF('Input 5.1_2021VOL-YTD'!$R:$R,$G8,'Input 5.1_2021VOL-YTD'!I:I)</f>
        <v>1396.84</v>
      </c>
      <c r="BE8" s="268">
        <f>SUMIF('Input 5.1_2021VOL-YTD'!$R:$R,$G8,'Input 5.1_2021VOL-YTD'!J:J)</f>
        <v>1170.52</v>
      </c>
      <c r="BF8" s="268">
        <f>SUMIF('Input 5.1_2021VOL-YTD'!$R:$R,$G8,'Input 5.1_2021VOL-YTD'!K:K)</f>
        <v>1405.89</v>
      </c>
      <c r="BG8" s="268">
        <f>SUMIF('Input 5.1_2021VOL-YTD'!$R:$R,$G8,'Input 5.1_2021VOL-YTD'!L:L)</f>
        <v>1872.25</v>
      </c>
      <c r="BH8" s="268">
        <f>SUMIF('Input 5.1_2021VOL-YTD'!$R:$R,$G8,'Input 5.1_2021VOL-YTD'!M:M)</f>
        <v>3946.54</v>
      </c>
      <c r="BI8" s="268">
        <f>SUMIF('Input 5.1_2021VOL-YTD'!$R:$R,$G8,'Input 5.1_2021VOL-YTD'!N:N)</f>
        <v>6052.26</v>
      </c>
      <c r="BJ8" s="483">
        <f>IFERROR(IF($J8="Historical Average",INDEX('Monthly UPC'!$CM$2:$DJ$65,MATCH($D8,'Monthly UPC'!$D$2:$D$65,0),MATCH(BJ$1,'Monthly UPC'!$CM$1:$DJ$1))*(INDEX('Monthly CUST'!$N$2:$CG$65,MATCH($D8,'Monthly CUST'!$D$2:$D$65,0),MATCH(BJ$1,'Monthly CUST'!$N$1:$CG$1,0))),IF($J8="UPC Growth Rate",((AX8/INDEX('Monthly CUST'!$N$2:$CG$65,MATCH($D8,'Monthly CUST'!$D$2:$D$65,0),MATCH(AX$1,'Monthly CUST'!$N$1:$CG$1,0)))*(1+$L8)*INDEX('Monthly CUST'!$N$2:$CG$65,MATCH($D8,'Monthly CUST'!$D$2:$D$65,0),MATCH(BJ$1,'Monthly CUST'!$N$1:$CG$1,0))),IF($J8="Modeled UPC",INDEX('Monthly CUST'!$N$2:$CG$65,MATCH($D8,'Monthly CUST'!$D$2:$D$65,0),MATCH(BJ$1,'Monthly CUST'!$N$1:$CG$1,0))/12*$M8,IF($J8="Base Period",AX8,IF($J8="Adjusted",SUMIF('Input 15_Fcst Inputs'!$A:$A,$D8,'Input 15_Fcst Inputs'!$G:$G)/12))))),0)</f>
        <v>7203.9796233551133</v>
      </c>
      <c r="BK8" s="483">
        <f>IFERROR(IF($J8="Historical Average",INDEX('Monthly UPC'!$CM$2:$DJ$65,MATCH($D8,'Monthly UPC'!$D$2:$D$65,0),MATCH(BK$1,'Monthly UPC'!$CM$1:$DJ$1))*(INDEX('Monthly CUST'!$N$2:$CG$65,MATCH($D8,'Monthly CUST'!$D$2:$D$65,0),MATCH(BK$1,'Monthly CUST'!$N$1:$CG$1,0))),IF($J8="UPC Growth Rate",((AY8/INDEX('Monthly CUST'!$N$2:$CG$65,MATCH($D8,'Monthly CUST'!$D$2:$D$65,0),MATCH(AY$1,'Monthly CUST'!$N$1:$CG$1,0)))*(1+$L8)*INDEX('Monthly CUST'!$N$2:$CG$65,MATCH($D8,'Monthly CUST'!$D$2:$D$65,0),MATCH(BK$1,'Monthly CUST'!$N$1:$CG$1,0))),IF($J8="Modeled UPC",INDEX('Monthly CUST'!$N$2:$CG$65,MATCH($D8,'Monthly CUST'!$D$2:$D$65,0),MATCH(BK$1,'Monthly CUST'!$N$1:$CG$1,0))/12*$M8,IF($J8="Base Period",AY8,IF($J8="Adjusted",SUMIF('Input 15_Fcst Inputs'!$A:$A,$D8,'Input 15_Fcst Inputs'!$G:$G)/12))))),0)</f>
        <v>6497.317983010309</v>
      </c>
      <c r="BL8" s="483">
        <f>IFERROR(IF($J8="Historical Average",INDEX('Monthly UPC'!$CM$2:$DJ$65,MATCH($D8,'Monthly UPC'!$D$2:$D$65,0),MATCH(BL$1,'Monthly UPC'!$CM$1:$DJ$1))*(INDEX('Monthly CUST'!$N$2:$CG$65,MATCH($D8,'Monthly CUST'!$D$2:$D$65,0),MATCH(BL$1,'Monthly CUST'!$N$1:$CG$1,0))),IF($J8="UPC Growth Rate",((AZ8/INDEX('Monthly CUST'!$N$2:$CG$65,MATCH($D8,'Monthly CUST'!$D$2:$D$65,0),MATCH(AZ$1,'Monthly CUST'!$N$1:$CG$1,0)))*(1+$L8)*INDEX('Monthly CUST'!$N$2:$CG$65,MATCH($D8,'Monthly CUST'!$D$2:$D$65,0),MATCH(BL$1,'Monthly CUST'!$N$1:$CG$1,0))),IF($J8="Modeled UPC",INDEX('Monthly CUST'!$N$2:$CG$65,MATCH($D8,'Monthly CUST'!$D$2:$D$65,0),MATCH(BL$1,'Monthly CUST'!$N$1:$CG$1,0))/12*$M8,IF($J8="Base Period",AZ8,IF($J8="Adjusted",SUMIF('Input 15_Fcst Inputs'!$A:$A,$D8,'Input 15_Fcst Inputs'!$G:$G)/12))))),0)</f>
        <v>5002.9893400290202</v>
      </c>
      <c r="BM8" s="483">
        <f>IFERROR(IF($J8="Historical Average",INDEX('Monthly UPC'!$CM$2:$DJ$65,MATCH($D8,'Monthly UPC'!$D$2:$D$65,0),MATCH(BM$1,'Monthly UPC'!$CM$1:$DJ$1))*(INDEX('Monthly CUST'!$N$2:$CG$65,MATCH($D8,'Monthly CUST'!$D$2:$D$65,0),MATCH(BM$1,'Monthly CUST'!$N$1:$CG$1,0))),IF($J8="UPC Growth Rate",((BA8/INDEX('Monthly CUST'!$N$2:$CG$65,MATCH($D8,'Monthly CUST'!$D$2:$D$65,0),MATCH(BA$1,'Monthly CUST'!$N$1:$CG$1,0)))*(1+$L8)*INDEX('Monthly CUST'!$N$2:$CG$65,MATCH($D8,'Monthly CUST'!$D$2:$D$65,0),MATCH(BM$1,'Monthly CUST'!$N$1:$CG$1,0))),IF($J8="Modeled UPC",INDEX('Monthly CUST'!$N$2:$CG$65,MATCH($D8,'Monthly CUST'!$D$2:$D$65,0),MATCH(BM$1,'Monthly CUST'!$N$1:$CG$1,0))/12*$M8,IF($J8="Base Period",BA8,IF($J8="Adjusted",SUMIF('Input 15_Fcst Inputs'!$A:$A,$D8,'Input 15_Fcst Inputs'!$G:$G)/12))))),0)</f>
        <v>4255.2356426915494</v>
      </c>
      <c r="BN8" s="483">
        <f>IFERROR(IF($J8="Historical Average",INDEX('Monthly UPC'!$CM$2:$DJ$65,MATCH($D8,'Monthly UPC'!$D$2:$D$65,0),MATCH(BN$1,'Monthly UPC'!$CM$1:$DJ$1))*(INDEX('Monthly CUST'!$N$2:$CG$65,MATCH($D8,'Monthly CUST'!$D$2:$D$65,0),MATCH(BN$1,'Monthly CUST'!$N$1:$CG$1,0))),IF($J8="UPC Growth Rate",((BB8/INDEX('Monthly CUST'!$N$2:$CG$65,MATCH($D8,'Monthly CUST'!$D$2:$D$65,0),MATCH(BB$1,'Monthly CUST'!$N$1:$CG$1,0)))*(1+$L8)*INDEX('Monthly CUST'!$N$2:$CG$65,MATCH($D8,'Monthly CUST'!$D$2:$D$65,0),MATCH(BN$1,'Monthly CUST'!$N$1:$CG$1,0))),IF($J8="Modeled UPC",INDEX('Monthly CUST'!$N$2:$CG$65,MATCH($D8,'Monthly CUST'!$D$2:$D$65,0),MATCH(BN$1,'Monthly CUST'!$N$1:$CG$1,0))/12*$M8,IF($J8="Base Period",BB8,IF($J8="Adjusted",SUMIF('Input 15_Fcst Inputs'!$A:$A,$D8,'Input 15_Fcst Inputs'!$G:$G)/12))))),0)</f>
        <v>2997.9810186213849</v>
      </c>
      <c r="BO8" s="483">
        <f>IFERROR(IF($J8="Historical Average",INDEX('Monthly UPC'!$CM$2:$DJ$65,MATCH($D8,'Monthly UPC'!$D$2:$D$65,0),MATCH(BO$1,'Monthly UPC'!$CM$1:$DJ$1))*(INDEX('Monthly CUST'!$N$2:$CG$65,MATCH($D8,'Monthly CUST'!$D$2:$D$65,0),MATCH(BO$1,'Monthly CUST'!$N$1:$CG$1,0))),IF($J8="UPC Growth Rate",((BC8/INDEX('Monthly CUST'!$N$2:$CG$65,MATCH($D8,'Monthly CUST'!$D$2:$D$65,0),MATCH(BC$1,'Monthly CUST'!$N$1:$CG$1,0)))*(1+$L8)*INDEX('Monthly CUST'!$N$2:$CG$65,MATCH($D8,'Monthly CUST'!$D$2:$D$65,0),MATCH(BO$1,'Monthly CUST'!$N$1:$CG$1,0))),IF($J8="Modeled UPC",INDEX('Monthly CUST'!$N$2:$CG$65,MATCH($D8,'Monthly CUST'!$D$2:$D$65,0),MATCH(BO$1,'Monthly CUST'!$N$1:$CG$1,0))/12*$M8,IF($J8="Base Period",BC8,IF($J8="Adjusted",SUMIF('Input 15_Fcst Inputs'!$A:$A,$D8,'Input 15_Fcst Inputs'!$G:$G)/12))))),0)</f>
        <v>1677.5085885547455</v>
      </c>
      <c r="BP8" s="483">
        <f>IFERROR(IF($J8="Historical Average",INDEX('Monthly UPC'!$CM$2:$DJ$65,MATCH($D8,'Monthly UPC'!$D$2:$D$65,0),MATCH(BP$1,'Monthly UPC'!$CM$1:$DJ$1))*(INDEX('Monthly CUST'!$N$2:$CG$65,MATCH($D8,'Monthly CUST'!$D$2:$D$65,0),MATCH(BP$1,'Monthly CUST'!$N$1:$CG$1,0))),IF($J8="UPC Growth Rate",((BD8/INDEX('Monthly CUST'!$N$2:$CG$65,MATCH($D8,'Monthly CUST'!$D$2:$D$65,0),MATCH(BD$1,'Monthly CUST'!$N$1:$CG$1,0)))*(1+$L8)*INDEX('Monthly CUST'!$N$2:$CG$65,MATCH($D8,'Monthly CUST'!$D$2:$D$65,0),MATCH(BP$1,'Monthly CUST'!$N$1:$CG$1,0))),IF($J8="Modeled UPC",INDEX('Monthly CUST'!$N$2:$CG$65,MATCH($D8,'Monthly CUST'!$D$2:$D$65,0),MATCH(BP$1,'Monthly CUST'!$N$1:$CG$1,0))/12*$M8,IF($J8="Base Period",BD8,IF($J8="Adjusted",SUMIF('Input 15_Fcst Inputs'!$A:$A,$D8,'Input 15_Fcst Inputs'!$G:$G)/12))))),0)</f>
        <v>1349.6127178375948</v>
      </c>
      <c r="BQ8" s="483">
        <f>IFERROR(IF($J8="Historical Average",INDEX('Monthly UPC'!$CM$2:$DJ$65,MATCH($D8,'Monthly UPC'!$D$2:$D$65,0),MATCH(BQ$1,'Monthly UPC'!$CM$1:$DJ$1))*(INDEX('Monthly CUST'!$N$2:$CG$65,MATCH($D8,'Monthly CUST'!$D$2:$D$65,0),MATCH(BQ$1,'Monthly CUST'!$N$1:$CG$1,0))),IF($J8="UPC Growth Rate",((BE8/INDEX('Monthly CUST'!$N$2:$CG$65,MATCH($D8,'Monthly CUST'!$D$2:$D$65,0),MATCH(BE$1,'Monthly CUST'!$N$1:$CG$1,0)))*(1+$L8)*INDEX('Monthly CUST'!$N$2:$CG$65,MATCH($D8,'Monthly CUST'!$D$2:$D$65,0),MATCH(BQ$1,'Monthly CUST'!$N$1:$CG$1,0))),IF($J8="Modeled UPC",INDEX('Monthly CUST'!$N$2:$CG$65,MATCH($D8,'Monthly CUST'!$D$2:$D$65,0),MATCH(BQ$1,'Monthly CUST'!$N$1:$CG$1,0))/12*$M8,IF($J8="Base Period",BE8,IF($J8="Adjusted",SUMIF('Input 15_Fcst Inputs'!$A:$A,$D8,'Input 15_Fcst Inputs'!$G:$G)/12))))),0)</f>
        <v>1130.9446167658871</v>
      </c>
      <c r="BR8" s="483">
        <f>IFERROR(IF($J8="Historical Average",INDEX('Monthly UPC'!$CM$2:$DJ$65,MATCH($D8,'Monthly UPC'!$D$2:$D$65,0),MATCH(BR$1,'Monthly UPC'!$CM$1:$DJ$1))*(INDEX('Monthly CUST'!$N$2:$CG$65,MATCH($D8,'Monthly CUST'!$D$2:$D$65,0),MATCH(BR$1,'Monthly CUST'!$N$1:$CG$1,0))),IF($J8="UPC Growth Rate",((BF8/INDEX('Monthly CUST'!$N$2:$CG$65,MATCH($D8,'Monthly CUST'!$D$2:$D$65,0),MATCH(BF$1,'Monthly CUST'!$N$1:$CG$1,0)))*(1+$L8)*INDEX('Monthly CUST'!$N$2:$CG$65,MATCH($D8,'Monthly CUST'!$D$2:$D$65,0),MATCH(BR$1,'Monthly CUST'!$N$1:$CG$1,0))),IF($J8="Modeled UPC",INDEX('Monthly CUST'!$N$2:$CG$65,MATCH($D8,'Monthly CUST'!$D$2:$D$65,0),MATCH(BR$1,'Monthly CUST'!$N$1:$CG$1,0))/12*$M8,IF($J8="Base Period",BF8,IF($J8="Adjusted",SUMIF('Input 15_Fcst Inputs'!$A:$A,$D8,'Input 15_Fcst Inputs'!$G:$G)/12))))),0)</f>
        <v>1358.3567365487072</v>
      </c>
      <c r="BS8" s="483">
        <f>IFERROR(IF($J8="Historical Average",INDEX('Monthly UPC'!$CM$2:$DJ$65,MATCH($D8,'Monthly UPC'!$D$2:$D$65,0),MATCH(BS$1,'Monthly UPC'!$CM$1:$DJ$1))*(INDEX('Monthly CUST'!$N$2:$CG$65,MATCH($D8,'Monthly CUST'!$D$2:$D$65,0),MATCH(BS$1,'Monthly CUST'!$N$1:$CG$1,0))),IF($J8="UPC Growth Rate",((BG8/INDEX('Monthly CUST'!$N$2:$CG$65,MATCH($D8,'Monthly CUST'!$D$2:$D$65,0),MATCH(BG$1,'Monthly CUST'!$N$1:$CG$1,0)))*(1+$L8)*INDEX('Monthly CUST'!$N$2:$CG$65,MATCH($D8,'Monthly CUST'!$D$2:$D$65,0),MATCH(BS$1,'Monthly CUST'!$N$1:$CG$1,0))),IF($J8="Modeled UPC",INDEX('Monthly CUST'!$N$2:$CG$65,MATCH($D8,'Monthly CUST'!$D$2:$D$65,0),MATCH(BS$1,'Monthly CUST'!$N$1:$CG$1,0))/12*$M8,IF($J8="Base Period",BG8,IF($J8="Adjusted",SUMIF('Input 15_Fcst Inputs'!$A:$A,$D8,'Input 15_Fcst Inputs'!$G:$G)/12))))),0)</f>
        <v>1808.9490642961521</v>
      </c>
      <c r="BT8" s="483">
        <f>IFERROR(IF($J8="Historical Average",INDEX('Monthly UPC'!$CM$2:$DJ$65,MATCH($D8,'Monthly UPC'!$D$2:$D$65,0),MATCH(BT$1,'Monthly UPC'!$CM$1:$DJ$1))*(INDEX('Monthly CUST'!$N$2:$CG$65,MATCH($D8,'Monthly CUST'!$D$2:$D$65,0),MATCH(BT$1,'Monthly CUST'!$N$1:$CG$1,0))),IF($J8="UPC Growth Rate",((BH8/INDEX('Monthly CUST'!$N$2:$CG$65,MATCH($D8,'Monthly CUST'!$D$2:$D$65,0),MATCH(BH$1,'Monthly CUST'!$N$1:$CG$1,0)))*(1+$L8)*INDEX('Monthly CUST'!$N$2:$CG$65,MATCH($D8,'Monthly CUST'!$D$2:$D$65,0),MATCH(BT$1,'Monthly CUST'!$N$1:$CG$1,0))),IF($J8="Modeled UPC",INDEX('Monthly CUST'!$N$2:$CG$65,MATCH($D8,'Monthly CUST'!$D$2:$D$65,0),MATCH(BT$1,'Monthly CUST'!$N$1:$CG$1,0))/12*$M8,IF($J8="Base Period",BH8,IF($J8="Adjusted",SUMIF('Input 15_Fcst Inputs'!$A:$A,$D8,'Input 15_Fcst Inputs'!$G:$G)/12))))),0)</f>
        <v>3813.1071385804976</v>
      </c>
      <c r="BU8" s="483">
        <f>IFERROR(IF($J8="Historical Average",INDEX('Monthly UPC'!$CM$2:$DJ$65,MATCH($D8,'Monthly UPC'!$D$2:$D$65,0),MATCH(BU$1,'Monthly UPC'!$CM$1:$DJ$1))*(INDEX('Monthly CUST'!$N$2:$CG$65,MATCH($D8,'Monthly CUST'!$D$2:$D$65,0),MATCH(BU$1,'Monthly CUST'!$N$1:$CG$1,0))),IF($J8="UPC Growth Rate",((BI8/INDEX('Monthly CUST'!$N$2:$CG$65,MATCH($D8,'Monthly CUST'!$D$2:$D$65,0),MATCH(BI$1,'Monthly CUST'!$N$1:$CG$1,0)))*(1+$L8)*INDEX('Monthly CUST'!$N$2:$CG$65,MATCH($D8,'Monthly CUST'!$D$2:$D$65,0),MATCH(BU$1,'Monthly CUST'!$N$1:$CG$1,0))),IF($J8="Modeled UPC",INDEX('Monthly CUST'!$N$2:$CG$65,MATCH($D8,'Monthly CUST'!$D$2:$D$65,0),MATCH(BU$1,'Monthly CUST'!$N$1:$CG$1,0))/12*$M8,IF($J8="Base Period",BI8,IF($J8="Adjusted",SUMIF('Input 15_Fcst Inputs'!$A:$A,$D8,'Input 15_Fcst Inputs'!$G:$G)/12))))),0)</f>
        <v>5847.632561825093</v>
      </c>
      <c r="BV8" s="483">
        <f>IFERROR(IF($J8="Historical Average",INDEX('Monthly UPC'!$CM$2:$DJ$65,MATCH($D8,'Monthly UPC'!$D$2:$D$65,0),MATCH(BV$1,'Monthly UPC'!$CM$1:$DJ$1))*(INDEX('Monthly CUST'!$N$2:$CG$65,MATCH($D8,'Monthly CUST'!$D$2:$D$65,0),MATCH(BV$1,'Monthly CUST'!$N$1:$CG$1,0))),IF($J8="UPC Growth Rate",((BJ8/INDEX('Monthly CUST'!$N$2:$CG$65,MATCH($D8,'Monthly CUST'!$D$2:$D$65,0),MATCH(BJ$1,'Monthly CUST'!$N$1:$CG$1,0)))*(1+$L8)*INDEX('Monthly CUST'!$N$2:$CG$65,MATCH($D8,'Monthly CUST'!$D$2:$D$65,0),MATCH(BV$1,'Monthly CUST'!$N$1:$CG$1,0))),IF($J8="Modeled UPC",INDEX('Monthly CUST'!$N$2:$CG$65,MATCH($D8,'Monthly CUST'!$D$2:$D$65,0),MATCH(BV$1,'Monthly CUST'!$N$1:$CG$1,0))/12*$M8,IF($J8="Base Period",BJ8,IF($J8="Adjusted",SUMIF('Input 15_Fcst Inputs'!$A:$A,$D8,'Input 15_Fcst Inputs'!$G:$G)/12))))),0)</f>
        <v>6960.4124443192823</v>
      </c>
      <c r="BW8" s="483">
        <f>IFERROR(IF($J8="Historical Average",INDEX('Monthly UPC'!$CM$2:$DJ$65,MATCH($D8,'Monthly UPC'!$D$2:$D$65,0),MATCH(BW$1,'Monthly UPC'!$CM$1:$DJ$1))*(INDEX('Monthly CUST'!$N$2:$CG$65,MATCH($D8,'Monthly CUST'!$D$2:$D$65,0),MATCH(BW$1,'Monthly CUST'!$N$1:$CG$1,0))),IF($J8="UPC Growth Rate",((BK8/INDEX('Monthly CUST'!$N$2:$CG$65,MATCH($D8,'Monthly CUST'!$D$2:$D$65,0),MATCH(BK$1,'Monthly CUST'!$N$1:$CG$1,0)))*(1+$L8)*INDEX('Monthly CUST'!$N$2:$CG$65,MATCH($D8,'Monthly CUST'!$D$2:$D$65,0),MATCH(BW$1,'Monthly CUST'!$N$1:$CG$1,0))),IF($J8="Modeled UPC",INDEX('Monthly CUST'!$N$2:$CG$65,MATCH($D8,'Monthly CUST'!$D$2:$D$65,0),MATCH(BW$1,'Monthly CUST'!$N$1:$CG$1,0))/12*$M8,IF($J8="Base Period",BK8,IF($J8="Adjusted",SUMIF('Input 15_Fcst Inputs'!$A:$A,$D8,'Input 15_Fcst Inputs'!$G:$G)/12))))),0)</f>
        <v>6277.643095634161</v>
      </c>
      <c r="BX8" s="483">
        <f>IFERROR(IF($J8="Historical Average",INDEX('Monthly UPC'!$CM$2:$DJ$65,MATCH($D8,'Monthly UPC'!$D$2:$D$65,0),MATCH(BX$1,'Monthly UPC'!$CM$1:$DJ$1))*(INDEX('Monthly CUST'!$N$2:$CG$65,MATCH($D8,'Monthly CUST'!$D$2:$D$65,0),MATCH(BX$1,'Monthly CUST'!$N$1:$CG$1,0))),IF($J8="UPC Growth Rate",((BL8/INDEX('Monthly CUST'!$N$2:$CG$65,MATCH($D8,'Monthly CUST'!$D$2:$D$65,0),MATCH(BL$1,'Monthly CUST'!$N$1:$CG$1,0)))*(1+$L8)*INDEX('Monthly CUST'!$N$2:$CG$65,MATCH($D8,'Monthly CUST'!$D$2:$D$65,0),MATCH(BX$1,'Monthly CUST'!$N$1:$CG$1,0))),IF($J8="Modeled UPC",INDEX('Monthly CUST'!$N$2:$CG$65,MATCH($D8,'Monthly CUST'!$D$2:$D$65,0),MATCH(BX$1,'Monthly CUST'!$N$1:$CG$1,0))/12*$M8,IF($J8="Base Period",BL8,IF($J8="Adjusted",SUMIF('Input 15_Fcst Inputs'!$A:$A,$D8,'Input 15_Fcst Inputs'!$G:$G)/12))))),0)</f>
        <v>4833.8378343325503</v>
      </c>
      <c r="BY8" s="483">
        <f>IFERROR(IF($J8="Historical Average",INDEX('Monthly UPC'!$CM$2:$DJ$65,MATCH($D8,'Monthly UPC'!$D$2:$D$65,0),MATCH(BY$1,'Monthly UPC'!$CM$1:$DJ$1))*(INDEX('Monthly CUST'!$N$2:$CG$65,MATCH($D8,'Monthly CUST'!$D$2:$D$65,0),MATCH(BY$1,'Monthly CUST'!$N$1:$CG$1,0))),IF($J8="UPC Growth Rate",((BM8/INDEX('Monthly CUST'!$N$2:$CG$65,MATCH($D8,'Monthly CUST'!$D$2:$D$65,0),MATCH(BM$1,'Monthly CUST'!$N$1:$CG$1,0)))*(1+$L8)*INDEX('Monthly CUST'!$N$2:$CG$65,MATCH($D8,'Monthly CUST'!$D$2:$D$65,0),MATCH(BY$1,'Monthly CUST'!$N$1:$CG$1,0))),IF($J8="Modeled UPC",INDEX('Monthly CUST'!$N$2:$CG$65,MATCH($D8,'Monthly CUST'!$D$2:$D$65,0),MATCH(BY$1,'Monthly CUST'!$N$1:$CG$1,0))/12*$M8,IF($J8="Base Period",BM8,IF($J8="Adjusted",SUMIF('Input 15_Fcst Inputs'!$A:$A,$D8,'Input 15_Fcst Inputs'!$G:$G)/12))))),0)</f>
        <v>4111.3657546836766</v>
      </c>
      <c r="BZ8" s="483">
        <f>IFERROR(IF($J8="Historical Average",INDEX('Monthly UPC'!$CM$2:$DJ$65,MATCH($D8,'Monthly UPC'!$D$2:$D$65,0),MATCH(BZ$1,'Monthly UPC'!$CM$1:$DJ$1))*(INDEX('Monthly CUST'!$N$2:$CG$65,MATCH($D8,'Monthly CUST'!$D$2:$D$65,0),MATCH(BZ$1,'Monthly CUST'!$N$1:$CG$1,0))),IF($J8="UPC Growth Rate",((BN8/INDEX('Monthly CUST'!$N$2:$CG$65,MATCH($D8,'Monthly CUST'!$D$2:$D$65,0),MATCH(BN$1,'Monthly CUST'!$N$1:$CG$1,0)))*(1+$L8)*INDEX('Monthly CUST'!$N$2:$CG$65,MATCH($D8,'Monthly CUST'!$D$2:$D$65,0),MATCH(BZ$1,'Monthly CUST'!$N$1:$CG$1,0))),IF($J8="Modeled UPC",INDEX('Monthly CUST'!$N$2:$CG$65,MATCH($D8,'Monthly CUST'!$D$2:$D$65,0),MATCH(BZ$1,'Monthly CUST'!$N$1:$CG$1,0))/12*$M8,IF($J8="Base Period",BN8,IF($J8="Adjusted",SUMIF('Input 15_Fcst Inputs'!$A:$A,$D8,'Input 15_Fcst Inputs'!$G:$G)/12))))),0)</f>
        <v>2896.6190190480861</v>
      </c>
      <c r="CA8" s="483">
        <f>IFERROR(IF($J8="Historical Average",INDEX('Monthly UPC'!$CM$2:$DJ$65,MATCH($D8,'Monthly UPC'!$D$2:$D$65,0),MATCH(CA$1,'Monthly UPC'!$CM$1:$DJ$1))*(INDEX('Monthly CUST'!$N$2:$CG$65,MATCH($D8,'Monthly CUST'!$D$2:$D$65,0),MATCH(CA$1,'Monthly CUST'!$N$1:$CG$1,0))),IF($J8="UPC Growth Rate",((BO8/INDEX('Monthly CUST'!$N$2:$CG$65,MATCH($D8,'Monthly CUST'!$D$2:$D$65,0),MATCH(BO$1,'Monthly CUST'!$N$1:$CG$1,0)))*(1+$L8)*INDEX('Monthly CUST'!$N$2:$CG$65,MATCH($D8,'Monthly CUST'!$D$2:$D$65,0),MATCH(CA$1,'Monthly CUST'!$N$1:$CG$1,0))),IF($J8="Modeled UPC",INDEX('Monthly CUST'!$N$2:$CG$65,MATCH($D8,'Monthly CUST'!$D$2:$D$65,0),MATCH(CA$1,'Monthly CUST'!$N$1:$CG$1,0))/12*$M8,IF($J8="Base Period",BO8,IF($J8="Adjusted",SUMIF('Input 15_Fcst Inputs'!$A:$A,$D8,'Input 15_Fcst Inputs'!$G:$G)/12))))),0)</f>
        <v>1620.7918769474509</v>
      </c>
      <c r="CB8" s="483">
        <f>IFERROR(IF($J8="Historical Average",INDEX('Monthly UPC'!$CM$2:$DJ$65,MATCH($D8,'Monthly UPC'!$D$2:$D$65,0),MATCH(CB$1,'Monthly UPC'!$CM$1:$DJ$1))*(INDEX('Monthly CUST'!$N$2:$CG$65,MATCH($D8,'Monthly CUST'!$D$2:$D$65,0),MATCH(CB$1,'Monthly CUST'!$N$1:$CG$1,0))),IF($J8="UPC Growth Rate",((BP8/INDEX('Monthly CUST'!$N$2:$CG$65,MATCH($D8,'Monthly CUST'!$D$2:$D$65,0),MATCH(BP$1,'Monthly CUST'!$N$1:$CG$1,0)))*(1+$L8)*INDEX('Monthly CUST'!$N$2:$CG$65,MATCH($D8,'Monthly CUST'!$D$2:$D$65,0),MATCH(CB$1,'Monthly CUST'!$N$1:$CG$1,0))),IF($J8="Modeled UPC",INDEX('Monthly CUST'!$N$2:$CG$65,MATCH($D8,'Monthly CUST'!$D$2:$D$65,0),MATCH(CB$1,'Monthly CUST'!$N$1:$CG$1,0))/12*$M8,IF($J8="Base Period",BP8,IF($J8="Adjusted",SUMIF('Input 15_Fcst Inputs'!$A:$A,$D8,'Input 15_Fcst Inputs'!$G:$G)/12))))),0)</f>
        <v>1303.982194201898</v>
      </c>
      <c r="CC8" s="483">
        <f>IFERROR(IF($J8="Historical Average",INDEX('Monthly UPC'!$CM$2:$DJ$65,MATCH($D8,'Monthly UPC'!$D$2:$D$65,0),MATCH(CC$1,'Monthly UPC'!$CM$1:$DJ$1))*(INDEX('Monthly CUST'!$N$2:$CG$65,MATCH($D8,'Monthly CUST'!$D$2:$D$65,0),MATCH(CC$1,'Monthly CUST'!$N$1:$CG$1,0))),IF($J8="UPC Growth Rate",((BQ8/INDEX('Monthly CUST'!$N$2:$CG$65,MATCH($D8,'Monthly CUST'!$D$2:$D$65,0),MATCH(BQ$1,'Monthly CUST'!$N$1:$CG$1,0)))*(1+$L8)*INDEX('Monthly CUST'!$N$2:$CG$65,MATCH($D8,'Monthly CUST'!$D$2:$D$65,0),MATCH(CC$1,'Monthly CUST'!$N$1:$CG$1,0))),IF($J8="Modeled UPC",INDEX('Monthly CUST'!$N$2:$CG$65,MATCH($D8,'Monthly CUST'!$D$2:$D$65,0),MATCH(CC$1,'Monthly CUST'!$N$1:$CG$1,0))/12*$M8,IF($J8="Base Period",BQ8,IF($J8="Adjusted",SUMIF('Input 15_Fcst Inputs'!$A:$A,$D8,'Input 15_Fcst Inputs'!$G:$G)/12))))),0)</f>
        <v>1092.7072806887015</v>
      </c>
      <c r="CD8" s="483">
        <f>IFERROR(IF($J8="Historical Average",INDEX('Monthly UPC'!$CM$2:$DJ$65,MATCH($D8,'Monthly UPC'!$D$2:$D$65,0),MATCH(CD$1,'Monthly UPC'!$CM$1:$DJ$1))*(INDEX('Monthly CUST'!$N$2:$CG$65,MATCH($D8,'Monthly CUST'!$D$2:$D$65,0),MATCH(CD$1,'Monthly CUST'!$N$1:$CG$1,0))),IF($J8="UPC Growth Rate",((BR8/INDEX('Monthly CUST'!$N$2:$CG$65,MATCH($D8,'Monthly CUST'!$D$2:$D$65,0),MATCH(BR$1,'Monthly CUST'!$N$1:$CG$1,0)))*(1+$L8)*INDEX('Monthly CUST'!$N$2:$CG$65,MATCH($D8,'Monthly CUST'!$D$2:$D$65,0),MATCH(CD$1,'Monthly CUST'!$N$1:$CG$1,0))),IF($J8="Modeled UPC",INDEX('Monthly CUST'!$N$2:$CG$65,MATCH($D8,'Monthly CUST'!$D$2:$D$65,0),MATCH(CD$1,'Monthly CUST'!$N$1:$CG$1,0))/12*$M8,IF($J8="Base Period",BR8,IF($J8="Adjusted",SUMIF('Input 15_Fcst Inputs'!$A:$A,$D8,'Input 15_Fcst Inputs'!$G:$G)/12))))),0)</f>
        <v>1312.4305768781726</v>
      </c>
      <c r="CE8" s="483">
        <f>IFERROR(IF($J8="Historical Average",INDEX('Monthly UPC'!$CM$2:$DJ$65,MATCH($D8,'Monthly UPC'!$D$2:$D$65,0),MATCH(CE$1,'Monthly UPC'!$CM$1:$DJ$1))*(INDEX('Monthly CUST'!$N$2:$CG$65,MATCH($D8,'Monthly CUST'!$D$2:$D$65,0),MATCH(CE$1,'Monthly CUST'!$N$1:$CG$1,0))),IF($J8="UPC Growth Rate",((BS8/INDEX('Monthly CUST'!$N$2:$CG$65,MATCH($D8,'Monthly CUST'!$D$2:$D$65,0),MATCH(BS$1,'Monthly CUST'!$N$1:$CG$1,0)))*(1+$L8)*INDEX('Monthly CUST'!$N$2:$CG$65,MATCH($D8,'Monthly CUST'!$D$2:$D$65,0),MATCH(CE$1,'Monthly CUST'!$N$1:$CG$1,0))),IF($J8="Modeled UPC",INDEX('Monthly CUST'!$N$2:$CG$65,MATCH($D8,'Monthly CUST'!$D$2:$D$65,0),MATCH(CE$1,'Monthly CUST'!$N$1:$CG$1,0))/12*$M8,IF($J8="Base Period",BS8,IF($J8="Adjusted",SUMIF('Input 15_Fcst Inputs'!$A:$A,$D8,'Input 15_Fcst Inputs'!$G:$G)/12))))),0)</f>
        <v>1747.7883387463874</v>
      </c>
      <c r="CF8" s="483">
        <f>IFERROR(IF($J8="Historical Average",INDEX('Monthly UPC'!$CM$2:$DJ$65,MATCH($D8,'Monthly UPC'!$D$2:$D$65,0),MATCH(CF$1,'Monthly UPC'!$CM$1:$DJ$1))*(INDEX('Monthly CUST'!$N$2:$CG$65,MATCH($D8,'Monthly CUST'!$D$2:$D$65,0),MATCH(CF$1,'Monthly CUST'!$N$1:$CG$1,0))),IF($J8="UPC Growth Rate",((BT8/INDEX('Monthly CUST'!$N$2:$CG$65,MATCH($D8,'Monthly CUST'!$D$2:$D$65,0),MATCH(BT$1,'Monthly CUST'!$N$1:$CG$1,0)))*(1+$L8)*INDEX('Monthly CUST'!$N$2:$CG$65,MATCH($D8,'Monthly CUST'!$D$2:$D$65,0),MATCH(CF$1,'Monthly CUST'!$N$1:$CG$1,0))),IF($J8="Modeled UPC",INDEX('Monthly CUST'!$N$2:$CG$65,MATCH($D8,'Monthly CUST'!$D$2:$D$65,0),MATCH(CF$1,'Monthly CUST'!$N$1:$CG$1,0))/12*$M8,IF($J8="Base Period",BT8,IF($J8="Adjusted",SUMIF('Input 15_Fcst Inputs'!$A:$A,$D8,'Input 15_Fcst Inputs'!$G:$G)/12))))),0)</f>
        <v>3684.185653836917</v>
      </c>
      <c r="CG8" s="483">
        <f>IFERROR(IF($J8="Historical Average",INDEX('Monthly UPC'!$CM$2:$DJ$65,MATCH($D8,'Monthly UPC'!$D$2:$D$65,0),MATCH(CG$1,'Monthly UPC'!$CM$1:$DJ$1))*(INDEX('Monthly CUST'!$N$2:$CG$65,MATCH($D8,'Monthly CUST'!$D$2:$D$65,0),MATCH(CG$1,'Monthly CUST'!$N$1:$CG$1,0))),IF($J8="UPC Growth Rate",((BU8/INDEX('Monthly CUST'!$N$2:$CG$65,MATCH($D8,'Monthly CUST'!$D$2:$D$65,0),MATCH(BU$1,'Monthly CUST'!$N$1:$CG$1,0)))*(1+$L8)*INDEX('Monthly CUST'!$N$2:$CG$65,MATCH($D8,'Monthly CUST'!$D$2:$D$65,0),MATCH(CG$1,'Monthly CUST'!$N$1:$CG$1,0))),IF($J8="Modeled UPC",INDEX('Monthly CUST'!$N$2:$CG$65,MATCH($D8,'Monthly CUST'!$D$2:$D$65,0),MATCH(CG$1,'Monthly CUST'!$N$1:$CG$1,0))/12*$M8,IF($J8="Base Period",BU8,IF($J8="Adjusted",SUMIF('Input 15_Fcst Inputs'!$A:$A,$D8,'Input 15_Fcst Inputs'!$G:$G)/12))))),0)</f>
        <v>5649.9235951722321</v>
      </c>
      <c r="CH8" s="197"/>
      <c r="CI8" s="197">
        <f t="shared" si="0"/>
        <v>38612.329999999994</v>
      </c>
      <c r="CJ8" s="197">
        <f t="shared" si="1"/>
        <v>42766.89</v>
      </c>
      <c r="CK8" s="197">
        <f t="shared" si="2"/>
        <v>40341.090000000004</v>
      </c>
      <c r="CL8" s="197">
        <f t="shared" si="3"/>
        <v>44446.350000000006</v>
      </c>
      <c r="CM8" s="197">
        <f t="shared" si="4"/>
        <v>42943.615032116053</v>
      </c>
      <c r="CN8" s="197">
        <f t="shared" si="5"/>
        <v>41491.687664489509</v>
      </c>
      <c r="CP8" s="4">
        <f>SUMIF('Master '!D:D,D8,'Master '!AH:AH)</f>
        <v>42943.615032116053</v>
      </c>
      <c r="CQ8" s="4">
        <f>SUMIF('Master '!D:D,D8,'Master '!AI:AI)</f>
        <v>41491.687664489524</v>
      </c>
      <c r="CR8" s="197">
        <f t="shared" si="6"/>
        <v>0</v>
      </c>
      <c r="CS8" s="197">
        <f t="shared" si="7"/>
        <v>0</v>
      </c>
      <c r="CT8" t="s">
        <v>287</v>
      </c>
      <c r="CV8" t="str">
        <f>VLOOKUP(G8,'Master '!G:CC,75,FALSE)</f>
        <v>GS</v>
      </c>
    </row>
    <row r="9" spans="1:100">
      <c r="A9" s="53" t="s">
        <v>996</v>
      </c>
      <c r="B9" s="53" t="s">
        <v>993</v>
      </c>
      <c r="C9" s="53" t="s">
        <v>1245</v>
      </c>
      <c r="D9" s="53" t="s">
        <v>97</v>
      </c>
      <c r="E9" s="53" t="str">
        <f>VLOOKUP(D9,'Input 14_Ref Table'!C:D,2,FALSE)</f>
        <v>FMCT1</v>
      </c>
      <c r="F9" s="143" t="s">
        <v>1286</v>
      </c>
      <c r="G9" s="53" t="str">
        <f>VLOOKUP(D9,'Input 14_Ref Table'!C:I,7,FALSE)</f>
        <v>FMCT1</v>
      </c>
      <c r="H9" s="53" t="str">
        <f>VLOOKUP(D9,'Input 14_Ref Table'!C:K,8,FALSE)</f>
        <v>GS1_FortMeade</v>
      </c>
      <c r="I9" s="53"/>
      <c r="J9" t="str">
        <f>INDEX('Master '!$AD$2:AD$65,MATCH(D9,'Master '!$D$2:$D$65,0))</f>
        <v>UPC Growth Rate</v>
      </c>
      <c r="K9" s="458">
        <f>INDEX('Master '!$N$2:N$65,MATCH(D9,'Master '!$D$2:$D$65,0))</f>
        <v>-2.7622859351881829E-2</v>
      </c>
      <c r="L9" s="137">
        <f>INDEX('Master '!$S$2:S$65,MATCH(D9,'Master '!$D$2:$D$65,0))</f>
        <v>-6.3629918468627502E-3</v>
      </c>
      <c r="M9" s="4">
        <f>INDEX('Master '!$W$2:W$65,MATCH(D9,'Master '!$D$2:$D$65,0))</f>
        <v>2803.05</v>
      </c>
      <c r="N9" s="268">
        <f>SUMIF('Input 16.1_2018VOL-YTD'!$R:$R,$G9,'Input 16.1_2018VOL-YTD'!C:C)</f>
        <v>2309.7799999999997</v>
      </c>
      <c r="O9" s="268">
        <f>SUMIF('Input 16.1_2018VOL-YTD'!$R:$R,$G9,'Input 16.1_2018VOL-YTD'!D:D)</f>
        <v>2340.39</v>
      </c>
      <c r="P9" s="268">
        <f>SUMIF('Input 16.1_2018VOL-YTD'!$R:$R,$G9,'Input 16.1_2018VOL-YTD'!E:E)</f>
        <v>2171.7199999999998</v>
      </c>
      <c r="Q9" s="268">
        <f>SUMIF('Input 16.1_2018VOL-YTD'!$R:$R,$G9,'Input 16.1_2018VOL-YTD'!F:F)</f>
        <v>2229.83</v>
      </c>
      <c r="R9" s="268">
        <f>SUMIF('Input 16.1_2018VOL-YTD'!$R:$R,$G9,'Input 16.1_2018VOL-YTD'!G:G)</f>
        <v>2233.06</v>
      </c>
      <c r="S9" s="268">
        <f>SUMIF('Input 16.1_2018VOL-YTD'!$R:$R,$G9,'Input 16.1_2018VOL-YTD'!H:H)</f>
        <v>2092.08</v>
      </c>
      <c r="T9" s="268">
        <f>SUMIF('Input 16.1_2018VOL-YTD'!$R:$R,$G9,'Input 16.1_2018VOL-YTD'!I:I)</f>
        <v>1627.64</v>
      </c>
      <c r="U9" s="268">
        <f>SUMIF('Input 16.1_2018VOL-YTD'!$R:$R,$G9,'Input 16.1_2018VOL-YTD'!J:J)</f>
        <v>1930.71</v>
      </c>
      <c r="V9" s="268">
        <f>SUMIF('Input 16.1_2018VOL-YTD'!$R:$R,$G9,'Input 16.1_2018VOL-YTD'!K:K)</f>
        <v>2196.8900000000003</v>
      </c>
      <c r="W9" s="268">
        <f>SUMIF('Input 16.1_2018VOL-YTD'!$R:$R,$G9,'Input 16.1_2018VOL-YTD'!L:L)</f>
        <v>1905.96</v>
      </c>
      <c r="X9" s="268">
        <f>SUMIF('Input 16.1_2018VOL-YTD'!$R:$R,$G9,'Input 16.1_2018VOL-YTD'!M:M)</f>
        <v>2350.4</v>
      </c>
      <c r="Y9" s="268">
        <f>SUMIF('Input 16.1_2018VOL-YTD'!$R:$R,$G9,'Input 16.1_2018VOL-YTD'!N:N)</f>
        <v>2298.4900000000002</v>
      </c>
      <c r="Z9" s="268">
        <f>SUMIF('Input 3.1_2019VOL-YTD'!$R:$R,$G9,'Input 3.1_2019VOL-YTD'!C:C)</f>
        <v>2522.5</v>
      </c>
      <c r="AA9" s="268">
        <f>SUMIF('Input 3.1_2019VOL-YTD'!$R:$R,$G9,'Input 3.1_2019VOL-YTD'!D:D)</f>
        <v>2232.0700000000002</v>
      </c>
      <c r="AB9" s="268">
        <f>SUMIF('Input 3.1_2019VOL-YTD'!$R:$R,$G9,'Input 3.1_2019VOL-YTD'!E:E)</f>
        <v>2450.3999999999996</v>
      </c>
      <c r="AC9" s="268">
        <f>SUMIF('Input 3.1_2019VOL-YTD'!$R:$R,$G9,'Input 3.1_2019VOL-YTD'!F:F)</f>
        <v>2187.04</v>
      </c>
      <c r="AD9" s="268">
        <f>SUMIF('Input 3.1_2019VOL-YTD'!$R:$R,$G9,'Input 3.1_2019VOL-YTD'!G:G)</f>
        <v>2718.13</v>
      </c>
      <c r="AE9" s="268">
        <f>SUMIF('Input 3.1_2019VOL-YTD'!$R:$R,$G9,'Input 3.1_2019VOL-YTD'!H:H)</f>
        <v>2752.15</v>
      </c>
      <c r="AF9" s="268">
        <f>SUMIF('Input 3.1_2019VOL-YTD'!$R:$R,$G9,'Input 3.1_2019VOL-YTD'!I:I)</f>
        <v>2323.9899999999998</v>
      </c>
      <c r="AG9" s="268">
        <f>SUMIF('Input 3.1_2019VOL-YTD'!$R:$R,$G9,'Input 3.1_2019VOL-YTD'!J:J)</f>
        <v>2701.77</v>
      </c>
      <c r="AH9" s="268">
        <f>SUMIF('Input 3.1_2019VOL-YTD'!$R:$R,$G9,'Input 3.1_2019VOL-YTD'!K:K)</f>
        <v>2855.71</v>
      </c>
      <c r="AI9" s="268">
        <f>SUMIF('Input 3.1_2019VOL-YTD'!$R:$R,$G9,'Input 3.1_2019VOL-YTD'!L:L)</f>
        <v>2882.53</v>
      </c>
      <c r="AJ9" s="268">
        <f>SUMIF('Input 3.1_2019VOL-YTD'!$R:$R,$G9,'Input 3.1_2019VOL-YTD'!M:M)</f>
        <v>2838.47</v>
      </c>
      <c r="AK9" s="268">
        <f>SUMIF('Input 3.1_2019VOL-YTD'!$R:$R,$G9,'Input 3.1_2019VOL-YTD'!N:N)</f>
        <v>2873.3900000000003</v>
      </c>
      <c r="AL9" s="268">
        <f>SUMIF('Input 4.1_2020VOL-YTD'!$R:$R,$G9,'Input 4.1_2020VOL-YTD'!C:C)</f>
        <v>3032.6300000000006</v>
      </c>
      <c r="AM9" s="268">
        <f>SUMIF('Input 4.1_2020VOL-YTD'!$R:$R,$G9,'Input 4.1_2020VOL-YTD'!D:D)</f>
        <v>2891.99</v>
      </c>
      <c r="AN9" s="268">
        <f>SUMIF('Input 4.1_2020VOL-YTD'!$R:$R,$G9,'Input 4.1_2020VOL-YTD'!E:E)</f>
        <v>2811.52</v>
      </c>
      <c r="AO9" s="268">
        <f>SUMIF('Input 4.1_2020VOL-YTD'!$R:$R,$G9,'Input 4.1_2020VOL-YTD'!F:F)</f>
        <v>2310.88</v>
      </c>
      <c r="AP9" s="268">
        <f>SUMIF('Input 4.1_2020VOL-YTD'!$R:$R,$G9,'Input 4.1_2020VOL-YTD'!G:G)</f>
        <v>1992.9</v>
      </c>
      <c r="AQ9" s="268">
        <f>SUMIF('Input 4.1_2020VOL-YTD'!$R:$R,$G9,'Input 4.1_2020VOL-YTD'!H:H)</f>
        <v>2003.14</v>
      </c>
      <c r="AR9" s="268">
        <f>SUMIF('Input 4.1_2020VOL-YTD'!$R:$R,$G9,'Input 4.1_2020VOL-YTD'!I:I)</f>
        <v>2170.1600000000003</v>
      </c>
      <c r="AS9" s="268">
        <f>SUMIF('Input 4.1_2020VOL-YTD'!$R:$R,$G9,'Input 4.1_2020VOL-YTD'!J:J)</f>
        <v>1936.63</v>
      </c>
      <c r="AT9" s="268">
        <f>SUMIF('Input 4.1_2020VOL-YTD'!$R:$R,$G9,'Input 4.1_2020VOL-YTD'!K:K)</f>
        <v>2473.6999999999998</v>
      </c>
      <c r="AU9" s="268">
        <f>SUMIF('Input 4.1_2020VOL-YTD'!$R:$R,$G9,'Input 4.1_2020VOL-YTD'!L:L)</f>
        <v>2232.1800000000003</v>
      </c>
      <c r="AV9" s="268">
        <f>SUMIF('Input 4.1_2020VOL-YTD'!$R:$R,$G9,'Input 4.1_2020VOL-YTD'!M:M)</f>
        <v>2817.2999999999997</v>
      </c>
      <c r="AW9" s="268">
        <f>SUMIF('Input 4.1_2020VOL-YTD'!$R:$R,$G9,'Input 4.1_2020VOL-YTD'!N:N)</f>
        <v>2816.75</v>
      </c>
      <c r="AX9" s="268">
        <f>SUMIF('Input 5.1_2021VOL-YTD'!$R:$R,$G9,'Input 5.1_2021VOL-YTD'!C:C)</f>
        <v>2637.9399999999996</v>
      </c>
      <c r="AY9" s="268">
        <f>SUMIF('Input 5.1_2021VOL-YTD'!$R:$R,$G9,'Input 5.1_2021VOL-YTD'!D:D)</f>
        <v>2797.85</v>
      </c>
      <c r="AZ9" s="268">
        <f>SUMIF('Input 5.1_2021VOL-YTD'!$R:$R,$G9,'Input 5.1_2021VOL-YTD'!E:E)</f>
        <v>2716.6</v>
      </c>
      <c r="BA9" s="268">
        <f>SUMIF('Input 5.1_2021VOL-YTD'!$R:$R,$G9,'Input 5.1_2021VOL-YTD'!F:F)</f>
        <v>2944.5</v>
      </c>
      <c r="BB9" s="268">
        <f>SUMIF('Input 5.1_2021VOL-YTD'!$R:$R,$G9,'Input 5.1_2021VOL-YTD'!G:G)</f>
        <v>3176.34</v>
      </c>
      <c r="BC9" s="268">
        <f>SUMIF('Input 5.1_2021VOL-YTD'!$R:$R,$G9,'Input 5.1_2021VOL-YTD'!H:H)</f>
        <v>2761.37</v>
      </c>
      <c r="BD9" s="268">
        <f>SUMIF('Input 5.1_2021VOL-YTD'!$R:$R,$G9,'Input 5.1_2021VOL-YTD'!I:I)</f>
        <v>2536.98</v>
      </c>
      <c r="BE9" s="268">
        <f>SUMIF('Input 5.1_2021VOL-YTD'!$R:$R,$G9,'Input 5.1_2021VOL-YTD'!J:J)</f>
        <v>2314.8599999999997</v>
      </c>
      <c r="BF9" s="268">
        <f>SUMIF('Input 5.1_2021VOL-YTD'!$R:$R,$G9,'Input 5.1_2021VOL-YTD'!K:K)</f>
        <v>3322.4199999999996</v>
      </c>
      <c r="BG9" s="268">
        <f>SUMIF('Input 5.1_2021VOL-YTD'!$R:$R,$G9,'Input 5.1_2021VOL-YTD'!L:L)</f>
        <v>3000.52</v>
      </c>
      <c r="BH9" s="268">
        <f>SUMIF('Input 5.1_2021VOL-YTD'!$R:$R,$G9,'Input 5.1_2021VOL-YTD'!M:M)</f>
        <v>2999.68</v>
      </c>
      <c r="BI9" s="268">
        <f>SUMIF('Input 5.1_2021VOL-YTD'!$R:$R,$G9,'Input 5.1_2021VOL-YTD'!N:N)</f>
        <v>3374.7999999999997</v>
      </c>
      <c r="BJ9" s="483">
        <f>IFERROR(IF($J9="Historical Average",INDEX('Monthly UPC'!$CM$2:$DJ$65,MATCH($D9,'Monthly UPC'!$D$2:$D$65,0),MATCH(BJ$1,'Monthly UPC'!$CM$1:$DJ$1))*(INDEX('Monthly CUST'!$N$2:$CG$65,MATCH($D9,'Monthly CUST'!$D$2:$D$65,0),MATCH(BJ$1,'Monthly CUST'!$N$1:$CG$1,0))),IF($J9="UPC Growth Rate",((AX9/INDEX('Monthly CUST'!$N$2:$CG$65,MATCH($D9,'Monthly CUST'!$D$2:$D$65,0),MATCH(AX$1,'Monthly CUST'!$N$1:$CG$1,0)))*(1+$L9)*INDEX('Monthly CUST'!$N$2:$CG$65,MATCH($D9,'Monthly CUST'!$D$2:$D$65,0),MATCH(BJ$1,'Monthly CUST'!$N$1:$CG$1,0))),IF($J9="Modeled UPC",INDEX('Monthly CUST'!$N$2:$CG$65,MATCH($D9,'Monthly CUST'!$D$2:$D$65,0),MATCH(BJ$1,'Monthly CUST'!$N$1:$CG$1,0))/12*$M9,IF($J9="Base Period",AX9,IF($J9="Adjusted",SUMIF('Input 15_Fcst Inputs'!$A:$A,$D9,'Input 15_Fcst Inputs'!$G:$G)/12))))),0)</f>
        <v>2548.7510186510299</v>
      </c>
      <c r="BK9" s="483">
        <f>IFERROR(IF($J9="Historical Average",INDEX('Monthly UPC'!$CM$2:$DJ$65,MATCH($D9,'Monthly UPC'!$D$2:$D$65,0),MATCH(BK$1,'Monthly UPC'!$CM$1:$DJ$1))*(INDEX('Monthly CUST'!$N$2:$CG$65,MATCH($D9,'Monthly CUST'!$D$2:$D$65,0),MATCH(BK$1,'Monthly CUST'!$N$1:$CG$1,0))),IF($J9="UPC Growth Rate",((AY9/INDEX('Monthly CUST'!$N$2:$CG$65,MATCH($D9,'Monthly CUST'!$D$2:$D$65,0),MATCH(AY$1,'Monthly CUST'!$N$1:$CG$1,0)))*(1+$L9)*INDEX('Monthly CUST'!$N$2:$CG$65,MATCH($D9,'Monthly CUST'!$D$2:$D$65,0),MATCH(BK$1,'Monthly CUST'!$N$1:$CG$1,0))),IF($J9="Modeled UPC",INDEX('Monthly CUST'!$N$2:$CG$65,MATCH($D9,'Monthly CUST'!$D$2:$D$65,0),MATCH(BK$1,'Monthly CUST'!$N$1:$CG$1,0))/12*$M9,IF($J9="Base Period",AY9,IF($J9="Adjusted",SUMIF('Input 15_Fcst Inputs'!$A:$A,$D9,'Input 15_Fcst Inputs'!$G:$G)/12))))),0)</f>
        <v>2703.2544476116909</v>
      </c>
      <c r="BL9" s="483">
        <f>IFERROR(IF($J9="Historical Average",INDEX('Monthly UPC'!$CM$2:$DJ$65,MATCH($D9,'Monthly UPC'!$D$2:$D$65,0),MATCH(BL$1,'Monthly UPC'!$CM$1:$DJ$1))*(INDEX('Monthly CUST'!$N$2:$CG$65,MATCH($D9,'Monthly CUST'!$D$2:$D$65,0),MATCH(BL$1,'Monthly CUST'!$N$1:$CG$1,0))),IF($J9="UPC Growth Rate",((AZ9/INDEX('Monthly CUST'!$N$2:$CG$65,MATCH($D9,'Monthly CUST'!$D$2:$D$65,0),MATCH(AZ$1,'Monthly CUST'!$N$1:$CG$1,0)))*(1+$L9)*INDEX('Monthly CUST'!$N$2:$CG$65,MATCH($D9,'Monthly CUST'!$D$2:$D$65,0),MATCH(BL$1,'Monthly CUST'!$N$1:$CG$1,0))),IF($J9="Modeled UPC",INDEX('Monthly CUST'!$N$2:$CG$65,MATCH($D9,'Monthly CUST'!$D$2:$D$65,0),MATCH(BL$1,'Monthly CUST'!$N$1:$CG$1,0))/12*$M9,IF($J9="Base Period",AZ9,IF($J9="Adjusted",SUMIF('Input 15_Fcst Inputs'!$A:$A,$D9,'Input 15_Fcst Inputs'!$G:$G)/12))))),0)</f>
        <v>2624.7515171942455</v>
      </c>
      <c r="BM9" s="483">
        <f>IFERROR(IF($J9="Historical Average",INDEX('Monthly UPC'!$CM$2:$DJ$65,MATCH($D9,'Monthly UPC'!$D$2:$D$65,0),MATCH(BM$1,'Monthly UPC'!$CM$1:$DJ$1))*(INDEX('Monthly CUST'!$N$2:$CG$65,MATCH($D9,'Monthly CUST'!$D$2:$D$65,0),MATCH(BM$1,'Monthly CUST'!$N$1:$CG$1,0))),IF($J9="UPC Growth Rate",((BA9/INDEX('Monthly CUST'!$N$2:$CG$65,MATCH($D9,'Monthly CUST'!$D$2:$D$65,0),MATCH(BA$1,'Monthly CUST'!$N$1:$CG$1,0)))*(1+$L9)*INDEX('Monthly CUST'!$N$2:$CG$65,MATCH($D9,'Monthly CUST'!$D$2:$D$65,0),MATCH(BM$1,'Monthly CUST'!$N$1:$CG$1,0))),IF($J9="Modeled UPC",INDEX('Monthly CUST'!$N$2:$CG$65,MATCH($D9,'Monthly CUST'!$D$2:$D$65,0),MATCH(BM$1,'Monthly CUST'!$N$1:$CG$1,0))/12*$M9,IF($J9="Base Period",BA9,IF($J9="Adjusted",SUMIF('Input 15_Fcst Inputs'!$A:$A,$D9,'Input 15_Fcst Inputs'!$G:$G)/12))))),0)</f>
        <v>2844.9461983282254</v>
      </c>
      <c r="BN9" s="483">
        <f>IFERROR(IF($J9="Historical Average",INDEX('Monthly UPC'!$CM$2:$DJ$65,MATCH($D9,'Monthly UPC'!$D$2:$D$65,0),MATCH(BN$1,'Monthly UPC'!$CM$1:$DJ$1))*(INDEX('Monthly CUST'!$N$2:$CG$65,MATCH($D9,'Monthly CUST'!$D$2:$D$65,0),MATCH(BN$1,'Monthly CUST'!$N$1:$CG$1,0))),IF($J9="UPC Growth Rate",((BB9/INDEX('Monthly CUST'!$N$2:$CG$65,MATCH($D9,'Monthly CUST'!$D$2:$D$65,0),MATCH(BB$1,'Monthly CUST'!$N$1:$CG$1,0)))*(1+$L9)*INDEX('Monthly CUST'!$N$2:$CG$65,MATCH($D9,'Monthly CUST'!$D$2:$D$65,0),MATCH(BN$1,'Monthly CUST'!$N$1:$CG$1,0))),IF($J9="Modeled UPC",INDEX('Monthly CUST'!$N$2:$CG$65,MATCH($D9,'Monthly CUST'!$D$2:$D$65,0),MATCH(BN$1,'Monthly CUST'!$N$1:$CG$1,0))/12*$M9,IF($J9="Base Period",BB9,IF($J9="Adjusted",SUMIF('Input 15_Fcst Inputs'!$A:$A,$D9,'Input 15_Fcst Inputs'!$G:$G)/12))))),0)</f>
        <v>3068.9476677187549</v>
      </c>
      <c r="BO9" s="483">
        <f>IFERROR(IF($J9="Historical Average",INDEX('Monthly UPC'!$CM$2:$DJ$65,MATCH($D9,'Monthly UPC'!$D$2:$D$65,0),MATCH(BO$1,'Monthly UPC'!$CM$1:$DJ$1))*(INDEX('Monthly CUST'!$N$2:$CG$65,MATCH($D9,'Monthly CUST'!$D$2:$D$65,0),MATCH(BO$1,'Monthly CUST'!$N$1:$CG$1,0))),IF($J9="UPC Growth Rate",((BC9/INDEX('Monthly CUST'!$N$2:$CG$65,MATCH($D9,'Monthly CUST'!$D$2:$D$65,0),MATCH(BC$1,'Monthly CUST'!$N$1:$CG$1,0)))*(1+$L9)*INDEX('Monthly CUST'!$N$2:$CG$65,MATCH($D9,'Monthly CUST'!$D$2:$D$65,0),MATCH(BO$1,'Monthly CUST'!$N$1:$CG$1,0))),IF($J9="Modeled UPC",INDEX('Monthly CUST'!$N$2:$CG$65,MATCH($D9,'Monthly CUST'!$D$2:$D$65,0),MATCH(BO$1,'Monthly CUST'!$N$1:$CG$1,0))/12*$M9,IF($J9="Base Period",BC9,IF($J9="Adjusted",SUMIF('Input 15_Fcst Inputs'!$A:$A,$D9,'Input 15_Fcst Inputs'!$G:$G)/12))))),0)</f>
        <v>2668.0078395916489</v>
      </c>
      <c r="BP9" s="483">
        <f>IFERROR(IF($J9="Historical Average",INDEX('Monthly UPC'!$CM$2:$DJ$65,MATCH($D9,'Monthly UPC'!$D$2:$D$65,0),MATCH(BP$1,'Monthly UPC'!$CM$1:$DJ$1))*(INDEX('Monthly CUST'!$N$2:$CG$65,MATCH($D9,'Monthly CUST'!$D$2:$D$65,0),MATCH(BP$1,'Monthly CUST'!$N$1:$CG$1,0))),IF($J9="UPC Growth Rate",((BD9/INDEX('Monthly CUST'!$N$2:$CG$65,MATCH($D9,'Monthly CUST'!$D$2:$D$65,0),MATCH(BD$1,'Monthly CUST'!$N$1:$CG$1,0)))*(1+$L9)*INDEX('Monthly CUST'!$N$2:$CG$65,MATCH($D9,'Monthly CUST'!$D$2:$D$65,0),MATCH(BP$1,'Monthly CUST'!$N$1:$CG$1,0))),IF($J9="Modeled UPC",INDEX('Monthly CUST'!$N$2:$CG$65,MATCH($D9,'Monthly CUST'!$D$2:$D$65,0),MATCH(BP$1,'Monthly CUST'!$N$1:$CG$1,0))/12*$M9,IF($J9="Base Period",BD9,IF($J9="Adjusted",SUMIF('Input 15_Fcst Inputs'!$A:$A,$D9,'Input 15_Fcst Inputs'!$G:$G)/12))))),0)</f>
        <v>2451.2044850517032</v>
      </c>
      <c r="BQ9" s="483">
        <f>IFERROR(IF($J9="Historical Average",INDEX('Monthly UPC'!$CM$2:$DJ$65,MATCH($D9,'Monthly UPC'!$D$2:$D$65,0),MATCH(BQ$1,'Monthly UPC'!$CM$1:$DJ$1))*(INDEX('Monthly CUST'!$N$2:$CG$65,MATCH($D9,'Monthly CUST'!$D$2:$D$65,0),MATCH(BQ$1,'Monthly CUST'!$N$1:$CG$1,0))),IF($J9="UPC Growth Rate",((BE9/INDEX('Monthly CUST'!$N$2:$CG$65,MATCH($D9,'Monthly CUST'!$D$2:$D$65,0),MATCH(BE$1,'Monthly CUST'!$N$1:$CG$1,0)))*(1+$L9)*INDEX('Monthly CUST'!$N$2:$CG$65,MATCH($D9,'Monthly CUST'!$D$2:$D$65,0),MATCH(BQ$1,'Monthly CUST'!$N$1:$CG$1,0))),IF($J9="Modeled UPC",INDEX('Monthly CUST'!$N$2:$CG$65,MATCH($D9,'Monthly CUST'!$D$2:$D$65,0),MATCH(BQ$1,'Monthly CUST'!$N$1:$CG$1,0))/12*$M9,IF($J9="Base Period",BE9,IF($J9="Adjusted",SUMIF('Input 15_Fcst Inputs'!$A:$A,$D9,'Input 15_Fcst Inputs'!$G:$G)/12))))),0)</f>
        <v>2236.594381613882</v>
      </c>
      <c r="BR9" s="483">
        <f>IFERROR(IF($J9="Historical Average",INDEX('Monthly UPC'!$CM$2:$DJ$65,MATCH($D9,'Monthly UPC'!$D$2:$D$65,0),MATCH(BR$1,'Monthly UPC'!$CM$1:$DJ$1))*(INDEX('Monthly CUST'!$N$2:$CG$65,MATCH($D9,'Monthly CUST'!$D$2:$D$65,0),MATCH(BR$1,'Monthly CUST'!$N$1:$CG$1,0))),IF($J9="UPC Growth Rate",((BF9/INDEX('Monthly CUST'!$N$2:$CG$65,MATCH($D9,'Monthly CUST'!$D$2:$D$65,0),MATCH(BF$1,'Monthly CUST'!$N$1:$CG$1,0)))*(1+$L9)*INDEX('Monthly CUST'!$N$2:$CG$65,MATCH($D9,'Monthly CUST'!$D$2:$D$65,0),MATCH(BR$1,'Monthly CUST'!$N$1:$CG$1,0))),IF($J9="Modeled UPC",INDEX('Monthly CUST'!$N$2:$CG$65,MATCH($D9,'Monthly CUST'!$D$2:$D$65,0),MATCH(BR$1,'Monthly CUST'!$N$1:$CG$1,0))/12*$M9,IF($J9="Base Period",BF9,IF($J9="Adjusted",SUMIF('Input 15_Fcst Inputs'!$A:$A,$D9,'Input 15_Fcst Inputs'!$G:$G)/12))))),0)</f>
        <v>3210.0886901849753</v>
      </c>
      <c r="BS9" s="483">
        <f>IFERROR(IF($J9="Historical Average",INDEX('Monthly UPC'!$CM$2:$DJ$65,MATCH($D9,'Monthly UPC'!$D$2:$D$65,0),MATCH(BS$1,'Monthly UPC'!$CM$1:$DJ$1))*(INDEX('Monthly CUST'!$N$2:$CG$65,MATCH($D9,'Monthly CUST'!$D$2:$D$65,0),MATCH(BS$1,'Monthly CUST'!$N$1:$CG$1,0))),IF($J9="UPC Growth Rate",((BG9/INDEX('Monthly CUST'!$N$2:$CG$65,MATCH($D9,'Monthly CUST'!$D$2:$D$65,0),MATCH(BG$1,'Monthly CUST'!$N$1:$CG$1,0)))*(1+$L9)*INDEX('Monthly CUST'!$N$2:$CG$65,MATCH($D9,'Monthly CUST'!$D$2:$D$65,0),MATCH(BS$1,'Monthly CUST'!$N$1:$CG$1,0))),IF($J9="Modeled UPC",INDEX('Monthly CUST'!$N$2:$CG$65,MATCH($D9,'Monthly CUST'!$D$2:$D$65,0),MATCH(BS$1,'Monthly CUST'!$N$1:$CG$1,0))/12*$M9,IF($J9="Base Period",BG9,IF($J9="Adjusted",SUMIF('Input 15_Fcst Inputs'!$A:$A,$D9,'Input 15_Fcst Inputs'!$G:$G)/12))))),0)</f>
        <v>2899.072157244967</v>
      </c>
      <c r="BT9" s="483">
        <f>IFERROR(IF($J9="Historical Average",INDEX('Monthly UPC'!$CM$2:$DJ$65,MATCH($D9,'Monthly UPC'!$D$2:$D$65,0),MATCH(BT$1,'Monthly UPC'!$CM$1:$DJ$1))*(INDEX('Monthly CUST'!$N$2:$CG$65,MATCH($D9,'Monthly CUST'!$D$2:$D$65,0),MATCH(BT$1,'Monthly CUST'!$N$1:$CG$1,0))),IF($J9="UPC Growth Rate",((BH9/INDEX('Monthly CUST'!$N$2:$CG$65,MATCH($D9,'Monthly CUST'!$D$2:$D$65,0),MATCH(BH$1,'Monthly CUST'!$N$1:$CG$1,0)))*(1+$L9)*INDEX('Monthly CUST'!$N$2:$CG$65,MATCH($D9,'Monthly CUST'!$D$2:$D$65,0),MATCH(BT$1,'Monthly CUST'!$N$1:$CG$1,0))),IF($J9="Modeled UPC",INDEX('Monthly CUST'!$N$2:$CG$65,MATCH($D9,'Monthly CUST'!$D$2:$D$65,0),MATCH(BT$1,'Monthly CUST'!$N$1:$CG$1,0))/12*$M9,IF($J9="Base Period",BH9,IF($J9="Adjusted",SUMIF('Input 15_Fcst Inputs'!$A:$A,$D9,'Input 15_Fcst Inputs'!$G:$G)/12))))),0)</f>
        <v>2898.2605577181894</v>
      </c>
      <c r="BU9" s="483">
        <f>IFERROR(IF($J9="Historical Average",INDEX('Monthly UPC'!$CM$2:$DJ$65,MATCH($D9,'Monthly UPC'!$D$2:$D$65,0),MATCH(BU$1,'Monthly UPC'!$CM$1:$DJ$1))*(INDEX('Monthly CUST'!$N$2:$CG$65,MATCH($D9,'Monthly CUST'!$D$2:$D$65,0),MATCH(BU$1,'Monthly CUST'!$N$1:$CG$1,0))),IF($J9="UPC Growth Rate",((BI9/INDEX('Monthly CUST'!$N$2:$CG$65,MATCH($D9,'Monthly CUST'!$D$2:$D$65,0),MATCH(BI$1,'Monthly CUST'!$N$1:$CG$1,0)))*(1+$L9)*INDEX('Monthly CUST'!$N$2:$CG$65,MATCH($D9,'Monthly CUST'!$D$2:$D$65,0),MATCH(BU$1,'Monthly CUST'!$N$1:$CG$1,0))),IF($J9="Modeled UPC",INDEX('Monthly CUST'!$N$2:$CG$65,MATCH($D9,'Monthly CUST'!$D$2:$D$65,0),MATCH(BU$1,'Monthly CUST'!$N$1:$CG$1,0))/12*$M9,IF($J9="Base Period",BI9,IF($J9="Adjusted",SUMIF('Input 15_Fcst Inputs'!$A:$A,$D9,'Input 15_Fcst Inputs'!$G:$G)/12))))),0)</f>
        <v>3260.6977178190164</v>
      </c>
      <c r="BV9" s="483">
        <f>IFERROR(IF($J9="Historical Average",INDEX('Monthly UPC'!$CM$2:$DJ$65,MATCH($D9,'Monthly UPC'!$D$2:$D$65,0),MATCH(BV$1,'Monthly UPC'!$CM$1:$DJ$1))*(INDEX('Monthly CUST'!$N$2:$CG$65,MATCH($D9,'Monthly CUST'!$D$2:$D$65,0),MATCH(BV$1,'Monthly CUST'!$N$1:$CG$1,0))),IF($J9="UPC Growth Rate",((BJ9/INDEX('Monthly CUST'!$N$2:$CG$65,MATCH($D9,'Monthly CUST'!$D$2:$D$65,0),MATCH(BJ$1,'Monthly CUST'!$N$1:$CG$1,0)))*(1+$L9)*INDEX('Monthly CUST'!$N$2:$CG$65,MATCH($D9,'Monthly CUST'!$D$2:$D$65,0),MATCH(BV$1,'Monthly CUST'!$N$1:$CG$1,0))),IF($J9="Modeled UPC",INDEX('Monthly CUST'!$N$2:$CG$65,MATCH($D9,'Monthly CUST'!$D$2:$D$65,0),MATCH(BV$1,'Monthly CUST'!$N$1:$CG$1,0))/12*$M9,IF($J9="Base Period",BJ9,IF($J9="Adjusted",SUMIF('Input 15_Fcst Inputs'!$A:$A,$D9,'Input 15_Fcst Inputs'!$G:$G)/12))))),0)</f>
        <v>2462.5775245360637</v>
      </c>
      <c r="BW9" s="483">
        <f>IFERROR(IF($J9="Historical Average",INDEX('Monthly UPC'!$CM$2:$DJ$65,MATCH($D9,'Monthly UPC'!$D$2:$D$65,0),MATCH(BW$1,'Monthly UPC'!$CM$1:$DJ$1))*(INDEX('Monthly CUST'!$N$2:$CG$65,MATCH($D9,'Monthly CUST'!$D$2:$D$65,0),MATCH(BW$1,'Monthly CUST'!$N$1:$CG$1,0))),IF($J9="UPC Growth Rate",((BK9/INDEX('Monthly CUST'!$N$2:$CG$65,MATCH($D9,'Monthly CUST'!$D$2:$D$65,0),MATCH(BK$1,'Monthly CUST'!$N$1:$CG$1,0)))*(1+$L9)*INDEX('Monthly CUST'!$N$2:$CG$65,MATCH($D9,'Monthly CUST'!$D$2:$D$65,0),MATCH(BW$1,'Monthly CUST'!$N$1:$CG$1,0))),IF($J9="Modeled UPC",INDEX('Monthly CUST'!$N$2:$CG$65,MATCH($D9,'Monthly CUST'!$D$2:$D$65,0),MATCH(BW$1,'Monthly CUST'!$N$1:$CG$1,0))/12*$M9,IF($J9="Base Period",BK9,IF($J9="Adjusted",SUMIF('Input 15_Fcst Inputs'!$A:$A,$D9,'Input 15_Fcst Inputs'!$G:$G)/12))))),0)</f>
        <v>2611.8571790955157</v>
      </c>
      <c r="BX9" s="483">
        <f>IFERROR(IF($J9="Historical Average",INDEX('Monthly UPC'!$CM$2:$DJ$65,MATCH($D9,'Monthly UPC'!$D$2:$D$65,0),MATCH(BX$1,'Monthly UPC'!$CM$1:$DJ$1))*(INDEX('Monthly CUST'!$N$2:$CG$65,MATCH($D9,'Monthly CUST'!$D$2:$D$65,0),MATCH(BX$1,'Monthly CUST'!$N$1:$CG$1,0))),IF($J9="UPC Growth Rate",((BL9/INDEX('Monthly CUST'!$N$2:$CG$65,MATCH($D9,'Monthly CUST'!$D$2:$D$65,0),MATCH(BL$1,'Monthly CUST'!$N$1:$CG$1,0)))*(1+$L9)*INDEX('Monthly CUST'!$N$2:$CG$65,MATCH($D9,'Monthly CUST'!$D$2:$D$65,0),MATCH(BX$1,'Monthly CUST'!$N$1:$CG$1,0))),IF($J9="Modeled UPC",INDEX('Monthly CUST'!$N$2:$CG$65,MATCH($D9,'Monthly CUST'!$D$2:$D$65,0),MATCH(BX$1,'Monthly CUST'!$N$1:$CG$1,0))/12*$M9,IF($J9="Base Period",BL9,IF($J9="Adjusted",SUMIF('Input 15_Fcst Inputs'!$A:$A,$D9,'Input 15_Fcst Inputs'!$G:$G)/12))))),0)</f>
        <v>2536.0084395985773</v>
      </c>
      <c r="BY9" s="483">
        <f>IFERROR(IF($J9="Historical Average",INDEX('Monthly UPC'!$CM$2:$DJ$65,MATCH($D9,'Monthly UPC'!$D$2:$D$65,0),MATCH(BY$1,'Monthly UPC'!$CM$1:$DJ$1))*(INDEX('Monthly CUST'!$N$2:$CG$65,MATCH($D9,'Monthly CUST'!$D$2:$D$65,0),MATCH(BY$1,'Monthly CUST'!$N$1:$CG$1,0))),IF($J9="UPC Growth Rate",((BM9/INDEX('Monthly CUST'!$N$2:$CG$65,MATCH($D9,'Monthly CUST'!$D$2:$D$65,0),MATCH(BM$1,'Monthly CUST'!$N$1:$CG$1,0)))*(1+$L9)*INDEX('Monthly CUST'!$N$2:$CG$65,MATCH($D9,'Monthly CUST'!$D$2:$D$65,0),MATCH(BY$1,'Monthly CUST'!$N$1:$CG$1,0))),IF($J9="Modeled UPC",INDEX('Monthly CUST'!$N$2:$CG$65,MATCH($D9,'Monthly CUST'!$D$2:$D$65,0),MATCH(BY$1,'Monthly CUST'!$N$1:$CG$1,0))/12*$M9,IF($J9="Base Period",BM9,IF($J9="Adjusted",SUMIF('Input 15_Fcst Inputs'!$A:$A,$D9,'Input 15_Fcst Inputs'!$G:$G)/12))))),0)</f>
        <v>2748.7583193690684</v>
      </c>
      <c r="BZ9" s="483">
        <f>IFERROR(IF($J9="Historical Average",INDEX('Monthly UPC'!$CM$2:$DJ$65,MATCH($D9,'Monthly UPC'!$D$2:$D$65,0),MATCH(BZ$1,'Monthly UPC'!$CM$1:$DJ$1))*(INDEX('Monthly CUST'!$N$2:$CG$65,MATCH($D9,'Monthly CUST'!$D$2:$D$65,0),MATCH(BZ$1,'Monthly CUST'!$N$1:$CG$1,0))),IF($J9="UPC Growth Rate",((BN9/INDEX('Monthly CUST'!$N$2:$CG$65,MATCH($D9,'Monthly CUST'!$D$2:$D$65,0),MATCH(BN$1,'Monthly CUST'!$N$1:$CG$1,0)))*(1+$L9)*INDEX('Monthly CUST'!$N$2:$CG$65,MATCH($D9,'Monthly CUST'!$D$2:$D$65,0),MATCH(BZ$1,'Monthly CUST'!$N$1:$CG$1,0))),IF($J9="Modeled UPC",INDEX('Monthly CUST'!$N$2:$CG$65,MATCH($D9,'Monthly CUST'!$D$2:$D$65,0),MATCH(BZ$1,'Monthly CUST'!$N$1:$CG$1,0))/12*$M9,IF($J9="Base Period",BN9,IF($J9="Adjusted",SUMIF('Input 15_Fcst Inputs'!$A:$A,$D9,'Input 15_Fcst Inputs'!$G:$G)/12))))),0)</f>
        <v>2965.1862795533179</v>
      </c>
      <c r="CA9" s="483">
        <f>IFERROR(IF($J9="Historical Average",INDEX('Monthly UPC'!$CM$2:$DJ$65,MATCH($D9,'Monthly UPC'!$D$2:$D$65,0),MATCH(CA$1,'Monthly UPC'!$CM$1:$DJ$1))*(INDEX('Monthly CUST'!$N$2:$CG$65,MATCH($D9,'Monthly CUST'!$D$2:$D$65,0),MATCH(CA$1,'Monthly CUST'!$N$1:$CG$1,0))),IF($J9="UPC Growth Rate",((BO9/INDEX('Monthly CUST'!$N$2:$CG$65,MATCH($D9,'Monthly CUST'!$D$2:$D$65,0),MATCH(BO$1,'Monthly CUST'!$N$1:$CG$1,0)))*(1+$L9)*INDEX('Monthly CUST'!$N$2:$CG$65,MATCH($D9,'Monthly CUST'!$D$2:$D$65,0),MATCH(CA$1,'Monthly CUST'!$N$1:$CG$1,0))),IF($J9="Modeled UPC",INDEX('Monthly CUST'!$N$2:$CG$65,MATCH($D9,'Monthly CUST'!$D$2:$D$65,0),MATCH(CA$1,'Monthly CUST'!$N$1:$CG$1,0))/12*$M9,IF($J9="Base Period",BO9,IF($J9="Adjusted",SUMIF('Input 15_Fcst Inputs'!$A:$A,$D9,'Input 15_Fcst Inputs'!$G:$G)/12))))),0)</f>
        <v>2577.8022619650746</v>
      </c>
      <c r="CB9" s="483">
        <f>IFERROR(IF($J9="Historical Average",INDEX('Monthly UPC'!$CM$2:$DJ$65,MATCH($D9,'Monthly UPC'!$D$2:$D$65,0),MATCH(CB$1,'Monthly UPC'!$CM$1:$DJ$1))*(INDEX('Monthly CUST'!$N$2:$CG$65,MATCH($D9,'Monthly CUST'!$D$2:$D$65,0),MATCH(CB$1,'Monthly CUST'!$N$1:$CG$1,0))),IF($J9="UPC Growth Rate",((BP9/INDEX('Monthly CUST'!$N$2:$CG$65,MATCH($D9,'Monthly CUST'!$D$2:$D$65,0),MATCH(BP$1,'Monthly CUST'!$N$1:$CG$1,0)))*(1+$L9)*INDEX('Monthly CUST'!$N$2:$CG$65,MATCH($D9,'Monthly CUST'!$D$2:$D$65,0),MATCH(CB$1,'Monthly CUST'!$N$1:$CG$1,0))),IF($J9="Modeled UPC",INDEX('Monthly CUST'!$N$2:$CG$65,MATCH($D9,'Monthly CUST'!$D$2:$D$65,0),MATCH(CB$1,'Monthly CUST'!$N$1:$CG$1,0))/12*$M9,IF($J9="Base Period",BP9,IF($J9="Adjusted",SUMIF('Input 15_Fcst Inputs'!$A:$A,$D9,'Input 15_Fcst Inputs'!$G:$G)/12))))),0)</f>
        <v>2368.3290477408518</v>
      </c>
      <c r="CC9" s="483">
        <f>IFERROR(IF($J9="Historical Average",INDEX('Monthly UPC'!$CM$2:$DJ$65,MATCH($D9,'Monthly UPC'!$D$2:$D$65,0),MATCH(CC$1,'Monthly UPC'!$CM$1:$DJ$1))*(INDEX('Monthly CUST'!$N$2:$CG$65,MATCH($D9,'Monthly CUST'!$D$2:$D$65,0),MATCH(CC$1,'Monthly CUST'!$N$1:$CG$1,0))),IF($J9="UPC Growth Rate",((BQ9/INDEX('Monthly CUST'!$N$2:$CG$65,MATCH($D9,'Monthly CUST'!$D$2:$D$65,0),MATCH(BQ$1,'Monthly CUST'!$N$1:$CG$1,0)))*(1+$L9)*INDEX('Monthly CUST'!$N$2:$CG$65,MATCH($D9,'Monthly CUST'!$D$2:$D$65,0),MATCH(CC$1,'Monthly CUST'!$N$1:$CG$1,0))),IF($J9="Modeled UPC",INDEX('Monthly CUST'!$N$2:$CG$65,MATCH($D9,'Monthly CUST'!$D$2:$D$65,0),MATCH(CC$1,'Monthly CUST'!$N$1:$CG$1,0))/12*$M9,IF($J9="Base Period",BQ9,IF($J9="Adjusted",SUMIF('Input 15_Fcst Inputs'!$A:$A,$D9,'Input 15_Fcst Inputs'!$G:$G)/12))))),0)</f>
        <v>2160.9749306078052</v>
      </c>
      <c r="CD9" s="483">
        <f>IFERROR(IF($J9="Historical Average",INDEX('Monthly UPC'!$CM$2:$DJ$65,MATCH($D9,'Monthly UPC'!$D$2:$D$65,0),MATCH(CD$1,'Monthly UPC'!$CM$1:$DJ$1))*(INDEX('Monthly CUST'!$N$2:$CG$65,MATCH($D9,'Monthly CUST'!$D$2:$D$65,0),MATCH(CD$1,'Monthly CUST'!$N$1:$CG$1,0))),IF($J9="UPC Growth Rate",((BR9/INDEX('Monthly CUST'!$N$2:$CG$65,MATCH($D9,'Monthly CUST'!$D$2:$D$65,0),MATCH(BR$1,'Monthly CUST'!$N$1:$CG$1,0)))*(1+$L9)*INDEX('Monthly CUST'!$N$2:$CG$65,MATCH($D9,'Monthly CUST'!$D$2:$D$65,0),MATCH(CD$1,'Monthly CUST'!$N$1:$CG$1,0))),IF($J9="Modeled UPC",INDEX('Monthly CUST'!$N$2:$CG$65,MATCH($D9,'Monthly CUST'!$D$2:$D$65,0),MATCH(CD$1,'Monthly CUST'!$N$1:$CG$1,0))/12*$M9,IF($J9="Base Period",BR9,IF($J9="Adjusted",SUMIF('Input 15_Fcst Inputs'!$A:$A,$D9,'Input 15_Fcst Inputs'!$G:$G)/12))))),0)</f>
        <v>3101.5553117467066</v>
      </c>
      <c r="CE9" s="483">
        <f>IFERROR(IF($J9="Historical Average",INDEX('Monthly UPC'!$CM$2:$DJ$65,MATCH($D9,'Monthly UPC'!$D$2:$D$65,0),MATCH(CE$1,'Monthly UPC'!$CM$1:$DJ$1))*(INDEX('Monthly CUST'!$N$2:$CG$65,MATCH($D9,'Monthly CUST'!$D$2:$D$65,0),MATCH(CE$1,'Monthly CUST'!$N$1:$CG$1,0))),IF($J9="UPC Growth Rate",((BS9/INDEX('Monthly CUST'!$N$2:$CG$65,MATCH($D9,'Monthly CUST'!$D$2:$D$65,0),MATCH(BS$1,'Monthly CUST'!$N$1:$CG$1,0)))*(1+$L9)*INDEX('Monthly CUST'!$N$2:$CG$65,MATCH($D9,'Monthly CUST'!$D$2:$D$65,0),MATCH(CE$1,'Monthly CUST'!$N$1:$CG$1,0))),IF($J9="Modeled UPC",INDEX('Monthly CUST'!$N$2:$CG$65,MATCH($D9,'Monthly CUST'!$D$2:$D$65,0),MATCH(CE$1,'Monthly CUST'!$N$1:$CG$1,0))/12*$M9,IF($J9="Base Period",BS9,IF($J9="Adjusted",SUMIF('Input 15_Fcst Inputs'!$A:$A,$D9,'Input 15_Fcst Inputs'!$G:$G)/12))))),0)</f>
        <v>2801.0542748966809</v>
      </c>
      <c r="CF9" s="483">
        <f>IFERROR(IF($J9="Historical Average",INDEX('Monthly UPC'!$CM$2:$DJ$65,MATCH($D9,'Monthly UPC'!$D$2:$D$65,0),MATCH(CF$1,'Monthly UPC'!$CM$1:$DJ$1))*(INDEX('Monthly CUST'!$N$2:$CG$65,MATCH($D9,'Monthly CUST'!$D$2:$D$65,0),MATCH(CF$1,'Monthly CUST'!$N$1:$CG$1,0))),IF($J9="UPC Growth Rate",((BT9/INDEX('Monthly CUST'!$N$2:$CG$65,MATCH($D9,'Monthly CUST'!$D$2:$D$65,0),MATCH(BT$1,'Monthly CUST'!$N$1:$CG$1,0)))*(1+$L9)*INDEX('Monthly CUST'!$N$2:$CG$65,MATCH($D9,'Monthly CUST'!$D$2:$D$65,0),MATCH(CF$1,'Monthly CUST'!$N$1:$CG$1,0))),IF($J9="Modeled UPC",INDEX('Monthly CUST'!$N$2:$CG$65,MATCH($D9,'Monthly CUST'!$D$2:$D$65,0),MATCH(CF$1,'Monthly CUST'!$N$1:$CG$1,0))/12*$M9,IF($J9="Base Period",BT9,IF($J9="Adjusted",SUMIF('Input 15_Fcst Inputs'!$A:$A,$D9,'Input 15_Fcst Inputs'!$G:$G)/12))))),0)</f>
        <v>2800.2701156206508</v>
      </c>
      <c r="CG9" s="483">
        <f>IFERROR(IF($J9="Historical Average",INDEX('Monthly UPC'!$CM$2:$DJ$65,MATCH($D9,'Monthly UPC'!$D$2:$D$65,0),MATCH(CG$1,'Monthly UPC'!$CM$1:$DJ$1))*(INDEX('Monthly CUST'!$N$2:$CG$65,MATCH($D9,'Monthly CUST'!$D$2:$D$65,0),MATCH(CG$1,'Monthly CUST'!$N$1:$CG$1,0))),IF($J9="UPC Growth Rate",((BU9/INDEX('Monthly CUST'!$N$2:$CG$65,MATCH($D9,'Monthly CUST'!$D$2:$D$65,0),MATCH(BU$1,'Monthly CUST'!$N$1:$CG$1,0)))*(1+$L9)*INDEX('Monthly CUST'!$N$2:$CG$65,MATCH($D9,'Monthly CUST'!$D$2:$D$65,0),MATCH(CG$1,'Monthly CUST'!$N$1:$CG$1,0))),IF($J9="Modeled UPC",INDEX('Monthly CUST'!$N$2:$CG$65,MATCH($D9,'Monthly CUST'!$D$2:$D$65,0),MATCH(CG$1,'Monthly CUST'!$N$1:$CG$1,0))/12*$M9,IF($J9="Base Period",BU9,IF($J9="Adjusted",SUMIF('Input 15_Fcst Inputs'!$A:$A,$D9,'Input 15_Fcst Inputs'!$G:$G)/12))))),0)</f>
        <v>3150.453243744857</v>
      </c>
      <c r="CH9" s="197"/>
      <c r="CI9" s="197">
        <f t="shared" si="0"/>
        <v>25686.95</v>
      </c>
      <c r="CJ9" s="197">
        <f t="shared" si="1"/>
        <v>31338.149999999998</v>
      </c>
      <c r="CK9" s="197">
        <f t="shared" si="2"/>
        <v>29489.780000000002</v>
      </c>
      <c r="CL9" s="197">
        <f t="shared" si="3"/>
        <v>34583.86</v>
      </c>
      <c r="CM9" s="197">
        <f t="shared" si="4"/>
        <v>33414.576678728328</v>
      </c>
      <c r="CN9" s="197">
        <f t="shared" si="5"/>
        <v>32284.82692847517</v>
      </c>
      <c r="CP9" s="4">
        <f>SUMIF('Master '!D:D,D9,'Master '!AH:AH)</f>
        <v>33414.576678728336</v>
      </c>
      <c r="CQ9" s="4">
        <f>SUMIF('Master '!D:D,D9,'Master '!AI:AI)</f>
        <v>32284.826928475177</v>
      </c>
      <c r="CR9" s="197">
        <f t="shared" si="6"/>
        <v>0</v>
      </c>
      <c r="CS9" s="197">
        <f t="shared" si="7"/>
        <v>0</v>
      </c>
      <c r="CT9" t="s">
        <v>287</v>
      </c>
      <c r="CV9" t="str">
        <f>VLOOKUP(G9,'Master '!G:CC,75,FALSE)</f>
        <v>GS-TS</v>
      </c>
    </row>
    <row r="10" spans="1:100">
      <c r="A10" s="53" t="s">
        <v>996</v>
      </c>
      <c r="B10" s="53" t="s">
        <v>994</v>
      </c>
      <c r="C10" s="53" t="s">
        <v>1245</v>
      </c>
      <c r="D10" s="53" t="s">
        <v>98</v>
      </c>
      <c r="E10" s="53" t="str">
        <f>VLOOKUP(D10,'Input 14_Ref Table'!C:D,2,FALSE)</f>
        <v>FMLV1</v>
      </c>
      <c r="F10" s="143" t="s">
        <v>1286</v>
      </c>
      <c r="G10" s="53" t="str">
        <f>VLOOKUP(D10,'Input 14_Ref Table'!C:I,7,FALSE)</f>
        <v>FMLV1</v>
      </c>
      <c r="H10" s="53" t="str">
        <f>VLOOKUP(D10,'Input 14_Ref Table'!C:K,8,FALSE)</f>
        <v>Base Period</v>
      </c>
      <c r="I10" s="53"/>
      <c r="J10" t="str">
        <f>INDEX('Master '!$AD$2:AD$65,MATCH(D10,'Master '!$D$2:$D$65,0))</f>
        <v>Base Period</v>
      </c>
      <c r="K10" s="458">
        <f>INDEX('Master '!$N$2:N$65,MATCH(D10,'Master '!$D$2:$D$65,0))</f>
        <v>0</v>
      </c>
      <c r="L10" s="137">
        <f>INDEX('Master '!$S$2:S$65,MATCH(D10,'Master '!$D$2:$D$65,0))</f>
        <v>0</v>
      </c>
      <c r="M10" s="4">
        <f>INDEX('Master '!$W$2:W$65,MATCH(D10,'Master '!$D$2:$D$65,0))</f>
        <v>13662.630000000001</v>
      </c>
      <c r="N10" s="268">
        <f>SUMIF('Input 16.1_2018VOL-YTD'!$R:$R,$G10,'Input 16.1_2018VOL-YTD'!C:C)</f>
        <v>0</v>
      </c>
      <c r="O10" s="268">
        <f>SUMIF('Input 16.1_2018VOL-YTD'!$R:$R,$G10,'Input 16.1_2018VOL-YTD'!D:D)</f>
        <v>0</v>
      </c>
      <c r="P10" s="268">
        <f>SUMIF('Input 16.1_2018VOL-YTD'!$R:$R,$G10,'Input 16.1_2018VOL-YTD'!E:E)</f>
        <v>0</v>
      </c>
      <c r="Q10" s="268">
        <f>SUMIF('Input 16.1_2018VOL-YTD'!$R:$R,$G10,'Input 16.1_2018VOL-YTD'!F:F)</f>
        <v>0</v>
      </c>
      <c r="R10" s="268">
        <f>SUMIF('Input 16.1_2018VOL-YTD'!$R:$R,$G10,'Input 16.1_2018VOL-YTD'!G:G)</f>
        <v>0</v>
      </c>
      <c r="S10" s="268">
        <f>SUMIF('Input 16.1_2018VOL-YTD'!$R:$R,$G10,'Input 16.1_2018VOL-YTD'!H:H)</f>
        <v>0</v>
      </c>
      <c r="T10" s="268">
        <f>SUMIF('Input 16.1_2018VOL-YTD'!$R:$R,$G10,'Input 16.1_2018VOL-YTD'!I:I)</f>
        <v>0</v>
      </c>
      <c r="U10" s="268">
        <f>SUMIF('Input 16.1_2018VOL-YTD'!$R:$R,$G10,'Input 16.1_2018VOL-YTD'!J:J)</f>
        <v>0</v>
      </c>
      <c r="V10" s="268">
        <f>SUMIF('Input 16.1_2018VOL-YTD'!$R:$R,$G10,'Input 16.1_2018VOL-YTD'!K:K)</f>
        <v>0</v>
      </c>
      <c r="W10" s="268">
        <f>SUMIF('Input 16.1_2018VOL-YTD'!$R:$R,$G10,'Input 16.1_2018VOL-YTD'!L:L)</f>
        <v>0</v>
      </c>
      <c r="X10" s="268">
        <f>SUMIF('Input 16.1_2018VOL-YTD'!$R:$R,$G10,'Input 16.1_2018VOL-YTD'!M:M)</f>
        <v>0</v>
      </c>
      <c r="Y10" s="268">
        <f>SUMIF('Input 16.1_2018VOL-YTD'!$R:$R,$G10,'Input 16.1_2018VOL-YTD'!N:N)</f>
        <v>0</v>
      </c>
      <c r="Z10" s="268">
        <f>SUMIF('Input 3.1_2019VOL-YTD'!$R:$R,$G10,'Input 3.1_2019VOL-YTD'!C:C)</f>
        <v>0</v>
      </c>
      <c r="AA10" s="268">
        <f>SUMIF('Input 3.1_2019VOL-YTD'!$R:$R,$G10,'Input 3.1_2019VOL-YTD'!D:D)</f>
        <v>0</v>
      </c>
      <c r="AB10" s="268">
        <f>SUMIF('Input 3.1_2019VOL-YTD'!$R:$R,$G10,'Input 3.1_2019VOL-YTD'!E:E)</f>
        <v>0</v>
      </c>
      <c r="AC10" s="268">
        <f>SUMIF('Input 3.1_2019VOL-YTD'!$R:$R,$G10,'Input 3.1_2019VOL-YTD'!F:F)</f>
        <v>0</v>
      </c>
      <c r="AD10" s="268">
        <f>SUMIF('Input 3.1_2019VOL-YTD'!$R:$R,$G10,'Input 3.1_2019VOL-YTD'!G:G)</f>
        <v>1321.25</v>
      </c>
      <c r="AE10" s="268">
        <f>SUMIF('Input 3.1_2019VOL-YTD'!$R:$R,$G10,'Input 3.1_2019VOL-YTD'!H:H)</f>
        <v>10352.73</v>
      </c>
      <c r="AF10" s="268">
        <f>SUMIF('Input 3.1_2019VOL-YTD'!$R:$R,$G10,'Input 3.1_2019VOL-YTD'!I:I)</f>
        <v>8238.49</v>
      </c>
      <c r="AG10" s="268">
        <f>SUMIF('Input 3.1_2019VOL-YTD'!$R:$R,$G10,'Input 3.1_2019VOL-YTD'!J:J)</f>
        <v>8514.49</v>
      </c>
      <c r="AH10" s="268">
        <f>SUMIF('Input 3.1_2019VOL-YTD'!$R:$R,$G10,'Input 3.1_2019VOL-YTD'!K:K)</f>
        <v>7806.76</v>
      </c>
      <c r="AI10" s="268">
        <f>SUMIF('Input 3.1_2019VOL-YTD'!$R:$R,$G10,'Input 3.1_2019VOL-YTD'!L:L)</f>
        <v>10846.41</v>
      </c>
      <c r="AJ10" s="268">
        <f>SUMIF('Input 3.1_2019VOL-YTD'!$R:$R,$G10,'Input 3.1_2019VOL-YTD'!M:M)</f>
        <v>12629.59</v>
      </c>
      <c r="AK10" s="268">
        <f>SUMIF('Input 3.1_2019VOL-YTD'!$R:$R,$G10,'Input 3.1_2019VOL-YTD'!N:N)</f>
        <v>17672.39</v>
      </c>
      <c r="AL10" s="268">
        <f>SUMIF('Input 4.1_2020VOL-YTD'!$R:$R,$G10,'Input 4.1_2020VOL-YTD'!C:C)</f>
        <v>16753.36</v>
      </c>
      <c r="AM10" s="268">
        <f>SUMIF('Input 4.1_2020VOL-YTD'!$R:$R,$G10,'Input 4.1_2020VOL-YTD'!D:D)</f>
        <v>20366.509999999998</v>
      </c>
      <c r="AN10" s="268">
        <f>SUMIF('Input 4.1_2020VOL-YTD'!$R:$R,$G10,'Input 4.1_2020VOL-YTD'!E:E)</f>
        <v>17669.59</v>
      </c>
      <c r="AO10" s="268">
        <f>SUMIF('Input 4.1_2020VOL-YTD'!$R:$R,$G10,'Input 4.1_2020VOL-YTD'!F:F)</f>
        <v>11020.72</v>
      </c>
      <c r="AP10" s="268">
        <f>SUMIF('Input 4.1_2020VOL-YTD'!$R:$R,$G10,'Input 4.1_2020VOL-YTD'!G:G)</f>
        <v>2237.5099999999998</v>
      </c>
      <c r="AQ10" s="268">
        <f>SUMIF('Input 4.1_2020VOL-YTD'!$R:$R,$G10,'Input 4.1_2020VOL-YTD'!H:H)</f>
        <v>4730.46</v>
      </c>
      <c r="AR10" s="268">
        <f>SUMIF('Input 4.1_2020VOL-YTD'!$R:$R,$G10,'Input 4.1_2020VOL-YTD'!I:I)</f>
        <v>6161.4000000000005</v>
      </c>
      <c r="AS10" s="268">
        <f>SUMIF('Input 4.1_2020VOL-YTD'!$R:$R,$G10,'Input 4.1_2020VOL-YTD'!J:J)</f>
        <v>4124.93</v>
      </c>
      <c r="AT10" s="268">
        <f>SUMIF('Input 4.1_2020VOL-YTD'!$R:$R,$G10,'Input 4.1_2020VOL-YTD'!K:K)</f>
        <v>5083.79</v>
      </c>
      <c r="AU10" s="268">
        <f>SUMIF('Input 4.1_2020VOL-YTD'!$R:$R,$G10,'Input 4.1_2020VOL-YTD'!L:L)</f>
        <v>8921.3100000000013</v>
      </c>
      <c r="AV10" s="268">
        <f>SUMIF('Input 4.1_2020VOL-YTD'!$R:$R,$G10,'Input 4.1_2020VOL-YTD'!M:M)</f>
        <v>11017.98</v>
      </c>
      <c r="AW10" s="268">
        <f>SUMIF('Input 4.1_2020VOL-YTD'!$R:$R,$G10,'Input 4.1_2020VOL-YTD'!N:N)</f>
        <v>17746.11</v>
      </c>
      <c r="AX10" s="268">
        <f>SUMIF('Input 5.1_2021VOL-YTD'!$R:$R,$G10,'Input 5.1_2021VOL-YTD'!C:C)</f>
        <v>2685.41</v>
      </c>
      <c r="AY10" s="268">
        <f>SUMIF('Input 5.1_2021VOL-YTD'!$R:$R,$G10,'Input 5.1_2021VOL-YTD'!D:D)</f>
        <v>3290.9399999999996</v>
      </c>
      <c r="AZ10" s="268">
        <f>SUMIF('Input 5.1_2021VOL-YTD'!$R:$R,$G10,'Input 5.1_2021VOL-YTD'!E:E)</f>
        <v>2677.68</v>
      </c>
      <c r="BA10" s="268">
        <f>SUMIF('Input 5.1_2021VOL-YTD'!$R:$R,$G10,'Input 5.1_2021VOL-YTD'!F:F)</f>
        <v>2564.9499999999998</v>
      </c>
      <c r="BB10" s="268">
        <f>SUMIF('Input 5.1_2021VOL-YTD'!$R:$R,$G10,'Input 5.1_2021VOL-YTD'!G:G)</f>
        <v>2415.52</v>
      </c>
      <c r="BC10" s="268">
        <f>SUMIF('Input 5.1_2021VOL-YTD'!$R:$R,$G10,'Input 5.1_2021VOL-YTD'!H:H)</f>
        <v>2110.79</v>
      </c>
      <c r="BD10" s="268">
        <f>SUMIF('Input 5.1_2021VOL-YTD'!$R:$R,$G10,'Input 5.1_2021VOL-YTD'!I:I)</f>
        <v>1440.57</v>
      </c>
      <c r="BE10" s="268">
        <f>SUMIF('Input 5.1_2021VOL-YTD'!$R:$R,$G10,'Input 5.1_2021VOL-YTD'!J:J)</f>
        <v>1835.02</v>
      </c>
      <c r="BF10" s="268">
        <f>SUMIF('Input 5.1_2021VOL-YTD'!$R:$R,$G10,'Input 5.1_2021VOL-YTD'!K:K)</f>
        <v>1394.97</v>
      </c>
      <c r="BG10" s="268">
        <f>SUMIF('Input 5.1_2021VOL-YTD'!$R:$R,$G10,'Input 5.1_2021VOL-YTD'!L:L)</f>
        <v>1798.1100000000001</v>
      </c>
      <c r="BH10" s="268">
        <f>SUMIF('Input 5.1_2021VOL-YTD'!$R:$R,$G10,'Input 5.1_2021VOL-YTD'!M:M)</f>
        <v>2136.9</v>
      </c>
      <c r="BI10" s="268">
        <f>SUMIF('Input 5.1_2021VOL-YTD'!$R:$R,$G10,'Input 5.1_2021VOL-YTD'!N:N)</f>
        <v>2974.4</v>
      </c>
      <c r="BJ10" s="483">
        <f>IFERROR(IF($J10="Historical Average",INDEX('Monthly UPC'!$CM$2:$DJ$65,MATCH($D10,'Monthly UPC'!$D$2:$D$65,0),MATCH(BJ$1,'Monthly UPC'!$CM$1:$DJ$1))*(INDEX('Monthly CUST'!$N$2:$CG$65,MATCH($D10,'Monthly CUST'!$D$2:$D$65,0),MATCH(BJ$1,'Monthly CUST'!$N$1:$CG$1,0))),IF($J10="UPC Growth Rate",((AX10/INDEX('Monthly CUST'!$N$2:$CG$65,MATCH($D10,'Monthly CUST'!$D$2:$D$65,0),MATCH(AX$1,'Monthly CUST'!$N$1:$CG$1,0)))*(1+$L10)*INDEX('Monthly CUST'!$N$2:$CG$65,MATCH($D10,'Monthly CUST'!$D$2:$D$65,0),MATCH(BJ$1,'Monthly CUST'!$N$1:$CG$1,0))),IF($J10="Modeled UPC",INDEX('Monthly CUST'!$N$2:$CG$65,MATCH($D10,'Monthly CUST'!$D$2:$D$65,0),MATCH(BJ$1,'Monthly CUST'!$N$1:$CG$1,0))/12*$M10,IF($J10="Base Period",AX10,IF($J10="Adjusted",SUMIF('Input 15_Fcst Inputs'!$A:$A,$D10,'Input 15_Fcst Inputs'!$G:$G)/12))))),0)</f>
        <v>2685.41</v>
      </c>
      <c r="BK10" s="483">
        <f>IFERROR(IF($J10="Historical Average",INDEX('Monthly UPC'!$CM$2:$DJ$65,MATCH($D10,'Monthly UPC'!$D$2:$D$65,0),MATCH(BK$1,'Monthly UPC'!$CM$1:$DJ$1))*(INDEX('Monthly CUST'!$N$2:$CG$65,MATCH($D10,'Monthly CUST'!$D$2:$D$65,0),MATCH(BK$1,'Monthly CUST'!$N$1:$CG$1,0))),IF($J10="UPC Growth Rate",((AY10/INDEX('Monthly CUST'!$N$2:$CG$65,MATCH($D10,'Monthly CUST'!$D$2:$D$65,0),MATCH(AY$1,'Monthly CUST'!$N$1:$CG$1,0)))*(1+$L10)*INDEX('Monthly CUST'!$N$2:$CG$65,MATCH($D10,'Monthly CUST'!$D$2:$D$65,0),MATCH(BK$1,'Monthly CUST'!$N$1:$CG$1,0))),IF($J10="Modeled UPC",INDEX('Monthly CUST'!$N$2:$CG$65,MATCH($D10,'Monthly CUST'!$D$2:$D$65,0),MATCH(BK$1,'Monthly CUST'!$N$1:$CG$1,0))/12*$M10,IF($J10="Base Period",AY10,IF($J10="Adjusted",SUMIF('Input 15_Fcst Inputs'!$A:$A,$D10,'Input 15_Fcst Inputs'!$G:$G)/12))))),0)</f>
        <v>3290.9399999999996</v>
      </c>
      <c r="BL10" s="483">
        <f>IFERROR(IF($J10="Historical Average",INDEX('Monthly UPC'!$CM$2:$DJ$65,MATCH($D10,'Monthly UPC'!$D$2:$D$65,0),MATCH(BL$1,'Monthly UPC'!$CM$1:$DJ$1))*(INDEX('Monthly CUST'!$N$2:$CG$65,MATCH($D10,'Monthly CUST'!$D$2:$D$65,0),MATCH(BL$1,'Monthly CUST'!$N$1:$CG$1,0))),IF($J10="UPC Growth Rate",((AZ10/INDEX('Monthly CUST'!$N$2:$CG$65,MATCH($D10,'Monthly CUST'!$D$2:$D$65,0),MATCH(AZ$1,'Monthly CUST'!$N$1:$CG$1,0)))*(1+$L10)*INDEX('Monthly CUST'!$N$2:$CG$65,MATCH($D10,'Monthly CUST'!$D$2:$D$65,0),MATCH(BL$1,'Monthly CUST'!$N$1:$CG$1,0))),IF($J10="Modeled UPC",INDEX('Monthly CUST'!$N$2:$CG$65,MATCH($D10,'Monthly CUST'!$D$2:$D$65,0),MATCH(BL$1,'Monthly CUST'!$N$1:$CG$1,0))/12*$M10,IF($J10="Base Period",AZ10,IF($J10="Adjusted",SUMIF('Input 15_Fcst Inputs'!$A:$A,$D10,'Input 15_Fcst Inputs'!$G:$G)/12))))),0)</f>
        <v>2677.68</v>
      </c>
      <c r="BM10" s="483">
        <f>IFERROR(IF($J10="Historical Average",INDEX('Monthly UPC'!$CM$2:$DJ$65,MATCH($D10,'Monthly UPC'!$D$2:$D$65,0),MATCH(BM$1,'Monthly UPC'!$CM$1:$DJ$1))*(INDEX('Monthly CUST'!$N$2:$CG$65,MATCH($D10,'Monthly CUST'!$D$2:$D$65,0),MATCH(BM$1,'Monthly CUST'!$N$1:$CG$1,0))),IF($J10="UPC Growth Rate",((BA10/INDEX('Monthly CUST'!$N$2:$CG$65,MATCH($D10,'Monthly CUST'!$D$2:$D$65,0),MATCH(BA$1,'Monthly CUST'!$N$1:$CG$1,0)))*(1+$L10)*INDEX('Monthly CUST'!$N$2:$CG$65,MATCH($D10,'Monthly CUST'!$D$2:$D$65,0),MATCH(BM$1,'Monthly CUST'!$N$1:$CG$1,0))),IF($J10="Modeled UPC",INDEX('Monthly CUST'!$N$2:$CG$65,MATCH($D10,'Monthly CUST'!$D$2:$D$65,0),MATCH(BM$1,'Monthly CUST'!$N$1:$CG$1,0))/12*$M10,IF($J10="Base Period",BA10,IF($J10="Adjusted",SUMIF('Input 15_Fcst Inputs'!$A:$A,$D10,'Input 15_Fcst Inputs'!$G:$G)/12))))),0)</f>
        <v>2564.9499999999998</v>
      </c>
      <c r="BN10" s="483">
        <f>IFERROR(IF($J10="Historical Average",INDEX('Monthly UPC'!$CM$2:$DJ$65,MATCH($D10,'Monthly UPC'!$D$2:$D$65,0),MATCH(BN$1,'Monthly UPC'!$CM$1:$DJ$1))*(INDEX('Monthly CUST'!$N$2:$CG$65,MATCH($D10,'Monthly CUST'!$D$2:$D$65,0),MATCH(BN$1,'Monthly CUST'!$N$1:$CG$1,0))),IF($J10="UPC Growth Rate",((BB10/INDEX('Monthly CUST'!$N$2:$CG$65,MATCH($D10,'Monthly CUST'!$D$2:$D$65,0),MATCH(BB$1,'Monthly CUST'!$N$1:$CG$1,0)))*(1+$L10)*INDEX('Monthly CUST'!$N$2:$CG$65,MATCH($D10,'Monthly CUST'!$D$2:$D$65,0),MATCH(BN$1,'Monthly CUST'!$N$1:$CG$1,0))),IF($J10="Modeled UPC",INDEX('Monthly CUST'!$N$2:$CG$65,MATCH($D10,'Monthly CUST'!$D$2:$D$65,0),MATCH(BN$1,'Monthly CUST'!$N$1:$CG$1,0))/12*$M10,IF($J10="Base Period",BB10,IF($J10="Adjusted",SUMIF('Input 15_Fcst Inputs'!$A:$A,$D10,'Input 15_Fcst Inputs'!$G:$G)/12))))),0)</f>
        <v>2415.52</v>
      </c>
      <c r="BO10" s="483">
        <f>IFERROR(IF($J10="Historical Average",INDEX('Monthly UPC'!$CM$2:$DJ$65,MATCH($D10,'Monthly UPC'!$D$2:$D$65,0),MATCH(BO$1,'Monthly UPC'!$CM$1:$DJ$1))*(INDEX('Monthly CUST'!$N$2:$CG$65,MATCH($D10,'Monthly CUST'!$D$2:$D$65,0),MATCH(BO$1,'Monthly CUST'!$N$1:$CG$1,0))),IF($J10="UPC Growth Rate",((BC10/INDEX('Monthly CUST'!$N$2:$CG$65,MATCH($D10,'Monthly CUST'!$D$2:$D$65,0),MATCH(BC$1,'Monthly CUST'!$N$1:$CG$1,0)))*(1+$L10)*INDEX('Monthly CUST'!$N$2:$CG$65,MATCH($D10,'Monthly CUST'!$D$2:$D$65,0),MATCH(BO$1,'Monthly CUST'!$N$1:$CG$1,0))),IF($J10="Modeled UPC",INDEX('Monthly CUST'!$N$2:$CG$65,MATCH($D10,'Monthly CUST'!$D$2:$D$65,0),MATCH(BO$1,'Monthly CUST'!$N$1:$CG$1,0))/12*$M10,IF($J10="Base Period",BC10,IF($J10="Adjusted",SUMIF('Input 15_Fcst Inputs'!$A:$A,$D10,'Input 15_Fcst Inputs'!$G:$G)/12))))),0)</f>
        <v>2110.79</v>
      </c>
      <c r="BP10" s="483">
        <f>IFERROR(IF($J10="Historical Average",INDEX('Monthly UPC'!$CM$2:$DJ$65,MATCH($D10,'Monthly UPC'!$D$2:$D$65,0),MATCH(BP$1,'Monthly UPC'!$CM$1:$DJ$1))*(INDEX('Monthly CUST'!$N$2:$CG$65,MATCH($D10,'Monthly CUST'!$D$2:$D$65,0),MATCH(BP$1,'Monthly CUST'!$N$1:$CG$1,0))),IF($J10="UPC Growth Rate",((BD10/INDEX('Monthly CUST'!$N$2:$CG$65,MATCH($D10,'Monthly CUST'!$D$2:$D$65,0),MATCH(BD$1,'Monthly CUST'!$N$1:$CG$1,0)))*(1+$L10)*INDEX('Monthly CUST'!$N$2:$CG$65,MATCH($D10,'Monthly CUST'!$D$2:$D$65,0),MATCH(BP$1,'Monthly CUST'!$N$1:$CG$1,0))),IF($J10="Modeled UPC",INDEX('Monthly CUST'!$N$2:$CG$65,MATCH($D10,'Monthly CUST'!$D$2:$D$65,0),MATCH(BP$1,'Monthly CUST'!$N$1:$CG$1,0))/12*$M10,IF($J10="Base Period",BD10,IF($J10="Adjusted",SUMIF('Input 15_Fcst Inputs'!$A:$A,$D10,'Input 15_Fcst Inputs'!$G:$G)/12))))),0)</f>
        <v>1440.57</v>
      </c>
      <c r="BQ10" s="483">
        <f>IFERROR(IF($J10="Historical Average",INDEX('Monthly UPC'!$CM$2:$DJ$65,MATCH($D10,'Monthly UPC'!$D$2:$D$65,0),MATCH(BQ$1,'Monthly UPC'!$CM$1:$DJ$1))*(INDEX('Monthly CUST'!$N$2:$CG$65,MATCH($D10,'Monthly CUST'!$D$2:$D$65,0),MATCH(BQ$1,'Monthly CUST'!$N$1:$CG$1,0))),IF($J10="UPC Growth Rate",((BE10/INDEX('Monthly CUST'!$N$2:$CG$65,MATCH($D10,'Monthly CUST'!$D$2:$D$65,0),MATCH(BE$1,'Monthly CUST'!$N$1:$CG$1,0)))*(1+$L10)*INDEX('Monthly CUST'!$N$2:$CG$65,MATCH($D10,'Monthly CUST'!$D$2:$D$65,0),MATCH(BQ$1,'Monthly CUST'!$N$1:$CG$1,0))),IF($J10="Modeled UPC",INDEX('Monthly CUST'!$N$2:$CG$65,MATCH($D10,'Monthly CUST'!$D$2:$D$65,0),MATCH(BQ$1,'Monthly CUST'!$N$1:$CG$1,0))/12*$M10,IF($J10="Base Period",BE10,IF($J10="Adjusted",SUMIF('Input 15_Fcst Inputs'!$A:$A,$D10,'Input 15_Fcst Inputs'!$G:$G)/12))))),0)</f>
        <v>1835.02</v>
      </c>
      <c r="BR10" s="483">
        <f>IFERROR(IF($J10="Historical Average",INDEX('Monthly UPC'!$CM$2:$DJ$65,MATCH($D10,'Monthly UPC'!$D$2:$D$65,0),MATCH(BR$1,'Monthly UPC'!$CM$1:$DJ$1))*(INDEX('Monthly CUST'!$N$2:$CG$65,MATCH($D10,'Monthly CUST'!$D$2:$D$65,0),MATCH(BR$1,'Monthly CUST'!$N$1:$CG$1,0))),IF($J10="UPC Growth Rate",((BF10/INDEX('Monthly CUST'!$N$2:$CG$65,MATCH($D10,'Monthly CUST'!$D$2:$D$65,0),MATCH(BF$1,'Monthly CUST'!$N$1:$CG$1,0)))*(1+$L10)*INDEX('Monthly CUST'!$N$2:$CG$65,MATCH($D10,'Monthly CUST'!$D$2:$D$65,0),MATCH(BR$1,'Monthly CUST'!$N$1:$CG$1,0))),IF($J10="Modeled UPC",INDEX('Monthly CUST'!$N$2:$CG$65,MATCH($D10,'Monthly CUST'!$D$2:$D$65,0),MATCH(BR$1,'Monthly CUST'!$N$1:$CG$1,0))/12*$M10,IF($J10="Base Period",BF10,IF($J10="Adjusted",SUMIF('Input 15_Fcst Inputs'!$A:$A,$D10,'Input 15_Fcst Inputs'!$G:$G)/12))))),0)</f>
        <v>1394.97</v>
      </c>
      <c r="BS10" s="483">
        <f>IFERROR(IF($J10="Historical Average",INDEX('Monthly UPC'!$CM$2:$DJ$65,MATCH($D10,'Monthly UPC'!$D$2:$D$65,0),MATCH(BS$1,'Monthly UPC'!$CM$1:$DJ$1))*(INDEX('Monthly CUST'!$N$2:$CG$65,MATCH($D10,'Monthly CUST'!$D$2:$D$65,0),MATCH(BS$1,'Monthly CUST'!$N$1:$CG$1,0))),IF($J10="UPC Growth Rate",((BG10/INDEX('Monthly CUST'!$N$2:$CG$65,MATCH($D10,'Monthly CUST'!$D$2:$D$65,0),MATCH(BG$1,'Monthly CUST'!$N$1:$CG$1,0)))*(1+$L10)*INDEX('Monthly CUST'!$N$2:$CG$65,MATCH($D10,'Monthly CUST'!$D$2:$D$65,0),MATCH(BS$1,'Monthly CUST'!$N$1:$CG$1,0))),IF($J10="Modeled UPC",INDEX('Monthly CUST'!$N$2:$CG$65,MATCH($D10,'Monthly CUST'!$D$2:$D$65,0),MATCH(BS$1,'Monthly CUST'!$N$1:$CG$1,0))/12*$M10,IF($J10="Base Period",BG10,IF($J10="Adjusted",SUMIF('Input 15_Fcst Inputs'!$A:$A,$D10,'Input 15_Fcst Inputs'!$G:$G)/12))))),0)</f>
        <v>1798.1100000000001</v>
      </c>
      <c r="BT10" s="483">
        <f>IFERROR(IF($J10="Historical Average",INDEX('Monthly UPC'!$CM$2:$DJ$65,MATCH($D10,'Monthly UPC'!$D$2:$D$65,0),MATCH(BT$1,'Monthly UPC'!$CM$1:$DJ$1))*(INDEX('Monthly CUST'!$N$2:$CG$65,MATCH($D10,'Monthly CUST'!$D$2:$D$65,0),MATCH(BT$1,'Monthly CUST'!$N$1:$CG$1,0))),IF($J10="UPC Growth Rate",((BH10/INDEX('Monthly CUST'!$N$2:$CG$65,MATCH($D10,'Monthly CUST'!$D$2:$D$65,0),MATCH(BH$1,'Monthly CUST'!$N$1:$CG$1,0)))*(1+$L10)*INDEX('Monthly CUST'!$N$2:$CG$65,MATCH($D10,'Monthly CUST'!$D$2:$D$65,0),MATCH(BT$1,'Monthly CUST'!$N$1:$CG$1,0))),IF($J10="Modeled UPC",INDEX('Monthly CUST'!$N$2:$CG$65,MATCH($D10,'Monthly CUST'!$D$2:$D$65,0),MATCH(BT$1,'Monthly CUST'!$N$1:$CG$1,0))/12*$M10,IF($J10="Base Period",BH10,IF($J10="Adjusted",SUMIF('Input 15_Fcst Inputs'!$A:$A,$D10,'Input 15_Fcst Inputs'!$G:$G)/12))))),0)</f>
        <v>2136.9</v>
      </c>
      <c r="BU10" s="483">
        <f>IFERROR(IF($J10="Historical Average",INDEX('Monthly UPC'!$CM$2:$DJ$65,MATCH($D10,'Monthly UPC'!$D$2:$D$65,0),MATCH(BU$1,'Monthly UPC'!$CM$1:$DJ$1))*(INDEX('Monthly CUST'!$N$2:$CG$65,MATCH($D10,'Monthly CUST'!$D$2:$D$65,0),MATCH(BU$1,'Monthly CUST'!$N$1:$CG$1,0))),IF($J10="UPC Growth Rate",((BI10/INDEX('Monthly CUST'!$N$2:$CG$65,MATCH($D10,'Monthly CUST'!$D$2:$D$65,0),MATCH(BI$1,'Monthly CUST'!$N$1:$CG$1,0)))*(1+$L10)*INDEX('Monthly CUST'!$N$2:$CG$65,MATCH($D10,'Monthly CUST'!$D$2:$D$65,0),MATCH(BU$1,'Monthly CUST'!$N$1:$CG$1,0))),IF($J10="Modeled UPC",INDEX('Monthly CUST'!$N$2:$CG$65,MATCH($D10,'Monthly CUST'!$D$2:$D$65,0),MATCH(BU$1,'Monthly CUST'!$N$1:$CG$1,0))/12*$M10,IF($J10="Base Period",BI10,IF($J10="Adjusted",SUMIF('Input 15_Fcst Inputs'!$A:$A,$D10,'Input 15_Fcst Inputs'!$G:$G)/12))))),0)</f>
        <v>2974.4</v>
      </c>
      <c r="BV10" s="483">
        <f>IFERROR(IF($J10="Historical Average",INDEX('Monthly UPC'!$CM$2:$DJ$65,MATCH($D10,'Monthly UPC'!$D$2:$D$65,0),MATCH(BV$1,'Monthly UPC'!$CM$1:$DJ$1))*(INDEX('Monthly CUST'!$N$2:$CG$65,MATCH($D10,'Monthly CUST'!$D$2:$D$65,0),MATCH(BV$1,'Monthly CUST'!$N$1:$CG$1,0))),IF($J10="UPC Growth Rate",((BJ10/INDEX('Monthly CUST'!$N$2:$CG$65,MATCH($D10,'Monthly CUST'!$D$2:$D$65,0),MATCH(BJ$1,'Monthly CUST'!$N$1:$CG$1,0)))*(1+$L10)*INDEX('Monthly CUST'!$N$2:$CG$65,MATCH($D10,'Monthly CUST'!$D$2:$D$65,0),MATCH(BV$1,'Monthly CUST'!$N$1:$CG$1,0))),IF($J10="Modeled UPC",INDEX('Monthly CUST'!$N$2:$CG$65,MATCH($D10,'Monthly CUST'!$D$2:$D$65,0),MATCH(BV$1,'Monthly CUST'!$N$1:$CG$1,0))/12*$M10,IF($J10="Base Period",BJ10,IF($J10="Adjusted",SUMIF('Input 15_Fcst Inputs'!$A:$A,$D10,'Input 15_Fcst Inputs'!$G:$G)/12))))),0)</f>
        <v>2685.41</v>
      </c>
      <c r="BW10" s="483">
        <f>IFERROR(IF($J10="Historical Average",INDEX('Monthly UPC'!$CM$2:$DJ$65,MATCH($D10,'Monthly UPC'!$D$2:$D$65,0),MATCH(BW$1,'Monthly UPC'!$CM$1:$DJ$1))*(INDEX('Monthly CUST'!$N$2:$CG$65,MATCH($D10,'Monthly CUST'!$D$2:$D$65,0),MATCH(BW$1,'Monthly CUST'!$N$1:$CG$1,0))),IF($J10="UPC Growth Rate",((BK10/INDEX('Monthly CUST'!$N$2:$CG$65,MATCH($D10,'Monthly CUST'!$D$2:$D$65,0),MATCH(BK$1,'Monthly CUST'!$N$1:$CG$1,0)))*(1+$L10)*INDEX('Monthly CUST'!$N$2:$CG$65,MATCH($D10,'Monthly CUST'!$D$2:$D$65,0),MATCH(BW$1,'Monthly CUST'!$N$1:$CG$1,0))),IF($J10="Modeled UPC",INDEX('Monthly CUST'!$N$2:$CG$65,MATCH($D10,'Monthly CUST'!$D$2:$D$65,0),MATCH(BW$1,'Monthly CUST'!$N$1:$CG$1,0))/12*$M10,IF($J10="Base Period",BK10,IF($J10="Adjusted",SUMIF('Input 15_Fcst Inputs'!$A:$A,$D10,'Input 15_Fcst Inputs'!$G:$G)/12))))),0)</f>
        <v>3290.9399999999996</v>
      </c>
      <c r="BX10" s="483">
        <f>IFERROR(IF($J10="Historical Average",INDEX('Monthly UPC'!$CM$2:$DJ$65,MATCH($D10,'Monthly UPC'!$D$2:$D$65,0),MATCH(BX$1,'Monthly UPC'!$CM$1:$DJ$1))*(INDEX('Monthly CUST'!$N$2:$CG$65,MATCH($D10,'Monthly CUST'!$D$2:$D$65,0),MATCH(BX$1,'Monthly CUST'!$N$1:$CG$1,0))),IF($J10="UPC Growth Rate",((BL10/INDEX('Monthly CUST'!$N$2:$CG$65,MATCH($D10,'Monthly CUST'!$D$2:$D$65,0),MATCH(BL$1,'Monthly CUST'!$N$1:$CG$1,0)))*(1+$L10)*INDEX('Monthly CUST'!$N$2:$CG$65,MATCH($D10,'Monthly CUST'!$D$2:$D$65,0),MATCH(BX$1,'Monthly CUST'!$N$1:$CG$1,0))),IF($J10="Modeled UPC",INDEX('Monthly CUST'!$N$2:$CG$65,MATCH($D10,'Monthly CUST'!$D$2:$D$65,0),MATCH(BX$1,'Monthly CUST'!$N$1:$CG$1,0))/12*$M10,IF($J10="Base Period",BL10,IF($J10="Adjusted",SUMIF('Input 15_Fcst Inputs'!$A:$A,$D10,'Input 15_Fcst Inputs'!$G:$G)/12))))),0)</f>
        <v>2677.68</v>
      </c>
      <c r="BY10" s="483">
        <f>IFERROR(IF($J10="Historical Average",INDEX('Monthly UPC'!$CM$2:$DJ$65,MATCH($D10,'Monthly UPC'!$D$2:$D$65,0),MATCH(BY$1,'Monthly UPC'!$CM$1:$DJ$1))*(INDEX('Monthly CUST'!$N$2:$CG$65,MATCH($D10,'Monthly CUST'!$D$2:$D$65,0),MATCH(BY$1,'Monthly CUST'!$N$1:$CG$1,0))),IF($J10="UPC Growth Rate",((BM10/INDEX('Monthly CUST'!$N$2:$CG$65,MATCH($D10,'Monthly CUST'!$D$2:$D$65,0),MATCH(BM$1,'Monthly CUST'!$N$1:$CG$1,0)))*(1+$L10)*INDEX('Monthly CUST'!$N$2:$CG$65,MATCH($D10,'Monthly CUST'!$D$2:$D$65,0),MATCH(BY$1,'Monthly CUST'!$N$1:$CG$1,0))),IF($J10="Modeled UPC",INDEX('Monthly CUST'!$N$2:$CG$65,MATCH($D10,'Monthly CUST'!$D$2:$D$65,0),MATCH(BY$1,'Monthly CUST'!$N$1:$CG$1,0))/12*$M10,IF($J10="Base Period",BM10,IF($J10="Adjusted",SUMIF('Input 15_Fcst Inputs'!$A:$A,$D10,'Input 15_Fcst Inputs'!$G:$G)/12))))),0)</f>
        <v>2564.9499999999998</v>
      </c>
      <c r="BZ10" s="483">
        <f>IFERROR(IF($J10="Historical Average",INDEX('Monthly UPC'!$CM$2:$DJ$65,MATCH($D10,'Monthly UPC'!$D$2:$D$65,0),MATCH(BZ$1,'Monthly UPC'!$CM$1:$DJ$1))*(INDEX('Monthly CUST'!$N$2:$CG$65,MATCH($D10,'Monthly CUST'!$D$2:$D$65,0),MATCH(BZ$1,'Monthly CUST'!$N$1:$CG$1,0))),IF($J10="UPC Growth Rate",((BN10/INDEX('Monthly CUST'!$N$2:$CG$65,MATCH($D10,'Monthly CUST'!$D$2:$D$65,0),MATCH(BN$1,'Monthly CUST'!$N$1:$CG$1,0)))*(1+$L10)*INDEX('Monthly CUST'!$N$2:$CG$65,MATCH($D10,'Monthly CUST'!$D$2:$D$65,0),MATCH(BZ$1,'Monthly CUST'!$N$1:$CG$1,0))),IF($J10="Modeled UPC",INDEX('Monthly CUST'!$N$2:$CG$65,MATCH($D10,'Monthly CUST'!$D$2:$D$65,0),MATCH(BZ$1,'Monthly CUST'!$N$1:$CG$1,0))/12*$M10,IF($J10="Base Period",BN10,IF($J10="Adjusted",SUMIF('Input 15_Fcst Inputs'!$A:$A,$D10,'Input 15_Fcst Inputs'!$G:$G)/12))))),0)</f>
        <v>2415.52</v>
      </c>
      <c r="CA10" s="483">
        <f>IFERROR(IF($J10="Historical Average",INDEX('Monthly UPC'!$CM$2:$DJ$65,MATCH($D10,'Monthly UPC'!$D$2:$D$65,0),MATCH(CA$1,'Monthly UPC'!$CM$1:$DJ$1))*(INDEX('Monthly CUST'!$N$2:$CG$65,MATCH($D10,'Monthly CUST'!$D$2:$D$65,0),MATCH(CA$1,'Monthly CUST'!$N$1:$CG$1,0))),IF($J10="UPC Growth Rate",((BO10/INDEX('Monthly CUST'!$N$2:$CG$65,MATCH($D10,'Monthly CUST'!$D$2:$D$65,0),MATCH(BO$1,'Monthly CUST'!$N$1:$CG$1,0)))*(1+$L10)*INDEX('Monthly CUST'!$N$2:$CG$65,MATCH($D10,'Monthly CUST'!$D$2:$D$65,0),MATCH(CA$1,'Monthly CUST'!$N$1:$CG$1,0))),IF($J10="Modeled UPC",INDEX('Monthly CUST'!$N$2:$CG$65,MATCH($D10,'Monthly CUST'!$D$2:$D$65,0),MATCH(CA$1,'Monthly CUST'!$N$1:$CG$1,0))/12*$M10,IF($J10="Base Period",BO10,IF($J10="Adjusted",SUMIF('Input 15_Fcst Inputs'!$A:$A,$D10,'Input 15_Fcst Inputs'!$G:$G)/12))))),0)</f>
        <v>2110.79</v>
      </c>
      <c r="CB10" s="483">
        <f>IFERROR(IF($J10="Historical Average",INDEX('Monthly UPC'!$CM$2:$DJ$65,MATCH($D10,'Monthly UPC'!$D$2:$D$65,0),MATCH(CB$1,'Monthly UPC'!$CM$1:$DJ$1))*(INDEX('Monthly CUST'!$N$2:$CG$65,MATCH($D10,'Monthly CUST'!$D$2:$D$65,0),MATCH(CB$1,'Monthly CUST'!$N$1:$CG$1,0))),IF($J10="UPC Growth Rate",((BP10/INDEX('Monthly CUST'!$N$2:$CG$65,MATCH($D10,'Monthly CUST'!$D$2:$D$65,0),MATCH(BP$1,'Monthly CUST'!$N$1:$CG$1,0)))*(1+$L10)*INDEX('Monthly CUST'!$N$2:$CG$65,MATCH($D10,'Monthly CUST'!$D$2:$D$65,0),MATCH(CB$1,'Monthly CUST'!$N$1:$CG$1,0))),IF($J10="Modeled UPC",INDEX('Monthly CUST'!$N$2:$CG$65,MATCH($D10,'Monthly CUST'!$D$2:$D$65,0),MATCH(CB$1,'Monthly CUST'!$N$1:$CG$1,0))/12*$M10,IF($J10="Base Period",BP10,IF($J10="Adjusted",SUMIF('Input 15_Fcst Inputs'!$A:$A,$D10,'Input 15_Fcst Inputs'!$G:$G)/12))))),0)</f>
        <v>1440.57</v>
      </c>
      <c r="CC10" s="483">
        <f>IFERROR(IF($J10="Historical Average",INDEX('Monthly UPC'!$CM$2:$DJ$65,MATCH($D10,'Monthly UPC'!$D$2:$D$65,0),MATCH(CC$1,'Monthly UPC'!$CM$1:$DJ$1))*(INDEX('Monthly CUST'!$N$2:$CG$65,MATCH($D10,'Monthly CUST'!$D$2:$D$65,0),MATCH(CC$1,'Monthly CUST'!$N$1:$CG$1,0))),IF($J10="UPC Growth Rate",((BQ10/INDEX('Monthly CUST'!$N$2:$CG$65,MATCH($D10,'Monthly CUST'!$D$2:$D$65,0),MATCH(BQ$1,'Monthly CUST'!$N$1:$CG$1,0)))*(1+$L10)*INDEX('Monthly CUST'!$N$2:$CG$65,MATCH($D10,'Monthly CUST'!$D$2:$D$65,0),MATCH(CC$1,'Monthly CUST'!$N$1:$CG$1,0))),IF($J10="Modeled UPC",INDEX('Monthly CUST'!$N$2:$CG$65,MATCH($D10,'Monthly CUST'!$D$2:$D$65,0),MATCH(CC$1,'Monthly CUST'!$N$1:$CG$1,0))/12*$M10,IF($J10="Base Period",BQ10,IF($J10="Adjusted",SUMIF('Input 15_Fcst Inputs'!$A:$A,$D10,'Input 15_Fcst Inputs'!$G:$G)/12))))),0)</f>
        <v>1835.02</v>
      </c>
      <c r="CD10" s="483">
        <f>IFERROR(IF($J10="Historical Average",INDEX('Monthly UPC'!$CM$2:$DJ$65,MATCH($D10,'Monthly UPC'!$D$2:$D$65,0),MATCH(CD$1,'Monthly UPC'!$CM$1:$DJ$1))*(INDEX('Monthly CUST'!$N$2:$CG$65,MATCH($D10,'Monthly CUST'!$D$2:$D$65,0),MATCH(CD$1,'Monthly CUST'!$N$1:$CG$1,0))),IF($J10="UPC Growth Rate",((BR10/INDEX('Monthly CUST'!$N$2:$CG$65,MATCH($D10,'Monthly CUST'!$D$2:$D$65,0),MATCH(BR$1,'Monthly CUST'!$N$1:$CG$1,0)))*(1+$L10)*INDEX('Monthly CUST'!$N$2:$CG$65,MATCH($D10,'Monthly CUST'!$D$2:$D$65,0),MATCH(CD$1,'Monthly CUST'!$N$1:$CG$1,0))),IF($J10="Modeled UPC",INDEX('Monthly CUST'!$N$2:$CG$65,MATCH($D10,'Monthly CUST'!$D$2:$D$65,0),MATCH(CD$1,'Monthly CUST'!$N$1:$CG$1,0))/12*$M10,IF($J10="Base Period",BR10,IF($J10="Adjusted",SUMIF('Input 15_Fcst Inputs'!$A:$A,$D10,'Input 15_Fcst Inputs'!$G:$G)/12))))),0)</f>
        <v>1394.97</v>
      </c>
      <c r="CE10" s="483">
        <f>IFERROR(IF($J10="Historical Average",INDEX('Monthly UPC'!$CM$2:$DJ$65,MATCH($D10,'Monthly UPC'!$D$2:$D$65,0),MATCH(CE$1,'Monthly UPC'!$CM$1:$DJ$1))*(INDEX('Monthly CUST'!$N$2:$CG$65,MATCH($D10,'Monthly CUST'!$D$2:$D$65,0),MATCH(CE$1,'Monthly CUST'!$N$1:$CG$1,0))),IF($J10="UPC Growth Rate",((BS10/INDEX('Monthly CUST'!$N$2:$CG$65,MATCH($D10,'Monthly CUST'!$D$2:$D$65,0),MATCH(BS$1,'Monthly CUST'!$N$1:$CG$1,0)))*(1+$L10)*INDEX('Monthly CUST'!$N$2:$CG$65,MATCH($D10,'Monthly CUST'!$D$2:$D$65,0),MATCH(CE$1,'Monthly CUST'!$N$1:$CG$1,0))),IF($J10="Modeled UPC",INDEX('Monthly CUST'!$N$2:$CG$65,MATCH($D10,'Monthly CUST'!$D$2:$D$65,0),MATCH(CE$1,'Monthly CUST'!$N$1:$CG$1,0))/12*$M10,IF($J10="Base Period",BS10,IF($J10="Adjusted",SUMIF('Input 15_Fcst Inputs'!$A:$A,$D10,'Input 15_Fcst Inputs'!$G:$G)/12))))),0)</f>
        <v>1798.1100000000001</v>
      </c>
      <c r="CF10" s="483">
        <f>IFERROR(IF($J10="Historical Average",INDEX('Monthly UPC'!$CM$2:$DJ$65,MATCH($D10,'Monthly UPC'!$D$2:$D$65,0),MATCH(CF$1,'Monthly UPC'!$CM$1:$DJ$1))*(INDEX('Monthly CUST'!$N$2:$CG$65,MATCH($D10,'Monthly CUST'!$D$2:$D$65,0),MATCH(CF$1,'Monthly CUST'!$N$1:$CG$1,0))),IF($J10="UPC Growth Rate",((BT10/INDEX('Monthly CUST'!$N$2:$CG$65,MATCH($D10,'Monthly CUST'!$D$2:$D$65,0),MATCH(BT$1,'Monthly CUST'!$N$1:$CG$1,0)))*(1+$L10)*INDEX('Monthly CUST'!$N$2:$CG$65,MATCH($D10,'Monthly CUST'!$D$2:$D$65,0),MATCH(CF$1,'Monthly CUST'!$N$1:$CG$1,0))),IF($J10="Modeled UPC",INDEX('Monthly CUST'!$N$2:$CG$65,MATCH($D10,'Monthly CUST'!$D$2:$D$65,0),MATCH(CF$1,'Monthly CUST'!$N$1:$CG$1,0))/12*$M10,IF($J10="Base Period",BT10,IF($J10="Adjusted",SUMIF('Input 15_Fcst Inputs'!$A:$A,$D10,'Input 15_Fcst Inputs'!$G:$G)/12))))),0)</f>
        <v>2136.9</v>
      </c>
      <c r="CG10" s="483">
        <f>IFERROR(IF($J10="Historical Average",INDEX('Monthly UPC'!$CM$2:$DJ$65,MATCH($D10,'Monthly UPC'!$D$2:$D$65,0),MATCH(CG$1,'Monthly UPC'!$CM$1:$DJ$1))*(INDEX('Monthly CUST'!$N$2:$CG$65,MATCH($D10,'Monthly CUST'!$D$2:$D$65,0),MATCH(CG$1,'Monthly CUST'!$N$1:$CG$1,0))),IF($J10="UPC Growth Rate",((BU10/INDEX('Monthly CUST'!$N$2:$CG$65,MATCH($D10,'Monthly CUST'!$D$2:$D$65,0),MATCH(BU$1,'Monthly CUST'!$N$1:$CG$1,0)))*(1+$L10)*INDEX('Monthly CUST'!$N$2:$CG$65,MATCH($D10,'Monthly CUST'!$D$2:$D$65,0),MATCH(CG$1,'Monthly CUST'!$N$1:$CG$1,0))),IF($J10="Modeled UPC",INDEX('Monthly CUST'!$N$2:$CG$65,MATCH($D10,'Monthly CUST'!$D$2:$D$65,0),MATCH(CG$1,'Monthly CUST'!$N$1:$CG$1,0))/12*$M10,IF($J10="Base Period",BU10,IF($J10="Adjusted",SUMIF('Input 15_Fcst Inputs'!$A:$A,$D10,'Input 15_Fcst Inputs'!$G:$G)/12))))),0)</f>
        <v>2974.4</v>
      </c>
      <c r="CH10" s="197"/>
      <c r="CI10" s="197">
        <f t="shared" si="0"/>
        <v>0</v>
      </c>
      <c r="CJ10" s="197">
        <f t="shared" si="1"/>
        <v>77382.11</v>
      </c>
      <c r="CK10" s="197">
        <f t="shared" si="2"/>
        <v>125833.66999999997</v>
      </c>
      <c r="CL10" s="197">
        <f t="shared" si="3"/>
        <v>27325.260000000006</v>
      </c>
      <c r="CM10" s="197">
        <f t="shared" si="4"/>
        <v>27325.260000000006</v>
      </c>
      <c r="CN10" s="197">
        <f t="shared" si="5"/>
        <v>27325.260000000006</v>
      </c>
      <c r="CP10" s="4">
        <f>SUMIF('Master '!D:D,D10,'Master '!AH:AH)</f>
        <v>27325.26</v>
      </c>
      <c r="CQ10" s="4">
        <f>SUMIF('Master '!D:D,D10,'Master '!AI:AI)</f>
        <v>27325.26</v>
      </c>
      <c r="CR10" s="197">
        <f t="shared" si="6"/>
        <v>0</v>
      </c>
      <c r="CS10" s="197">
        <f t="shared" si="7"/>
        <v>0</v>
      </c>
      <c r="CT10" t="s">
        <v>287</v>
      </c>
      <c r="CV10" t="str">
        <f>VLOOKUP(G10,'Master '!G:CC,75,FALSE)</f>
        <v>LVS</v>
      </c>
    </row>
    <row r="11" spans="1:100">
      <c r="A11" s="53" t="s">
        <v>996</v>
      </c>
      <c r="B11" s="53" t="s">
        <v>993</v>
      </c>
      <c r="C11" s="53" t="s">
        <v>1245</v>
      </c>
      <c r="D11" s="53" t="s">
        <v>99</v>
      </c>
      <c r="E11" s="53" t="str">
        <f>VLOOKUP(D11,'Input 14_Ref Table'!C:D,2,FALSE)</f>
        <v>FMLT1</v>
      </c>
      <c r="F11" s="143" t="s">
        <v>1286</v>
      </c>
      <c r="G11" s="53" t="str">
        <f>VLOOKUP(D11,'Input 14_Ref Table'!C:I,7,FALSE)</f>
        <v>FMLT1</v>
      </c>
      <c r="H11" s="53" t="str">
        <f>VLOOKUP(D11,'Input 14_Ref Table'!C:K,8,FALSE)</f>
        <v>Base Period</v>
      </c>
      <c r="I11" s="53"/>
      <c r="J11" t="str">
        <f>INDEX('Master '!$AD$2:AD$65,MATCH(D11,'Master '!$D$2:$D$65,0))</f>
        <v>Base Period</v>
      </c>
      <c r="K11" s="458">
        <f>INDEX('Master '!$N$2:N$65,MATCH(D11,'Master '!$D$2:$D$65,0))</f>
        <v>0</v>
      </c>
      <c r="L11" s="137">
        <f>INDEX('Master '!$S$2:S$65,MATCH(D11,'Master '!$D$2:$D$65,0))</f>
        <v>0</v>
      </c>
      <c r="M11" s="4">
        <f>INDEX('Master '!$W$2:W$65,MATCH(D11,'Master '!$D$2:$D$65,0))</f>
        <v>70919.389999999985</v>
      </c>
      <c r="N11" s="268">
        <f>SUMIF('Input 16.1_2018VOL-YTD'!$R:$R,$G11,'Input 16.1_2018VOL-YTD'!C:C)</f>
        <v>0</v>
      </c>
      <c r="O11" s="268">
        <f>SUMIF('Input 16.1_2018VOL-YTD'!$R:$R,$G11,'Input 16.1_2018VOL-YTD'!D:D)</f>
        <v>0</v>
      </c>
      <c r="P11" s="268">
        <f>SUMIF('Input 16.1_2018VOL-YTD'!$R:$R,$G11,'Input 16.1_2018VOL-YTD'!E:E)</f>
        <v>0</v>
      </c>
      <c r="Q11" s="268">
        <f>SUMIF('Input 16.1_2018VOL-YTD'!$R:$R,$G11,'Input 16.1_2018VOL-YTD'!F:F)</f>
        <v>0</v>
      </c>
      <c r="R11" s="268">
        <f>SUMIF('Input 16.1_2018VOL-YTD'!$R:$R,$G11,'Input 16.1_2018VOL-YTD'!G:G)</f>
        <v>0</v>
      </c>
      <c r="S11" s="268">
        <f>SUMIF('Input 16.1_2018VOL-YTD'!$R:$R,$G11,'Input 16.1_2018VOL-YTD'!H:H)</f>
        <v>0</v>
      </c>
      <c r="T11" s="268">
        <f>SUMIF('Input 16.1_2018VOL-YTD'!$R:$R,$G11,'Input 16.1_2018VOL-YTD'!I:I)</f>
        <v>0</v>
      </c>
      <c r="U11" s="268">
        <f>SUMIF('Input 16.1_2018VOL-YTD'!$R:$R,$G11,'Input 16.1_2018VOL-YTD'!J:J)</f>
        <v>0</v>
      </c>
      <c r="V11" s="268">
        <f>SUMIF('Input 16.1_2018VOL-YTD'!$R:$R,$G11,'Input 16.1_2018VOL-YTD'!K:K)</f>
        <v>0</v>
      </c>
      <c r="W11" s="268">
        <f>SUMIF('Input 16.1_2018VOL-YTD'!$R:$R,$G11,'Input 16.1_2018VOL-YTD'!L:L)</f>
        <v>0</v>
      </c>
      <c r="X11" s="268">
        <f>SUMIF('Input 16.1_2018VOL-YTD'!$R:$R,$G11,'Input 16.1_2018VOL-YTD'!M:M)</f>
        <v>0</v>
      </c>
      <c r="Y11" s="268">
        <f>SUMIF('Input 16.1_2018VOL-YTD'!$R:$R,$G11,'Input 16.1_2018VOL-YTD'!N:N)</f>
        <v>0</v>
      </c>
      <c r="Z11" s="268">
        <f>SUMIF('Input 3.1_2019VOL-YTD'!$R:$R,$G11,'Input 3.1_2019VOL-YTD'!C:C)</f>
        <v>0</v>
      </c>
      <c r="AA11" s="268">
        <f>SUMIF('Input 3.1_2019VOL-YTD'!$R:$R,$G11,'Input 3.1_2019VOL-YTD'!D:D)</f>
        <v>0</v>
      </c>
      <c r="AB11" s="268">
        <f>SUMIF('Input 3.1_2019VOL-YTD'!$R:$R,$G11,'Input 3.1_2019VOL-YTD'!E:E)</f>
        <v>0</v>
      </c>
      <c r="AC11" s="268">
        <f>SUMIF('Input 3.1_2019VOL-YTD'!$R:$R,$G11,'Input 3.1_2019VOL-YTD'!F:F)</f>
        <v>0</v>
      </c>
      <c r="AD11" s="268">
        <f>SUMIF('Input 3.1_2019VOL-YTD'!$R:$R,$G11,'Input 3.1_2019VOL-YTD'!G:G)</f>
        <v>0</v>
      </c>
      <c r="AE11" s="268">
        <f>SUMIF('Input 3.1_2019VOL-YTD'!$R:$R,$G11,'Input 3.1_2019VOL-YTD'!H:H)</f>
        <v>0</v>
      </c>
      <c r="AF11" s="268">
        <f>SUMIF('Input 3.1_2019VOL-YTD'!$R:$R,$G11,'Input 3.1_2019VOL-YTD'!I:I)</f>
        <v>0</v>
      </c>
      <c r="AG11" s="268">
        <f>SUMIF('Input 3.1_2019VOL-YTD'!$R:$R,$G11,'Input 3.1_2019VOL-YTD'!J:J)</f>
        <v>0</v>
      </c>
      <c r="AH11" s="268">
        <f>SUMIF('Input 3.1_2019VOL-YTD'!$R:$R,$G11,'Input 3.1_2019VOL-YTD'!K:K)</f>
        <v>0</v>
      </c>
      <c r="AI11" s="268">
        <f>SUMIF('Input 3.1_2019VOL-YTD'!$R:$R,$G11,'Input 3.1_2019VOL-YTD'!L:L)</f>
        <v>0</v>
      </c>
      <c r="AJ11" s="268">
        <f>SUMIF('Input 3.1_2019VOL-YTD'!$R:$R,$G11,'Input 3.1_2019VOL-YTD'!M:M)</f>
        <v>0</v>
      </c>
      <c r="AK11" s="268">
        <f>SUMIF('Input 3.1_2019VOL-YTD'!$R:$R,$G11,'Input 3.1_2019VOL-YTD'!N:N)</f>
        <v>0</v>
      </c>
      <c r="AL11" s="268">
        <f>SUMIF('Input 4.1_2020VOL-YTD'!$R:$R,$G11,'Input 4.1_2020VOL-YTD'!C:C)</f>
        <v>0</v>
      </c>
      <c r="AM11" s="268">
        <f>SUMIF('Input 4.1_2020VOL-YTD'!$R:$R,$G11,'Input 4.1_2020VOL-YTD'!D:D)</f>
        <v>0</v>
      </c>
      <c r="AN11" s="268">
        <f>SUMIF('Input 4.1_2020VOL-YTD'!$R:$R,$G11,'Input 4.1_2020VOL-YTD'!E:E)</f>
        <v>0</v>
      </c>
      <c r="AO11" s="268">
        <f>SUMIF('Input 4.1_2020VOL-YTD'!$R:$R,$G11,'Input 4.1_2020VOL-YTD'!F:F)</f>
        <v>0</v>
      </c>
      <c r="AP11" s="268">
        <f>SUMIF('Input 4.1_2020VOL-YTD'!$R:$R,$G11,'Input 4.1_2020VOL-YTD'!G:G)</f>
        <v>0</v>
      </c>
      <c r="AQ11" s="268">
        <f>SUMIF('Input 4.1_2020VOL-YTD'!$R:$R,$G11,'Input 4.1_2020VOL-YTD'!H:H)</f>
        <v>0</v>
      </c>
      <c r="AR11" s="268">
        <f>SUMIF('Input 4.1_2020VOL-YTD'!$R:$R,$G11,'Input 4.1_2020VOL-YTD'!I:I)</f>
        <v>0</v>
      </c>
      <c r="AS11" s="268">
        <f>SUMIF('Input 4.1_2020VOL-YTD'!$R:$R,$G11,'Input 4.1_2020VOL-YTD'!J:J)</f>
        <v>0</v>
      </c>
      <c r="AT11" s="268">
        <f>SUMIF('Input 4.1_2020VOL-YTD'!$R:$R,$G11,'Input 4.1_2020VOL-YTD'!K:K)</f>
        <v>0</v>
      </c>
      <c r="AU11" s="268">
        <f>SUMIF('Input 4.1_2020VOL-YTD'!$R:$R,$G11,'Input 4.1_2020VOL-YTD'!L:L)</f>
        <v>0</v>
      </c>
      <c r="AV11" s="268">
        <f>SUMIF('Input 4.1_2020VOL-YTD'!$R:$R,$G11,'Input 4.1_2020VOL-YTD'!M:M)</f>
        <v>0</v>
      </c>
      <c r="AW11" s="268">
        <f>SUMIF('Input 4.1_2020VOL-YTD'!$R:$R,$G11,'Input 4.1_2020VOL-YTD'!N:N)</f>
        <v>0</v>
      </c>
      <c r="AX11" s="268">
        <f>SUMIF('Input 5.1_2021VOL-YTD'!$R:$R,$G11,'Input 5.1_2021VOL-YTD'!C:C)</f>
        <v>14955.78</v>
      </c>
      <c r="AY11" s="268">
        <f>SUMIF('Input 5.1_2021VOL-YTD'!$R:$R,$G11,'Input 5.1_2021VOL-YTD'!D:D)</f>
        <v>13816.58</v>
      </c>
      <c r="AZ11" s="268">
        <f>SUMIF('Input 5.1_2021VOL-YTD'!$R:$R,$G11,'Input 5.1_2021VOL-YTD'!E:E)</f>
        <v>10961.56</v>
      </c>
      <c r="BA11" s="268">
        <f>SUMIF('Input 5.1_2021VOL-YTD'!$R:$R,$G11,'Input 5.1_2021VOL-YTD'!F:F)</f>
        <v>13020.56</v>
      </c>
      <c r="BB11" s="268">
        <f>SUMIF('Input 5.1_2021VOL-YTD'!$R:$R,$G11,'Input 5.1_2021VOL-YTD'!G:G)</f>
        <v>11914.47</v>
      </c>
      <c r="BC11" s="268">
        <f>SUMIF('Input 5.1_2021VOL-YTD'!$R:$R,$G11,'Input 5.1_2021VOL-YTD'!H:H)</f>
        <v>11327.23</v>
      </c>
      <c r="BD11" s="268">
        <f>SUMIF('Input 5.1_2021VOL-YTD'!$R:$R,$G11,'Input 5.1_2021VOL-YTD'!I:I)</f>
        <v>3449.21</v>
      </c>
      <c r="BE11" s="268">
        <f>SUMIF('Input 5.1_2021VOL-YTD'!$R:$R,$G11,'Input 5.1_2021VOL-YTD'!J:J)</f>
        <v>13831.349999999999</v>
      </c>
      <c r="BF11" s="268">
        <f>SUMIF('Input 5.1_2021VOL-YTD'!$R:$R,$G11,'Input 5.1_2021VOL-YTD'!K:K)</f>
        <v>8491.91</v>
      </c>
      <c r="BG11" s="268">
        <f>SUMIF('Input 5.1_2021VOL-YTD'!$R:$R,$G11,'Input 5.1_2021VOL-YTD'!L:L)</f>
        <v>11035.48</v>
      </c>
      <c r="BH11" s="268">
        <f>SUMIF('Input 5.1_2021VOL-YTD'!$R:$R,$G11,'Input 5.1_2021VOL-YTD'!M:M)</f>
        <v>13487.19</v>
      </c>
      <c r="BI11" s="268">
        <f>SUMIF('Input 5.1_2021VOL-YTD'!$R:$R,$G11,'Input 5.1_2021VOL-YTD'!N:N)</f>
        <v>15547.46</v>
      </c>
      <c r="BJ11" s="483">
        <f>IFERROR(IF($J11="Historical Average",INDEX('Monthly UPC'!$CM$2:$DJ$65,MATCH($D11,'Monthly UPC'!$D$2:$D$65,0),MATCH(BJ$1,'Monthly UPC'!$CM$1:$DJ$1))*(INDEX('Monthly CUST'!$N$2:$CG$65,MATCH($D11,'Monthly CUST'!$D$2:$D$65,0),MATCH(BJ$1,'Monthly CUST'!$N$1:$CG$1,0))),IF($J11="UPC Growth Rate",((AX11/INDEX('Monthly CUST'!$N$2:$CG$65,MATCH($D11,'Monthly CUST'!$D$2:$D$65,0),MATCH(AX$1,'Monthly CUST'!$N$1:$CG$1,0)))*(1+$L11)*INDEX('Monthly CUST'!$N$2:$CG$65,MATCH($D11,'Monthly CUST'!$D$2:$D$65,0),MATCH(BJ$1,'Monthly CUST'!$N$1:$CG$1,0))),IF($J11="Modeled UPC",INDEX('Monthly CUST'!$N$2:$CG$65,MATCH($D11,'Monthly CUST'!$D$2:$D$65,0),MATCH(BJ$1,'Monthly CUST'!$N$1:$CG$1,0))/12*$M11,IF($J11="Base Period",AX11,IF($J11="Adjusted",SUMIF('Input 15_Fcst Inputs'!$A:$A,$D11,'Input 15_Fcst Inputs'!$G:$G)/12))))),0)</f>
        <v>14955.78</v>
      </c>
      <c r="BK11" s="483">
        <f>IFERROR(IF($J11="Historical Average",INDEX('Monthly UPC'!$CM$2:$DJ$65,MATCH($D11,'Monthly UPC'!$D$2:$D$65,0),MATCH(BK$1,'Monthly UPC'!$CM$1:$DJ$1))*(INDEX('Monthly CUST'!$N$2:$CG$65,MATCH($D11,'Monthly CUST'!$D$2:$D$65,0),MATCH(BK$1,'Monthly CUST'!$N$1:$CG$1,0))),IF($J11="UPC Growth Rate",((AY11/INDEX('Monthly CUST'!$N$2:$CG$65,MATCH($D11,'Monthly CUST'!$D$2:$D$65,0),MATCH(AY$1,'Monthly CUST'!$N$1:$CG$1,0)))*(1+$L11)*INDEX('Monthly CUST'!$N$2:$CG$65,MATCH($D11,'Monthly CUST'!$D$2:$D$65,0),MATCH(BK$1,'Monthly CUST'!$N$1:$CG$1,0))),IF($J11="Modeled UPC",INDEX('Monthly CUST'!$N$2:$CG$65,MATCH($D11,'Monthly CUST'!$D$2:$D$65,0),MATCH(BK$1,'Monthly CUST'!$N$1:$CG$1,0))/12*$M11,IF($J11="Base Period",AY11,IF($J11="Adjusted",SUMIF('Input 15_Fcst Inputs'!$A:$A,$D11,'Input 15_Fcst Inputs'!$G:$G)/12))))),0)</f>
        <v>13816.58</v>
      </c>
      <c r="BL11" s="483">
        <f>IFERROR(IF($J11="Historical Average",INDEX('Monthly UPC'!$CM$2:$DJ$65,MATCH($D11,'Monthly UPC'!$D$2:$D$65,0),MATCH(BL$1,'Monthly UPC'!$CM$1:$DJ$1))*(INDEX('Monthly CUST'!$N$2:$CG$65,MATCH($D11,'Monthly CUST'!$D$2:$D$65,0),MATCH(BL$1,'Monthly CUST'!$N$1:$CG$1,0))),IF($J11="UPC Growth Rate",((AZ11/INDEX('Monthly CUST'!$N$2:$CG$65,MATCH($D11,'Monthly CUST'!$D$2:$D$65,0),MATCH(AZ$1,'Monthly CUST'!$N$1:$CG$1,0)))*(1+$L11)*INDEX('Monthly CUST'!$N$2:$CG$65,MATCH($D11,'Monthly CUST'!$D$2:$D$65,0),MATCH(BL$1,'Monthly CUST'!$N$1:$CG$1,0))),IF($J11="Modeled UPC",INDEX('Monthly CUST'!$N$2:$CG$65,MATCH($D11,'Monthly CUST'!$D$2:$D$65,0),MATCH(BL$1,'Monthly CUST'!$N$1:$CG$1,0))/12*$M11,IF($J11="Base Period",AZ11,IF($J11="Adjusted",SUMIF('Input 15_Fcst Inputs'!$A:$A,$D11,'Input 15_Fcst Inputs'!$G:$G)/12))))),0)</f>
        <v>10961.56</v>
      </c>
      <c r="BM11" s="483">
        <f>IFERROR(IF($J11="Historical Average",INDEX('Monthly UPC'!$CM$2:$DJ$65,MATCH($D11,'Monthly UPC'!$D$2:$D$65,0),MATCH(BM$1,'Monthly UPC'!$CM$1:$DJ$1))*(INDEX('Monthly CUST'!$N$2:$CG$65,MATCH($D11,'Monthly CUST'!$D$2:$D$65,0),MATCH(BM$1,'Monthly CUST'!$N$1:$CG$1,0))),IF($J11="UPC Growth Rate",((BA11/INDEX('Monthly CUST'!$N$2:$CG$65,MATCH($D11,'Monthly CUST'!$D$2:$D$65,0),MATCH(BA$1,'Monthly CUST'!$N$1:$CG$1,0)))*(1+$L11)*INDEX('Monthly CUST'!$N$2:$CG$65,MATCH($D11,'Monthly CUST'!$D$2:$D$65,0),MATCH(BM$1,'Monthly CUST'!$N$1:$CG$1,0))),IF($J11="Modeled UPC",INDEX('Monthly CUST'!$N$2:$CG$65,MATCH($D11,'Monthly CUST'!$D$2:$D$65,0),MATCH(BM$1,'Monthly CUST'!$N$1:$CG$1,0))/12*$M11,IF($J11="Base Period",BA11,IF($J11="Adjusted",SUMIF('Input 15_Fcst Inputs'!$A:$A,$D11,'Input 15_Fcst Inputs'!$G:$G)/12))))),0)</f>
        <v>13020.56</v>
      </c>
      <c r="BN11" s="483">
        <f>IFERROR(IF($J11="Historical Average",INDEX('Monthly UPC'!$CM$2:$DJ$65,MATCH($D11,'Monthly UPC'!$D$2:$D$65,0),MATCH(BN$1,'Monthly UPC'!$CM$1:$DJ$1))*(INDEX('Monthly CUST'!$N$2:$CG$65,MATCH($D11,'Monthly CUST'!$D$2:$D$65,0),MATCH(BN$1,'Monthly CUST'!$N$1:$CG$1,0))),IF($J11="UPC Growth Rate",((BB11/INDEX('Monthly CUST'!$N$2:$CG$65,MATCH($D11,'Monthly CUST'!$D$2:$D$65,0),MATCH(BB$1,'Monthly CUST'!$N$1:$CG$1,0)))*(1+$L11)*INDEX('Monthly CUST'!$N$2:$CG$65,MATCH($D11,'Monthly CUST'!$D$2:$D$65,0),MATCH(BN$1,'Monthly CUST'!$N$1:$CG$1,0))),IF($J11="Modeled UPC",INDEX('Monthly CUST'!$N$2:$CG$65,MATCH($D11,'Monthly CUST'!$D$2:$D$65,0),MATCH(BN$1,'Monthly CUST'!$N$1:$CG$1,0))/12*$M11,IF($J11="Base Period",BB11,IF($J11="Adjusted",SUMIF('Input 15_Fcst Inputs'!$A:$A,$D11,'Input 15_Fcst Inputs'!$G:$G)/12))))),0)</f>
        <v>11914.47</v>
      </c>
      <c r="BO11" s="483">
        <f>IFERROR(IF($J11="Historical Average",INDEX('Monthly UPC'!$CM$2:$DJ$65,MATCH($D11,'Monthly UPC'!$D$2:$D$65,0),MATCH(BO$1,'Monthly UPC'!$CM$1:$DJ$1))*(INDEX('Monthly CUST'!$N$2:$CG$65,MATCH($D11,'Monthly CUST'!$D$2:$D$65,0),MATCH(BO$1,'Monthly CUST'!$N$1:$CG$1,0))),IF($J11="UPC Growth Rate",((BC11/INDEX('Monthly CUST'!$N$2:$CG$65,MATCH($D11,'Monthly CUST'!$D$2:$D$65,0),MATCH(BC$1,'Monthly CUST'!$N$1:$CG$1,0)))*(1+$L11)*INDEX('Monthly CUST'!$N$2:$CG$65,MATCH($D11,'Monthly CUST'!$D$2:$D$65,0),MATCH(BO$1,'Monthly CUST'!$N$1:$CG$1,0))),IF($J11="Modeled UPC",INDEX('Monthly CUST'!$N$2:$CG$65,MATCH($D11,'Monthly CUST'!$D$2:$D$65,0),MATCH(BO$1,'Monthly CUST'!$N$1:$CG$1,0))/12*$M11,IF($J11="Base Period",BC11,IF($J11="Adjusted",SUMIF('Input 15_Fcst Inputs'!$A:$A,$D11,'Input 15_Fcst Inputs'!$G:$G)/12))))),0)</f>
        <v>11327.23</v>
      </c>
      <c r="BP11" s="483">
        <f>IFERROR(IF($J11="Historical Average",INDEX('Monthly UPC'!$CM$2:$DJ$65,MATCH($D11,'Monthly UPC'!$D$2:$D$65,0),MATCH(BP$1,'Monthly UPC'!$CM$1:$DJ$1))*(INDEX('Monthly CUST'!$N$2:$CG$65,MATCH($D11,'Monthly CUST'!$D$2:$D$65,0),MATCH(BP$1,'Monthly CUST'!$N$1:$CG$1,0))),IF($J11="UPC Growth Rate",((BD11/INDEX('Monthly CUST'!$N$2:$CG$65,MATCH($D11,'Monthly CUST'!$D$2:$D$65,0),MATCH(BD$1,'Monthly CUST'!$N$1:$CG$1,0)))*(1+$L11)*INDEX('Monthly CUST'!$N$2:$CG$65,MATCH($D11,'Monthly CUST'!$D$2:$D$65,0),MATCH(BP$1,'Monthly CUST'!$N$1:$CG$1,0))),IF($J11="Modeled UPC",INDEX('Monthly CUST'!$N$2:$CG$65,MATCH($D11,'Monthly CUST'!$D$2:$D$65,0),MATCH(BP$1,'Monthly CUST'!$N$1:$CG$1,0))/12*$M11,IF($J11="Base Period",BD11,IF($J11="Adjusted",SUMIF('Input 15_Fcst Inputs'!$A:$A,$D11,'Input 15_Fcst Inputs'!$G:$G)/12))))),0)</f>
        <v>3449.21</v>
      </c>
      <c r="BQ11" s="483">
        <f>IFERROR(IF($J11="Historical Average",INDEX('Monthly UPC'!$CM$2:$DJ$65,MATCH($D11,'Monthly UPC'!$D$2:$D$65,0),MATCH(BQ$1,'Monthly UPC'!$CM$1:$DJ$1))*(INDEX('Monthly CUST'!$N$2:$CG$65,MATCH($D11,'Monthly CUST'!$D$2:$D$65,0),MATCH(BQ$1,'Monthly CUST'!$N$1:$CG$1,0))),IF($J11="UPC Growth Rate",((BE11/INDEX('Monthly CUST'!$N$2:$CG$65,MATCH($D11,'Monthly CUST'!$D$2:$D$65,0),MATCH(BE$1,'Monthly CUST'!$N$1:$CG$1,0)))*(1+$L11)*INDEX('Monthly CUST'!$N$2:$CG$65,MATCH($D11,'Monthly CUST'!$D$2:$D$65,0),MATCH(BQ$1,'Monthly CUST'!$N$1:$CG$1,0))),IF($J11="Modeled UPC",INDEX('Monthly CUST'!$N$2:$CG$65,MATCH($D11,'Monthly CUST'!$D$2:$D$65,0),MATCH(BQ$1,'Monthly CUST'!$N$1:$CG$1,0))/12*$M11,IF($J11="Base Period",BE11,IF($J11="Adjusted",SUMIF('Input 15_Fcst Inputs'!$A:$A,$D11,'Input 15_Fcst Inputs'!$G:$G)/12))))),0)</f>
        <v>13831.349999999999</v>
      </c>
      <c r="BR11" s="483">
        <f>IFERROR(IF($J11="Historical Average",INDEX('Monthly UPC'!$CM$2:$DJ$65,MATCH($D11,'Monthly UPC'!$D$2:$D$65,0),MATCH(BR$1,'Monthly UPC'!$CM$1:$DJ$1))*(INDEX('Monthly CUST'!$N$2:$CG$65,MATCH($D11,'Monthly CUST'!$D$2:$D$65,0),MATCH(BR$1,'Monthly CUST'!$N$1:$CG$1,0))),IF($J11="UPC Growth Rate",((BF11/INDEX('Monthly CUST'!$N$2:$CG$65,MATCH($D11,'Monthly CUST'!$D$2:$D$65,0),MATCH(BF$1,'Monthly CUST'!$N$1:$CG$1,0)))*(1+$L11)*INDEX('Monthly CUST'!$N$2:$CG$65,MATCH($D11,'Monthly CUST'!$D$2:$D$65,0),MATCH(BR$1,'Monthly CUST'!$N$1:$CG$1,0))),IF($J11="Modeled UPC",INDEX('Monthly CUST'!$N$2:$CG$65,MATCH($D11,'Monthly CUST'!$D$2:$D$65,0),MATCH(BR$1,'Monthly CUST'!$N$1:$CG$1,0))/12*$M11,IF($J11="Base Period",BF11,IF($J11="Adjusted",SUMIF('Input 15_Fcst Inputs'!$A:$A,$D11,'Input 15_Fcst Inputs'!$G:$G)/12))))),0)</f>
        <v>8491.91</v>
      </c>
      <c r="BS11" s="483">
        <f>IFERROR(IF($J11="Historical Average",INDEX('Monthly UPC'!$CM$2:$DJ$65,MATCH($D11,'Monthly UPC'!$D$2:$D$65,0),MATCH(BS$1,'Monthly UPC'!$CM$1:$DJ$1))*(INDEX('Monthly CUST'!$N$2:$CG$65,MATCH($D11,'Monthly CUST'!$D$2:$D$65,0),MATCH(BS$1,'Monthly CUST'!$N$1:$CG$1,0))),IF($J11="UPC Growth Rate",((BG11/INDEX('Monthly CUST'!$N$2:$CG$65,MATCH($D11,'Monthly CUST'!$D$2:$D$65,0),MATCH(BG$1,'Monthly CUST'!$N$1:$CG$1,0)))*(1+$L11)*INDEX('Monthly CUST'!$N$2:$CG$65,MATCH($D11,'Monthly CUST'!$D$2:$D$65,0),MATCH(BS$1,'Monthly CUST'!$N$1:$CG$1,0))),IF($J11="Modeled UPC",INDEX('Monthly CUST'!$N$2:$CG$65,MATCH($D11,'Monthly CUST'!$D$2:$D$65,0),MATCH(BS$1,'Monthly CUST'!$N$1:$CG$1,0))/12*$M11,IF($J11="Base Period",BG11,IF($J11="Adjusted",SUMIF('Input 15_Fcst Inputs'!$A:$A,$D11,'Input 15_Fcst Inputs'!$G:$G)/12))))),0)</f>
        <v>11035.48</v>
      </c>
      <c r="BT11" s="483">
        <f>IFERROR(IF($J11="Historical Average",INDEX('Monthly UPC'!$CM$2:$DJ$65,MATCH($D11,'Monthly UPC'!$D$2:$D$65,0),MATCH(BT$1,'Monthly UPC'!$CM$1:$DJ$1))*(INDEX('Monthly CUST'!$N$2:$CG$65,MATCH($D11,'Monthly CUST'!$D$2:$D$65,0),MATCH(BT$1,'Monthly CUST'!$N$1:$CG$1,0))),IF($J11="UPC Growth Rate",((BH11/INDEX('Monthly CUST'!$N$2:$CG$65,MATCH($D11,'Monthly CUST'!$D$2:$D$65,0),MATCH(BH$1,'Monthly CUST'!$N$1:$CG$1,0)))*(1+$L11)*INDEX('Monthly CUST'!$N$2:$CG$65,MATCH($D11,'Monthly CUST'!$D$2:$D$65,0),MATCH(BT$1,'Monthly CUST'!$N$1:$CG$1,0))),IF($J11="Modeled UPC",INDEX('Monthly CUST'!$N$2:$CG$65,MATCH($D11,'Monthly CUST'!$D$2:$D$65,0),MATCH(BT$1,'Monthly CUST'!$N$1:$CG$1,0))/12*$M11,IF($J11="Base Period",BH11,IF($J11="Adjusted",SUMIF('Input 15_Fcst Inputs'!$A:$A,$D11,'Input 15_Fcst Inputs'!$G:$G)/12))))),0)</f>
        <v>13487.19</v>
      </c>
      <c r="BU11" s="483">
        <f>IFERROR(IF($J11="Historical Average",INDEX('Monthly UPC'!$CM$2:$DJ$65,MATCH($D11,'Monthly UPC'!$D$2:$D$65,0),MATCH(BU$1,'Monthly UPC'!$CM$1:$DJ$1))*(INDEX('Monthly CUST'!$N$2:$CG$65,MATCH($D11,'Monthly CUST'!$D$2:$D$65,0),MATCH(BU$1,'Monthly CUST'!$N$1:$CG$1,0))),IF($J11="UPC Growth Rate",((BI11/INDEX('Monthly CUST'!$N$2:$CG$65,MATCH($D11,'Monthly CUST'!$D$2:$D$65,0),MATCH(BI$1,'Monthly CUST'!$N$1:$CG$1,0)))*(1+$L11)*INDEX('Monthly CUST'!$N$2:$CG$65,MATCH($D11,'Monthly CUST'!$D$2:$D$65,0),MATCH(BU$1,'Monthly CUST'!$N$1:$CG$1,0))),IF($J11="Modeled UPC",INDEX('Monthly CUST'!$N$2:$CG$65,MATCH($D11,'Monthly CUST'!$D$2:$D$65,0),MATCH(BU$1,'Monthly CUST'!$N$1:$CG$1,0))/12*$M11,IF($J11="Base Period",BI11,IF($J11="Adjusted",SUMIF('Input 15_Fcst Inputs'!$A:$A,$D11,'Input 15_Fcst Inputs'!$G:$G)/12))))),0)</f>
        <v>15547.46</v>
      </c>
      <c r="BV11" s="483">
        <f>IFERROR(IF($J11="Historical Average",INDEX('Monthly UPC'!$CM$2:$DJ$65,MATCH($D11,'Monthly UPC'!$D$2:$D$65,0),MATCH(BV$1,'Monthly UPC'!$CM$1:$DJ$1))*(INDEX('Monthly CUST'!$N$2:$CG$65,MATCH($D11,'Monthly CUST'!$D$2:$D$65,0),MATCH(BV$1,'Monthly CUST'!$N$1:$CG$1,0))),IF($J11="UPC Growth Rate",((BJ11/INDEX('Monthly CUST'!$N$2:$CG$65,MATCH($D11,'Monthly CUST'!$D$2:$D$65,0),MATCH(BJ$1,'Monthly CUST'!$N$1:$CG$1,0)))*(1+$L11)*INDEX('Monthly CUST'!$N$2:$CG$65,MATCH($D11,'Monthly CUST'!$D$2:$D$65,0),MATCH(BV$1,'Monthly CUST'!$N$1:$CG$1,0))),IF($J11="Modeled UPC",INDEX('Monthly CUST'!$N$2:$CG$65,MATCH($D11,'Monthly CUST'!$D$2:$D$65,0),MATCH(BV$1,'Monthly CUST'!$N$1:$CG$1,0))/12*$M11,IF($J11="Base Period",BJ11,IF($J11="Adjusted",SUMIF('Input 15_Fcst Inputs'!$A:$A,$D11,'Input 15_Fcst Inputs'!$G:$G)/12))))),0)</f>
        <v>14955.78</v>
      </c>
      <c r="BW11" s="483">
        <f>IFERROR(IF($J11="Historical Average",INDEX('Monthly UPC'!$CM$2:$DJ$65,MATCH($D11,'Monthly UPC'!$D$2:$D$65,0),MATCH(BW$1,'Monthly UPC'!$CM$1:$DJ$1))*(INDEX('Monthly CUST'!$N$2:$CG$65,MATCH($D11,'Monthly CUST'!$D$2:$D$65,0),MATCH(BW$1,'Monthly CUST'!$N$1:$CG$1,0))),IF($J11="UPC Growth Rate",((BK11/INDEX('Monthly CUST'!$N$2:$CG$65,MATCH($D11,'Monthly CUST'!$D$2:$D$65,0),MATCH(BK$1,'Monthly CUST'!$N$1:$CG$1,0)))*(1+$L11)*INDEX('Monthly CUST'!$N$2:$CG$65,MATCH($D11,'Monthly CUST'!$D$2:$D$65,0),MATCH(BW$1,'Monthly CUST'!$N$1:$CG$1,0))),IF($J11="Modeled UPC",INDEX('Monthly CUST'!$N$2:$CG$65,MATCH($D11,'Monthly CUST'!$D$2:$D$65,0),MATCH(BW$1,'Monthly CUST'!$N$1:$CG$1,0))/12*$M11,IF($J11="Base Period",BK11,IF($J11="Adjusted",SUMIF('Input 15_Fcst Inputs'!$A:$A,$D11,'Input 15_Fcst Inputs'!$G:$G)/12))))),0)</f>
        <v>13816.58</v>
      </c>
      <c r="BX11" s="483">
        <f>IFERROR(IF($J11="Historical Average",INDEX('Monthly UPC'!$CM$2:$DJ$65,MATCH($D11,'Monthly UPC'!$D$2:$D$65,0),MATCH(BX$1,'Monthly UPC'!$CM$1:$DJ$1))*(INDEX('Monthly CUST'!$N$2:$CG$65,MATCH($D11,'Monthly CUST'!$D$2:$D$65,0),MATCH(BX$1,'Monthly CUST'!$N$1:$CG$1,0))),IF($J11="UPC Growth Rate",((BL11/INDEX('Monthly CUST'!$N$2:$CG$65,MATCH($D11,'Monthly CUST'!$D$2:$D$65,0),MATCH(BL$1,'Monthly CUST'!$N$1:$CG$1,0)))*(1+$L11)*INDEX('Monthly CUST'!$N$2:$CG$65,MATCH($D11,'Monthly CUST'!$D$2:$D$65,0),MATCH(BX$1,'Monthly CUST'!$N$1:$CG$1,0))),IF($J11="Modeled UPC",INDEX('Monthly CUST'!$N$2:$CG$65,MATCH($D11,'Monthly CUST'!$D$2:$D$65,0),MATCH(BX$1,'Monthly CUST'!$N$1:$CG$1,0))/12*$M11,IF($J11="Base Period",BL11,IF($J11="Adjusted",SUMIF('Input 15_Fcst Inputs'!$A:$A,$D11,'Input 15_Fcst Inputs'!$G:$G)/12))))),0)</f>
        <v>10961.56</v>
      </c>
      <c r="BY11" s="483">
        <f>IFERROR(IF($J11="Historical Average",INDEX('Monthly UPC'!$CM$2:$DJ$65,MATCH($D11,'Monthly UPC'!$D$2:$D$65,0),MATCH(BY$1,'Monthly UPC'!$CM$1:$DJ$1))*(INDEX('Monthly CUST'!$N$2:$CG$65,MATCH($D11,'Monthly CUST'!$D$2:$D$65,0),MATCH(BY$1,'Monthly CUST'!$N$1:$CG$1,0))),IF($J11="UPC Growth Rate",((BM11/INDEX('Monthly CUST'!$N$2:$CG$65,MATCH($D11,'Monthly CUST'!$D$2:$D$65,0),MATCH(BM$1,'Monthly CUST'!$N$1:$CG$1,0)))*(1+$L11)*INDEX('Monthly CUST'!$N$2:$CG$65,MATCH($D11,'Monthly CUST'!$D$2:$D$65,0),MATCH(BY$1,'Monthly CUST'!$N$1:$CG$1,0))),IF($J11="Modeled UPC",INDEX('Monthly CUST'!$N$2:$CG$65,MATCH($D11,'Monthly CUST'!$D$2:$D$65,0),MATCH(BY$1,'Monthly CUST'!$N$1:$CG$1,0))/12*$M11,IF($J11="Base Period",BM11,IF($J11="Adjusted",SUMIF('Input 15_Fcst Inputs'!$A:$A,$D11,'Input 15_Fcst Inputs'!$G:$G)/12))))),0)</f>
        <v>13020.56</v>
      </c>
      <c r="BZ11" s="483">
        <f>IFERROR(IF($J11="Historical Average",INDEX('Monthly UPC'!$CM$2:$DJ$65,MATCH($D11,'Monthly UPC'!$D$2:$D$65,0),MATCH(BZ$1,'Monthly UPC'!$CM$1:$DJ$1))*(INDEX('Monthly CUST'!$N$2:$CG$65,MATCH($D11,'Monthly CUST'!$D$2:$D$65,0),MATCH(BZ$1,'Monthly CUST'!$N$1:$CG$1,0))),IF($J11="UPC Growth Rate",((BN11/INDEX('Monthly CUST'!$N$2:$CG$65,MATCH($D11,'Monthly CUST'!$D$2:$D$65,0),MATCH(BN$1,'Monthly CUST'!$N$1:$CG$1,0)))*(1+$L11)*INDEX('Monthly CUST'!$N$2:$CG$65,MATCH($D11,'Monthly CUST'!$D$2:$D$65,0),MATCH(BZ$1,'Monthly CUST'!$N$1:$CG$1,0))),IF($J11="Modeled UPC",INDEX('Monthly CUST'!$N$2:$CG$65,MATCH($D11,'Monthly CUST'!$D$2:$D$65,0),MATCH(BZ$1,'Monthly CUST'!$N$1:$CG$1,0))/12*$M11,IF($J11="Base Period",BN11,IF($J11="Adjusted",SUMIF('Input 15_Fcst Inputs'!$A:$A,$D11,'Input 15_Fcst Inputs'!$G:$G)/12))))),0)</f>
        <v>11914.47</v>
      </c>
      <c r="CA11" s="483">
        <f>IFERROR(IF($J11="Historical Average",INDEX('Monthly UPC'!$CM$2:$DJ$65,MATCH($D11,'Monthly UPC'!$D$2:$D$65,0),MATCH(CA$1,'Monthly UPC'!$CM$1:$DJ$1))*(INDEX('Monthly CUST'!$N$2:$CG$65,MATCH($D11,'Monthly CUST'!$D$2:$D$65,0),MATCH(CA$1,'Monthly CUST'!$N$1:$CG$1,0))),IF($J11="UPC Growth Rate",((BO11/INDEX('Monthly CUST'!$N$2:$CG$65,MATCH($D11,'Monthly CUST'!$D$2:$D$65,0),MATCH(BO$1,'Monthly CUST'!$N$1:$CG$1,0)))*(1+$L11)*INDEX('Monthly CUST'!$N$2:$CG$65,MATCH($D11,'Monthly CUST'!$D$2:$D$65,0),MATCH(CA$1,'Monthly CUST'!$N$1:$CG$1,0))),IF($J11="Modeled UPC",INDEX('Monthly CUST'!$N$2:$CG$65,MATCH($D11,'Monthly CUST'!$D$2:$D$65,0),MATCH(CA$1,'Monthly CUST'!$N$1:$CG$1,0))/12*$M11,IF($J11="Base Period",BO11,IF($J11="Adjusted",SUMIF('Input 15_Fcst Inputs'!$A:$A,$D11,'Input 15_Fcst Inputs'!$G:$G)/12))))),0)</f>
        <v>11327.23</v>
      </c>
      <c r="CB11" s="483">
        <f>IFERROR(IF($J11="Historical Average",INDEX('Monthly UPC'!$CM$2:$DJ$65,MATCH($D11,'Monthly UPC'!$D$2:$D$65,0),MATCH(CB$1,'Monthly UPC'!$CM$1:$DJ$1))*(INDEX('Monthly CUST'!$N$2:$CG$65,MATCH($D11,'Monthly CUST'!$D$2:$D$65,0),MATCH(CB$1,'Monthly CUST'!$N$1:$CG$1,0))),IF($J11="UPC Growth Rate",((BP11/INDEX('Monthly CUST'!$N$2:$CG$65,MATCH($D11,'Monthly CUST'!$D$2:$D$65,0),MATCH(BP$1,'Monthly CUST'!$N$1:$CG$1,0)))*(1+$L11)*INDEX('Monthly CUST'!$N$2:$CG$65,MATCH($D11,'Monthly CUST'!$D$2:$D$65,0),MATCH(CB$1,'Monthly CUST'!$N$1:$CG$1,0))),IF($J11="Modeled UPC",INDEX('Monthly CUST'!$N$2:$CG$65,MATCH($D11,'Monthly CUST'!$D$2:$D$65,0),MATCH(CB$1,'Monthly CUST'!$N$1:$CG$1,0))/12*$M11,IF($J11="Base Period",BP11,IF($J11="Adjusted",SUMIF('Input 15_Fcst Inputs'!$A:$A,$D11,'Input 15_Fcst Inputs'!$G:$G)/12))))),0)</f>
        <v>3449.21</v>
      </c>
      <c r="CC11" s="483">
        <f>IFERROR(IF($J11="Historical Average",INDEX('Monthly UPC'!$CM$2:$DJ$65,MATCH($D11,'Monthly UPC'!$D$2:$D$65,0),MATCH(CC$1,'Monthly UPC'!$CM$1:$DJ$1))*(INDEX('Monthly CUST'!$N$2:$CG$65,MATCH($D11,'Monthly CUST'!$D$2:$D$65,0),MATCH(CC$1,'Monthly CUST'!$N$1:$CG$1,0))),IF($J11="UPC Growth Rate",((BQ11/INDEX('Monthly CUST'!$N$2:$CG$65,MATCH($D11,'Monthly CUST'!$D$2:$D$65,0),MATCH(BQ$1,'Monthly CUST'!$N$1:$CG$1,0)))*(1+$L11)*INDEX('Monthly CUST'!$N$2:$CG$65,MATCH($D11,'Monthly CUST'!$D$2:$D$65,0),MATCH(CC$1,'Monthly CUST'!$N$1:$CG$1,0))),IF($J11="Modeled UPC",INDEX('Monthly CUST'!$N$2:$CG$65,MATCH($D11,'Monthly CUST'!$D$2:$D$65,0),MATCH(CC$1,'Monthly CUST'!$N$1:$CG$1,0))/12*$M11,IF($J11="Base Period",BQ11,IF($J11="Adjusted",SUMIF('Input 15_Fcst Inputs'!$A:$A,$D11,'Input 15_Fcst Inputs'!$G:$G)/12))))),0)</f>
        <v>13831.349999999999</v>
      </c>
      <c r="CD11" s="483">
        <f>IFERROR(IF($J11="Historical Average",INDEX('Monthly UPC'!$CM$2:$DJ$65,MATCH($D11,'Monthly UPC'!$D$2:$D$65,0),MATCH(CD$1,'Monthly UPC'!$CM$1:$DJ$1))*(INDEX('Monthly CUST'!$N$2:$CG$65,MATCH($D11,'Monthly CUST'!$D$2:$D$65,0),MATCH(CD$1,'Monthly CUST'!$N$1:$CG$1,0))),IF($J11="UPC Growth Rate",((BR11/INDEX('Monthly CUST'!$N$2:$CG$65,MATCH($D11,'Monthly CUST'!$D$2:$D$65,0),MATCH(BR$1,'Monthly CUST'!$N$1:$CG$1,0)))*(1+$L11)*INDEX('Monthly CUST'!$N$2:$CG$65,MATCH($D11,'Monthly CUST'!$D$2:$D$65,0),MATCH(CD$1,'Monthly CUST'!$N$1:$CG$1,0))),IF($J11="Modeled UPC",INDEX('Monthly CUST'!$N$2:$CG$65,MATCH($D11,'Monthly CUST'!$D$2:$D$65,0),MATCH(CD$1,'Monthly CUST'!$N$1:$CG$1,0))/12*$M11,IF($J11="Base Period",BR11,IF($J11="Adjusted",SUMIF('Input 15_Fcst Inputs'!$A:$A,$D11,'Input 15_Fcst Inputs'!$G:$G)/12))))),0)</f>
        <v>8491.91</v>
      </c>
      <c r="CE11" s="483">
        <f>IFERROR(IF($J11="Historical Average",INDEX('Monthly UPC'!$CM$2:$DJ$65,MATCH($D11,'Monthly UPC'!$D$2:$D$65,0),MATCH(CE$1,'Monthly UPC'!$CM$1:$DJ$1))*(INDEX('Monthly CUST'!$N$2:$CG$65,MATCH($D11,'Monthly CUST'!$D$2:$D$65,0),MATCH(CE$1,'Monthly CUST'!$N$1:$CG$1,0))),IF($J11="UPC Growth Rate",((BS11/INDEX('Monthly CUST'!$N$2:$CG$65,MATCH($D11,'Monthly CUST'!$D$2:$D$65,0),MATCH(BS$1,'Monthly CUST'!$N$1:$CG$1,0)))*(1+$L11)*INDEX('Monthly CUST'!$N$2:$CG$65,MATCH($D11,'Monthly CUST'!$D$2:$D$65,0),MATCH(CE$1,'Monthly CUST'!$N$1:$CG$1,0))),IF($J11="Modeled UPC",INDEX('Monthly CUST'!$N$2:$CG$65,MATCH($D11,'Monthly CUST'!$D$2:$D$65,0),MATCH(CE$1,'Monthly CUST'!$N$1:$CG$1,0))/12*$M11,IF($J11="Base Period",BS11,IF($J11="Adjusted",SUMIF('Input 15_Fcst Inputs'!$A:$A,$D11,'Input 15_Fcst Inputs'!$G:$G)/12))))),0)</f>
        <v>11035.48</v>
      </c>
      <c r="CF11" s="483">
        <f>IFERROR(IF($J11="Historical Average",INDEX('Monthly UPC'!$CM$2:$DJ$65,MATCH($D11,'Monthly UPC'!$D$2:$D$65,0),MATCH(CF$1,'Monthly UPC'!$CM$1:$DJ$1))*(INDEX('Monthly CUST'!$N$2:$CG$65,MATCH($D11,'Monthly CUST'!$D$2:$D$65,0),MATCH(CF$1,'Monthly CUST'!$N$1:$CG$1,0))),IF($J11="UPC Growth Rate",((BT11/INDEX('Monthly CUST'!$N$2:$CG$65,MATCH($D11,'Monthly CUST'!$D$2:$D$65,0),MATCH(BT$1,'Monthly CUST'!$N$1:$CG$1,0)))*(1+$L11)*INDEX('Monthly CUST'!$N$2:$CG$65,MATCH($D11,'Monthly CUST'!$D$2:$D$65,0),MATCH(CF$1,'Monthly CUST'!$N$1:$CG$1,0))),IF($J11="Modeled UPC",INDEX('Monthly CUST'!$N$2:$CG$65,MATCH($D11,'Monthly CUST'!$D$2:$D$65,0),MATCH(CF$1,'Monthly CUST'!$N$1:$CG$1,0))/12*$M11,IF($J11="Base Period",BT11,IF($J11="Adjusted",SUMIF('Input 15_Fcst Inputs'!$A:$A,$D11,'Input 15_Fcst Inputs'!$G:$G)/12))))),0)</f>
        <v>13487.19</v>
      </c>
      <c r="CG11" s="483">
        <f>IFERROR(IF($J11="Historical Average",INDEX('Monthly UPC'!$CM$2:$DJ$65,MATCH($D11,'Monthly UPC'!$D$2:$D$65,0),MATCH(CG$1,'Monthly UPC'!$CM$1:$DJ$1))*(INDEX('Monthly CUST'!$N$2:$CG$65,MATCH($D11,'Monthly CUST'!$D$2:$D$65,0),MATCH(CG$1,'Monthly CUST'!$N$1:$CG$1,0))),IF($J11="UPC Growth Rate",((BU11/INDEX('Monthly CUST'!$N$2:$CG$65,MATCH($D11,'Monthly CUST'!$D$2:$D$65,0),MATCH(BU$1,'Monthly CUST'!$N$1:$CG$1,0)))*(1+$L11)*INDEX('Monthly CUST'!$N$2:$CG$65,MATCH($D11,'Monthly CUST'!$D$2:$D$65,0),MATCH(CG$1,'Monthly CUST'!$N$1:$CG$1,0))),IF($J11="Modeled UPC",INDEX('Monthly CUST'!$N$2:$CG$65,MATCH($D11,'Monthly CUST'!$D$2:$D$65,0),MATCH(CG$1,'Monthly CUST'!$N$1:$CG$1,0))/12*$M11,IF($J11="Base Period",BU11,IF($J11="Adjusted",SUMIF('Input 15_Fcst Inputs'!$A:$A,$D11,'Input 15_Fcst Inputs'!$G:$G)/12))))),0)</f>
        <v>15547.46</v>
      </c>
      <c r="CH11" s="197"/>
      <c r="CI11" s="197">
        <f t="shared" si="0"/>
        <v>0</v>
      </c>
      <c r="CJ11" s="197">
        <f t="shared" si="1"/>
        <v>0</v>
      </c>
      <c r="CK11" s="197">
        <f t="shared" si="2"/>
        <v>0</v>
      </c>
      <c r="CL11" s="197">
        <f t="shared" si="3"/>
        <v>141838.78</v>
      </c>
      <c r="CM11" s="197">
        <f t="shared" si="4"/>
        <v>141838.78</v>
      </c>
      <c r="CN11" s="197">
        <f t="shared" si="5"/>
        <v>141838.78</v>
      </c>
      <c r="CP11" s="4">
        <f>SUMIF('Master '!D:D,D11,'Master '!AH:AH)</f>
        <v>141838.77999999997</v>
      </c>
      <c r="CQ11" s="4">
        <f>SUMIF('Master '!D:D,D11,'Master '!AI:AI)</f>
        <v>141838.77999999997</v>
      </c>
      <c r="CR11" s="197">
        <f t="shared" si="6"/>
        <v>0</v>
      </c>
      <c r="CS11" s="197">
        <f t="shared" si="7"/>
        <v>0</v>
      </c>
      <c r="CT11" t="s">
        <v>287</v>
      </c>
      <c r="CV11" t="str">
        <f>VLOOKUP(G11,'Master '!G:CC,75,FALSE)</f>
        <v>LVTS</v>
      </c>
    </row>
    <row r="12" spans="1:100">
      <c r="A12" s="53" t="s">
        <v>996</v>
      </c>
      <c r="B12" s="53" t="s">
        <v>994</v>
      </c>
      <c r="C12" s="53" t="s">
        <v>8</v>
      </c>
      <c r="D12" s="53" t="s">
        <v>995</v>
      </c>
      <c r="E12" s="53" t="str">
        <f>VLOOKUP(D12,'Input 14_Ref Table'!C:D,2,FALSE)</f>
        <v>FMPA1</v>
      </c>
      <c r="F12" s="143" t="s">
        <v>1286</v>
      </c>
      <c r="G12" s="53" t="str">
        <f>VLOOKUP(D12,'Input 14_Ref Table'!C:I,7,FALSE)</f>
        <v>GCNGV</v>
      </c>
      <c r="H12" s="53" t="str">
        <f>VLOOKUP(D12,'Input 14_Ref Table'!C:K,8,FALSE)</f>
        <v>Base Period</v>
      </c>
      <c r="I12" s="53"/>
      <c r="J12" t="str">
        <f>INDEX('Master '!$AD$2:AD$65,MATCH(D12,'Master '!$D$2:$D$65,0))</f>
        <v>Base Period</v>
      </c>
      <c r="K12" s="458">
        <f>INDEX('Master '!$N$2:N$65,MATCH(D12,'Master '!$D$2:$D$65,0))</f>
        <v>0</v>
      </c>
      <c r="L12" s="137">
        <f>INDEX('Master '!$S$2:S$65,MATCH(D12,'Master '!$D$2:$D$65,0))</f>
        <v>0</v>
      </c>
      <c r="M12" s="4">
        <f>INDEX('Master '!$W$2:W$65,MATCH(D12,'Master '!$D$2:$D$65,0))</f>
        <v>0</v>
      </c>
      <c r="N12" s="268">
        <f>SUMIF('Input 16.1_2018VOL-YTD'!$R:$R,$G12,'Input 16.1_2018VOL-YTD'!C:C)</f>
        <v>0</v>
      </c>
      <c r="O12" s="268">
        <f>SUMIF('Input 16.1_2018VOL-YTD'!$R:$R,$G12,'Input 16.1_2018VOL-YTD'!D:D)</f>
        <v>0</v>
      </c>
      <c r="P12" s="268">
        <f>SUMIF('Input 16.1_2018VOL-YTD'!$R:$R,$G12,'Input 16.1_2018VOL-YTD'!E:E)</f>
        <v>0</v>
      </c>
      <c r="Q12" s="268">
        <f>SUMIF('Input 16.1_2018VOL-YTD'!$R:$R,$G12,'Input 16.1_2018VOL-YTD'!F:F)</f>
        <v>0</v>
      </c>
      <c r="R12" s="268">
        <f>SUMIF('Input 16.1_2018VOL-YTD'!$R:$R,$G12,'Input 16.1_2018VOL-YTD'!G:G)</f>
        <v>0</v>
      </c>
      <c r="S12" s="268">
        <f>SUMIF('Input 16.1_2018VOL-YTD'!$R:$R,$G12,'Input 16.1_2018VOL-YTD'!H:H)</f>
        <v>0</v>
      </c>
      <c r="T12" s="268">
        <f>SUMIF('Input 16.1_2018VOL-YTD'!$R:$R,$G12,'Input 16.1_2018VOL-YTD'!I:I)</f>
        <v>0</v>
      </c>
      <c r="U12" s="268">
        <f>SUMIF('Input 16.1_2018VOL-YTD'!$R:$R,$G12,'Input 16.1_2018VOL-YTD'!J:J)</f>
        <v>0</v>
      </c>
      <c r="V12" s="268">
        <f>SUMIF('Input 16.1_2018VOL-YTD'!$R:$R,$G12,'Input 16.1_2018VOL-YTD'!K:K)</f>
        <v>0</v>
      </c>
      <c r="W12" s="268">
        <f>SUMIF('Input 16.1_2018VOL-YTD'!$R:$R,$G12,'Input 16.1_2018VOL-YTD'!L:L)</f>
        <v>0</v>
      </c>
      <c r="X12" s="268">
        <f>SUMIF('Input 16.1_2018VOL-YTD'!$R:$R,$G12,'Input 16.1_2018VOL-YTD'!M:M)</f>
        <v>0</v>
      </c>
      <c r="Y12" s="268">
        <f>SUMIF('Input 16.1_2018VOL-YTD'!$R:$R,$G12,'Input 16.1_2018VOL-YTD'!N:N)</f>
        <v>0</v>
      </c>
      <c r="Z12" s="268">
        <f>SUMIF('Input 3.1_2019VOL-YTD'!$R:$R,$G12,'Input 3.1_2019VOL-YTD'!C:C)</f>
        <v>0</v>
      </c>
      <c r="AA12" s="268">
        <f>SUMIF('Input 3.1_2019VOL-YTD'!$R:$R,$G12,'Input 3.1_2019VOL-YTD'!D:D)</f>
        <v>0</v>
      </c>
      <c r="AB12" s="268">
        <f>SUMIF('Input 3.1_2019VOL-YTD'!$R:$R,$G12,'Input 3.1_2019VOL-YTD'!E:E)</f>
        <v>0</v>
      </c>
      <c r="AC12" s="268">
        <f>SUMIF('Input 3.1_2019VOL-YTD'!$R:$R,$G12,'Input 3.1_2019VOL-YTD'!F:F)</f>
        <v>0</v>
      </c>
      <c r="AD12" s="268">
        <f>SUMIF('Input 3.1_2019VOL-YTD'!$R:$R,$G12,'Input 3.1_2019VOL-YTD'!G:G)</f>
        <v>0</v>
      </c>
      <c r="AE12" s="268">
        <f>SUMIF('Input 3.1_2019VOL-YTD'!$R:$R,$G12,'Input 3.1_2019VOL-YTD'!H:H)</f>
        <v>0</v>
      </c>
      <c r="AF12" s="268">
        <f>SUMIF('Input 3.1_2019VOL-YTD'!$R:$R,$G12,'Input 3.1_2019VOL-YTD'!I:I)</f>
        <v>0</v>
      </c>
      <c r="AG12" s="268">
        <f>SUMIF('Input 3.1_2019VOL-YTD'!$R:$R,$G12,'Input 3.1_2019VOL-YTD'!J:J)</f>
        <v>0</v>
      </c>
      <c r="AH12" s="268">
        <f>SUMIF('Input 3.1_2019VOL-YTD'!$R:$R,$G12,'Input 3.1_2019VOL-YTD'!K:K)</f>
        <v>0</v>
      </c>
      <c r="AI12" s="268">
        <f>SUMIF('Input 3.1_2019VOL-YTD'!$R:$R,$G12,'Input 3.1_2019VOL-YTD'!L:L)</f>
        <v>0</v>
      </c>
      <c r="AJ12" s="268">
        <f>SUMIF('Input 3.1_2019VOL-YTD'!$R:$R,$G12,'Input 3.1_2019VOL-YTD'!M:M)</f>
        <v>0</v>
      </c>
      <c r="AK12" s="268">
        <f>SUMIF('Input 3.1_2019VOL-YTD'!$R:$R,$G12,'Input 3.1_2019VOL-YTD'!N:N)</f>
        <v>0</v>
      </c>
      <c r="AL12" s="268">
        <f>SUMIF('Input 4.1_2020VOL-YTD'!$R:$R,$G12,'Input 4.1_2020VOL-YTD'!C:C)</f>
        <v>0</v>
      </c>
      <c r="AM12" s="268">
        <f>SUMIF('Input 4.1_2020VOL-YTD'!$R:$R,$G12,'Input 4.1_2020VOL-YTD'!D:D)</f>
        <v>0</v>
      </c>
      <c r="AN12" s="268">
        <f>SUMIF('Input 4.1_2020VOL-YTD'!$R:$R,$G12,'Input 4.1_2020VOL-YTD'!E:E)</f>
        <v>0</v>
      </c>
      <c r="AO12" s="268">
        <f>SUMIF('Input 4.1_2020VOL-YTD'!$R:$R,$G12,'Input 4.1_2020VOL-YTD'!F:F)</f>
        <v>0</v>
      </c>
      <c r="AP12" s="268">
        <f>SUMIF('Input 4.1_2020VOL-YTD'!$R:$R,$G12,'Input 4.1_2020VOL-YTD'!G:G)</f>
        <v>0</v>
      </c>
      <c r="AQ12" s="268">
        <f>SUMIF('Input 4.1_2020VOL-YTD'!$R:$R,$G12,'Input 4.1_2020VOL-YTD'!H:H)</f>
        <v>0</v>
      </c>
      <c r="AR12" s="268">
        <f>SUMIF('Input 4.1_2020VOL-YTD'!$R:$R,$G12,'Input 4.1_2020VOL-YTD'!I:I)</f>
        <v>0</v>
      </c>
      <c r="AS12" s="268">
        <f>SUMIF('Input 4.1_2020VOL-YTD'!$R:$R,$G12,'Input 4.1_2020VOL-YTD'!J:J)</f>
        <v>0</v>
      </c>
      <c r="AT12" s="268">
        <f>SUMIF('Input 4.1_2020VOL-YTD'!$R:$R,$G12,'Input 4.1_2020VOL-YTD'!K:K)</f>
        <v>0</v>
      </c>
      <c r="AU12" s="268">
        <f>SUMIF('Input 4.1_2020VOL-YTD'!$R:$R,$G12,'Input 4.1_2020VOL-YTD'!L:L)</f>
        <v>0</v>
      </c>
      <c r="AV12" s="268">
        <f>SUMIF('Input 4.1_2020VOL-YTD'!$R:$R,$G12,'Input 4.1_2020VOL-YTD'!M:M)</f>
        <v>0</v>
      </c>
      <c r="AW12" s="268">
        <f>SUMIF('Input 4.1_2020VOL-YTD'!$R:$R,$G12,'Input 4.1_2020VOL-YTD'!N:N)</f>
        <v>0</v>
      </c>
      <c r="AX12" s="268">
        <f>SUMIF('Input 5.1_2021VOL-YTD'!$R:$R,$G12,'Input 5.1_2021VOL-YTD'!C:C)</f>
        <v>0</v>
      </c>
      <c r="AY12" s="268">
        <f>SUMIF('Input 5.1_2021VOL-YTD'!$R:$R,$G12,'Input 5.1_2021VOL-YTD'!D:D)</f>
        <v>0</v>
      </c>
      <c r="AZ12" s="268">
        <f>SUMIF('Input 5.1_2021VOL-YTD'!$R:$R,$G12,'Input 5.1_2021VOL-YTD'!E:E)</f>
        <v>0</v>
      </c>
      <c r="BA12" s="268">
        <f>SUMIF('Input 5.1_2021VOL-YTD'!$R:$R,$G12,'Input 5.1_2021VOL-YTD'!F:F)</f>
        <v>0</v>
      </c>
      <c r="BB12" s="268">
        <f>SUMIF('Input 5.1_2021VOL-YTD'!$R:$R,$G12,'Input 5.1_2021VOL-YTD'!G:G)</f>
        <v>0</v>
      </c>
      <c r="BC12" s="268">
        <f>SUMIF('Input 5.1_2021VOL-YTD'!$R:$R,$G12,'Input 5.1_2021VOL-YTD'!H:H)</f>
        <v>0</v>
      </c>
      <c r="BD12" s="268">
        <f>SUMIF('Input 5.1_2021VOL-YTD'!$R:$R,$G12,'Input 5.1_2021VOL-YTD'!I:I)</f>
        <v>0</v>
      </c>
      <c r="BE12" s="268">
        <f>SUMIF('Input 5.1_2021VOL-YTD'!$R:$R,$G12,'Input 5.1_2021VOL-YTD'!J:J)</f>
        <v>0</v>
      </c>
      <c r="BF12" s="268">
        <f>SUMIF('Input 5.1_2021VOL-YTD'!$R:$R,$G12,'Input 5.1_2021VOL-YTD'!K:K)</f>
        <v>0</v>
      </c>
      <c r="BG12" s="268">
        <f>SUMIF('Input 5.1_2021VOL-YTD'!$R:$R,$G12,'Input 5.1_2021VOL-YTD'!L:L)</f>
        <v>0</v>
      </c>
      <c r="BH12" s="268">
        <f>SUMIF('Input 5.1_2021VOL-YTD'!$R:$R,$G12,'Input 5.1_2021VOL-YTD'!M:M)</f>
        <v>0</v>
      </c>
      <c r="BI12" s="268">
        <f>SUMIF('Input 5.1_2021VOL-YTD'!$R:$R,$G12,'Input 5.1_2021VOL-YTD'!N:N)</f>
        <v>0</v>
      </c>
      <c r="BJ12" s="483">
        <f>IFERROR(IF($J12="Historical Average",INDEX('Monthly UPC'!$CM$2:$DJ$65,MATCH($D12,'Monthly UPC'!$D$2:$D$65,0),MATCH(BJ$1,'Monthly UPC'!$CM$1:$DJ$1))*(INDEX('Monthly CUST'!$N$2:$CG$65,MATCH($D12,'Monthly CUST'!$D$2:$D$65,0),MATCH(BJ$1,'Monthly CUST'!$N$1:$CG$1,0))),IF($J12="UPC Growth Rate",((AX12/INDEX('Monthly CUST'!$N$2:$CG$65,MATCH($D12,'Monthly CUST'!$D$2:$D$65,0),MATCH(AX$1,'Monthly CUST'!$N$1:$CG$1,0)))*(1+$L12)*INDEX('Monthly CUST'!$N$2:$CG$65,MATCH($D12,'Monthly CUST'!$D$2:$D$65,0),MATCH(BJ$1,'Monthly CUST'!$N$1:$CG$1,0))),IF($J12="Modeled UPC",INDEX('Monthly CUST'!$N$2:$CG$65,MATCH($D12,'Monthly CUST'!$D$2:$D$65,0),MATCH(BJ$1,'Monthly CUST'!$N$1:$CG$1,0))/12*$M12,IF($J12="Base Period",AX12,IF($J12="Adjusted",SUMIF('Input 15_Fcst Inputs'!$A:$A,$D12,'Input 15_Fcst Inputs'!$G:$G)/12))))),0)</f>
        <v>0</v>
      </c>
      <c r="BK12" s="483">
        <f>IFERROR(IF($J12="Historical Average",INDEX('Monthly UPC'!$CM$2:$DJ$65,MATCH($D12,'Monthly UPC'!$D$2:$D$65,0),MATCH(BK$1,'Monthly UPC'!$CM$1:$DJ$1))*(INDEX('Monthly CUST'!$N$2:$CG$65,MATCH($D12,'Monthly CUST'!$D$2:$D$65,0),MATCH(BK$1,'Monthly CUST'!$N$1:$CG$1,0))),IF($J12="UPC Growth Rate",((AY12/INDEX('Monthly CUST'!$N$2:$CG$65,MATCH($D12,'Monthly CUST'!$D$2:$D$65,0),MATCH(AY$1,'Monthly CUST'!$N$1:$CG$1,0)))*(1+$L12)*INDEX('Monthly CUST'!$N$2:$CG$65,MATCH($D12,'Monthly CUST'!$D$2:$D$65,0),MATCH(BK$1,'Monthly CUST'!$N$1:$CG$1,0))),IF($J12="Modeled UPC",INDEX('Monthly CUST'!$N$2:$CG$65,MATCH($D12,'Monthly CUST'!$D$2:$D$65,0),MATCH(BK$1,'Monthly CUST'!$N$1:$CG$1,0))/12*$M12,IF($J12="Base Period",AY12,IF($J12="Adjusted",SUMIF('Input 15_Fcst Inputs'!$A:$A,$D12,'Input 15_Fcst Inputs'!$G:$G)/12))))),0)</f>
        <v>0</v>
      </c>
      <c r="BL12" s="483">
        <f>IFERROR(IF($J12="Historical Average",INDEX('Monthly UPC'!$CM$2:$DJ$65,MATCH($D12,'Monthly UPC'!$D$2:$D$65,0),MATCH(BL$1,'Monthly UPC'!$CM$1:$DJ$1))*(INDEX('Monthly CUST'!$N$2:$CG$65,MATCH($D12,'Monthly CUST'!$D$2:$D$65,0),MATCH(BL$1,'Monthly CUST'!$N$1:$CG$1,0))),IF($J12="UPC Growth Rate",((AZ12/INDEX('Monthly CUST'!$N$2:$CG$65,MATCH($D12,'Monthly CUST'!$D$2:$D$65,0),MATCH(AZ$1,'Monthly CUST'!$N$1:$CG$1,0)))*(1+$L12)*INDEX('Monthly CUST'!$N$2:$CG$65,MATCH($D12,'Monthly CUST'!$D$2:$D$65,0),MATCH(BL$1,'Monthly CUST'!$N$1:$CG$1,0))),IF($J12="Modeled UPC",INDEX('Monthly CUST'!$N$2:$CG$65,MATCH($D12,'Monthly CUST'!$D$2:$D$65,0),MATCH(BL$1,'Monthly CUST'!$N$1:$CG$1,0))/12*$M12,IF($J12="Base Period",AZ12,IF($J12="Adjusted",SUMIF('Input 15_Fcst Inputs'!$A:$A,$D12,'Input 15_Fcst Inputs'!$G:$G)/12))))),0)</f>
        <v>0</v>
      </c>
      <c r="BM12" s="483">
        <f>IFERROR(IF($J12="Historical Average",INDEX('Monthly UPC'!$CM$2:$DJ$65,MATCH($D12,'Monthly UPC'!$D$2:$D$65,0),MATCH(BM$1,'Monthly UPC'!$CM$1:$DJ$1))*(INDEX('Monthly CUST'!$N$2:$CG$65,MATCH($D12,'Monthly CUST'!$D$2:$D$65,0),MATCH(BM$1,'Monthly CUST'!$N$1:$CG$1,0))),IF($J12="UPC Growth Rate",((BA12/INDEX('Monthly CUST'!$N$2:$CG$65,MATCH($D12,'Monthly CUST'!$D$2:$D$65,0),MATCH(BA$1,'Monthly CUST'!$N$1:$CG$1,0)))*(1+$L12)*INDEX('Monthly CUST'!$N$2:$CG$65,MATCH($D12,'Monthly CUST'!$D$2:$D$65,0),MATCH(BM$1,'Monthly CUST'!$N$1:$CG$1,0))),IF($J12="Modeled UPC",INDEX('Monthly CUST'!$N$2:$CG$65,MATCH($D12,'Monthly CUST'!$D$2:$D$65,0),MATCH(BM$1,'Monthly CUST'!$N$1:$CG$1,0))/12*$M12,IF($J12="Base Period",BA12,IF($J12="Adjusted",SUMIF('Input 15_Fcst Inputs'!$A:$A,$D12,'Input 15_Fcst Inputs'!$G:$G)/12))))),0)</f>
        <v>0</v>
      </c>
      <c r="BN12" s="483">
        <f>IFERROR(IF($J12="Historical Average",INDEX('Monthly UPC'!$CM$2:$DJ$65,MATCH($D12,'Monthly UPC'!$D$2:$D$65,0),MATCH(BN$1,'Monthly UPC'!$CM$1:$DJ$1))*(INDEX('Monthly CUST'!$N$2:$CG$65,MATCH($D12,'Monthly CUST'!$D$2:$D$65,0),MATCH(BN$1,'Monthly CUST'!$N$1:$CG$1,0))),IF($J12="UPC Growth Rate",((BB12/INDEX('Monthly CUST'!$N$2:$CG$65,MATCH($D12,'Monthly CUST'!$D$2:$D$65,0),MATCH(BB$1,'Monthly CUST'!$N$1:$CG$1,0)))*(1+$L12)*INDEX('Monthly CUST'!$N$2:$CG$65,MATCH($D12,'Monthly CUST'!$D$2:$D$65,0),MATCH(BN$1,'Monthly CUST'!$N$1:$CG$1,0))),IF($J12="Modeled UPC",INDEX('Monthly CUST'!$N$2:$CG$65,MATCH($D12,'Monthly CUST'!$D$2:$D$65,0),MATCH(BN$1,'Monthly CUST'!$N$1:$CG$1,0))/12*$M12,IF($J12="Base Period",BB12,IF($J12="Adjusted",SUMIF('Input 15_Fcst Inputs'!$A:$A,$D12,'Input 15_Fcst Inputs'!$G:$G)/12))))),0)</f>
        <v>0</v>
      </c>
      <c r="BO12" s="483">
        <f>IFERROR(IF($J12="Historical Average",INDEX('Monthly UPC'!$CM$2:$DJ$65,MATCH($D12,'Monthly UPC'!$D$2:$D$65,0),MATCH(BO$1,'Monthly UPC'!$CM$1:$DJ$1))*(INDEX('Monthly CUST'!$N$2:$CG$65,MATCH($D12,'Monthly CUST'!$D$2:$D$65,0),MATCH(BO$1,'Monthly CUST'!$N$1:$CG$1,0))),IF($J12="UPC Growth Rate",((BC12/INDEX('Monthly CUST'!$N$2:$CG$65,MATCH($D12,'Monthly CUST'!$D$2:$D$65,0),MATCH(BC$1,'Monthly CUST'!$N$1:$CG$1,0)))*(1+$L12)*INDEX('Monthly CUST'!$N$2:$CG$65,MATCH($D12,'Monthly CUST'!$D$2:$D$65,0),MATCH(BO$1,'Monthly CUST'!$N$1:$CG$1,0))),IF($J12="Modeled UPC",INDEX('Monthly CUST'!$N$2:$CG$65,MATCH($D12,'Monthly CUST'!$D$2:$D$65,0),MATCH(BO$1,'Monthly CUST'!$N$1:$CG$1,0))/12*$M12,IF($J12="Base Period",BC12,IF($J12="Adjusted",SUMIF('Input 15_Fcst Inputs'!$A:$A,$D12,'Input 15_Fcst Inputs'!$G:$G)/12))))),0)</f>
        <v>0</v>
      </c>
      <c r="BP12" s="483">
        <f>IFERROR(IF($J12="Historical Average",INDEX('Monthly UPC'!$CM$2:$DJ$65,MATCH($D12,'Monthly UPC'!$D$2:$D$65,0),MATCH(BP$1,'Monthly UPC'!$CM$1:$DJ$1))*(INDEX('Monthly CUST'!$N$2:$CG$65,MATCH($D12,'Monthly CUST'!$D$2:$D$65,0),MATCH(BP$1,'Monthly CUST'!$N$1:$CG$1,0))),IF($J12="UPC Growth Rate",((BD12/INDEX('Monthly CUST'!$N$2:$CG$65,MATCH($D12,'Monthly CUST'!$D$2:$D$65,0),MATCH(BD$1,'Monthly CUST'!$N$1:$CG$1,0)))*(1+$L12)*INDEX('Monthly CUST'!$N$2:$CG$65,MATCH($D12,'Monthly CUST'!$D$2:$D$65,0),MATCH(BP$1,'Monthly CUST'!$N$1:$CG$1,0))),IF($J12="Modeled UPC",INDEX('Monthly CUST'!$N$2:$CG$65,MATCH($D12,'Monthly CUST'!$D$2:$D$65,0),MATCH(BP$1,'Monthly CUST'!$N$1:$CG$1,0))/12*$M12,IF($J12="Base Period",BD12,IF($J12="Adjusted",SUMIF('Input 15_Fcst Inputs'!$A:$A,$D12,'Input 15_Fcst Inputs'!$G:$G)/12))))),0)</f>
        <v>0</v>
      </c>
      <c r="BQ12" s="483">
        <f>IFERROR(IF($J12="Historical Average",INDEX('Monthly UPC'!$CM$2:$DJ$65,MATCH($D12,'Monthly UPC'!$D$2:$D$65,0),MATCH(BQ$1,'Monthly UPC'!$CM$1:$DJ$1))*(INDEX('Monthly CUST'!$N$2:$CG$65,MATCH($D12,'Monthly CUST'!$D$2:$D$65,0),MATCH(BQ$1,'Monthly CUST'!$N$1:$CG$1,0))),IF($J12="UPC Growth Rate",((BE12/INDEX('Monthly CUST'!$N$2:$CG$65,MATCH($D12,'Monthly CUST'!$D$2:$D$65,0),MATCH(BE$1,'Monthly CUST'!$N$1:$CG$1,0)))*(1+$L12)*INDEX('Monthly CUST'!$N$2:$CG$65,MATCH($D12,'Monthly CUST'!$D$2:$D$65,0),MATCH(BQ$1,'Monthly CUST'!$N$1:$CG$1,0))),IF($J12="Modeled UPC",INDEX('Monthly CUST'!$N$2:$CG$65,MATCH($D12,'Monthly CUST'!$D$2:$D$65,0),MATCH(BQ$1,'Monthly CUST'!$N$1:$CG$1,0))/12*$M12,IF($J12="Base Period",BE12,IF($J12="Adjusted",SUMIF('Input 15_Fcst Inputs'!$A:$A,$D12,'Input 15_Fcst Inputs'!$G:$G)/12))))),0)</f>
        <v>0</v>
      </c>
      <c r="BR12" s="483">
        <f>IFERROR(IF($J12="Historical Average",INDEX('Monthly UPC'!$CM$2:$DJ$65,MATCH($D12,'Monthly UPC'!$D$2:$D$65,0),MATCH(BR$1,'Monthly UPC'!$CM$1:$DJ$1))*(INDEX('Monthly CUST'!$N$2:$CG$65,MATCH($D12,'Monthly CUST'!$D$2:$D$65,0),MATCH(BR$1,'Monthly CUST'!$N$1:$CG$1,0))),IF($J12="UPC Growth Rate",((BF12/INDEX('Monthly CUST'!$N$2:$CG$65,MATCH($D12,'Monthly CUST'!$D$2:$D$65,0),MATCH(BF$1,'Monthly CUST'!$N$1:$CG$1,0)))*(1+$L12)*INDEX('Monthly CUST'!$N$2:$CG$65,MATCH($D12,'Monthly CUST'!$D$2:$D$65,0),MATCH(BR$1,'Monthly CUST'!$N$1:$CG$1,0))),IF($J12="Modeled UPC",INDEX('Monthly CUST'!$N$2:$CG$65,MATCH($D12,'Monthly CUST'!$D$2:$D$65,0),MATCH(BR$1,'Monthly CUST'!$N$1:$CG$1,0))/12*$M12,IF($J12="Base Period",BF12,IF($J12="Adjusted",SUMIF('Input 15_Fcst Inputs'!$A:$A,$D12,'Input 15_Fcst Inputs'!$G:$G)/12))))),0)</f>
        <v>0</v>
      </c>
      <c r="BS12" s="483">
        <f>IFERROR(IF($J12="Historical Average",INDEX('Monthly UPC'!$CM$2:$DJ$65,MATCH($D12,'Monthly UPC'!$D$2:$D$65,0),MATCH(BS$1,'Monthly UPC'!$CM$1:$DJ$1))*(INDEX('Monthly CUST'!$N$2:$CG$65,MATCH($D12,'Monthly CUST'!$D$2:$D$65,0),MATCH(BS$1,'Monthly CUST'!$N$1:$CG$1,0))),IF($J12="UPC Growth Rate",((BG12/INDEX('Monthly CUST'!$N$2:$CG$65,MATCH($D12,'Monthly CUST'!$D$2:$D$65,0),MATCH(BG$1,'Monthly CUST'!$N$1:$CG$1,0)))*(1+$L12)*INDEX('Monthly CUST'!$N$2:$CG$65,MATCH($D12,'Monthly CUST'!$D$2:$D$65,0),MATCH(BS$1,'Monthly CUST'!$N$1:$CG$1,0))),IF($J12="Modeled UPC",INDEX('Monthly CUST'!$N$2:$CG$65,MATCH($D12,'Monthly CUST'!$D$2:$D$65,0),MATCH(BS$1,'Monthly CUST'!$N$1:$CG$1,0))/12*$M12,IF($J12="Base Period",BG12,IF($J12="Adjusted",SUMIF('Input 15_Fcst Inputs'!$A:$A,$D12,'Input 15_Fcst Inputs'!$G:$G)/12))))),0)</f>
        <v>0</v>
      </c>
      <c r="BT12" s="483">
        <f>IFERROR(IF($J12="Historical Average",INDEX('Monthly UPC'!$CM$2:$DJ$65,MATCH($D12,'Monthly UPC'!$D$2:$D$65,0),MATCH(BT$1,'Monthly UPC'!$CM$1:$DJ$1))*(INDEX('Monthly CUST'!$N$2:$CG$65,MATCH($D12,'Monthly CUST'!$D$2:$D$65,0),MATCH(BT$1,'Monthly CUST'!$N$1:$CG$1,0))),IF($J12="UPC Growth Rate",((BH12/INDEX('Monthly CUST'!$N$2:$CG$65,MATCH($D12,'Monthly CUST'!$D$2:$D$65,0),MATCH(BH$1,'Monthly CUST'!$N$1:$CG$1,0)))*(1+$L12)*INDEX('Monthly CUST'!$N$2:$CG$65,MATCH($D12,'Monthly CUST'!$D$2:$D$65,0),MATCH(BT$1,'Monthly CUST'!$N$1:$CG$1,0))),IF($J12="Modeled UPC",INDEX('Monthly CUST'!$N$2:$CG$65,MATCH($D12,'Monthly CUST'!$D$2:$D$65,0),MATCH(BT$1,'Monthly CUST'!$N$1:$CG$1,0))/12*$M12,IF($J12="Base Period",BH12,IF($J12="Adjusted",SUMIF('Input 15_Fcst Inputs'!$A:$A,$D12,'Input 15_Fcst Inputs'!$G:$G)/12))))),0)</f>
        <v>0</v>
      </c>
      <c r="BU12" s="483">
        <f>IFERROR(IF($J12="Historical Average",INDEX('Monthly UPC'!$CM$2:$DJ$65,MATCH($D12,'Monthly UPC'!$D$2:$D$65,0),MATCH(BU$1,'Monthly UPC'!$CM$1:$DJ$1))*(INDEX('Monthly CUST'!$N$2:$CG$65,MATCH($D12,'Monthly CUST'!$D$2:$D$65,0),MATCH(BU$1,'Monthly CUST'!$N$1:$CG$1,0))),IF($J12="UPC Growth Rate",((BI12/INDEX('Monthly CUST'!$N$2:$CG$65,MATCH($D12,'Monthly CUST'!$D$2:$D$65,0),MATCH(BI$1,'Monthly CUST'!$N$1:$CG$1,0)))*(1+$L12)*INDEX('Monthly CUST'!$N$2:$CG$65,MATCH($D12,'Monthly CUST'!$D$2:$D$65,0),MATCH(BU$1,'Monthly CUST'!$N$1:$CG$1,0))),IF($J12="Modeled UPC",INDEX('Monthly CUST'!$N$2:$CG$65,MATCH($D12,'Monthly CUST'!$D$2:$D$65,0),MATCH(BU$1,'Monthly CUST'!$N$1:$CG$1,0))/12*$M12,IF($J12="Base Period",BI12,IF($J12="Adjusted",SUMIF('Input 15_Fcst Inputs'!$A:$A,$D12,'Input 15_Fcst Inputs'!$G:$G)/12))))),0)</f>
        <v>0</v>
      </c>
      <c r="BV12" s="483">
        <f>IFERROR(IF($J12="Historical Average",INDEX('Monthly UPC'!$CM$2:$DJ$65,MATCH($D12,'Monthly UPC'!$D$2:$D$65,0),MATCH(BV$1,'Monthly UPC'!$CM$1:$DJ$1))*(INDEX('Monthly CUST'!$N$2:$CG$65,MATCH($D12,'Monthly CUST'!$D$2:$D$65,0),MATCH(BV$1,'Monthly CUST'!$N$1:$CG$1,0))),IF($J12="UPC Growth Rate",((BJ12/INDEX('Monthly CUST'!$N$2:$CG$65,MATCH($D12,'Monthly CUST'!$D$2:$D$65,0),MATCH(BJ$1,'Monthly CUST'!$N$1:$CG$1,0)))*(1+$L12)*INDEX('Monthly CUST'!$N$2:$CG$65,MATCH($D12,'Monthly CUST'!$D$2:$D$65,0),MATCH(BV$1,'Monthly CUST'!$N$1:$CG$1,0))),IF($J12="Modeled UPC",INDEX('Monthly CUST'!$N$2:$CG$65,MATCH($D12,'Monthly CUST'!$D$2:$D$65,0),MATCH(BV$1,'Monthly CUST'!$N$1:$CG$1,0))/12*$M12,IF($J12="Base Period",BJ12,IF($J12="Adjusted",SUMIF('Input 15_Fcst Inputs'!$A:$A,$D12,'Input 15_Fcst Inputs'!$G:$G)/12))))),0)</f>
        <v>0</v>
      </c>
      <c r="BW12" s="483">
        <f>IFERROR(IF($J12="Historical Average",INDEX('Monthly UPC'!$CM$2:$DJ$65,MATCH($D12,'Monthly UPC'!$D$2:$D$65,0),MATCH(BW$1,'Monthly UPC'!$CM$1:$DJ$1))*(INDEX('Monthly CUST'!$N$2:$CG$65,MATCH($D12,'Monthly CUST'!$D$2:$D$65,0),MATCH(BW$1,'Monthly CUST'!$N$1:$CG$1,0))),IF($J12="UPC Growth Rate",((BK12/INDEX('Monthly CUST'!$N$2:$CG$65,MATCH($D12,'Monthly CUST'!$D$2:$D$65,0),MATCH(BK$1,'Monthly CUST'!$N$1:$CG$1,0)))*(1+$L12)*INDEX('Monthly CUST'!$N$2:$CG$65,MATCH($D12,'Monthly CUST'!$D$2:$D$65,0),MATCH(BW$1,'Monthly CUST'!$N$1:$CG$1,0))),IF($J12="Modeled UPC",INDEX('Monthly CUST'!$N$2:$CG$65,MATCH($D12,'Monthly CUST'!$D$2:$D$65,0),MATCH(BW$1,'Monthly CUST'!$N$1:$CG$1,0))/12*$M12,IF($J12="Base Period",BK12,IF($J12="Adjusted",SUMIF('Input 15_Fcst Inputs'!$A:$A,$D12,'Input 15_Fcst Inputs'!$G:$G)/12))))),0)</f>
        <v>0</v>
      </c>
      <c r="BX12" s="483">
        <f>IFERROR(IF($J12="Historical Average",INDEX('Monthly UPC'!$CM$2:$DJ$65,MATCH($D12,'Monthly UPC'!$D$2:$D$65,0),MATCH(BX$1,'Monthly UPC'!$CM$1:$DJ$1))*(INDEX('Monthly CUST'!$N$2:$CG$65,MATCH($D12,'Monthly CUST'!$D$2:$D$65,0),MATCH(BX$1,'Monthly CUST'!$N$1:$CG$1,0))),IF($J12="UPC Growth Rate",((BL12/INDEX('Monthly CUST'!$N$2:$CG$65,MATCH($D12,'Monthly CUST'!$D$2:$D$65,0),MATCH(BL$1,'Monthly CUST'!$N$1:$CG$1,0)))*(1+$L12)*INDEX('Monthly CUST'!$N$2:$CG$65,MATCH($D12,'Monthly CUST'!$D$2:$D$65,0),MATCH(BX$1,'Monthly CUST'!$N$1:$CG$1,0))),IF($J12="Modeled UPC",INDEX('Monthly CUST'!$N$2:$CG$65,MATCH($D12,'Monthly CUST'!$D$2:$D$65,0),MATCH(BX$1,'Monthly CUST'!$N$1:$CG$1,0))/12*$M12,IF($J12="Base Period",BL12,IF($J12="Adjusted",SUMIF('Input 15_Fcst Inputs'!$A:$A,$D12,'Input 15_Fcst Inputs'!$G:$G)/12))))),0)</f>
        <v>0</v>
      </c>
      <c r="BY12" s="483">
        <f>IFERROR(IF($J12="Historical Average",INDEX('Monthly UPC'!$CM$2:$DJ$65,MATCH($D12,'Monthly UPC'!$D$2:$D$65,0),MATCH(BY$1,'Monthly UPC'!$CM$1:$DJ$1))*(INDEX('Monthly CUST'!$N$2:$CG$65,MATCH($D12,'Monthly CUST'!$D$2:$D$65,0),MATCH(BY$1,'Monthly CUST'!$N$1:$CG$1,0))),IF($J12="UPC Growth Rate",((BM12/INDEX('Monthly CUST'!$N$2:$CG$65,MATCH($D12,'Monthly CUST'!$D$2:$D$65,0),MATCH(BM$1,'Monthly CUST'!$N$1:$CG$1,0)))*(1+$L12)*INDEX('Monthly CUST'!$N$2:$CG$65,MATCH($D12,'Monthly CUST'!$D$2:$D$65,0),MATCH(BY$1,'Monthly CUST'!$N$1:$CG$1,0))),IF($J12="Modeled UPC",INDEX('Monthly CUST'!$N$2:$CG$65,MATCH($D12,'Monthly CUST'!$D$2:$D$65,0),MATCH(BY$1,'Monthly CUST'!$N$1:$CG$1,0))/12*$M12,IF($J12="Base Period",BM12,IF($J12="Adjusted",SUMIF('Input 15_Fcst Inputs'!$A:$A,$D12,'Input 15_Fcst Inputs'!$G:$G)/12))))),0)</f>
        <v>0</v>
      </c>
      <c r="BZ12" s="483">
        <f>IFERROR(IF($J12="Historical Average",INDEX('Monthly UPC'!$CM$2:$DJ$65,MATCH($D12,'Monthly UPC'!$D$2:$D$65,0),MATCH(BZ$1,'Monthly UPC'!$CM$1:$DJ$1))*(INDEX('Monthly CUST'!$N$2:$CG$65,MATCH($D12,'Monthly CUST'!$D$2:$D$65,0),MATCH(BZ$1,'Monthly CUST'!$N$1:$CG$1,0))),IF($J12="UPC Growth Rate",((BN12/INDEX('Monthly CUST'!$N$2:$CG$65,MATCH($D12,'Monthly CUST'!$D$2:$D$65,0),MATCH(BN$1,'Monthly CUST'!$N$1:$CG$1,0)))*(1+$L12)*INDEX('Monthly CUST'!$N$2:$CG$65,MATCH($D12,'Monthly CUST'!$D$2:$D$65,0),MATCH(BZ$1,'Monthly CUST'!$N$1:$CG$1,0))),IF($J12="Modeled UPC",INDEX('Monthly CUST'!$N$2:$CG$65,MATCH($D12,'Monthly CUST'!$D$2:$D$65,0),MATCH(BZ$1,'Monthly CUST'!$N$1:$CG$1,0))/12*$M12,IF($J12="Base Period",BN12,IF($J12="Adjusted",SUMIF('Input 15_Fcst Inputs'!$A:$A,$D12,'Input 15_Fcst Inputs'!$G:$G)/12))))),0)</f>
        <v>0</v>
      </c>
      <c r="CA12" s="483">
        <f>IFERROR(IF($J12="Historical Average",INDEX('Monthly UPC'!$CM$2:$DJ$65,MATCH($D12,'Monthly UPC'!$D$2:$D$65,0),MATCH(CA$1,'Monthly UPC'!$CM$1:$DJ$1))*(INDEX('Monthly CUST'!$N$2:$CG$65,MATCH($D12,'Monthly CUST'!$D$2:$D$65,0),MATCH(CA$1,'Monthly CUST'!$N$1:$CG$1,0))),IF($J12="UPC Growth Rate",((BO12/INDEX('Monthly CUST'!$N$2:$CG$65,MATCH($D12,'Monthly CUST'!$D$2:$D$65,0),MATCH(BO$1,'Monthly CUST'!$N$1:$CG$1,0)))*(1+$L12)*INDEX('Monthly CUST'!$N$2:$CG$65,MATCH($D12,'Monthly CUST'!$D$2:$D$65,0),MATCH(CA$1,'Monthly CUST'!$N$1:$CG$1,0))),IF($J12="Modeled UPC",INDEX('Monthly CUST'!$N$2:$CG$65,MATCH($D12,'Monthly CUST'!$D$2:$D$65,0),MATCH(CA$1,'Monthly CUST'!$N$1:$CG$1,0))/12*$M12,IF($J12="Base Period",BO12,IF($J12="Adjusted",SUMIF('Input 15_Fcst Inputs'!$A:$A,$D12,'Input 15_Fcst Inputs'!$G:$G)/12))))),0)</f>
        <v>0</v>
      </c>
      <c r="CB12" s="483">
        <f>IFERROR(IF($J12="Historical Average",INDEX('Monthly UPC'!$CM$2:$DJ$65,MATCH($D12,'Monthly UPC'!$D$2:$D$65,0),MATCH(CB$1,'Monthly UPC'!$CM$1:$DJ$1))*(INDEX('Monthly CUST'!$N$2:$CG$65,MATCH($D12,'Monthly CUST'!$D$2:$D$65,0),MATCH(CB$1,'Monthly CUST'!$N$1:$CG$1,0))),IF($J12="UPC Growth Rate",((BP12/INDEX('Monthly CUST'!$N$2:$CG$65,MATCH($D12,'Monthly CUST'!$D$2:$D$65,0),MATCH(BP$1,'Monthly CUST'!$N$1:$CG$1,0)))*(1+$L12)*INDEX('Monthly CUST'!$N$2:$CG$65,MATCH($D12,'Monthly CUST'!$D$2:$D$65,0),MATCH(CB$1,'Monthly CUST'!$N$1:$CG$1,0))),IF($J12="Modeled UPC",INDEX('Monthly CUST'!$N$2:$CG$65,MATCH($D12,'Monthly CUST'!$D$2:$D$65,0),MATCH(CB$1,'Monthly CUST'!$N$1:$CG$1,0))/12*$M12,IF($J12="Base Period",BP12,IF($J12="Adjusted",SUMIF('Input 15_Fcst Inputs'!$A:$A,$D12,'Input 15_Fcst Inputs'!$G:$G)/12))))),0)</f>
        <v>0</v>
      </c>
      <c r="CC12" s="483">
        <f>IFERROR(IF($J12="Historical Average",INDEX('Monthly UPC'!$CM$2:$DJ$65,MATCH($D12,'Monthly UPC'!$D$2:$D$65,0),MATCH(CC$1,'Monthly UPC'!$CM$1:$DJ$1))*(INDEX('Monthly CUST'!$N$2:$CG$65,MATCH($D12,'Monthly CUST'!$D$2:$D$65,0),MATCH(CC$1,'Monthly CUST'!$N$1:$CG$1,0))),IF($J12="UPC Growth Rate",((BQ12/INDEX('Monthly CUST'!$N$2:$CG$65,MATCH($D12,'Monthly CUST'!$D$2:$D$65,0),MATCH(BQ$1,'Monthly CUST'!$N$1:$CG$1,0)))*(1+$L12)*INDEX('Monthly CUST'!$N$2:$CG$65,MATCH($D12,'Monthly CUST'!$D$2:$D$65,0),MATCH(CC$1,'Monthly CUST'!$N$1:$CG$1,0))),IF($J12="Modeled UPC",INDEX('Monthly CUST'!$N$2:$CG$65,MATCH($D12,'Monthly CUST'!$D$2:$D$65,0),MATCH(CC$1,'Monthly CUST'!$N$1:$CG$1,0))/12*$M12,IF($J12="Base Period",BQ12,IF($J12="Adjusted",SUMIF('Input 15_Fcst Inputs'!$A:$A,$D12,'Input 15_Fcst Inputs'!$G:$G)/12))))),0)</f>
        <v>0</v>
      </c>
      <c r="CD12" s="483">
        <f>IFERROR(IF($J12="Historical Average",INDEX('Monthly UPC'!$CM$2:$DJ$65,MATCH($D12,'Monthly UPC'!$D$2:$D$65,0),MATCH(CD$1,'Monthly UPC'!$CM$1:$DJ$1))*(INDEX('Monthly CUST'!$N$2:$CG$65,MATCH($D12,'Monthly CUST'!$D$2:$D$65,0),MATCH(CD$1,'Monthly CUST'!$N$1:$CG$1,0))),IF($J12="UPC Growth Rate",((BR12/INDEX('Monthly CUST'!$N$2:$CG$65,MATCH($D12,'Monthly CUST'!$D$2:$D$65,0),MATCH(BR$1,'Monthly CUST'!$N$1:$CG$1,0)))*(1+$L12)*INDEX('Monthly CUST'!$N$2:$CG$65,MATCH($D12,'Monthly CUST'!$D$2:$D$65,0),MATCH(CD$1,'Monthly CUST'!$N$1:$CG$1,0))),IF($J12="Modeled UPC",INDEX('Monthly CUST'!$N$2:$CG$65,MATCH($D12,'Monthly CUST'!$D$2:$D$65,0),MATCH(CD$1,'Monthly CUST'!$N$1:$CG$1,0))/12*$M12,IF($J12="Base Period",BR12,IF($J12="Adjusted",SUMIF('Input 15_Fcst Inputs'!$A:$A,$D12,'Input 15_Fcst Inputs'!$G:$G)/12))))),0)</f>
        <v>0</v>
      </c>
      <c r="CE12" s="483">
        <f>IFERROR(IF($J12="Historical Average",INDEX('Monthly UPC'!$CM$2:$DJ$65,MATCH($D12,'Monthly UPC'!$D$2:$D$65,0),MATCH(CE$1,'Monthly UPC'!$CM$1:$DJ$1))*(INDEX('Monthly CUST'!$N$2:$CG$65,MATCH($D12,'Monthly CUST'!$D$2:$D$65,0),MATCH(CE$1,'Monthly CUST'!$N$1:$CG$1,0))),IF($J12="UPC Growth Rate",((BS12/INDEX('Monthly CUST'!$N$2:$CG$65,MATCH($D12,'Monthly CUST'!$D$2:$D$65,0),MATCH(BS$1,'Monthly CUST'!$N$1:$CG$1,0)))*(1+$L12)*INDEX('Monthly CUST'!$N$2:$CG$65,MATCH($D12,'Monthly CUST'!$D$2:$D$65,0),MATCH(CE$1,'Monthly CUST'!$N$1:$CG$1,0))),IF($J12="Modeled UPC",INDEX('Monthly CUST'!$N$2:$CG$65,MATCH($D12,'Monthly CUST'!$D$2:$D$65,0),MATCH(CE$1,'Monthly CUST'!$N$1:$CG$1,0))/12*$M12,IF($J12="Base Period",BS12,IF($J12="Adjusted",SUMIF('Input 15_Fcst Inputs'!$A:$A,$D12,'Input 15_Fcst Inputs'!$G:$G)/12))))),0)</f>
        <v>0</v>
      </c>
      <c r="CF12" s="483">
        <f>IFERROR(IF($J12="Historical Average",INDEX('Monthly UPC'!$CM$2:$DJ$65,MATCH($D12,'Monthly UPC'!$D$2:$D$65,0),MATCH(CF$1,'Monthly UPC'!$CM$1:$DJ$1))*(INDEX('Monthly CUST'!$N$2:$CG$65,MATCH($D12,'Monthly CUST'!$D$2:$D$65,0),MATCH(CF$1,'Monthly CUST'!$N$1:$CG$1,0))),IF($J12="UPC Growth Rate",((BT12/INDEX('Monthly CUST'!$N$2:$CG$65,MATCH($D12,'Monthly CUST'!$D$2:$D$65,0),MATCH(BT$1,'Monthly CUST'!$N$1:$CG$1,0)))*(1+$L12)*INDEX('Monthly CUST'!$N$2:$CG$65,MATCH($D12,'Monthly CUST'!$D$2:$D$65,0),MATCH(CF$1,'Monthly CUST'!$N$1:$CG$1,0))),IF($J12="Modeled UPC",INDEX('Monthly CUST'!$N$2:$CG$65,MATCH($D12,'Monthly CUST'!$D$2:$D$65,0),MATCH(CF$1,'Monthly CUST'!$N$1:$CG$1,0))/12*$M12,IF($J12="Base Period",BT12,IF($J12="Adjusted",SUMIF('Input 15_Fcst Inputs'!$A:$A,$D12,'Input 15_Fcst Inputs'!$G:$G)/12))))),0)</f>
        <v>0</v>
      </c>
      <c r="CG12" s="483">
        <f>IFERROR(IF($J12="Historical Average",INDEX('Monthly UPC'!$CM$2:$DJ$65,MATCH($D12,'Monthly UPC'!$D$2:$D$65,0),MATCH(CG$1,'Monthly UPC'!$CM$1:$DJ$1))*(INDEX('Monthly CUST'!$N$2:$CG$65,MATCH($D12,'Monthly CUST'!$D$2:$D$65,0),MATCH(CG$1,'Monthly CUST'!$N$1:$CG$1,0))),IF($J12="UPC Growth Rate",((BU12/INDEX('Monthly CUST'!$N$2:$CG$65,MATCH($D12,'Monthly CUST'!$D$2:$D$65,0),MATCH(BU$1,'Monthly CUST'!$N$1:$CG$1,0)))*(1+$L12)*INDEX('Monthly CUST'!$N$2:$CG$65,MATCH($D12,'Monthly CUST'!$D$2:$D$65,0),MATCH(CG$1,'Monthly CUST'!$N$1:$CG$1,0))),IF($J12="Modeled UPC",INDEX('Monthly CUST'!$N$2:$CG$65,MATCH($D12,'Monthly CUST'!$D$2:$D$65,0),MATCH(CG$1,'Monthly CUST'!$N$1:$CG$1,0))/12*$M12,IF($J12="Base Period",BU12,IF($J12="Adjusted",SUMIF('Input 15_Fcst Inputs'!$A:$A,$D12,'Input 15_Fcst Inputs'!$G:$G)/12))))),0)</f>
        <v>0</v>
      </c>
      <c r="CH12" s="197"/>
      <c r="CI12" s="197">
        <f t="shared" si="0"/>
        <v>0</v>
      </c>
      <c r="CJ12" s="197">
        <f t="shared" si="1"/>
        <v>0</v>
      </c>
      <c r="CK12" s="197">
        <f t="shared" si="2"/>
        <v>0</v>
      </c>
      <c r="CL12" s="197">
        <f t="shared" si="3"/>
        <v>0</v>
      </c>
      <c r="CM12" s="197">
        <f t="shared" si="4"/>
        <v>0</v>
      </c>
      <c r="CN12" s="197">
        <f t="shared" si="5"/>
        <v>0</v>
      </c>
      <c r="CP12" s="4">
        <f>SUMIF('Master '!D:D,D12,'Master '!AH:AH)</f>
        <v>0</v>
      </c>
      <c r="CQ12" s="4">
        <f>SUMIF('Master '!D:D,D12,'Master '!AI:AI)</f>
        <v>0</v>
      </c>
      <c r="CR12" s="197">
        <f t="shared" si="6"/>
        <v>0</v>
      </c>
      <c r="CS12" s="197">
        <f t="shared" si="7"/>
        <v>0</v>
      </c>
      <c r="CT12" t="s">
        <v>287</v>
      </c>
      <c r="CV12">
        <f>VLOOKUP(G12,'Master '!G:CC,75,FALSE)</f>
        <v>0</v>
      </c>
    </row>
    <row r="13" spans="1:100">
      <c r="A13" s="53" t="s">
        <v>996</v>
      </c>
      <c r="B13" s="53" t="s">
        <v>993</v>
      </c>
      <c r="C13" s="53" t="s">
        <v>1245</v>
      </c>
      <c r="D13" s="53" t="s">
        <v>103</v>
      </c>
      <c r="E13" s="53" t="str">
        <f>VLOOKUP(D13,'Input 14_Ref Table'!C:D,2,FALSE)</f>
        <v>FMPT1</v>
      </c>
      <c r="F13" s="143" t="s">
        <v>1286</v>
      </c>
      <c r="G13" s="53" t="str">
        <f>VLOOKUP(D13,'Input 14_Ref Table'!C:I,7,FALSE)</f>
        <v>GTNGV</v>
      </c>
      <c r="H13" s="53" t="str">
        <f>VLOOKUP(D13,'Input 14_Ref Table'!C:K,8,FALSE)</f>
        <v>Base Period</v>
      </c>
      <c r="I13" s="53"/>
      <c r="J13" t="str">
        <f>INDEX('Master '!$AD$2:AD$65,MATCH(D13,'Master '!$D$2:$D$65,0))</f>
        <v>Base Period</v>
      </c>
      <c r="K13" s="458">
        <f>INDEX('Master '!$N$2:N$65,MATCH(D13,'Master '!$D$2:$D$65,0))</f>
        <v>0</v>
      </c>
      <c r="L13" s="137">
        <f>INDEX('Master '!$S$2:S$65,MATCH(D13,'Master '!$D$2:$D$65,0))</f>
        <v>0</v>
      </c>
      <c r="M13" s="4">
        <f>INDEX('Master '!$W$2:W$65,MATCH(D13,'Master '!$D$2:$D$65,0))</f>
        <v>0</v>
      </c>
      <c r="N13" s="268">
        <f>SUMIF('Input 16.1_2018VOL-YTD'!$R:$R,$G13,'Input 16.1_2018VOL-YTD'!C:C)</f>
        <v>0</v>
      </c>
      <c r="O13" s="268">
        <f>SUMIF('Input 16.1_2018VOL-YTD'!$R:$R,$G13,'Input 16.1_2018VOL-YTD'!D:D)</f>
        <v>0</v>
      </c>
      <c r="P13" s="268">
        <f>SUMIF('Input 16.1_2018VOL-YTD'!$R:$R,$G13,'Input 16.1_2018VOL-YTD'!E:E)</f>
        <v>0</v>
      </c>
      <c r="Q13" s="268">
        <f>SUMIF('Input 16.1_2018VOL-YTD'!$R:$R,$G13,'Input 16.1_2018VOL-YTD'!F:F)</f>
        <v>0</v>
      </c>
      <c r="R13" s="268">
        <f>SUMIF('Input 16.1_2018VOL-YTD'!$R:$R,$G13,'Input 16.1_2018VOL-YTD'!G:G)</f>
        <v>0</v>
      </c>
      <c r="S13" s="268">
        <f>SUMIF('Input 16.1_2018VOL-YTD'!$R:$R,$G13,'Input 16.1_2018VOL-YTD'!H:H)</f>
        <v>0</v>
      </c>
      <c r="T13" s="268">
        <f>SUMIF('Input 16.1_2018VOL-YTD'!$R:$R,$G13,'Input 16.1_2018VOL-YTD'!I:I)</f>
        <v>0</v>
      </c>
      <c r="U13" s="268">
        <f>SUMIF('Input 16.1_2018VOL-YTD'!$R:$R,$G13,'Input 16.1_2018VOL-YTD'!J:J)</f>
        <v>0</v>
      </c>
      <c r="V13" s="268">
        <f>SUMIF('Input 16.1_2018VOL-YTD'!$R:$R,$G13,'Input 16.1_2018VOL-YTD'!K:K)</f>
        <v>0</v>
      </c>
      <c r="W13" s="268">
        <f>SUMIF('Input 16.1_2018VOL-YTD'!$R:$R,$G13,'Input 16.1_2018VOL-YTD'!L:L)</f>
        <v>0</v>
      </c>
      <c r="X13" s="268">
        <f>SUMIF('Input 16.1_2018VOL-YTD'!$R:$R,$G13,'Input 16.1_2018VOL-YTD'!M:M)</f>
        <v>0</v>
      </c>
      <c r="Y13" s="268">
        <f>SUMIF('Input 16.1_2018VOL-YTD'!$R:$R,$G13,'Input 16.1_2018VOL-YTD'!N:N)</f>
        <v>0</v>
      </c>
      <c r="Z13" s="268">
        <f>SUMIF('Input 3.1_2019VOL-YTD'!$R:$R,$G13,'Input 3.1_2019VOL-YTD'!C:C)</f>
        <v>0</v>
      </c>
      <c r="AA13" s="268">
        <f>SUMIF('Input 3.1_2019VOL-YTD'!$R:$R,$G13,'Input 3.1_2019VOL-YTD'!D:D)</f>
        <v>0</v>
      </c>
      <c r="AB13" s="268">
        <f>SUMIF('Input 3.1_2019VOL-YTD'!$R:$R,$G13,'Input 3.1_2019VOL-YTD'!E:E)</f>
        <v>0</v>
      </c>
      <c r="AC13" s="268">
        <f>SUMIF('Input 3.1_2019VOL-YTD'!$R:$R,$G13,'Input 3.1_2019VOL-YTD'!F:F)</f>
        <v>0</v>
      </c>
      <c r="AD13" s="268">
        <f>SUMIF('Input 3.1_2019VOL-YTD'!$R:$R,$G13,'Input 3.1_2019VOL-YTD'!G:G)</f>
        <v>0</v>
      </c>
      <c r="AE13" s="268">
        <f>SUMIF('Input 3.1_2019VOL-YTD'!$R:$R,$G13,'Input 3.1_2019VOL-YTD'!H:H)</f>
        <v>0</v>
      </c>
      <c r="AF13" s="268">
        <f>SUMIF('Input 3.1_2019VOL-YTD'!$R:$R,$G13,'Input 3.1_2019VOL-YTD'!I:I)</f>
        <v>0</v>
      </c>
      <c r="AG13" s="268">
        <f>SUMIF('Input 3.1_2019VOL-YTD'!$R:$R,$G13,'Input 3.1_2019VOL-YTD'!J:J)</f>
        <v>0</v>
      </c>
      <c r="AH13" s="268">
        <f>SUMIF('Input 3.1_2019VOL-YTD'!$R:$R,$G13,'Input 3.1_2019VOL-YTD'!K:K)</f>
        <v>0</v>
      </c>
      <c r="AI13" s="268">
        <f>SUMIF('Input 3.1_2019VOL-YTD'!$R:$R,$G13,'Input 3.1_2019VOL-YTD'!L:L)</f>
        <v>0</v>
      </c>
      <c r="AJ13" s="268">
        <f>SUMIF('Input 3.1_2019VOL-YTD'!$R:$R,$G13,'Input 3.1_2019VOL-YTD'!M:M)</f>
        <v>0</v>
      </c>
      <c r="AK13" s="268">
        <f>SUMIF('Input 3.1_2019VOL-YTD'!$R:$R,$G13,'Input 3.1_2019VOL-YTD'!N:N)</f>
        <v>0</v>
      </c>
      <c r="AL13" s="268">
        <f>SUMIF('Input 4.1_2020VOL-YTD'!$R:$R,$G13,'Input 4.1_2020VOL-YTD'!C:C)</f>
        <v>0</v>
      </c>
      <c r="AM13" s="268">
        <f>SUMIF('Input 4.1_2020VOL-YTD'!$R:$R,$G13,'Input 4.1_2020VOL-YTD'!D:D)</f>
        <v>0</v>
      </c>
      <c r="AN13" s="268">
        <f>SUMIF('Input 4.1_2020VOL-YTD'!$R:$R,$G13,'Input 4.1_2020VOL-YTD'!E:E)</f>
        <v>0</v>
      </c>
      <c r="AO13" s="268">
        <f>SUMIF('Input 4.1_2020VOL-YTD'!$R:$R,$G13,'Input 4.1_2020VOL-YTD'!F:F)</f>
        <v>0</v>
      </c>
      <c r="AP13" s="268">
        <f>SUMIF('Input 4.1_2020VOL-YTD'!$R:$R,$G13,'Input 4.1_2020VOL-YTD'!G:G)</f>
        <v>0</v>
      </c>
      <c r="AQ13" s="268">
        <f>SUMIF('Input 4.1_2020VOL-YTD'!$R:$R,$G13,'Input 4.1_2020VOL-YTD'!H:H)</f>
        <v>0</v>
      </c>
      <c r="AR13" s="268">
        <f>SUMIF('Input 4.1_2020VOL-YTD'!$R:$R,$G13,'Input 4.1_2020VOL-YTD'!I:I)</f>
        <v>0</v>
      </c>
      <c r="AS13" s="268">
        <f>SUMIF('Input 4.1_2020VOL-YTD'!$R:$R,$G13,'Input 4.1_2020VOL-YTD'!J:J)</f>
        <v>0</v>
      </c>
      <c r="AT13" s="268">
        <f>SUMIF('Input 4.1_2020VOL-YTD'!$R:$R,$G13,'Input 4.1_2020VOL-YTD'!K:K)</f>
        <v>0</v>
      </c>
      <c r="AU13" s="268">
        <f>SUMIF('Input 4.1_2020VOL-YTD'!$R:$R,$G13,'Input 4.1_2020VOL-YTD'!L:L)</f>
        <v>0</v>
      </c>
      <c r="AV13" s="268">
        <f>SUMIF('Input 4.1_2020VOL-YTD'!$R:$R,$G13,'Input 4.1_2020VOL-YTD'!M:M)</f>
        <v>0</v>
      </c>
      <c r="AW13" s="268">
        <f>SUMIF('Input 4.1_2020VOL-YTD'!$R:$R,$G13,'Input 4.1_2020VOL-YTD'!N:N)</f>
        <v>0</v>
      </c>
      <c r="AX13" s="268">
        <f>SUMIF('Input 5.1_2021VOL-YTD'!$R:$R,$G13,'Input 5.1_2021VOL-YTD'!C:C)</f>
        <v>0</v>
      </c>
      <c r="AY13" s="268">
        <f>SUMIF('Input 5.1_2021VOL-YTD'!$R:$R,$G13,'Input 5.1_2021VOL-YTD'!D:D)</f>
        <v>0</v>
      </c>
      <c r="AZ13" s="268">
        <f>SUMIF('Input 5.1_2021VOL-YTD'!$R:$R,$G13,'Input 5.1_2021VOL-YTD'!E:E)</f>
        <v>0</v>
      </c>
      <c r="BA13" s="268">
        <f>SUMIF('Input 5.1_2021VOL-YTD'!$R:$R,$G13,'Input 5.1_2021VOL-YTD'!F:F)</f>
        <v>0</v>
      </c>
      <c r="BB13" s="268">
        <f>SUMIF('Input 5.1_2021VOL-YTD'!$R:$R,$G13,'Input 5.1_2021VOL-YTD'!G:G)</f>
        <v>0</v>
      </c>
      <c r="BC13" s="268">
        <f>SUMIF('Input 5.1_2021VOL-YTD'!$R:$R,$G13,'Input 5.1_2021VOL-YTD'!H:H)</f>
        <v>0</v>
      </c>
      <c r="BD13" s="268">
        <f>SUMIF('Input 5.1_2021VOL-YTD'!$R:$R,$G13,'Input 5.1_2021VOL-YTD'!I:I)</f>
        <v>0</v>
      </c>
      <c r="BE13" s="268">
        <f>SUMIF('Input 5.1_2021VOL-YTD'!$R:$R,$G13,'Input 5.1_2021VOL-YTD'!J:J)</f>
        <v>0</v>
      </c>
      <c r="BF13" s="268">
        <f>SUMIF('Input 5.1_2021VOL-YTD'!$R:$R,$G13,'Input 5.1_2021VOL-YTD'!K:K)</f>
        <v>0</v>
      </c>
      <c r="BG13" s="268">
        <f>SUMIF('Input 5.1_2021VOL-YTD'!$R:$R,$G13,'Input 5.1_2021VOL-YTD'!L:L)</f>
        <v>0</v>
      </c>
      <c r="BH13" s="268">
        <f>SUMIF('Input 5.1_2021VOL-YTD'!$R:$R,$G13,'Input 5.1_2021VOL-YTD'!M:M)</f>
        <v>0</v>
      </c>
      <c r="BI13" s="268">
        <f>SUMIF('Input 5.1_2021VOL-YTD'!$R:$R,$G13,'Input 5.1_2021VOL-YTD'!N:N)</f>
        <v>0</v>
      </c>
      <c r="BJ13" s="483">
        <f>IFERROR(IF($J13="Historical Average",INDEX('Monthly UPC'!$CM$2:$DJ$65,MATCH($D13,'Monthly UPC'!$D$2:$D$65,0),MATCH(BJ$1,'Monthly UPC'!$CM$1:$DJ$1))*(INDEX('Monthly CUST'!$N$2:$CG$65,MATCH($D13,'Monthly CUST'!$D$2:$D$65,0),MATCH(BJ$1,'Monthly CUST'!$N$1:$CG$1,0))),IF($J13="UPC Growth Rate",((AX13/INDEX('Monthly CUST'!$N$2:$CG$65,MATCH($D13,'Monthly CUST'!$D$2:$D$65,0),MATCH(AX$1,'Monthly CUST'!$N$1:$CG$1,0)))*(1+$L13)*INDEX('Monthly CUST'!$N$2:$CG$65,MATCH($D13,'Monthly CUST'!$D$2:$D$65,0),MATCH(BJ$1,'Monthly CUST'!$N$1:$CG$1,0))),IF($J13="Modeled UPC",INDEX('Monthly CUST'!$N$2:$CG$65,MATCH($D13,'Monthly CUST'!$D$2:$D$65,0),MATCH(BJ$1,'Monthly CUST'!$N$1:$CG$1,0))/12*$M13,IF($J13="Base Period",AX13,IF($J13="Adjusted",SUMIF('Input 15_Fcst Inputs'!$A:$A,$D13,'Input 15_Fcst Inputs'!$G:$G)/12))))),0)</f>
        <v>0</v>
      </c>
      <c r="BK13" s="483">
        <f>IFERROR(IF($J13="Historical Average",INDEX('Monthly UPC'!$CM$2:$DJ$65,MATCH($D13,'Monthly UPC'!$D$2:$D$65,0),MATCH(BK$1,'Monthly UPC'!$CM$1:$DJ$1))*(INDEX('Monthly CUST'!$N$2:$CG$65,MATCH($D13,'Monthly CUST'!$D$2:$D$65,0),MATCH(BK$1,'Monthly CUST'!$N$1:$CG$1,0))),IF($J13="UPC Growth Rate",((AY13/INDEX('Monthly CUST'!$N$2:$CG$65,MATCH($D13,'Monthly CUST'!$D$2:$D$65,0),MATCH(AY$1,'Monthly CUST'!$N$1:$CG$1,0)))*(1+$L13)*INDEX('Monthly CUST'!$N$2:$CG$65,MATCH($D13,'Monthly CUST'!$D$2:$D$65,0),MATCH(BK$1,'Monthly CUST'!$N$1:$CG$1,0))),IF($J13="Modeled UPC",INDEX('Monthly CUST'!$N$2:$CG$65,MATCH($D13,'Monthly CUST'!$D$2:$D$65,0),MATCH(BK$1,'Monthly CUST'!$N$1:$CG$1,0))/12*$M13,IF($J13="Base Period",AY13,IF($J13="Adjusted",SUMIF('Input 15_Fcst Inputs'!$A:$A,$D13,'Input 15_Fcst Inputs'!$G:$G)/12))))),0)</f>
        <v>0</v>
      </c>
      <c r="BL13" s="483">
        <f>IFERROR(IF($J13="Historical Average",INDEX('Monthly UPC'!$CM$2:$DJ$65,MATCH($D13,'Monthly UPC'!$D$2:$D$65,0),MATCH(BL$1,'Monthly UPC'!$CM$1:$DJ$1))*(INDEX('Monthly CUST'!$N$2:$CG$65,MATCH($D13,'Monthly CUST'!$D$2:$D$65,0),MATCH(BL$1,'Monthly CUST'!$N$1:$CG$1,0))),IF($J13="UPC Growth Rate",((AZ13/INDEX('Monthly CUST'!$N$2:$CG$65,MATCH($D13,'Monthly CUST'!$D$2:$D$65,0),MATCH(AZ$1,'Monthly CUST'!$N$1:$CG$1,0)))*(1+$L13)*INDEX('Monthly CUST'!$N$2:$CG$65,MATCH($D13,'Monthly CUST'!$D$2:$D$65,0),MATCH(BL$1,'Monthly CUST'!$N$1:$CG$1,0))),IF($J13="Modeled UPC",INDEX('Monthly CUST'!$N$2:$CG$65,MATCH($D13,'Monthly CUST'!$D$2:$D$65,0),MATCH(BL$1,'Monthly CUST'!$N$1:$CG$1,0))/12*$M13,IF($J13="Base Period",AZ13,IF($J13="Adjusted",SUMIF('Input 15_Fcst Inputs'!$A:$A,$D13,'Input 15_Fcst Inputs'!$G:$G)/12))))),0)</f>
        <v>0</v>
      </c>
      <c r="BM13" s="483">
        <f>IFERROR(IF($J13="Historical Average",INDEX('Monthly UPC'!$CM$2:$DJ$65,MATCH($D13,'Monthly UPC'!$D$2:$D$65,0),MATCH(BM$1,'Monthly UPC'!$CM$1:$DJ$1))*(INDEX('Monthly CUST'!$N$2:$CG$65,MATCH($D13,'Monthly CUST'!$D$2:$D$65,0),MATCH(BM$1,'Monthly CUST'!$N$1:$CG$1,0))),IF($J13="UPC Growth Rate",((BA13/INDEX('Monthly CUST'!$N$2:$CG$65,MATCH($D13,'Monthly CUST'!$D$2:$D$65,0),MATCH(BA$1,'Monthly CUST'!$N$1:$CG$1,0)))*(1+$L13)*INDEX('Monthly CUST'!$N$2:$CG$65,MATCH($D13,'Monthly CUST'!$D$2:$D$65,0),MATCH(BM$1,'Monthly CUST'!$N$1:$CG$1,0))),IF($J13="Modeled UPC",INDEX('Monthly CUST'!$N$2:$CG$65,MATCH($D13,'Monthly CUST'!$D$2:$D$65,0),MATCH(BM$1,'Monthly CUST'!$N$1:$CG$1,0))/12*$M13,IF($J13="Base Period",BA13,IF($J13="Adjusted",SUMIF('Input 15_Fcst Inputs'!$A:$A,$D13,'Input 15_Fcst Inputs'!$G:$G)/12))))),0)</f>
        <v>0</v>
      </c>
      <c r="BN13" s="483">
        <f>IFERROR(IF($J13="Historical Average",INDEX('Monthly UPC'!$CM$2:$DJ$65,MATCH($D13,'Monthly UPC'!$D$2:$D$65,0),MATCH(BN$1,'Monthly UPC'!$CM$1:$DJ$1))*(INDEX('Monthly CUST'!$N$2:$CG$65,MATCH($D13,'Monthly CUST'!$D$2:$D$65,0),MATCH(BN$1,'Monthly CUST'!$N$1:$CG$1,0))),IF($J13="UPC Growth Rate",((BB13/INDEX('Monthly CUST'!$N$2:$CG$65,MATCH($D13,'Monthly CUST'!$D$2:$D$65,0),MATCH(BB$1,'Monthly CUST'!$N$1:$CG$1,0)))*(1+$L13)*INDEX('Monthly CUST'!$N$2:$CG$65,MATCH($D13,'Monthly CUST'!$D$2:$D$65,0),MATCH(BN$1,'Monthly CUST'!$N$1:$CG$1,0))),IF($J13="Modeled UPC",INDEX('Monthly CUST'!$N$2:$CG$65,MATCH($D13,'Monthly CUST'!$D$2:$D$65,0),MATCH(BN$1,'Monthly CUST'!$N$1:$CG$1,0))/12*$M13,IF($J13="Base Period",BB13,IF($J13="Adjusted",SUMIF('Input 15_Fcst Inputs'!$A:$A,$D13,'Input 15_Fcst Inputs'!$G:$G)/12))))),0)</f>
        <v>0</v>
      </c>
      <c r="BO13" s="483">
        <f>IFERROR(IF($J13="Historical Average",INDEX('Monthly UPC'!$CM$2:$DJ$65,MATCH($D13,'Monthly UPC'!$D$2:$D$65,0),MATCH(BO$1,'Monthly UPC'!$CM$1:$DJ$1))*(INDEX('Monthly CUST'!$N$2:$CG$65,MATCH($D13,'Monthly CUST'!$D$2:$D$65,0),MATCH(BO$1,'Monthly CUST'!$N$1:$CG$1,0))),IF($J13="UPC Growth Rate",((BC13/INDEX('Monthly CUST'!$N$2:$CG$65,MATCH($D13,'Monthly CUST'!$D$2:$D$65,0),MATCH(BC$1,'Monthly CUST'!$N$1:$CG$1,0)))*(1+$L13)*INDEX('Monthly CUST'!$N$2:$CG$65,MATCH($D13,'Monthly CUST'!$D$2:$D$65,0),MATCH(BO$1,'Monthly CUST'!$N$1:$CG$1,0))),IF($J13="Modeled UPC",INDEX('Monthly CUST'!$N$2:$CG$65,MATCH($D13,'Monthly CUST'!$D$2:$D$65,0),MATCH(BO$1,'Monthly CUST'!$N$1:$CG$1,0))/12*$M13,IF($J13="Base Period",BC13,IF($J13="Adjusted",SUMIF('Input 15_Fcst Inputs'!$A:$A,$D13,'Input 15_Fcst Inputs'!$G:$G)/12))))),0)</f>
        <v>0</v>
      </c>
      <c r="BP13" s="483">
        <f>IFERROR(IF($J13="Historical Average",INDEX('Monthly UPC'!$CM$2:$DJ$65,MATCH($D13,'Monthly UPC'!$D$2:$D$65,0),MATCH(BP$1,'Monthly UPC'!$CM$1:$DJ$1))*(INDEX('Monthly CUST'!$N$2:$CG$65,MATCH($D13,'Monthly CUST'!$D$2:$D$65,0),MATCH(BP$1,'Monthly CUST'!$N$1:$CG$1,0))),IF($J13="UPC Growth Rate",((BD13/INDEX('Monthly CUST'!$N$2:$CG$65,MATCH($D13,'Monthly CUST'!$D$2:$D$65,0),MATCH(BD$1,'Monthly CUST'!$N$1:$CG$1,0)))*(1+$L13)*INDEX('Monthly CUST'!$N$2:$CG$65,MATCH($D13,'Monthly CUST'!$D$2:$D$65,0),MATCH(BP$1,'Monthly CUST'!$N$1:$CG$1,0))),IF($J13="Modeled UPC",INDEX('Monthly CUST'!$N$2:$CG$65,MATCH($D13,'Monthly CUST'!$D$2:$D$65,0),MATCH(BP$1,'Monthly CUST'!$N$1:$CG$1,0))/12*$M13,IF($J13="Base Period",BD13,IF($J13="Adjusted",SUMIF('Input 15_Fcst Inputs'!$A:$A,$D13,'Input 15_Fcst Inputs'!$G:$G)/12))))),0)</f>
        <v>0</v>
      </c>
      <c r="BQ13" s="483">
        <f>IFERROR(IF($J13="Historical Average",INDEX('Monthly UPC'!$CM$2:$DJ$65,MATCH($D13,'Monthly UPC'!$D$2:$D$65,0),MATCH(BQ$1,'Monthly UPC'!$CM$1:$DJ$1))*(INDEX('Monthly CUST'!$N$2:$CG$65,MATCH($D13,'Monthly CUST'!$D$2:$D$65,0),MATCH(BQ$1,'Monthly CUST'!$N$1:$CG$1,0))),IF($J13="UPC Growth Rate",((BE13/INDEX('Monthly CUST'!$N$2:$CG$65,MATCH($D13,'Monthly CUST'!$D$2:$D$65,0),MATCH(BE$1,'Monthly CUST'!$N$1:$CG$1,0)))*(1+$L13)*INDEX('Monthly CUST'!$N$2:$CG$65,MATCH($D13,'Monthly CUST'!$D$2:$D$65,0),MATCH(BQ$1,'Monthly CUST'!$N$1:$CG$1,0))),IF($J13="Modeled UPC",INDEX('Monthly CUST'!$N$2:$CG$65,MATCH($D13,'Monthly CUST'!$D$2:$D$65,0),MATCH(BQ$1,'Monthly CUST'!$N$1:$CG$1,0))/12*$M13,IF($J13="Base Period",BE13,IF($J13="Adjusted",SUMIF('Input 15_Fcst Inputs'!$A:$A,$D13,'Input 15_Fcst Inputs'!$G:$G)/12))))),0)</f>
        <v>0</v>
      </c>
      <c r="BR13" s="483">
        <f>IFERROR(IF($J13="Historical Average",INDEX('Monthly UPC'!$CM$2:$DJ$65,MATCH($D13,'Monthly UPC'!$D$2:$D$65,0),MATCH(BR$1,'Monthly UPC'!$CM$1:$DJ$1))*(INDEX('Monthly CUST'!$N$2:$CG$65,MATCH($D13,'Monthly CUST'!$D$2:$D$65,0),MATCH(BR$1,'Monthly CUST'!$N$1:$CG$1,0))),IF($J13="UPC Growth Rate",((BF13/INDEX('Monthly CUST'!$N$2:$CG$65,MATCH($D13,'Monthly CUST'!$D$2:$D$65,0),MATCH(BF$1,'Monthly CUST'!$N$1:$CG$1,0)))*(1+$L13)*INDEX('Monthly CUST'!$N$2:$CG$65,MATCH($D13,'Monthly CUST'!$D$2:$D$65,0),MATCH(BR$1,'Monthly CUST'!$N$1:$CG$1,0))),IF($J13="Modeled UPC",INDEX('Monthly CUST'!$N$2:$CG$65,MATCH($D13,'Monthly CUST'!$D$2:$D$65,0),MATCH(BR$1,'Monthly CUST'!$N$1:$CG$1,0))/12*$M13,IF($J13="Base Period",BF13,IF($J13="Adjusted",SUMIF('Input 15_Fcst Inputs'!$A:$A,$D13,'Input 15_Fcst Inputs'!$G:$G)/12))))),0)</f>
        <v>0</v>
      </c>
      <c r="BS13" s="483">
        <f>IFERROR(IF($J13="Historical Average",INDEX('Monthly UPC'!$CM$2:$DJ$65,MATCH($D13,'Monthly UPC'!$D$2:$D$65,0),MATCH(BS$1,'Monthly UPC'!$CM$1:$DJ$1))*(INDEX('Monthly CUST'!$N$2:$CG$65,MATCH($D13,'Monthly CUST'!$D$2:$D$65,0),MATCH(BS$1,'Monthly CUST'!$N$1:$CG$1,0))),IF($J13="UPC Growth Rate",((BG13/INDEX('Monthly CUST'!$N$2:$CG$65,MATCH($D13,'Monthly CUST'!$D$2:$D$65,0),MATCH(BG$1,'Monthly CUST'!$N$1:$CG$1,0)))*(1+$L13)*INDEX('Monthly CUST'!$N$2:$CG$65,MATCH($D13,'Monthly CUST'!$D$2:$D$65,0),MATCH(BS$1,'Monthly CUST'!$N$1:$CG$1,0))),IF($J13="Modeled UPC",INDEX('Monthly CUST'!$N$2:$CG$65,MATCH($D13,'Monthly CUST'!$D$2:$D$65,0),MATCH(BS$1,'Monthly CUST'!$N$1:$CG$1,0))/12*$M13,IF($J13="Base Period",BG13,IF($J13="Adjusted",SUMIF('Input 15_Fcst Inputs'!$A:$A,$D13,'Input 15_Fcst Inputs'!$G:$G)/12))))),0)</f>
        <v>0</v>
      </c>
      <c r="BT13" s="483">
        <f>IFERROR(IF($J13="Historical Average",INDEX('Monthly UPC'!$CM$2:$DJ$65,MATCH($D13,'Monthly UPC'!$D$2:$D$65,0),MATCH(BT$1,'Monthly UPC'!$CM$1:$DJ$1))*(INDEX('Monthly CUST'!$N$2:$CG$65,MATCH($D13,'Monthly CUST'!$D$2:$D$65,0),MATCH(BT$1,'Monthly CUST'!$N$1:$CG$1,0))),IF($J13="UPC Growth Rate",((BH13/INDEX('Monthly CUST'!$N$2:$CG$65,MATCH($D13,'Monthly CUST'!$D$2:$D$65,0),MATCH(BH$1,'Monthly CUST'!$N$1:$CG$1,0)))*(1+$L13)*INDEX('Monthly CUST'!$N$2:$CG$65,MATCH($D13,'Monthly CUST'!$D$2:$D$65,0),MATCH(BT$1,'Monthly CUST'!$N$1:$CG$1,0))),IF($J13="Modeled UPC",INDEX('Monthly CUST'!$N$2:$CG$65,MATCH($D13,'Monthly CUST'!$D$2:$D$65,0),MATCH(BT$1,'Monthly CUST'!$N$1:$CG$1,0))/12*$M13,IF($J13="Base Period",BH13,IF($J13="Adjusted",SUMIF('Input 15_Fcst Inputs'!$A:$A,$D13,'Input 15_Fcst Inputs'!$G:$G)/12))))),0)</f>
        <v>0</v>
      </c>
      <c r="BU13" s="483">
        <f>IFERROR(IF($J13="Historical Average",INDEX('Monthly UPC'!$CM$2:$DJ$65,MATCH($D13,'Monthly UPC'!$D$2:$D$65,0),MATCH(BU$1,'Monthly UPC'!$CM$1:$DJ$1))*(INDEX('Monthly CUST'!$N$2:$CG$65,MATCH($D13,'Monthly CUST'!$D$2:$D$65,0),MATCH(BU$1,'Monthly CUST'!$N$1:$CG$1,0))),IF($J13="UPC Growth Rate",((BI13/INDEX('Monthly CUST'!$N$2:$CG$65,MATCH($D13,'Monthly CUST'!$D$2:$D$65,0),MATCH(BI$1,'Monthly CUST'!$N$1:$CG$1,0)))*(1+$L13)*INDEX('Monthly CUST'!$N$2:$CG$65,MATCH($D13,'Monthly CUST'!$D$2:$D$65,0),MATCH(BU$1,'Monthly CUST'!$N$1:$CG$1,0))),IF($J13="Modeled UPC",INDEX('Monthly CUST'!$N$2:$CG$65,MATCH($D13,'Monthly CUST'!$D$2:$D$65,0),MATCH(BU$1,'Monthly CUST'!$N$1:$CG$1,0))/12*$M13,IF($J13="Base Period",BI13,IF($J13="Adjusted",SUMIF('Input 15_Fcst Inputs'!$A:$A,$D13,'Input 15_Fcst Inputs'!$G:$G)/12))))),0)</f>
        <v>0</v>
      </c>
      <c r="BV13" s="483">
        <f>IFERROR(IF($J13="Historical Average",INDEX('Monthly UPC'!$CM$2:$DJ$65,MATCH($D13,'Monthly UPC'!$D$2:$D$65,0),MATCH(BV$1,'Monthly UPC'!$CM$1:$DJ$1))*(INDEX('Monthly CUST'!$N$2:$CG$65,MATCH($D13,'Monthly CUST'!$D$2:$D$65,0),MATCH(BV$1,'Monthly CUST'!$N$1:$CG$1,0))),IF($J13="UPC Growth Rate",((BJ13/INDEX('Monthly CUST'!$N$2:$CG$65,MATCH($D13,'Monthly CUST'!$D$2:$D$65,0),MATCH(BJ$1,'Monthly CUST'!$N$1:$CG$1,0)))*(1+$L13)*INDEX('Monthly CUST'!$N$2:$CG$65,MATCH($D13,'Monthly CUST'!$D$2:$D$65,0),MATCH(BV$1,'Monthly CUST'!$N$1:$CG$1,0))),IF($J13="Modeled UPC",INDEX('Monthly CUST'!$N$2:$CG$65,MATCH($D13,'Monthly CUST'!$D$2:$D$65,0),MATCH(BV$1,'Monthly CUST'!$N$1:$CG$1,0))/12*$M13,IF($J13="Base Period",BJ13,IF($J13="Adjusted",SUMIF('Input 15_Fcst Inputs'!$A:$A,$D13,'Input 15_Fcst Inputs'!$G:$G)/12))))),0)</f>
        <v>0</v>
      </c>
      <c r="BW13" s="483">
        <f>IFERROR(IF($J13="Historical Average",INDEX('Monthly UPC'!$CM$2:$DJ$65,MATCH($D13,'Monthly UPC'!$D$2:$D$65,0),MATCH(BW$1,'Monthly UPC'!$CM$1:$DJ$1))*(INDEX('Monthly CUST'!$N$2:$CG$65,MATCH($D13,'Monthly CUST'!$D$2:$D$65,0),MATCH(BW$1,'Monthly CUST'!$N$1:$CG$1,0))),IF($J13="UPC Growth Rate",((BK13/INDEX('Monthly CUST'!$N$2:$CG$65,MATCH($D13,'Monthly CUST'!$D$2:$D$65,0),MATCH(BK$1,'Monthly CUST'!$N$1:$CG$1,0)))*(1+$L13)*INDEX('Monthly CUST'!$N$2:$CG$65,MATCH($D13,'Monthly CUST'!$D$2:$D$65,0),MATCH(BW$1,'Monthly CUST'!$N$1:$CG$1,0))),IF($J13="Modeled UPC",INDEX('Monthly CUST'!$N$2:$CG$65,MATCH($D13,'Monthly CUST'!$D$2:$D$65,0),MATCH(BW$1,'Monthly CUST'!$N$1:$CG$1,0))/12*$M13,IF($J13="Base Period",BK13,IF($J13="Adjusted",SUMIF('Input 15_Fcst Inputs'!$A:$A,$D13,'Input 15_Fcst Inputs'!$G:$G)/12))))),0)</f>
        <v>0</v>
      </c>
      <c r="BX13" s="483">
        <f>IFERROR(IF($J13="Historical Average",INDEX('Monthly UPC'!$CM$2:$DJ$65,MATCH($D13,'Monthly UPC'!$D$2:$D$65,0),MATCH(BX$1,'Monthly UPC'!$CM$1:$DJ$1))*(INDEX('Monthly CUST'!$N$2:$CG$65,MATCH($D13,'Monthly CUST'!$D$2:$D$65,0),MATCH(BX$1,'Monthly CUST'!$N$1:$CG$1,0))),IF($J13="UPC Growth Rate",((BL13/INDEX('Monthly CUST'!$N$2:$CG$65,MATCH($D13,'Monthly CUST'!$D$2:$D$65,0),MATCH(BL$1,'Monthly CUST'!$N$1:$CG$1,0)))*(1+$L13)*INDEX('Monthly CUST'!$N$2:$CG$65,MATCH($D13,'Monthly CUST'!$D$2:$D$65,0),MATCH(BX$1,'Monthly CUST'!$N$1:$CG$1,0))),IF($J13="Modeled UPC",INDEX('Monthly CUST'!$N$2:$CG$65,MATCH($D13,'Monthly CUST'!$D$2:$D$65,0),MATCH(BX$1,'Monthly CUST'!$N$1:$CG$1,0))/12*$M13,IF($J13="Base Period",BL13,IF($J13="Adjusted",SUMIF('Input 15_Fcst Inputs'!$A:$A,$D13,'Input 15_Fcst Inputs'!$G:$G)/12))))),0)</f>
        <v>0</v>
      </c>
      <c r="BY13" s="483">
        <f>IFERROR(IF($J13="Historical Average",INDEX('Monthly UPC'!$CM$2:$DJ$65,MATCH($D13,'Monthly UPC'!$D$2:$D$65,0),MATCH(BY$1,'Monthly UPC'!$CM$1:$DJ$1))*(INDEX('Monthly CUST'!$N$2:$CG$65,MATCH($D13,'Monthly CUST'!$D$2:$D$65,0),MATCH(BY$1,'Monthly CUST'!$N$1:$CG$1,0))),IF($J13="UPC Growth Rate",((BM13/INDEX('Monthly CUST'!$N$2:$CG$65,MATCH($D13,'Monthly CUST'!$D$2:$D$65,0),MATCH(BM$1,'Monthly CUST'!$N$1:$CG$1,0)))*(1+$L13)*INDEX('Monthly CUST'!$N$2:$CG$65,MATCH($D13,'Monthly CUST'!$D$2:$D$65,0),MATCH(BY$1,'Monthly CUST'!$N$1:$CG$1,0))),IF($J13="Modeled UPC",INDEX('Monthly CUST'!$N$2:$CG$65,MATCH($D13,'Monthly CUST'!$D$2:$D$65,0),MATCH(BY$1,'Monthly CUST'!$N$1:$CG$1,0))/12*$M13,IF($J13="Base Period",BM13,IF($J13="Adjusted",SUMIF('Input 15_Fcst Inputs'!$A:$A,$D13,'Input 15_Fcst Inputs'!$G:$G)/12))))),0)</f>
        <v>0</v>
      </c>
      <c r="BZ13" s="483">
        <f>IFERROR(IF($J13="Historical Average",INDEX('Monthly UPC'!$CM$2:$DJ$65,MATCH($D13,'Monthly UPC'!$D$2:$D$65,0),MATCH(BZ$1,'Monthly UPC'!$CM$1:$DJ$1))*(INDEX('Monthly CUST'!$N$2:$CG$65,MATCH($D13,'Monthly CUST'!$D$2:$D$65,0),MATCH(BZ$1,'Monthly CUST'!$N$1:$CG$1,0))),IF($J13="UPC Growth Rate",((BN13/INDEX('Monthly CUST'!$N$2:$CG$65,MATCH($D13,'Monthly CUST'!$D$2:$D$65,0),MATCH(BN$1,'Monthly CUST'!$N$1:$CG$1,0)))*(1+$L13)*INDEX('Monthly CUST'!$N$2:$CG$65,MATCH($D13,'Monthly CUST'!$D$2:$D$65,0),MATCH(BZ$1,'Monthly CUST'!$N$1:$CG$1,0))),IF($J13="Modeled UPC",INDEX('Monthly CUST'!$N$2:$CG$65,MATCH($D13,'Monthly CUST'!$D$2:$D$65,0),MATCH(BZ$1,'Monthly CUST'!$N$1:$CG$1,0))/12*$M13,IF($J13="Base Period",BN13,IF($J13="Adjusted",SUMIF('Input 15_Fcst Inputs'!$A:$A,$D13,'Input 15_Fcst Inputs'!$G:$G)/12))))),0)</f>
        <v>0</v>
      </c>
      <c r="CA13" s="483">
        <f>IFERROR(IF($J13="Historical Average",INDEX('Monthly UPC'!$CM$2:$DJ$65,MATCH($D13,'Monthly UPC'!$D$2:$D$65,0),MATCH(CA$1,'Monthly UPC'!$CM$1:$DJ$1))*(INDEX('Monthly CUST'!$N$2:$CG$65,MATCH($D13,'Monthly CUST'!$D$2:$D$65,0),MATCH(CA$1,'Monthly CUST'!$N$1:$CG$1,0))),IF($J13="UPC Growth Rate",((BO13/INDEX('Monthly CUST'!$N$2:$CG$65,MATCH($D13,'Monthly CUST'!$D$2:$D$65,0),MATCH(BO$1,'Monthly CUST'!$N$1:$CG$1,0)))*(1+$L13)*INDEX('Monthly CUST'!$N$2:$CG$65,MATCH($D13,'Monthly CUST'!$D$2:$D$65,0),MATCH(CA$1,'Monthly CUST'!$N$1:$CG$1,0))),IF($J13="Modeled UPC",INDEX('Monthly CUST'!$N$2:$CG$65,MATCH($D13,'Monthly CUST'!$D$2:$D$65,0),MATCH(CA$1,'Monthly CUST'!$N$1:$CG$1,0))/12*$M13,IF($J13="Base Period",BO13,IF($J13="Adjusted",SUMIF('Input 15_Fcst Inputs'!$A:$A,$D13,'Input 15_Fcst Inputs'!$G:$G)/12))))),0)</f>
        <v>0</v>
      </c>
      <c r="CB13" s="483">
        <f>IFERROR(IF($J13="Historical Average",INDEX('Monthly UPC'!$CM$2:$DJ$65,MATCH($D13,'Monthly UPC'!$D$2:$D$65,0),MATCH(CB$1,'Monthly UPC'!$CM$1:$DJ$1))*(INDEX('Monthly CUST'!$N$2:$CG$65,MATCH($D13,'Monthly CUST'!$D$2:$D$65,0),MATCH(CB$1,'Monthly CUST'!$N$1:$CG$1,0))),IF($J13="UPC Growth Rate",((BP13/INDEX('Monthly CUST'!$N$2:$CG$65,MATCH($D13,'Monthly CUST'!$D$2:$D$65,0),MATCH(BP$1,'Monthly CUST'!$N$1:$CG$1,0)))*(1+$L13)*INDEX('Monthly CUST'!$N$2:$CG$65,MATCH($D13,'Monthly CUST'!$D$2:$D$65,0),MATCH(CB$1,'Monthly CUST'!$N$1:$CG$1,0))),IF($J13="Modeled UPC",INDEX('Monthly CUST'!$N$2:$CG$65,MATCH($D13,'Monthly CUST'!$D$2:$D$65,0),MATCH(CB$1,'Monthly CUST'!$N$1:$CG$1,0))/12*$M13,IF($J13="Base Period",BP13,IF($J13="Adjusted",SUMIF('Input 15_Fcst Inputs'!$A:$A,$D13,'Input 15_Fcst Inputs'!$G:$G)/12))))),0)</f>
        <v>0</v>
      </c>
      <c r="CC13" s="483">
        <f>IFERROR(IF($J13="Historical Average",INDEX('Monthly UPC'!$CM$2:$DJ$65,MATCH($D13,'Monthly UPC'!$D$2:$D$65,0),MATCH(CC$1,'Monthly UPC'!$CM$1:$DJ$1))*(INDEX('Monthly CUST'!$N$2:$CG$65,MATCH($D13,'Monthly CUST'!$D$2:$D$65,0),MATCH(CC$1,'Monthly CUST'!$N$1:$CG$1,0))),IF($J13="UPC Growth Rate",((BQ13/INDEX('Monthly CUST'!$N$2:$CG$65,MATCH($D13,'Monthly CUST'!$D$2:$D$65,0),MATCH(BQ$1,'Monthly CUST'!$N$1:$CG$1,0)))*(1+$L13)*INDEX('Monthly CUST'!$N$2:$CG$65,MATCH($D13,'Monthly CUST'!$D$2:$D$65,0),MATCH(CC$1,'Monthly CUST'!$N$1:$CG$1,0))),IF($J13="Modeled UPC",INDEX('Monthly CUST'!$N$2:$CG$65,MATCH($D13,'Monthly CUST'!$D$2:$D$65,0),MATCH(CC$1,'Monthly CUST'!$N$1:$CG$1,0))/12*$M13,IF($J13="Base Period",BQ13,IF($J13="Adjusted",SUMIF('Input 15_Fcst Inputs'!$A:$A,$D13,'Input 15_Fcst Inputs'!$G:$G)/12))))),0)</f>
        <v>0</v>
      </c>
      <c r="CD13" s="483">
        <f>IFERROR(IF($J13="Historical Average",INDEX('Monthly UPC'!$CM$2:$DJ$65,MATCH($D13,'Monthly UPC'!$D$2:$D$65,0),MATCH(CD$1,'Monthly UPC'!$CM$1:$DJ$1))*(INDEX('Monthly CUST'!$N$2:$CG$65,MATCH($D13,'Monthly CUST'!$D$2:$D$65,0),MATCH(CD$1,'Monthly CUST'!$N$1:$CG$1,0))),IF($J13="UPC Growth Rate",((BR13/INDEX('Monthly CUST'!$N$2:$CG$65,MATCH($D13,'Monthly CUST'!$D$2:$D$65,0),MATCH(BR$1,'Monthly CUST'!$N$1:$CG$1,0)))*(1+$L13)*INDEX('Monthly CUST'!$N$2:$CG$65,MATCH($D13,'Monthly CUST'!$D$2:$D$65,0),MATCH(CD$1,'Monthly CUST'!$N$1:$CG$1,0))),IF($J13="Modeled UPC",INDEX('Monthly CUST'!$N$2:$CG$65,MATCH($D13,'Monthly CUST'!$D$2:$D$65,0),MATCH(CD$1,'Monthly CUST'!$N$1:$CG$1,0))/12*$M13,IF($J13="Base Period",BR13,IF($J13="Adjusted",SUMIF('Input 15_Fcst Inputs'!$A:$A,$D13,'Input 15_Fcst Inputs'!$G:$G)/12))))),0)</f>
        <v>0</v>
      </c>
      <c r="CE13" s="483">
        <f>IFERROR(IF($J13="Historical Average",INDEX('Monthly UPC'!$CM$2:$DJ$65,MATCH($D13,'Monthly UPC'!$D$2:$D$65,0),MATCH(CE$1,'Monthly UPC'!$CM$1:$DJ$1))*(INDEX('Monthly CUST'!$N$2:$CG$65,MATCH($D13,'Monthly CUST'!$D$2:$D$65,0),MATCH(CE$1,'Monthly CUST'!$N$1:$CG$1,0))),IF($J13="UPC Growth Rate",((BS13/INDEX('Monthly CUST'!$N$2:$CG$65,MATCH($D13,'Monthly CUST'!$D$2:$D$65,0),MATCH(BS$1,'Monthly CUST'!$N$1:$CG$1,0)))*(1+$L13)*INDEX('Monthly CUST'!$N$2:$CG$65,MATCH($D13,'Monthly CUST'!$D$2:$D$65,0),MATCH(CE$1,'Monthly CUST'!$N$1:$CG$1,0))),IF($J13="Modeled UPC",INDEX('Monthly CUST'!$N$2:$CG$65,MATCH($D13,'Monthly CUST'!$D$2:$D$65,0),MATCH(CE$1,'Monthly CUST'!$N$1:$CG$1,0))/12*$M13,IF($J13="Base Period",BS13,IF($J13="Adjusted",SUMIF('Input 15_Fcst Inputs'!$A:$A,$D13,'Input 15_Fcst Inputs'!$G:$G)/12))))),0)</f>
        <v>0</v>
      </c>
      <c r="CF13" s="483">
        <f>IFERROR(IF($J13="Historical Average",INDEX('Monthly UPC'!$CM$2:$DJ$65,MATCH($D13,'Monthly UPC'!$D$2:$D$65,0),MATCH(CF$1,'Monthly UPC'!$CM$1:$DJ$1))*(INDEX('Monthly CUST'!$N$2:$CG$65,MATCH($D13,'Monthly CUST'!$D$2:$D$65,0),MATCH(CF$1,'Monthly CUST'!$N$1:$CG$1,0))),IF($J13="UPC Growth Rate",((BT13/INDEX('Monthly CUST'!$N$2:$CG$65,MATCH($D13,'Monthly CUST'!$D$2:$D$65,0),MATCH(BT$1,'Monthly CUST'!$N$1:$CG$1,0)))*(1+$L13)*INDEX('Monthly CUST'!$N$2:$CG$65,MATCH($D13,'Monthly CUST'!$D$2:$D$65,0),MATCH(CF$1,'Monthly CUST'!$N$1:$CG$1,0))),IF($J13="Modeled UPC",INDEX('Monthly CUST'!$N$2:$CG$65,MATCH($D13,'Monthly CUST'!$D$2:$D$65,0),MATCH(CF$1,'Monthly CUST'!$N$1:$CG$1,0))/12*$M13,IF($J13="Base Period",BT13,IF($J13="Adjusted",SUMIF('Input 15_Fcst Inputs'!$A:$A,$D13,'Input 15_Fcst Inputs'!$G:$G)/12))))),0)</f>
        <v>0</v>
      </c>
      <c r="CG13" s="483">
        <f>IFERROR(IF($J13="Historical Average",INDEX('Monthly UPC'!$CM$2:$DJ$65,MATCH($D13,'Monthly UPC'!$D$2:$D$65,0),MATCH(CG$1,'Monthly UPC'!$CM$1:$DJ$1))*(INDEX('Monthly CUST'!$N$2:$CG$65,MATCH($D13,'Monthly CUST'!$D$2:$D$65,0),MATCH(CG$1,'Monthly CUST'!$N$1:$CG$1,0))),IF($J13="UPC Growth Rate",((BU13/INDEX('Monthly CUST'!$N$2:$CG$65,MATCH($D13,'Monthly CUST'!$D$2:$D$65,0),MATCH(BU$1,'Monthly CUST'!$N$1:$CG$1,0)))*(1+$L13)*INDEX('Monthly CUST'!$N$2:$CG$65,MATCH($D13,'Monthly CUST'!$D$2:$D$65,0),MATCH(CG$1,'Monthly CUST'!$N$1:$CG$1,0))),IF($J13="Modeled UPC",INDEX('Monthly CUST'!$N$2:$CG$65,MATCH($D13,'Monthly CUST'!$D$2:$D$65,0),MATCH(CG$1,'Monthly CUST'!$N$1:$CG$1,0))/12*$M13,IF($J13="Base Period",BU13,IF($J13="Adjusted",SUMIF('Input 15_Fcst Inputs'!$A:$A,$D13,'Input 15_Fcst Inputs'!$G:$G)/12))))),0)</f>
        <v>0</v>
      </c>
      <c r="CH13" s="197"/>
      <c r="CI13" s="197">
        <f t="shared" si="0"/>
        <v>0</v>
      </c>
      <c r="CJ13" s="197">
        <f t="shared" si="1"/>
        <v>0</v>
      </c>
      <c r="CK13" s="197">
        <f t="shared" si="2"/>
        <v>0</v>
      </c>
      <c r="CL13" s="197">
        <f t="shared" si="3"/>
        <v>0</v>
      </c>
      <c r="CM13" s="197">
        <f t="shared" si="4"/>
        <v>0</v>
      </c>
      <c r="CN13" s="197">
        <f t="shared" si="5"/>
        <v>0</v>
      </c>
      <c r="CP13" s="4">
        <f>SUMIF('Master '!D:D,D13,'Master '!AH:AH)</f>
        <v>0</v>
      </c>
      <c r="CQ13" s="4">
        <f>SUMIF('Master '!D:D,D13,'Master '!AI:AI)</f>
        <v>0</v>
      </c>
      <c r="CR13" s="197">
        <f t="shared" si="6"/>
        <v>0</v>
      </c>
      <c r="CS13" s="197">
        <f t="shared" si="7"/>
        <v>0</v>
      </c>
      <c r="CT13" t="s">
        <v>287</v>
      </c>
      <c r="CV13">
        <f>VLOOKUP(G13,'Master '!G:CC,75,FALSE)</f>
        <v>0</v>
      </c>
    </row>
    <row r="14" spans="1:100">
      <c r="A14" s="53" t="s">
        <v>15</v>
      </c>
      <c r="B14" s="53" t="s">
        <v>994</v>
      </c>
      <c r="C14" s="53" t="s">
        <v>8</v>
      </c>
      <c r="D14" s="53" t="s">
        <v>29</v>
      </c>
      <c r="E14" s="53" t="str">
        <f>VLOOKUP(D14,'Input 14_Ref Table'!C:D,2,FALSE)</f>
        <v>GRS31</v>
      </c>
      <c r="F14" s="143" t="s">
        <v>1286</v>
      </c>
      <c r="G14" s="53" t="str">
        <f>VLOOKUP(D14,'Input 14_Ref Table'!C:I,7,FALSE)</f>
        <v>FPU - FPU - RS</v>
      </c>
      <c r="H14" s="53" t="str">
        <f>VLOOKUP(D14,'Input 14_Ref Table'!C:K,8,FALSE)</f>
        <v>FPU_RS</v>
      </c>
      <c r="I14" s="53"/>
      <c r="J14" t="str">
        <f>INDEX('Master '!$AD$2:AD$65,MATCH(D14,'Master '!$D$2:$D$65,0))</f>
        <v>Modeled UPC</v>
      </c>
      <c r="K14" s="458">
        <f>INDEX('Master '!$N$2:N$65,MATCH(D14,'Master '!$D$2:$D$65,0))</f>
        <v>2.8823680628474693E-2</v>
      </c>
      <c r="L14" s="137">
        <f>INDEX('Master '!$S$2:S$65,MATCH(D14,'Master '!$D$2:$D$65,0))</f>
        <v>0</v>
      </c>
      <c r="M14" s="4">
        <f>INDEX('Master '!$W$2:W$65,MATCH(D14,'Master '!$D$2:$D$65,0))</f>
        <v>250.70017607354299</v>
      </c>
      <c r="N14" s="268">
        <f>SUMIF('Input 16.1_2018VOL-YTD'!$R:$R,$G14,'Input 16.1_2018VOL-YTD'!C:C)</f>
        <v>2192437.1400000174</v>
      </c>
      <c r="O14" s="268">
        <f>SUMIF('Input 16.1_2018VOL-YTD'!$R:$R,$G14,'Input 16.1_2018VOL-YTD'!D:D)</f>
        <v>1547690.9300000307</v>
      </c>
      <c r="P14" s="268">
        <f>SUMIF('Input 16.1_2018VOL-YTD'!$R:$R,$G14,'Input 16.1_2018VOL-YTD'!E:E)</f>
        <v>1412359.3300000189</v>
      </c>
      <c r="Q14" s="268">
        <f>SUMIF('Input 16.1_2018VOL-YTD'!$R:$R,$G14,'Input 16.1_2018VOL-YTD'!F:F)</f>
        <v>1375150.7100000137</v>
      </c>
      <c r="R14" s="268">
        <f>SUMIF('Input 16.1_2018VOL-YTD'!$R:$R,$G14,'Input 16.1_2018VOL-YTD'!G:G)</f>
        <v>990998.20000000857</v>
      </c>
      <c r="S14" s="268">
        <f>SUMIF('Input 16.1_2018VOL-YTD'!$R:$R,$G14,'Input 16.1_2018VOL-YTD'!H:H)</f>
        <v>869539.72000002908</v>
      </c>
      <c r="T14" s="268">
        <f>SUMIF('Input 16.1_2018VOL-YTD'!$R:$R,$G14,'Input 16.1_2018VOL-YTD'!I:I)</f>
        <v>701028</v>
      </c>
      <c r="U14" s="268">
        <f>SUMIF('Input 16.1_2018VOL-YTD'!$R:$R,$G14,'Input 16.1_2018VOL-YTD'!J:J)</f>
        <v>666946.60000002477</v>
      </c>
      <c r="V14" s="268">
        <f>SUMIF('Input 16.1_2018VOL-YTD'!$R:$R,$G14,'Input 16.1_2018VOL-YTD'!K:K)</f>
        <v>727649.75000001537</v>
      </c>
      <c r="W14" s="268">
        <f>SUMIF('Input 16.1_2018VOL-YTD'!$R:$R,$G14,'Input 16.1_2018VOL-YTD'!L:L)</f>
        <v>671483.93000002077</v>
      </c>
      <c r="X14" s="268">
        <f>SUMIF('Input 16.1_2018VOL-YTD'!$R:$R,$G14,'Input 16.1_2018VOL-YTD'!M:M)</f>
        <v>1000463.2400000205</v>
      </c>
      <c r="Y14" s="268">
        <f>SUMIF('Input 16.1_2018VOL-YTD'!$R:$R,$G14,'Input 16.1_2018VOL-YTD'!N:N)</f>
        <v>1541805.6000000525</v>
      </c>
      <c r="Z14" s="268">
        <f>SUMIF('Input 3.1_2019VOL-YTD'!$R:$R,$G14,'Input 3.1_2019VOL-YTD'!C:C)</f>
        <v>1942288.4800000344</v>
      </c>
      <c r="AA14" s="268">
        <f>SUMIF('Input 3.1_2019VOL-YTD'!$R:$R,$G14,'Input 3.1_2019VOL-YTD'!D:D)</f>
        <v>1684907.7400000058</v>
      </c>
      <c r="AB14" s="268">
        <f>SUMIF('Input 3.1_2019VOL-YTD'!$R:$R,$G14,'Input 3.1_2019VOL-YTD'!E:E)</f>
        <v>1348341.0500000133</v>
      </c>
      <c r="AC14" s="268">
        <f>SUMIF('Input 3.1_2019VOL-YTD'!$R:$R,$G14,'Input 3.1_2019VOL-YTD'!F:F)</f>
        <v>1278430.430000023</v>
      </c>
      <c r="AD14" s="268">
        <f>SUMIF('Input 3.1_2019VOL-YTD'!$R:$R,$G14,'Input 3.1_2019VOL-YTD'!G:G)</f>
        <v>1019756.9100000465</v>
      </c>
      <c r="AE14" s="268">
        <f>SUMIF('Input 3.1_2019VOL-YTD'!$R:$R,$G14,'Input 3.1_2019VOL-YTD'!H:H)</f>
        <v>812919.29000003298</v>
      </c>
      <c r="AF14" s="268">
        <f>SUMIF('Input 3.1_2019VOL-YTD'!$R:$R,$G14,'Input 3.1_2019VOL-YTD'!I:I)</f>
        <v>668340.80000001949</v>
      </c>
      <c r="AG14" s="268">
        <f>SUMIF('Input 3.1_2019VOL-YTD'!$R:$R,$G14,'Input 3.1_2019VOL-YTD'!J:J)</f>
        <v>686050.9800000207</v>
      </c>
      <c r="AH14" s="268">
        <f>SUMIF('Input 3.1_2019VOL-YTD'!$R:$R,$G14,'Input 3.1_2019VOL-YTD'!K:K)</f>
        <v>744923.11000003084</v>
      </c>
      <c r="AI14" s="268">
        <f>SUMIF('Input 3.1_2019VOL-YTD'!$R:$R,$G14,'Input 3.1_2019VOL-YTD'!L:L)</f>
        <v>779872.22000002989</v>
      </c>
      <c r="AJ14" s="268">
        <f>SUMIF('Input 3.1_2019VOL-YTD'!$R:$R,$G14,'Input 3.1_2019VOL-YTD'!M:M)</f>
        <v>1048476.6200000342</v>
      </c>
      <c r="AK14" s="268">
        <f>SUMIF('Input 3.1_2019VOL-YTD'!$R:$R,$G14,'Input 3.1_2019VOL-YTD'!N:N)</f>
        <v>1664736.9500000374</v>
      </c>
      <c r="AL14" s="268">
        <f>SUMIF('Input 4.1_2020VOL-YTD'!$R:$R,$G14,'Input 4.1_2020VOL-YTD'!C:C)</f>
        <v>1891241.4500000305</v>
      </c>
      <c r="AM14" s="268">
        <f>SUMIF('Input 4.1_2020VOL-YTD'!$R:$R,$G14,'Input 4.1_2020VOL-YTD'!D:D)</f>
        <v>1677873.8000000319</v>
      </c>
      <c r="AN14" s="268">
        <f>SUMIF('Input 4.1_2020VOL-YTD'!$R:$R,$G14,'Input 4.1_2020VOL-YTD'!E:E)</f>
        <v>1521634.1000000073</v>
      </c>
      <c r="AO14" s="268">
        <f>SUMIF('Input 4.1_2020VOL-YTD'!$R:$R,$G14,'Input 4.1_2020VOL-YTD'!F:F)</f>
        <v>1400471.4900000286</v>
      </c>
      <c r="AP14" s="268">
        <f>SUMIF('Input 4.1_2020VOL-YTD'!$R:$R,$G14,'Input 4.1_2020VOL-YTD'!G:G)</f>
        <v>1306732.8000000303</v>
      </c>
      <c r="AQ14" s="268">
        <f>SUMIF('Input 4.1_2020VOL-YTD'!$R:$R,$G14,'Input 4.1_2020VOL-YTD'!H:H)</f>
        <v>993212.99000004982</v>
      </c>
      <c r="AR14" s="268">
        <f>SUMIF('Input 4.1_2020VOL-YTD'!$R:$R,$G14,'Input 4.1_2020VOL-YTD'!I:I)</f>
        <v>853601.52000002691</v>
      </c>
      <c r="AS14" s="268">
        <f>SUMIF('Input 4.1_2020VOL-YTD'!$R:$R,$G14,'Input 4.1_2020VOL-YTD'!J:J)</f>
        <v>767283.78000003565</v>
      </c>
      <c r="AT14" s="268">
        <f>SUMIF('Input 4.1_2020VOL-YTD'!$R:$R,$G14,'Input 4.1_2020VOL-YTD'!K:K)</f>
        <v>763359.69000002486</v>
      </c>
      <c r="AU14" s="268">
        <f>SUMIF('Input 4.1_2020VOL-YTD'!$R:$R,$G14,'Input 4.1_2020VOL-YTD'!L:L)</f>
        <v>831943.12000005401</v>
      </c>
      <c r="AV14" s="268">
        <f>SUMIF('Input 4.1_2020VOL-YTD'!$R:$R,$G14,'Input 4.1_2020VOL-YTD'!M:M)</f>
        <v>1175988.1900000391</v>
      </c>
      <c r="AW14" s="268">
        <f>SUMIF('Input 4.1_2020VOL-YTD'!$R:$R,$G14,'Input 4.1_2020VOL-YTD'!N:N)</f>
        <v>1892109.2100000058</v>
      </c>
      <c r="AX14" s="268">
        <f>SUMIF('Input 5.1_2021VOL-YTD'!$R:$R,$G14,'Input 5.1_2021VOL-YTD'!C:C)</f>
        <v>2495707.2300000116</v>
      </c>
      <c r="AY14" s="268">
        <f>SUMIF('Input 5.1_2021VOL-YTD'!$R:$R,$G14,'Input 5.1_2021VOL-YTD'!D:D)</f>
        <v>1920413.5599999847</v>
      </c>
      <c r="AZ14" s="268">
        <f>SUMIF('Input 5.1_2021VOL-YTD'!$R:$R,$G14,'Input 5.1_2021VOL-YTD'!E:E)</f>
        <v>1647912.3800000115</v>
      </c>
      <c r="BA14" s="268">
        <f>SUMIF('Input 5.1_2021VOL-YTD'!$R:$R,$G14,'Input 5.1_2021VOL-YTD'!F:F)</f>
        <v>1574063.5399999898</v>
      </c>
      <c r="BB14" s="268">
        <f>SUMIF('Input 5.1_2021VOL-YTD'!$R:$R,$G14,'Input 5.1_2021VOL-YTD'!G:G)</f>
        <v>1193832.76000001</v>
      </c>
      <c r="BC14" s="268">
        <f>SUMIF('Input 5.1_2021VOL-YTD'!$R:$R,$G14,'Input 5.1_2021VOL-YTD'!H:H)</f>
        <v>951162.19000002928</v>
      </c>
      <c r="BD14" s="268">
        <f>SUMIF('Input 5.1_2021VOL-YTD'!$R:$R,$G14,'Input 5.1_2021VOL-YTD'!I:I)</f>
        <v>875809.12000003376</v>
      </c>
      <c r="BE14" s="268">
        <f>SUMIF('Input 5.1_2021VOL-YTD'!$R:$R,$G14,'Input 5.1_2021VOL-YTD'!J:J)</f>
        <v>752302.45000003267</v>
      </c>
      <c r="BF14" s="268">
        <f>SUMIF('Input 5.1_2021VOL-YTD'!$R:$R,$G14,'Input 5.1_2021VOL-YTD'!K:K)</f>
        <v>822860.08000003546</v>
      </c>
      <c r="BG14" s="268">
        <f>SUMIF('Input 5.1_2021VOL-YTD'!$R:$R,$G14,'Input 5.1_2021VOL-YTD'!L:L)</f>
        <v>857441.39000002749</v>
      </c>
      <c r="BH14" s="268">
        <f>SUMIF('Input 5.1_2021VOL-YTD'!$R:$R,$G14,'Input 5.1_2021VOL-YTD'!M:M)</f>
        <v>1211758.1300000167</v>
      </c>
      <c r="BI14" s="268">
        <f>SUMIF('Input 5.1_2021VOL-YTD'!$R:$R,$G14,'Input 5.1_2021VOL-YTD'!N:N)</f>
        <v>1706736.6299999915</v>
      </c>
      <c r="BJ14" s="483">
        <f>IFERROR(IF($J14="Historical Average",INDEX('Monthly UPC'!$CM$2:$DJ$65,MATCH($D14,'Monthly UPC'!$D$2:$D$65,0),MATCH(BJ$1,'Monthly UPC'!$CM$1:$DJ$1))*(INDEX('Monthly CUST'!$N$2:$CG$65,MATCH($D14,'Monthly CUST'!$D$2:$D$65,0),MATCH(BJ$1,'Monthly CUST'!$N$1:$CG$1,0))),IF($J14="UPC Growth Rate",((AX14/INDEX('Monthly CUST'!$N$2:$CG$65,MATCH($D14,'Monthly CUST'!$D$2:$D$65,0),MATCH(AX$1,'Monthly CUST'!$N$1:$CG$1,0)))*(1+$L14)*INDEX('Monthly CUST'!$N$2:$CG$65,MATCH($D14,'Monthly CUST'!$D$2:$D$65,0),MATCH(BJ$1,'Monthly CUST'!$N$1:$CG$1,0))),IF($J14="Modeled UPC",INDEX('Monthly CUST'!$N$2:$CG$65,MATCH($D14,'Monthly CUST'!$D$2:$D$65,0),MATCH(BJ$1,'Monthly CUST'!$N$1:$CG$1,0))/12*$M14,IF($J14="Base Period",AX14,IF($J14="Adjusted",SUMIF('Input 15_Fcst Inputs'!$A:$A,$D14,'Input 15_Fcst Inputs'!$G:$G)/12))))),0)</f>
        <v>1283957.0112975377</v>
      </c>
      <c r="BK14" s="483">
        <f>IFERROR(IF($J14="Historical Average",INDEX('Monthly UPC'!$CM$2:$DJ$65,MATCH($D14,'Monthly UPC'!$D$2:$D$65,0),MATCH(BK$1,'Monthly UPC'!$CM$1:$DJ$1))*(INDEX('Monthly CUST'!$N$2:$CG$65,MATCH($D14,'Monthly CUST'!$D$2:$D$65,0),MATCH(BK$1,'Monthly CUST'!$N$1:$CG$1,0))),IF($J14="UPC Growth Rate",((AY14/INDEX('Monthly CUST'!$N$2:$CG$65,MATCH($D14,'Monthly CUST'!$D$2:$D$65,0),MATCH(AY$1,'Monthly CUST'!$N$1:$CG$1,0)))*(1+$L14)*INDEX('Monthly CUST'!$N$2:$CG$65,MATCH($D14,'Monthly CUST'!$D$2:$D$65,0),MATCH(BK$1,'Monthly CUST'!$N$1:$CG$1,0))),IF($J14="Modeled UPC",INDEX('Monthly CUST'!$N$2:$CG$65,MATCH($D14,'Monthly CUST'!$D$2:$D$65,0),MATCH(BK$1,'Monthly CUST'!$N$1:$CG$1,0))/12*$M14,IF($J14="Base Period",AY14,IF($J14="Adjusted",SUMIF('Input 15_Fcst Inputs'!$A:$A,$D14,'Input 15_Fcst Inputs'!$G:$G)/12))))),0)</f>
        <v>1288427.7334474956</v>
      </c>
      <c r="BL14" s="483">
        <f>IFERROR(IF($J14="Historical Average",INDEX('Monthly UPC'!$CM$2:$DJ$65,MATCH($D14,'Monthly UPC'!$D$2:$D$65,0),MATCH(BL$1,'Monthly UPC'!$CM$1:$DJ$1))*(INDEX('Monthly CUST'!$N$2:$CG$65,MATCH($D14,'Monthly CUST'!$D$2:$D$65,0),MATCH(BL$1,'Monthly CUST'!$N$1:$CG$1,0))),IF($J14="UPC Growth Rate",((AZ14/INDEX('Monthly CUST'!$N$2:$CG$65,MATCH($D14,'Monthly CUST'!$D$2:$D$65,0),MATCH(AZ$1,'Monthly CUST'!$N$1:$CG$1,0)))*(1+$L14)*INDEX('Monthly CUST'!$N$2:$CG$65,MATCH($D14,'Monthly CUST'!$D$2:$D$65,0),MATCH(BL$1,'Monthly CUST'!$N$1:$CG$1,0))),IF($J14="Modeled UPC",INDEX('Monthly CUST'!$N$2:$CG$65,MATCH($D14,'Monthly CUST'!$D$2:$D$65,0),MATCH(BL$1,'Monthly CUST'!$N$1:$CG$1,0))/12*$M14,IF($J14="Base Period",AZ14,IF($J14="Adjusted",SUMIF('Input 15_Fcst Inputs'!$A:$A,$D14,'Input 15_Fcst Inputs'!$G:$G)/12))))),0)</f>
        <v>1294424.5194082565</v>
      </c>
      <c r="BM14" s="483">
        <f>IFERROR(IF($J14="Historical Average",INDEX('Monthly UPC'!$CM$2:$DJ$65,MATCH($D14,'Monthly UPC'!$D$2:$D$65,0),MATCH(BM$1,'Monthly UPC'!$CM$1:$DJ$1))*(INDEX('Monthly CUST'!$N$2:$CG$65,MATCH($D14,'Monthly CUST'!$D$2:$D$65,0),MATCH(BM$1,'Monthly CUST'!$N$1:$CG$1,0))),IF($J14="UPC Growth Rate",((BA14/INDEX('Monthly CUST'!$N$2:$CG$65,MATCH($D14,'Monthly CUST'!$D$2:$D$65,0),MATCH(BA$1,'Monthly CUST'!$N$1:$CG$1,0)))*(1+$L14)*INDEX('Monthly CUST'!$N$2:$CG$65,MATCH($D14,'Monthly CUST'!$D$2:$D$65,0),MATCH(BM$1,'Monthly CUST'!$N$1:$CG$1,0))),IF($J14="Modeled UPC",INDEX('Monthly CUST'!$N$2:$CG$65,MATCH($D14,'Monthly CUST'!$D$2:$D$65,0),MATCH(BM$1,'Monthly CUST'!$N$1:$CG$1,0))/12*$M14,IF($J14="Base Period",BA14,IF($J14="Adjusted",SUMIF('Input 15_Fcst Inputs'!$A:$A,$D14,'Input 15_Fcst Inputs'!$G:$G)/12))))),0)</f>
        <v>1303151.0251432706</v>
      </c>
      <c r="BN14" s="483">
        <f>IFERROR(IF($J14="Historical Average",INDEX('Monthly UPC'!$CM$2:$DJ$65,MATCH($D14,'Monthly UPC'!$D$2:$D$65,0),MATCH(BN$1,'Monthly UPC'!$CM$1:$DJ$1))*(INDEX('Monthly CUST'!$N$2:$CG$65,MATCH($D14,'Monthly CUST'!$D$2:$D$65,0),MATCH(BN$1,'Monthly CUST'!$N$1:$CG$1,0))),IF($J14="UPC Growth Rate",((BB14/INDEX('Monthly CUST'!$N$2:$CG$65,MATCH($D14,'Monthly CUST'!$D$2:$D$65,0),MATCH(BB$1,'Monthly CUST'!$N$1:$CG$1,0)))*(1+$L14)*INDEX('Monthly CUST'!$N$2:$CG$65,MATCH($D14,'Monthly CUST'!$D$2:$D$65,0),MATCH(BN$1,'Monthly CUST'!$N$1:$CG$1,0))),IF($J14="Modeled UPC",INDEX('Monthly CUST'!$N$2:$CG$65,MATCH($D14,'Monthly CUST'!$D$2:$D$65,0),MATCH(BN$1,'Monthly CUST'!$N$1:$CG$1,0))/12*$M14,IF($J14="Base Period",BB14,IF($J14="Adjusted",SUMIF('Input 15_Fcst Inputs'!$A:$A,$D14,'Input 15_Fcst Inputs'!$G:$G)/12))))),0)</f>
        <v>1304698.5828105637</v>
      </c>
      <c r="BO14" s="483">
        <f>IFERROR(IF($J14="Historical Average",INDEX('Monthly UPC'!$CM$2:$DJ$65,MATCH($D14,'Monthly UPC'!$D$2:$D$65,0),MATCH(BO$1,'Monthly UPC'!$CM$1:$DJ$1))*(INDEX('Monthly CUST'!$N$2:$CG$65,MATCH($D14,'Monthly CUST'!$D$2:$D$65,0),MATCH(BO$1,'Monthly CUST'!$N$1:$CG$1,0))),IF($J14="UPC Growth Rate",((BC14/INDEX('Monthly CUST'!$N$2:$CG$65,MATCH($D14,'Monthly CUST'!$D$2:$D$65,0),MATCH(BC$1,'Monthly CUST'!$N$1:$CG$1,0)))*(1+$L14)*INDEX('Monthly CUST'!$N$2:$CG$65,MATCH($D14,'Monthly CUST'!$D$2:$D$65,0),MATCH(BO$1,'Monthly CUST'!$N$1:$CG$1,0))),IF($J14="Modeled UPC",INDEX('Monthly CUST'!$N$2:$CG$65,MATCH($D14,'Monthly CUST'!$D$2:$D$65,0),MATCH(BO$1,'Monthly CUST'!$N$1:$CG$1,0))/12*$M14,IF($J14="Base Period",BC14,IF($J14="Adjusted",SUMIF('Input 15_Fcst Inputs'!$A:$A,$D14,'Input 15_Fcst Inputs'!$G:$G)/12))))),0)</f>
        <v>1312328.9018645787</v>
      </c>
      <c r="BP14" s="483">
        <f>IFERROR(IF($J14="Historical Average",INDEX('Monthly UPC'!$CM$2:$DJ$65,MATCH($D14,'Monthly UPC'!$D$2:$D$65,0),MATCH(BP$1,'Monthly UPC'!$CM$1:$DJ$1))*(INDEX('Monthly CUST'!$N$2:$CG$65,MATCH($D14,'Monthly CUST'!$D$2:$D$65,0),MATCH(BP$1,'Monthly CUST'!$N$1:$CG$1,0))),IF($J14="UPC Growth Rate",((BD14/INDEX('Monthly CUST'!$N$2:$CG$65,MATCH($D14,'Monthly CUST'!$D$2:$D$65,0),MATCH(BD$1,'Monthly CUST'!$N$1:$CG$1,0)))*(1+$L14)*INDEX('Monthly CUST'!$N$2:$CG$65,MATCH($D14,'Monthly CUST'!$D$2:$D$65,0),MATCH(BP$1,'Monthly CUST'!$N$1:$CG$1,0))),IF($J14="Modeled UPC",INDEX('Monthly CUST'!$N$2:$CG$65,MATCH($D14,'Monthly CUST'!$D$2:$D$65,0),MATCH(BP$1,'Monthly CUST'!$N$1:$CG$1,0))/12*$M14,IF($J14="Base Period",BD14,IF($J14="Adjusted",SUMIF('Input 15_Fcst Inputs'!$A:$A,$D14,'Input 15_Fcst Inputs'!$G:$G)/12))))),0)</f>
        <v>1316154.808319831</v>
      </c>
      <c r="BQ14" s="483">
        <f>IFERROR(IF($J14="Historical Average",INDEX('Monthly UPC'!$CM$2:$DJ$65,MATCH($D14,'Monthly UPC'!$D$2:$D$65,0),MATCH(BQ$1,'Monthly UPC'!$CM$1:$DJ$1))*(INDEX('Monthly CUST'!$N$2:$CG$65,MATCH($D14,'Monthly CUST'!$D$2:$D$65,0),MATCH(BQ$1,'Monthly CUST'!$N$1:$CG$1,0))),IF($J14="UPC Growth Rate",((BE14/INDEX('Monthly CUST'!$N$2:$CG$65,MATCH($D14,'Monthly CUST'!$D$2:$D$65,0),MATCH(BE$1,'Monthly CUST'!$N$1:$CG$1,0)))*(1+$L14)*INDEX('Monthly CUST'!$N$2:$CG$65,MATCH($D14,'Monthly CUST'!$D$2:$D$65,0),MATCH(BQ$1,'Monthly CUST'!$N$1:$CG$1,0))),IF($J14="Modeled UPC",INDEX('Monthly CUST'!$N$2:$CG$65,MATCH($D14,'Monthly CUST'!$D$2:$D$65,0),MATCH(BQ$1,'Monthly CUST'!$N$1:$CG$1,0))/12*$M14,IF($J14="Base Period",BE14,IF($J14="Adjusted",SUMIF('Input 15_Fcst Inputs'!$A:$A,$D14,'Input 15_Fcst Inputs'!$G:$G)/12))))),0)</f>
        <v>1318196.7246863984</v>
      </c>
      <c r="BR14" s="483">
        <f>IFERROR(IF($J14="Historical Average",INDEX('Monthly UPC'!$CM$2:$DJ$65,MATCH($D14,'Monthly UPC'!$D$2:$D$65,0),MATCH(BR$1,'Monthly UPC'!$CM$1:$DJ$1))*(INDEX('Monthly CUST'!$N$2:$CG$65,MATCH($D14,'Monthly CUST'!$D$2:$D$65,0),MATCH(BR$1,'Monthly CUST'!$N$1:$CG$1,0))),IF($J14="UPC Growth Rate",((BF14/INDEX('Monthly CUST'!$N$2:$CG$65,MATCH($D14,'Monthly CUST'!$D$2:$D$65,0),MATCH(BF$1,'Monthly CUST'!$N$1:$CG$1,0)))*(1+$L14)*INDEX('Monthly CUST'!$N$2:$CG$65,MATCH($D14,'Monthly CUST'!$D$2:$D$65,0),MATCH(BR$1,'Monthly CUST'!$N$1:$CG$1,0))),IF($J14="Modeled UPC",INDEX('Monthly CUST'!$N$2:$CG$65,MATCH($D14,'Monthly CUST'!$D$2:$D$65,0),MATCH(BR$1,'Monthly CUST'!$N$1:$CG$1,0))/12*$M14,IF($J14="Base Period",BF14,IF($J14="Adjusted",SUMIF('Input 15_Fcst Inputs'!$A:$A,$D14,'Input 15_Fcst Inputs'!$G:$G)/12))))),0)</f>
        <v>1321979.6434286705</v>
      </c>
      <c r="BS14" s="483">
        <f>IFERROR(IF($J14="Historical Average",INDEX('Monthly UPC'!$CM$2:$DJ$65,MATCH($D14,'Monthly UPC'!$D$2:$D$65,0),MATCH(BS$1,'Monthly UPC'!$CM$1:$DJ$1))*(INDEX('Monthly CUST'!$N$2:$CG$65,MATCH($D14,'Monthly CUST'!$D$2:$D$65,0),MATCH(BS$1,'Monthly CUST'!$N$1:$CG$1,0))),IF($J14="UPC Growth Rate",((BG14/INDEX('Monthly CUST'!$N$2:$CG$65,MATCH($D14,'Monthly CUST'!$D$2:$D$65,0),MATCH(BG$1,'Monthly CUST'!$N$1:$CG$1,0)))*(1+$L14)*INDEX('Monthly CUST'!$N$2:$CG$65,MATCH($D14,'Monthly CUST'!$D$2:$D$65,0),MATCH(BS$1,'Monthly CUST'!$N$1:$CG$1,0))),IF($J14="Modeled UPC",INDEX('Monthly CUST'!$N$2:$CG$65,MATCH($D14,'Monthly CUST'!$D$2:$D$65,0),MATCH(BS$1,'Monthly CUST'!$N$1:$CG$1,0))/12*$M14,IF($J14="Base Period",BG14,IF($J14="Adjusted",SUMIF('Input 15_Fcst Inputs'!$A:$A,$D14,'Input 15_Fcst Inputs'!$G:$G)/12))))),0)</f>
        <v>1328599.7512276468</v>
      </c>
      <c r="BT14" s="483">
        <f>IFERROR(IF($J14="Historical Average",INDEX('Monthly UPC'!$CM$2:$DJ$65,MATCH($D14,'Monthly UPC'!$D$2:$D$65,0),MATCH(BT$1,'Monthly UPC'!$CM$1:$DJ$1))*(INDEX('Monthly CUST'!$N$2:$CG$65,MATCH($D14,'Monthly CUST'!$D$2:$D$65,0),MATCH(BT$1,'Monthly CUST'!$N$1:$CG$1,0))),IF($J14="UPC Growth Rate",((BH14/INDEX('Monthly CUST'!$N$2:$CG$65,MATCH($D14,'Monthly CUST'!$D$2:$D$65,0),MATCH(BH$1,'Monthly CUST'!$N$1:$CG$1,0)))*(1+$L14)*INDEX('Monthly CUST'!$N$2:$CG$65,MATCH($D14,'Monthly CUST'!$D$2:$D$65,0),MATCH(BT$1,'Monthly CUST'!$N$1:$CG$1,0))),IF($J14="Modeled UPC",INDEX('Monthly CUST'!$N$2:$CG$65,MATCH($D14,'Monthly CUST'!$D$2:$D$65,0),MATCH(BT$1,'Monthly CUST'!$N$1:$CG$1,0))/12*$M14,IF($J14="Base Period",BH14,IF($J14="Adjusted",SUMIF('Input 15_Fcst Inputs'!$A:$A,$D14,'Input 15_Fcst Inputs'!$G:$G)/12))))),0)</f>
        <v>1336208.5764251712</v>
      </c>
      <c r="BU14" s="483">
        <f>IFERROR(IF($J14="Historical Average",INDEX('Monthly UPC'!$CM$2:$DJ$65,MATCH($D14,'Monthly UPC'!$D$2:$D$65,0),MATCH(BU$1,'Monthly UPC'!$CM$1:$DJ$1))*(INDEX('Monthly CUST'!$N$2:$CG$65,MATCH($D14,'Monthly CUST'!$D$2:$D$65,0),MATCH(BU$1,'Monthly CUST'!$N$1:$CG$1,0))),IF($J14="UPC Growth Rate",((BI14/INDEX('Monthly CUST'!$N$2:$CG$65,MATCH($D14,'Monthly CUST'!$D$2:$D$65,0),MATCH(BI$1,'Monthly CUST'!$N$1:$CG$1,0)))*(1+$L14)*INDEX('Monthly CUST'!$N$2:$CG$65,MATCH($D14,'Monthly CUST'!$D$2:$D$65,0),MATCH(BU$1,'Monthly CUST'!$N$1:$CG$1,0))),IF($J14="Modeled UPC",INDEX('Monthly CUST'!$N$2:$CG$65,MATCH($D14,'Monthly CUST'!$D$2:$D$65,0),MATCH(BU$1,'Monthly CUST'!$N$1:$CG$1,0))/12*$M14,IF($J14="Base Period",BI14,IF($J14="Adjusted",SUMIF('Input 15_Fcst Inputs'!$A:$A,$D14,'Input 15_Fcst Inputs'!$G:$G)/12))))),0)</f>
        <v>1341324.1142698345</v>
      </c>
      <c r="BV14" s="483">
        <f>IFERROR(IF($J14="Historical Average",INDEX('Monthly UPC'!$CM$2:$DJ$65,MATCH($D14,'Monthly UPC'!$D$2:$D$65,0),MATCH(BV$1,'Monthly UPC'!$CM$1:$DJ$1))*(INDEX('Monthly CUST'!$N$2:$CG$65,MATCH($D14,'Monthly CUST'!$D$2:$D$65,0),MATCH(BV$1,'Monthly CUST'!$N$1:$CG$1,0))),IF($J14="UPC Growth Rate",((BJ14/INDEX('Monthly CUST'!$N$2:$CG$65,MATCH($D14,'Monthly CUST'!$D$2:$D$65,0),MATCH(BJ$1,'Monthly CUST'!$N$1:$CG$1,0)))*(1+$L14)*INDEX('Monthly CUST'!$N$2:$CG$65,MATCH($D14,'Monthly CUST'!$D$2:$D$65,0),MATCH(BV$1,'Monthly CUST'!$N$1:$CG$1,0))),IF($J14="Modeled UPC",INDEX('Monthly CUST'!$N$2:$CG$65,MATCH($D14,'Monthly CUST'!$D$2:$D$65,0),MATCH(BV$1,'Monthly CUST'!$N$1:$CG$1,0))/12*$M14,IF($J14="Base Period",BJ14,IF($J14="Adjusted",SUMIF('Input 15_Fcst Inputs'!$A:$A,$D14,'Input 15_Fcst Inputs'!$G:$G)/12))))),0)</f>
        <v>1320965.3781318688</v>
      </c>
      <c r="BW14" s="483">
        <f>IFERROR(IF($J14="Historical Average",INDEX('Monthly UPC'!$CM$2:$DJ$65,MATCH($D14,'Monthly UPC'!$D$2:$D$65,0),MATCH(BW$1,'Monthly UPC'!$CM$1:$DJ$1))*(INDEX('Monthly CUST'!$N$2:$CG$65,MATCH($D14,'Monthly CUST'!$D$2:$D$65,0),MATCH(BW$1,'Monthly CUST'!$N$1:$CG$1,0))),IF($J14="UPC Growth Rate",((BK14/INDEX('Monthly CUST'!$N$2:$CG$65,MATCH($D14,'Monthly CUST'!$D$2:$D$65,0),MATCH(BK$1,'Monthly CUST'!$N$1:$CG$1,0)))*(1+$L14)*INDEX('Monthly CUST'!$N$2:$CG$65,MATCH($D14,'Monthly CUST'!$D$2:$D$65,0),MATCH(BW$1,'Monthly CUST'!$N$1:$CG$1,0))),IF($J14="Modeled UPC",INDEX('Monthly CUST'!$N$2:$CG$65,MATCH($D14,'Monthly CUST'!$D$2:$D$65,0),MATCH(BW$1,'Monthly CUST'!$N$1:$CG$1,0))/12*$M14,IF($J14="Base Period",BK14,IF($J14="Adjusted",SUMIF('Input 15_Fcst Inputs'!$A:$A,$D14,'Input 15_Fcst Inputs'!$G:$G)/12))))),0)</f>
        <v>1325564.9629492557</v>
      </c>
      <c r="BX14" s="483">
        <f>IFERROR(IF($J14="Historical Average",INDEX('Monthly UPC'!$CM$2:$DJ$65,MATCH($D14,'Monthly UPC'!$D$2:$D$65,0),MATCH(BX$1,'Monthly UPC'!$CM$1:$DJ$1))*(INDEX('Monthly CUST'!$N$2:$CG$65,MATCH($D14,'Monthly CUST'!$D$2:$D$65,0),MATCH(BX$1,'Monthly CUST'!$N$1:$CG$1,0))),IF($J14="UPC Growth Rate",((BL14/INDEX('Monthly CUST'!$N$2:$CG$65,MATCH($D14,'Monthly CUST'!$D$2:$D$65,0),MATCH(BL$1,'Monthly CUST'!$N$1:$CG$1,0)))*(1+$L14)*INDEX('Monthly CUST'!$N$2:$CG$65,MATCH($D14,'Monthly CUST'!$D$2:$D$65,0),MATCH(BX$1,'Monthly CUST'!$N$1:$CG$1,0))),IF($J14="Modeled UPC",INDEX('Monthly CUST'!$N$2:$CG$65,MATCH($D14,'Monthly CUST'!$D$2:$D$65,0),MATCH(BX$1,'Monthly CUST'!$N$1:$CG$1,0))/12*$M14,IF($J14="Base Period",BL14,IF($J14="Adjusted",SUMIF('Input 15_Fcst Inputs'!$A:$A,$D14,'Input 15_Fcst Inputs'!$G:$G)/12))))),0)</f>
        <v>1331734.598353347</v>
      </c>
      <c r="BY14" s="483">
        <f>IFERROR(IF($J14="Historical Average",INDEX('Monthly UPC'!$CM$2:$DJ$65,MATCH($D14,'Monthly UPC'!$D$2:$D$65,0),MATCH(BY$1,'Monthly UPC'!$CM$1:$DJ$1))*(INDEX('Monthly CUST'!$N$2:$CG$65,MATCH($D14,'Monthly CUST'!$D$2:$D$65,0),MATCH(BY$1,'Monthly CUST'!$N$1:$CG$1,0))),IF($J14="UPC Growth Rate",((BM14/INDEX('Monthly CUST'!$N$2:$CG$65,MATCH($D14,'Monthly CUST'!$D$2:$D$65,0),MATCH(BM$1,'Monthly CUST'!$N$1:$CG$1,0)))*(1+$L14)*INDEX('Monthly CUST'!$N$2:$CG$65,MATCH($D14,'Monthly CUST'!$D$2:$D$65,0),MATCH(BY$1,'Monthly CUST'!$N$1:$CG$1,0))),IF($J14="Modeled UPC",INDEX('Monthly CUST'!$N$2:$CG$65,MATCH($D14,'Monthly CUST'!$D$2:$D$65,0),MATCH(BY$1,'Monthly CUST'!$N$1:$CG$1,0))/12*$M14,IF($J14="Base Period",BM14,IF($J14="Adjusted",SUMIF('Input 15_Fcst Inputs'!$A:$A,$D14,'Input 15_Fcst Inputs'!$G:$G)/12))))),0)</f>
        <v>1340712.6341026698</v>
      </c>
      <c r="BZ14" s="483">
        <f>IFERROR(IF($J14="Historical Average",INDEX('Monthly UPC'!$CM$2:$DJ$65,MATCH($D14,'Monthly UPC'!$D$2:$D$65,0),MATCH(BZ$1,'Monthly UPC'!$CM$1:$DJ$1))*(INDEX('Monthly CUST'!$N$2:$CG$65,MATCH($D14,'Monthly CUST'!$D$2:$D$65,0),MATCH(BZ$1,'Monthly CUST'!$N$1:$CG$1,0))),IF($J14="UPC Growth Rate",((BN14/INDEX('Monthly CUST'!$N$2:$CG$65,MATCH($D14,'Monthly CUST'!$D$2:$D$65,0),MATCH(BN$1,'Monthly CUST'!$N$1:$CG$1,0)))*(1+$L14)*INDEX('Monthly CUST'!$N$2:$CG$65,MATCH($D14,'Monthly CUST'!$D$2:$D$65,0),MATCH(BZ$1,'Monthly CUST'!$N$1:$CG$1,0))),IF($J14="Modeled UPC",INDEX('Monthly CUST'!$N$2:$CG$65,MATCH($D14,'Monthly CUST'!$D$2:$D$65,0),MATCH(BZ$1,'Monthly CUST'!$N$1:$CG$1,0))/12*$M14,IF($J14="Base Period",BN14,IF($J14="Adjusted",SUMIF('Input 15_Fcst Inputs'!$A:$A,$D14,'Input 15_Fcst Inputs'!$G:$G)/12))))),0)</f>
        <v>1342304.7980779191</v>
      </c>
      <c r="CA14" s="483">
        <f>IFERROR(IF($J14="Historical Average",INDEX('Monthly UPC'!$CM$2:$DJ$65,MATCH($D14,'Monthly UPC'!$D$2:$D$65,0),MATCH(CA$1,'Monthly UPC'!$CM$1:$DJ$1))*(INDEX('Monthly CUST'!$N$2:$CG$65,MATCH($D14,'Monthly CUST'!$D$2:$D$65,0),MATCH(CA$1,'Monthly CUST'!$N$1:$CG$1,0))),IF($J14="UPC Growth Rate",((BO14/INDEX('Monthly CUST'!$N$2:$CG$65,MATCH($D14,'Monthly CUST'!$D$2:$D$65,0),MATCH(BO$1,'Monthly CUST'!$N$1:$CG$1,0)))*(1+$L14)*INDEX('Monthly CUST'!$N$2:$CG$65,MATCH($D14,'Monthly CUST'!$D$2:$D$65,0),MATCH(CA$1,'Monthly CUST'!$N$1:$CG$1,0))),IF($J14="Modeled UPC",INDEX('Monthly CUST'!$N$2:$CG$65,MATCH($D14,'Monthly CUST'!$D$2:$D$65,0),MATCH(CA$1,'Monthly CUST'!$N$1:$CG$1,0))/12*$M14,IF($J14="Base Period",BO14,IF($J14="Adjusted",SUMIF('Input 15_Fcst Inputs'!$A:$A,$D14,'Input 15_Fcst Inputs'!$G:$G)/12))))),0)</f>
        <v>1350155.0510114403</v>
      </c>
      <c r="CB14" s="483">
        <f>IFERROR(IF($J14="Historical Average",INDEX('Monthly UPC'!$CM$2:$DJ$65,MATCH($D14,'Monthly UPC'!$D$2:$D$65,0),MATCH(CB$1,'Monthly UPC'!$CM$1:$DJ$1))*(INDEX('Monthly CUST'!$N$2:$CG$65,MATCH($D14,'Monthly CUST'!$D$2:$D$65,0),MATCH(CB$1,'Monthly CUST'!$N$1:$CG$1,0))),IF($J14="UPC Growth Rate",((BP14/INDEX('Monthly CUST'!$N$2:$CG$65,MATCH($D14,'Monthly CUST'!$D$2:$D$65,0),MATCH(BP$1,'Monthly CUST'!$N$1:$CG$1,0)))*(1+$L14)*INDEX('Monthly CUST'!$N$2:$CG$65,MATCH($D14,'Monthly CUST'!$D$2:$D$65,0),MATCH(CB$1,'Monthly CUST'!$N$1:$CG$1,0))),IF($J14="Modeled UPC",INDEX('Monthly CUST'!$N$2:$CG$65,MATCH($D14,'Monthly CUST'!$D$2:$D$65,0),MATCH(CB$1,'Monthly CUST'!$N$1:$CG$1,0))/12*$M14,IF($J14="Base Period",BP14,IF($J14="Adjusted",SUMIF('Input 15_Fcst Inputs'!$A:$A,$D14,'Input 15_Fcst Inputs'!$G:$G)/12))))),0)</f>
        <v>1354091.2341724732</v>
      </c>
      <c r="CC14" s="483">
        <f>IFERROR(IF($J14="Historical Average",INDEX('Monthly UPC'!$CM$2:$DJ$65,MATCH($D14,'Monthly UPC'!$D$2:$D$65,0),MATCH(CC$1,'Monthly UPC'!$CM$1:$DJ$1))*(INDEX('Monthly CUST'!$N$2:$CG$65,MATCH($D14,'Monthly CUST'!$D$2:$D$65,0),MATCH(CC$1,'Monthly CUST'!$N$1:$CG$1,0))),IF($J14="UPC Growth Rate",((BQ14/INDEX('Monthly CUST'!$N$2:$CG$65,MATCH($D14,'Monthly CUST'!$D$2:$D$65,0),MATCH(BQ$1,'Monthly CUST'!$N$1:$CG$1,0)))*(1+$L14)*INDEX('Monthly CUST'!$N$2:$CG$65,MATCH($D14,'Monthly CUST'!$D$2:$D$65,0),MATCH(CC$1,'Monthly CUST'!$N$1:$CG$1,0))),IF($J14="Modeled UPC",INDEX('Monthly CUST'!$N$2:$CG$65,MATCH($D14,'Monthly CUST'!$D$2:$D$65,0),MATCH(CC$1,'Monthly CUST'!$N$1:$CG$1,0))/12*$M14,IF($J14="Base Period",BQ14,IF($J14="Adjusted",SUMIF('Input 15_Fcst Inputs'!$A:$A,$D14,'Input 15_Fcst Inputs'!$G:$G)/12))))),0)</f>
        <v>1356192.0060842605</v>
      </c>
      <c r="CD14" s="483">
        <f>IFERROR(IF($J14="Historical Average",INDEX('Monthly UPC'!$CM$2:$DJ$65,MATCH($D14,'Monthly UPC'!$D$2:$D$65,0),MATCH(CD$1,'Monthly UPC'!$CM$1:$DJ$1))*(INDEX('Monthly CUST'!$N$2:$CG$65,MATCH($D14,'Monthly CUST'!$D$2:$D$65,0),MATCH(CD$1,'Monthly CUST'!$N$1:$CG$1,0))),IF($J14="UPC Growth Rate",((BR14/INDEX('Monthly CUST'!$N$2:$CG$65,MATCH($D14,'Monthly CUST'!$D$2:$D$65,0),MATCH(BR$1,'Monthly CUST'!$N$1:$CG$1,0)))*(1+$L14)*INDEX('Monthly CUST'!$N$2:$CG$65,MATCH($D14,'Monthly CUST'!$D$2:$D$65,0),MATCH(CD$1,'Monthly CUST'!$N$1:$CG$1,0))),IF($J14="Modeled UPC",INDEX('Monthly CUST'!$N$2:$CG$65,MATCH($D14,'Monthly CUST'!$D$2:$D$65,0),MATCH(CD$1,'Monthly CUST'!$N$1:$CG$1,0))/12*$M14,IF($J14="Base Period",BR14,IF($J14="Adjusted",SUMIF('Input 15_Fcst Inputs'!$A:$A,$D14,'Input 15_Fcst Inputs'!$G:$G)/12))))),0)</f>
        <v>1360083.9624682034</v>
      </c>
      <c r="CE14" s="483">
        <f>IFERROR(IF($J14="Historical Average",INDEX('Monthly UPC'!$CM$2:$DJ$65,MATCH($D14,'Monthly UPC'!$D$2:$D$65,0),MATCH(CE$1,'Monthly UPC'!$CM$1:$DJ$1))*(INDEX('Monthly CUST'!$N$2:$CG$65,MATCH($D14,'Monthly CUST'!$D$2:$D$65,0),MATCH(CE$1,'Monthly CUST'!$N$1:$CG$1,0))),IF($J14="UPC Growth Rate",((BS14/INDEX('Monthly CUST'!$N$2:$CG$65,MATCH($D14,'Monthly CUST'!$D$2:$D$65,0),MATCH(BS$1,'Monthly CUST'!$N$1:$CG$1,0)))*(1+$L14)*INDEX('Monthly CUST'!$N$2:$CG$65,MATCH($D14,'Monthly CUST'!$D$2:$D$65,0),MATCH(CE$1,'Monthly CUST'!$N$1:$CG$1,0))),IF($J14="Modeled UPC",INDEX('Monthly CUST'!$N$2:$CG$65,MATCH($D14,'Monthly CUST'!$D$2:$D$65,0),MATCH(CE$1,'Monthly CUST'!$N$1:$CG$1,0))/12*$M14,IF($J14="Base Period",BS14,IF($J14="Adjusted",SUMIF('Input 15_Fcst Inputs'!$A:$A,$D14,'Input 15_Fcst Inputs'!$G:$G)/12))))),0)</f>
        <v>1366894.8861401032</v>
      </c>
      <c r="CF14" s="483">
        <f>IFERROR(IF($J14="Historical Average",INDEX('Monthly UPC'!$CM$2:$DJ$65,MATCH($D14,'Monthly UPC'!$D$2:$D$65,0),MATCH(CF$1,'Monthly UPC'!$CM$1:$DJ$1))*(INDEX('Monthly CUST'!$N$2:$CG$65,MATCH($D14,'Monthly CUST'!$D$2:$D$65,0),MATCH(CF$1,'Monthly CUST'!$N$1:$CG$1,0))),IF($J14="UPC Growth Rate",((BT14/INDEX('Monthly CUST'!$N$2:$CG$65,MATCH($D14,'Monthly CUST'!$D$2:$D$65,0),MATCH(BT$1,'Monthly CUST'!$N$1:$CG$1,0)))*(1+$L14)*INDEX('Monthly CUST'!$N$2:$CG$65,MATCH($D14,'Monthly CUST'!$D$2:$D$65,0),MATCH(CF$1,'Monthly CUST'!$N$1:$CG$1,0))),IF($J14="Modeled UPC",INDEX('Monthly CUST'!$N$2:$CG$65,MATCH($D14,'Monthly CUST'!$D$2:$D$65,0),MATCH(CF$1,'Monthly CUST'!$N$1:$CG$1,0))/12*$M14,IF($J14="Base Period",BT14,IF($J14="Adjusted",SUMIF('Input 15_Fcst Inputs'!$A:$A,$D14,'Input 15_Fcst Inputs'!$G:$G)/12))))),0)</f>
        <v>1374723.0256850794</v>
      </c>
      <c r="CG14" s="483">
        <f>IFERROR(IF($J14="Historical Average",INDEX('Monthly UPC'!$CM$2:$DJ$65,MATCH($D14,'Monthly UPC'!$D$2:$D$65,0),MATCH(CG$1,'Monthly UPC'!$CM$1:$DJ$1))*(INDEX('Monthly CUST'!$N$2:$CG$65,MATCH($D14,'Monthly CUST'!$D$2:$D$65,0),MATCH(CG$1,'Monthly CUST'!$N$1:$CG$1,0))),IF($J14="UPC Growth Rate",((BU14/INDEX('Monthly CUST'!$N$2:$CG$65,MATCH($D14,'Monthly CUST'!$D$2:$D$65,0),MATCH(BU$1,'Monthly CUST'!$N$1:$CG$1,0)))*(1+$L14)*INDEX('Monthly CUST'!$N$2:$CG$65,MATCH($D14,'Monthly CUST'!$D$2:$D$65,0),MATCH(CG$1,'Monthly CUST'!$N$1:$CG$1,0))),IF($J14="Modeled UPC",INDEX('Monthly CUST'!$N$2:$CG$65,MATCH($D14,'Monthly CUST'!$D$2:$D$65,0),MATCH(CG$1,'Monthly CUST'!$N$1:$CG$1,0))/12*$M14,IF($J14="Base Period",BU14,IF($J14="Adjusted",SUMIF('Input 15_Fcst Inputs'!$A:$A,$D14,'Input 15_Fcst Inputs'!$G:$G)/12))))),0)</f>
        <v>1379986.0121588199</v>
      </c>
      <c r="CH14" s="197"/>
      <c r="CI14" s="197">
        <f t="shared" si="0"/>
        <v>13697553.150000252</v>
      </c>
      <c r="CJ14" s="197">
        <f t="shared" si="1"/>
        <v>13679044.58000033</v>
      </c>
      <c r="CK14" s="197">
        <f t="shared" si="2"/>
        <v>15075452.140000366</v>
      </c>
      <c r="CL14" s="197">
        <f t="shared" si="3"/>
        <v>16009999.460000172</v>
      </c>
      <c r="CM14" s="197">
        <f t="shared" si="4"/>
        <v>15749451.392329255</v>
      </c>
      <c r="CN14" s="197">
        <f t="shared" si="5"/>
        <v>16203408.549335439</v>
      </c>
      <c r="CP14" s="4">
        <f>SUMIF('Master '!D:D,D14,'Master '!AH:AH)</f>
        <v>15749451.392329255</v>
      </c>
      <c r="CQ14" s="4">
        <f>SUMIF('Master '!D:D,D14,'Master '!AI:AI)</f>
        <v>16203408.549335439</v>
      </c>
      <c r="CR14" s="197">
        <f t="shared" si="6"/>
        <v>0</v>
      </c>
      <c r="CS14" s="197">
        <f t="shared" si="7"/>
        <v>0</v>
      </c>
      <c r="CT14" t="s">
        <v>287</v>
      </c>
      <c r="CV14" t="str">
        <f>VLOOKUP(G14,'Master '!G:CC,75,FALSE)</f>
        <v>RS</v>
      </c>
    </row>
    <row r="15" spans="1:100">
      <c r="A15" s="53" t="s">
        <v>15</v>
      </c>
      <c r="B15" s="53" t="s">
        <v>994</v>
      </c>
      <c r="C15" s="53" t="s">
        <v>8</v>
      </c>
      <c r="D15" s="53" t="s">
        <v>32</v>
      </c>
      <c r="E15" s="55" t="str">
        <f>VLOOKUP(D15,'Input 14_Ref Table'!C:D,2,FALSE)</f>
        <v>GEN31</v>
      </c>
      <c r="F15" s="143" t="s">
        <v>1286</v>
      </c>
      <c r="G15" s="53" t="str">
        <f>VLOOKUP(D15,'Input 14_Ref Table'!C:I,7,FALSE)</f>
        <v>FPU - FPU - RS-GS</v>
      </c>
      <c r="H15" s="53" t="str">
        <f>VLOOKUP(D15,'Input 14_Ref Table'!C:K,8,FALSE)</f>
        <v>RS_GS</v>
      </c>
      <c r="I15" s="53"/>
      <c r="J15" t="str">
        <f>INDEX('Master '!$AD$2:AD$65,MATCH(D15,'Master '!$D$2:$D$65,0))</f>
        <v>Historical Average</v>
      </c>
      <c r="K15" s="458">
        <f>INDEX('Master '!$N$2:N$65,MATCH(D15,'Master '!$D$2:$D$65,0))</f>
        <v>0.10817508987692429</v>
      </c>
      <c r="L15" s="137">
        <f>INDEX('Master '!$S$2:S$65,MATCH(D15,'Master '!$D$2:$D$65,0))</f>
        <v>-6.5016495904125227E-3</v>
      </c>
      <c r="M15" s="4">
        <f>INDEX('Master '!$W$2:W$65,MATCH(D15,'Master '!$D$2:$D$65,0))</f>
        <v>80.956336657055985</v>
      </c>
      <c r="N15" s="268">
        <f>SUMIF('Input 16.1_2018VOL-YTD'!$R:$R,$G15,'Input 16.1_2018VOL-YTD'!C:C)</f>
        <v>8332.6300000000028</v>
      </c>
      <c r="O15" s="268">
        <f>SUMIF('Input 16.1_2018VOL-YTD'!$R:$R,$G15,'Input 16.1_2018VOL-YTD'!D:D)</f>
        <v>4741.3099999999977</v>
      </c>
      <c r="P15" s="268">
        <f>SUMIF('Input 16.1_2018VOL-YTD'!$R:$R,$G15,'Input 16.1_2018VOL-YTD'!E:E)</f>
        <v>5800.3299999999954</v>
      </c>
      <c r="Q15" s="268">
        <f>SUMIF('Input 16.1_2018VOL-YTD'!$R:$R,$G15,'Input 16.1_2018VOL-YTD'!F:F)</f>
        <v>5326.7300000000041</v>
      </c>
      <c r="R15" s="268">
        <f>SUMIF('Input 16.1_2018VOL-YTD'!$R:$R,$G15,'Input 16.1_2018VOL-YTD'!G:G)</f>
        <v>3586.6100000000006</v>
      </c>
      <c r="S15" s="268">
        <f>SUMIF('Input 16.1_2018VOL-YTD'!$R:$R,$G15,'Input 16.1_2018VOL-YTD'!H:H)</f>
        <v>3076.3299999999981</v>
      </c>
      <c r="T15" s="268">
        <f>SUMIF('Input 16.1_2018VOL-YTD'!$R:$R,$G15,'Input 16.1_2018VOL-YTD'!I:I)</f>
        <v>2085.0299999999993</v>
      </c>
      <c r="U15" s="268">
        <f>SUMIF('Input 16.1_2018VOL-YTD'!$R:$R,$G15,'Input 16.1_2018VOL-YTD'!J:J)</f>
        <v>1899.3399999999974</v>
      </c>
      <c r="V15" s="268">
        <f>SUMIF('Input 16.1_2018VOL-YTD'!$R:$R,$G15,'Input 16.1_2018VOL-YTD'!K:K)</f>
        <v>3907.8300000000004</v>
      </c>
      <c r="W15" s="268">
        <f>SUMIF('Input 16.1_2018VOL-YTD'!$R:$R,$G15,'Input 16.1_2018VOL-YTD'!L:L)</f>
        <v>1764.3799999999997</v>
      </c>
      <c r="X15" s="268">
        <f>SUMIF('Input 16.1_2018VOL-YTD'!$R:$R,$G15,'Input 16.1_2018VOL-YTD'!M:M)</f>
        <v>3903.0700000000015</v>
      </c>
      <c r="Y15" s="268">
        <f>SUMIF('Input 16.1_2018VOL-YTD'!$R:$R,$G15,'Input 16.1_2018VOL-YTD'!N:N)</f>
        <v>7166.9000000000051</v>
      </c>
      <c r="Z15" s="268">
        <f>SUMIF('Input 3.1_2019VOL-YTD'!$R:$R,$G15,'Input 3.1_2019VOL-YTD'!C:C)</f>
        <v>9368.5900000000038</v>
      </c>
      <c r="AA15" s="268">
        <f>SUMIF('Input 3.1_2019VOL-YTD'!$R:$R,$G15,'Input 3.1_2019VOL-YTD'!D:D)</f>
        <v>6527.1100000000051</v>
      </c>
      <c r="AB15" s="268">
        <f>SUMIF('Input 3.1_2019VOL-YTD'!$R:$R,$G15,'Input 3.1_2019VOL-YTD'!E:E)</f>
        <v>6035.6399999999976</v>
      </c>
      <c r="AC15" s="268">
        <f>SUMIF('Input 3.1_2019VOL-YTD'!$R:$R,$G15,'Input 3.1_2019VOL-YTD'!F:F)</f>
        <v>6649.3000000000038</v>
      </c>
      <c r="AD15" s="268">
        <f>SUMIF('Input 3.1_2019VOL-YTD'!$R:$R,$G15,'Input 3.1_2019VOL-YTD'!G:G)</f>
        <v>5298.9400000000151</v>
      </c>
      <c r="AE15" s="268">
        <f>SUMIF('Input 3.1_2019VOL-YTD'!$R:$R,$G15,'Input 3.1_2019VOL-YTD'!H:H)</f>
        <v>3360.6600000000012</v>
      </c>
      <c r="AF15" s="268">
        <f>SUMIF('Input 3.1_2019VOL-YTD'!$R:$R,$G15,'Input 3.1_2019VOL-YTD'!I:I)</f>
        <v>2107.559999999999</v>
      </c>
      <c r="AG15" s="268">
        <f>SUMIF('Input 3.1_2019VOL-YTD'!$R:$R,$G15,'Input 3.1_2019VOL-YTD'!J:J)</f>
        <v>2337.4399999999978</v>
      </c>
      <c r="AH15" s="268">
        <f>SUMIF('Input 3.1_2019VOL-YTD'!$R:$R,$G15,'Input 3.1_2019VOL-YTD'!K:K)</f>
        <v>3180.4699999999975</v>
      </c>
      <c r="AI15" s="268">
        <f>SUMIF('Input 3.1_2019VOL-YTD'!$R:$R,$G15,'Input 3.1_2019VOL-YTD'!L:L)</f>
        <v>3141.4399999999996</v>
      </c>
      <c r="AJ15" s="268">
        <f>SUMIF('Input 3.1_2019VOL-YTD'!$R:$R,$G15,'Input 3.1_2019VOL-YTD'!M:M)</f>
        <v>4965.8900000000021</v>
      </c>
      <c r="AK15" s="268">
        <f>SUMIF('Input 3.1_2019VOL-YTD'!$R:$R,$G15,'Input 3.1_2019VOL-YTD'!N:N)</f>
        <v>7668.1600000000008</v>
      </c>
      <c r="AL15" s="268">
        <f>SUMIF('Input 4.1_2020VOL-YTD'!$R:$R,$G15,'Input 4.1_2020VOL-YTD'!C:C)</f>
        <v>8879.6400000000049</v>
      </c>
      <c r="AM15" s="268">
        <f>SUMIF('Input 4.1_2020VOL-YTD'!$R:$R,$G15,'Input 4.1_2020VOL-YTD'!D:D)</f>
        <v>8188.7899999999972</v>
      </c>
      <c r="AN15" s="268">
        <f>SUMIF('Input 4.1_2020VOL-YTD'!$R:$R,$G15,'Input 4.1_2020VOL-YTD'!E:E)</f>
        <v>6928.2599999999984</v>
      </c>
      <c r="AO15" s="268">
        <f>SUMIF('Input 4.1_2020VOL-YTD'!$R:$R,$G15,'Input 4.1_2020VOL-YTD'!F:F)</f>
        <v>6827.1700000000037</v>
      </c>
      <c r="AP15" s="268">
        <f>SUMIF('Input 4.1_2020VOL-YTD'!$R:$R,$G15,'Input 4.1_2020VOL-YTD'!G:G)</f>
        <v>6243.0299999999943</v>
      </c>
      <c r="AQ15" s="268">
        <f>SUMIF('Input 4.1_2020VOL-YTD'!$R:$R,$G15,'Input 4.1_2020VOL-YTD'!H:H)</f>
        <v>4099.4499999999953</v>
      </c>
      <c r="AR15" s="268">
        <f>SUMIF('Input 4.1_2020VOL-YTD'!$R:$R,$G15,'Input 4.1_2020VOL-YTD'!I:I)</f>
        <v>2621.2499999999973</v>
      </c>
      <c r="AS15" s="268">
        <f>SUMIF('Input 4.1_2020VOL-YTD'!$R:$R,$G15,'Input 4.1_2020VOL-YTD'!J:J)</f>
        <v>2436.509999999997</v>
      </c>
      <c r="AT15" s="268">
        <f>SUMIF('Input 4.1_2020VOL-YTD'!$R:$R,$G15,'Input 4.1_2020VOL-YTD'!K:K)</f>
        <v>2492.3499999999981</v>
      </c>
      <c r="AU15" s="268">
        <f>SUMIF('Input 4.1_2020VOL-YTD'!$R:$R,$G15,'Input 4.1_2020VOL-YTD'!L:L)</f>
        <v>3079.7499999999986</v>
      </c>
      <c r="AV15" s="268">
        <f>SUMIF('Input 4.1_2020VOL-YTD'!$R:$R,$G15,'Input 4.1_2020VOL-YTD'!M:M)</f>
        <v>7006</v>
      </c>
      <c r="AW15" s="268">
        <f>SUMIF('Input 4.1_2020VOL-YTD'!$R:$R,$G15,'Input 4.1_2020VOL-YTD'!N:N)</f>
        <v>8701.4700000000012</v>
      </c>
      <c r="AX15" s="268">
        <f>SUMIF('Input 5.1_2021VOL-YTD'!$R:$R,$G15,'Input 5.1_2021VOL-YTD'!C:C)</f>
        <v>10055.480000000003</v>
      </c>
      <c r="AY15" s="268">
        <f>SUMIF('Input 5.1_2021VOL-YTD'!$R:$R,$G15,'Input 5.1_2021VOL-YTD'!D:D)</f>
        <v>11931.940000000008</v>
      </c>
      <c r="AZ15" s="268">
        <f>SUMIF('Input 5.1_2021VOL-YTD'!$R:$R,$G15,'Input 5.1_2021VOL-YTD'!E:E)</f>
        <v>8824.5799999999981</v>
      </c>
      <c r="BA15" s="268">
        <f>SUMIF('Input 5.1_2021VOL-YTD'!$R:$R,$G15,'Input 5.1_2021VOL-YTD'!F:F)</f>
        <v>7471.24</v>
      </c>
      <c r="BB15" s="268">
        <f>SUMIF('Input 5.1_2021VOL-YTD'!$R:$R,$G15,'Input 5.1_2021VOL-YTD'!G:G)</f>
        <v>6092.949999999998</v>
      </c>
      <c r="BC15" s="268">
        <f>SUMIF('Input 5.1_2021VOL-YTD'!$R:$R,$G15,'Input 5.1_2021VOL-YTD'!H:H)</f>
        <v>2965.4599999999982</v>
      </c>
      <c r="BD15" s="268">
        <f>SUMIF('Input 5.1_2021VOL-YTD'!$R:$R,$G15,'Input 5.1_2021VOL-YTD'!I:I)</f>
        <v>3081.4699999999984</v>
      </c>
      <c r="BE15" s="268">
        <f>SUMIF('Input 5.1_2021VOL-YTD'!$R:$R,$G15,'Input 5.1_2021VOL-YTD'!J:J)</f>
        <v>2419.5799999999986</v>
      </c>
      <c r="BF15" s="268">
        <f>SUMIF('Input 5.1_2021VOL-YTD'!$R:$R,$G15,'Input 5.1_2021VOL-YTD'!K:K)</f>
        <v>3065.3999999999983</v>
      </c>
      <c r="BG15" s="268">
        <f>SUMIF('Input 5.1_2021VOL-YTD'!$R:$R,$G15,'Input 5.1_2021VOL-YTD'!L:L)</f>
        <v>4330.3699999999944</v>
      </c>
      <c r="BH15" s="268">
        <f>SUMIF('Input 5.1_2021VOL-YTD'!$R:$R,$G15,'Input 5.1_2021VOL-YTD'!M:M)</f>
        <v>7412.1600000000044</v>
      </c>
      <c r="BI15" s="268">
        <f>SUMIF('Input 5.1_2021VOL-YTD'!$R:$R,$G15,'Input 5.1_2021VOL-YTD'!N:N)</f>
        <v>9289.529999999997</v>
      </c>
      <c r="BJ15" s="483">
        <f>IFERROR(IF($J15="Historical Average",INDEX('Monthly UPC'!$CM$2:$DJ$65,MATCH($D15,'Monthly UPC'!$D$2:$D$65,0),MATCH(BJ$1,'Monthly UPC'!$CM$1:$DJ$1))*(INDEX('Monthly CUST'!$N$2:$CG$65,MATCH($D15,'Monthly CUST'!$D$2:$D$65,0),MATCH(BJ$1,'Monthly CUST'!$N$1:$CG$1,0))),IF($J15="UPC Growth Rate",((AX15/INDEX('Monthly CUST'!$N$2:$CG$65,MATCH($D15,'Monthly CUST'!$D$2:$D$65,0),MATCH(AX$1,'Monthly CUST'!$N$1:$CG$1,0)))*(1+$L15)*INDEX('Monthly CUST'!$N$2:$CG$65,MATCH($D15,'Monthly CUST'!$D$2:$D$65,0),MATCH(BJ$1,'Monthly CUST'!$N$1:$CG$1,0))),IF($J15="Modeled UPC",INDEX('Monthly CUST'!$N$2:$CG$65,MATCH($D15,'Monthly CUST'!$D$2:$D$65,0),MATCH(BJ$1,'Monthly CUST'!$N$1:$CG$1,0))/12*$M15,IF($J15="Base Period",AX15,IF($J15="Adjusted",SUMIF('Input 15_Fcst Inputs'!$A:$A,$D15,'Input 15_Fcst Inputs'!$G:$G)/12))))),0)</f>
        <v>12084.62709991309</v>
      </c>
      <c r="BK15" s="483">
        <f>IFERROR(IF($J15="Historical Average",INDEX('Monthly UPC'!$CM$2:$DJ$65,MATCH($D15,'Monthly UPC'!$D$2:$D$65,0),MATCH(BK$1,'Monthly UPC'!$CM$1:$DJ$1))*(INDEX('Monthly CUST'!$N$2:$CG$65,MATCH($D15,'Monthly CUST'!$D$2:$D$65,0),MATCH(BK$1,'Monthly CUST'!$N$1:$CG$1,0))),IF($J15="UPC Growth Rate",((AY15/INDEX('Monthly CUST'!$N$2:$CG$65,MATCH($D15,'Monthly CUST'!$D$2:$D$65,0),MATCH(AY$1,'Monthly CUST'!$N$1:$CG$1,0)))*(1+$L15)*INDEX('Monthly CUST'!$N$2:$CG$65,MATCH($D15,'Monthly CUST'!$D$2:$D$65,0),MATCH(BK$1,'Monthly CUST'!$N$1:$CG$1,0))),IF($J15="Modeled UPC",INDEX('Monthly CUST'!$N$2:$CG$65,MATCH($D15,'Monthly CUST'!$D$2:$D$65,0),MATCH(BK$1,'Monthly CUST'!$N$1:$CG$1,0))/12*$M15,IF($J15="Base Period",AY15,IF($J15="Adjusted",SUMIF('Input 15_Fcst Inputs'!$A:$A,$D15,'Input 15_Fcst Inputs'!$G:$G)/12))))),0)</f>
        <v>11119.948326734126</v>
      </c>
      <c r="BL15" s="483">
        <f>IFERROR(IF($J15="Historical Average",INDEX('Monthly UPC'!$CM$2:$DJ$65,MATCH($D15,'Monthly UPC'!$D$2:$D$65,0),MATCH(BL$1,'Monthly UPC'!$CM$1:$DJ$1))*(INDEX('Monthly CUST'!$N$2:$CG$65,MATCH($D15,'Monthly CUST'!$D$2:$D$65,0),MATCH(BL$1,'Monthly CUST'!$N$1:$CG$1,0))),IF($J15="UPC Growth Rate",((AZ15/INDEX('Monthly CUST'!$N$2:$CG$65,MATCH($D15,'Monthly CUST'!$D$2:$D$65,0),MATCH(AZ$1,'Monthly CUST'!$N$1:$CG$1,0)))*(1+$L15)*INDEX('Monthly CUST'!$N$2:$CG$65,MATCH($D15,'Monthly CUST'!$D$2:$D$65,0),MATCH(BL$1,'Monthly CUST'!$N$1:$CG$1,0))),IF($J15="Modeled UPC",INDEX('Monthly CUST'!$N$2:$CG$65,MATCH($D15,'Monthly CUST'!$D$2:$D$65,0),MATCH(BL$1,'Monthly CUST'!$N$1:$CG$1,0))/12*$M15,IF($J15="Base Period",AZ15,IF($J15="Adjusted",SUMIF('Input 15_Fcst Inputs'!$A:$A,$D15,'Input 15_Fcst Inputs'!$G:$G)/12))))),0)</f>
        <v>9196.7546274907309</v>
      </c>
      <c r="BM15" s="483">
        <f>IFERROR(IF($J15="Historical Average",INDEX('Monthly UPC'!$CM$2:$DJ$65,MATCH($D15,'Monthly UPC'!$D$2:$D$65,0),MATCH(BM$1,'Monthly UPC'!$CM$1:$DJ$1))*(INDEX('Monthly CUST'!$N$2:$CG$65,MATCH($D15,'Monthly CUST'!$D$2:$D$65,0),MATCH(BM$1,'Monthly CUST'!$N$1:$CG$1,0))),IF($J15="UPC Growth Rate",((BA15/INDEX('Monthly CUST'!$N$2:$CG$65,MATCH($D15,'Monthly CUST'!$D$2:$D$65,0),MATCH(BA$1,'Monthly CUST'!$N$1:$CG$1,0)))*(1+$L15)*INDEX('Monthly CUST'!$N$2:$CG$65,MATCH($D15,'Monthly CUST'!$D$2:$D$65,0),MATCH(BM$1,'Monthly CUST'!$N$1:$CG$1,0))),IF($J15="Modeled UPC",INDEX('Monthly CUST'!$N$2:$CG$65,MATCH($D15,'Monthly CUST'!$D$2:$D$65,0),MATCH(BM$1,'Monthly CUST'!$N$1:$CG$1,0))/12*$M15,IF($J15="Base Period",BA15,IF($J15="Adjusted",SUMIF('Input 15_Fcst Inputs'!$A:$A,$D15,'Input 15_Fcst Inputs'!$G:$G)/12))))),0)</f>
        <v>8914.1921406033489</v>
      </c>
      <c r="BN15" s="483">
        <f>IFERROR(IF($J15="Historical Average",INDEX('Monthly UPC'!$CM$2:$DJ$65,MATCH($D15,'Monthly UPC'!$D$2:$D$65,0),MATCH(BN$1,'Monthly UPC'!$CM$1:$DJ$1))*(INDEX('Monthly CUST'!$N$2:$CG$65,MATCH($D15,'Monthly CUST'!$D$2:$D$65,0),MATCH(BN$1,'Monthly CUST'!$N$1:$CG$1,0))),IF($J15="UPC Growth Rate",((BB15/INDEX('Monthly CUST'!$N$2:$CG$65,MATCH($D15,'Monthly CUST'!$D$2:$D$65,0),MATCH(BB$1,'Monthly CUST'!$N$1:$CG$1,0)))*(1+$L15)*INDEX('Monthly CUST'!$N$2:$CG$65,MATCH($D15,'Monthly CUST'!$D$2:$D$65,0),MATCH(BN$1,'Monthly CUST'!$N$1:$CG$1,0))),IF($J15="Modeled UPC",INDEX('Monthly CUST'!$N$2:$CG$65,MATCH($D15,'Monthly CUST'!$D$2:$D$65,0),MATCH(BN$1,'Monthly CUST'!$N$1:$CG$1,0))/12*$M15,IF($J15="Base Period",BB15,IF($J15="Adjusted",SUMIF('Input 15_Fcst Inputs'!$A:$A,$D15,'Input 15_Fcst Inputs'!$G:$G)/12))))),0)</f>
        <v>6801.5259501935507</v>
      </c>
      <c r="BO15" s="483">
        <f>IFERROR(IF($J15="Historical Average",INDEX('Monthly UPC'!$CM$2:$DJ$65,MATCH($D15,'Monthly UPC'!$D$2:$D$65,0),MATCH(BO$1,'Monthly UPC'!$CM$1:$DJ$1))*(INDEX('Monthly CUST'!$N$2:$CG$65,MATCH($D15,'Monthly CUST'!$D$2:$D$65,0),MATCH(BO$1,'Monthly CUST'!$N$1:$CG$1,0))),IF($J15="UPC Growth Rate",((BC15/INDEX('Monthly CUST'!$N$2:$CG$65,MATCH($D15,'Monthly CUST'!$D$2:$D$65,0),MATCH(BC$1,'Monthly CUST'!$N$1:$CG$1,0)))*(1+$L15)*INDEX('Monthly CUST'!$N$2:$CG$65,MATCH($D15,'Monthly CUST'!$D$2:$D$65,0),MATCH(BO$1,'Monthly CUST'!$N$1:$CG$1,0))),IF($J15="Modeled UPC",INDEX('Monthly CUST'!$N$2:$CG$65,MATCH($D15,'Monthly CUST'!$D$2:$D$65,0),MATCH(BO$1,'Monthly CUST'!$N$1:$CG$1,0))/12*$M15,IF($J15="Base Period",BC15,IF($J15="Adjusted",SUMIF('Input 15_Fcst Inputs'!$A:$A,$D15,'Input 15_Fcst Inputs'!$G:$G)/12))))),0)</f>
        <v>4622.7220633760062</v>
      </c>
      <c r="BP15" s="483">
        <f>IFERROR(IF($J15="Historical Average",INDEX('Monthly UPC'!$CM$2:$DJ$65,MATCH($D15,'Monthly UPC'!$D$2:$D$65,0),MATCH(BP$1,'Monthly UPC'!$CM$1:$DJ$1))*(INDEX('Monthly CUST'!$N$2:$CG$65,MATCH($D15,'Monthly CUST'!$D$2:$D$65,0),MATCH(BP$1,'Monthly CUST'!$N$1:$CG$1,0))),IF($J15="UPC Growth Rate",((BD15/INDEX('Monthly CUST'!$N$2:$CG$65,MATCH($D15,'Monthly CUST'!$D$2:$D$65,0),MATCH(BD$1,'Monthly CUST'!$N$1:$CG$1,0)))*(1+$L15)*INDEX('Monthly CUST'!$N$2:$CG$65,MATCH($D15,'Monthly CUST'!$D$2:$D$65,0),MATCH(BP$1,'Monthly CUST'!$N$1:$CG$1,0))),IF($J15="Modeled UPC",INDEX('Monthly CUST'!$N$2:$CG$65,MATCH($D15,'Monthly CUST'!$D$2:$D$65,0),MATCH(BP$1,'Monthly CUST'!$N$1:$CG$1,0))/12*$M15,IF($J15="Base Period",BD15,IF($J15="Adjusted",SUMIF('Input 15_Fcst Inputs'!$A:$A,$D15,'Input 15_Fcst Inputs'!$G:$G)/12))))),0)</f>
        <v>3374.5831708369419</v>
      </c>
      <c r="BQ15" s="483">
        <f>IFERROR(IF($J15="Historical Average",INDEX('Monthly UPC'!$CM$2:$DJ$65,MATCH($D15,'Monthly UPC'!$D$2:$D$65,0),MATCH(BQ$1,'Monthly UPC'!$CM$1:$DJ$1))*(INDEX('Monthly CUST'!$N$2:$CG$65,MATCH($D15,'Monthly CUST'!$D$2:$D$65,0),MATCH(BQ$1,'Monthly CUST'!$N$1:$CG$1,0))),IF($J15="UPC Growth Rate",((BE15/INDEX('Monthly CUST'!$N$2:$CG$65,MATCH($D15,'Monthly CUST'!$D$2:$D$65,0),MATCH(BE$1,'Monthly CUST'!$N$1:$CG$1,0)))*(1+$L15)*INDEX('Monthly CUST'!$N$2:$CG$65,MATCH($D15,'Monthly CUST'!$D$2:$D$65,0),MATCH(BQ$1,'Monthly CUST'!$N$1:$CG$1,0))),IF($J15="Modeled UPC",INDEX('Monthly CUST'!$N$2:$CG$65,MATCH($D15,'Monthly CUST'!$D$2:$D$65,0),MATCH(BQ$1,'Monthly CUST'!$N$1:$CG$1,0))/12*$M15,IF($J15="Base Period",BE15,IF($J15="Adjusted",SUMIF('Input 15_Fcst Inputs'!$A:$A,$D15,'Input 15_Fcst Inputs'!$G:$G)/12))))),0)</f>
        <v>3214.6855584227023</v>
      </c>
      <c r="BR15" s="483">
        <f>IFERROR(IF($J15="Historical Average",INDEX('Monthly UPC'!$CM$2:$DJ$65,MATCH($D15,'Monthly UPC'!$D$2:$D$65,0),MATCH(BR$1,'Monthly UPC'!$CM$1:$DJ$1))*(INDEX('Monthly CUST'!$N$2:$CG$65,MATCH($D15,'Monthly CUST'!$D$2:$D$65,0),MATCH(BR$1,'Monthly CUST'!$N$1:$CG$1,0))),IF($J15="UPC Growth Rate",((BF15/INDEX('Monthly CUST'!$N$2:$CG$65,MATCH($D15,'Monthly CUST'!$D$2:$D$65,0),MATCH(BF$1,'Monthly CUST'!$N$1:$CG$1,0)))*(1+$L15)*INDEX('Monthly CUST'!$N$2:$CG$65,MATCH($D15,'Monthly CUST'!$D$2:$D$65,0),MATCH(BR$1,'Monthly CUST'!$N$1:$CG$1,0))),IF($J15="Modeled UPC",INDEX('Monthly CUST'!$N$2:$CG$65,MATCH($D15,'Monthly CUST'!$D$2:$D$65,0),MATCH(BR$1,'Monthly CUST'!$N$1:$CG$1,0))/12*$M15,IF($J15="Base Period",BF15,IF($J15="Adjusted",SUMIF('Input 15_Fcst Inputs'!$A:$A,$D15,'Input 15_Fcst Inputs'!$G:$G)/12))))),0)</f>
        <v>3830.6798081980774</v>
      </c>
      <c r="BS15" s="483">
        <f>IFERROR(IF($J15="Historical Average",INDEX('Monthly UPC'!$CM$2:$DJ$65,MATCH($D15,'Monthly UPC'!$D$2:$D$65,0),MATCH(BS$1,'Monthly UPC'!$CM$1:$DJ$1))*(INDEX('Monthly CUST'!$N$2:$CG$65,MATCH($D15,'Monthly CUST'!$D$2:$D$65,0),MATCH(BS$1,'Monthly CUST'!$N$1:$CG$1,0))),IF($J15="UPC Growth Rate",((BG15/INDEX('Monthly CUST'!$N$2:$CG$65,MATCH($D15,'Monthly CUST'!$D$2:$D$65,0),MATCH(BG$1,'Monthly CUST'!$N$1:$CG$1,0)))*(1+$L15)*INDEX('Monthly CUST'!$N$2:$CG$65,MATCH($D15,'Monthly CUST'!$D$2:$D$65,0),MATCH(BS$1,'Monthly CUST'!$N$1:$CG$1,0))),IF($J15="Modeled UPC",INDEX('Monthly CUST'!$N$2:$CG$65,MATCH($D15,'Monthly CUST'!$D$2:$D$65,0),MATCH(BS$1,'Monthly CUST'!$N$1:$CG$1,0))/12*$M15,IF($J15="Base Period",BG15,IF($J15="Adjusted",SUMIF('Input 15_Fcst Inputs'!$A:$A,$D15,'Input 15_Fcst Inputs'!$G:$G)/12))))),0)</f>
        <v>4268.2091024259371</v>
      </c>
      <c r="BT15" s="483">
        <f>IFERROR(IF($J15="Historical Average",INDEX('Monthly UPC'!$CM$2:$DJ$65,MATCH($D15,'Monthly UPC'!$D$2:$D$65,0),MATCH(BT$1,'Monthly UPC'!$CM$1:$DJ$1))*(INDEX('Monthly CUST'!$N$2:$CG$65,MATCH($D15,'Monthly CUST'!$D$2:$D$65,0),MATCH(BT$1,'Monthly CUST'!$N$1:$CG$1,0))),IF($J15="UPC Growth Rate",((BH15/INDEX('Monthly CUST'!$N$2:$CG$65,MATCH($D15,'Monthly CUST'!$D$2:$D$65,0),MATCH(BH$1,'Monthly CUST'!$N$1:$CG$1,0)))*(1+$L15)*INDEX('Monthly CUST'!$N$2:$CG$65,MATCH($D15,'Monthly CUST'!$D$2:$D$65,0),MATCH(BT$1,'Monthly CUST'!$N$1:$CG$1,0))),IF($J15="Modeled UPC",INDEX('Monthly CUST'!$N$2:$CG$65,MATCH($D15,'Monthly CUST'!$D$2:$D$65,0),MATCH(BT$1,'Monthly CUST'!$N$1:$CG$1,0))/12*$M15,IF($J15="Base Period",BH15,IF($J15="Adjusted",SUMIF('Input 15_Fcst Inputs'!$A:$A,$D15,'Input 15_Fcst Inputs'!$G:$G)/12))))),0)</f>
        <v>8319.1969159158652</v>
      </c>
      <c r="BU15" s="483">
        <f>IFERROR(IF($J15="Historical Average",INDEX('Monthly UPC'!$CM$2:$DJ$65,MATCH($D15,'Monthly UPC'!$D$2:$D$65,0),MATCH(BU$1,'Monthly UPC'!$CM$1:$DJ$1))*(INDEX('Monthly CUST'!$N$2:$CG$65,MATCH($D15,'Monthly CUST'!$D$2:$D$65,0),MATCH(BU$1,'Monthly CUST'!$N$1:$CG$1,0))),IF($J15="UPC Growth Rate",((BI15/INDEX('Monthly CUST'!$N$2:$CG$65,MATCH($D15,'Monthly CUST'!$D$2:$D$65,0),MATCH(BI$1,'Monthly CUST'!$N$1:$CG$1,0)))*(1+$L15)*INDEX('Monthly CUST'!$N$2:$CG$65,MATCH($D15,'Monthly CUST'!$D$2:$D$65,0),MATCH(BU$1,'Monthly CUST'!$N$1:$CG$1,0))),IF($J15="Modeled UPC",INDEX('Monthly CUST'!$N$2:$CG$65,MATCH($D15,'Monthly CUST'!$D$2:$D$65,0),MATCH(BU$1,'Monthly CUST'!$N$1:$CG$1,0))/12*$M15,IF($J15="Base Period",BI15,IF($J15="Adjusted",SUMIF('Input 15_Fcst Inputs'!$A:$A,$D15,'Input 15_Fcst Inputs'!$G:$G)/12))))),0)</f>
        <v>11163.320972738351</v>
      </c>
      <c r="BV15" s="483">
        <f>IFERROR(IF($J15="Historical Average",INDEX('Monthly UPC'!$CM$2:$DJ$65,MATCH($D15,'Monthly UPC'!$D$2:$D$65,0),MATCH(BV$1,'Monthly UPC'!$CM$1:$DJ$1))*(INDEX('Monthly CUST'!$N$2:$CG$65,MATCH($D15,'Monthly CUST'!$D$2:$D$65,0),MATCH(BV$1,'Monthly CUST'!$N$1:$CG$1,0))),IF($J15="UPC Growth Rate",((BJ15/INDEX('Monthly CUST'!$N$2:$CG$65,MATCH($D15,'Monthly CUST'!$D$2:$D$65,0),MATCH(BJ$1,'Monthly CUST'!$N$1:$CG$1,0)))*(1+$L15)*INDEX('Monthly CUST'!$N$2:$CG$65,MATCH($D15,'Monthly CUST'!$D$2:$D$65,0),MATCH(BV$1,'Monthly CUST'!$N$1:$CG$1,0))),IF($J15="Modeled UPC",INDEX('Monthly CUST'!$N$2:$CG$65,MATCH($D15,'Monthly CUST'!$D$2:$D$65,0),MATCH(BV$1,'Monthly CUST'!$N$1:$CG$1,0))/12*$M15,IF($J15="Base Period",BJ15,IF($J15="Adjusted",SUMIF('Input 15_Fcst Inputs'!$A:$A,$D15,'Input 15_Fcst Inputs'!$G:$G)/12))))),0)</f>
        <v>13391.882722575305</v>
      </c>
      <c r="BW15" s="483">
        <f>IFERROR(IF($J15="Historical Average",INDEX('Monthly UPC'!$CM$2:$DJ$65,MATCH($D15,'Monthly UPC'!$D$2:$D$65,0),MATCH(BW$1,'Monthly UPC'!$CM$1:$DJ$1))*(INDEX('Monthly CUST'!$N$2:$CG$65,MATCH($D15,'Monthly CUST'!$D$2:$D$65,0),MATCH(BW$1,'Monthly CUST'!$N$1:$CG$1,0))),IF($J15="UPC Growth Rate",((BK15/INDEX('Monthly CUST'!$N$2:$CG$65,MATCH($D15,'Monthly CUST'!$D$2:$D$65,0),MATCH(BK$1,'Monthly CUST'!$N$1:$CG$1,0)))*(1+$L15)*INDEX('Monthly CUST'!$N$2:$CG$65,MATCH($D15,'Monthly CUST'!$D$2:$D$65,0),MATCH(BW$1,'Monthly CUST'!$N$1:$CG$1,0))),IF($J15="Modeled UPC",INDEX('Monthly CUST'!$N$2:$CG$65,MATCH($D15,'Monthly CUST'!$D$2:$D$65,0),MATCH(BW$1,'Monthly CUST'!$N$1:$CG$1,0))/12*$M15,IF($J15="Base Period",BK15,IF($J15="Adjusted",SUMIF('Input 15_Fcst Inputs'!$A:$A,$D15,'Input 15_Fcst Inputs'!$G:$G)/12))))),0)</f>
        <v>12322.849736405342</v>
      </c>
      <c r="BX15" s="483">
        <f>IFERROR(IF($J15="Historical Average",INDEX('Monthly UPC'!$CM$2:$DJ$65,MATCH($D15,'Monthly UPC'!$D$2:$D$65,0),MATCH(BX$1,'Monthly UPC'!$CM$1:$DJ$1))*(INDEX('Monthly CUST'!$N$2:$CG$65,MATCH($D15,'Monthly CUST'!$D$2:$D$65,0),MATCH(BX$1,'Monthly CUST'!$N$1:$CG$1,0))),IF($J15="UPC Growth Rate",((BL15/INDEX('Monthly CUST'!$N$2:$CG$65,MATCH($D15,'Monthly CUST'!$D$2:$D$65,0),MATCH(BL$1,'Monthly CUST'!$N$1:$CG$1,0)))*(1+$L15)*INDEX('Monthly CUST'!$N$2:$CG$65,MATCH($D15,'Monthly CUST'!$D$2:$D$65,0),MATCH(BX$1,'Monthly CUST'!$N$1:$CG$1,0))),IF($J15="Modeled UPC",INDEX('Monthly CUST'!$N$2:$CG$65,MATCH($D15,'Monthly CUST'!$D$2:$D$65,0),MATCH(BX$1,'Monthly CUST'!$N$1:$CG$1,0))/12*$M15,IF($J15="Base Period",BL15,IF($J15="Adjusted",SUMIF('Input 15_Fcst Inputs'!$A:$A,$D15,'Input 15_Fcst Inputs'!$G:$G)/12))))),0)</f>
        <v>10191.61438589556</v>
      </c>
      <c r="BY15" s="483">
        <f>IFERROR(IF($J15="Historical Average",INDEX('Monthly UPC'!$CM$2:$DJ$65,MATCH($D15,'Monthly UPC'!$D$2:$D$65,0),MATCH(BY$1,'Monthly UPC'!$CM$1:$DJ$1))*(INDEX('Monthly CUST'!$N$2:$CG$65,MATCH($D15,'Monthly CUST'!$D$2:$D$65,0),MATCH(BY$1,'Monthly CUST'!$N$1:$CG$1,0))),IF($J15="UPC Growth Rate",((BM15/INDEX('Monthly CUST'!$N$2:$CG$65,MATCH($D15,'Monthly CUST'!$D$2:$D$65,0),MATCH(BM$1,'Monthly CUST'!$N$1:$CG$1,0)))*(1+$L15)*INDEX('Monthly CUST'!$N$2:$CG$65,MATCH($D15,'Monthly CUST'!$D$2:$D$65,0),MATCH(BY$1,'Monthly CUST'!$N$1:$CG$1,0))),IF($J15="Modeled UPC",INDEX('Monthly CUST'!$N$2:$CG$65,MATCH($D15,'Monthly CUST'!$D$2:$D$65,0),MATCH(BY$1,'Monthly CUST'!$N$1:$CG$1,0))/12*$M15,IF($J15="Base Period",BM15,IF($J15="Adjusted",SUMIF('Input 15_Fcst Inputs'!$A:$A,$D15,'Input 15_Fcst Inputs'!$G:$G)/12))))),0)</f>
        <v>9878.4856765932873</v>
      </c>
      <c r="BZ15" s="483">
        <f>IFERROR(IF($J15="Historical Average",INDEX('Monthly UPC'!$CM$2:$DJ$65,MATCH($D15,'Monthly UPC'!$D$2:$D$65,0),MATCH(BZ$1,'Monthly UPC'!$CM$1:$DJ$1))*(INDEX('Monthly CUST'!$N$2:$CG$65,MATCH($D15,'Monthly CUST'!$D$2:$D$65,0),MATCH(BZ$1,'Monthly CUST'!$N$1:$CG$1,0))),IF($J15="UPC Growth Rate",((BN15/INDEX('Monthly CUST'!$N$2:$CG$65,MATCH($D15,'Monthly CUST'!$D$2:$D$65,0),MATCH(BN$1,'Monthly CUST'!$N$1:$CG$1,0)))*(1+$L15)*INDEX('Monthly CUST'!$N$2:$CG$65,MATCH($D15,'Monthly CUST'!$D$2:$D$65,0),MATCH(BZ$1,'Monthly CUST'!$N$1:$CG$1,0))),IF($J15="Modeled UPC",INDEX('Monthly CUST'!$N$2:$CG$65,MATCH($D15,'Monthly CUST'!$D$2:$D$65,0),MATCH(BZ$1,'Monthly CUST'!$N$1:$CG$1,0))/12*$M15,IF($J15="Base Period",BN15,IF($J15="Adjusted",SUMIF('Input 15_Fcst Inputs'!$A:$A,$D15,'Input 15_Fcst Inputs'!$G:$G)/12))))),0)</f>
        <v>7537.28163115597</v>
      </c>
      <c r="CA15" s="483">
        <f>IFERROR(IF($J15="Historical Average",INDEX('Monthly UPC'!$CM$2:$DJ$65,MATCH($D15,'Monthly UPC'!$D$2:$D$65,0),MATCH(CA$1,'Monthly UPC'!$CM$1:$DJ$1))*(INDEX('Monthly CUST'!$N$2:$CG$65,MATCH($D15,'Monthly CUST'!$D$2:$D$65,0),MATCH(CA$1,'Monthly CUST'!$N$1:$CG$1,0))),IF($J15="UPC Growth Rate",((BO15/INDEX('Monthly CUST'!$N$2:$CG$65,MATCH($D15,'Monthly CUST'!$D$2:$D$65,0),MATCH(BO$1,'Monthly CUST'!$N$1:$CG$1,0)))*(1+$L15)*INDEX('Monthly CUST'!$N$2:$CG$65,MATCH($D15,'Monthly CUST'!$D$2:$D$65,0),MATCH(CA$1,'Monthly CUST'!$N$1:$CG$1,0))),IF($J15="Modeled UPC",INDEX('Monthly CUST'!$N$2:$CG$65,MATCH($D15,'Monthly CUST'!$D$2:$D$65,0),MATCH(CA$1,'Monthly CUST'!$N$1:$CG$1,0))/12*$M15,IF($J15="Base Period",BO15,IF($J15="Adjusted",SUMIF('Input 15_Fcst Inputs'!$A:$A,$D15,'Input 15_Fcst Inputs'!$G:$G)/12))))),0)</f>
        <v>5122.7854380577464</v>
      </c>
      <c r="CB15" s="483">
        <f>IFERROR(IF($J15="Historical Average",INDEX('Monthly UPC'!$CM$2:$DJ$65,MATCH($D15,'Monthly UPC'!$D$2:$D$65,0),MATCH(CB$1,'Monthly UPC'!$CM$1:$DJ$1))*(INDEX('Monthly CUST'!$N$2:$CG$65,MATCH($D15,'Monthly CUST'!$D$2:$D$65,0),MATCH(CB$1,'Monthly CUST'!$N$1:$CG$1,0))),IF($J15="UPC Growth Rate",((BP15/INDEX('Monthly CUST'!$N$2:$CG$65,MATCH($D15,'Monthly CUST'!$D$2:$D$65,0),MATCH(BP$1,'Monthly CUST'!$N$1:$CG$1,0)))*(1+$L15)*INDEX('Monthly CUST'!$N$2:$CG$65,MATCH($D15,'Monthly CUST'!$D$2:$D$65,0),MATCH(CB$1,'Monthly CUST'!$N$1:$CG$1,0))),IF($J15="Modeled UPC",INDEX('Monthly CUST'!$N$2:$CG$65,MATCH($D15,'Monthly CUST'!$D$2:$D$65,0),MATCH(CB$1,'Monthly CUST'!$N$1:$CG$1,0))/12*$M15,IF($J15="Base Period",BP15,IF($J15="Adjusted",SUMIF('Input 15_Fcst Inputs'!$A:$A,$D15,'Input 15_Fcst Inputs'!$G:$G)/12))))),0)</f>
        <v>3739.6290086393838</v>
      </c>
      <c r="CC15" s="483">
        <f>IFERROR(IF($J15="Historical Average",INDEX('Monthly UPC'!$CM$2:$DJ$65,MATCH($D15,'Monthly UPC'!$D$2:$D$65,0),MATCH(CC$1,'Monthly UPC'!$CM$1:$DJ$1))*(INDEX('Monthly CUST'!$N$2:$CG$65,MATCH($D15,'Monthly CUST'!$D$2:$D$65,0),MATCH(CC$1,'Monthly CUST'!$N$1:$CG$1,0))),IF($J15="UPC Growth Rate",((BQ15/INDEX('Monthly CUST'!$N$2:$CG$65,MATCH($D15,'Monthly CUST'!$D$2:$D$65,0),MATCH(BQ$1,'Monthly CUST'!$N$1:$CG$1,0)))*(1+$L15)*INDEX('Monthly CUST'!$N$2:$CG$65,MATCH($D15,'Monthly CUST'!$D$2:$D$65,0),MATCH(CC$1,'Monthly CUST'!$N$1:$CG$1,0))),IF($J15="Modeled UPC",INDEX('Monthly CUST'!$N$2:$CG$65,MATCH($D15,'Monthly CUST'!$D$2:$D$65,0),MATCH(CC$1,'Monthly CUST'!$N$1:$CG$1,0))/12*$M15,IF($J15="Base Period",BQ15,IF($J15="Adjusted",SUMIF('Input 15_Fcst Inputs'!$A:$A,$D15,'Input 15_Fcst Inputs'!$G:$G)/12))))),0)</f>
        <v>3562.4344576311287</v>
      </c>
      <c r="CD15" s="483">
        <f>IFERROR(IF($J15="Historical Average",INDEX('Monthly UPC'!$CM$2:$DJ$65,MATCH($D15,'Monthly UPC'!$D$2:$D$65,0),MATCH(CD$1,'Monthly UPC'!$CM$1:$DJ$1))*(INDEX('Monthly CUST'!$N$2:$CG$65,MATCH($D15,'Monthly CUST'!$D$2:$D$65,0),MATCH(CD$1,'Monthly CUST'!$N$1:$CG$1,0))),IF($J15="UPC Growth Rate",((BR15/INDEX('Monthly CUST'!$N$2:$CG$65,MATCH($D15,'Monthly CUST'!$D$2:$D$65,0),MATCH(BR$1,'Monthly CUST'!$N$1:$CG$1,0)))*(1+$L15)*INDEX('Monthly CUST'!$N$2:$CG$65,MATCH($D15,'Monthly CUST'!$D$2:$D$65,0),MATCH(CD$1,'Monthly CUST'!$N$1:$CG$1,0))),IF($J15="Modeled UPC",INDEX('Monthly CUST'!$N$2:$CG$65,MATCH($D15,'Monthly CUST'!$D$2:$D$65,0),MATCH(CD$1,'Monthly CUST'!$N$1:$CG$1,0))/12*$M15,IF($J15="Base Period",BR15,IF($J15="Adjusted",SUMIF('Input 15_Fcst Inputs'!$A:$A,$D15,'Input 15_Fcst Inputs'!$G:$G)/12))))),0)</f>
        <v>4245.0639407396229</v>
      </c>
      <c r="CE15" s="483">
        <f>IFERROR(IF($J15="Historical Average",INDEX('Monthly UPC'!$CM$2:$DJ$65,MATCH($D15,'Monthly UPC'!$D$2:$D$65,0),MATCH(CE$1,'Monthly UPC'!$CM$1:$DJ$1))*(INDEX('Monthly CUST'!$N$2:$CG$65,MATCH($D15,'Monthly CUST'!$D$2:$D$65,0),MATCH(CE$1,'Monthly CUST'!$N$1:$CG$1,0))),IF($J15="UPC Growth Rate",((BS15/INDEX('Monthly CUST'!$N$2:$CG$65,MATCH($D15,'Monthly CUST'!$D$2:$D$65,0),MATCH(BS$1,'Monthly CUST'!$N$1:$CG$1,0)))*(1+$L15)*INDEX('Monthly CUST'!$N$2:$CG$65,MATCH($D15,'Monthly CUST'!$D$2:$D$65,0),MATCH(CE$1,'Monthly CUST'!$N$1:$CG$1,0))),IF($J15="Modeled UPC",INDEX('Monthly CUST'!$N$2:$CG$65,MATCH($D15,'Monthly CUST'!$D$2:$D$65,0),MATCH(CE$1,'Monthly CUST'!$N$1:$CG$1,0))/12*$M15,IF($J15="Base Period",BS15,IF($J15="Adjusted",SUMIF('Input 15_Fcst Inputs'!$A:$A,$D15,'Input 15_Fcst Inputs'!$G:$G)/12))))),0)</f>
        <v>4729.9230056943688</v>
      </c>
      <c r="CF15" s="483">
        <f>IFERROR(IF($J15="Historical Average",INDEX('Monthly UPC'!$CM$2:$DJ$65,MATCH($D15,'Monthly UPC'!$D$2:$D$65,0),MATCH(CF$1,'Monthly UPC'!$CM$1:$DJ$1))*(INDEX('Monthly CUST'!$N$2:$CG$65,MATCH($D15,'Monthly CUST'!$D$2:$D$65,0),MATCH(CF$1,'Monthly CUST'!$N$1:$CG$1,0))),IF($J15="UPC Growth Rate",((BT15/INDEX('Monthly CUST'!$N$2:$CG$65,MATCH($D15,'Monthly CUST'!$D$2:$D$65,0),MATCH(BT$1,'Monthly CUST'!$N$1:$CG$1,0)))*(1+$L15)*INDEX('Monthly CUST'!$N$2:$CG$65,MATCH($D15,'Monthly CUST'!$D$2:$D$65,0),MATCH(CF$1,'Monthly CUST'!$N$1:$CG$1,0))),IF($J15="Modeled UPC",INDEX('Monthly CUST'!$N$2:$CG$65,MATCH($D15,'Monthly CUST'!$D$2:$D$65,0),MATCH(CF$1,'Monthly CUST'!$N$1:$CG$1,0))/12*$M15,IF($J15="Base Period",BT15,IF($J15="Adjusted",SUMIF('Input 15_Fcst Inputs'!$A:$A,$D15,'Input 15_Fcst Inputs'!$G:$G)/12))))),0)</f>
        <v>9219.1267899988961</v>
      </c>
      <c r="CG15" s="483">
        <f>IFERROR(IF($J15="Historical Average",INDEX('Monthly UPC'!$CM$2:$DJ$65,MATCH($D15,'Monthly UPC'!$D$2:$D$65,0),MATCH(CG$1,'Monthly UPC'!$CM$1:$DJ$1))*(INDEX('Monthly CUST'!$N$2:$CG$65,MATCH($D15,'Monthly CUST'!$D$2:$D$65,0),MATCH(CG$1,'Monthly CUST'!$N$1:$CG$1,0))),IF($J15="UPC Growth Rate",((BU15/INDEX('Monthly CUST'!$N$2:$CG$65,MATCH($D15,'Monthly CUST'!$D$2:$D$65,0),MATCH(BU$1,'Monthly CUST'!$N$1:$CG$1,0)))*(1+$L15)*INDEX('Monthly CUST'!$N$2:$CG$65,MATCH($D15,'Monthly CUST'!$D$2:$D$65,0),MATCH(CG$1,'Monthly CUST'!$N$1:$CG$1,0))),IF($J15="Modeled UPC",INDEX('Monthly CUST'!$N$2:$CG$65,MATCH($D15,'Monthly CUST'!$D$2:$D$65,0),MATCH(CG$1,'Monthly CUST'!$N$1:$CG$1,0))/12*$M15,IF($J15="Base Period",BU15,IF($J15="Adjusted",SUMIF('Input 15_Fcst Inputs'!$A:$A,$D15,'Input 15_Fcst Inputs'!$G:$G)/12))))),0)</f>
        <v>12370.914222289275</v>
      </c>
      <c r="CH15" s="197"/>
      <c r="CI15" s="197">
        <f t="shared" si="0"/>
        <v>51590.490000000005</v>
      </c>
      <c r="CJ15" s="197">
        <f t="shared" si="1"/>
        <v>60641.200000000026</v>
      </c>
      <c r="CK15" s="197">
        <f t="shared" si="2"/>
        <v>67503.669999999984</v>
      </c>
      <c r="CL15" s="197">
        <f t="shared" si="3"/>
        <v>76940.160000000018</v>
      </c>
      <c r="CM15" s="197">
        <f t="shared" si="4"/>
        <v>86910.44573684872</v>
      </c>
      <c r="CN15" s="197">
        <f t="shared" si="5"/>
        <v>96311.991015675871</v>
      </c>
      <c r="CP15" s="4">
        <f>SUMIF('Master '!D:D,D15,'Master '!AH:AH)</f>
        <v>86910.511175997774</v>
      </c>
      <c r="CQ15" s="4">
        <f>SUMIF('Master '!D:D,D15,'Master '!AI:AI)</f>
        <v>96311.671290106227</v>
      </c>
      <c r="CR15" s="197">
        <f t="shared" si="6"/>
        <v>-6.5439149053418078E-2</v>
      </c>
      <c r="CS15" s="197">
        <f t="shared" si="7"/>
        <v>0.31972556964319665</v>
      </c>
      <c r="CT15" t="s">
        <v>287</v>
      </c>
      <c r="CV15" t="str">
        <f>VLOOKUP(G15,'Master '!G:CC,75,FALSE)</f>
        <v>RS-GS</v>
      </c>
    </row>
    <row r="16" spans="1:100">
      <c r="A16" s="53" t="s">
        <v>15</v>
      </c>
      <c r="B16" s="53" t="s">
        <v>994</v>
      </c>
      <c r="C16" s="53" t="s">
        <v>1245</v>
      </c>
      <c r="D16" s="53" t="s">
        <v>34</v>
      </c>
      <c r="E16" s="55" t="str">
        <f>VLOOKUP(D16,'Input 14_Ref Table'!C:D,2,FALSE)</f>
        <v>GEN11</v>
      </c>
      <c r="F16" s="143" t="s">
        <v>1286</v>
      </c>
      <c r="G16" s="53" t="str">
        <f>VLOOKUP(D16,'Input 14_Ref Table'!C:I,7,FALSE)</f>
        <v>FPU - FPU - CS - GS</v>
      </c>
      <c r="H16" s="53" t="str">
        <f>VLOOKUP(D16,'Input 14_Ref Table'!C:K,8,FALSE)</f>
        <v>CSGS</v>
      </c>
      <c r="I16" s="53"/>
      <c r="J16" t="str">
        <f>INDEX('Master '!$AD$2:AD$65,MATCH(D16,'Master '!$D$2:$D$65,0))</f>
        <v>Historical Average</v>
      </c>
      <c r="K16" s="458">
        <f>INDEX('Master '!$N$2:N$65,MATCH(D16,'Master '!$D$2:$D$65,0))</f>
        <v>6.0576162758234124E-2</v>
      </c>
      <c r="L16" s="137">
        <f>INDEX('Master '!$S$2:S$65,MATCH(D16,'Master '!$D$2:$D$65,0))</f>
        <v>-3.2834133097367192E-2</v>
      </c>
      <c r="M16" s="4">
        <f>INDEX('Master '!$W$2:W$65,MATCH(D16,'Master '!$D$2:$D$65,0))</f>
        <v>113.23523775289279</v>
      </c>
      <c r="N16" s="268">
        <f>SUMIF('Input 16.1_2018VOL-YTD'!$R:$R,$G16,'Input 16.1_2018VOL-YTD'!C:C)</f>
        <v>4699.2099999999982</v>
      </c>
      <c r="O16" s="268">
        <f>SUMIF('Input 16.1_2018VOL-YTD'!$R:$R,$G16,'Input 16.1_2018VOL-YTD'!D:D)</f>
        <v>3163.8800000000006</v>
      </c>
      <c r="P16" s="268">
        <f>SUMIF('Input 16.1_2018VOL-YTD'!$R:$R,$G16,'Input 16.1_2018VOL-YTD'!E:E)</f>
        <v>2985.3899999999994</v>
      </c>
      <c r="Q16" s="268">
        <f>SUMIF('Input 16.1_2018VOL-YTD'!$R:$R,$G16,'Input 16.1_2018VOL-YTD'!F:F)</f>
        <v>2678.8599999999997</v>
      </c>
      <c r="R16" s="268">
        <f>SUMIF('Input 16.1_2018VOL-YTD'!$R:$R,$G16,'Input 16.1_2018VOL-YTD'!G:G)</f>
        <v>2102.3300000000004</v>
      </c>
      <c r="S16" s="268">
        <f>SUMIF('Input 16.1_2018VOL-YTD'!$R:$R,$G16,'Input 16.1_2018VOL-YTD'!H:H)</f>
        <v>2859.4900000000021</v>
      </c>
      <c r="T16" s="268">
        <f>SUMIF('Input 16.1_2018VOL-YTD'!$R:$R,$G16,'Input 16.1_2018VOL-YTD'!I:I)</f>
        <v>2143</v>
      </c>
      <c r="U16" s="268">
        <f>SUMIF('Input 16.1_2018VOL-YTD'!$R:$R,$G16,'Input 16.1_2018VOL-YTD'!J:J)</f>
        <v>2656.0699999999993</v>
      </c>
      <c r="V16" s="268">
        <f>SUMIF('Input 16.1_2018VOL-YTD'!$R:$R,$G16,'Input 16.1_2018VOL-YTD'!K:K)</f>
        <v>2585.0300000000011</v>
      </c>
      <c r="W16" s="268">
        <f>SUMIF('Input 16.1_2018VOL-YTD'!$R:$R,$G16,'Input 16.1_2018VOL-YTD'!L:L)</f>
        <v>1902.1100000000008</v>
      </c>
      <c r="X16" s="268">
        <f>SUMIF('Input 16.1_2018VOL-YTD'!$R:$R,$G16,'Input 16.1_2018VOL-YTD'!M:M)</f>
        <v>2793.400000000001</v>
      </c>
      <c r="Y16" s="268">
        <f>SUMIF('Input 16.1_2018VOL-YTD'!$R:$R,$G16,'Input 16.1_2018VOL-YTD'!N:N)</f>
        <v>2954.940000000001</v>
      </c>
      <c r="Z16" s="268">
        <f>SUMIF('Input 3.1_2019VOL-YTD'!$R:$R,$G16,'Input 3.1_2019VOL-YTD'!C:C)</f>
        <v>3766.7699999999995</v>
      </c>
      <c r="AA16" s="268">
        <f>SUMIF('Input 3.1_2019VOL-YTD'!$R:$R,$G16,'Input 3.1_2019VOL-YTD'!D:D)</f>
        <v>3584.46</v>
      </c>
      <c r="AB16" s="268">
        <f>SUMIF('Input 3.1_2019VOL-YTD'!$R:$R,$G16,'Input 3.1_2019VOL-YTD'!E:E)</f>
        <v>3301.550000000002</v>
      </c>
      <c r="AC16" s="268">
        <f>SUMIF('Input 3.1_2019VOL-YTD'!$R:$R,$G16,'Input 3.1_2019VOL-YTD'!F:F)</f>
        <v>3256.6999999999989</v>
      </c>
      <c r="AD16" s="268">
        <f>SUMIF('Input 3.1_2019VOL-YTD'!$R:$R,$G16,'Input 3.1_2019VOL-YTD'!G:G)</f>
        <v>3750.3700000000003</v>
      </c>
      <c r="AE16" s="268">
        <f>SUMIF('Input 3.1_2019VOL-YTD'!$R:$R,$G16,'Input 3.1_2019VOL-YTD'!H:H)</f>
        <v>3393.18</v>
      </c>
      <c r="AF16" s="268">
        <f>SUMIF('Input 3.1_2019VOL-YTD'!$R:$R,$G16,'Input 3.1_2019VOL-YTD'!I:I)</f>
        <v>2772.1099999999997</v>
      </c>
      <c r="AG16" s="268">
        <f>SUMIF('Input 3.1_2019VOL-YTD'!$R:$R,$G16,'Input 3.1_2019VOL-YTD'!J:J)</f>
        <v>3302.85</v>
      </c>
      <c r="AH16" s="268">
        <f>SUMIF('Input 3.1_2019VOL-YTD'!$R:$R,$G16,'Input 3.1_2019VOL-YTD'!K:K)</f>
        <v>3667.1199999999976</v>
      </c>
      <c r="AI16" s="268">
        <f>SUMIF('Input 3.1_2019VOL-YTD'!$R:$R,$G16,'Input 3.1_2019VOL-YTD'!L:L)</f>
        <v>5028.5100000000011</v>
      </c>
      <c r="AJ16" s="268">
        <f>SUMIF('Input 3.1_2019VOL-YTD'!$R:$R,$G16,'Input 3.1_2019VOL-YTD'!M:M)</f>
        <v>4726.9199999999983</v>
      </c>
      <c r="AK16" s="268">
        <f>SUMIF('Input 3.1_2019VOL-YTD'!$R:$R,$G16,'Input 3.1_2019VOL-YTD'!N:N)</f>
        <v>7099.0399999999991</v>
      </c>
      <c r="AL16" s="268">
        <f>SUMIF('Input 4.1_2020VOL-YTD'!$R:$R,$G16,'Input 4.1_2020VOL-YTD'!C:C)</f>
        <v>9579.64</v>
      </c>
      <c r="AM16" s="268">
        <f>SUMIF('Input 4.1_2020VOL-YTD'!$R:$R,$G16,'Input 4.1_2020VOL-YTD'!D:D)</f>
        <v>8305.06</v>
      </c>
      <c r="AN16" s="268">
        <f>SUMIF('Input 4.1_2020VOL-YTD'!$R:$R,$G16,'Input 4.1_2020VOL-YTD'!E:E)</f>
        <v>7562.9399999999987</v>
      </c>
      <c r="AO16" s="268">
        <f>SUMIF('Input 4.1_2020VOL-YTD'!$R:$R,$G16,'Input 4.1_2020VOL-YTD'!F:F)</f>
        <v>5300.3200000000006</v>
      </c>
      <c r="AP16" s="268">
        <f>SUMIF('Input 4.1_2020VOL-YTD'!$R:$R,$G16,'Input 4.1_2020VOL-YTD'!G:G)</f>
        <v>4957.1900000000005</v>
      </c>
      <c r="AQ16" s="268">
        <f>SUMIF('Input 4.1_2020VOL-YTD'!$R:$R,$G16,'Input 4.1_2020VOL-YTD'!H:H)</f>
        <v>3495.6699999999992</v>
      </c>
      <c r="AR16" s="268">
        <f>SUMIF('Input 4.1_2020VOL-YTD'!$R:$R,$G16,'Input 4.1_2020VOL-YTD'!I:I)</f>
        <v>3305.3699999999994</v>
      </c>
      <c r="AS16" s="268">
        <f>SUMIF('Input 4.1_2020VOL-YTD'!$R:$R,$G16,'Input 4.1_2020VOL-YTD'!J:J)</f>
        <v>2572.5899999999979</v>
      </c>
      <c r="AT16" s="268">
        <f>SUMIF('Input 4.1_2020VOL-YTD'!$R:$R,$G16,'Input 4.1_2020VOL-YTD'!K:K)</f>
        <v>2326.8800000000015</v>
      </c>
      <c r="AU16" s="268">
        <f>SUMIF('Input 4.1_2020VOL-YTD'!$R:$R,$G16,'Input 4.1_2020VOL-YTD'!L:L)</f>
        <v>2270.12</v>
      </c>
      <c r="AV16" s="268">
        <f>SUMIF('Input 4.1_2020VOL-YTD'!$R:$R,$G16,'Input 4.1_2020VOL-YTD'!M:M)</f>
        <v>3878.74</v>
      </c>
      <c r="AW16" s="268">
        <f>SUMIF('Input 4.1_2020VOL-YTD'!$R:$R,$G16,'Input 4.1_2020VOL-YTD'!N:N)</f>
        <v>6665.7699999999968</v>
      </c>
      <c r="AX16" s="268">
        <f>SUMIF('Input 5.1_2021VOL-YTD'!$R:$R,$G16,'Input 5.1_2021VOL-YTD'!C:C)</f>
        <v>5907.2100000000019</v>
      </c>
      <c r="AY16" s="268">
        <f>SUMIF('Input 5.1_2021VOL-YTD'!$R:$R,$G16,'Input 5.1_2021VOL-YTD'!D:D)</f>
        <v>3544.5399999999995</v>
      </c>
      <c r="AZ16" s="268">
        <f>SUMIF('Input 5.1_2021VOL-YTD'!$R:$R,$G16,'Input 5.1_2021VOL-YTD'!E:E)</f>
        <v>3750.3900000000008</v>
      </c>
      <c r="BA16" s="268">
        <f>SUMIF('Input 5.1_2021VOL-YTD'!$R:$R,$G16,'Input 5.1_2021VOL-YTD'!F:F)</f>
        <v>3382.17</v>
      </c>
      <c r="BB16" s="268">
        <f>SUMIF('Input 5.1_2021VOL-YTD'!$R:$R,$G16,'Input 5.1_2021VOL-YTD'!G:G)</f>
        <v>10076.309999999996</v>
      </c>
      <c r="BC16" s="268">
        <f>SUMIF('Input 5.1_2021VOL-YTD'!$R:$R,$G16,'Input 5.1_2021VOL-YTD'!H:H)</f>
        <v>4942.0800000000017</v>
      </c>
      <c r="BD16" s="268">
        <f>SUMIF('Input 5.1_2021VOL-YTD'!$R:$R,$G16,'Input 5.1_2021VOL-YTD'!I:I)</f>
        <v>3058.7200000000007</v>
      </c>
      <c r="BE16" s="268">
        <f>SUMIF('Input 5.1_2021VOL-YTD'!$R:$R,$G16,'Input 5.1_2021VOL-YTD'!J:J)</f>
        <v>2651.36</v>
      </c>
      <c r="BF16" s="268">
        <f>SUMIF('Input 5.1_2021VOL-YTD'!$R:$R,$G16,'Input 5.1_2021VOL-YTD'!K:K)</f>
        <v>2505.1299999999992</v>
      </c>
      <c r="BG16" s="268">
        <f>SUMIF('Input 5.1_2021VOL-YTD'!$R:$R,$G16,'Input 5.1_2021VOL-YTD'!L:L)</f>
        <v>2721.3000000000015</v>
      </c>
      <c r="BH16" s="268">
        <f>SUMIF('Input 5.1_2021VOL-YTD'!$R:$R,$G16,'Input 5.1_2021VOL-YTD'!M:M)</f>
        <v>3725.7800000000007</v>
      </c>
      <c r="BI16" s="268">
        <f>SUMIF('Input 5.1_2021VOL-YTD'!$R:$R,$G16,'Input 5.1_2021VOL-YTD'!N:N)</f>
        <v>3811.0999999999972</v>
      </c>
      <c r="BJ16" s="483">
        <f>IFERROR(IF($J16="Historical Average",INDEX('Monthly UPC'!$CM$2:$DJ$65,MATCH($D16,'Monthly UPC'!$D$2:$D$65,0),MATCH(BJ$1,'Monthly UPC'!$CM$1:$DJ$1))*(INDEX('Monthly CUST'!$N$2:$CG$65,MATCH($D16,'Monthly CUST'!$D$2:$D$65,0),MATCH(BJ$1,'Monthly CUST'!$N$1:$CG$1,0))),IF($J16="UPC Growth Rate",((AX16/INDEX('Monthly CUST'!$N$2:$CG$65,MATCH($D16,'Monthly CUST'!$D$2:$D$65,0),MATCH(AX$1,'Monthly CUST'!$N$1:$CG$1,0)))*(1+$L16)*INDEX('Monthly CUST'!$N$2:$CG$65,MATCH($D16,'Monthly CUST'!$D$2:$D$65,0),MATCH(BJ$1,'Monthly CUST'!$N$1:$CG$1,0))),IF($J16="Modeled UPC",INDEX('Monthly CUST'!$N$2:$CG$65,MATCH($D16,'Monthly CUST'!$D$2:$D$65,0),MATCH(BJ$1,'Monthly CUST'!$N$1:$CG$1,0))/12*$M16,IF($J16="Base Period",AX16,IF($J16="Adjusted",SUMIF('Input 15_Fcst Inputs'!$A:$A,$D16,'Input 15_Fcst Inputs'!$G:$G)/12))))),0)</f>
        <v>7210.7691816929482</v>
      </c>
      <c r="BK16" s="483">
        <f>IFERROR(IF($J16="Historical Average",INDEX('Monthly UPC'!$CM$2:$DJ$65,MATCH($D16,'Monthly UPC'!$D$2:$D$65,0),MATCH(BK$1,'Monthly UPC'!$CM$1:$DJ$1))*(INDEX('Monthly CUST'!$N$2:$CG$65,MATCH($D16,'Monthly CUST'!$D$2:$D$65,0),MATCH(BK$1,'Monthly CUST'!$N$1:$CG$1,0))),IF($J16="UPC Growth Rate",((AY16/INDEX('Monthly CUST'!$N$2:$CG$65,MATCH($D16,'Monthly CUST'!$D$2:$D$65,0),MATCH(AY$1,'Monthly CUST'!$N$1:$CG$1,0)))*(1+$L16)*INDEX('Monthly CUST'!$N$2:$CG$65,MATCH($D16,'Monthly CUST'!$D$2:$D$65,0),MATCH(BK$1,'Monthly CUST'!$N$1:$CG$1,0))),IF($J16="Modeled UPC",INDEX('Monthly CUST'!$N$2:$CG$65,MATCH($D16,'Monthly CUST'!$D$2:$D$65,0),MATCH(BK$1,'Monthly CUST'!$N$1:$CG$1,0))/12*$M16,IF($J16="Base Period",AY16,IF($J16="Adjusted",SUMIF('Input 15_Fcst Inputs'!$A:$A,$D16,'Input 15_Fcst Inputs'!$G:$G)/12))))),0)</f>
        <v>5777.1283961319677</v>
      </c>
      <c r="BL16" s="483">
        <f>IFERROR(IF($J16="Historical Average",INDEX('Monthly UPC'!$CM$2:$DJ$65,MATCH($D16,'Monthly UPC'!$D$2:$D$65,0),MATCH(BL$1,'Monthly UPC'!$CM$1:$DJ$1))*(INDEX('Monthly CUST'!$N$2:$CG$65,MATCH($D16,'Monthly CUST'!$D$2:$D$65,0),MATCH(BL$1,'Monthly CUST'!$N$1:$CG$1,0))),IF($J16="UPC Growth Rate",((AZ16/INDEX('Monthly CUST'!$N$2:$CG$65,MATCH($D16,'Monthly CUST'!$D$2:$D$65,0),MATCH(AZ$1,'Monthly CUST'!$N$1:$CG$1,0)))*(1+$L16)*INDEX('Monthly CUST'!$N$2:$CG$65,MATCH($D16,'Monthly CUST'!$D$2:$D$65,0),MATCH(BL$1,'Monthly CUST'!$N$1:$CG$1,0))),IF($J16="Modeled UPC",INDEX('Monthly CUST'!$N$2:$CG$65,MATCH($D16,'Monthly CUST'!$D$2:$D$65,0),MATCH(BL$1,'Monthly CUST'!$N$1:$CG$1,0))/12*$M16,IF($J16="Base Period",AZ16,IF($J16="Adjusted",SUMIF('Input 15_Fcst Inputs'!$A:$A,$D16,'Input 15_Fcst Inputs'!$G:$G)/12))))),0)</f>
        <v>5489.2295453298238</v>
      </c>
      <c r="BM16" s="483">
        <f>IFERROR(IF($J16="Historical Average",INDEX('Monthly UPC'!$CM$2:$DJ$65,MATCH($D16,'Monthly UPC'!$D$2:$D$65,0),MATCH(BM$1,'Monthly UPC'!$CM$1:$DJ$1))*(INDEX('Monthly CUST'!$N$2:$CG$65,MATCH($D16,'Monthly CUST'!$D$2:$D$65,0),MATCH(BM$1,'Monthly CUST'!$N$1:$CG$1,0))),IF($J16="UPC Growth Rate",((BA16/INDEX('Monthly CUST'!$N$2:$CG$65,MATCH($D16,'Monthly CUST'!$D$2:$D$65,0),MATCH(BA$1,'Monthly CUST'!$N$1:$CG$1,0)))*(1+$L16)*INDEX('Monthly CUST'!$N$2:$CG$65,MATCH($D16,'Monthly CUST'!$D$2:$D$65,0),MATCH(BM$1,'Monthly CUST'!$N$1:$CG$1,0))),IF($J16="Modeled UPC",INDEX('Monthly CUST'!$N$2:$CG$65,MATCH($D16,'Monthly CUST'!$D$2:$D$65,0),MATCH(BM$1,'Monthly CUST'!$N$1:$CG$1,0))/12*$M16,IF($J16="Base Period",BA16,IF($J16="Adjusted",SUMIF('Input 15_Fcst Inputs'!$A:$A,$D16,'Input 15_Fcst Inputs'!$G:$G)/12))))),0)</f>
        <v>4422.5220663611908</v>
      </c>
      <c r="BN16" s="483">
        <f>IFERROR(IF($J16="Historical Average",INDEX('Monthly UPC'!$CM$2:$DJ$65,MATCH($D16,'Monthly UPC'!$D$2:$D$65,0),MATCH(BN$1,'Monthly UPC'!$CM$1:$DJ$1))*(INDEX('Monthly CUST'!$N$2:$CG$65,MATCH($D16,'Monthly CUST'!$D$2:$D$65,0),MATCH(BN$1,'Monthly CUST'!$N$1:$CG$1,0))),IF($J16="UPC Growth Rate",((BB16/INDEX('Monthly CUST'!$N$2:$CG$65,MATCH($D16,'Monthly CUST'!$D$2:$D$65,0),MATCH(BB$1,'Monthly CUST'!$N$1:$CG$1,0)))*(1+$L16)*INDEX('Monthly CUST'!$N$2:$CG$65,MATCH($D16,'Monthly CUST'!$D$2:$D$65,0),MATCH(BN$1,'Monthly CUST'!$N$1:$CG$1,0))),IF($J16="Modeled UPC",INDEX('Monthly CUST'!$N$2:$CG$65,MATCH($D16,'Monthly CUST'!$D$2:$D$65,0),MATCH(BN$1,'Monthly CUST'!$N$1:$CG$1,0))/12*$M16,IF($J16="Base Period",BB16,IF($J16="Adjusted",SUMIF('Input 15_Fcst Inputs'!$A:$A,$D16,'Input 15_Fcst Inputs'!$G:$G)/12))))),0)</f>
        <v>6892.9546722616951</v>
      </c>
      <c r="BO16" s="483">
        <f>IFERROR(IF($J16="Historical Average",INDEX('Monthly UPC'!$CM$2:$DJ$65,MATCH($D16,'Monthly UPC'!$D$2:$D$65,0),MATCH(BO$1,'Monthly UPC'!$CM$1:$DJ$1))*(INDEX('Monthly CUST'!$N$2:$CG$65,MATCH($D16,'Monthly CUST'!$D$2:$D$65,0),MATCH(BO$1,'Monthly CUST'!$N$1:$CG$1,0))),IF($J16="UPC Growth Rate",((BC16/INDEX('Monthly CUST'!$N$2:$CG$65,MATCH($D16,'Monthly CUST'!$D$2:$D$65,0),MATCH(BC$1,'Monthly CUST'!$N$1:$CG$1,0)))*(1+$L16)*INDEX('Monthly CUST'!$N$2:$CG$65,MATCH($D16,'Monthly CUST'!$D$2:$D$65,0),MATCH(BO$1,'Monthly CUST'!$N$1:$CG$1,0))),IF($J16="Modeled UPC",INDEX('Monthly CUST'!$N$2:$CG$65,MATCH($D16,'Monthly CUST'!$D$2:$D$65,0),MATCH(BO$1,'Monthly CUST'!$N$1:$CG$1,0))/12*$M16,IF($J16="Base Period",BC16,IF($J16="Adjusted",SUMIF('Input 15_Fcst Inputs'!$A:$A,$D16,'Input 15_Fcst Inputs'!$G:$G)/12))))),0)</f>
        <v>4408.9136140631745</v>
      </c>
      <c r="BP16" s="483">
        <f>IFERROR(IF($J16="Historical Average",INDEX('Monthly UPC'!$CM$2:$DJ$65,MATCH($D16,'Monthly UPC'!$D$2:$D$65,0),MATCH(BP$1,'Monthly UPC'!$CM$1:$DJ$1))*(INDEX('Monthly CUST'!$N$2:$CG$65,MATCH($D16,'Monthly CUST'!$D$2:$D$65,0),MATCH(BP$1,'Monthly CUST'!$N$1:$CG$1,0))),IF($J16="UPC Growth Rate",((BD16/INDEX('Monthly CUST'!$N$2:$CG$65,MATCH($D16,'Monthly CUST'!$D$2:$D$65,0),MATCH(BD$1,'Monthly CUST'!$N$1:$CG$1,0)))*(1+$L16)*INDEX('Monthly CUST'!$N$2:$CG$65,MATCH($D16,'Monthly CUST'!$D$2:$D$65,0),MATCH(BP$1,'Monthly CUST'!$N$1:$CG$1,0))),IF($J16="Modeled UPC",INDEX('Monthly CUST'!$N$2:$CG$65,MATCH($D16,'Monthly CUST'!$D$2:$D$65,0),MATCH(BP$1,'Monthly CUST'!$N$1:$CG$1,0))/12*$M16,IF($J16="Base Period",BD16,IF($J16="Adjusted",SUMIF('Input 15_Fcst Inputs'!$A:$A,$D16,'Input 15_Fcst Inputs'!$G:$G)/12))))),0)</f>
        <v>3413.9536444955406</v>
      </c>
      <c r="BQ16" s="483">
        <f>IFERROR(IF($J16="Historical Average",INDEX('Monthly UPC'!$CM$2:$DJ$65,MATCH($D16,'Monthly UPC'!$D$2:$D$65,0),MATCH(BQ$1,'Monthly UPC'!$CM$1:$DJ$1))*(INDEX('Monthly CUST'!$N$2:$CG$65,MATCH($D16,'Monthly CUST'!$D$2:$D$65,0),MATCH(BQ$1,'Monthly CUST'!$N$1:$CG$1,0))),IF($J16="UPC Growth Rate",((BE16/INDEX('Monthly CUST'!$N$2:$CG$65,MATCH($D16,'Monthly CUST'!$D$2:$D$65,0),MATCH(BE$1,'Monthly CUST'!$N$1:$CG$1,0)))*(1+$L16)*INDEX('Monthly CUST'!$N$2:$CG$65,MATCH($D16,'Monthly CUST'!$D$2:$D$65,0),MATCH(BQ$1,'Monthly CUST'!$N$1:$CG$1,0))),IF($J16="Modeled UPC",INDEX('Monthly CUST'!$N$2:$CG$65,MATCH($D16,'Monthly CUST'!$D$2:$D$65,0),MATCH(BQ$1,'Monthly CUST'!$N$1:$CG$1,0))/12*$M16,IF($J16="Base Period",BE16,IF($J16="Adjusted",SUMIF('Input 15_Fcst Inputs'!$A:$A,$D16,'Input 15_Fcst Inputs'!$G:$G)/12))))),0)</f>
        <v>3182.9609772940657</v>
      </c>
      <c r="BR16" s="483">
        <f>IFERROR(IF($J16="Historical Average",INDEX('Monthly UPC'!$CM$2:$DJ$65,MATCH($D16,'Monthly UPC'!$D$2:$D$65,0),MATCH(BR$1,'Monthly UPC'!$CM$1:$DJ$1))*(INDEX('Monthly CUST'!$N$2:$CG$65,MATCH($D16,'Monthly CUST'!$D$2:$D$65,0),MATCH(BR$1,'Monthly CUST'!$N$1:$CG$1,0))),IF($J16="UPC Growth Rate",((BF16/INDEX('Monthly CUST'!$N$2:$CG$65,MATCH($D16,'Monthly CUST'!$D$2:$D$65,0),MATCH(BF$1,'Monthly CUST'!$N$1:$CG$1,0)))*(1+$L16)*INDEX('Monthly CUST'!$N$2:$CG$65,MATCH($D16,'Monthly CUST'!$D$2:$D$65,0),MATCH(BR$1,'Monthly CUST'!$N$1:$CG$1,0))),IF($J16="Modeled UPC",INDEX('Monthly CUST'!$N$2:$CG$65,MATCH($D16,'Monthly CUST'!$D$2:$D$65,0),MATCH(BR$1,'Monthly CUST'!$N$1:$CG$1,0))/12*$M16,IF($J16="Base Period",BF16,IF($J16="Adjusted",SUMIF('Input 15_Fcst Inputs'!$A:$A,$D16,'Input 15_Fcst Inputs'!$G:$G)/12))))),0)</f>
        <v>3333.2756248111673</v>
      </c>
      <c r="BS16" s="483">
        <f>IFERROR(IF($J16="Historical Average",INDEX('Monthly UPC'!$CM$2:$DJ$65,MATCH($D16,'Monthly UPC'!$D$2:$D$65,0),MATCH(BS$1,'Monthly UPC'!$CM$1:$DJ$1))*(INDEX('Monthly CUST'!$N$2:$CG$65,MATCH($D16,'Monthly CUST'!$D$2:$D$65,0),MATCH(BS$1,'Monthly CUST'!$N$1:$CG$1,0))),IF($J16="UPC Growth Rate",((BG16/INDEX('Monthly CUST'!$N$2:$CG$65,MATCH($D16,'Monthly CUST'!$D$2:$D$65,0),MATCH(BG$1,'Monthly CUST'!$N$1:$CG$1,0)))*(1+$L16)*INDEX('Monthly CUST'!$N$2:$CG$65,MATCH($D16,'Monthly CUST'!$D$2:$D$65,0),MATCH(BS$1,'Monthly CUST'!$N$1:$CG$1,0))),IF($J16="Modeled UPC",INDEX('Monthly CUST'!$N$2:$CG$65,MATCH($D16,'Monthly CUST'!$D$2:$D$65,0),MATCH(BS$1,'Monthly CUST'!$N$1:$CG$1,0))/12*$M16,IF($J16="Base Period",BG16,IF($J16="Adjusted",SUMIF('Input 15_Fcst Inputs'!$A:$A,$D16,'Input 15_Fcst Inputs'!$G:$G)/12))))),0)</f>
        <v>3597.4103534661112</v>
      </c>
      <c r="BT16" s="483">
        <f>IFERROR(IF($J16="Historical Average",INDEX('Monthly UPC'!$CM$2:$DJ$65,MATCH($D16,'Monthly UPC'!$D$2:$D$65,0),MATCH(BT$1,'Monthly UPC'!$CM$1:$DJ$1))*(INDEX('Monthly CUST'!$N$2:$CG$65,MATCH($D16,'Monthly CUST'!$D$2:$D$65,0),MATCH(BT$1,'Monthly CUST'!$N$1:$CG$1,0))),IF($J16="UPC Growth Rate",((BH16/INDEX('Monthly CUST'!$N$2:$CG$65,MATCH($D16,'Monthly CUST'!$D$2:$D$65,0),MATCH(BH$1,'Monthly CUST'!$N$1:$CG$1,0)))*(1+$L16)*INDEX('Monthly CUST'!$N$2:$CG$65,MATCH($D16,'Monthly CUST'!$D$2:$D$65,0),MATCH(BT$1,'Monthly CUST'!$N$1:$CG$1,0))),IF($J16="Modeled UPC",INDEX('Monthly CUST'!$N$2:$CG$65,MATCH($D16,'Monthly CUST'!$D$2:$D$65,0),MATCH(BT$1,'Monthly CUST'!$N$1:$CG$1,0))/12*$M16,IF($J16="Base Period",BH16,IF($J16="Adjusted",SUMIF('Input 15_Fcst Inputs'!$A:$A,$D16,'Input 15_Fcst Inputs'!$G:$G)/12))))),0)</f>
        <v>4646.5033080920111</v>
      </c>
      <c r="BU16" s="483">
        <f>IFERROR(IF($J16="Historical Average",INDEX('Monthly UPC'!$CM$2:$DJ$65,MATCH($D16,'Monthly UPC'!$D$2:$D$65,0),MATCH(BU$1,'Monthly UPC'!$CM$1:$DJ$1))*(INDEX('Monthly CUST'!$N$2:$CG$65,MATCH($D16,'Monthly CUST'!$D$2:$D$65,0),MATCH(BU$1,'Monthly CUST'!$N$1:$CG$1,0))),IF($J16="UPC Growth Rate",((BI16/INDEX('Monthly CUST'!$N$2:$CG$65,MATCH($D16,'Monthly CUST'!$D$2:$D$65,0),MATCH(BI$1,'Monthly CUST'!$N$1:$CG$1,0)))*(1+$L16)*INDEX('Monthly CUST'!$N$2:$CG$65,MATCH($D16,'Monthly CUST'!$D$2:$D$65,0),MATCH(BU$1,'Monthly CUST'!$N$1:$CG$1,0))),IF($J16="Modeled UPC",INDEX('Monthly CUST'!$N$2:$CG$65,MATCH($D16,'Monthly CUST'!$D$2:$D$65,0),MATCH(BU$1,'Monthly CUST'!$N$1:$CG$1,0))/12*$M16,IF($J16="Base Period",BI16,IF($J16="Adjusted",SUMIF('Input 15_Fcst Inputs'!$A:$A,$D16,'Input 15_Fcst Inputs'!$G:$G)/12))))),0)</f>
        <v>6738.8787467059356</v>
      </c>
      <c r="BV16" s="483">
        <f>IFERROR(IF($J16="Historical Average",INDEX('Monthly UPC'!$CM$2:$DJ$65,MATCH($D16,'Monthly UPC'!$D$2:$D$65,0),MATCH(BV$1,'Monthly UPC'!$CM$1:$DJ$1))*(INDEX('Monthly CUST'!$N$2:$CG$65,MATCH($D16,'Monthly CUST'!$D$2:$D$65,0),MATCH(BV$1,'Monthly CUST'!$N$1:$CG$1,0))),IF($J16="UPC Growth Rate",((BJ16/INDEX('Monthly CUST'!$N$2:$CG$65,MATCH($D16,'Monthly CUST'!$D$2:$D$65,0),MATCH(BJ$1,'Monthly CUST'!$N$1:$CG$1,0)))*(1+$L16)*INDEX('Monthly CUST'!$N$2:$CG$65,MATCH($D16,'Monthly CUST'!$D$2:$D$65,0),MATCH(BV$1,'Monthly CUST'!$N$1:$CG$1,0))),IF($J16="Modeled UPC",INDEX('Monthly CUST'!$N$2:$CG$65,MATCH($D16,'Monthly CUST'!$D$2:$D$65,0),MATCH(BV$1,'Monthly CUST'!$N$1:$CG$1,0))/12*$M16,IF($J16="Base Period",BJ16,IF($J16="Adjusted",SUMIF('Input 15_Fcst Inputs'!$A:$A,$D16,'Input 15_Fcst Inputs'!$G:$G)/12))))),0)</f>
        <v>7647.5699092552395</v>
      </c>
      <c r="BW16" s="483">
        <f>IFERROR(IF($J16="Historical Average",INDEX('Monthly UPC'!$CM$2:$DJ$65,MATCH($D16,'Monthly UPC'!$D$2:$D$65,0),MATCH(BW$1,'Monthly UPC'!$CM$1:$DJ$1))*(INDEX('Monthly CUST'!$N$2:$CG$65,MATCH($D16,'Monthly CUST'!$D$2:$D$65,0),MATCH(BW$1,'Monthly CUST'!$N$1:$CG$1,0))),IF($J16="UPC Growth Rate",((BK16/INDEX('Monthly CUST'!$N$2:$CG$65,MATCH($D16,'Monthly CUST'!$D$2:$D$65,0),MATCH(BK$1,'Monthly CUST'!$N$1:$CG$1,0)))*(1+$L16)*INDEX('Monthly CUST'!$N$2:$CG$65,MATCH($D16,'Monthly CUST'!$D$2:$D$65,0),MATCH(BW$1,'Monthly CUST'!$N$1:$CG$1,0))),IF($J16="Modeled UPC",INDEX('Monthly CUST'!$N$2:$CG$65,MATCH($D16,'Monthly CUST'!$D$2:$D$65,0),MATCH(BW$1,'Monthly CUST'!$N$1:$CG$1,0))/12*$M16,IF($J16="Base Period",BK16,IF($J16="Adjusted",SUMIF('Input 15_Fcst Inputs'!$A:$A,$D16,'Input 15_Fcst Inputs'!$G:$G)/12))))),0)</f>
        <v>6127.0846661312744</v>
      </c>
      <c r="BX16" s="483">
        <f>IFERROR(IF($J16="Historical Average",INDEX('Monthly UPC'!$CM$2:$DJ$65,MATCH($D16,'Monthly UPC'!$D$2:$D$65,0),MATCH(BX$1,'Monthly UPC'!$CM$1:$DJ$1))*(INDEX('Monthly CUST'!$N$2:$CG$65,MATCH($D16,'Monthly CUST'!$D$2:$D$65,0),MATCH(BX$1,'Monthly CUST'!$N$1:$CG$1,0))),IF($J16="UPC Growth Rate",((BL16/INDEX('Monthly CUST'!$N$2:$CG$65,MATCH($D16,'Monthly CUST'!$D$2:$D$65,0),MATCH(BL$1,'Monthly CUST'!$N$1:$CG$1,0)))*(1+$L16)*INDEX('Monthly CUST'!$N$2:$CG$65,MATCH($D16,'Monthly CUST'!$D$2:$D$65,0),MATCH(BX$1,'Monthly CUST'!$N$1:$CG$1,0))),IF($J16="Modeled UPC",INDEX('Monthly CUST'!$N$2:$CG$65,MATCH($D16,'Monthly CUST'!$D$2:$D$65,0),MATCH(BX$1,'Monthly CUST'!$N$1:$CG$1,0))/12*$M16,IF($J16="Base Period",BL16,IF($J16="Adjusted",SUMIF('Input 15_Fcst Inputs'!$A:$A,$D16,'Input 15_Fcst Inputs'!$G:$G)/12))))),0)</f>
        <v>5821.7460076850311</v>
      </c>
      <c r="BY16" s="483">
        <f>IFERROR(IF($J16="Historical Average",INDEX('Monthly UPC'!$CM$2:$DJ$65,MATCH($D16,'Monthly UPC'!$D$2:$D$65,0),MATCH(BY$1,'Monthly UPC'!$CM$1:$DJ$1))*(INDEX('Monthly CUST'!$N$2:$CG$65,MATCH($D16,'Monthly CUST'!$D$2:$D$65,0),MATCH(BY$1,'Monthly CUST'!$N$1:$CG$1,0))),IF($J16="UPC Growth Rate",((BM16/INDEX('Monthly CUST'!$N$2:$CG$65,MATCH($D16,'Monthly CUST'!$D$2:$D$65,0),MATCH(BM$1,'Monthly CUST'!$N$1:$CG$1,0)))*(1+$L16)*INDEX('Monthly CUST'!$N$2:$CG$65,MATCH($D16,'Monthly CUST'!$D$2:$D$65,0),MATCH(BY$1,'Monthly CUST'!$N$1:$CG$1,0))),IF($J16="Modeled UPC",INDEX('Monthly CUST'!$N$2:$CG$65,MATCH($D16,'Monthly CUST'!$D$2:$D$65,0),MATCH(BY$1,'Monthly CUST'!$N$1:$CG$1,0))/12*$M16,IF($J16="Base Period",BM16,IF($J16="Adjusted",SUMIF('Input 15_Fcst Inputs'!$A:$A,$D16,'Input 15_Fcst Inputs'!$G:$G)/12))))),0)</f>
        <v>4690.4214828549684</v>
      </c>
      <c r="BZ16" s="483">
        <f>IFERROR(IF($J16="Historical Average",INDEX('Monthly UPC'!$CM$2:$DJ$65,MATCH($D16,'Monthly UPC'!$D$2:$D$65,0),MATCH(BZ$1,'Monthly UPC'!$CM$1:$DJ$1))*(INDEX('Monthly CUST'!$N$2:$CG$65,MATCH($D16,'Monthly CUST'!$D$2:$D$65,0),MATCH(BZ$1,'Monthly CUST'!$N$1:$CG$1,0))),IF($J16="UPC Growth Rate",((BN16/INDEX('Monthly CUST'!$N$2:$CG$65,MATCH($D16,'Monthly CUST'!$D$2:$D$65,0),MATCH(BN$1,'Monthly CUST'!$N$1:$CG$1,0)))*(1+$L16)*INDEX('Monthly CUST'!$N$2:$CG$65,MATCH($D16,'Monthly CUST'!$D$2:$D$65,0),MATCH(BZ$1,'Monthly CUST'!$N$1:$CG$1,0))),IF($J16="Modeled UPC",INDEX('Monthly CUST'!$N$2:$CG$65,MATCH($D16,'Monthly CUST'!$D$2:$D$65,0),MATCH(BZ$1,'Monthly CUST'!$N$1:$CG$1,0))/12*$M16,IF($J16="Base Period",BN16,IF($J16="Adjusted",SUMIF('Input 15_Fcst Inputs'!$A:$A,$D16,'Input 15_Fcst Inputs'!$G:$G)/12))))),0)</f>
        <v>7310.503416373751</v>
      </c>
      <c r="CA16" s="483">
        <f>IFERROR(IF($J16="Historical Average",INDEX('Monthly UPC'!$CM$2:$DJ$65,MATCH($D16,'Monthly UPC'!$D$2:$D$65,0),MATCH(CA$1,'Monthly UPC'!$CM$1:$DJ$1))*(INDEX('Monthly CUST'!$N$2:$CG$65,MATCH($D16,'Monthly CUST'!$D$2:$D$65,0),MATCH(CA$1,'Monthly CUST'!$N$1:$CG$1,0))),IF($J16="UPC Growth Rate",((BO16/INDEX('Monthly CUST'!$N$2:$CG$65,MATCH($D16,'Monthly CUST'!$D$2:$D$65,0),MATCH(BO$1,'Monthly CUST'!$N$1:$CG$1,0)))*(1+$L16)*INDEX('Monthly CUST'!$N$2:$CG$65,MATCH($D16,'Monthly CUST'!$D$2:$D$65,0),MATCH(CA$1,'Monthly CUST'!$N$1:$CG$1,0))),IF($J16="Modeled UPC",INDEX('Monthly CUST'!$N$2:$CG$65,MATCH($D16,'Monthly CUST'!$D$2:$D$65,0),MATCH(CA$1,'Monthly CUST'!$N$1:$CG$1,0))/12*$M16,IF($J16="Base Period",BO16,IF($J16="Adjusted",SUMIF('Input 15_Fcst Inputs'!$A:$A,$D16,'Input 15_Fcst Inputs'!$G:$G)/12))))),0)</f>
        <v>4675.9886827356604</v>
      </c>
      <c r="CB16" s="483">
        <f>IFERROR(IF($J16="Historical Average",INDEX('Monthly UPC'!$CM$2:$DJ$65,MATCH($D16,'Monthly UPC'!$D$2:$D$65,0),MATCH(CB$1,'Monthly UPC'!$CM$1:$DJ$1))*(INDEX('Monthly CUST'!$N$2:$CG$65,MATCH($D16,'Monthly CUST'!$D$2:$D$65,0),MATCH(CB$1,'Monthly CUST'!$N$1:$CG$1,0))),IF($J16="UPC Growth Rate",((BP16/INDEX('Monthly CUST'!$N$2:$CG$65,MATCH($D16,'Monthly CUST'!$D$2:$D$65,0),MATCH(BP$1,'Monthly CUST'!$N$1:$CG$1,0)))*(1+$L16)*INDEX('Monthly CUST'!$N$2:$CG$65,MATCH($D16,'Monthly CUST'!$D$2:$D$65,0),MATCH(CB$1,'Monthly CUST'!$N$1:$CG$1,0))),IF($J16="Modeled UPC",INDEX('Monthly CUST'!$N$2:$CG$65,MATCH($D16,'Monthly CUST'!$D$2:$D$65,0),MATCH(CB$1,'Monthly CUST'!$N$1:$CG$1,0))/12*$M16,IF($J16="Base Period",BP16,IF($J16="Adjusted",SUMIF('Input 15_Fcst Inputs'!$A:$A,$D16,'Input 15_Fcst Inputs'!$G:$G)/12))))),0)</f>
        <v>3620.7578561135692</v>
      </c>
      <c r="CC16" s="483">
        <f>IFERROR(IF($J16="Historical Average",INDEX('Monthly UPC'!$CM$2:$DJ$65,MATCH($D16,'Monthly UPC'!$D$2:$D$65,0),MATCH(CC$1,'Monthly UPC'!$CM$1:$DJ$1))*(INDEX('Monthly CUST'!$N$2:$CG$65,MATCH($D16,'Monthly CUST'!$D$2:$D$65,0),MATCH(CC$1,'Monthly CUST'!$N$1:$CG$1,0))),IF($J16="UPC Growth Rate",((BQ16/INDEX('Monthly CUST'!$N$2:$CG$65,MATCH($D16,'Monthly CUST'!$D$2:$D$65,0),MATCH(BQ$1,'Monthly CUST'!$N$1:$CG$1,0)))*(1+$L16)*INDEX('Monthly CUST'!$N$2:$CG$65,MATCH($D16,'Monthly CUST'!$D$2:$D$65,0),MATCH(CC$1,'Monthly CUST'!$N$1:$CG$1,0))),IF($J16="Modeled UPC",INDEX('Monthly CUST'!$N$2:$CG$65,MATCH($D16,'Monthly CUST'!$D$2:$D$65,0),MATCH(CC$1,'Monthly CUST'!$N$1:$CG$1,0))/12*$M16,IF($J16="Base Period",BQ16,IF($J16="Adjusted",SUMIF('Input 15_Fcst Inputs'!$A:$A,$D16,'Input 15_Fcst Inputs'!$G:$G)/12))))),0)</f>
        <v>3375.7725395077391</v>
      </c>
      <c r="CD16" s="483">
        <f>IFERROR(IF($J16="Historical Average",INDEX('Monthly UPC'!$CM$2:$DJ$65,MATCH($D16,'Monthly UPC'!$D$2:$D$65,0),MATCH(CD$1,'Monthly UPC'!$CM$1:$DJ$1))*(INDEX('Monthly CUST'!$N$2:$CG$65,MATCH($D16,'Monthly CUST'!$D$2:$D$65,0),MATCH(CD$1,'Monthly CUST'!$N$1:$CG$1,0))),IF($J16="UPC Growth Rate",((BR16/INDEX('Monthly CUST'!$N$2:$CG$65,MATCH($D16,'Monthly CUST'!$D$2:$D$65,0),MATCH(BR$1,'Monthly CUST'!$N$1:$CG$1,0)))*(1+$L16)*INDEX('Monthly CUST'!$N$2:$CG$65,MATCH($D16,'Monthly CUST'!$D$2:$D$65,0),MATCH(CD$1,'Monthly CUST'!$N$1:$CG$1,0))),IF($J16="Modeled UPC",INDEX('Monthly CUST'!$N$2:$CG$65,MATCH($D16,'Monthly CUST'!$D$2:$D$65,0),MATCH(CD$1,'Monthly CUST'!$N$1:$CG$1,0))/12*$M16,IF($J16="Base Period",BR16,IF($J16="Adjusted",SUMIF('Input 15_Fcst Inputs'!$A:$A,$D16,'Input 15_Fcst Inputs'!$G:$G)/12))))),0)</f>
        <v>3535.1926715777831</v>
      </c>
      <c r="CE16" s="483">
        <f>IFERROR(IF($J16="Historical Average",INDEX('Monthly UPC'!$CM$2:$DJ$65,MATCH($D16,'Monthly UPC'!$D$2:$D$65,0),MATCH(CE$1,'Monthly UPC'!$CM$1:$DJ$1))*(INDEX('Monthly CUST'!$N$2:$CG$65,MATCH($D16,'Monthly CUST'!$D$2:$D$65,0),MATCH(CE$1,'Monthly CUST'!$N$1:$CG$1,0))),IF($J16="UPC Growth Rate",((BS16/INDEX('Monthly CUST'!$N$2:$CG$65,MATCH($D16,'Monthly CUST'!$D$2:$D$65,0),MATCH(BS$1,'Monthly CUST'!$N$1:$CG$1,0)))*(1+$L16)*INDEX('Monthly CUST'!$N$2:$CG$65,MATCH($D16,'Monthly CUST'!$D$2:$D$65,0),MATCH(CE$1,'Monthly CUST'!$N$1:$CG$1,0))),IF($J16="Modeled UPC",INDEX('Monthly CUST'!$N$2:$CG$65,MATCH($D16,'Monthly CUST'!$D$2:$D$65,0),MATCH(CE$1,'Monthly CUST'!$N$1:$CG$1,0))/12*$M16,IF($J16="Base Period",BS16,IF($J16="Adjusted",SUMIF('Input 15_Fcst Inputs'!$A:$A,$D16,'Input 15_Fcst Inputs'!$G:$G)/12))))),0)</f>
        <v>3815.3276685458313</v>
      </c>
      <c r="CF16" s="483">
        <f>IFERROR(IF($J16="Historical Average",INDEX('Monthly UPC'!$CM$2:$DJ$65,MATCH($D16,'Monthly UPC'!$D$2:$D$65,0),MATCH(CF$1,'Monthly UPC'!$CM$1:$DJ$1))*(INDEX('Monthly CUST'!$N$2:$CG$65,MATCH($D16,'Monthly CUST'!$D$2:$D$65,0),MATCH(CF$1,'Monthly CUST'!$N$1:$CG$1,0))),IF($J16="UPC Growth Rate",((BT16/INDEX('Monthly CUST'!$N$2:$CG$65,MATCH($D16,'Monthly CUST'!$D$2:$D$65,0),MATCH(BT$1,'Monthly CUST'!$N$1:$CG$1,0)))*(1+$L16)*INDEX('Monthly CUST'!$N$2:$CG$65,MATCH($D16,'Monthly CUST'!$D$2:$D$65,0),MATCH(CF$1,'Monthly CUST'!$N$1:$CG$1,0))),IF($J16="Modeled UPC",INDEX('Monthly CUST'!$N$2:$CG$65,MATCH($D16,'Monthly CUST'!$D$2:$D$65,0),MATCH(CF$1,'Monthly CUST'!$N$1:$CG$1,0))/12*$M16,IF($J16="Base Period",BT16,IF($J16="Adjusted",SUMIF('Input 15_Fcst Inputs'!$A:$A,$D16,'Input 15_Fcst Inputs'!$G:$G)/12))))),0)</f>
        <v>4927.9706487396661</v>
      </c>
      <c r="CG16" s="483">
        <f>IFERROR(IF($J16="Historical Average",INDEX('Monthly UPC'!$CM$2:$DJ$65,MATCH($D16,'Monthly UPC'!$D$2:$D$65,0),MATCH(CG$1,'Monthly UPC'!$CM$1:$DJ$1))*(INDEX('Monthly CUST'!$N$2:$CG$65,MATCH($D16,'Monthly CUST'!$D$2:$D$65,0),MATCH(CG$1,'Monthly CUST'!$N$1:$CG$1,0))),IF($J16="UPC Growth Rate",((BU16/INDEX('Monthly CUST'!$N$2:$CG$65,MATCH($D16,'Monthly CUST'!$D$2:$D$65,0),MATCH(BU$1,'Monthly CUST'!$N$1:$CG$1,0)))*(1+$L16)*INDEX('Monthly CUST'!$N$2:$CG$65,MATCH($D16,'Monthly CUST'!$D$2:$D$65,0),MATCH(CG$1,'Monthly CUST'!$N$1:$CG$1,0))),IF($J16="Modeled UPC",INDEX('Monthly CUST'!$N$2:$CG$65,MATCH($D16,'Monthly CUST'!$D$2:$D$65,0),MATCH(CG$1,'Monthly CUST'!$N$1:$CG$1,0))/12*$M16,IF($J16="Base Period",BU16,IF($J16="Adjusted",SUMIF('Input 15_Fcst Inputs'!$A:$A,$D16,'Input 15_Fcst Inputs'!$G:$G)/12))))),0)</f>
        <v>7147.0941624743991</v>
      </c>
      <c r="CH16" s="197"/>
      <c r="CI16" s="197">
        <f t="shared" si="0"/>
        <v>33523.710000000006</v>
      </c>
      <c r="CJ16" s="197">
        <f t="shared" si="1"/>
        <v>47649.58</v>
      </c>
      <c r="CK16" s="197">
        <f t="shared" si="2"/>
        <v>60220.289999999994</v>
      </c>
      <c r="CL16" s="197">
        <f t="shared" si="3"/>
        <v>50076.090000000004</v>
      </c>
      <c r="CM16" s="197">
        <f t="shared" si="4"/>
        <v>59114.50013070563</v>
      </c>
      <c r="CN16" s="197">
        <f t="shared" si="5"/>
        <v>62695.429711994911</v>
      </c>
      <c r="CP16" s="4">
        <f>SUMIF('Master '!D:D,D16,'Master '!AH:AH)</f>
        <v>59114.244668375228</v>
      </c>
      <c r="CQ16" s="4">
        <f>SUMIF('Master '!D:D,D16,'Master '!AI:AI)</f>
        <v>62695.344449740995</v>
      </c>
      <c r="CR16" s="197">
        <f t="shared" si="6"/>
        <v>0.25546233040222432</v>
      </c>
      <c r="CS16" s="197">
        <f t="shared" si="7"/>
        <v>8.5262253916880582E-2</v>
      </c>
      <c r="CT16" t="s">
        <v>287</v>
      </c>
      <c r="CV16" t="str">
        <f>VLOOKUP(G16,'Master '!G:CC,75,FALSE)</f>
        <v>CS-GS</v>
      </c>
    </row>
    <row r="17" spans="1:100">
      <c r="A17" s="53" t="s">
        <v>15</v>
      </c>
      <c r="B17" s="53" t="s">
        <v>994</v>
      </c>
      <c r="C17" s="53" t="s">
        <v>1245</v>
      </c>
      <c r="D17" s="53" t="s">
        <v>36</v>
      </c>
      <c r="E17" s="53" t="str">
        <f>VLOOKUP(D17,'Input 14_Ref Table'!C:D,2,FALSE)</f>
        <v>GCS11</v>
      </c>
      <c r="F17" s="143" t="s">
        <v>1286</v>
      </c>
      <c r="G17" s="53" t="str">
        <f>VLOOKUP(D17,'Input 14_Ref Table'!C:I,7,FALSE)</f>
        <v>FPU - FPU - GS - 1</v>
      </c>
      <c r="H17" s="53" t="str">
        <f>VLOOKUP(D17,'Input 14_Ref Table'!C:K,8,FALSE)</f>
        <v>GS1</v>
      </c>
      <c r="I17" s="53"/>
      <c r="J17" t="str">
        <f>INDEX('Master '!$AD$2:AD$65,MATCH(D17,'Master '!$D$2:$D$65,0))</f>
        <v>UPC Growth Rate</v>
      </c>
      <c r="K17" s="458">
        <f>INDEX('Master '!$N$2:N$65,MATCH(D17,'Master '!$D$2:$D$65,0))</f>
        <v>-3.3336450138164629E-2</v>
      </c>
      <c r="L17" s="137">
        <f>INDEX('Master '!$S$2:S$65,MATCH(D17,'Master '!$D$2:$D$65,0))</f>
        <v>3.989071854052504E-2</v>
      </c>
      <c r="M17" s="4">
        <f>INDEX('Master '!$W$2:W$65,MATCH(D17,'Master '!$D$2:$D$65,0))</f>
        <v>3482.75</v>
      </c>
      <c r="N17" s="268">
        <f>SUMIF('Input 16.1_2018VOL-YTD'!$R:$R,$G17,'Input 16.1_2018VOL-YTD'!C:C)</f>
        <v>128898.50000000004</v>
      </c>
      <c r="O17" s="268">
        <f>SUMIF('Input 16.1_2018VOL-YTD'!$R:$R,$G17,'Input 16.1_2018VOL-YTD'!D:D)</f>
        <v>111216.99</v>
      </c>
      <c r="P17" s="268">
        <f>SUMIF('Input 16.1_2018VOL-YTD'!$R:$R,$G17,'Input 16.1_2018VOL-YTD'!E:E)</f>
        <v>93276.659999999974</v>
      </c>
      <c r="Q17" s="268">
        <f>SUMIF('Input 16.1_2018VOL-YTD'!$R:$R,$G17,'Input 16.1_2018VOL-YTD'!F:F)</f>
        <v>93501.570000000094</v>
      </c>
      <c r="R17" s="268">
        <f>SUMIF('Input 16.1_2018VOL-YTD'!$R:$R,$G17,'Input 16.1_2018VOL-YTD'!G:G)</f>
        <v>77461.38999999997</v>
      </c>
      <c r="S17" s="268">
        <f>SUMIF('Input 16.1_2018VOL-YTD'!$R:$R,$G17,'Input 16.1_2018VOL-YTD'!H:H)</f>
        <v>72621.730000000069</v>
      </c>
      <c r="T17" s="268">
        <f>SUMIF('Input 16.1_2018VOL-YTD'!$R:$R,$G17,'Input 16.1_2018VOL-YTD'!I:I)</f>
        <v>60343</v>
      </c>
      <c r="U17" s="268">
        <f>SUMIF('Input 16.1_2018VOL-YTD'!$R:$R,$G17,'Input 16.1_2018VOL-YTD'!J:J)</f>
        <v>62615.850000000013</v>
      </c>
      <c r="V17" s="268">
        <f>SUMIF('Input 16.1_2018VOL-YTD'!$R:$R,$G17,'Input 16.1_2018VOL-YTD'!K:K)</f>
        <v>59656.630000000048</v>
      </c>
      <c r="W17" s="268">
        <f>SUMIF('Input 16.1_2018VOL-YTD'!$R:$R,$G17,'Input 16.1_2018VOL-YTD'!L:L)</f>
        <v>58216.840000000084</v>
      </c>
      <c r="X17" s="268">
        <f>SUMIF('Input 16.1_2018VOL-YTD'!$R:$R,$G17,'Input 16.1_2018VOL-YTD'!M:M)</f>
        <v>78346.930000000008</v>
      </c>
      <c r="Y17" s="268">
        <f>SUMIF('Input 16.1_2018VOL-YTD'!$R:$R,$G17,'Input 16.1_2018VOL-YTD'!N:N)</f>
        <v>104189.94000000012</v>
      </c>
      <c r="Z17" s="268">
        <f>SUMIF('Input 3.1_2019VOL-YTD'!$R:$R,$G17,'Input 3.1_2019VOL-YTD'!C:C)</f>
        <v>104882.68999999999</v>
      </c>
      <c r="AA17" s="268">
        <f>SUMIF('Input 3.1_2019VOL-YTD'!$R:$R,$G17,'Input 3.1_2019VOL-YTD'!D:D)</f>
        <v>100675.17999999992</v>
      </c>
      <c r="AB17" s="268">
        <f>SUMIF('Input 3.1_2019VOL-YTD'!$R:$R,$G17,'Input 3.1_2019VOL-YTD'!E:E)</f>
        <v>83859.719999999972</v>
      </c>
      <c r="AC17" s="268">
        <f>SUMIF('Input 3.1_2019VOL-YTD'!$R:$R,$G17,'Input 3.1_2019VOL-YTD'!F:F)</f>
        <v>90093.059999999939</v>
      </c>
      <c r="AD17" s="268">
        <f>SUMIF('Input 3.1_2019VOL-YTD'!$R:$R,$G17,'Input 3.1_2019VOL-YTD'!G:G)</f>
        <v>75976.930000000109</v>
      </c>
      <c r="AE17" s="268">
        <f>SUMIF('Input 3.1_2019VOL-YTD'!$R:$R,$G17,'Input 3.1_2019VOL-YTD'!H:H)</f>
        <v>69818.949999999968</v>
      </c>
      <c r="AF17" s="268">
        <f>SUMIF('Input 3.1_2019VOL-YTD'!$R:$R,$G17,'Input 3.1_2019VOL-YTD'!I:I)</f>
        <v>55014.64999999998</v>
      </c>
      <c r="AG17" s="268">
        <f>SUMIF('Input 3.1_2019VOL-YTD'!$R:$R,$G17,'Input 3.1_2019VOL-YTD'!J:J)</f>
        <v>63249.129999999983</v>
      </c>
      <c r="AH17" s="268">
        <f>SUMIF('Input 3.1_2019VOL-YTD'!$R:$R,$G17,'Input 3.1_2019VOL-YTD'!K:K)</f>
        <v>69216.620000000024</v>
      </c>
      <c r="AI17" s="268">
        <f>SUMIF('Input 3.1_2019VOL-YTD'!$R:$R,$G17,'Input 3.1_2019VOL-YTD'!L:L)</f>
        <v>73985.719999999972</v>
      </c>
      <c r="AJ17" s="268">
        <f>SUMIF('Input 3.1_2019VOL-YTD'!$R:$R,$G17,'Input 3.1_2019VOL-YTD'!M:M)</f>
        <v>91244.209999999963</v>
      </c>
      <c r="AK17" s="268">
        <f>SUMIF('Input 3.1_2019VOL-YTD'!$R:$R,$G17,'Input 3.1_2019VOL-YTD'!N:N)</f>
        <v>103246.34</v>
      </c>
      <c r="AL17" s="268">
        <f>SUMIF('Input 4.1_2020VOL-YTD'!$R:$R,$G17,'Input 4.1_2020VOL-YTD'!C:C)</f>
        <v>112594.67999999991</v>
      </c>
      <c r="AM17" s="268">
        <f>SUMIF('Input 4.1_2020VOL-YTD'!$R:$R,$G17,'Input 4.1_2020VOL-YTD'!D:D)</f>
        <v>105231.62000000011</v>
      </c>
      <c r="AN17" s="268">
        <f>SUMIF('Input 4.1_2020VOL-YTD'!$R:$R,$G17,'Input 4.1_2020VOL-YTD'!E:E)</f>
        <v>95836.109999999957</v>
      </c>
      <c r="AO17" s="268">
        <f>SUMIF('Input 4.1_2020VOL-YTD'!$R:$R,$G17,'Input 4.1_2020VOL-YTD'!F:F)</f>
        <v>55780.88</v>
      </c>
      <c r="AP17" s="268">
        <f>SUMIF('Input 4.1_2020VOL-YTD'!$R:$R,$G17,'Input 4.1_2020VOL-YTD'!G:G)</f>
        <v>54246.519999999982</v>
      </c>
      <c r="AQ17" s="268">
        <f>SUMIF('Input 4.1_2020VOL-YTD'!$R:$R,$G17,'Input 4.1_2020VOL-YTD'!H:H)</f>
        <v>57077.84000000004</v>
      </c>
      <c r="AR17" s="268">
        <f>SUMIF('Input 4.1_2020VOL-YTD'!$R:$R,$G17,'Input 4.1_2020VOL-YTD'!I:I)</f>
        <v>54602.700000000033</v>
      </c>
      <c r="AS17" s="268">
        <f>SUMIF('Input 4.1_2020VOL-YTD'!$R:$R,$G17,'Input 4.1_2020VOL-YTD'!J:J)</f>
        <v>56697.169999999911</v>
      </c>
      <c r="AT17" s="268">
        <f>SUMIF('Input 4.1_2020VOL-YTD'!$R:$R,$G17,'Input 4.1_2020VOL-YTD'!K:K)</f>
        <v>56444.82999999998</v>
      </c>
      <c r="AU17" s="268">
        <f>SUMIF('Input 4.1_2020VOL-YTD'!$R:$R,$G17,'Input 4.1_2020VOL-YTD'!L:L)</f>
        <v>67324.350000000108</v>
      </c>
      <c r="AV17" s="268">
        <f>SUMIF('Input 4.1_2020VOL-YTD'!$R:$R,$G17,'Input 4.1_2020VOL-YTD'!M:M)</f>
        <v>77802.219999999958</v>
      </c>
      <c r="AW17" s="268">
        <f>SUMIF('Input 4.1_2020VOL-YTD'!$R:$R,$G17,'Input 4.1_2020VOL-YTD'!N:N)</f>
        <v>88079.530000000057</v>
      </c>
      <c r="AX17" s="268">
        <f>SUMIF('Input 5.1_2021VOL-YTD'!$R:$R,$G17,'Input 5.1_2021VOL-YTD'!C:C)</f>
        <v>119056.1899999999</v>
      </c>
      <c r="AY17" s="268">
        <f>SUMIF('Input 5.1_2021VOL-YTD'!$R:$R,$G17,'Input 5.1_2021VOL-YTD'!D:D)</f>
        <v>89073.610000000073</v>
      </c>
      <c r="AZ17" s="268">
        <f>SUMIF('Input 5.1_2021VOL-YTD'!$R:$R,$G17,'Input 5.1_2021VOL-YTD'!E:E)</f>
        <v>102030.51999999993</v>
      </c>
      <c r="BA17" s="268">
        <f>SUMIF('Input 5.1_2021VOL-YTD'!$R:$R,$G17,'Input 5.1_2021VOL-YTD'!F:F)</f>
        <v>87524.490000000034</v>
      </c>
      <c r="BB17" s="268">
        <f>SUMIF('Input 5.1_2021VOL-YTD'!$R:$R,$G17,'Input 5.1_2021VOL-YTD'!G:G)</f>
        <v>75893.589999999938</v>
      </c>
      <c r="BC17" s="268">
        <f>SUMIF('Input 5.1_2021VOL-YTD'!$R:$R,$G17,'Input 5.1_2021VOL-YTD'!H:H)</f>
        <v>66428.049999999959</v>
      </c>
      <c r="BD17" s="268">
        <f>SUMIF('Input 5.1_2021VOL-YTD'!$R:$R,$G17,'Input 5.1_2021VOL-YTD'!I:I)</f>
        <v>68251.92999999992</v>
      </c>
      <c r="BE17" s="268">
        <f>SUMIF('Input 5.1_2021VOL-YTD'!$R:$R,$G17,'Input 5.1_2021VOL-YTD'!J:J)</f>
        <v>60996.560000000012</v>
      </c>
      <c r="BF17" s="268">
        <f>SUMIF('Input 5.1_2021VOL-YTD'!$R:$R,$G17,'Input 5.1_2021VOL-YTD'!K:K)</f>
        <v>68994.330000000045</v>
      </c>
      <c r="BG17" s="268">
        <f>SUMIF('Input 5.1_2021VOL-YTD'!$R:$R,$G17,'Input 5.1_2021VOL-YTD'!L:L)</f>
        <v>68018.949999999968</v>
      </c>
      <c r="BH17" s="268">
        <f>SUMIF('Input 5.1_2021VOL-YTD'!$R:$R,$G17,'Input 5.1_2021VOL-YTD'!M:M)</f>
        <v>80815.790000000037</v>
      </c>
      <c r="BI17" s="268">
        <f>SUMIF('Input 5.1_2021VOL-YTD'!$R:$R,$G17,'Input 5.1_2021VOL-YTD'!N:N)</f>
        <v>97083.329999999929</v>
      </c>
      <c r="BJ17" s="483">
        <f>IFERROR(IF($J17="Historical Average",INDEX('Monthly UPC'!$CM$2:$DJ$65,MATCH($D17,'Monthly UPC'!$D$2:$D$65,0),MATCH(BJ$1,'Monthly UPC'!$CM$1:$DJ$1))*(INDEX('Monthly CUST'!$N$2:$CG$65,MATCH($D17,'Monthly CUST'!$D$2:$D$65,0),MATCH(BJ$1,'Monthly CUST'!$N$1:$CG$1,0))),IF($J17="UPC Growth Rate",((AX17/INDEX('Monthly CUST'!$N$2:$CG$65,MATCH($D17,'Monthly CUST'!$D$2:$D$65,0),MATCH(AX$1,'Monthly CUST'!$N$1:$CG$1,0)))*(1+$L17)*INDEX('Monthly CUST'!$N$2:$CG$65,MATCH($D17,'Monthly CUST'!$D$2:$D$65,0),MATCH(BJ$1,'Monthly CUST'!$N$1:$CG$1,0))),IF($J17="Modeled UPC",INDEX('Monthly CUST'!$N$2:$CG$65,MATCH($D17,'Monthly CUST'!$D$2:$D$65,0),MATCH(BJ$1,'Monthly CUST'!$N$1:$CG$1,0))/12*$M17,IF($J17="Base Period",AX17,IF($J17="Adjusted",SUMIF('Input 15_Fcst Inputs'!$A:$A,$D17,'Input 15_Fcst Inputs'!$G:$G)/12))))),0)</f>
        <v>119678.19352291769</v>
      </c>
      <c r="BK17" s="483">
        <f>IFERROR(IF($J17="Historical Average",INDEX('Monthly UPC'!$CM$2:$DJ$65,MATCH($D17,'Monthly UPC'!$D$2:$D$65,0),MATCH(BK$1,'Monthly UPC'!$CM$1:$DJ$1))*(INDEX('Monthly CUST'!$N$2:$CG$65,MATCH($D17,'Monthly CUST'!$D$2:$D$65,0),MATCH(BK$1,'Monthly CUST'!$N$1:$CG$1,0))),IF($J17="UPC Growth Rate",((AY17/INDEX('Monthly CUST'!$N$2:$CG$65,MATCH($D17,'Monthly CUST'!$D$2:$D$65,0),MATCH(AY$1,'Monthly CUST'!$N$1:$CG$1,0)))*(1+$L17)*INDEX('Monthly CUST'!$N$2:$CG$65,MATCH($D17,'Monthly CUST'!$D$2:$D$65,0),MATCH(BK$1,'Monthly CUST'!$N$1:$CG$1,0))),IF($J17="Modeled UPC",INDEX('Monthly CUST'!$N$2:$CG$65,MATCH($D17,'Monthly CUST'!$D$2:$D$65,0),MATCH(BK$1,'Monthly CUST'!$N$1:$CG$1,0))/12*$M17,IF($J17="Base Period",AY17,IF($J17="Adjusted",SUMIF('Input 15_Fcst Inputs'!$A:$A,$D17,'Input 15_Fcst Inputs'!$G:$G)/12))))),0)</f>
        <v>89538.970929314251</v>
      </c>
      <c r="BL17" s="483">
        <f>IFERROR(IF($J17="Historical Average",INDEX('Monthly UPC'!$CM$2:$DJ$65,MATCH($D17,'Monthly UPC'!$D$2:$D$65,0),MATCH(BL$1,'Monthly UPC'!$CM$1:$DJ$1))*(INDEX('Monthly CUST'!$N$2:$CG$65,MATCH($D17,'Monthly CUST'!$D$2:$D$65,0),MATCH(BL$1,'Monthly CUST'!$N$1:$CG$1,0))),IF($J17="UPC Growth Rate",((AZ17/INDEX('Monthly CUST'!$N$2:$CG$65,MATCH($D17,'Monthly CUST'!$D$2:$D$65,0),MATCH(AZ$1,'Monthly CUST'!$N$1:$CG$1,0)))*(1+$L17)*INDEX('Monthly CUST'!$N$2:$CG$65,MATCH($D17,'Monthly CUST'!$D$2:$D$65,0),MATCH(BL$1,'Monthly CUST'!$N$1:$CG$1,0))),IF($J17="Modeled UPC",INDEX('Monthly CUST'!$N$2:$CG$65,MATCH($D17,'Monthly CUST'!$D$2:$D$65,0),MATCH(BL$1,'Monthly CUST'!$N$1:$CG$1,0))/12*$M17,IF($J17="Base Period",AZ17,IF($J17="Adjusted",SUMIF('Input 15_Fcst Inputs'!$A:$A,$D17,'Input 15_Fcst Inputs'!$G:$G)/12))))),0)</f>
        <v>102563.57370250068</v>
      </c>
      <c r="BM17" s="483">
        <f>IFERROR(IF($J17="Historical Average",INDEX('Monthly UPC'!$CM$2:$DJ$65,MATCH($D17,'Monthly UPC'!$D$2:$D$65,0),MATCH(BM$1,'Monthly UPC'!$CM$1:$DJ$1))*(INDEX('Monthly CUST'!$N$2:$CG$65,MATCH($D17,'Monthly CUST'!$D$2:$D$65,0),MATCH(BM$1,'Monthly CUST'!$N$1:$CG$1,0))),IF($J17="UPC Growth Rate",((BA17/INDEX('Monthly CUST'!$N$2:$CG$65,MATCH($D17,'Monthly CUST'!$D$2:$D$65,0),MATCH(BA$1,'Monthly CUST'!$N$1:$CG$1,0)))*(1+$L17)*INDEX('Monthly CUST'!$N$2:$CG$65,MATCH($D17,'Monthly CUST'!$D$2:$D$65,0),MATCH(BM$1,'Monthly CUST'!$N$1:$CG$1,0))),IF($J17="Modeled UPC",INDEX('Monthly CUST'!$N$2:$CG$65,MATCH($D17,'Monthly CUST'!$D$2:$D$65,0),MATCH(BM$1,'Monthly CUST'!$N$1:$CG$1,0))/12*$M17,IF($J17="Base Period",BA17,IF($J17="Adjusted",SUMIF('Input 15_Fcst Inputs'!$A:$A,$D17,'Input 15_Fcst Inputs'!$G:$G)/12))))),0)</f>
        <v>87981.757623981481</v>
      </c>
      <c r="BN17" s="483">
        <f>IFERROR(IF($J17="Historical Average",INDEX('Monthly UPC'!$CM$2:$DJ$65,MATCH($D17,'Monthly UPC'!$D$2:$D$65,0),MATCH(BN$1,'Monthly UPC'!$CM$1:$DJ$1))*(INDEX('Monthly CUST'!$N$2:$CG$65,MATCH($D17,'Monthly CUST'!$D$2:$D$65,0),MATCH(BN$1,'Monthly CUST'!$N$1:$CG$1,0))),IF($J17="UPC Growth Rate",((BB17/INDEX('Monthly CUST'!$N$2:$CG$65,MATCH($D17,'Monthly CUST'!$D$2:$D$65,0),MATCH(BB$1,'Monthly CUST'!$N$1:$CG$1,0)))*(1+$L17)*INDEX('Monthly CUST'!$N$2:$CG$65,MATCH($D17,'Monthly CUST'!$D$2:$D$65,0),MATCH(BN$1,'Monthly CUST'!$N$1:$CG$1,0))),IF($J17="Modeled UPC",INDEX('Monthly CUST'!$N$2:$CG$65,MATCH($D17,'Monthly CUST'!$D$2:$D$65,0),MATCH(BN$1,'Monthly CUST'!$N$1:$CG$1,0))/12*$M17,IF($J17="Base Period",BB17,IF($J17="Adjusted",SUMIF('Input 15_Fcst Inputs'!$A:$A,$D17,'Input 15_Fcst Inputs'!$G:$G)/12))))),0)</f>
        <v>76290.092528317691</v>
      </c>
      <c r="BO17" s="483">
        <f>IFERROR(IF($J17="Historical Average",INDEX('Monthly UPC'!$CM$2:$DJ$65,MATCH($D17,'Monthly UPC'!$D$2:$D$65,0),MATCH(BO$1,'Monthly UPC'!$CM$1:$DJ$1))*(INDEX('Monthly CUST'!$N$2:$CG$65,MATCH($D17,'Monthly CUST'!$D$2:$D$65,0),MATCH(BO$1,'Monthly CUST'!$N$1:$CG$1,0))),IF($J17="UPC Growth Rate",((BC17/INDEX('Monthly CUST'!$N$2:$CG$65,MATCH($D17,'Monthly CUST'!$D$2:$D$65,0),MATCH(BC$1,'Monthly CUST'!$N$1:$CG$1,0)))*(1+$L17)*INDEX('Monthly CUST'!$N$2:$CG$65,MATCH($D17,'Monthly CUST'!$D$2:$D$65,0),MATCH(BO$1,'Monthly CUST'!$N$1:$CG$1,0))),IF($J17="Modeled UPC",INDEX('Monthly CUST'!$N$2:$CG$65,MATCH($D17,'Monthly CUST'!$D$2:$D$65,0),MATCH(BO$1,'Monthly CUST'!$N$1:$CG$1,0))/12*$M17,IF($J17="Base Period",BC17,IF($J17="Adjusted",SUMIF('Input 15_Fcst Inputs'!$A:$A,$D17,'Input 15_Fcst Inputs'!$G:$G)/12))))),0)</f>
        <v>66775.100255182479</v>
      </c>
      <c r="BP17" s="483">
        <f>IFERROR(IF($J17="Historical Average",INDEX('Monthly UPC'!$CM$2:$DJ$65,MATCH($D17,'Monthly UPC'!$D$2:$D$65,0),MATCH(BP$1,'Monthly UPC'!$CM$1:$DJ$1))*(INDEX('Monthly CUST'!$N$2:$CG$65,MATCH($D17,'Monthly CUST'!$D$2:$D$65,0),MATCH(BP$1,'Monthly CUST'!$N$1:$CG$1,0))),IF($J17="UPC Growth Rate",((BD17/INDEX('Monthly CUST'!$N$2:$CG$65,MATCH($D17,'Monthly CUST'!$D$2:$D$65,0),MATCH(BD$1,'Monthly CUST'!$N$1:$CG$1,0)))*(1+$L17)*INDEX('Monthly CUST'!$N$2:$CG$65,MATCH($D17,'Monthly CUST'!$D$2:$D$65,0),MATCH(BP$1,'Monthly CUST'!$N$1:$CG$1,0))),IF($J17="Modeled UPC",INDEX('Monthly CUST'!$N$2:$CG$65,MATCH($D17,'Monthly CUST'!$D$2:$D$65,0),MATCH(BP$1,'Monthly CUST'!$N$1:$CG$1,0))/12*$M17,IF($J17="Base Period",BD17,IF($J17="Adjusted",SUMIF('Input 15_Fcst Inputs'!$A:$A,$D17,'Input 15_Fcst Inputs'!$G:$G)/12))))),0)</f>
        <v>68608.50903134585</v>
      </c>
      <c r="BQ17" s="483">
        <f>IFERROR(IF($J17="Historical Average",INDEX('Monthly UPC'!$CM$2:$DJ$65,MATCH($D17,'Monthly UPC'!$D$2:$D$65,0),MATCH(BQ$1,'Monthly UPC'!$CM$1:$DJ$1))*(INDEX('Monthly CUST'!$N$2:$CG$65,MATCH($D17,'Monthly CUST'!$D$2:$D$65,0),MATCH(BQ$1,'Monthly CUST'!$N$1:$CG$1,0))),IF($J17="UPC Growth Rate",((BE17/INDEX('Monthly CUST'!$N$2:$CG$65,MATCH($D17,'Monthly CUST'!$D$2:$D$65,0),MATCH(BE$1,'Monthly CUST'!$N$1:$CG$1,0)))*(1+$L17)*INDEX('Monthly CUST'!$N$2:$CG$65,MATCH($D17,'Monthly CUST'!$D$2:$D$65,0),MATCH(BQ$1,'Monthly CUST'!$N$1:$CG$1,0))),IF($J17="Modeled UPC",INDEX('Monthly CUST'!$N$2:$CG$65,MATCH($D17,'Monthly CUST'!$D$2:$D$65,0),MATCH(BQ$1,'Monthly CUST'!$N$1:$CG$1,0))/12*$M17,IF($J17="Base Period",BE17,IF($J17="Adjusted",SUMIF('Input 15_Fcst Inputs'!$A:$A,$D17,'Input 15_Fcst Inputs'!$G:$G)/12))))),0)</f>
        <v>61315.233688498411</v>
      </c>
      <c r="BR17" s="483">
        <f>IFERROR(IF($J17="Historical Average",INDEX('Monthly UPC'!$CM$2:$DJ$65,MATCH($D17,'Monthly UPC'!$D$2:$D$65,0),MATCH(BR$1,'Monthly UPC'!$CM$1:$DJ$1))*(INDEX('Monthly CUST'!$N$2:$CG$65,MATCH($D17,'Monthly CUST'!$D$2:$D$65,0),MATCH(BR$1,'Monthly CUST'!$N$1:$CG$1,0))),IF($J17="UPC Growth Rate",((BF17/INDEX('Monthly CUST'!$N$2:$CG$65,MATCH($D17,'Monthly CUST'!$D$2:$D$65,0),MATCH(BF$1,'Monthly CUST'!$N$1:$CG$1,0)))*(1+$L17)*INDEX('Monthly CUST'!$N$2:$CG$65,MATCH($D17,'Monthly CUST'!$D$2:$D$65,0),MATCH(BR$1,'Monthly CUST'!$N$1:$CG$1,0))),IF($J17="Modeled UPC",INDEX('Monthly CUST'!$N$2:$CG$65,MATCH($D17,'Monthly CUST'!$D$2:$D$65,0),MATCH(BR$1,'Monthly CUST'!$N$1:$CG$1,0))/12*$M17,IF($J17="Base Period",BF17,IF($J17="Adjusted",SUMIF('Input 15_Fcst Inputs'!$A:$A,$D17,'Input 15_Fcst Inputs'!$G:$G)/12))))),0)</f>
        <v>69354.78766558932</v>
      </c>
      <c r="BS17" s="483">
        <f>IFERROR(IF($J17="Historical Average",INDEX('Monthly UPC'!$CM$2:$DJ$65,MATCH($D17,'Monthly UPC'!$D$2:$D$65,0),MATCH(BS$1,'Monthly UPC'!$CM$1:$DJ$1))*(INDEX('Monthly CUST'!$N$2:$CG$65,MATCH($D17,'Monthly CUST'!$D$2:$D$65,0),MATCH(BS$1,'Monthly CUST'!$N$1:$CG$1,0))),IF($J17="UPC Growth Rate",((BG17/INDEX('Monthly CUST'!$N$2:$CG$65,MATCH($D17,'Monthly CUST'!$D$2:$D$65,0),MATCH(BG$1,'Monthly CUST'!$N$1:$CG$1,0)))*(1+$L17)*INDEX('Monthly CUST'!$N$2:$CG$65,MATCH($D17,'Monthly CUST'!$D$2:$D$65,0),MATCH(BS$1,'Monthly CUST'!$N$1:$CG$1,0))),IF($J17="Modeled UPC",INDEX('Monthly CUST'!$N$2:$CG$65,MATCH($D17,'Monthly CUST'!$D$2:$D$65,0),MATCH(BS$1,'Monthly CUST'!$N$1:$CG$1,0))/12*$M17,IF($J17="Base Period",BG17,IF($J17="Adjusted",SUMIF('Input 15_Fcst Inputs'!$A:$A,$D17,'Input 15_Fcst Inputs'!$G:$G)/12))))),0)</f>
        <v>68374.311838180482</v>
      </c>
      <c r="BT17" s="483">
        <f>IFERROR(IF($J17="Historical Average",INDEX('Monthly UPC'!$CM$2:$DJ$65,MATCH($D17,'Monthly UPC'!$D$2:$D$65,0),MATCH(BT$1,'Monthly UPC'!$CM$1:$DJ$1))*(INDEX('Monthly CUST'!$N$2:$CG$65,MATCH($D17,'Monthly CUST'!$D$2:$D$65,0),MATCH(BT$1,'Monthly CUST'!$N$1:$CG$1,0))),IF($J17="UPC Growth Rate",((BH17/INDEX('Monthly CUST'!$N$2:$CG$65,MATCH($D17,'Monthly CUST'!$D$2:$D$65,0),MATCH(BH$1,'Monthly CUST'!$N$1:$CG$1,0)))*(1+$L17)*INDEX('Monthly CUST'!$N$2:$CG$65,MATCH($D17,'Monthly CUST'!$D$2:$D$65,0),MATCH(BT$1,'Monthly CUST'!$N$1:$CG$1,0))),IF($J17="Modeled UPC",INDEX('Monthly CUST'!$N$2:$CG$65,MATCH($D17,'Monthly CUST'!$D$2:$D$65,0),MATCH(BT$1,'Monthly CUST'!$N$1:$CG$1,0))/12*$M17,IF($J17="Base Period",BH17,IF($J17="Adjusted",SUMIF('Input 15_Fcst Inputs'!$A:$A,$D17,'Input 15_Fcst Inputs'!$G:$G)/12))))),0)</f>
        <v>81238.00833310296</v>
      </c>
      <c r="BU17" s="483">
        <f>IFERROR(IF($J17="Historical Average",INDEX('Monthly UPC'!$CM$2:$DJ$65,MATCH($D17,'Monthly UPC'!$D$2:$D$65,0),MATCH(BU$1,'Monthly UPC'!$CM$1:$DJ$1))*(INDEX('Monthly CUST'!$N$2:$CG$65,MATCH($D17,'Monthly CUST'!$D$2:$D$65,0),MATCH(BU$1,'Monthly CUST'!$N$1:$CG$1,0))),IF($J17="UPC Growth Rate",((BI17/INDEX('Monthly CUST'!$N$2:$CG$65,MATCH($D17,'Monthly CUST'!$D$2:$D$65,0),MATCH(BI$1,'Monthly CUST'!$N$1:$CG$1,0)))*(1+$L17)*INDEX('Monthly CUST'!$N$2:$CG$65,MATCH($D17,'Monthly CUST'!$D$2:$D$65,0),MATCH(BU$1,'Monthly CUST'!$N$1:$CG$1,0))),IF($J17="Modeled UPC",INDEX('Monthly CUST'!$N$2:$CG$65,MATCH($D17,'Monthly CUST'!$D$2:$D$65,0),MATCH(BU$1,'Monthly CUST'!$N$1:$CG$1,0))/12*$M17,IF($J17="Base Period",BI17,IF($J17="Adjusted",SUMIF('Input 15_Fcst Inputs'!$A:$A,$D17,'Input 15_Fcst Inputs'!$G:$G)/12))))),0)</f>
        <v>97590.537338623719</v>
      </c>
      <c r="BV17" s="483">
        <f>IFERROR(IF($J17="Historical Average",INDEX('Monthly UPC'!$CM$2:$DJ$65,MATCH($D17,'Monthly UPC'!$D$2:$D$65,0),MATCH(BV$1,'Monthly UPC'!$CM$1:$DJ$1))*(INDEX('Monthly CUST'!$N$2:$CG$65,MATCH($D17,'Monthly CUST'!$D$2:$D$65,0),MATCH(BV$1,'Monthly CUST'!$N$1:$CG$1,0))),IF($J17="UPC Growth Rate",((BJ17/INDEX('Monthly CUST'!$N$2:$CG$65,MATCH($D17,'Monthly CUST'!$D$2:$D$65,0),MATCH(BJ$1,'Monthly CUST'!$N$1:$CG$1,0)))*(1+$L17)*INDEX('Monthly CUST'!$N$2:$CG$65,MATCH($D17,'Monthly CUST'!$D$2:$D$65,0),MATCH(BV$1,'Monthly CUST'!$N$1:$CG$1,0))),IF($J17="Modeled UPC",INDEX('Monthly CUST'!$N$2:$CG$65,MATCH($D17,'Monthly CUST'!$D$2:$D$65,0),MATCH(BV$1,'Monthly CUST'!$N$1:$CG$1,0))/12*$M17,IF($J17="Base Period",BJ17,IF($J17="Adjusted",SUMIF('Input 15_Fcst Inputs'!$A:$A,$D17,'Input 15_Fcst Inputs'!$G:$G)/12))))),0)</f>
        <v>120303.44667428841</v>
      </c>
      <c r="BW17" s="483">
        <f>IFERROR(IF($J17="Historical Average",INDEX('Monthly UPC'!$CM$2:$DJ$65,MATCH($D17,'Monthly UPC'!$D$2:$D$65,0),MATCH(BW$1,'Monthly UPC'!$CM$1:$DJ$1))*(INDEX('Monthly CUST'!$N$2:$CG$65,MATCH($D17,'Monthly CUST'!$D$2:$D$65,0),MATCH(BW$1,'Monthly CUST'!$N$1:$CG$1,0))),IF($J17="UPC Growth Rate",((BK17/INDEX('Monthly CUST'!$N$2:$CG$65,MATCH($D17,'Monthly CUST'!$D$2:$D$65,0),MATCH(BK$1,'Monthly CUST'!$N$1:$CG$1,0)))*(1+$L17)*INDEX('Monthly CUST'!$N$2:$CG$65,MATCH($D17,'Monthly CUST'!$D$2:$D$65,0),MATCH(BW$1,'Monthly CUST'!$N$1:$CG$1,0))),IF($J17="Modeled UPC",INDEX('Monthly CUST'!$N$2:$CG$65,MATCH($D17,'Monthly CUST'!$D$2:$D$65,0),MATCH(BW$1,'Monthly CUST'!$N$1:$CG$1,0))/12*$M17,IF($J17="Base Period",BK17,IF($J17="Adjusted",SUMIF('Input 15_Fcst Inputs'!$A:$A,$D17,'Input 15_Fcst Inputs'!$G:$G)/12))))),0)</f>
        <v>90006.76311514237</v>
      </c>
      <c r="BX17" s="483">
        <f>IFERROR(IF($J17="Historical Average",INDEX('Monthly UPC'!$CM$2:$DJ$65,MATCH($D17,'Monthly UPC'!$D$2:$D$65,0),MATCH(BX$1,'Monthly UPC'!$CM$1:$DJ$1))*(INDEX('Monthly CUST'!$N$2:$CG$65,MATCH($D17,'Monthly CUST'!$D$2:$D$65,0),MATCH(BX$1,'Monthly CUST'!$N$1:$CG$1,0))),IF($J17="UPC Growth Rate",((BL17/INDEX('Monthly CUST'!$N$2:$CG$65,MATCH($D17,'Monthly CUST'!$D$2:$D$65,0),MATCH(BL$1,'Monthly CUST'!$N$1:$CG$1,0)))*(1+$L17)*INDEX('Monthly CUST'!$N$2:$CG$65,MATCH($D17,'Monthly CUST'!$D$2:$D$65,0),MATCH(BX$1,'Monthly CUST'!$N$1:$CG$1,0))),IF($J17="Modeled UPC",INDEX('Monthly CUST'!$N$2:$CG$65,MATCH($D17,'Monthly CUST'!$D$2:$D$65,0),MATCH(BX$1,'Monthly CUST'!$N$1:$CG$1,0))/12*$M17,IF($J17="Base Period",BL17,IF($J17="Adjusted",SUMIF('Input 15_Fcst Inputs'!$A:$A,$D17,'Input 15_Fcst Inputs'!$G:$G)/12))))),0)</f>
        <v>103099.41231925799</v>
      </c>
      <c r="BY17" s="483">
        <f>IFERROR(IF($J17="Historical Average",INDEX('Monthly UPC'!$CM$2:$DJ$65,MATCH($D17,'Monthly UPC'!$D$2:$D$65,0),MATCH(BY$1,'Monthly UPC'!$CM$1:$DJ$1))*(INDEX('Monthly CUST'!$N$2:$CG$65,MATCH($D17,'Monthly CUST'!$D$2:$D$65,0),MATCH(BY$1,'Monthly CUST'!$N$1:$CG$1,0))),IF($J17="UPC Growth Rate",((BM17/INDEX('Monthly CUST'!$N$2:$CG$65,MATCH($D17,'Monthly CUST'!$D$2:$D$65,0),MATCH(BM$1,'Monthly CUST'!$N$1:$CG$1,0)))*(1+$L17)*INDEX('Monthly CUST'!$N$2:$CG$65,MATCH($D17,'Monthly CUST'!$D$2:$D$65,0),MATCH(BY$1,'Monthly CUST'!$N$1:$CG$1,0))),IF($J17="Modeled UPC",INDEX('Monthly CUST'!$N$2:$CG$65,MATCH($D17,'Monthly CUST'!$D$2:$D$65,0),MATCH(BY$1,'Monthly CUST'!$N$1:$CG$1,0))/12*$M17,IF($J17="Base Period",BM17,IF($J17="Adjusted",SUMIF('Input 15_Fcst Inputs'!$A:$A,$D17,'Input 15_Fcst Inputs'!$G:$G)/12))))),0)</f>
        <v>88441.414221379862</v>
      </c>
      <c r="BZ17" s="483">
        <f>IFERROR(IF($J17="Historical Average",INDEX('Monthly UPC'!$CM$2:$DJ$65,MATCH($D17,'Monthly UPC'!$D$2:$D$65,0),MATCH(BZ$1,'Monthly UPC'!$CM$1:$DJ$1))*(INDEX('Monthly CUST'!$N$2:$CG$65,MATCH($D17,'Monthly CUST'!$D$2:$D$65,0),MATCH(BZ$1,'Monthly CUST'!$N$1:$CG$1,0))),IF($J17="UPC Growth Rate",((BN17/INDEX('Monthly CUST'!$N$2:$CG$65,MATCH($D17,'Monthly CUST'!$D$2:$D$65,0),MATCH(BN$1,'Monthly CUST'!$N$1:$CG$1,0)))*(1+$L17)*INDEX('Monthly CUST'!$N$2:$CG$65,MATCH($D17,'Monthly CUST'!$D$2:$D$65,0),MATCH(BZ$1,'Monthly CUST'!$N$1:$CG$1,0))),IF($J17="Modeled UPC",INDEX('Monthly CUST'!$N$2:$CG$65,MATCH($D17,'Monthly CUST'!$D$2:$D$65,0),MATCH(BZ$1,'Monthly CUST'!$N$1:$CG$1,0))/12*$M17,IF($J17="Base Period",BN17,IF($J17="Adjusted",SUMIF('Input 15_Fcst Inputs'!$A:$A,$D17,'Input 15_Fcst Inputs'!$G:$G)/12))))),0)</f>
        <v>76688.66656563853</v>
      </c>
      <c r="CA17" s="483">
        <f>IFERROR(IF($J17="Historical Average",INDEX('Monthly UPC'!$CM$2:$DJ$65,MATCH($D17,'Monthly UPC'!$D$2:$D$65,0),MATCH(CA$1,'Monthly UPC'!$CM$1:$DJ$1))*(INDEX('Monthly CUST'!$N$2:$CG$65,MATCH($D17,'Monthly CUST'!$D$2:$D$65,0),MATCH(CA$1,'Monthly CUST'!$N$1:$CG$1,0))),IF($J17="UPC Growth Rate",((BO17/INDEX('Monthly CUST'!$N$2:$CG$65,MATCH($D17,'Monthly CUST'!$D$2:$D$65,0),MATCH(BO$1,'Monthly CUST'!$N$1:$CG$1,0)))*(1+$L17)*INDEX('Monthly CUST'!$N$2:$CG$65,MATCH($D17,'Monthly CUST'!$D$2:$D$65,0),MATCH(CA$1,'Monthly CUST'!$N$1:$CG$1,0))),IF($J17="Modeled UPC",INDEX('Monthly CUST'!$N$2:$CG$65,MATCH($D17,'Monthly CUST'!$D$2:$D$65,0),MATCH(CA$1,'Monthly CUST'!$N$1:$CG$1,0))/12*$M17,IF($J17="Base Period",BO17,IF($J17="Adjusted",SUMIF('Input 15_Fcst Inputs'!$A:$A,$D17,'Input 15_Fcst Inputs'!$G:$G)/12))))),0)</f>
        <v>67123.963658268971</v>
      </c>
      <c r="CB17" s="483">
        <f>IFERROR(IF($J17="Historical Average",INDEX('Monthly UPC'!$CM$2:$DJ$65,MATCH($D17,'Monthly UPC'!$D$2:$D$65,0),MATCH(CB$1,'Monthly UPC'!$CM$1:$DJ$1))*(INDEX('Monthly CUST'!$N$2:$CG$65,MATCH($D17,'Monthly CUST'!$D$2:$D$65,0),MATCH(CB$1,'Monthly CUST'!$N$1:$CG$1,0))),IF($J17="UPC Growth Rate",((BP17/INDEX('Monthly CUST'!$N$2:$CG$65,MATCH($D17,'Monthly CUST'!$D$2:$D$65,0),MATCH(BP$1,'Monthly CUST'!$N$1:$CG$1,0)))*(1+$L17)*INDEX('Monthly CUST'!$N$2:$CG$65,MATCH($D17,'Monthly CUST'!$D$2:$D$65,0),MATCH(CB$1,'Monthly CUST'!$N$1:$CG$1,0))),IF($J17="Modeled UPC",INDEX('Monthly CUST'!$N$2:$CG$65,MATCH($D17,'Monthly CUST'!$D$2:$D$65,0),MATCH(CB$1,'Monthly CUST'!$N$1:$CG$1,0))/12*$M17,IF($J17="Base Period",BP17,IF($J17="Adjusted",SUMIF('Input 15_Fcst Inputs'!$A:$A,$D17,'Input 15_Fcst Inputs'!$G:$G)/12))))),0)</f>
        <v>68966.950993243285</v>
      </c>
      <c r="CC17" s="483">
        <f>IFERROR(IF($J17="Historical Average",INDEX('Monthly UPC'!$CM$2:$DJ$65,MATCH($D17,'Monthly UPC'!$D$2:$D$65,0),MATCH(CC$1,'Monthly UPC'!$CM$1:$DJ$1))*(INDEX('Monthly CUST'!$N$2:$CG$65,MATCH($D17,'Monthly CUST'!$D$2:$D$65,0),MATCH(CC$1,'Monthly CUST'!$N$1:$CG$1,0))),IF($J17="UPC Growth Rate",((BQ17/INDEX('Monthly CUST'!$N$2:$CG$65,MATCH($D17,'Monthly CUST'!$D$2:$D$65,0),MATCH(BQ$1,'Monthly CUST'!$N$1:$CG$1,0)))*(1+$L17)*INDEX('Monthly CUST'!$N$2:$CG$65,MATCH($D17,'Monthly CUST'!$D$2:$D$65,0),MATCH(CC$1,'Monthly CUST'!$N$1:$CG$1,0))),IF($J17="Modeled UPC",INDEX('Monthly CUST'!$N$2:$CG$65,MATCH($D17,'Monthly CUST'!$D$2:$D$65,0),MATCH(CC$1,'Monthly CUST'!$N$1:$CG$1,0))/12*$M17,IF($J17="Base Period",BQ17,IF($J17="Adjusted",SUMIF('Input 15_Fcst Inputs'!$A:$A,$D17,'Input 15_Fcst Inputs'!$G:$G)/12))))),0)</f>
        <v>61635.572272848993</v>
      </c>
      <c r="CD17" s="483">
        <f>IFERROR(IF($J17="Historical Average",INDEX('Monthly UPC'!$CM$2:$DJ$65,MATCH($D17,'Monthly UPC'!$D$2:$D$65,0),MATCH(CD$1,'Monthly UPC'!$CM$1:$DJ$1))*(INDEX('Monthly CUST'!$N$2:$CG$65,MATCH($D17,'Monthly CUST'!$D$2:$D$65,0),MATCH(CD$1,'Monthly CUST'!$N$1:$CG$1,0))),IF($J17="UPC Growth Rate",((BR17/INDEX('Monthly CUST'!$N$2:$CG$65,MATCH($D17,'Monthly CUST'!$D$2:$D$65,0),MATCH(BR$1,'Monthly CUST'!$N$1:$CG$1,0)))*(1+$L17)*INDEX('Monthly CUST'!$N$2:$CG$65,MATCH($D17,'Monthly CUST'!$D$2:$D$65,0),MATCH(CD$1,'Monthly CUST'!$N$1:$CG$1,0))),IF($J17="Modeled UPC",INDEX('Monthly CUST'!$N$2:$CG$65,MATCH($D17,'Monthly CUST'!$D$2:$D$65,0),MATCH(CD$1,'Monthly CUST'!$N$1:$CG$1,0))/12*$M17,IF($J17="Base Period",BR17,IF($J17="Adjusted",SUMIF('Input 15_Fcst Inputs'!$A:$A,$D17,'Input 15_Fcst Inputs'!$G:$G)/12))))),0)</f>
        <v>69717.128525474152</v>
      </c>
      <c r="CE17" s="483">
        <f>IFERROR(IF($J17="Historical Average",INDEX('Monthly UPC'!$CM$2:$DJ$65,MATCH($D17,'Monthly UPC'!$D$2:$D$65,0),MATCH(CE$1,'Monthly UPC'!$CM$1:$DJ$1))*(INDEX('Monthly CUST'!$N$2:$CG$65,MATCH($D17,'Monthly CUST'!$D$2:$D$65,0),MATCH(CE$1,'Monthly CUST'!$N$1:$CG$1,0))),IF($J17="UPC Growth Rate",((BS17/INDEX('Monthly CUST'!$N$2:$CG$65,MATCH($D17,'Monthly CUST'!$D$2:$D$65,0),MATCH(BS$1,'Monthly CUST'!$N$1:$CG$1,0)))*(1+$L17)*INDEX('Monthly CUST'!$N$2:$CG$65,MATCH($D17,'Monthly CUST'!$D$2:$D$65,0),MATCH(CE$1,'Monthly CUST'!$N$1:$CG$1,0))),IF($J17="Modeled UPC",INDEX('Monthly CUST'!$N$2:$CG$65,MATCH($D17,'Monthly CUST'!$D$2:$D$65,0),MATCH(CE$1,'Monthly CUST'!$N$1:$CG$1,0))/12*$M17,IF($J17="Base Period",BS17,IF($J17="Adjusted",SUMIF('Input 15_Fcst Inputs'!$A:$A,$D17,'Input 15_Fcst Inputs'!$G:$G)/12))))),0)</f>
        <v>68731.53024774346</v>
      </c>
      <c r="CF17" s="483">
        <f>IFERROR(IF($J17="Historical Average",INDEX('Monthly UPC'!$CM$2:$DJ$65,MATCH($D17,'Monthly UPC'!$D$2:$D$65,0),MATCH(CF$1,'Monthly UPC'!$CM$1:$DJ$1))*(INDEX('Monthly CUST'!$N$2:$CG$65,MATCH($D17,'Monthly CUST'!$D$2:$D$65,0),MATCH(CF$1,'Monthly CUST'!$N$1:$CG$1,0))),IF($J17="UPC Growth Rate",((BT17/INDEX('Monthly CUST'!$N$2:$CG$65,MATCH($D17,'Monthly CUST'!$D$2:$D$65,0),MATCH(BT$1,'Monthly CUST'!$N$1:$CG$1,0)))*(1+$L17)*INDEX('Monthly CUST'!$N$2:$CG$65,MATCH($D17,'Monthly CUST'!$D$2:$D$65,0),MATCH(CF$1,'Monthly CUST'!$N$1:$CG$1,0))),IF($J17="Modeled UPC",INDEX('Monthly CUST'!$N$2:$CG$65,MATCH($D17,'Monthly CUST'!$D$2:$D$65,0),MATCH(CF$1,'Monthly CUST'!$N$1:$CG$1,0))/12*$M17,IF($J17="Base Period",BT17,IF($J17="Adjusted",SUMIF('Input 15_Fcst Inputs'!$A:$A,$D17,'Input 15_Fcst Inputs'!$G:$G)/12))))),0)</f>
        <v>81662.432526234072</v>
      </c>
      <c r="CG17" s="483">
        <f>IFERROR(IF($J17="Historical Average",INDEX('Monthly UPC'!$CM$2:$DJ$65,MATCH($D17,'Monthly UPC'!$D$2:$D$65,0),MATCH(CG$1,'Monthly UPC'!$CM$1:$DJ$1))*(INDEX('Monthly CUST'!$N$2:$CG$65,MATCH($D17,'Monthly CUST'!$D$2:$D$65,0),MATCH(CG$1,'Monthly CUST'!$N$1:$CG$1,0))),IF($J17="UPC Growth Rate",((BU17/INDEX('Monthly CUST'!$N$2:$CG$65,MATCH($D17,'Monthly CUST'!$D$2:$D$65,0),MATCH(BU$1,'Monthly CUST'!$N$1:$CG$1,0)))*(1+$L17)*INDEX('Monthly CUST'!$N$2:$CG$65,MATCH($D17,'Monthly CUST'!$D$2:$D$65,0),MATCH(CG$1,'Monthly CUST'!$N$1:$CG$1,0))),IF($J17="Modeled UPC",INDEX('Monthly CUST'!$N$2:$CG$65,MATCH($D17,'Monthly CUST'!$D$2:$D$65,0),MATCH(CG$1,'Monthly CUST'!$N$1:$CG$1,0))/12*$M17,IF($J17="Base Period",BU17,IF($J17="Adjusted",SUMIF('Input 15_Fcst Inputs'!$A:$A,$D17,'Input 15_Fcst Inputs'!$G:$G)/12))))),0)</f>
        <v>98100.394558379063</v>
      </c>
      <c r="CH17" s="197"/>
      <c r="CI17" s="197">
        <f t="shared" si="0"/>
        <v>1000346.0300000003</v>
      </c>
      <c r="CJ17" s="197">
        <f t="shared" si="1"/>
        <v>981263.19999999984</v>
      </c>
      <c r="CK17" s="197">
        <f t="shared" si="2"/>
        <v>881718.45</v>
      </c>
      <c r="CL17" s="197">
        <f t="shared" si="3"/>
        <v>984167.33999999985</v>
      </c>
      <c r="CM17" s="197">
        <f t="shared" si="4"/>
        <v>989309.07645755494</v>
      </c>
      <c r="CN17" s="197">
        <f t="shared" si="5"/>
        <v>994477.67567789904</v>
      </c>
      <c r="CP17" s="4">
        <f>SUMIF('Master '!D:D,D17,'Master '!AH:AH)</f>
        <v>989309.07645755517</v>
      </c>
      <c r="CQ17" s="4">
        <f>SUMIF('Master '!D:D,D17,'Master '!AI:AI)</f>
        <v>994477.67567789927</v>
      </c>
      <c r="CR17" s="197">
        <f t="shared" si="6"/>
        <v>0</v>
      </c>
      <c r="CS17" s="197">
        <f t="shared" si="7"/>
        <v>0</v>
      </c>
      <c r="CT17" t="s">
        <v>287</v>
      </c>
      <c r="CV17" t="str">
        <f>VLOOKUP(G17,'Master '!G:CC,75,FALSE)</f>
        <v>GS-1</v>
      </c>
    </row>
    <row r="18" spans="1:100">
      <c r="A18" s="53" t="s">
        <v>15</v>
      </c>
      <c r="B18" s="53" t="s">
        <v>993</v>
      </c>
      <c r="C18" s="53" t="s">
        <v>1245</v>
      </c>
      <c r="D18" s="53" t="s">
        <v>38</v>
      </c>
      <c r="E18" s="53" t="str">
        <f>VLOOKUP(D18,'Input 14_Ref Table'!C:D,2,FALSE)</f>
        <v>GCPT1</v>
      </c>
      <c r="F18" s="143" t="s">
        <v>1286</v>
      </c>
      <c r="G18" s="53" t="str">
        <f>VLOOKUP(D18,'Input 14_Ref Table'!C:I,7,FALSE)</f>
        <v>FPU - FPU - GSTS - 1</v>
      </c>
      <c r="H18" s="53" t="str">
        <f>VLOOKUP(D18,'Input 14_Ref Table'!C:K,8,FALSE)</f>
        <v>GS1</v>
      </c>
      <c r="I18" s="53"/>
      <c r="J18" t="str">
        <f>INDEX('Master '!$AD$2:AD$65,MATCH(D18,'Master '!$D$2:$D$65,0))</f>
        <v>UPC Growth Rate</v>
      </c>
      <c r="K18" s="458">
        <f>INDEX('Master '!$N$2:N$65,MATCH(D18,'Master '!$D$2:$D$65,0))</f>
        <v>-3.3336450138164629E-2</v>
      </c>
      <c r="L18" s="137">
        <f>INDEX('Master '!$S$2:S$65,MATCH(D18,'Master '!$D$2:$D$65,0))</f>
        <v>3.989071854052504E-2</v>
      </c>
      <c r="M18" s="4">
        <f>INDEX('Master '!$W$2:W$65,MATCH(D18,'Master '!$D$2:$D$65,0))</f>
        <v>3482.75</v>
      </c>
      <c r="N18" s="268">
        <f>SUMIF('Input 16.1_2018VOL-YTD'!$R:$R,$G18,'Input 16.1_2018VOL-YTD'!C:C)</f>
        <v>74954.740000000005</v>
      </c>
      <c r="O18" s="268">
        <f>SUMIF('Input 16.1_2018VOL-YTD'!$R:$R,$G18,'Input 16.1_2018VOL-YTD'!D:D)</f>
        <v>71025.020000000019</v>
      </c>
      <c r="P18" s="268">
        <f>SUMIF('Input 16.1_2018VOL-YTD'!$R:$R,$G18,'Input 16.1_2018VOL-YTD'!E:E)</f>
        <v>60850.890000000043</v>
      </c>
      <c r="Q18" s="268">
        <f>SUMIF('Input 16.1_2018VOL-YTD'!$R:$R,$G18,'Input 16.1_2018VOL-YTD'!F:F)</f>
        <v>61898.69</v>
      </c>
      <c r="R18" s="268">
        <f>SUMIF('Input 16.1_2018VOL-YTD'!$R:$R,$G18,'Input 16.1_2018VOL-YTD'!G:G)</f>
        <v>53712.069999999985</v>
      </c>
      <c r="S18" s="268">
        <f>SUMIF('Input 16.1_2018VOL-YTD'!$R:$R,$G18,'Input 16.1_2018VOL-YTD'!H:H)</f>
        <v>54336.659999999989</v>
      </c>
      <c r="T18" s="268">
        <f>SUMIF('Input 16.1_2018VOL-YTD'!$R:$R,$G18,'Input 16.1_2018VOL-YTD'!I:I)</f>
        <v>45889</v>
      </c>
      <c r="U18" s="268">
        <f>SUMIF('Input 16.1_2018VOL-YTD'!$R:$R,$G18,'Input 16.1_2018VOL-YTD'!J:J)</f>
        <v>42705.48000000001</v>
      </c>
      <c r="V18" s="268">
        <f>SUMIF('Input 16.1_2018VOL-YTD'!$R:$R,$G18,'Input 16.1_2018VOL-YTD'!K:K)</f>
        <v>48243.899999999972</v>
      </c>
      <c r="W18" s="268">
        <f>SUMIF('Input 16.1_2018VOL-YTD'!$R:$R,$G18,'Input 16.1_2018VOL-YTD'!L:L)</f>
        <v>43669.430000000008</v>
      </c>
      <c r="X18" s="268">
        <f>SUMIF('Input 16.1_2018VOL-YTD'!$R:$R,$G18,'Input 16.1_2018VOL-YTD'!M:M)</f>
        <v>57776.990000000005</v>
      </c>
      <c r="Y18" s="268">
        <f>SUMIF('Input 16.1_2018VOL-YTD'!$R:$R,$G18,'Input 16.1_2018VOL-YTD'!N:N)</f>
        <v>64765.939999999981</v>
      </c>
      <c r="Z18" s="268">
        <f>SUMIF('Input 3.1_2019VOL-YTD'!$R:$R,$G18,'Input 3.1_2019VOL-YTD'!C:C)</f>
        <v>74064.23000000001</v>
      </c>
      <c r="AA18" s="268">
        <f>SUMIF('Input 3.1_2019VOL-YTD'!$R:$R,$G18,'Input 3.1_2019VOL-YTD'!D:D)</f>
        <v>74582.869999999981</v>
      </c>
      <c r="AB18" s="268">
        <f>SUMIF('Input 3.1_2019VOL-YTD'!$R:$R,$G18,'Input 3.1_2019VOL-YTD'!E:E)</f>
        <v>62878.2</v>
      </c>
      <c r="AC18" s="268">
        <f>SUMIF('Input 3.1_2019VOL-YTD'!$R:$R,$G18,'Input 3.1_2019VOL-YTD'!F:F)</f>
        <v>61713.160000000018</v>
      </c>
      <c r="AD18" s="268">
        <f>SUMIF('Input 3.1_2019VOL-YTD'!$R:$R,$G18,'Input 3.1_2019VOL-YTD'!G:G)</f>
        <v>53251.269999999982</v>
      </c>
      <c r="AE18" s="268">
        <f>SUMIF('Input 3.1_2019VOL-YTD'!$R:$R,$G18,'Input 3.1_2019VOL-YTD'!H:H)</f>
        <v>47057.820000000022</v>
      </c>
      <c r="AF18" s="268">
        <f>SUMIF('Input 3.1_2019VOL-YTD'!$R:$R,$G18,'Input 3.1_2019VOL-YTD'!I:I)</f>
        <v>43895.249999999993</v>
      </c>
      <c r="AG18" s="268">
        <f>SUMIF('Input 3.1_2019VOL-YTD'!$R:$R,$G18,'Input 3.1_2019VOL-YTD'!J:J)</f>
        <v>52444.80999999999</v>
      </c>
      <c r="AH18" s="268">
        <f>SUMIF('Input 3.1_2019VOL-YTD'!$R:$R,$G18,'Input 3.1_2019VOL-YTD'!K:K)</f>
        <v>47718.609999999993</v>
      </c>
      <c r="AI18" s="268">
        <f>SUMIF('Input 3.1_2019VOL-YTD'!$R:$R,$G18,'Input 3.1_2019VOL-YTD'!L:L)</f>
        <v>47390.090000000033</v>
      </c>
      <c r="AJ18" s="268">
        <f>SUMIF('Input 3.1_2019VOL-YTD'!$R:$R,$G18,'Input 3.1_2019VOL-YTD'!M:M)</f>
        <v>51947.300000000025</v>
      </c>
      <c r="AK18" s="268">
        <f>SUMIF('Input 3.1_2019VOL-YTD'!$R:$R,$G18,'Input 3.1_2019VOL-YTD'!N:N)</f>
        <v>64346.779999999992</v>
      </c>
      <c r="AL18" s="268">
        <f>SUMIF('Input 4.1_2020VOL-YTD'!$R:$R,$G18,'Input 4.1_2020VOL-YTD'!C:C)</f>
        <v>81342.739999999991</v>
      </c>
      <c r="AM18" s="268">
        <f>SUMIF('Input 4.1_2020VOL-YTD'!$R:$R,$G18,'Input 4.1_2020VOL-YTD'!D:D)</f>
        <v>74148.84</v>
      </c>
      <c r="AN18" s="268">
        <f>SUMIF('Input 4.1_2020VOL-YTD'!$R:$R,$G18,'Input 4.1_2020VOL-YTD'!E:E)</f>
        <v>68949.600000000049</v>
      </c>
      <c r="AO18" s="268">
        <f>SUMIF('Input 4.1_2020VOL-YTD'!$R:$R,$G18,'Input 4.1_2020VOL-YTD'!F:F)</f>
        <v>43852.700000000019</v>
      </c>
      <c r="AP18" s="268">
        <f>SUMIF('Input 4.1_2020VOL-YTD'!$R:$R,$G18,'Input 4.1_2020VOL-YTD'!G:G)</f>
        <v>37492.729999999996</v>
      </c>
      <c r="AQ18" s="268">
        <f>SUMIF('Input 4.1_2020VOL-YTD'!$R:$R,$G18,'Input 4.1_2020VOL-YTD'!H:H)</f>
        <v>41663.570000000029</v>
      </c>
      <c r="AR18" s="268">
        <f>SUMIF('Input 4.1_2020VOL-YTD'!$R:$R,$G18,'Input 4.1_2020VOL-YTD'!I:I)</f>
        <v>42561.060000000027</v>
      </c>
      <c r="AS18" s="268">
        <f>SUMIF('Input 4.1_2020VOL-YTD'!$R:$R,$G18,'Input 4.1_2020VOL-YTD'!J:J)</f>
        <v>40150.650000000023</v>
      </c>
      <c r="AT18" s="268">
        <f>SUMIF('Input 4.1_2020VOL-YTD'!$R:$R,$G18,'Input 4.1_2020VOL-YTD'!K:K)</f>
        <v>41785.400000000016</v>
      </c>
      <c r="AU18" s="268">
        <f>SUMIF('Input 4.1_2020VOL-YTD'!$R:$R,$G18,'Input 4.1_2020VOL-YTD'!L:L)</f>
        <v>46696.43</v>
      </c>
      <c r="AV18" s="268">
        <f>SUMIF('Input 4.1_2020VOL-YTD'!$R:$R,$G18,'Input 4.1_2020VOL-YTD'!M:M)</f>
        <v>55369.41</v>
      </c>
      <c r="AW18" s="268">
        <f>SUMIF('Input 4.1_2020VOL-YTD'!$R:$R,$G18,'Input 4.1_2020VOL-YTD'!N:N)</f>
        <v>65370.720000000023</v>
      </c>
      <c r="AX18" s="268">
        <f>SUMIF('Input 5.1_2021VOL-YTD'!$R:$R,$G18,'Input 5.1_2021VOL-YTD'!C:C)</f>
        <v>78433.98000000004</v>
      </c>
      <c r="AY18" s="268">
        <f>SUMIF('Input 5.1_2021VOL-YTD'!$R:$R,$G18,'Input 5.1_2021VOL-YTD'!D:D)</f>
        <v>74909.63</v>
      </c>
      <c r="AZ18" s="268">
        <f>SUMIF('Input 5.1_2021VOL-YTD'!$R:$R,$G18,'Input 5.1_2021VOL-YTD'!E:E)</f>
        <v>59000.959999999992</v>
      </c>
      <c r="BA18" s="268">
        <f>SUMIF('Input 5.1_2021VOL-YTD'!$R:$R,$G18,'Input 5.1_2021VOL-YTD'!F:F)</f>
        <v>64063.559999999976</v>
      </c>
      <c r="BB18" s="268">
        <f>SUMIF('Input 5.1_2021VOL-YTD'!$R:$R,$G18,'Input 5.1_2021VOL-YTD'!G:G)</f>
        <v>55634.16</v>
      </c>
      <c r="BC18" s="268">
        <f>SUMIF('Input 5.1_2021VOL-YTD'!$R:$R,$G18,'Input 5.1_2021VOL-YTD'!H:H)</f>
        <v>60378.219999999958</v>
      </c>
      <c r="BD18" s="268">
        <f>SUMIF('Input 5.1_2021VOL-YTD'!$R:$R,$G18,'Input 5.1_2021VOL-YTD'!I:I)</f>
        <v>30608.889999999996</v>
      </c>
      <c r="BE18" s="268">
        <f>SUMIF('Input 5.1_2021VOL-YTD'!$R:$R,$G18,'Input 5.1_2021VOL-YTD'!J:J)</f>
        <v>39219.49000000002</v>
      </c>
      <c r="BF18" s="268">
        <f>SUMIF('Input 5.1_2021VOL-YTD'!$R:$R,$G18,'Input 5.1_2021VOL-YTD'!K:K)</f>
        <v>46782.630000000019</v>
      </c>
      <c r="BG18" s="268">
        <f>SUMIF('Input 5.1_2021VOL-YTD'!$R:$R,$G18,'Input 5.1_2021VOL-YTD'!L:L)</f>
        <v>51691.54</v>
      </c>
      <c r="BH18" s="268">
        <f>SUMIF('Input 5.1_2021VOL-YTD'!$R:$R,$G18,'Input 5.1_2021VOL-YTD'!M:M)</f>
        <v>65175.800000000025</v>
      </c>
      <c r="BI18" s="268">
        <f>SUMIF('Input 5.1_2021VOL-YTD'!$R:$R,$G18,'Input 5.1_2021VOL-YTD'!N:N)</f>
        <v>79435.259999999966</v>
      </c>
      <c r="BJ18" s="483">
        <f>IFERROR(IF($J18="Historical Average",INDEX('Monthly UPC'!$CM$2:$DJ$65,MATCH($D18,'Monthly UPC'!$D$2:$D$65,0),MATCH(BJ$1,'Monthly UPC'!$CM$1:$DJ$1))*(INDEX('Monthly CUST'!$N$2:$CG$65,MATCH($D18,'Monthly CUST'!$D$2:$D$65,0),MATCH(BJ$1,'Monthly CUST'!$N$1:$CG$1,0))),IF($J18="UPC Growth Rate",((AX18/INDEX('Monthly CUST'!$N$2:$CG$65,MATCH($D18,'Monthly CUST'!$D$2:$D$65,0),MATCH(AX$1,'Monthly CUST'!$N$1:$CG$1,0)))*(1+$L18)*INDEX('Monthly CUST'!$N$2:$CG$65,MATCH($D18,'Monthly CUST'!$D$2:$D$65,0),MATCH(BJ$1,'Monthly CUST'!$N$1:$CG$1,0))),IF($J18="Modeled UPC",INDEX('Monthly CUST'!$N$2:$CG$65,MATCH($D18,'Monthly CUST'!$D$2:$D$65,0),MATCH(BJ$1,'Monthly CUST'!$N$1:$CG$1,0))/12*$M18,IF($J18="Base Period",AX18,IF($J18="Adjusted",SUMIF('Input 15_Fcst Inputs'!$A:$A,$D18,'Input 15_Fcst Inputs'!$G:$G)/12))))),0)</f>
        <v>78843.754677624645</v>
      </c>
      <c r="BK18" s="483">
        <f>IFERROR(IF($J18="Historical Average",INDEX('Monthly UPC'!$CM$2:$DJ$65,MATCH($D18,'Monthly UPC'!$D$2:$D$65,0),MATCH(BK$1,'Monthly UPC'!$CM$1:$DJ$1))*(INDEX('Monthly CUST'!$N$2:$CG$65,MATCH($D18,'Monthly CUST'!$D$2:$D$65,0),MATCH(BK$1,'Monthly CUST'!$N$1:$CG$1,0))),IF($J18="UPC Growth Rate",((AY18/INDEX('Monthly CUST'!$N$2:$CG$65,MATCH($D18,'Monthly CUST'!$D$2:$D$65,0),MATCH(AY$1,'Monthly CUST'!$N$1:$CG$1,0)))*(1+$L18)*INDEX('Monthly CUST'!$N$2:$CG$65,MATCH($D18,'Monthly CUST'!$D$2:$D$65,0),MATCH(BK$1,'Monthly CUST'!$N$1:$CG$1,0))),IF($J18="Modeled UPC",INDEX('Monthly CUST'!$N$2:$CG$65,MATCH($D18,'Monthly CUST'!$D$2:$D$65,0),MATCH(BK$1,'Monthly CUST'!$N$1:$CG$1,0))/12*$M18,IF($J18="Base Period",AY18,IF($J18="Adjusted",SUMIF('Input 15_Fcst Inputs'!$A:$A,$D18,'Input 15_Fcst Inputs'!$G:$G)/12))))),0)</f>
        <v>75300.991875098378</v>
      </c>
      <c r="BL18" s="483">
        <f>IFERROR(IF($J18="Historical Average",INDEX('Monthly UPC'!$CM$2:$DJ$65,MATCH($D18,'Monthly UPC'!$D$2:$D$65,0),MATCH(BL$1,'Monthly UPC'!$CM$1:$DJ$1))*(INDEX('Monthly CUST'!$N$2:$CG$65,MATCH($D18,'Monthly CUST'!$D$2:$D$65,0),MATCH(BL$1,'Monthly CUST'!$N$1:$CG$1,0))),IF($J18="UPC Growth Rate",((AZ18/INDEX('Monthly CUST'!$N$2:$CG$65,MATCH($D18,'Monthly CUST'!$D$2:$D$65,0),MATCH(AZ$1,'Monthly CUST'!$N$1:$CG$1,0)))*(1+$L18)*INDEX('Monthly CUST'!$N$2:$CG$65,MATCH($D18,'Monthly CUST'!$D$2:$D$65,0),MATCH(BL$1,'Monthly CUST'!$N$1:$CG$1,0))),IF($J18="Modeled UPC",INDEX('Monthly CUST'!$N$2:$CG$65,MATCH($D18,'Monthly CUST'!$D$2:$D$65,0),MATCH(BL$1,'Monthly CUST'!$N$1:$CG$1,0))/12*$M18,IF($J18="Base Period",AZ18,IF($J18="Adjusted",SUMIF('Input 15_Fcst Inputs'!$A:$A,$D18,'Input 15_Fcst Inputs'!$G:$G)/12))))),0)</f>
        <v>59309.207769188062</v>
      </c>
      <c r="BM18" s="483">
        <f>IFERROR(IF($J18="Historical Average",INDEX('Monthly UPC'!$CM$2:$DJ$65,MATCH($D18,'Monthly UPC'!$D$2:$D$65,0),MATCH(BM$1,'Monthly UPC'!$CM$1:$DJ$1))*(INDEX('Monthly CUST'!$N$2:$CG$65,MATCH($D18,'Monthly CUST'!$D$2:$D$65,0),MATCH(BM$1,'Monthly CUST'!$N$1:$CG$1,0))),IF($J18="UPC Growth Rate",((BA18/INDEX('Monthly CUST'!$N$2:$CG$65,MATCH($D18,'Monthly CUST'!$D$2:$D$65,0),MATCH(BA$1,'Monthly CUST'!$N$1:$CG$1,0)))*(1+$L18)*INDEX('Monthly CUST'!$N$2:$CG$65,MATCH($D18,'Monthly CUST'!$D$2:$D$65,0),MATCH(BM$1,'Monthly CUST'!$N$1:$CG$1,0))),IF($J18="Modeled UPC",INDEX('Monthly CUST'!$N$2:$CG$65,MATCH($D18,'Monthly CUST'!$D$2:$D$65,0),MATCH(BM$1,'Monthly CUST'!$N$1:$CG$1,0))/12*$M18,IF($J18="Base Period",BA18,IF($J18="Adjusted",SUMIF('Input 15_Fcst Inputs'!$A:$A,$D18,'Input 15_Fcst Inputs'!$G:$G)/12))))),0)</f>
        <v>64398.257087237987</v>
      </c>
      <c r="BN18" s="483">
        <f>IFERROR(IF($J18="Historical Average",INDEX('Monthly UPC'!$CM$2:$DJ$65,MATCH($D18,'Monthly UPC'!$D$2:$D$65,0),MATCH(BN$1,'Monthly UPC'!$CM$1:$DJ$1))*(INDEX('Monthly CUST'!$N$2:$CG$65,MATCH($D18,'Monthly CUST'!$D$2:$D$65,0),MATCH(BN$1,'Monthly CUST'!$N$1:$CG$1,0))),IF($J18="UPC Growth Rate",((BB18/INDEX('Monthly CUST'!$N$2:$CG$65,MATCH($D18,'Monthly CUST'!$D$2:$D$65,0),MATCH(BB$1,'Monthly CUST'!$N$1:$CG$1,0)))*(1+$L18)*INDEX('Monthly CUST'!$N$2:$CG$65,MATCH($D18,'Monthly CUST'!$D$2:$D$65,0),MATCH(BN$1,'Monthly CUST'!$N$1:$CG$1,0))),IF($J18="Modeled UPC",INDEX('Monthly CUST'!$N$2:$CG$65,MATCH($D18,'Monthly CUST'!$D$2:$D$65,0),MATCH(BN$1,'Monthly CUST'!$N$1:$CG$1,0))/12*$M18,IF($J18="Base Period",BB18,IF($J18="Adjusted",SUMIF('Input 15_Fcst Inputs'!$A:$A,$D18,'Input 15_Fcst Inputs'!$G:$G)/12))))),0)</f>
        <v>55924.818079303332</v>
      </c>
      <c r="BO18" s="483">
        <f>IFERROR(IF($J18="Historical Average",INDEX('Monthly UPC'!$CM$2:$DJ$65,MATCH($D18,'Monthly UPC'!$D$2:$D$65,0),MATCH(BO$1,'Monthly UPC'!$CM$1:$DJ$1))*(INDEX('Monthly CUST'!$N$2:$CG$65,MATCH($D18,'Monthly CUST'!$D$2:$D$65,0),MATCH(BO$1,'Monthly CUST'!$N$1:$CG$1,0))),IF($J18="UPC Growth Rate",((BC18/INDEX('Monthly CUST'!$N$2:$CG$65,MATCH($D18,'Monthly CUST'!$D$2:$D$65,0),MATCH(BC$1,'Monthly CUST'!$N$1:$CG$1,0)))*(1+$L18)*INDEX('Monthly CUST'!$N$2:$CG$65,MATCH($D18,'Monthly CUST'!$D$2:$D$65,0),MATCH(BO$1,'Monthly CUST'!$N$1:$CG$1,0))),IF($J18="Modeled UPC",INDEX('Monthly CUST'!$N$2:$CG$65,MATCH($D18,'Monthly CUST'!$D$2:$D$65,0),MATCH(BO$1,'Monthly CUST'!$N$1:$CG$1,0))/12*$M18,IF($J18="Base Period",BC18,IF($J18="Adjusted",SUMIF('Input 15_Fcst Inputs'!$A:$A,$D18,'Input 15_Fcst Inputs'!$G:$G)/12))))),0)</f>
        <v>60693.663199950381</v>
      </c>
      <c r="BP18" s="483">
        <f>IFERROR(IF($J18="Historical Average",INDEX('Monthly UPC'!$CM$2:$DJ$65,MATCH($D18,'Monthly UPC'!$D$2:$D$65,0),MATCH(BP$1,'Monthly UPC'!$CM$1:$DJ$1))*(INDEX('Monthly CUST'!$N$2:$CG$65,MATCH($D18,'Monthly CUST'!$D$2:$D$65,0),MATCH(BP$1,'Monthly CUST'!$N$1:$CG$1,0))),IF($J18="UPC Growth Rate",((BD18/INDEX('Monthly CUST'!$N$2:$CG$65,MATCH($D18,'Monthly CUST'!$D$2:$D$65,0),MATCH(BD$1,'Monthly CUST'!$N$1:$CG$1,0)))*(1+$L18)*INDEX('Monthly CUST'!$N$2:$CG$65,MATCH($D18,'Monthly CUST'!$D$2:$D$65,0),MATCH(BP$1,'Monthly CUST'!$N$1:$CG$1,0))),IF($J18="Modeled UPC",INDEX('Monthly CUST'!$N$2:$CG$65,MATCH($D18,'Monthly CUST'!$D$2:$D$65,0),MATCH(BP$1,'Monthly CUST'!$N$1:$CG$1,0))/12*$M18,IF($J18="Base Period",BD18,IF($J18="Adjusted",SUMIF('Input 15_Fcst Inputs'!$A:$A,$D18,'Input 15_Fcst Inputs'!$G:$G)/12))))),0)</f>
        <v>30768.80472104561</v>
      </c>
      <c r="BQ18" s="483">
        <f>IFERROR(IF($J18="Historical Average",INDEX('Monthly UPC'!$CM$2:$DJ$65,MATCH($D18,'Monthly UPC'!$D$2:$D$65,0),MATCH(BQ$1,'Monthly UPC'!$CM$1:$DJ$1))*(INDEX('Monthly CUST'!$N$2:$CG$65,MATCH($D18,'Monthly CUST'!$D$2:$D$65,0),MATCH(BQ$1,'Monthly CUST'!$N$1:$CG$1,0))),IF($J18="UPC Growth Rate",((BE18/INDEX('Monthly CUST'!$N$2:$CG$65,MATCH($D18,'Monthly CUST'!$D$2:$D$65,0),MATCH(BE$1,'Monthly CUST'!$N$1:$CG$1,0)))*(1+$L18)*INDEX('Monthly CUST'!$N$2:$CG$65,MATCH($D18,'Monthly CUST'!$D$2:$D$65,0),MATCH(BQ$1,'Monthly CUST'!$N$1:$CG$1,0))),IF($J18="Modeled UPC",INDEX('Monthly CUST'!$N$2:$CG$65,MATCH($D18,'Monthly CUST'!$D$2:$D$65,0),MATCH(BQ$1,'Monthly CUST'!$N$1:$CG$1,0))/12*$M18,IF($J18="Base Period",BE18,IF($J18="Adjusted",SUMIF('Input 15_Fcst Inputs'!$A:$A,$D18,'Input 15_Fcst Inputs'!$G:$G)/12))))),0)</f>
        <v>39424.390399945951</v>
      </c>
      <c r="BR18" s="483">
        <f>IFERROR(IF($J18="Historical Average",INDEX('Monthly UPC'!$CM$2:$DJ$65,MATCH($D18,'Monthly UPC'!$D$2:$D$65,0),MATCH(BR$1,'Monthly UPC'!$CM$1:$DJ$1))*(INDEX('Monthly CUST'!$N$2:$CG$65,MATCH($D18,'Monthly CUST'!$D$2:$D$65,0),MATCH(BR$1,'Monthly CUST'!$N$1:$CG$1,0))),IF($J18="UPC Growth Rate",((BF18/INDEX('Monthly CUST'!$N$2:$CG$65,MATCH($D18,'Monthly CUST'!$D$2:$D$65,0),MATCH(BF$1,'Monthly CUST'!$N$1:$CG$1,0)))*(1+$L18)*INDEX('Monthly CUST'!$N$2:$CG$65,MATCH($D18,'Monthly CUST'!$D$2:$D$65,0),MATCH(BR$1,'Monthly CUST'!$N$1:$CG$1,0))),IF($J18="Modeled UPC",INDEX('Monthly CUST'!$N$2:$CG$65,MATCH($D18,'Monthly CUST'!$D$2:$D$65,0),MATCH(BR$1,'Monthly CUST'!$N$1:$CG$1,0))/12*$M18,IF($J18="Base Period",BF18,IF($J18="Adjusted",SUMIF('Input 15_Fcst Inputs'!$A:$A,$D18,'Input 15_Fcst Inputs'!$G:$G)/12))))),0)</f>
        <v>47027.043672832646</v>
      </c>
      <c r="BS18" s="483">
        <f>IFERROR(IF($J18="Historical Average",INDEX('Monthly UPC'!$CM$2:$DJ$65,MATCH($D18,'Monthly UPC'!$D$2:$D$65,0),MATCH(BS$1,'Monthly UPC'!$CM$1:$DJ$1))*(INDEX('Monthly CUST'!$N$2:$CG$65,MATCH($D18,'Monthly CUST'!$D$2:$D$65,0),MATCH(BS$1,'Monthly CUST'!$N$1:$CG$1,0))),IF($J18="UPC Growth Rate",((BG18/INDEX('Monthly CUST'!$N$2:$CG$65,MATCH($D18,'Monthly CUST'!$D$2:$D$65,0),MATCH(BG$1,'Monthly CUST'!$N$1:$CG$1,0)))*(1+$L18)*INDEX('Monthly CUST'!$N$2:$CG$65,MATCH($D18,'Monthly CUST'!$D$2:$D$65,0),MATCH(BS$1,'Monthly CUST'!$N$1:$CG$1,0))),IF($J18="Modeled UPC",INDEX('Monthly CUST'!$N$2:$CG$65,MATCH($D18,'Monthly CUST'!$D$2:$D$65,0),MATCH(BS$1,'Monthly CUST'!$N$1:$CG$1,0))/12*$M18,IF($J18="Base Period",BG18,IF($J18="Adjusted",SUMIF('Input 15_Fcst Inputs'!$A:$A,$D18,'Input 15_Fcst Inputs'!$G:$G)/12))))),0)</f>
        <v>51961.600044631414</v>
      </c>
      <c r="BT18" s="483">
        <f>IFERROR(IF($J18="Historical Average",INDEX('Monthly UPC'!$CM$2:$DJ$65,MATCH($D18,'Monthly UPC'!$D$2:$D$65,0),MATCH(BT$1,'Monthly UPC'!$CM$1:$DJ$1))*(INDEX('Monthly CUST'!$N$2:$CG$65,MATCH($D18,'Monthly CUST'!$D$2:$D$65,0),MATCH(BT$1,'Monthly CUST'!$N$1:$CG$1,0))),IF($J18="UPC Growth Rate",((BH18/INDEX('Monthly CUST'!$N$2:$CG$65,MATCH($D18,'Monthly CUST'!$D$2:$D$65,0),MATCH(BH$1,'Monthly CUST'!$N$1:$CG$1,0)))*(1+$L18)*INDEX('Monthly CUST'!$N$2:$CG$65,MATCH($D18,'Monthly CUST'!$D$2:$D$65,0),MATCH(BT$1,'Monthly CUST'!$N$1:$CG$1,0))),IF($J18="Modeled UPC",INDEX('Monthly CUST'!$N$2:$CG$65,MATCH($D18,'Monthly CUST'!$D$2:$D$65,0),MATCH(BT$1,'Monthly CUST'!$N$1:$CG$1,0))/12*$M18,IF($J18="Base Period",BH18,IF($J18="Adjusted",SUMIF('Input 15_Fcst Inputs'!$A:$A,$D18,'Input 15_Fcst Inputs'!$G:$G)/12))))),0)</f>
        <v>65516.307933346339</v>
      </c>
      <c r="BU18" s="483">
        <f>IFERROR(IF($J18="Historical Average",INDEX('Monthly UPC'!$CM$2:$DJ$65,MATCH($D18,'Monthly UPC'!$D$2:$D$65,0),MATCH(BU$1,'Monthly UPC'!$CM$1:$DJ$1))*(INDEX('Monthly CUST'!$N$2:$CG$65,MATCH($D18,'Monthly CUST'!$D$2:$D$65,0),MATCH(BU$1,'Monthly CUST'!$N$1:$CG$1,0))),IF($J18="UPC Growth Rate",((BI18/INDEX('Monthly CUST'!$N$2:$CG$65,MATCH($D18,'Monthly CUST'!$D$2:$D$65,0),MATCH(BI$1,'Monthly CUST'!$N$1:$CG$1,0)))*(1+$L18)*INDEX('Monthly CUST'!$N$2:$CG$65,MATCH($D18,'Monthly CUST'!$D$2:$D$65,0),MATCH(BU$1,'Monthly CUST'!$N$1:$CG$1,0))),IF($J18="Modeled UPC",INDEX('Monthly CUST'!$N$2:$CG$65,MATCH($D18,'Monthly CUST'!$D$2:$D$65,0),MATCH(BU$1,'Monthly CUST'!$N$1:$CG$1,0))/12*$M18,IF($J18="Base Period",BI18,IF($J18="Adjusted",SUMIF('Input 15_Fcst Inputs'!$A:$A,$D18,'Input 15_Fcst Inputs'!$G:$G)/12))))),0)</f>
        <v>79850.265818377753</v>
      </c>
      <c r="BV18" s="483">
        <f>IFERROR(IF($J18="Historical Average",INDEX('Monthly UPC'!$CM$2:$DJ$65,MATCH($D18,'Monthly UPC'!$D$2:$D$65,0),MATCH(BV$1,'Monthly UPC'!$CM$1:$DJ$1))*(INDEX('Monthly CUST'!$N$2:$CG$65,MATCH($D18,'Monthly CUST'!$D$2:$D$65,0),MATCH(BV$1,'Monthly CUST'!$N$1:$CG$1,0))),IF($J18="UPC Growth Rate",((BJ18/INDEX('Monthly CUST'!$N$2:$CG$65,MATCH($D18,'Monthly CUST'!$D$2:$D$65,0),MATCH(BJ$1,'Monthly CUST'!$N$1:$CG$1,0)))*(1+$L18)*INDEX('Monthly CUST'!$N$2:$CG$65,MATCH($D18,'Monthly CUST'!$D$2:$D$65,0),MATCH(BV$1,'Monthly CUST'!$N$1:$CG$1,0))),IF($J18="Modeled UPC",INDEX('Monthly CUST'!$N$2:$CG$65,MATCH($D18,'Monthly CUST'!$D$2:$D$65,0),MATCH(BV$1,'Monthly CUST'!$N$1:$CG$1,0))/12*$M18,IF($J18="Base Period",BJ18,IF($J18="Adjusted",SUMIF('Input 15_Fcst Inputs'!$A:$A,$D18,'Input 15_Fcst Inputs'!$G:$G)/12))))),0)</f>
        <v>79255.670203978618</v>
      </c>
      <c r="BW18" s="483">
        <f>IFERROR(IF($J18="Historical Average",INDEX('Monthly UPC'!$CM$2:$DJ$65,MATCH($D18,'Monthly UPC'!$D$2:$D$65,0),MATCH(BW$1,'Monthly UPC'!$CM$1:$DJ$1))*(INDEX('Monthly CUST'!$N$2:$CG$65,MATCH($D18,'Monthly CUST'!$D$2:$D$65,0),MATCH(BW$1,'Monthly CUST'!$N$1:$CG$1,0))),IF($J18="UPC Growth Rate",((BK18/INDEX('Monthly CUST'!$N$2:$CG$65,MATCH($D18,'Monthly CUST'!$D$2:$D$65,0),MATCH(BK$1,'Monthly CUST'!$N$1:$CG$1,0)))*(1+$L18)*INDEX('Monthly CUST'!$N$2:$CG$65,MATCH($D18,'Monthly CUST'!$D$2:$D$65,0),MATCH(BW$1,'Monthly CUST'!$N$1:$CG$1,0))),IF($J18="Modeled UPC",INDEX('Monthly CUST'!$N$2:$CG$65,MATCH($D18,'Monthly CUST'!$D$2:$D$65,0),MATCH(BW$1,'Monthly CUST'!$N$1:$CG$1,0))/12*$M18,IF($J18="Base Period",BK18,IF($J18="Adjusted",SUMIF('Input 15_Fcst Inputs'!$A:$A,$D18,'Input 15_Fcst Inputs'!$G:$G)/12))))),0)</f>
        <v>75694.398402096384</v>
      </c>
      <c r="BX18" s="483">
        <f>IFERROR(IF($J18="Historical Average",INDEX('Monthly UPC'!$CM$2:$DJ$65,MATCH($D18,'Monthly UPC'!$D$2:$D$65,0),MATCH(BX$1,'Monthly UPC'!$CM$1:$DJ$1))*(INDEX('Monthly CUST'!$N$2:$CG$65,MATCH($D18,'Monthly CUST'!$D$2:$D$65,0),MATCH(BX$1,'Monthly CUST'!$N$1:$CG$1,0))),IF($J18="UPC Growth Rate",((BL18/INDEX('Monthly CUST'!$N$2:$CG$65,MATCH($D18,'Monthly CUST'!$D$2:$D$65,0),MATCH(BL$1,'Monthly CUST'!$N$1:$CG$1,0)))*(1+$L18)*INDEX('Monthly CUST'!$N$2:$CG$65,MATCH($D18,'Monthly CUST'!$D$2:$D$65,0),MATCH(BX$1,'Monthly CUST'!$N$1:$CG$1,0))),IF($J18="Modeled UPC",INDEX('Monthly CUST'!$N$2:$CG$65,MATCH($D18,'Monthly CUST'!$D$2:$D$65,0),MATCH(BX$1,'Monthly CUST'!$N$1:$CG$1,0))/12*$M18,IF($J18="Base Period",BL18,IF($J18="Adjusted",SUMIF('Input 15_Fcst Inputs'!$A:$A,$D18,'Input 15_Fcst Inputs'!$G:$G)/12))))),0)</f>
        <v>59619.065964498179</v>
      </c>
      <c r="BY18" s="483">
        <f>IFERROR(IF($J18="Historical Average",INDEX('Monthly UPC'!$CM$2:$DJ$65,MATCH($D18,'Monthly UPC'!$D$2:$D$65,0),MATCH(BY$1,'Monthly UPC'!$CM$1:$DJ$1))*(INDEX('Monthly CUST'!$N$2:$CG$65,MATCH($D18,'Monthly CUST'!$D$2:$D$65,0),MATCH(BY$1,'Monthly CUST'!$N$1:$CG$1,0))),IF($J18="UPC Growth Rate",((BM18/INDEX('Monthly CUST'!$N$2:$CG$65,MATCH($D18,'Monthly CUST'!$D$2:$D$65,0),MATCH(BM$1,'Monthly CUST'!$N$1:$CG$1,0)))*(1+$L18)*INDEX('Monthly CUST'!$N$2:$CG$65,MATCH($D18,'Monthly CUST'!$D$2:$D$65,0),MATCH(BY$1,'Monthly CUST'!$N$1:$CG$1,0))),IF($J18="Modeled UPC",INDEX('Monthly CUST'!$N$2:$CG$65,MATCH($D18,'Monthly CUST'!$D$2:$D$65,0),MATCH(BY$1,'Monthly CUST'!$N$1:$CG$1,0))/12*$M18,IF($J18="Base Period",BM18,IF($J18="Adjusted",SUMIF('Input 15_Fcst Inputs'!$A:$A,$D18,'Input 15_Fcst Inputs'!$G:$G)/12))))),0)</f>
        <v>64734.702783829052</v>
      </c>
      <c r="BZ18" s="483">
        <f>IFERROR(IF($J18="Historical Average",INDEX('Monthly UPC'!$CM$2:$DJ$65,MATCH($D18,'Monthly UPC'!$D$2:$D$65,0),MATCH(BZ$1,'Monthly UPC'!$CM$1:$DJ$1))*(INDEX('Monthly CUST'!$N$2:$CG$65,MATCH($D18,'Monthly CUST'!$D$2:$D$65,0),MATCH(BZ$1,'Monthly CUST'!$N$1:$CG$1,0))),IF($J18="UPC Growth Rate",((BN18/INDEX('Monthly CUST'!$N$2:$CG$65,MATCH($D18,'Monthly CUST'!$D$2:$D$65,0),MATCH(BN$1,'Monthly CUST'!$N$1:$CG$1,0)))*(1+$L18)*INDEX('Monthly CUST'!$N$2:$CG$65,MATCH($D18,'Monthly CUST'!$D$2:$D$65,0),MATCH(BZ$1,'Monthly CUST'!$N$1:$CG$1,0))),IF($J18="Modeled UPC",INDEX('Monthly CUST'!$N$2:$CG$65,MATCH($D18,'Monthly CUST'!$D$2:$D$65,0),MATCH(BZ$1,'Monthly CUST'!$N$1:$CG$1,0))/12*$M18,IF($J18="Base Period",BN18,IF($J18="Adjusted",SUMIF('Input 15_Fcst Inputs'!$A:$A,$D18,'Input 15_Fcst Inputs'!$G:$G)/12))))),0)</f>
        <v>56216.994688212646</v>
      </c>
      <c r="CA18" s="483">
        <f>IFERROR(IF($J18="Historical Average",INDEX('Monthly UPC'!$CM$2:$DJ$65,MATCH($D18,'Monthly UPC'!$D$2:$D$65,0),MATCH(CA$1,'Monthly UPC'!$CM$1:$DJ$1))*(INDEX('Monthly CUST'!$N$2:$CG$65,MATCH($D18,'Monthly CUST'!$D$2:$D$65,0),MATCH(CA$1,'Monthly CUST'!$N$1:$CG$1,0))),IF($J18="UPC Growth Rate",((BO18/INDEX('Monthly CUST'!$N$2:$CG$65,MATCH($D18,'Monthly CUST'!$D$2:$D$65,0),MATCH(BO$1,'Monthly CUST'!$N$1:$CG$1,0)))*(1+$L18)*INDEX('Monthly CUST'!$N$2:$CG$65,MATCH($D18,'Monthly CUST'!$D$2:$D$65,0),MATCH(CA$1,'Monthly CUST'!$N$1:$CG$1,0))),IF($J18="Modeled UPC",INDEX('Monthly CUST'!$N$2:$CG$65,MATCH($D18,'Monthly CUST'!$D$2:$D$65,0),MATCH(CA$1,'Monthly CUST'!$N$1:$CG$1,0))/12*$M18,IF($J18="Base Period",BO18,IF($J18="Adjusted",SUMIF('Input 15_Fcst Inputs'!$A:$A,$D18,'Input 15_Fcst Inputs'!$G:$G)/12))))),0)</f>
        <v>61010.754418215933</v>
      </c>
      <c r="CB18" s="483">
        <f>IFERROR(IF($J18="Historical Average",INDEX('Monthly UPC'!$CM$2:$DJ$65,MATCH($D18,'Monthly UPC'!$D$2:$D$65,0),MATCH(CB$1,'Monthly UPC'!$CM$1:$DJ$1))*(INDEX('Monthly CUST'!$N$2:$CG$65,MATCH($D18,'Monthly CUST'!$D$2:$D$65,0),MATCH(CB$1,'Monthly CUST'!$N$1:$CG$1,0))),IF($J18="UPC Growth Rate",((BP18/INDEX('Monthly CUST'!$N$2:$CG$65,MATCH($D18,'Monthly CUST'!$D$2:$D$65,0),MATCH(BP$1,'Monthly CUST'!$N$1:$CG$1,0)))*(1+$L18)*INDEX('Monthly CUST'!$N$2:$CG$65,MATCH($D18,'Monthly CUST'!$D$2:$D$65,0),MATCH(CB$1,'Monthly CUST'!$N$1:$CG$1,0))),IF($J18="Modeled UPC",INDEX('Monthly CUST'!$N$2:$CG$65,MATCH($D18,'Monthly CUST'!$D$2:$D$65,0),MATCH(CB$1,'Monthly CUST'!$N$1:$CG$1,0))/12*$M18,IF($J18="Base Period",BP18,IF($J18="Adjusted",SUMIF('Input 15_Fcst Inputs'!$A:$A,$D18,'Input 15_Fcst Inputs'!$G:$G)/12))))),0)</f>
        <v>30929.554909107734</v>
      </c>
      <c r="CC18" s="483">
        <f>IFERROR(IF($J18="Historical Average",INDEX('Monthly UPC'!$CM$2:$DJ$65,MATCH($D18,'Monthly UPC'!$D$2:$D$65,0),MATCH(CC$1,'Monthly UPC'!$CM$1:$DJ$1))*(INDEX('Monthly CUST'!$N$2:$CG$65,MATCH($D18,'Monthly CUST'!$D$2:$D$65,0),MATCH(CC$1,'Monthly CUST'!$N$1:$CG$1,0))),IF($J18="UPC Growth Rate",((BQ18/INDEX('Monthly CUST'!$N$2:$CG$65,MATCH($D18,'Monthly CUST'!$D$2:$D$65,0),MATCH(BQ$1,'Monthly CUST'!$N$1:$CG$1,0)))*(1+$L18)*INDEX('Monthly CUST'!$N$2:$CG$65,MATCH($D18,'Monthly CUST'!$D$2:$D$65,0),MATCH(CC$1,'Monthly CUST'!$N$1:$CG$1,0))),IF($J18="Modeled UPC",INDEX('Monthly CUST'!$N$2:$CG$65,MATCH($D18,'Monthly CUST'!$D$2:$D$65,0),MATCH(CC$1,'Monthly CUST'!$N$1:$CG$1,0))/12*$M18,IF($J18="Base Period",BQ18,IF($J18="Adjusted",SUMIF('Input 15_Fcst Inputs'!$A:$A,$D18,'Input 15_Fcst Inputs'!$G:$G)/12))))),0)</f>
        <v>39630.361292493857</v>
      </c>
      <c r="CD18" s="483">
        <f>IFERROR(IF($J18="Historical Average",INDEX('Monthly UPC'!$CM$2:$DJ$65,MATCH($D18,'Monthly UPC'!$D$2:$D$65,0),MATCH(CD$1,'Monthly UPC'!$CM$1:$DJ$1))*(INDEX('Monthly CUST'!$N$2:$CG$65,MATCH($D18,'Monthly CUST'!$D$2:$D$65,0),MATCH(CD$1,'Monthly CUST'!$N$1:$CG$1,0))),IF($J18="UPC Growth Rate",((BR18/INDEX('Monthly CUST'!$N$2:$CG$65,MATCH($D18,'Monthly CUST'!$D$2:$D$65,0),MATCH(BR$1,'Monthly CUST'!$N$1:$CG$1,0)))*(1+$L18)*INDEX('Monthly CUST'!$N$2:$CG$65,MATCH($D18,'Monthly CUST'!$D$2:$D$65,0),MATCH(CD$1,'Monthly CUST'!$N$1:$CG$1,0))),IF($J18="Modeled UPC",INDEX('Monthly CUST'!$N$2:$CG$65,MATCH($D18,'Monthly CUST'!$D$2:$D$65,0),MATCH(CD$1,'Monthly CUST'!$N$1:$CG$1,0))/12*$M18,IF($J18="Base Period",BR18,IF($J18="Adjusted",SUMIF('Input 15_Fcst Inputs'!$A:$A,$D18,'Input 15_Fcst Inputs'!$G:$G)/12))))),0)</f>
        <v>47272.734273522212</v>
      </c>
      <c r="CE18" s="483">
        <f>IFERROR(IF($J18="Historical Average",INDEX('Monthly UPC'!$CM$2:$DJ$65,MATCH($D18,'Monthly UPC'!$D$2:$D$65,0),MATCH(CE$1,'Monthly UPC'!$CM$1:$DJ$1))*(INDEX('Monthly CUST'!$N$2:$CG$65,MATCH($D18,'Monthly CUST'!$D$2:$D$65,0),MATCH(CE$1,'Monthly CUST'!$N$1:$CG$1,0))),IF($J18="UPC Growth Rate",((BS18/INDEX('Monthly CUST'!$N$2:$CG$65,MATCH($D18,'Monthly CUST'!$D$2:$D$65,0),MATCH(BS$1,'Monthly CUST'!$N$1:$CG$1,0)))*(1+$L18)*INDEX('Monthly CUST'!$N$2:$CG$65,MATCH($D18,'Monthly CUST'!$D$2:$D$65,0),MATCH(CE$1,'Monthly CUST'!$N$1:$CG$1,0))),IF($J18="Modeled UPC",INDEX('Monthly CUST'!$N$2:$CG$65,MATCH($D18,'Monthly CUST'!$D$2:$D$65,0),MATCH(CE$1,'Monthly CUST'!$N$1:$CG$1,0))/12*$M18,IF($J18="Base Period",BS18,IF($J18="Adjusted",SUMIF('Input 15_Fcst Inputs'!$A:$A,$D18,'Input 15_Fcst Inputs'!$G:$G)/12))))),0)</f>
        <v>52233.071005395454</v>
      </c>
      <c r="CF18" s="483">
        <f>IFERROR(IF($J18="Historical Average",INDEX('Monthly UPC'!$CM$2:$DJ$65,MATCH($D18,'Monthly UPC'!$D$2:$D$65,0),MATCH(CF$1,'Monthly UPC'!$CM$1:$DJ$1))*(INDEX('Monthly CUST'!$N$2:$CG$65,MATCH($D18,'Monthly CUST'!$D$2:$D$65,0),MATCH(CF$1,'Monthly CUST'!$N$1:$CG$1,0))),IF($J18="UPC Growth Rate",((BT18/INDEX('Monthly CUST'!$N$2:$CG$65,MATCH($D18,'Monthly CUST'!$D$2:$D$65,0),MATCH(BT$1,'Monthly CUST'!$N$1:$CG$1,0)))*(1+$L18)*INDEX('Monthly CUST'!$N$2:$CG$65,MATCH($D18,'Monthly CUST'!$D$2:$D$65,0),MATCH(CF$1,'Monthly CUST'!$N$1:$CG$1,0))),IF($J18="Modeled UPC",INDEX('Monthly CUST'!$N$2:$CG$65,MATCH($D18,'Monthly CUST'!$D$2:$D$65,0),MATCH(CF$1,'Monthly CUST'!$N$1:$CG$1,0))/12*$M18,IF($J18="Base Period",BT18,IF($J18="Adjusted",SUMIF('Input 15_Fcst Inputs'!$A:$A,$D18,'Input 15_Fcst Inputs'!$G:$G)/12))))),0)</f>
        <v>65858.594834540709</v>
      </c>
      <c r="CG18" s="483">
        <f>IFERROR(IF($J18="Historical Average",INDEX('Monthly UPC'!$CM$2:$DJ$65,MATCH($D18,'Monthly UPC'!$D$2:$D$65,0),MATCH(CG$1,'Monthly UPC'!$CM$1:$DJ$1))*(INDEX('Monthly CUST'!$N$2:$CG$65,MATCH($D18,'Monthly CUST'!$D$2:$D$65,0),MATCH(CG$1,'Monthly CUST'!$N$1:$CG$1,0))),IF($J18="UPC Growth Rate",((BU18/INDEX('Monthly CUST'!$N$2:$CG$65,MATCH($D18,'Monthly CUST'!$D$2:$D$65,0),MATCH(BU$1,'Monthly CUST'!$N$1:$CG$1,0)))*(1+$L18)*INDEX('Monthly CUST'!$N$2:$CG$65,MATCH($D18,'Monthly CUST'!$D$2:$D$65,0),MATCH(CG$1,'Monthly CUST'!$N$1:$CG$1,0))),IF($J18="Modeled UPC",INDEX('Monthly CUST'!$N$2:$CG$65,MATCH($D18,'Monthly CUST'!$D$2:$D$65,0),MATCH(CG$1,'Monthly CUST'!$N$1:$CG$1,0))/12*$M18,IF($J18="Base Period",BU18,IF($J18="Adjusted",SUMIF('Input 15_Fcst Inputs'!$A:$A,$D18,'Input 15_Fcst Inputs'!$G:$G)/12))))),0)</f>
        <v>80267.439815336271</v>
      </c>
      <c r="CH18" s="197"/>
      <c r="CI18" s="197">
        <f t="shared" si="0"/>
        <v>679828.80999999994</v>
      </c>
      <c r="CJ18" s="197">
        <f t="shared" si="1"/>
        <v>681290.39000000013</v>
      </c>
      <c r="CK18" s="197">
        <f t="shared" si="2"/>
        <v>639383.85000000009</v>
      </c>
      <c r="CL18" s="197">
        <f t="shared" si="3"/>
        <v>705334.12000000011</v>
      </c>
      <c r="CM18" s="197">
        <f t="shared" si="4"/>
        <v>709019.10527858254</v>
      </c>
      <c r="CN18" s="197">
        <f t="shared" si="5"/>
        <v>712723.34259122715</v>
      </c>
      <c r="CP18" s="4">
        <f>SUMIF('Master '!D:D,D18,'Master '!AH:AH)</f>
        <v>709019.10527858254</v>
      </c>
      <c r="CQ18" s="4">
        <f>SUMIF('Master '!D:D,D18,'Master '!AI:AI)</f>
        <v>712723.34259122703</v>
      </c>
      <c r="CR18" s="197">
        <f t="shared" si="6"/>
        <v>0</v>
      </c>
      <c r="CS18" s="197">
        <f t="shared" si="7"/>
        <v>0</v>
      </c>
      <c r="CT18" t="s">
        <v>287</v>
      </c>
      <c r="CV18" t="str">
        <f>VLOOKUP(G18,'Master '!G:CC,75,FALSE)</f>
        <v>GSTS-1</v>
      </c>
    </row>
    <row r="19" spans="1:100">
      <c r="A19" s="53" t="s">
        <v>15</v>
      </c>
      <c r="B19" s="53" t="s">
        <v>994</v>
      </c>
      <c r="C19" s="53" t="s">
        <v>1245</v>
      </c>
      <c r="D19" s="53" t="s">
        <v>40</v>
      </c>
      <c r="E19" s="53" t="str">
        <f>VLOOKUP(D19,'Input 14_Ref Table'!C:D,2,FALSE)</f>
        <v>GCS41</v>
      </c>
      <c r="F19" s="143" t="s">
        <v>1286</v>
      </c>
      <c r="G19" s="53" t="str">
        <f>VLOOKUP(D19,'Input 14_Ref Table'!C:I,7,FALSE)</f>
        <v>FPU - FPU - GS - 2</v>
      </c>
      <c r="H19" s="53" t="str">
        <f>VLOOKUP(D19,'Input 14_Ref Table'!C:K,8,FALSE)</f>
        <v>GS2</v>
      </c>
      <c r="I19" s="53"/>
      <c r="J19" t="str">
        <f>INDEX('Master '!$AD$2:AD$65,MATCH(D19,'Master '!$D$2:$D$65,0))</f>
        <v>UPC Growth Rate</v>
      </c>
      <c r="K19" s="458">
        <f>INDEX('Master '!$N$2:N$65,MATCH(D19,'Master '!$D$2:$D$65,0))</f>
        <v>1.8587655739112818E-2</v>
      </c>
      <c r="L19" s="137">
        <f>INDEX('Master '!$S$2:S$65,MATCH(D19,'Master '!$D$2:$D$65,0))</f>
        <v>-1.8292273161028501E-2</v>
      </c>
      <c r="M19" s="4">
        <f>INDEX('Master '!$W$2:W$65,MATCH(D19,'Master '!$D$2:$D$65,0))</f>
        <v>3652.1</v>
      </c>
      <c r="N19" s="268">
        <f>SUMIF('Input 16.1_2018VOL-YTD'!$R:$R,$G19,'Input 16.1_2018VOL-YTD'!C:C)</f>
        <v>760638.17999999726</v>
      </c>
      <c r="O19" s="268">
        <f>SUMIF('Input 16.1_2018VOL-YTD'!$R:$R,$G19,'Input 16.1_2018VOL-YTD'!D:D)</f>
        <v>755631.61000000092</v>
      </c>
      <c r="P19" s="268">
        <f>SUMIF('Input 16.1_2018VOL-YTD'!$R:$R,$G19,'Input 16.1_2018VOL-YTD'!E:E)</f>
        <v>632285.9800000001</v>
      </c>
      <c r="Q19" s="268">
        <f>SUMIF('Input 16.1_2018VOL-YTD'!$R:$R,$G19,'Input 16.1_2018VOL-YTD'!F:F)</f>
        <v>640585.47999999928</v>
      </c>
      <c r="R19" s="268">
        <f>SUMIF('Input 16.1_2018VOL-YTD'!$R:$R,$G19,'Input 16.1_2018VOL-YTD'!G:G)</f>
        <v>529112.78999999934</v>
      </c>
      <c r="S19" s="268">
        <f>SUMIF('Input 16.1_2018VOL-YTD'!$R:$R,$G19,'Input 16.1_2018VOL-YTD'!H:H)</f>
        <v>512476.09000000195</v>
      </c>
      <c r="T19" s="268">
        <f>SUMIF('Input 16.1_2018VOL-YTD'!$R:$R,$G19,'Input 16.1_2018VOL-YTD'!I:I)</f>
        <v>443876.33999999927</v>
      </c>
      <c r="U19" s="268">
        <f>SUMIF('Input 16.1_2018VOL-YTD'!$R:$R,$G19,'Input 16.1_2018VOL-YTD'!J:J)</f>
        <v>442949.05000000063</v>
      </c>
      <c r="V19" s="268">
        <f>SUMIF('Input 16.1_2018VOL-YTD'!$R:$R,$G19,'Input 16.1_2018VOL-YTD'!K:K)</f>
        <v>456222.93000000058</v>
      </c>
      <c r="W19" s="268">
        <f>SUMIF('Input 16.1_2018VOL-YTD'!$R:$R,$G19,'Input 16.1_2018VOL-YTD'!L:L)</f>
        <v>414799.56999999867</v>
      </c>
      <c r="X19" s="268">
        <f>SUMIF('Input 16.1_2018VOL-YTD'!$R:$R,$G19,'Input 16.1_2018VOL-YTD'!M:M)</f>
        <v>526088.93999999994</v>
      </c>
      <c r="Y19" s="268">
        <f>SUMIF('Input 16.1_2018VOL-YTD'!$R:$R,$G19,'Input 16.1_2018VOL-YTD'!N:N)</f>
        <v>677644.77000000048</v>
      </c>
      <c r="Z19" s="268">
        <f>SUMIF('Input 3.1_2019VOL-YTD'!$R:$R,$G19,'Input 3.1_2019VOL-YTD'!C:C)</f>
        <v>746543.57999999938</v>
      </c>
      <c r="AA19" s="268">
        <f>SUMIF('Input 3.1_2019VOL-YTD'!$R:$R,$G19,'Input 3.1_2019VOL-YTD'!D:D)</f>
        <v>720253.33999999892</v>
      </c>
      <c r="AB19" s="268">
        <f>SUMIF('Input 3.1_2019VOL-YTD'!$R:$R,$G19,'Input 3.1_2019VOL-YTD'!E:E)</f>
        <v>612709.96</v>
      </c>
      <c r="AC19" s="268">
        <f>SUMIF('Input 3.1_2019VOL-YTD'!$R:$R,$G19,'Input 3.1_2019VOL-YTD'!F:F)</f>
        <v>595580.43000000052</v>
      </c>
      <c r="AD19" s="268">
        <f>SUMIF('Input 3.1_2019VOL-YTD'!$R:$R,$G19,'Input 3.1_2019VOL-YTD'!G:G)</f>
        <v>528995.59000000043</v>
      </c>
      <c r="AE19" s="268">
        <f>SUMIF('Input 3.1_2019VOL-YTD'!$R:$R,$G19,'Input 3.1_2019VOL-YTD'!H:H)</f>
        <v>497017.20000000036</v>
      </c>
      <c r="AF19" s="268">
        <f>SUMIF('Input 3.1_2019VOL-YTD'!$R:$R,$G19,'Input 3.1_2019VOL-YTD'!I:I)</f>
        <v>367311.72000000061</v>
      </c>
      <c r="AG19" s="268">
        <f>SUMIF('Input 3.1_2019VOL-YTD'!$R:$R,$G19,'Input 3.1_2019VOL-YTD'!J:J)</f>
        <v>455320.84999999881</v>
      </c>
      <c r="AH19" s="268">
        <f>SUMIF('Input 3.1_2019VOL-YTD'!$R:$R,$G19,'Input 3.1_2019VOL-YTD'!K:K)</f>
        <v>459653.79000000004</v>
      </c>
      <c r="AI19" s="268">
        <f>SUMIF('Input 3.1_2019VOL-YTD'!$R:$R,$G19,'Input 3.1_2019VOL-YTD'!L:L)</f>
        <v>471510.91999999934</v>
      </c>
      <c r="AJ19" s="268">
        <f>SUMIF('Input 3.1_2019VOL-YTD'!$R:$R,$G19,'Input 3.1_2019VOL-YTD'!M:M)</f>
        <v>558145.07999999996</v>
      </c>
      <c r="AK19" s="268">
        <f>SUMIF('Input 3.1_2019VOL-YTD'!$R:$R,$G19,'Input 3.1_2019VOL-YTD'!N:N)</f>
        <v>689893.54000000027</v>
      </c>
      <c r="AL19" s="268">
        <f>SUMIF('Input 4.1_2020VOL-YTD'!$R:$R,$G19,'Input 4.1_2020VOL-YTD'!C:C)</f>
        <v>753628.78000000084</v>
      </c>
      <c r="AM19" s="268">
        <f>SUMIF('Input 4.1_2020VOL-YTD'!$R:$R,$G19,'Input 4.1_2020VOL-YTD'!D:D)</f>
        <v>711406.97000000137</v>
      </c>
      <c r="AN19" s="268">
        <f>SUMIF('Input 4.1_2020VOL-YTD'!$R:$R,$G19,'Input 4.1_2020VOL-YTD'!E:E)</f>
        <v>634567.1599999984</v>
      </c>
      <c r="AO19" s="268">
        <f>SUMIF('Input 4.1_2020VOL-YTD'!$R:$R,$G19,'Input 4.1_2020VOL-YTD'!F:F)</f>
        <v>415225.57000000012</v>
      </c>
      <c r="AP19" s="268">
        <f>SUMIF('Input 4.1_2020VOL-YTD'!$R:$R,$G19,'Input 4.1_2020VOL-YTD'!G:G)</f>
        <v>367517.95000000036</v>
      </c>
      <c r="AQ19" s="268">
        <f>SUMIF('Input 4.1_2020VOL-YTD'!$R:$R,$G19,'Input 4.1_2020VOL-YTD'!H:H)</f>
        <v>372169.02000000008</v>
      </c>
      <c r="AR19" s="268">
        <f>SUMIF('Input 4.1_2020VOL-YTD'!$R:$R,$G19,'Input 4.1_2020VOL-YTD'!I:I)</f>
        <v>401731.58999999962</v>
      </c>
      <c r="AS19" s="268">
        <f>SUMIF('Input 4.1_2020VOL-YTD'!$R:$R,$G19,'Input 4.1_2020VOL-YTD'!J:J)</f>
        <v>383709.75000000023</v>
      </c>
      <c r="AT19" s="268">
        <f>SUMIF('Input 4.1_2020VOL-YTD'!$R:$R,$G19,'Input 4.1_2020VOL-YTD'!K:K)</f>
        <v>387533.17999999848</v>
      </c>
      <c r="AU19" s="268">
        <f>SUMIF('Input 4.1_2020VOL-YTD'!$R:$R,$G19,'Input 4.1_2020VOL-YTD'!L:L)</f>
        <v>416251.21999999986</v>
      </c>
      <c r="AV19" s="268">
        <f>SUMIF('Input 4.1_2020VOL-YTD'!$R:$R,$G19,'Input 4.1_2020VOL-YTD'!M:M)</f>
        <v>491136.83999999985</v>
      </c>
      <c r="AW19" s="268">
        <f>SUMIF('Input 4.1_2020VOL-YTD'!$R:$R,$G19,'Input 4.1_2020VOL-YTD'!N:N)</f>
        <v>625746.28999999969</v>
      </c>
      <c r="AX19" s="268">
        <f>SUMIF('Input 5.1_2021VOL-YTD'!$R:$R,$G19,'Input 5.1_2021VOL-YTD'!C:C)</f>
        <v>758971.39999999932</v>
      </c>
      <c r="AY19" s="268">
        <f>SUMIF('Input 5.1_2021VOL-YTD'!$R:$R,$G19,'Input 5.1_2021VOL-YTD'!D:D)</f>
        <v>650183.18999999948</v>
      </c>
      <c r="AZ19" s="268">
        <f>SUMIF('Input 5.1_2021VOL-YTD'!$R:$R,$G19,'Input 5.1_2021VOL-YTD'!E:E)</f>
        <v>602055.70000000007</v>
      </c>
      <c r="BA19" s="268">
        <f>SUMIF('Input 5.1_2021VOL-YTD'!$R:$R,$G19,'Input 5.1_2021VOL-YTD'!F:F)</f>
        <v>600694.48999999929</v>
      </c>
      <c r="BB19" s="268">
        <f>SUMIF('Input 5.1_2021VOL-YTD'!$R:$R,$G19,'Input 5.1_2021VOL-YTD'!G:G)</f>
        <v>531493.04</v>
      </c>
      <c r="BC19" s="268">
        <f>SUMIF('Input 5.1_2021VOL-YTD'!$R:$R,$G19,'Input 5.1_2021VOL-YTD'!H:H)</f>
        <v>468576.66000000067</v>
      </c>
      <c r="BD19" s="268">
        <f>SUMIF('Input 5.1_2021VOL-YTD'!$R:$R,$G19,'Input 5.1_2021VOL-YTD'!I:I)</f>
        <v>479108.78999999957</v>
      </c>
      <c r="BE19" s="268">
        <f>SUMIF('Input 5.1_2021VOL-YTD'!$R:$R,$G19,'Input 5.1_2021VOL-YTD'!J:J)</f>
        <v>431389.07999999879</v>
      </c>
      <c r="BF19" s="268">
        <f>SUMIF('Input 5.1_2021VOL-YTD'!$R:$R,$G19,'Input 5.1_2021VOL-YTD'!K:K)</f>
        <v>454082.74999999907</v>
      </c>
      <c r="BG19" s="268">
        <f>SUMIF('Input 5.1_2021VOL-YTD'!$R:$R,$G19,'Input 5.1_2021VOL-YTD'!L:L)</f>
        <v>464716.35999999946</v>
      </c>
      <c r="BH19" s="268">
        <f>SUMIF('Input 5.1_2021VOL-YTD'!$R:$R,$G19,'Input 5.1_2021VOL-YTD'!M:M)</f>
        <v>528910.84999999881</v>
      </c>
      <c r="BI19" s="268">
        <f>SUMIF('Input 5.1_2021VOL-YTD'!$R:$R,$G19,'Input 5.1_2021VOL-YTD'!N:N)</f>
        <v>645109.55999999843</v>
      </c>
      <c r="BJ19" s="483">
        <f>IFERROR(IF($J19="Historical Average",INDEX('Monthly UPC'!$CM$2:$DJ$65,MATCH($D19,'Monthly UPC'!$D$2:$D$65,0),MATCH(BJ$1,'Monthly UPC'!$CM$1:$DJ$1))*(INDEX('Monthly CUST'!$N$2:$CG$65,MATCH($D19,'Monthly CUST'!$D$2:$D$65,0),MATCH(BJ$1,'Monthly CUST'!$N$1:$CG$1,0))),IF($J19="UPC Growth Rate",((AX19/INDEX('Monthly CUST'!$N$2:$CG$65,MATCH($D19,'Monthly CUST'!$D$2:$D$65,0),MATCH(AX$1,'Monthly CUST'!$N$1:$CG$1,0)))*(1+$L19)*INDEX('Monthly CUST'!$N$2:$CG$65,MATCH($D19,'Monthly CUST'!$D$2:$D$65,0),MATCH(BJ$1,'Monthly CUST'!$N$1:$CG$1,0))),IF($J19="Modeled UPC",INDEX('Monthly CUST'!$N$2:$CG$65,MATCH($D19,'Monthly CUST'!$D$2:$D$65,0),MATCH(BJ$1,'Monthly CUST'!$N$1:$CG$1,0))/12*$M19,IF($J19="Base Period",AX19,IF($J19="Adjusted",SUMIF('Input 15_Fcst Inputs'!$A:$A,$D19,'Input 15_Fcst Inputs'!$G:$G)/12))))),0)</f>
        <v>758937.52870168514</v>
      </c>
      <c r="BK19" s="483">
        <f>IFERROR(IF($J19="Historical Average",INDEX('Monthly UPC'!$CM$2:$DJ$65,MATCH($D19,'Monthly UPC'!$D$2:$D$65,0),MATCH(BK$1,'Monthly UPC'!$CM$1:$DJ$1))*(INDEX('Monthly CUST'!$N$2:$CG$65,MATCH($D19,'Monthly CUST'!$D$2:$D$65,0),MATCH(BK$1,'Monthly CUST'!$N$1:$CG$1,0))),IF($J19="UPC Growth Rate",((AY19/INDEX('Monthly CUST'!$N$2:$CG$65,MATCH($D19,'Monthly CUST'!$D$2:$D$65,0),MATCH(AY$1,'Monthly CUST'!$N$1:$CG$1,0)))*(1+$L19)*INDEX('Monthly CUST'!$N$2:$CG$65,MATCH($D19,'Monthly CUST'!$D$2:$D$65,0),MATCH(BK$1,'Monthly CUST'!$N$1:$CG$1,0))),IF($J19="Modeled UPC",INDEX('Monthly CUST'!$N$2:$CG$65,MATCH($D19,'Monthly CUST'!$D$2:$D$65,0),MATCH(BK$1,'Monthly CUST'!$N$1:$CG$1,0))/12*$M19,IF($J19="Base Period",AY19,IF($J19="Adjusted",SUMIF('Input 15_Fcst Inputs'!$A:$A,$D19,'Input 15_Fcst Inputs'!$G:$G)/12))))),0)</f>
        <v>650154.17369083769</v>
      </c>
      <c r="BL19" s="483">
        <f>IFERROR(IF($J19="Historical Average",INDEX('Monthly UPC'!$CM$2:$DJ$65,MATCH($D19,'Monthly UPC'!$D$2:$D$65,0),MATCH(BL$1,'Monthly UPC'!$CM$1:$DJ$1))*(INDEX('Monthly CUST'!$N$2:$CG$65,MATCH($D19,'Monthly CUST'!$D$2:$D$65,0),MATCH(BL$1,'Monthly CUST'!$N$1:$CG$1,0))),IF($J19="UPC Growth Rate",((AZ19/INDEX('Monthly CUST'!$N$2:$CG$65,MATCH($D19,'Monthly CUST'!$D$2:$D$65,0),MATCH(AZ$1,'Monthly CUST'!$N$1:$CG$1,0)))*(1+$L19)*INDEX('Monthly CUST'!$N$2:$CG$65,MATCH($D19,'Monthly CUST'!$D$2:$D$65,0),MATCH(BL$1,'Monthly CUST'!$N$1:$CG$1,0))),IF($J19="Modeled UPC",INDEX('Monthly CUST'!$N$2:$CG$65,MATCH($D19,'Monthly CUST'!$D$2:$D$65,0),MATCH(BL$1,'Monthly CUST'!$N$1:$CG$1,0))/12*$M19,IF($J19="Base Period",AZ19,IF($J19="Adjusted",SUMIF('Input 15_Fcst Inputs'!$A:$A,$D19,'Input 15_Fcst Inputs'!$G:$G)/12))))),0)</f>
        <v>602028.83151955879</v>
      </c>
      <c r="BM19" s="483">
        <f>IFERROR(IF($J19="Historical Average",INDEX('Monthly UPC'!$CM$2:$DJ$65,MATCH($D19,'Monthly UPC'!$D$2:$D$65,0),MATCH(BM$1,'Monthly UPC'!$CM$1:$DJ$1))*(INDEX('Monthly CUST'!$N$2:$CG$65,MATCH($D19,'Monthly CUST'!$D$2:$D$65,0),MATCH(BM$1,'Monthly CUST'!$N$1:$CG$1,0))),IF($J19="UPC Growth Rate",((BA19/INDEX('Monthly CUST'!$N$2:$CG$65,MATCH($D19,'Monthly CUST'!$D$2:$D$65,0),MATCH(BA$1,'Monthly CUST'!$N$1:$CG$1,0)))*(1+$L19)*INDEX('Monthly CUST'!$N$2:$CG$65,MATCH($D19,'Monthly CUST'!$D$2:$D$65,0),MATCH(BM$1,'Monthly CUST'!$N$1:$CG$1,0))),IF($J19="Modeled UPC",INDEX('Monthly CUST'!$N$2:$CG$65,MATCH($D19,'Monthly CUST'!$D$2:$D$65,0),MATCH(BM$1,'Monthly CUST'!$N$1:$CG$1,0))/12*$M19,IF($J19="Base Period",BA19,IF($J19="Adjusted",SUMIF('Input 15_Fcst Inputs'!$A:$A,$D19,'Input 15_Fcst Inputs'!$G:$G)/12))))),0)</f>
        <v>600667.68226749927</v>
      </c>
      <c r="BN19" s="483">
        <f>IFERROR(IF($J19="Historical Average",INDEX('Monthly UPC'!$CM$2:$DJ$65,MATCH($D19,'Monthly UPC'!$D$2:$D$65,0),MATCH(BN$1,'Monthly UPC'!$CM$1:$DJ$1))*(INDEX('Monthly CUST'!$N$2:$CG$65,MATCH($D19,'Monthly CUST'!$D$2:$D$65,0),MATCH(BN$1,'Monthly CUST'!$N$1:$CG$1,0))),IF($J19="UPC Growth Rate",((BB19/INDEX('Monthly CUST'!$N$2:$CG$65,MATCH($D19,'Monthly CUST'!$D$2:$D$65,0),MATCH(BB$1,'Monthly CUST'!$N$1:$CG$1,0)))*(1+$L19)*INDEX('Monthly CUST'!$N$2:$CG$65,MATCH($D19,'Monthly CUST'!$D$2:$D$65,0),MATCH(BN$1,'Monthly CUST'!$N$1:$CG$1,0))),IF($J19="Modeled UPC",INDEX('Monthly CUST'!$N$2:$CG$65,MATCH($D19,'Monthly CUST'!$D$2:$D$65,0),MATCH(BN$1,'Monthly CUST'!$N$1:$CG$1,0))/12*$M19,IF($J19="Base Period",BB19,IF($J19="Adjusted",SUMIF('Input 15_Fcst Inputs'!$A:$A,$D19,'Input 15_Fcst Inputs'!$G:$G)/12))))),0)</f>
        <v>531469.32058276003</v>
      </c>
      <c r="BO19" s="483">
        <f>IFERROR(IF($J19="Historical Average",INDEX('Monthly UPC'!$CM$2:$DJ$65,MATCH($D19,'Monthly UPC'!$D$2:$D$65,0),MATCH(BO$1,'Monthly UPC'!$CM$1:$DJ$1))*(INDEX('Monthly CUST'!$N$2:$CG$65,MATCH($D19,'Monthly CUST'!$D$2:$D$65,0),MATCH(BO$1,'Monthly CUST'!$N$1:$CG$1,0))),IF($J19="UPC Growth Rate",((BC19/INDEX('Monthly CUST'!$N$2:$CG$65,MATCH($D19,'Monthly CUST'!$D$2:$D$65,0),MATCH(BC$1,'Monthly CUST'!$N$1:$CG$1,0)))*(1+$L19)*INDEX('Monthly CUST'!$N$2:$CG$65,MATCH($D19,'Monthly CUST'!$D$2:$D$65,0),MATCH(BO$1,'Monthly CUST'!$N$1:$CG$1,0))),IF($J19="Modeled UPC",INDEX('Monthly CUST'!$N$2:$CG$65,MATCH($D19,'Monthly CUST'!$D$2:$D$65,0),MATCH(BO$1,'Monthly CUST'!$N$1:$CG$1,0))/12*$M19,IF($J19="Base Period",BC19,IF($J19="Adjusted",SUMIF('Input 15_Fcst Inputs'!$A:$A,$D19,'Input 15_Fcst Inputs'!$G:$G)/12))))),0)</f>
        <v>468555.7484085575</v>
      </c>
      <c r="BP19" s="483">
        <f>IFERROR(IF($J19="Historical Average",INDEX('Monthly UPC'!$CM$2:$DJ$65,MATCH($D19,'Monthly UPC'!$D$2:$D$65,0),MATCH(BP$1,'Monthly UPC'!$CM$1:$DJ$1))*(INDEX('Monthly CUST'!$N$2:$CG$65,MATCH($D19,'Monthly CUST'!$D$2:$D$65,0),MATCH(BP$1,'Monthly CUST'!$N$1:$CG$1,0))),IF($J19="UPC Growth Rate",((BD19/INDEX('Monthly CUST'!$N$2:$CG$65,MATCH($D19,'Monthly CUST'!$D$2:$D$65,0),MATCH(BD$1,'Monthly CUST'!$N$1:$CG$1,0)))*(1+$L19)*INDEX('Monthly CUST'!$N$2:$CG$65,MATCH($D19,'Monthly CUST'!$D$2:$D$65,0),MATCH(BP$1,'Monthly CUST'!$N$1:$CG$1,0))),IF($J19="Modeled UPC",INDEX('Monthly CUST'!$N$2:$CG$65,MATCH($D19,'Monthly CUST'!$D$2:$D$65,0),MATCH(BP$1,'Monthly CUST'!$N$1:$CG$1,0))/12*$M19,IF($J19="Base Period",BD19,IF($J19="Adjusted",SUMIF('Input 15_Fcst Inputs'!$A:$A,$D19,'Input 15_Fcst Inputs'!$G:$G)/12))))),0)</f>
        <v>479087.40838173172</v>
      </c>
      <c r="BQ19" s="483">
        <f>IFERROR(IF($J19="Historical Average",INDEX('Monthly UPC'!$CM$2:$DJ$65,MATCH($D19,'Monthly UPC'!$D$2:$D$65,0),MATCH(BQ$1,'Monthly UPC'!$CM$1:$DJ$1))*(INDEX('Monthly CUST'!$N$2:$CG$65,MATCH($D19,'Monthly CUST'!$D$2:$D$65,0),MATCH(BQ$1,'Monthly CUST'!$N$1:$CG$1,0))),IF($J19="UPC Growth Rate",((BE19/INDEX('Monthly CUST'!$N$2:$CG$65,MATCH($D19,'Monthly CUST'!$D$2:$D$65,0),MATCH(BE$1,'Monthly CUST'!$N$1:$CG$1,0)))*(1+$L19)*INDEX('Monthly CUST'!$N$2:$CG$65,MATCH($D19,'Monthly CUST'!$D$2:$D$65,0),MATCH(BQ$1,'Monthly CUST'!$N$1:$CG$1,0))),IF($J19="Modeled UPC",INDEX('Monthly CUST'!$N$2:$CG$65,MATCH($D19,'Monthly CUST'!$D$2:$D$65,0),MATCH(BQ$1,'Monthly CUST'!$N$1:$CG$1,0))/12*$M19,IF($J19="Base Period",BE19,IF($J19="Adjusted",SUMIF('Input 15_Fcst Inputs'!$A:$A,$D19,'Input 15_Fcst Inputs'!$G:$G)/12))))),0)</f>
        <v>431369.82801208703</v>
      </c>
      <c r="BR19" s="483">
        <f>IFERROR(IF($J19="Historical Average",INDEX('Monthly UPC'!$CM$2:$DJ$65,MATCH($D19,'Monthly UPC'!$D$2:$D$65,0),MATCH(BR$1,'Monthly UPC'!$CM$1:$DJ$1))*(INDEX('Monthly CUST'!$N$2:$CG$65,MATCH($D19,'Monthly CUST'!$D$2:$D$65,0),MATCH(BR$1,'Monthly CUST'!$N$1:$CG$1,0))),IF($J19="UPC Growth Rate",((BF19/INDEX('Monthly CUST'!$N$2:$CG$65,MATCH($D19,'Monthly CUST'!$D$2:$D$65,0),MATCH(BF$1,'Monthly CUST'!$N$1:$CG$1,0)))*(1+$L19)*INDEX('Monthly CUST'!$N$2:$CG$65,MATCH($D19,'Monthly CUST'!$D$2:$D$65,0),MATCH(BR$1,'Monthly CUST'!$N$1:$CG$1,0))),IF($J19="Modeled UPC",INDEX('Monthly CUST'!$N$2:$CG$65,MATCH($D19,'Monthly CUST'!$D$2:$D$65,0),MATCH(BR$1,'Monthly CUST'!$N$1:$CG$1,0))/12*$M19,IF($J19="Base Period",BF19,IF($J19="Adjusted",SUMIF('Input 15_Fcst Inputs'!$A:$A,$D19,'Input 15_Fcst Inputs'!$G:$G)/12))))),0)</f>
        <v>454062.48524129466</v>
      </c>
      <c r="BS19" s="483">
        <f>IFERROR(IF($J19="Historical Average",INDEX('Monthly UPC'!$CM$2:$DJ$65,MATCH($D19,'Monthly UPC'!$D$2:$D$65,0),MATCH(BS$1,'Monthly UPC'!$CM$1:$DJ$1))*(INDEX('Monthly CUST'!$N$2:$CG$65,MATCH($D19,'Monthly CUST'!$D$2:$D$65,0),MATCH(BS$1,'Monthly CUST'!$N$1:$CG$1,0))),IF($J19="UPC Growth Rate",((BG19/INDEX('Monthly CUST'!$N$2:$CG$65,MATCH($D19,'Monthly CUST'!$D$2:$D$65,0),MATCH(BG$1,'Monthly CUST'!$N$1:$CG$1,0)))*(1+$L19)*INDEX('Monthly CUST'!$N$2:$CG$65,MATCH($D19,'Monthly CUST'!$D$2:$D$65,0),MATCH(BS$1,'Monthly CUST'!$N$1:$CG$1,0))),IF($J19="Modeled UPC",INDEX('Monthly CUST'!$N$2:$CG$65,MATCH($D19,'Monthly CUST'!$D$2:$D$65,0),MATCH(BS$1,'Monthly CUST'!$N$1:$CG$1,0))/12*$M19,IF($J19="Base Period",BG19,IF($J19="Adjusted",SUMIF('Input 15_Fcst Inputs'!$A:$A,$D19,'Input 15_Fcst Inputs'!$G:$G)/12))))),0)</f>
        <v>464695.62068563123</v>
      </c>
      <c r="BT19" s="483">
        <f>IFERROR(IF($J19="Historical Average",INDEX('Monthly UPC'!$CM$2:$DJ$65,MATCH($D19,'Monthly UPC'!$D$2:$D$65,0),MATCH(BT$1,'Monthly UPC'!$CM$1:$DJ$1))*(INDEX('Monthly CUST'!$N$2:$CG$65,MATCH($D19,'Monthly CUST'!$D$2:$D$65,0),MATCH(BT$1,'Monthly CUST'!$N$1:$CG$1,0))),IF($J19="UPC Growth Rate",((BH19/INDEX('Monthly CUST'!$N$2:$CG$65,MATCH($D19,'Monthly CUST'!$D$2:$D$65,0),MATCH(BH$1,'Monthly CUST'!$N$1:$CG$1,0)))*(1+$L19)*INDEX('Monthly CUST'!$N$2:$CG$65,MATCH($D19,'Monthly CUST'!$D$2:$D$65,0),MATCH(BT$1,'Monthly CUST'!$N$1:$CG$1,0))),IF($J19="Modeled UPC",INDEX('Monthly CUST'!$N$2:$CG$65,MATCH($D19,'Monthly CUST'!$D$2:$D$65,0),MATCH(BT$1,'Monthly CUST'!$N$1:$CG$1,0))/12*$M19,IF($J19="Base Period",BH19,IF($J19="Adjusted",SUMIF('Input 15_Fcst Inputs'!$A:$A,$D19,'Input 15_Fcst Inputs'!$G:$G)/12))))),0)</f>
        <v>528887.24582047109</v>
      </c>
      <c r="BU19" s="483">
        <f>IFERROR(IF($J19="Historical Average",INDEX('Monthly UPC'!$CM$2:$DJ$65,MATCH($D19,'Monthly UPC'!$D$2:$D$65,0),MATCH(BU$1,'Monthly UPC'!$CM$1:$DJ$1))*(INDEX('Monthly CUST'!$N$2:$CG$65,MATCH($D19,'Monthly CUST'!$D$2:$D$65,0),MATCH(BU$1,'Monthly CUST'!$N$1:$CG$1,0))),IF($J19="UPC Growth Rate",((BI19/INDEX('Monthly CUST'!$N$2:$CG$65,MATCH($D19,'Monthly CUST'!$D$2:$D$65,0),MATCH(BI$1,'Monthly CUST'!$N$1:$CG$1,0)))*(1+$L19)*INDEX('Monthly CUST'!$N$2:$CG$65,MATCH($D19,'Monthly CUST'!$D$2:$D$65,0),MATCH(BU$1,'Monthly CUST'!$N$1:$CG$1,0))),IF($J19="Modeled UPC",INDEX('Monthly CUST'!$N$2:$CG$65,MATCH($D19,'Monthly CUST'!$D$2:$D$65,0),MATCH(BU$1,'Monthly CUST'!$N$1:$CG$1,0))/12*$M19,IF($J19="Base Period",BI19,IF($J19="Adjusted",SUMIF('Input 15_Fcst Inputs'!$A:$A,$D19,'Input 15_Fcst Inputs'!$G:$G)/12))))),0)</f>
        <v>645080.77011627937</v>
      </c>
      <c r="BV19" s="483">
        <f>IFERROR(IF($J19="Historical Average",INDEX('Monthly UPC'!$CM$2:$DJ$65,MATCH($D19,'Monthly UPC'!$D$2:$D$65,0),MATCH(BV$1,'Monthly UPC'!$CM$1:$DJ$1))*(INDEX('Monthly CUST'!$N$2:$CG$65,MATCH($D19,'Monthly CUST'!$D$2:$D$65,0),MATCH(BV$1,'Monthly CUST'!$N$1:$CG$1,0))),IF($J19="UPC Growth Rate",((BJ19/INDEX('Monthly CUST'!$N$2:$CG$65,MATCH($D19,'Monthly CUST'!$D$2:$D$65,0),MATCH(BJ$1,'Monthly CUST'!$N$1:$CG$1,0)))*(1+$L19)*INDEX('Monthly CUST'!$N$2:$CG$65,MATCH($D19,'Monthly CUST'!$D$2:$D$65,0),MATCH(BV$1,'Monthly CUST'!$N$1:$CG$1,0))),IF($J19="Modeled UPC",INDEX('Monthly CUST'!$N$2:$CG$65,MATCH($D19,'Monthly CUST'!$D$2:$D$65,0),MATCH(BV$1,'Monthly CUST'!$N$1:$CG$1,0))/12*$M19,IF($J19="Base Period",BJ19,IF($J19="Adjusted",SUMIF('Input 15_Fcst Inputs'!$A:$A,$D19,'Input 15_Fcst Inputs'!$G:$G)/12))))),0)</f>
        <v>758903.65891497571</v>
      </c>
      <c r="BW19" s="483">
        <f>IFERROR(IF($J19="Historical Average",INDEX('Monthly UPC'!$CM$2:$DJ$65,MATCH($D19,'Monthly UPC'!$D$2:$D$65,0),MATCH(BW$1,'Monthly UPC'!$CM$1:$DJ$1))*(INDEX('Monthly CUST'!$N$2:$CG$65,MATCH($D19,'Monthly CUST'!$D$2:$D$65,0),MATCH(BW$1,'Monthly CUST'!$N$1:$CG$1,0))),IF($J19="UPC Growth Rate",((BK19/INDEX('Monthly CUST'!$N$2:$CG$65,MATCH($D19,'Monthly CUST'!$D$2:$D$65,0),MATCH(BK$1,'Monthly CUST'!$N$1:$CG$1,0)))*(1+$L19)*INDEX('Monthly CUST'!$N$2:$CG$65,MATCH($D19,'Monthly CUST'!$D$2:$D$65,0),MATCH(BW$1,'Monthly CUST'!$N$1:$CG$1,0))),IF($J19="Modeled UPC",INDEX('Monthly CUST'!$N$2:$CG$65,MATCH($D19,'Monthly CUST'!$D$2:$D$65,0),MATCH(BW$1,'Monthly CUST'!$N$1:$CG$1,0))/12*$M19,IF($J19="Base Period",BK19,IF($J19="Adjusted",SUMIF('Input 15_Fcst Inputs'!$A:$A,$D19,'Input 15_Fcst Inputs'!$G:$G)/12))))),0)</f>
        <v>650125.15867661277</v>
      </c>
      <c r="BX19" s="483">
        <f>IFERROR(IF($J19="Historical Average",INDEX('Monthly UPC'!$CM$2:$DJ$65,MATCH($D19,'Monthly UPC'!$D$2:$D$65,0),MATCH(BX$1,'Monthly UPC'!$CM$1:$DJ$1))*(INDEX('Monthly CUST'!$N$2:$CG$65,MATCH($D19,'Monthly CUST'!$D$2:$D$65,0),MATCH(BX$1,'Monthly CUST'!$N$1:$CG$1,0))),IF($J19="UPC Growth Rate",((BL19/INDEX('Monthly CUST'!$N$2:$CG$65,MATCH($D19,'Monthly CUST'!$D$2:$D$65,0),MATCH(BL$1,'Monthly CUST'!$N$1:$CG$1,0)))*(1+$L19)*INDEX('Monthly CUST'!$N$2:$CG$65,MATCH($D19,'Monthly CUST'!$D$2:$D$65,0),MATCH(BX$1,'Monthly CUST'!$N$1:$CG$1,0))),IF($J19="Modeled UPC",INDEX('Monthly CUST'!$N$2:$CG$65,MATCH($D19,'Monthly CUST'!$D$2:$D$65,0),MATCH(BX$1,'Monthly CUST'!$N$1:$CG$1,0))/12*$M19,IF($J19="Base Period",BL19,IF($J19="Adjusted",SUMIF('Input 15_Fcst Inputs'!$A:$A,$D19,'Input 15_Fcst Inputs'!$G:$G)/12))))),0)</f>
        <v>602001.96423820115</v>
      </c>
      <c r="BY19" s="483">
        <f>IFERROR(IF($J19="Historical Average",INDEX('Monthly UPC'!$CM$2:$DJ$65,MATCH($D19,'Monthly UPC'!$D$2:$D$65,0),MATCH(BY$1,'Monthly UPC'!$CM$1:$DJ$1))*(INDEX('Monthly CUST'!$N$2:$CG$65,MATCH($D19,'Monthly CUST'!$D$2:$D$65,0),MATCH(BY$1,'Monthly CUST'!$N$1:$CG$1,0))),IF($J19="UPC Growth Rate",((BM19/INDEX('Monthly CUST'!$N$2:$CG$65,MATCH($D19,'Monthly CUST'!$D$2:$D$65,0),MATCH(BM$1,'Monthly CUST'!$N$1:$CG$1,0)))*(1+$L19)*INDEX('Monthly CUST'!$N$2:$CG$65,MATCH($D19,'Monthly CUST'!$D$2:$D$65,0),MATCH(BY$1,'Monthly CUST'!$N$1:$CG$1,0))),IF($J19="Modeled UPC",INDEX('Monthly CUST'!$N$2:$CG$65,MATCH($D19,'Monthly CUST'!$D$2:$D$65,0),MATCH(BY$1,'Monthly CUST'!$N$1:$CG$1,0))/12*$M19,IF($J19="Base Period",BM19,IF($J19="Adjusted",SUMIF('Input 15_Fcst Inputs'!$A:$A,$D19,'Input 15_Fcst Inputs'!$G:$G)/12))))),0)</f>
        <v>600640.87573137181</v>
      </c>
      <c r="BZ19" s="483">
        <f>IFERROR(IF($J19="Historical Average",INDEX('Monthly UPC'!$CM$2:$DJ$65,MATCH($D19,'Monthly UPC'!$D$2:$D$65,0),MATCH(BZ$1,'Monthly UPC'!$CM$1:$DJ$1))*(INDEX('Monthly CUST'!$N$2:$CG$65,MATCH($D19,'Monthly CUST'!$D$2:$D$65,0),MATCH(BZ$1,'Monthly CUST'!$N$1:$CG$1,0))),IF($J19="UPC Growth Rate",((BN19/INDEX('Monthly CUST'!$N$2:$CG$65,MATCH($D19,'Monthly CUST'!$D$2:$D$65,0),MATCH(BN$1,'Monthly CUST'!$N$1:$CG$1,0)))*(1+$L19)*INDEX('Monthly CUST'!$N$2:$CG$65,MATCH($D19,'Monthly CUST'!$D$2:$D$65,0),MATCH(BZ$1,'Monthly CUST'!$N$1:$CG$1,0))),IF($J19="Modeled UPC",INDEX('Monthly CUST'!$N$2:$CG$65,MATCH($D19,'Monthly CUST'!$D$2:$D$65,0),MATCH(BZ$1,'Monthly CUST'!$N$1:$CG$1,0))/12*$M19,IF($J19="Base Period",BN19,IF($J19="Adjusted",SUMIF('Input 15_Fcst Inputs'!$A:$A,$D19,'Input 15_Fcst Inputs'!$G:$G)/12))))),0)</f>
        <v>531445.6022240679</v>
      </c>
      <c r="CA19" s="483">
        <f>IFERROR(IF($J19="Historical Average",INDEX('Monthly UPC'!$CM$2:$DJ$65,MATCH($D19,'Monthly UPC'!$D$2:$D$65,0),MATCH(CA$1,'Monthly UPC'!$CM$1:$DJ$1))*(INDEX('Monthly CUST'!$N$2:$CG$65,MATCH($D19,'Monthly CUST'!$D$2:$D$65,0),MATCH(CA$1,'Monthly CUST'!$N$1:$CG$1,0))),IF($J19="UPC Growth Rate",((BO19/INDEX('Monthly CUST'!$N$2:$CG$65,MATCH($D19,'Monthly CUST'!$D$2:$D$65,0),MATCH(BO$1,'Monthly CUST'!$N$1:$CG$1,0)))*(1+$L19)*INDEX('Monthly CUST'!$N$2:$CG$65,MATCH($D19,'Monthly CUST'!$D$2:$D$65,0),MATCH(CA$1,'Monthly CUST'!$N$1:$CG$1,0))),IF($J19="Modeled UPC",INDEX('Monthly CUST'!$N$2:$CG$65,MATCH($D19,'Monthly CUST'!$D$2:$D$65,0),MATCH(CA$1,'Monthly CUST'!$N$1:$CG$1,0))/12*$M19,IF($J19="Base Period",BO19,IF($J19="Adjusted",SUMIF('Input 15_Fcst Inputs'!$A:$A,$D19,'Input 15_Fcst Inputs'!$G:$G)/12))))),0)</f>
        <v>468534.83775035461</v>
      </c>
      <c r="CB19" s="483">
        <f>IFERROR(IF($J19="Historical Average",INDEX('Monthly UPC'!$CM$2:$DJ$65,MATCH($D19,'Monthly UPC'!$D$2:$D$65,0),MATCH(CB$1,'Monthly UPC'!$CM$1:$DJ$1))*(INDEX('Monthly CUST'!$N$2:$CG$65,MATCH($D19,'Monthly CUST'!$D$2:$D$65,0),MATCH(CB$1,'Monthly CUST'!$N$1:$CG$1,0))),IF($J19="UPC Growth Rate",((BP19/INDEX('Monthly CUST'!$N$2:$CG$65,MATCH($D19,'Monthly CUST'!$D$2:$D$65,0),MATCH(BP$1,'Monthly CUST'!$N$1:$CG$1,0)))*(1+$L19)*INDEX('Monthly CUST'!$N$2:$CG$65,MATCH($D19,'Monthly CUST'!$D$2:$D$65,0),MATCH(CB$1,'Monthly CUST'!$N$1:$CG$1,0))),IF($J19="Modeled UPC",INDEX('Monthly CUST'!$N$2:$CG$65,MATCH($D19,'Monthly CUST'!$D$2:$D$65,0),MATCH(CB$1,'Monthly CUST'!$N$1:$CG$1,0))/12*$M19,IF($J19="Base Period",BP19,IF($J19="Adjusted",SUMIF('Input 15_Fcst Inputs'!$A:$A,$D19,'Input 15_Fcst Inputs'!$G:$G)/12))))),0)</f>
        <v>479066.02771768055</v>
      </c>
      <c r="CC19" s="483">
        <f>IFERROR(IF($J19="Historical Average",INDEX('Monthly UPC'!$CM$2:$DJ$65,MATCH($D19,'Monthly UPC'!$D$2:$D$65,0),MATCH(CC$1,'Monthly UPC'!$CM$1:$DJ$1))*(INDEX('Monthly CUST'!$N$2:$CG$65,MATCH($D19,'Monthly CUST'!$D$2:$D$65,0),MATCH(CC$1,'Monthly CUST'!$N$1:$CG$1,0))),IF($J19="UPC Growth Rate",((BQ19/INDEX('Monthly CUST'!$N$2:$CG$65,MATCH($D19,'Monthly CUST'!$D$2:$D$65,0),MATCH(BQ$1,'Monthly CUST'!$N$1:$CG$1,0)))*(1+$L19)*INDEX('Monthly CUST'!$N$2:$CG$65,MATCH($D19,'Monthly CUST'!$D$2:$D$65,0),MATCH(CC$1,'Monthly CUST'!$N$1:$CG$1,0))),IF($J19="Modeled UPC",INDEX('Monthly CUST'!$N$2:$CG$65,MATCH($D19,'Monthly CUST'!$D$2:$D$65,0),MATCH(CC$1,'Monthly CUST'!$N$1:$CG$1,0))/12*$M19,IF($J19="Base Period",BQ19,IF($J19="Adjusted",SUMIF('Input 15_Fcst Inputs'!$A:$A,$D19,'Input 15_Fcst Inputs'!$G:$G)/12))))),0)</f>
        <v>431350.57688335102</v>
      </c>
      <c r="CD19" s="483">
        <f>IFERROR(IF($J19="Historical Average",INDEX('Monthly UPC'!$CM$2:$DJ$65,MATCH($D19,'Monthly UPC'!$D$2:$D$65,0),MATCH(CD$1,'Monthly UPC'!$CM$1:$DJ$1))*(INDEX('Monthly CUST'!$N$2:$CG$65,MATCH($D19,'Monthly CUST'!$D$2:$D$65,0),MATCH(CD$1,'Monthly CUST'!$N$1:$CG$1,0))),IF($J19="UPC Growth Rate",((BR19/INDEX('Monthly CUST'!$N$2:$CG$65,MATCH($D19,'Monthly CUST'!$D$2:$D$65,0),MATCH(BR$1,'Monthly CUST'!$N$1:$CG$1,0)))*(1+$L19)*INDEX('Monthly CUST'!$N$2:$CG$65,MATCH($D19,'Monthly CUST'!$D$2:$D$65,0),MATCH(CD$1,'Monthly CUST'!$N$1:$CG$1,0))),IF($J19="Modeled UPC",INDEX('Monthly CUST'!$N$2:$CG$65,MATCH($D19,'Monthly CUST'!$D$2:$D$65,0),MATCH(CD$1,'Monthly CUST'!$N$1:$CG$1,0))/12*$M19,IF($J19="Base Period",BR19,IF($J19="Adjusted",SUMIF('Input 15_Fcst Inputs'!$A:$A,$D19,'Input 15_Fcst Inputs'!$G:$G)/12))))),0)</f>
        <v>454042.22138696373</v>
      </c>
      <c r="CE19" s="483">
        <f>IFERROR(IF($J19="Historical Average",INDEX('Monthly UPC'!$CM$2:$DJ$65,MATCH($D19,'Monthly UPC'!$D$2:$D$65,0),MATCH(CE$1,'Monthly UPC'!$CM$1:$DJ$1))*(INDEX('Monthly CUST'!$N$2:$CG$65,MATCH($D19,'Monthly CUST'!$D$2:$D$65,0),MATCH(CE$1,'Monthly CUST'!$N$1:$CG$1,0))),IF($J19="UPC Growth Rate",((BS19/INDEX('Monthly CUST'!$N$2:$CG$65,MATCH($D19,'Monthly CUST'!$D$2:$D$65,0),MATCH(BS$1,'Monthly CUST'!$N$1:$CG$1,0)))*(1+$L19)*INDEX('Monthly CUST'!$N$2:$CG$65,MATCH($D19,'Monthly CUST'!$D$2:$D$65,0),MATCH(CE$1,'Monthly CUST'!$N$1:$CG$1,0))),IF($J19="Modeled UPC",INDEX('Monthly CUST'!$N$2:$CG$65,MATCH($D19,'Monthly CUST'!$D$2:$D$65,0),MATCH(CE$1,'Monthly CUST'!$N$1:$CG$1,0))/12*$M19,IF($J19="Base Period",BS19,IF($J19="Adjusted",SUMIF('Input 15_Fcst Inputs'!$A:$A,$D19,'Input 15_Fcst Inputs'!$G:$G)/12))))),0)</f>
        <v>464674.88229681505</v>
      </c>
      <c r="CF19" s="483">
        <f>IFERROR(IF($J19="Historical Average",INDEX('Monthly UPC'!$CM$2:$DJ$65,MATCH($D19,'Monthly UPC'!$D$2:$D$65,0),MATCH(CF$1,'Monthly UPC'!$CM$1:$DJ$1))*(INDEX('Monthly CUST'!$N$2:$CG$65,MATCH($D19,'Monthly CUST'!$D$2:$D$65,0),MATCH(CF$1,'Monthly CUST'!$N$1:$CG$1,0))),IF($J19="UPC Growth Rate",((BT19/INDEX('Monthly CUST'!$N$2:$CG$65,MATCH($D19,'Monthly CUST'!$D$2:$D$65,0),MATCH(BT$1,'Monthly CUST'!$N$1:$CG$1,0)))*(1+$L19)*INDEX('Monthly CUST'!$N$2:$CG$65,MATCH($D19,'Monthly CUST'!$D$2:$D$65,0),MATCH(CF$1,'Monthly CUST'!$N$1:$CG$1,0))),IF($J19="Modeled UPC",INDEX('Monthly CUST'!$N$2:$CG$65,MATCH($D19,'Monthly CUST'!$D$2:$D$65,0),MATCH(CF$1,'Monthly CUST'!$N$1:$CG$1,0))/12*$M19,IF($J19="Base Period",BT19,IF($J19="Adjusted",SUMIF('Input 15_Fcst Inputs'!$A:$A,$D19,'Input 15_Fcst Inputs'!$G:$G)/12))))),0)</f>
        <v>528863.64269434847</v>
      </c>
      <c r="CG19" s="483">
        <f>IFERROR(IF($J19="Historical Average",INDEX('Monthly UPC'!$CM$2:$DJ$65,MATCH($D19,'Monthly UPC'!$D$2:$D$65,0),MATCH(CG$1,'Monthly UPC'!$CM$1:$DJ$1))*(INDEX('Monthly CUST'!$N$2:$CG$65,MATCH($D19,'Monthly CUST'!$D$2:$D$65,0),MATCH(CG$1,'Monthly CUST'!$N$1:$CG$1,0))),IF($J19="UPC Growth Rate",((BU19/INDEX('Monthly CUST'!$N$2:$CG$65,MATCH($D19,'Monthly CUST'!$D$2:$D$65,0),MATCH(BU$1,'Monthly CUST'!$N$1:$CG$1,0)))*(1+$L19)*INDEX('Monthly CUST'!$N$2:$CG$65,MATCH($D19,'Monthly CUST'!$D$2:$D$65,0),MATCH(CG$1,'Monthly CUST'!$N$1:$CG$1,0))),IF($J19="Modeled UPC",INDEX('Monthly CUST'!$N$2:$CG$65,MATCH($D19,'Monthly CUST'!$D$2:$D$65,0),MATCH(CG$1,'Monthly CUST'!$N$1:$CG$1,0))/12*$M19,IF($J19="Base Period",BU19,IF($J19="Adjusted",SUMIF('Input 15_Fcst Inputs'!$A:$A,$D19,'Input 15_Fcst Inputs'!$G:$G)/12))))),0)</f>
        <v>645051.98151739221</v>
      </c>
      <c r="CH19" s="197"/>
      <c r="CI19" s="197">
        <f t="shared" si="0"/>
        <v>6792311.7299999977</v>
      </c>
      <c r="CJ19" s="197">
        <f t="shared" si="1"/>
        <v>6702935.9999999981</v>
      </c>
      <c r="CK19" s="197">
        <f t="shared" si="2"/>
        <v>5960624.3199999994</v>
      </c>
      <c r="CL19" s="197">
        <f t="shared" si="3"/>
        <v>6615291.8699999936</v>
      </c>
      <c r="CM19" s="197">
        <f t="shared" si="4"/>
        <v>6614996.6434283946</v>
      </c>
      <c r="CN19" s="197">
        <f t="shared" si="5"/>
        <v>6614701.430032135</v>
      </c>
      <c r="CP19" s="4">
        <f>SUMIF('Master '!D:D,D19,'Master '!AH:AH)</f>
        <v>6614996.6434283946</v>
      </c>
      <c r="CQ19" s="4">
        <f>SUMIF('Master '!D:D,D19,'Master '!AI:AI)</f>
        <v>6614701.4300321369</v>
      </c>
      <c r="CR19" s="197">
        <f t="shared" si="6"/>
        <v>0</v>
      </c>
      <c r="CS19" s="197">
        <f t="shared" si="7"/>
        <v>0</v>
      </c>
      <c r="CT19" t="s">
        <v>287</v>
      </c>
      <c r="CV19" t="str">
        <f>VLOOKUP(G19,'Master '!G:CC,75,FALSE)</f>
        <v>GS-2</v>
      </c>
    </row>
    <row r="20" spans="1:100">
      <c r="A20" s="53" t="s">
        <v>15</v>
      </c>
      <c r="B20" s="53" t="s">
        <v>993</v>
      </c>
      <c r="C20" s="53" t="s">
        <v>1245</v>
      </c>
      <c r="D20" s="53" t="s">
        <v>42</v>
      </c>
      <c r="E20" s="53" t="str">
        <f>VLOOKUP(D20,'Input 14_Ref Table'!C:D,2,FALSE)</f>
        <v>GCT96</v>
      </c>
      <c r="F20" s="143" t="s">
        <v>1286</v>
      </c>
      <c r="G20" s="53" t="str">
        <f>VLOOKUP(D20,'Input 14_Ref Table'!C:I,7,FALSE)</f>
        <v>FPU - FPU - GSTS - 2</v>
      </c>
      <c r="H20" s="53" t="str">
        <f>VLOOKUP(D20,'Input 14_Ref Table'!C:K,8,FALSE)</f>
        <v>GS2</v>
      </c>
      <c r="I20" s="53"/>
      <c r="J20" t="str">
        <f>INDEX('Master '!$AD$2:AD$65,MATCH(D20,'Master '!$D$2:$D$65,0))</f>
        <v>UPC Growth Rate</v>
      </c>
      <c r="K20" s="458">
        <f>INDEX('Master '!$N$2:N$65,MATCH(D20,'Master '!$D$2:$D$65,0))</f>
        <v>1.8587655739112818E-2</v>
      </c>
      <c r="L20" s="137">
        <f>INDEX('Master '!$S$2:S$65,MATCH(D20,'Master '!$D$2:$D$65,0))</f>
        <v>-1.8292273161028501E-2</v>
      </c>
      <c r="M20" s="4">
        <f>INDEX('Master '!$W$2:W$65,MATCH(D20,'Master '!$D$2:$D$65,0))</f>
        <v>3652.1</v>
      </c>
      <c r="N20" s="268">
        <f>SUMIF('Input 16.1_2018VOL-YTD'!$R:$R,$G20,'Input 16.1_2018VOL-YTD'!C:C)</f>
        <v>484984.58000000007</v>
      </c>
      <c r="O20" s="268">
        <f>SUMIF('Input 16.1_2018VOL-YTD'!$R:$R,$G20,'Input 16.1_2018VOL-YTD'!D:D)</f>
        <v>445421.16000000003</v>
      </c>
      <c r="P20" s="268">
        <f>SUMIF('Input 16.1_2018VOL-YTD'!$R:$R,$G20,'Input 16.1_2018VOL-YTD'!E:E)</f>
        <v>417362.00999999989</v>
      </c>
      <c r="Q20" s="268">
        <f>SUMIF('Input 16.1_2018VOL-YTD'!$R:$R,$G20,'Input 16.1_2018VOL-YTD'!F:F)</f>
        <v>437617.93999999965</v>
      </c>
      <c r="R20" s="268">
        <f>SUMIF('Input 16.1_2018VOL-YTD'!$R:$R,$G20,'Input 16.1_2018VOL-YTD'!G:G)</f>
        <v>382148.90999999945</v>
      </c>
      <c r="S20" s="268">
        <f>SUMIF('Input 16.1_2018VOL-YTD'!$R:$R,$G20,'Input 16.1_2018VOL-YTD'!H:H)</f>
        <v>400184.70000000065</v>
      </c>
      <c r="T20" s="268">
        <f>SUMIF('Input 16.1_2018VOL-YTD'!$R:$R,$G20,'Input 16.1_2018VOL-YTD'!I:I)</f>
        <v>349086.76000000007</v>
      </c>
      <c r="U20" s="268">
        <f>SUMIF('Input 16.1_2018VOL-YTD'!$R:$R,$G20,'Input 16.1_2018VOL-YTD'!J:J)</f>
        <v>356401.70000000007</v>
      </c>
      <c r="V20" s="268">
        <f>SUMIF('Input 16.1_2018VOL-YTD'!$R:$R,$G20,'Input 16.1_2018VOL-YTD'!K:K)</f>
        <v>376932.37000000052</v>
      </c>
      <c r="W20" s="268">
        <f>SUMIF('Input 16.1_2018VOL-YTD'!$R:$R,$G20,'Input 16.1_2018VOL-YTD'!L:L)</f>
        <v>346152.70000000019</v>
      </c>
      <c r="X20" s="268">
        <f>SUMIF('Input 16.1_2018VOL-YTD'!$R:$R,$G20,'Input 16.1_2018VOL-YTD'!M:M)</f>
        <v>434486.40000000008</v>
      </c>
      <c r="Y20" s="268">
        <f>SUMIF('Input 16.1_2018VOL-YTD'!$R:$R,$G20,'Input 16.1_2018VOL-YTD'!N:N)</f>
        <v>492601.61000000016</v>
      </c>
      <c r="Z20" s="268">
        <f>SUMIF('Input 3.1_2019VOL-YTD'!$R:$R,$G20,'Input 3.1_2019VOL-YTD'!C:C)</f>
        <v>531260.33999999973</v>
      </c>
      <c r="AA20" s="268">
        <f>SUMIF('Input 3.1_2019VOL-YTD'!$R:$R,$G20,'Input 3.1_2019VOL-YTD'!D:D)</f>
        <v>510486.36</v>
      </c>
      <c r="AB20" s="268">
        <f>SUMIF('Input 3.1_2019VOL-YTD'!$R:$R,$G20,'Input 3.1_2019VOL-YTD'!E:E)</f>
        <v>465468.71999999945</v>
      </c>
      <c r="AC20" s="268">
        <f>SUMIF('Input 3.1_2019VOL-YTD'!$R:$R,$G20,'Input 3.1_2019VOL-YTD'!F:F)</f>
        <v>465455.00000000035</v>
      </c>
      <c r="AD20" s="268">
        <f>SUMIF('Input 3.1_2019VOL-YTD'!$R:$R,$G20,'Input 3.1_2019VOL-YTD'!G:G)</f>
        <v>433433.87000000005</v>
      </c>
      <c r="AE20" s="268">
        <f>SUMIF('Input 3.1_2019VOL-YTD'!$R:$R,$G20,'Input 3.1_2019VOL-YTD'!H:H)</f>
        <v>413280.03000000009</v>
      </c>
      <c r="AF20" s="268">
        <f>SUMIF('Input 3.1_2019VOL-YTD'!$R:$R,$G20,'Input 3.1_2019VOL-YTD'!I:I)</f>
        <v>360089.40999999968</v>
      </c>
      <c r="AG20" s="268">
        <f>SUMIF('Input 3.1_2019VOL-YTD'!$R:$R,$G20,'Input 3.1_2019VOL-YTD'!J:J)</f>
        <v>379069.7300000001</v>
      </c>
      <c r="AH20" s="268">
        <f>SUMIF('Input 3.1_2019VOL-YTD'!$R:$R,$G20,'Input 3.1_2019VOL-YTD'!K:K)</f>
        <v>380204.36000000022</v>
      </c>
      <c r="AI20" s="268">
        <f>SUMIF('Input 3.1_2019VOL-YTD'!$R:$R,$G20,'Input 3.1_2019VOL-YTD'!L:L)</f>
        <v>383228.70999999921</v>
      </c>
      <c r="AJ20" s="268">
        <f>SUMIF('Input 3.1_2019VOL-YTD'!$R:$R,$G20,'Input 3.1_2019VOL-YTD'!M:M)</f>
        <v>448050.16999999981</v>
      </c>
      <c r="AK20" s="268">
        <f>SUMIF('Input 3.1_2019VOL-YTD'!$R:$R,$G20,'Input 3.1_2019VOL-YTD'!N:N)</f>
        <v>515518.16</v>
      </c>
      <c r="AL20" s="268">
        <f>SUMIF('Input 4.1_2020VOL-YTD'!$R:$R,$G20,'Input 4.1_2020VOL-YTD'!C:C)</f>
        <v>559631.99999999965</v>
      </c>
      <c r="AM20" s="268">
        <f>SUMIF('Input 4.1_2020VOL-YTD'!$R:$R,$G20,'Input 4.1_2020VOL-YTD'!D:D)</f>
        <v>532495.30999999947</v>
      </c>
      <c r="AN20" s="268">
        <f>SUMIF('Input 4.1_2020VOL-YTD'!$R:$R,$G20,'Input 4.1_2020VOL-YTD'!E:E)</f>
        <v>489516.7399999997</v>
      </c>
      <c r="AO20" s="268">
        <f>SUMIF('Input 4.1_2020VOL-YTD'!$R:$R,$G20,'Input 4.1_2020VOL-YTD'!F:F)</f>
        <v>337336.429999999</v>
      </c>
      <c r="AP20" s="268">
        <f>SUMIF('Input 4.1_2020VOL-YTD'!$R:$R,$G20,'Input 4.1_2020VOL-YTD'!G:G)</f>
        <v>319692.14000000019</v>
      </c>
      <c r="AQ20" s="268">
        <f>SUMIF('Input 4.1_2020VOL-YTD'!$R:$R,$G20,'Input 4.1_2020VOL-YTD'!H:H)</f>
        <v>336741.00999999972</v>
      </c>
      <c r="AR20" s="268">
        <f>SUMIF('Input 4.1_2020VOL-YTD'!$R:$R,$G20,'Input 4.1_2020VOL-YTD'!I:I)</f>
        <v>377574.19999999995</v>
      </c>
      <c r="AS20" s="268">
        <f>SUMIF('Input 4.1_2020VOL-YTD'!$R:$R,$G20,'Input 4.1_2020VOL-YTD'!J:J)</f>
        <v>355402.2999999997</v>
      </c>
      <c r="AT20" s="268">
        <f>SUMIF('Input 4.1_2020VOL-YTD'!$R:$R,$G20,'Input 4.1_2020VOL-YTD'!K:K)</f>
        <v>364700.26999999973</v>
      </c>
      <c r="AU20" s="268">
        <f>SUMIF('Input 4.1_2020VOL-YTD'!$R:$R,$G20,'Input 4.1_2020VOL-YTD'!L:L)</f>
        <v>380351.39000000013</v>
      </c>
      <c r="AV20" s="268">
        <f>SUMIF('Input 4.1_2020VOL-YTD'!$R:$R,$G20,'Input 4.1_2020VOL-YTD'!M:M)</f>
        <v>435766.74000000011</v>
      </c>
      <c r="AW20" s="268">
        <f>SUMIF('Input 4.1_2020VOL-YTD'!$R:$R,$G20,'Input 4.1_2020VOL-YTD'!N:N)</f>
        <v>507232.96000000037</v>
      </c>
      <c r="AX20" s="268">
        <f>SUMIF('Input 5.1_2021VOL-YTD'!$R:$R,$G20,'Input 5.1_2021VOL-YTD'!C:C)</f>
        <v>577720.72000000114</v>
      </c>
      <c r="AY20" s="268">
        <f>SUMIF('Input 5.1_2021VOL-YTD'!$R:$R,$G20,'Input 5.1_2021VOL-YTD'!D:D)</f>
        <v>506641.32000000123</v>
      </c>
      <c r="AZ20" s="268">
        <f>SUMIF('Input 5.1_2021VOL-YTD'!$R:$R,$G20,'Input 5.1_2021VOL-YTD'!E:E)</f>
        <v>477615.20000000019</v>
      </c>
      <c r="BA20" s="268">
        <f>SUMIF('Input 5.1_2021VOL-YTD'!$R:$R,$G20,'Input 5.1_2021VOL-YTD'!F:F)</f>
        <v>521247.72000000026</v>
      </c>
      <c r="BB20" s="268">
        <f>SUMIF('Input 5.1_2021VOL-YTD'!$R:$R,$G20,'Input 5.1_2021VOL-YTD'!G:G)</f>
        <v>475839.89999999956</v>
      </c>
      <c r="BC20" s="268">
        <f>SUMIF('Input 5.1_2021VOL-YTD'!$R:$R,$G20,'Input 5.1_2021VOL-YTD'!H:H)</f>
        <v>415405.71999999956</v>
      </c>
      <c r="BD20" s="268">
        <f>SUMIF('Input 5.1_2021VOL-YTD'!$R:$R,$G20,'Input 5.1_2021VOL-YTD'!I:I)</f>
        <v>438498.45000000036</v>
      </c>
      <c r="BE20" s="268">
        <f>SUMIF('Input 5.1_2021VOL-YTD'!$R:$R,$G20,'Input 5.1_2021VOL-YTD'!J:J)</f>
        <v>406018.52000000048</v>
      </c>
      <c r="BF20" s="268">
        <f>SUMIF('Input 5.1_2021VOL-YTD'!$R:$R,$G20,'Input 5.1_2021VOL-YTD'!K:K)</f>
        <v>433477.68999999989</v>
      </c>
      <c r="BG20" s="268">
        <f>SUMIF('Input 5.1_2021VOL-YTD'!$R:$R,$G20,'Input 5.1_2021VOL-YTD'!L:L)</f>
        <v>425118.72000000038</v>
      </c>
      <c r="BH20" s="268">
        <f>SUMIF('Input 5.1_2021VOL-YTD'!$R:$R,$G20,'Input 5.1_2021VOL-YTD'!M:M)</f>
        <v>469238.1799999997</v>
      </c>
      <c r="BI20" s="268">
        <f>SUMIF('Input 5.1_2021VOL-YTD'!$R:$R,$G20,'Input 5.1_2021VOL-YTD'!N:N)</f>
        <v>557138.63000000024</v>
      </c>
      <c r="BJ20" s="483">
        <f>IFERROR(IF($J20="Historical Average",INDEX('Monthly UPC'!$CM$2:$DJ$65,MATCH($D20,'Monthly UPC'!$D$2:$D$65,0),MATCH(BJ$1,'Monthly UPC'!$CM$1:$DJ$1))*(INDEX('Monthly CUST'!$N$2:$CG$65,MATCH($D20,'Monthly CUST'!$D$2:$D$65,0),MATCH(BJ$1,'Monthly CUST'!$N$1:$CG$1,0))),IF($J20="UPC Growth Rate",((AX20/INDEX('Monthly CUST'!$N$2:$CG$65,MATCH($D20,'Monthly CUST'!$D$2:$D$65,0),MATCH(AX$1,'Monthly CUST'!$N$1:$CG$1,0)))*(1+$L20)*INDEX('Monthly CUST'!$N$2:$CG$65,MATCH($D20,'Monthly CUST'!$D$2:$D$65,0),MATCH(BJ$1,'Monthly CUST'!$N$1:$CG$1,0))),IF($J20="Modeled UPC",INDEX('Monthly CUST'!$N$2:$CG$65,MATCH($D20,'Monthly CUST'!$D$2:$D$65,0),MATCH(BJ$1,'Monthly CUST'!$N$1:$CG$1,0))/12*$M20,IF($J20="Base Period",AX20,IF($J20="Adjusted",SUMIF('Input 15_Fcst Inputs'!$A:$A,$D20,'Input 15_Fcst Inputs'!$G:$G)/12))))),0)</f>
        <v>577694.93753856793</v>
      </c>
      <c r="BK20" s="483">
        <f>IFERROR(IF($J20="Historical Average",INDEX('Monthly UPC'!$CM$2:$DJ$65,MATCH($D20,'Monthly UPC'!$D$2:$D$65,0),MATCH(BK$1,'Monthly UPC'!$CM$1:$DJ$1))*(INDEX('Monthly CUST'!$N$2:$CG$65,MATCH($D20,'Monthly CUST'!$D$2:$D$65,0),MATCH(BK$1,'Monthly CUST'!$N$1:$CG$1,0))),IF($J20="UPC Growth Rate",((AY20/INDEX('Monthly CUST'!$N$2:$CG$65,MATCH($D20,'Monthly CUST'!$D$2:$D$65,0),MATCH(AY$1,'Monthly CUST'!$N$1:$CG$1,0)))*(1+$L20)*INDEX('Monthly CUST'!$N$2:$CG$65,MATCH($D20,'Monthly CUST'!$D$2:$D$65,0),MATCH(BK$1,'Monthly CUST'!$N$1:$CG$1,0))),IF($J20="Modeled UPC",INDEX('Monthly CUST'!$N$2:$CG$65,MATCH($D20,'Monthly CUST'!$D$2:$D$65,0),MATCH(BK$1,'Monthly CUST'!$N$1:$CG$1,0))/12*$M20,IF($J20="Base Period",AY20,IF($J20="Adjusted",SUMIF('Input 15_Fcst Inputs'!$A:$A,$D20,'Input 15_Fcst Inputs'!$G:$G)/12))))),0)</f>
        <v>506618.70966278965</v>
      </c>
      <c r="BL20" s="483">
        <f>IFERROR(IF($J20="Historical Average",INDEX('Monthly UPC'!$CM$2:$DJ$65,MATCH($D20,'Monthly UPC'!$D$2:$D$65,0),MATCH(BL$1,'Monthly UPC'!$CM$1:$DJ$1))*(INDEX('Monthly CUST'!$N$2:$CG$65,MATCH($D20,'Monthly CUST'!$D$2:$D$65,0),MATCH(BL$1,'Monthly CUST'!$N$1:$CG$1,0))),IF($J20="UPC Growth Rate",((AZ20/INDEX('Monthly CUST'!$N$2:$CG$65,MATCH($D20,'Monthly CUST'!$D$2:$D$65,0),MATCH(AZ$1,'Monthly CUST'!$N$1:$CG$1,0)))*(1+$L20)*INDEX('Monthly CUST'!$N$2:$CG$65,MATCH($D20,'Monthly CUST'!$D$2:$D$65,0),MATCH(BL$1,'Monthly CUST'!$N$1:$CG$1,0))),IF($J20="Modeled UPC",INDEX('Monthly CUST'!$N$2:$CG$65,MATCH($D20,'Monthly CUST'!$D$2:$D$65,0),MATCH(BL$1,'Monthly CUST'!$N$1:$CG$1,0))/12*$M20,IF($J20="Base Period",AZ20,IF($J20="Adjusted",SUMIF('Input 15_Fcst Inputs'!$A:$A,$D20,'Input 15_Fcst Inputs'!$G:$G)/12))))),0)</f>
        <v>477593.88503751479</v>
      </c>
      <c r="BM20" s="483">
        <f>IFERROR(IF($J20="Historical Average",INDEX('Monthly UPC'!$CM$2:$DJ$65,MATCH($D20,'Monthly UPC'!$D$2:$D$65,0),MATCH(BM$1,'Monthly UPC'!$CM$1:$DJ$1))*(INDEX('Monthly CUST'!$N$2:$CG$65,MATCH($D20,'Monthly CUST'!$D$2:$D$65,0),MATCH(BM$1,'Monthly CUST'!$N$1:$CG$1,0))),IF($J20="UPC Growth Rate",((BA20/INDEX('Monthly CUST'!$N$2:$CG$65,MATCH($D20,'Monthly CUST'!$D$2:$D$65,0),MATCH(BA$1,'Monthly CUST'!$N$1:$CG$1,0)))*(1+$L20)*INDEX('Monthly CUST'!$N$2:$CG$65,MATCH($D20,'Monthly CUST'!$D$2:$D$65,0),MATCH(BM$1,'Monthly CUST'!$N$1:$CG$1,0))),IF($J20="Modeled UPC",INDEX('Monthly CUST'!$N$2:$CG$65,MATCH($D20,'Monthly CUST'!$D$2:$D$65,0),MATCH(BM$1,'Monthly CUST'!$N$1:$CG$1,0))/12*$M20,IF($J20="Base Period",BA20,IF($J20="Adjusted",SUMIF('Input 15_Fcst Inputs'!$A:$A,$D20,'Input 15_Fcst Inputs'!$G:$G)/12))))),0)</f>
        <v>521224.4578098575</v>
      </c>
      <c r="BN20" s="483">
        <f>IFERROR(IF($J20="Historical Average",INDEX('Monthly UPC'!$CM$2:$DJ$65,MATCH($D20,'Monthly UPC'!$D$2:$D$65,0),MATCH(BN$1,'Monthly UPC'!$CM$1:$DJ$1))*(INDEX('Monthly CUST'!$N$2:$CG$65,MATCH($D20,'Monthly CUST'!$D$2:$D$65,0),MATCH(BN$1,'Monthly CUST'!$N$1:$CG$1,0))),IF($J20="UPC Growth Rate",((BB20/INDEX('Monthly CUST'!$N$2:$CG$65,MATCH($D20,'Monthly CUST'!$D$2:$D$65,0),MATCH(BB$1,'Monthly CUST'!$N$1:$CG$1,0)))*(1+$L20)*INDEX('Monthly CUST'!$N$2:$CG$65,MATCH($D20,'Monthly CUST'!$D$2:$D$65,0),MATCH(BN$1,'Monthly CUST'!$N$1:$CG$1,0))),IF($J20="Modeled UPC",INDEX('Monthly CUST'!$N$2:$CG$65,MATCH($D20,'Monthly CUST'!$D$2:$D$65,0),MATCH(BN$1,'Monthly CUST'!$N$1:$CG$1,0))/12*$M20,IF($J20="Base Period",BB20,IF($J20="Adjusted",SUMIF('Input 15_Fcst Inputs'!$A:$A,$D20,'Input 15_Fcst Inputs'!$G:$G)/12))))),0)</f>
        <v>475818.66426542151</v>
      </c>
      <c r="BO20" s="483">
        <f>IFERROR(IF($J20="Historical Average",INDEX('Monthly UPC'!$CM$2:$DJ$65,MATCH($D20,'Monthly UPC'!$D$2:$D$65,0),MATCH(BO$1,'Monthly UPC'!$CM$1:$DJ$1))*(INDEX('Monthly CUST'!$N$2:$CG$65,MATCH($D20,'Monthly CUST'!$D$2:$D$65,0),MATCH(BO$1,'Monthly CUST'!$N$1:$CG$1,0))),IF($J20="UPC Growth Rate",((BC20/INDEX('Monthly CUST'!$N$2:$CG$65,MATCH($D20,'Monthly CUST'!$D$2:$D$65,0),MATCH(BC$1,'Monthly CUST'!$N$1:$CG$1,0)))*(1+$L20)*INDEX('Monthly CUST'!$N$2:$CG$65,MATCH($D20,'Monthly CUST'!$D$2:$D$65,0),MATCH(BO$1,'Monthly CUST'!$N$1:$CG$1,0))),IF($J20="Modeled UPC",INDEX('Monthly CUST'!$N$2:$CG$65,MATCH($D20,'Monthly CUST'!$D$2:$D$65,0),MATCH(BO$1,'Monthly CUST'!$N$1:$CG$1,0))/12*$M20,IF($J20="Base Period",BC20,IF($J20="Adjusted",SUMIF('Input 15_Fcst Inputs'!$A:$A,$D20,'Input 15_Fcst Inputs'!$G:$G)/12))))),0)</f>
        <v>415387.18131584948</v>
      </c>
      <c r="BP20" s="483">
        <f>IFERROR(IF($J20="Historical Average",INDEX('Monthly UPC'!$CM$2:$DJ$65,MATCH($D20,'Monthly UPC'!$D$2:$D$65,0),MATCH(BP$1,'Monthly UPC'!$CM$1:$DJ$1))*(INDEX('Monthly CUST'!$N$2:$CG$65,MATCH($D20,'Monthly CUST'!$D$2:$D$65,0),MATCH(BP$1,'Monthly CUST'!$N$1:$CG$1,0))),IF($J20="UPC Growth Rate",((BD20/INDEX('Monthly CUST'!$N$2:$CG$65,MATCH($D20,'Monthly CUST'!$D$2:$D$65,0),MATCH(BD$1,'Monthly CUST'!$N$1:$CG$1,0)))*(1+$L20)*INDEX('Monthly CUST'!$N$2:$CG$65,MATCH($D20,'Monthly CUST'!$D$2:$D$65,0),MATCH(BP$1,'Monthly CUST'!$N$1:$CG$1,0))),IF($J20="Modeled UPC",INDEX('Monthly CUST'!$N$2:$CG$65,MATCH($D20,'Monthly CUST'!$D$2:$D$65,0),MATCH(BP$1,'Monthly CUST'!$N$1:$CG$1,0))/12*$M20,IF($J20="Base Period",BD20,IF($J20="Adjusted",SUMIF('Input 15_Fcst Inputs'!$A:$A,$D20,'Input 15_Fcst Inputs'!$G:$G)/12))))),0)</f>
        <v>438478.88073584856</v>
      </c>
      <c r="BQ20" s="483">
        <f>IFERROR(IF($J20="Historical Average",INDEX('Monthly UPC'!$CM$2:$DJ$65,MATCH($D20,'Monthly UPC'!$D$2:$D$65,0),MATCH(BQ$1,'Monthly UPC'!$CM$1:$DJ$1))*(INDEX('Monthly CUST'!$N$2:$CG$65,MATCH($D20,'Monthly CUST'!$D$2:$D$65,0),MATCH(BQ$1,'Monthly CUST'!$N$1:$CG$1,0))),IF($J20="UPC Growth Rate",((BE20/INDEX('Monthly CUST'!$N$2:$CG$65,MATCH($D20,'Monthly CUST'!$D$2:$D$65,0),MATCH(BE$1,'Monthly CUST'!$N$1:$CG$1,0)))*(1+$L20)*INDEX('Monthly CUST'!$N$2:$CG$65,MATCH($D20,'Monthly CUST'!$D$2:$D$65,0),MATCH(BQ$1,'Monthly CUST'!$N$1:$CG$1,0))),IF($J20="Modeled UPC",INDEX('Monthly CUST'!$N$2:$CG$65,MATCH($D20,'Monthly CUST'!$D$2:$D$65,0),MATCH(BQ$1,'Monthly CUST'!$N$1:$CG$1,0))/12*$M20,IF($J20="Base Period",BE20,IF($J20="Adjusted",SUMIF('Input 15_Fcst Inputs'!$A:$A,$D20,'Input 15_Fcst Inputs'!$G:$G)/12))))),0)</f>
        <v>406000.40024685563</v>
      </c>
      <c r="BR20" s="483">
        <f>IFERROR(IF($J20="Historical Average",INDEX('Monthly UPC'!$CM$2:$DJ$65,MATCH($D20,'Monthly UPC'!$D$2:$D$65,0),MATCH(BR$1,'Monthly UPC'!$CM$1:$DJ$1))*(INDEX('Monthly CUST'!$N$2:$CG$65,MATCH($D20,'Monthly CUST'!$D$2:$D$65,0),MATCH(BR$1,'Monthly CUST'!$N$1:$CG$1,0))),IF($J20="UPC Growth Rate",((BF20/INDEX('Monthly CUST'!$N$2:$CG$65,MATCH($D20,'Monthly CUST'!$D$2:$D$65,0),MATCH(BF$1,'Monthly CUST'!$N$1:$CG$1,0)))*(1+$L20)*INDEX('Monthly CUST'!$N$2:$CG$65,MATCH($D20,'Monthly CUST'!$D$2:$D$65,0),MATCH(BR$1,'Monthly CUST'!$N$1:$CG$1,0))),IF($J20="Modeled UPC",INDEX('Monthly CUST'!$N$2:$CG$65,MATCH($D20,'Monthly CUST'!$D$2:$D$65,0),MATCH(BR$1,'Monthly CUST'!$N$1:$CG$1,0))/12*$M20,IF($J20="Base Period",BF20,IF($J20="Adjusted",SUMIF('Input 15_Fcst Inputs'!$A:$A,$D20,'Input 15_Fcst Inputs'!$G:$G)/12))))),0)</f>
        <v>433458.34480181389</v>
      </c>
      <c r="BS20" s="483">
        <f>IFERROR(IF($J20="Historical Average",INDEX('Monthly UPC'!$CM$2:$DJ$65,MATCH($D20,'Monthly UPC'!$D$2:$D$65,0),MATCH(BS$1,'Monthly UPC'!$CM$1:$DJ$1))*(INDEX('Monthly CUST'!$N$2:$CG$65,MATCH($D20,'Monthly CUST'!$D$2:$D$65,0),MATCH(BS$1,'Monthly CUST'!$N$1:$CG$1,0))),IF($J20="UPC Growth Rate",((BG20/INDEX('Monthly CUST'!$N$2:$CG$65,MATCH($D20,'Monthly CUST'!$D$2:$D$65,0),MATCH(BG$1,'Monthly CUST'!$N$1:$CG$1,0)))*(1+$L20)*INDEX('Monthly CUST'!$N$2:$CG$65,MATCH($D20,'Monthly CUST'!$D$2:$D$65,0),MATCH(BS$1,'Monthly CUST'!$N$1:$CG$1,0))),IF($J20="Modeled UPC",INDEX('Monthly CUST'!$N$2:$CG$65,MATCH($D20,'Monthly CUST'!$D$2:$D$65,0),MATCH(BS$1,'Monthly CUST'!$N$1:$CG$1,0))/12*$M20,IF($J20="Base Period",BG20,IF($J20="Adjusted",SUMIF('Input 15_Fcst Inputs'!$A:$A,$D20,'Input 15_Fcst Inputs'!$G:$G)/12))))),0)</f>
        <v>425099.74784507585</v>
      </c>
      <c r="BT20" s="483">
        <f>IFERROR(IF($J20="Historical Average",INDEX('Monthly UPC'!$CM$2:$DJ$65,MATCH($D20,'Monthly UPC'!$D$2:$D$65,0),MATCH(BT$1,'Monthly UPC'!$CM$1:$DJ$1))*(INDEX('Monthly CUST'!$N$2:$CG$65,MATCH($D20,'Monthly CUST'!$D$2:$D$65,0),MATCH(BT$1,'Monthly CUST'!$N$1:$CG$1,0))),IF($J20="UPC Growth Rate",((BH20/INDEX('Monthly CUST'!$N$2:$CG$65,MATCH($D20,'Monthly CUST'!$D$2:$D$65,0),MATCH(BH$1,'Monthly CUST'!$N$1:$CG$1,0)))*(1+$L20)*INDEX('Monthly CUST'!$N$2:$CG$65,MATCH($D20,'Monthly CUST'!$D$2:$D$65,0),MATCH(BT$1,'Monthly CUST'!$N$1:$CG$1,0))),IF($J20="Modeled UPC",INDEX('Monthly CUST'!$N$2:$CG$65,MATCH($D20,'Monthly CUST'!$D$2:$D$65,0),MATCH(BT$1,'Monthly CUST'!$N$1:$CG$1,0))/12*$M20,IF($J20="Base Period",BH20,IF($J20="Adjusted",SUMIF('Input 15_Fcst Inputs'!$A:$A,$D20,'Input 15_Fcst Inputs'!$G:$G)/12))))),0)</f>
        <v>469217.23888630926</v>
      </c>
      <c r="BU20" s="483">
        <f>IFERROR(IF($J20="Historical Average",INDEX('Monthly UPC'!$CM$2:$DJ$65,MATCH($D20,'Monthly UPC'!$D$2:$D$65,0),MATCH(BU$1,'Monthly UPC'!$CM$1:$DJ$1))*(INDEX('Monthly CUST'!$N$2:$CG$65,MATCH($D20,'Monthly CUST'!$D$2:$D$65,0),MATCH(BU$1,'Monthly CUST'!$N$1:$CG$1,0))),IF($J20="UPC Growth Rate",((BI20/INDEX('Monthly CUST'!$N$2:$CG$65,MATCH($D20,'Monthly CUST'!$D$2:$D$65,0),MATCH(BI$1,'Monthly CUST'!$N$1:$CG$1,0)))*(1+$L20)*INDEX('Monthly CUST'!$N$2:$CG$65,MATCH($D20,'Monthly CUST'!$D$2:$D$65,0),MATCH(BU$1,'Monthly CUST'!$N$1:$CG$1,0))),IF($J20="Modeled UPC",INDEX('Monthly CUST'!$N$2:$CG$65,MATCH($D20,'Monthly CUST'!$D$2:$D$65,0),MATCH(BU$1,'Monthly CUST'!$N$1:$CG$1,0))/12*$M20,IF($J20="Base Period",BI20,IF($J20="Adjusted",SUMIF('Input 15_Fcst Inputs'!$A:$A,$D20,'Input 15_Fcst Inputs'!$G:$G)/12))))),0)</f>
        <v>557113.7660739827</v>
      </c>
      <c r="BV20" s="483">
        <f>IFERROR(IF($J20="Historical Average",INDEX('Monthly UPC'!$CM$2:$DJ$65,MATCH($D20,'Monthly UPC'!$D$2:$D$65,0),MATCH(BV$1,'Monthly UPC'!$CM$1:$DJ$1))*(INDEX('Monthly CUST'!$N$2:$CG$65,MATCH($D20,'Monthly CUST'!$D$2:$D$65,0),MATCH(BV$1,'Monthly CUST'!$N$1:$CG$1,0))),IF($J20="UPC Growth Rate",((BJ20/INDEX('Monthly CUST'!$N$2:$CG$65,MATCH($D20,'Monthly CUST'!$D$2:$D$65,0),MATCH(BJ$1,'Monthly CUST'!$N$1:$CG$1,0)))*(1+$L20)*INDEX('Monthly CUST'!$N$2:$CG$65,MATCH($D20,'Monthly CUST'!$D$2:$D$65,0),MATCH(BV$1,'Monthly CUST'!$N$1:$CG$1,0))),IF($J20="Modeled UPC",INDEX('Monthly CUST'!$N$2:$CG$65,MATCH($D20,'Monthly CUST'!$D$2:$D$65,0),MATCH(BV$1,'Monthly CUST'!$N$1:$CG$1,0))/12*$M20,IF($J20="Base Period",BJ20,IF($J20="Adjusted",SUMIF('Input 15_Fcst Inputs'!$A:$A,$D20,'Input 15_Fcst Inputs'!$G:$G)/12))))),0)</f>
        <v>577669.15622775175</v>
      </c>
      <c r="BW20" s="483">
        <f>IFERROR(IF($J20="Historical Average",INDEX('Monthly UPC'!$CM$2:$DJ$65,MATCH($D20,'Monthly UPC'!$D$2:$D$65,0),MATCH(BW$1,'Monthly UPC'!$CM$1:$DJ$1))*(INDEX('Monthly CUST'!$N$2:$CG$65,MATCH($D20,'Monthly CUST'!$D$2:$D$65,0),MATCH(BW$1,'Monthly CUST'!$N$1:$CG$1,0))),IF($J20="UPC Growth Rate",((BK20/INDEX('Monthly CUST'!$N$2:$CG$65,MATCH($D20,'Monthly CUST'!$D$2:$D$65,0),MATCH(BK$1,'Monthly CUST'!$N$1:$CG$1,0)))*(1+$L20)*INDEX('Monthly CUST'!$N$2:$CG$65,MATCH($D20,'Monthly CUST'!$D$2:$D$65,0),MATCH(BW$1,'Monthly CUST'!$N$1:$CG$1,0))),IF($J20="Modeled UPC",INDEX('Monthly CUST'!$N$2:$CG$65,MATCH($D20,'Monthly CUST'!$D$2:$D$65,0),MATCH(BW$1,'Monthly CUST'!$N$1:$CG$1,0))/12*$M20,IF($J20="Base Period",BK20,IF($J20="Adjusted",SUMIF('Input 15_Fcst Inputs'!$A:$A,$D20,'Input 15_Fcst Inputs'!$G:$G)/12))))),0)</f>
        <v>506596.10033462982</v>
      </c>
      <c r="BX20" s="483">
        <f>IFERROR(IF($J20="Historical Average",INDEX('Monthly UPC'!$CM$2:$DJ$65,MATCH($D20,'Monthly UPC'!$D$2:$D$65,0),MATCH(BX$1,'Monthly UPC'!$CM$1:$DJ$1))*(INDEX('Monthly CUST'!$N$2:$CG$65,MATCH($D20,'Monthly CUST'!$D$2:$D$65,0),MATCH(BX$1,'Monthly CUST'!$N$1:$CG$1,0))),IF($J20="UPC Growth Rate",((BL20/INDEX('Monthly CUST'!$N$2:$CG$65,MATCH($D20,'Monthly CUST'!$D$2:$D$65,0),MATCH(BL$1,'Monthly CUST'!$N$1:$CG$1,0)))*(1+$L20)*INDEX('Monthly CUST'!$N$2:$CG$65,MATCH($D20,'Monthly CUST'!$D$2:$D$65,0),MATCH(BX$1,'Monthly CUST'!$N$1:$CG$1,0))),IF($J20="Modeled UPC",INDEX('Monthly CUST'!$N$2:$CG$65,MATCH($D20,'Monthly CUST'!$D$2:$D$65,0),MATCH(BX$1,'Monthly CUST'!$N$1:$CG$1,0))/12*$M20,IF($J20="Base Period",BL20,IF($J20="Adjusted",SUMIF('Input 15_Fcst Inputs'!$A:$A,$D20,'Input 15_Fcst Inputs'!$G:$G)/12))))),0)</f>
        <v>477572.57102627127</v>
      </c>
      <c r="BY20" s="483">
        <f>IFERROR(IF($J20="Historical Average",INDEX('Monthly UPC'!$CM$2:$DJ$65,MATCH($D20,'Monthly UPC'!$D$2:$D$65,0),MATCH(BY$1,'Monthly UPC'!$CM$1:$DJ$1))*(INDEX('Monthly CUST'!$N$2:$CG$65,MATCH($D20,'Monthly CUST'!$D$2:$D$65,0),MATCH(BY$1,'Monthly CUST'!$N$1:$CG$1,0))),IF($J20="UPC Growth Rate",((BM20/INDEX('Monthly CUST'!$N$2:$CG$65,MATCH($D20,'Monthly CUST'!$D$2:$D$65,0),MATCH(BM$1,'Monthly CUST'!$N$1:$CG$1,0)))*(1+$L20)*INDEX('Monthly CUST'!$N$2:$CG$65,MATCH($D20,'Monthly CUST'!$D$2:$D$65,0),MATCH(BY$1,'Monthly CUST'!$N$1:$CG$1,0))),IF($J20="Modeled UPC",INDEX('Monthly CUST'!$N$2:$CG$65,MATCH($D20,'Monthly CUST'!$D$2:$D$65,0),MATCH(BY$1,'Monthly CUST'!$N$1:$CG$1,0))/12*$M20,IF($J20="Base Period",BM20,IF($J20="Adjusted",SUMIF('Input 15_Fcst Inputs'!$A:$A,$D20,'Input 15_Fcst Inputs'!$G:$G)/12))))),0)</f>
        <v>521201.19665785751</v>
      </c>
      <c r="BZ20" s="483">
        <f>IFERROR(IF($J20="Historical Average",INDEX('Monthly UPC'!$CM$2:$DJ$65,MATCH($D20,'Monthly UPC'!$D$2:$D$65,0),MATCH(BZ$1,'Monthly UPC'!$CM$1:$DJ$1))*(INDEX('Monthly CUST'!$N$2:$CG$65,MATCH($D20,'Monthly CUST'!$D$2:$D$65,0),MATCH(BZ$1,'Monthly CUST'!$N$1:$CG$1,0))),IF($J20="UPC Growth Rate",((BN20/INDEX('Monthly CUST'!$N$2:$CG$65,MATCH($D20,'Monthly CUST'!$D$2:$D$65,0),MATCH(BN$1,'Monthly CUST'!$N$1:$CG$1,0)))*(1+$L20)*INDEX('Monthly CUST'!$N$2:$CG$65,MATCH($D20,'Monthly CUST'!$D$2:$D$65,0),MATCH(BZ$1,'Monthly CUST'!$N$1:$CG$1,0))),IF($J20="Modeled UPC",INDEX('Monthly CUST'!$N$2:$CG$65,MATCH($D20,'Monthly CUST'!$D$2:$D$65,0),MATCH(BZ$1,'Monthly CUST'!$N$1:$CG$1,0))/12*$M20,IF($J20="Base Period",BN20,IF($J20="Adjusted",SUMIF('Input 15_Fcst Inputs'!$A:$A,$D20,'Input 15_Fcst Inputs'!$G:$G)/12))))),0)</f>
        <v>475797.42947854975</v>
      </c>
      <c r="CA20" s="483">
        <f>IFERROR(IF($J20="Historical Average",INDEX('Monthly UPC'!$CM$2:$DJ$65,MATCH($D20,'Monthly UPC'!$D$2:$D$65,0),MATCH(CA$1,'Monthly UPC'!$CM$1:$DJ$1))*(INDEX('Monthly CUST'!$N$2:$CG$65,MATCH($D20,'Monthly CUST'!$D$2:$D$65,0),MATCH(CA$1,'Monthly CUST'!$N$1:$CG$1,0))),IF($J20="UPC Growth Rate",((BO20/INDEX('Monthly CUST'!$N$2:$CG$65,MATCH($D20,'Monthly CUST'!$D$2:$D$65,0),MATCH(BO$1,'Monthly CUST'!$N$1:$CG$1,0)))*(1+$L20)*INDEX('Monthly CUST'!$N$2:$CG$65,MATCH($D20,'Monthly CUST'!$D$2:$D$65,0),MATCH(CA$1,'Monthly CUST'!$N$1:$CG$1,0))),IF($J20="Modeled UPC",INDEX('Monthly CUST'!$N$2:$CG$65,MATCH($D20,'Monthly CUST'!$D$2:$D$65,0),MATCH(CA$1,'Monthly CUST'!$N$1:$CG$1,0))/12*$M20,IF($J20="Base Period",BO20,IF($J20="Adjusted",SUMIF('Input 15_Fcst Inputs'!$A:$A,$D20,'Input 15_Fcst Inputs'!$G:$G)/12))))),0)</f>
        <v>415368.64345904189</v>
      </c>
      <c r="CB20" s="483">
        <f>IFERROR(IF($J20="Historical Average",INDEX('Monthly UPC'!$CM$2:$DJ$65,MATCH($D20,'Monthly UPC'!$D$2:$D$65,0),MATCH(CB$1,'Monthly UPC'!$CM$1:$DJ$1))*(INDEX('Monthly CUST'!$N$2:$CG$65,MATCH($D20,'Monthly CUST'!$D$2:$D$65,0),MATCH(CB$1,'Monthly CUST'!$N$1:$CG$1,0))),IF($J20="UPC Growth Rate",((BP20/INDEX('Monthly CUST'!$N$2:$CG$65,MATCH($D20,'Monthly CUST'!$D$2:$D$65,0),MATCH(BP$1,'Monthly CUST'!$N$1:$CG$1,0)))*(1+$L20)*INDEX('Monthly CUST'!$N$2:$CG$65,MATCH($D20,'Monthly CUST'!$D$2:$D$65,0),MATCH(CB$1,'Monthly CUST'!$N$1:$CG$1,0))),IF($J20="Modeled UPC",INDEX('Monthly CUST'!$N$2:$CG$65,MATCH($D20,'Monthly CUST'!$D$2:$D$65,0),MATCH(CB$1,'Monthly CUST'!$N$1:$CG$1,0))/12*$M20,IF($J20="Base Period",BP20,IF($J20="Adjusted",SUMIF('Input 15_Fcst Inputs'!$A:$A,$D20,'Input 15_Fcst Inputs'!$G:$G)/12))))),0)</f>
        <v>438459.31234503194</v>
      </c>
      <c r="CC20" s="483">
        <f>IFERROR(IF($J20="Historical Average",INDEX('Monthly UPC'!$CM$2:$DJ$65,MATCH($D20,'Monthly UPC'!$D$2:$D$65,0),MATCH(CC$1,'Monthly UPC'!$CM$1:$DJ$1))*(INDEX('Monthly CUST'!$N$2:$CG$65,MATCH($D20,'Monthly CUST'!$D$2:$D$65,0),MATCH(CC$1,'Monthly CUST'!$N$1:$CG$1,0))),IF($J20="UPC Growth Rate",((BQ20/INDEX('Monthly CUST'!$N$2:$CG$65,MATCH($D20,'Monthly CUST'!$D$2:$D$65,0),MATCH(BQ$1,'Monthly CUST'!$N$1:$CG$1,0)))*(1+$L20)*INDEX('Monthly CUST'!$N$2:$CG$65,MATCH($D20,'Monthly CUST'!$D$2:$D$65,0),MATCH(CC$1,'Monthly CUST'!$N$1:$CG$1,0))),IF($J20="Modeled UPC",INDEX('Monthly CUST'!$N$2:$CG$65,MATCH($D20,'Monthly CUST'!$D$2:$D$65,0),MATCH(CC$1,'Monthly CUST'!$N$1:$CG$1,0))/12*$M20,IF($J20="Base Period",BQ20,IF($J20="Adjusted",SUMIF('Input 15_Fcst Inputs'!$A:$A,$D20,'Input 15_Fcst Inputs'!$G:$G)/12))))),0)</f>
        <v>405982.28130235727</v>
      </c>
      <c r="CD20" s="483">
        <f>IFERROR(IF($J20="Historical Average",INDEX('Monthly UPC'!$CM$2:$DJ$65,MATCH($D20,'Monthly UPC'!$D$2:$D$65,0),MATCH(CD$1,'Monthly UPC'!$CM$1:$DJ$1))*(INDEX('Monthly CUST'!$N$2:$CG$65,MATCH($D20,'Monthly CUST'!$D$2:$D$65,0),MATCH(CD$1,'Monthly CUST'!$N$1:$CG$1,0))),IF($J20="UPC Growth Rate",((BR20/INDEX('Monthly CUST'!$N$2:$CG$65,MATCH($D20,'Monthly CUST'!$D$2:$D$65,0),MATCH(BR$1,'Monthly CUST'!$N$1:$CG$1,0)))*(1+$L20)*INDEX('Monthly CUST'!$N$2:$CG$65,MATCH($D20,'Monthly CUST'!$D$2:$D$65,0),MATCH(CD$1,'Monthly CUST'!$N$1:$CG$1,0))),IF($J20="Modeled UPC",INDEX('Monthly CUST'!$N$2:$CG$65,MATCH($D20,'Monthly CUST'!$D$2:$D$65,0),MATCH(CD$1,'Monthly CUST'!$N$1:$CG$1,0))/12*$M20,IF($J20="Base Period",BR20,IF($J20="Adjusted",SUMIF('Input 15_Fcst Inputs'!$A:$A,$D20,'Input 15_Fcst Inputs'!$G:$G)/12))))),0)</f>
        <v>433439.00046696339</v>
      </c>
      <c r="CE20" s="483">
        <f>IFERROR(IF($J20="Historical Average",INDEX('Monthly UPC'!$CM$2:$DJ$65,MATCH($D20,'Monthly UPC'!$D$2:$D$65,0),MATCH(CE$1,'Monthly UPC'!$CM$1:$DJ$1))*(INDEX('Monthly CUST'!$N$2:$CG$65,MATCH($D20,'Monthly CUST'!$D$2:$D$65,0),MATCH(CE$1,'Monthly CUST'!$N$1:$CG$1,0))),IF($J20="UPC Growth Rate",((BS20/INDEX('Monthly CUST'!$N$2:$CG$65,MATCH($D20,'Monthly CUST'!$D$2:$D$65,0),MATCH(BS$1,'Monthly CUST'!$N$1:$CG$1,0)))*(1+$L20)*INDEX('Monthly CUST'!$N$2:$CG$65,MATCH($D20,'Monthly CUST'!$D$2:$D$65,0),MATCH(CE$1,'Monthly CUST'!$N$1:$CG$1,0))),IF($J20="Modeled UPC",INDEX('Monthly CUST'!$N$2:$CG$65,MATCH($D20,'Monthly CUST'!$D$2:$D$65,0),MATCH(CE$1,'Monthly CUST'!$N$1:$CG$1,0))/12*$M20,IF($J20="Base Period",BS20,IF($J20="Adjusted",SUMIF('Input 15_Fcst Inputs'!$A:$A,$D20,'Input 15_Fcst Inputs'!$G:$G)/12))))),0)</f>
        <v>425080.77653683879</v>
      </c>
      <c r="CF20" s="483">
        <f>IFERROR(IF($J20="Historical Average",INDEX('Monthly UPC'!$CM$2:$DJ$65,MATCH($D20,'Monthly UPC'!$D$2:$D$65,0),MATCH(CF$1,'Monthly UPC'!$CM$1:$DJ$1))*(INDEX('Monthly CUST'!$N$2:$CG$65,MATCH($D20,'Monthly CUST'!$D$2:$D$65,0),MATCH(CF$1,'Monthly CUST'!$N$1:$CG$1,0))),IF($J20="UPC Growth Rate",((BT20/INDEX('Monthly CUST'!$N$2:$CG$65,MATCH($D20,'Monthly CUST'!$D$2:$D$65,0),MATCH(BT$1,'Monthly CUST'!$N$1:$CG$1,0)))*(1+$L20)*INDEX('Monthly CUST'!$N$2:$CG$65,MATCH($D20,'Monthly CUST'!$D$2:$D$65,0),MATCH(CF$1,'Monthly CUST'!$N$1:$CG$1,0))),IF($J20="Modeled UPC",INDEX('Monthly CUST'!$N$2:$CG$65,MATCH($D20,'Monthly CUST'!$D$2:$D$65,0),MATCH(CF$1,'Monthly CUST'!$N$1:$CG$1,0))/12*$M20,IF($J20="Base Period",BT20,IF($J20="Adjusted",SUMIF('Input 15_Fcst Inputs'!$A:$A,$D20,'Input 15_Fcst Inputs'!$G:$G)/12))))),0)</f>
        <v>469196.29870717676</v>
      </c>
      <c r="CG20" s="483">
        <f>IFERROR(IF($J20="Historical Average",INDEX('Monthly UPC'!$CM$2:$DJ$65,MATCH($D20,'Monthly UPC'!$D$2:$D$65,0),MATCH(CG$1,'Monthly UPC'!$CM$1:$DJ$1))*(INDEX('Monthly CUST'!$N$2:$CG$65,MATCH($D20,'Monthly CUST'!$D$2:$D$65,0),MATCH(CG$1,'Monthly CUST'!$N$1:$CG$1,0))),IF($J20="UPC Growth Rate",((BU20/INDEX('Monthly CUST'!$N$2:$CG$65,MATCH($D20,'Monthly CUST'!$D$2:$D$65,0),MATCH(BU$1,'Monthly CUST'!$N$1:$CG$1,0)))*(1+$L20)*INDEX('Monthly CUST'!$N$2:$CG$65,MATCH($D20,'Monthly CUST'!$D$2:$D$65,0),MATCH(CG$1,'Monthly CUST'!$N$1:$CG$1,0))),IF($J20="Modeled UPC",INDEX('Monthly CUST'!$N$2:$CG$65,MATCH($D20,'Monthly CUST'!$D$2:$D$65,0),MATCH(CG$1,'Monthly CUST'!$N$1:$CG$1,0))/12*$M20,IF($J20="Base Period",BU20,IF($J20="Adjusted",SUMIF('Input 15_Fcst Inputs'!$A:$A,$D20,'Input 15_Fcst Inputs'!$G:$G)/12))))),0)</f>
        <v>557088.90325758979</v>
      </c>
      <c r="CH20" s="197"/>
      <c r="CI20" s="197">
        <f t="shared" si="0"/>
        <v>4923380.8400000017</v>
      </c>
      <c r="CJ20" s="197">
        <f t="shared" si="1"/>
        <v>5285544.8599999994</v>
      </c>
      <c r="CK20" s="197">
        <f t="shared" si="2"/>
        <v>4996441.4899999974</v>
      </c>
      <c r="CL20" s="197">
        <f t="shared" si="3"/>
        <v>5703960.7700000023</v>
      </c>
      <c r="CM20" s="197">
        <f t="shared" si="4"/>
        <v>5703706.2142198868</v>
      </c>
      <c r="CN20" s="197">
        <f t="shared" si="5"/>
        <v>5703451.6698000608</v>
      </c>
      <c r="CP20" s="4">
        <f>SUMIF('Master '!D:D,D20,'Master '!AH:AH)</f>
        <v>5703706.2142198849</v>
      </c>
      <c r="CQ20" s="4">
        <f>SUMIF('Master '!D:D,D20,'Master '!AI:AI)</f>
        <v>5703451.669800058</v>
      </c>
      <c r="CR20" s="197">
        <f t="shared" si="6"/>
        <v>0</v>
      </c>
      <c r="CS20" s="197">
        <f t="shared" si="7"/>
        <v>0</v>
      </c>
      <c r="CT20" t="s">
        <v>287</v>
      </c>
      <c r="CV20" t="str">
        <f>VLOOKUP(G20,'Master '!G:CC,75,FALSE)</f>
        <v>GSTS-2</v>
      </c>
    </row>
    <row r="21" spans="1:100">
      <c r="A21" s="53" t="s">
        <v>15</v>
      </c>
      <c r="B21" s="53" t="s">
        <v>994</v>
      </c>
      <c r="C21" s="53" t="s">
        <v>1245</v>
      </c>
      <c r="D21" s="53" t="s">
        <v>44</v>
      </c>
      <c r="E21" s="53" t="str">
        <f>VLOOKUP(D21,'Input 14_Ref Table'!C:D,2,FALSE)</f>
        <v>GLV51</v>
      </c>
      <c r="F21" s="143" t="s">
        <v>1286</v>
      </c>
      <c r="G21" s="53" t="str">
        <f>VLOOKUP(D21,'Input 14_Ref Table'!C:I,7,FALSE)</f>
        <v>FPU - FPU - LVS</v>
      </c>
      <c r="H21" s="53" t="str">
        <f>VLOOKUP(D21,'Input 14_Ref Table'!C:K,8,FALSE)</f>
        <v>LVS</v>
      </c>
      <c r="I21" s="53"/>
      <c r="J21" t="str">
        <f>INDEX('Master '!$AD$2:AD$65,MATCH(D21,'Master '!$D$2:$D$65,0))</f>
        <v>UPC Growth Rate</v>
      </c>
      <c r="K21" s="458">
        <f>INDEX('Master '!$N$2:N$65,MATCH(D21,'Master '!$D$2:$D$65,0))</f>
        <v>1.1133093100946111E-2</v>
      </c>
      <c r="L21" s="137">
        <f>INDEX('Master '!$S$2:S$65,MATCH(D21,'Master '!$D$2:$D$65,0))</f>
        <v>-1.7360612496315646E-2</v>
      </c>
      <c r="M21" s="4">
        <f>INDEX('Master '!$W$2:W$65,MATCH(D21,'Master '!$D$2:$D$65,0))</f>
        <v>19502.099999999999</v>
      </c>
      <c r="N21" s="268">
        <f>SUMIF('Input 16.1_2018VOL-YTD'!$R:$R,$G21,'Input 16.1_2018VOL-YTD'!C:C)</f>
        <v>1037717.9499999991</v>
      </c>
      <c r="O21" s="268">
        <f>SUMIF('Input 16.1_2018VOL-YTD'!$R:$R,$G21,'Input 16.1_2018VOL-YTD'!D:D)</f>
        <v>885888.1399999992</v>
      </c>
      <c r="P21" s="268">
        <f>SUMIF('Input 16.1_2018VOL-YTD'!$R:$R,$G21,'Input 16.1_2018VOL-YTD'!E:E)</f>
        <v>856826.71999999881</v>
      </c>
      <c r="Q21" s="268">
        <f>SUMIF('Input 16.1_2018VOL-YTD'!$R:$R,$G21,'Input 16.1_2018VOL-YTD'!F:F)</f>
        <v>854521.22999999975</v>
      </c>
      <c r="R21" s="268">
        <f>SUMIF('Input 16.1_2018VOL-YTD'!$R:$R,$G21,'Input 16.1_2018VOL-YTD'!G:G)</f>
        <v>750280.54999999993</v>
      </c>
      <c r="S21" s="268">
        <f>SUMIF('Input 16.1_2018VOL-YTD'!$R:$R,$G21,'Input 16.1_2018VOL-YTD'!H:H)</f>
        <v>708958.36999999988</v>
      </c>
      <c r="T21" s="268">
        <f>SUMIF('Input 16.1_2018VOL-YTD'!$R:$R,$G21,'Input 16.1_2018VOL-YTD'!I:I)</f>
        <v>579667.33999999985</v>
      </c>
      <c r="U21" s="268">
        <f>SUMIF('Input 16.1_2018VOL-YTD'!$R:$R,$G21,'Input 16.1_2018VOL-YTD'!J:J)</f>
        <v>596169.6</v>
      </c>
      <c r="V21" s="268">
        <f>SUMIF('Input 16.1_2018VOL-YTD'!$R:$R,$G21,'Input 16.1_2018VOL-YTD'!K:K)</f>
        <v>595503.02000000107</v>
      </c>
      <c r="W21" s="268">
        <f>SUMIF('Input 16.1_2018VOL-YTD'!$R:$R,$G21,'Input 16.1_2018VOL-YTD'!L:L)</f>
        <v>562444.40999999957</v>
      </c>
      <c r="X21" s="268">
        <f>SUMIF('Input 16.1_2018VOL-YTD'!$R:$R,$G21,'Input 16.1_2018VOL-YTD'!M:M)</f>
        <v>785356.88000000059</v>
      </c>
      <c r="Y21" s="268">
        <f>SUMIF('Input 16.1_2018VOL-YTD'!$R:$R,$G21,'Input 16.1_2018VOL-YTD'!N:N)</f>
        <v>887845.7499999993</v>
      </c>
      <c r="Z21" s="268">
        <f>SUMIF('Input 3.1_2019VOL-YTD'!$R:$R,$G21,'Input 3.1_2019VOL-YTD'!C:C)</f>
        <v>947194.23000000056</v>
      </c>
      <c r="AA21" s="268">
        <f>SUMIF('Input 3.1_2019VOL-YTD'!$R:$R,$G21,'Input 3.1_2019VOL-YTD'!D:D)</f>
        <v>869963.99999999942</v>
      </c>
      <c r="AB21" s="268">
        <f>SUMIF('Input 3.1_2019VOL-YTD'!$R:$R,$G21,'Input 3.1_2019VOL-YTD'!E:E)</f>
        <v>768394.69000000018</v>
      </c>
      <c r="AC21" s="268">
        <f>SUMIF('Input 3.1_2019VOL-YTD'!$R:$R,$G21,'Input 3.1_2019VOL-YTD'!F:F)</f>
        <v>851475.99000000069</v>
      </c>
      <c r="AD21" s="268">
        <f>SUMIF('Input 3.1_2019VOL-YTD'!$R:$R,$G21,'Input 3.1_2019VOL-YTD'!G:G)</f>
        <v>749208.3399999995</v>
      </c>
      <c r="AE21" s="268">
        <f>SUMIF('Input 3.1_2019VOL-YTD'!$R:$R,$G21,'Input 3.1_2019VOL-YTD'!H:H)</f>
        <v>731512.10999999952</v>
      </c>
      <c r="AF21" s="268">
        <f>SUMIF('Input 3.1_2019VOL-YTD'!$R:$R,$G21,'Input 3.1_2019VOL-YTD'!I:I)</f>
        <v>642124.59000000008</v>
      </c>
      <c r="AG21" s="268">
        <f>SUMIF('Input 3.1_2019VOL-YTD'!$R:$R,$G21,'Input 3.1_2019VOL-YTD'!J:J)</f>
        <v>672481.29000000062</v>
      </c>
      <c r="AH21" s="268">
        <f>SUMIF('Input 3.1_2019VOL-YTD'!$R:$R,$G21,'Input 3.1_2019VOL-YTD'!K:K)</f>
        <v>580866.3399999995</v>
      </c>
      <c r="AI21" s="268">
        <f>SUMIF('Input 3.1_2019VOL-YTD'!$R:$R,$G21,'Input 3.1_2019VOL-YTD'!L:L)</f>
        <v>637929.98999999987</v>
      </c>
      <c r="AJ21" s="268">
        <f>SUMIF('Input 3.1_2019VOL-YTD'!$R:$R,$G21,'Input 3.1_2019VOL-YTD'!M:M)</f>
        <v>763358.9100000005</v>
      </c>
      <c r="AK21" s="268">
        <f>SUMIF('Input 3.1_2019VOL-YTD'!$R:$R,$G21,'Input 3.1_2019VOL-YTD'!N:N)</f>
        <v>880746.43000000017</v>
      </c>
      <c r="AL21" s="268">
        <f>SUMIF('Input 4.1_2020VOL-YTD'!$R:$R,$G21,'Input 4.1_2020VOL-YTD'!C:C)</f>
        <v>974676.7999999997</v>
      </c>
      <c r="AM21" s="268">
        <f>SUMIF('Input 4.1_2020VOL-YTD'!$R:$R,$G21,'Input 4.1_2020VOL-YTD'!D:D)</f>
        <v>890403.72999999952</v>
      </c>
      <c r="AN21" s="268">
        <f>SUMIF('Input 4.1_2020VOL-YTD'!$R:$R,$G21,'Input 4.1_2020VOL-YTD'!E:E)</f>
        <v>768485.90000000037</v>
      </c>
      <c r="AO21" s="268">
        <f>SUMIF('Input 4.1_2020VOL-YTD'!$R:$R,$G21,'Input 4.1_2020VOL-YTD'!F:F)</f>
        <v>520549.05999999988</v>
      </c>
      <c r="AP21" s="268">
        <f>SUMIF('Input 4.1_2020VOL-YTD'!$R:$R,$G21,'Input 4.1_2020VOL-YTD'!G:G)</f>
        <v>532530.59999999928</v>
      </c>
      <c r="AQ21" s="268">
        <f>SUMIF('Input 4.1_2020VOL-YTD'!$R:$R,$G21,'Input 4.1_2020VOL-YTD'!H:H)</f>
        <v>504845.4800000001</v>
      </c>
      <c r="AR21" s="268">
        <f>SUMIF('Input 4.1_2020VOL-YTD'!$R:$R,$G21,'Input 4.1_2020VOL-YTD'!I:I)</f>
        <v>555153.19999999972</v>
      </c>
      <c r="AS21" s="268">
        <f>SUMIF('Input 4.1_2020VOL-YTD'!$R:$R,$G21,'Input 4.1_2020VOL-YTD'!J:J)</f>
        <v>552266.67000000062</v>
      </c>
      <c r="AT21" s="268">
        <f>SUMIF('Input 4.1_2020VOL-YTD'!$R:$R,$G21,'Input 4.1_2020VOL-YTD'!K:K)</f>
        <v>499601.75999999989</v>
      </c>
      <c r="AU21" s="268">
        <f>SUMIF('Input 4.1_2020VOL-YTD'!$R:$R,$G21,'Input 4.1_2020VOL-YTD'!L:L)</f>
        <v>536777.77999999968</v>
      </c>
      <c r="AV21" s="268">
        <f>SUMIF('Input 4.1_2020VOL-YTD'!$R:$R,$G21,'Input 4.1_2020VOL-YTD'!M:M)</f>
        <v>633818.38999999966</v>
      </c>
      <c r="AW21" s="268">
        <f>SUMIF('Input 4.1_2020VOL-YTD'!$R:$R,$G21,'Input 4.1_2020VOL-YTD'!N:N)</f>
        <v>735277.42999999912</v>
      </c>
      <c r="AX21" s="268">
        <f>SUMIF('Input 5.1_2021VOL-YTD'!$R:$R,$G21,'Input 5.1_2021VOL-YTD'!C:C)</f>
        <v>907393.70999999961</v>
      </c>
      <c r="AY21" s="268">
        <f>SUMIF('Input 5.1_2021VOL-YTD'!$R:$R,$G21,'Input 5.1_2021VOL-YTD'!D:D)</f>
        <v>846397.30999999982</v>
      </c>
      <c r="AZ21" s="268">
        <f>SUMIF('Input 5.1_2021VOL-YTD'!$R:$R,$G21,'Input 5.1_2021VOL-YTD'!E:E)</f>
        <v>735880.81000000017</v>
      </c>
      <c r="BA21" s="268">
        <f>SUMIF('Input 5.1_2021VOL-YTD'!$R:$R,$G21,'Input 5.1_2021VOL-YTD'!F:F)</f>
        <v>865461.68999999913</v>
      </c>
      <c r="BB21" s="268">
        <f>SUMIF('Input 5.1_2021VOL-YTD'!$R:$R,$G21,'Input 5.1_2021VOL-YTD'!G:G)</f>
        <v>676204.02999999921</v>
      </c>
      <c r="BC21" s="268">
        <f>SUMIF('Input 5.1_2021VOL-YTD'!$R:$R,$G21,'Input 5.1_2021VOL-YTD'!H:H)</f>
        <v>598290.16999999969</v>
      </c>
      <c r="BD21" s="268">
        <f>SUMIF('Input 5.1_2021VOL-YTD'!$R:$R,$G21,'Input 5.1_2021VOL-YTD'!I:I)</f>
        <v>630215.38999999955</v>
      </c>
      <c r="BE21" s="268">
        <f>SUMIF('Input 5.1_2021VOL-YTD'!$R:$R,$G21,'Input 5.1_2021VOL-YTD'!J:J)</f>
        <v>526934.46000000043</v>
      </c>
      <c r="BF21" s="268">
        <f>SUMIF('Input 5.1_2021VOL-YTD'!$R:$R,$G21,'Input 5.1_2021VOL-YTD'!K:K)</f>
        <v>533690.23</v>
      </c>
      <c r="BG21" s="268">
        <f>SUMIF('Input 5.1_2021VOL-YTD'!$R:$R,$G21,'Input 5.1_2021VOL-YTD'!L:L)</f>
        <v>560291.70999999973</v>
      </c>
      <c r="BH21" s="268">
        <f>SUMIF('Input 5.1_2021VOL-YTD'!$R:$R,$G21,'Input 5.1_2021VOL-YTD'!M:M)</f>
        <v>613351.68999999948</v>
      </c>
      <c r="BI21" s="268">
        <f>SUMIF('Input 5.1_2021VOL-YTD'!$R:$R,$G21,'Input 5.1_2021VOL-YTD'!N:N)</f>
        <v>708706.98000000068</v>
      </c>
      <c r="BJ21" s="483">
        <f>IFERROR(IF($J21="Historical Average",INDEX('Monthly UPC'!$CM$2:$DJ$65,MATCH($D21,'Monthly UPC'!$D$2:$D$65,0),MATCH(BJ$1,'Monthly UPC'!$CM$1:$DJ$1))*(INDEX('Monthly CUST'!$N$2:$CG$65,MATCH($D21,'Monthly CUST'!$D$2:$D$65,0),MATCH(BJ$1,'Monthly CUST'!$N$1:$CG$1,0))),IF($J21="UPC Growth Rate",((AX21/INDEX('Monthly CUST'!$N$2:$CG$65,MATCH($D21,'Monthly CUST'!$D$2:$D$65,0),MATCH(AX$1,'Monthly CUST'!$N$1:$CG$1,0)))*(1+$L21)*INDEX('Monthly CUST'!$N$2:$CG$65,MATCH($D21,'Monthly CUST'!$D$2:$D$65,0),MATCH(BJ$1,'Monthly CUST'!$N$1:$CG$1,0))),IF($J21="Modeled UPC",INDEX('Monthly CUST'!$N$2:$CG$65,MATCH($D21,'Monthly CUST'!$D$2:$D$65,0),MATCH(BJ$1,'Monthly CUST'!$N$1:$CG$1,0))/12*$M21,IF($J21="Base Period",AX21,IF($J21="Adjusted",SUMIF('Input 15_Fcst Inputs'!$A:$A,$D21,'Input 15_Fcst Inputs'!$G:$G)/12))))),0)</f>
        <v>901567.5194516303</v>
      </c>
      <c r="BK21" s="483">
        <f>IFERROR(IF($J21="Historical Average",INDEX('Monthly UPC'!$CM$2:$DJ$65,MATCH($D21,'Monthly UPC'!$D$2:$D$65,0),MATCH(BK$1,'Monthly UPC'!$CM$1:$DJ$1))*(INDEX('Monthly CUST'!$N$2:$CG$65,MATCH($D21,'Monthly CUST'!$D$2:$D$65,0),MATCH(BK$1,'Monthly CUST'!$N$1:$CG$1,0))),IF($J21="UPC Growth Rate",((AY21/INDEX('Monthly CUST'!$N$2:$CG$65,MATCH($D21,'Monthly CUST'!$D$2:$D$65,0),MATCH(AY$1,'Monthly CUST'!$N$1:$CG$1,0)))*(1+$L21)*INDEX('Monthly CUST'!$N$2:$CG$65,MATCH($D21,'Monthly CUST'!$D$2:$D$65,0),MATCH(BK$1,'Monthly CUST'!$N$1:$CG$1,0))),IF($J21="Modeled UPC",INDEX('Monthly CUST'!$N$2:$CG$65,MATCH($D21,'Monthly CUST'!$D$2:$D$65,0),MATCH(BK$1,'Monthly CUST'!$N$1:$CG$1,0))/12*$M21,IF($J21="Base Period",AY21,IF($J21="Adjusted",SUMIF('Input 15_Fcst Inputs'!$A:$A,$D21,'Input 15_Fcst Inputs'!$G:$G)/12))))),0)</f>
        <v>840962.76493610768</v>
      </c>
      <c r="BL21" s="483">
        <f>IFERROR(IF($J21="Historical Average",INDEX('Monthly UPC'!$CM$2:$DJ$65,MATCH($D21,'Monthly UPC'!$D$2:$D$65,0),MATCH(BL$1,'Monthly UPC'!$CM$1:$DJ$1))*(INDEX('Monthly CUST'!$N$2:$CG$65,MATCH($D21,'Monthly CUST'!$D$2:$D$65,0),MATCH(BL$1,'Monthly CUST'!$N$1:$CG$1,0))),IF($J21="UPC Growth Rate",((AZ21/INDEX('Monthly CUST'!$N$2:$CG$65,MATCH($D21,'Monthly CUST'!$D$2:$D$65,0),MATCH(AZ$1,'Monthly CUST'!$N$1:$CG$1,0)))*(1+$L21)*INDEX('Monthly CUST'!$N$2:$CG$65,MATCH($D21,'Monthly CUST'!$D$2:$D$65,0),MATCH(BL$1,'Monthly CUST'!$N$1:$CG$1,0))),IF($J21="Modeled UPC",INDEX('Monthly CUST'!$N$2:$CG$65,MATCH($D21,'Monthly CUST'!$D$2:$D$65,0),MATCH(BL$1,'Monthly CUST'!$N$1:$CG$1,0))/12*$M21,IF($J21="Base Period",AZ21,IF($J21="Adjusted",SUMIF('Input 15_Fcst Inputs'!$A:$A,$D21,'Input 15_Fcst Inputs'!$G:$G)/12))))),0)</f>
        <v>731155.86891577288</v>
      </c>
      <c r="BM21" s="483">
        <f>IFERROR(IF($J21="Historical Average",INDEX('Monthly UPC'!$CM$2:$DJ$65,MATCH($D21,'Monthly UPC'!$D$2:$D$65,0),MATCH(BM$1,'Monthly UPC'!$CM$1:$DJ$1))*(INDEX('Monthly CUST'!$N$2:$CG$65,MATCH($D21,'Monthly CUST'!$D$2:$D$65,0),MATCH(BM$1,'Monthly CUST'!$N$1:$CG$1,0))),IF($J21="UPC Growth Rate",((BA21/INDEX('Monthly CUST'!$N$2:$CG$65,MATCH($D21,'Monthly CUST'!$D$2:$D$65,0),MATCH(BA$1,'Monthly CUST'!$N$1:$CG$1,0)))*(1+$L21)*INDEX('Monthly CUST'!$N$2:$CG$65,MATCH($D21,'Monthly CUST'!$D$2:$D$65,0),MATCH(BM$1,'Monthly CUST'!$N$1:$CG$1,0))),IF($J21="Modeled UPC",INDEX('Monthly CUST'!$N$2:$CG$65,MATCH($D21,'Monthly CUST'!$D$2:$D$65,0),MATCH(BM$1,'Monthly CUST'!$N$1:$CG$1,0))/12*$M21,IF($J21="Base Period",BA21,IF($J21="Adjusted",SUMIF('Input 15_Fcst Inputs'!$A:$A,$D21,'Input 15_Fcst Inputs'!$G:$G)/12))))),0)</f>
        <v>859904.73642771377</v>
      </c>
      <c r="BN21" s="483">
        <f>IFERROR(IF($J21="Historical Average",INDEX('Monthly UPC'!$CM$2:$DJ$65,MATCH($D21,'Monthly UPC'!$D$2:$D$65,0),MATCH(BN$1,'Monthly UPC'!$CM$1:$DJ$1))*(INDEX('Monthly CUST'!$N$2:$CG$65,MATCH($D21,'Monthly CUST'!$D$2:$D$65,0),MATCH(BN$1,'Monthly CUST'!$N$1:$CG$1,0))),IF($J21="UPC Growth Rate",((BB21/INDEX('Monthly CUST'!$N$2:$CG$65,MATCH($D21,'Monthly CUST'!$D$2:$D$65,0),MATCH(BB$1,'Monthly CUST'!$N$1:$CG$1,0)))*(1+$L21)*INDEX('Monthly CUST'!$N$2:$CG$65,MATCH($D21,'Monthly CUST'!$D$2:$D$65,0),MATCH(BN$1,'Monthly CUST'!$N$1:$CG$1,0))),IF($J21="Modeled UPC",INDEX('Monthly CUST'!$N$2:$CG$65,MATCH($D21,'Monthly CUST'!$D$2:$D$65,0),MATCH(BN$1,'Monthly CUST'!$N$1:$CG$1,0))/12*$M21,IF($J21="Base Period",BB21,IF($J21="Adjusted",SUMIF('Input 15_Fcst Inputs'!$A:$A,$D21,'Input 15_Fcst Inputs'!$G:$G)/12))))),0)</f>
        <v>671862.26138849393</v>
      </c>
      <c r="BO21" s="483">
        <f>IFERROR(IF($J21="Historical Average",INDEX('Monthly UPC'!$CM$2:$DJ$65,MATCH($D21,'Monthly UPC'!$D$2:$D$65,0),MATCH(BO$1,'Monthly UPC'!$CM$1:$DJ$1))*(INDEX('Monthly CUST'!$N$2:$CG$65,MATCH($D21,'Monthly CUST'!$D$2:$D$65,0),MATCH(BO$1,'Monthly CUST'!$N$1:$CG$1,0))),IF($J21="UPC Growth Rate",((BC21/INDEX('Monthly CUST'!$N$2:$CG$65,MATCH($D21,'Monthly CUST'!$D$2:$D$65,0),MATCH(BC$1,'Monthly CUST'!$N$1:$CG$1,0)))*(1+$L21)*INDEX('Monthly CUST'!$N$2:$CG$65,MATCH($D21,'Monthly CUST'!$D$2:$D$65,0),MATCH(BO$1,'Monthly CUST'!$N$1:$CG$1,0))),IF($J21="Modeled UPC",INDEX('Monthly CUST'!$N$2:$CG$65,MATCH($D21,'Monthly CUST'!$D$2:$D$65,0),MATCH(BO$1,'Monthly CUST'!$N$1:$CG$1,0))/12*$M21,IF($J21="Base Period",BC21,IF($J21="Adjusted",SUMIF('Input 15_Fcst Inputs'!$A:$A,$D21,'Input 15_Fcst Inputs'!$G:$G)/12))))),0)</f>
        <v>594448.6704444912</v>
      </c>
      <c r="BP21" s="483">
        <f>IFERROR(IF($J21="Historical Average",INDEX('Monthly UPC'!$CM$2:$DJ$65,MATCH($D21,'Monthly UPC'!$D$2:$D$65,0),MATCH(BP$1,'Monthly UPC'!$CM$1:$DJ$1))*(INDEX('Monthly CUST'!$N$2:$CG$65,MATCH($D21,'Monthly CUST'!$D$2:$D$65,0),MATCH(BP$1,'Monthly CUST'!$N$1:$CG$1,0))),IF($J21="UPC Growth Rate",((BD21/INDEX('Monthly CUST'!$N$2:$CG$65,MATCH($D21,'Monthly CUST'!$D$2:$D$65,0),MATCH(BD$1,'Monthly CUST'!$N$1:$CG$1,0)))*(1+$L21)*INDEX('Monthly CUST'!$N$2:$CG$65,MATCH($D21,'Monthly CUST'!$D$2:$D$65,0),MATCH(BP$1,'Monthly CUST'!$N$1:$CG$1,0))),IF($J21="Modeled UPC",INDEX('Monthly CUST'!$N$2:$CG$65,MATCH($D21,'Monthly CUST'!$D$2:$D$65,0),MATCH(BP$1,'Monthly CUST'!$N$1:$CG$1,0))/12*$M21,IF($J21="Base Period",BD21,IF($J21="Adjusted",SUMIF('Input 15_Fcst Inputs'!$A:$A,$D21,'Input 15_Fcst Inputs'!$G:$G)/12))))),0)</f>
        <v>626168.90509693045</v>
      </c>
      <c r="BQ21" s="483">
        <f>IFERROR(IF($J21="Historical Average",INDEX('Monthly UPC'!$CM$2:$DJ$65,MATCH($D21,'Monthly UPC'!$D$2:$D$65,0),MATCH(BQ$1,'Monthly UPC'!$CM$1:$DJ$1))*(INDEX('Monthly CUST'!$N$2:$CG$65,MATCH($D21,'Monthly CUST'!$D$2:$D$65,0),MATCH(BQ$1,'Monthly CUST'!$N$1:$CG$1,0))),IF($J21="UPC Growth Rate",((BE21/INDEX('Monthly CUST'!$N$2:$CG$65,MATCH($D21,'Monthly CUST'!$D$2:$D$65,0),MATCH(BE$1,'Monthly CUST'!$N$1:$CG$1,0)))*(1+$L21)*INDEX('Monthly CUST'!$N$2:$CG$65,MATCH($D21,'Monthly CUST'!$D$2:$D$65,0),MATCH(BQ$1,'Monthly CUST'!$N$1:$CG$1,0))),IF($J21="Modeled UPC",INDEX('Monthly CUST'!$N$2:$CG$65,MATCH($D21,'Monthly CUST'!$D$2:$D$65,0),MATCH(BQ$1,'Monthly CUST'!$N$1:$CG$1,0))/12*$M21,IF($J21="Base Period",BE21,IF($J21="Adjusted",SUMIF('Input 15_Fcst Inputs'!$A:$A,$D21,'Input 15_Fcst Inputs'!$G:$G)/12))))),0)</f>
        <v>523551.12095254101</v>
      </c>
      <c r="BR21" s="483">
        <f>IFERROR(IF($J21="Historical Average",INDEX('Monthly UPC'!$CM$2:$DJ$65,MATCH($D21,'Monthly UPC'!$D$2:$D$65,0),MATCH(BR$1,'Monthly UPC'!$CM$1:$DJ$1))*(INDEX('Monthly CUST'!$N$2:$CG$65,MATCH($D21,'Monthly CUST'!$D$2:$D$65,0),MATCH(BR$1,'Monthly CUST'!$N$1:$CG$1,0))),IF($J21="UPC Growth Rate",((BF21/INDEX('Monthly CUST'!$N$2:$CG$65,MATCH($D21,'Monthly CUST'!$D$2:$D$65,0),MATCH(BF$1,'Monthly CUST'!$N$1:$CG$1,0)))*(1+$L21)*INDEX('Monthly CUST'!$N$2:$CG$65,MATCH($D21,'Monthly CUST'!$D$2:$D$65,0),MATCH(BR$1,'Monthly CUST'!$N$1:$CG$1,0))),IF($J21="Modeled UPC",INDEX('Monthly CUST'!$N$2:$CG$65,MATCH($D21,'Monthly CUST'!$D$2:$D$65,0),MATCH(BR$1,'Monthly CUST'!$N$1:$CG$1,0))/12*$M21,IF($J21="Base Period",BF21,IF($J21="Adjusted",SUMIF('Input 15_Fcst Inputs'!$A:$A,$D21,'Input 15_Fcst Inputs'!$G:$G)/12))))),0)</f>
        <v>530263.513526747</v>
      </c>
      <c r="BS21" s="483">
        <f>IFERROR(IF($J21="Historical Average",INDEX('Monthly UPC'!$CM$2:$DJ$65,MATCH($D21,'Monthly UPC'!$D$2:$D$65,0),MATCH(BS$1,'Monthly UPC'!$CM$1:$DJ$1))*(INDEX('Monthly CUST'!$N$2:$CG$65,MATCH($D21,'Monthly CUST'!$D$2:$D$65,0),MATCH(BS$1,'Monthly CUST'!$N$1:$CG$1,0))),IF($J21="UPC Growth Rate",((BG21/INDEX('Monthly CUST'!$N$2:$CG$65,MATCH($D21,'Monthly CUST'!$D$2:$D$65,0),MATCH(BG$1,'Monthly CUST'!$N$1:$CG$1,0)))*(1+$L21)*INDEX('Monthly CUST'!$N$2:$CG$65,MATCH($D21,'Monthly CUST'!$D$2:$D$65,0),MATCH(BS$1,'Monthly CUST'!$N$1:$CG$1,0))),IF($J21="Modeled UPC",INDEX('Monthly CUST'!$N$2:$CG$65,MATCH($D21,'Monthly CUST'!$D$2:$D$65,0),MATCH(BS$1,'Monthly CUST'!$N$1:$CG$1,0))/12*$M21,IF($J21="Base Period",BG21,IF($J21="Adjusted",SUMIF('Input 15_Fcst Inputs'!$A:$A,$D21,'Input 15_Fcst Inputs'!$G:$G)/12))))),0)</f>
        <v>556694.19083146635</v>
      </c>
      <c r="BT21" s="483">
        <f>IFERROR(IF($J21="Historical Average",INDEX('Monthly UPC'!$CM$2:$DJ$65,MATCH($D21,'Monthly UPC'!$D$2:$D$65,0),MATCH(BT$1,'Monthly UPC'!$CM$1:$DJ$1))*(INDEX('Monthly CUST'!$N$2:$CG$65,MATCH($D21,'Monthly CUST'!$D$2:$D$65,0),MATCH(BT$1,'Monthly CUST'!$N$1:$CG$1,0))),IF($J21="UPC Growth Rate",((BH21/INDEX('Monthly CUST'!$N$2:$CG$65,MATCH($D21,'Monthly CUST'!$D$2:$D$65,0),MATCH(BH$1,'Monthly CUST'!$N$1:$CG$1,0)))*(1+$L21)*INDEX('Monthly CUST'!$N$2:$CG$65,MATCH($D21,'Monthly CUST'!$D$2:$D$65,0),MATCH(BT$1,'Monthly CUST'!$N$1:$CG$1,0))),IF($J21="Modeled UPC",INDEX('Monthly CUST'!$N$2:$CG$65,MATCH($D21,'Monthly CUST'!$D$2:$D$65,0),MATCH(BT$1,'Monthly CUST'!$N$1:$CG$1,0))/12*$M21,IF($J21="Base Period",BH21,IF($J21="Adjusted",SUMIF('Input 15_Fcst Inputs'!$A:$A,$D21,'Input 15_Fcst Inputs'!$G:$G)/12))))),0)</f>
        <v>609413.48348641861</v>
      </c>
      <c r="BU21" s="483">
        <f>IFERROR(IF($J21="Historical Average",INDEX('Monthly UPC'!$CM$2:$DJ$65,MATCH($D21,'Monthly UPC'!$D$2:$D$65,0),MATCH(BU$1,'Monthly UPC'!$CM$1:$DJ$1))*(INDEX('Monthly CUST'!$N$2:$CG$65,MATCH($D21,'Monthly CUST'!$D$2:$D$65,0),MATCH(BU$1,'Monthly CUST'!$N$1:$CG$1,0))),IF($J21="UPC Growth Rate",((BI21/INDEX('Monthly CUST'!$N$2:$CG$65,MATCH($D21,'Monthly CUST'!$D$2:$D$65,0),MATCH(BI$1,'Monthly CUST'!$N$1:$CG$1,0)))*(1+$L21)*INDEX('Monthly CUST'!$N$2:$CG$65,MATCH($D21,'Monthly CUST'!$D$2:$D$65,0),MATCH(BU$1,'Monthly CUST'!$N$1:$CG$1,0))),IF($J21="Modeled UPC",INDEX('Monthly CUST'!$N$2:$CG$65,MATCH($D21,'Monthly CUST'!$D$2:$D$65,0),MATCH(BU$1,'Monthly CUST'!$N$1:$CG$1,0))/12*$M21,IF($J21="Base Period",BI21,IF($J21="Adjusted",SUMIF('Input 15_Fcst Inputs'!$A:$A,$D21,'Input 15_Fcst Inputs'!$G:$G)/12))))),0)</f>
        <v>704156.51655405131</v>
      </c>
      <c r="BV21" s="483">
        <f>IFERROR(IF($J21="Historical Average",INDEX('Monthly UPC'!$CM$2:$DJ$65,MATCH($D21,'Monthly UPC'!$D$2:$D$65,0),MATCH(BV$1,'Monthly UPC'!$CM$1:$DJ$1))*(INDEX('Monthly CUST'!$N$2:$CG$65,MATCH($D21,'Monthly CUST'!$D$2:$D$65,0),MATCH(BV$1,'Monthly CUST'!$N$1:$CG$1,0))),IF($J21="UPC Growth Rate",((BJ21/INDEX('Monthly CUST'!$N$2:$CG$65,MATCH($D21,'Monthly CUST'!$D$2:$D$65,0),MATCH(BJ$1,'Monthly CUST'!$N$1:$CG$1,0)))*(1+$L21)*INDEX('Monthly CUST'!$N$2:$CG$65,MATCH($D21,'Monthly CUST'!$D$2:$D$65,0),MATCH(BV$1,'Monthly CUST'!$N$1:$CG$1,0))),IF($J21="Modeled UPC",INDEX('Monthly CUST'!$N$2:$CG$65,MATCH($D21,'Monthly CUST'!$D$2:$D$65,0),MATCH(BV$1,'Monthly CUST'!$N$1:$CG$1,0))/12*$M21,IF($J21="Base Period",BJ21,IF($J21="Adjusted",SUMIF('Input 15_Fcst Inputs'!$A:$A,$D21,'Input 15_Fcst Inputs'!$G:$G)/12))))),0)</f>
        <v>895778.737688369</v>
      </c>
      <c r="BW21" s="483">
        <f>IFERROR(IF($J21="Historical Average",INDEX('Monthly UPC'!$CM$2:$DJ$65,MATCH($D21,'Monthly UPC'!$D$2:$D$65,0),MATCH(BW$1,'Monthly UPC'!$CM$1:$DJ$1))*(INDEX('Monthly CUST'!$N$2:$CG$65,MATCH($D21,'Monthly CUST'!$D$2:$D$65,0),MATCH(BW$1,'Monthly CUST'!$N$1:$CG$1,0))),IF($J21="UPC Growth Rate",((BK21/INDEX('Monthly CUST'!$N$2:$CG$65,MATCH($D21,'Monthly CUST'!$D$2:$D$65,0),MATCH(BK$1,'Monthly CUST'!$N$1:$CG$1,0)))*(1+$L21)*INDEX('Monthly CUST'!$N$2:$CG$65,MATCH($D21,'Monthly CUST'!$D$2:$D$65,0),MATCH(BW$1,'Monthly CUST'!$N$1:$CG$1,0))),IF($J21="Modeled UPC",INDEX('Monthly CUST'!$N$2:$CG$65,MATCH($D21,'Monthly CUST'!$D$2:$D$65,0),MATCH(BW$1,'Monthly CUST'!$N$1:$CG$1,0))/12*$M21,IF($J21="Base Period",BK21,IF($J21="Adjusted",SUMIF('Input 15_Fcst Inputs'!$A:$A,$D21,'Input 15_Fcst Inputs'!$G:$G)/12))))),0)</f>
        <v>835563.11398128525</v>
      </c>
      <c r="BX21" s="483">
        <f>IFERROR(IF($J21="Historical Average",INDEX('Monthly UPC'!$CM$2:$DJ$65,MATCH($D21,'Monthly UPC'!$D$2:$D$65,0),MATCH(BX$1,'Monthly UPC'!$CM$1:$DJ$1))*(INDEX('Monthly CUST'!$N$2:$CG$65,MATCH($D21,'Monthly CUST'!$D$2:$D$65,0),MATCH(BX$1,'Monthly CUST'!$N$1:$CG$1,0))),IF($J21="UPC Growth Rate",((BL21/INDEX('Monthly CUST'!$N$2:$CG$65,MATCH($D21,'Monthly CUST'!$D$2:$D$65,0),MATCH(BL$1,'Monthly CUST'!$N$1:$CG$1,0)))*(1+$L21)*INDEX('Monthly CUST'!$N$2:$CG$65,MATCH($D21,'Monthly CUST'!$D$2:$D$65,0),MATCH(BX$1,'Monthly CUST'!$N$1:$CG$1,0))),IF($J21="Modeled UPC",INDEX('Monthly CUST'!$N$2:$CG$65,MATCH($D21,'Monthly CUST'!$D$2:$D$65,0),MATCH(BX$1,'Monthly CUST'!$N$1:$CG$1,0))/12*$M21,IF($J21="Base Period",BL21,IF($J21="Adjusted",SUMIF('Input 15_Fcst Inputs'!$A:$A,$D21,'Input 15_Fcst Inputs'!$G:$G)/12))))),0)</f>
        <v>726461.26571771689</v>
      </c>
      <c r="BY21" s="483">
        <f>IFERROR(IF($J21="Historical Average",INDEX('Monthly UPC'!$CM$2:$DJ$65,MATCH($D21,'Monthly UPC'!$D$2:$D$65,0),MATCH(BY$1,'Monthly UPC'!$CM$1:$DJ$1))*(INDEX('Monthly CUST'!$N$2:$CG$65,MATCH($D21,'Monthly CUST'!$D$2:$D$65,0),MATCH(BY$1,'Monthly CUST'!$N$1:$CG$1,0))),IF($J21="UPC Growth Rate",((BM21/INDEX('Monthly CUST'!$N$2:$CG$65,MATCH($D21,'Monthly CUST'!$D$2:$D$65,0),MATCH(BM$1,'Monthly CUST'!$N$1:$CG$1,0)))*(1+$L21)*INDEX('Monthly CUST'!$N$2:$CG$65,MATCH($D21,'Monthly CUST'!$D$2:$D$65,0),MATCH(BY$1,'Monthly CUST'!$N$1:$CG$1,0))),IF($J21="Modeled UPC",INDEX('Monthly CUST'!$N$2:$CG$65,MATCH($D21,'Monthly CUST'!$D$2:$D$65,0),MATCH(BY$1,'Monthly CUST'!$N$1:$CG$1,0))/12*$M21,IF($J21="Base Period",BM21,IF($J21="Adjusted",SUMIF('Input 15_Fcst Inputs'!$A:$A,$D21,'Input 15_Fcst Inputs'!$G:$G)/12))))),0)</f>
        <v>854383.46292464621</v>
      </c>
      <c r="BZ21" s="483">
        <f>IFERROR(IF($J21="Historical Average",INDEX('Monthly UPC'!$CM$2:$DJ$65,MATCH($D21,'Monthly UPC'!$D$2:$D$65,0),MATCH(BZ$1,'Monthly UPC'!$CM$1:$DJ$1))*(INDEX('Monthly CUST'!$N$2:$CG$65,MATCH($D21,'Monthly CUST'!$D$2:$D$65,0),MATCH(BZ$1,'Monthly CUST'!$N$1:$CG$1,0))),IF($J21="UPC Growth Rate",((BN21/INDEX('Monthly CUST'!$N$2:$CG$65,MATCH($D21,'Monthly CUST'!$D$2:$D$65,0),MATCH(BN$1,'Monthly CUST'!$N$1:$CG$1,0)))*(1+$L21)*INDEX('Monthly CUST'!$N$2:$CG$65,MATCH($D21,'Monthly CUST'!$D$2:$D$65,0),MATCH(BZ$1,'Monthly CUST'!$N$1:$CG$1,0))),IF($J21="Modeled UPC",INDEX('Monthly CUST'!$N$2:$CG$65,MATCH($D21,'Monthly CUST'!$D$2:$D$65,0),MATCH(BZ$1,'Monthly CUST'!$N$1:$CG$1,0))/12*$M21,IF($J21="Base Period",BN21,IF($J21="Adjusted",SUMIF('Input 15_Fcst Inputs'!$A:$A,$D21,'Input 15_Fcst Inputs'!$G:$G)/12))))),0)</f>
        <v>667548.37039060751</v>
      </c>
      <c r="CA21" s="483">
        <f>IFERROR(IF($J21="Historical Average",INDEX('Monthly UPC'!$CM$2:$DJ$65,MATCH($D21,'Monthly UPC'!$D$2:$D$65,0),MATCH(CA$1,'Monthly UPC'!$CM$1:$DJ$1))*(INDEX('Monthly CUST'!$N$2:$CG$65,MATCH($D21,'Monthly CUST'!$D$2:$D$65,0),MATCH(CA$1,'Monthly CUST'!$N$1:$CG$1,0))),IF($J21="UPC Growth Rate",((BO21/INDEX('Monthly CUST'!$N$2:$CG$65,MATCH($D21,'Monthly CUST'!$D$2:$D$65,0),MATCH(BO$1,'Monthly CUST'!$N$1:$CG$1,0)))*(1+$L21)*INDEX('Monthly CUST'!$N$2:$CG$65,MATCH($D21,'Monthly CUST'!$D$2:$D$65,0),MATCH(CA$1,'Monthly CUST'!$N$1:$CG$1,0))),IF($J21="Modeled UPC",INDEX('Monthly CUST'!$N$2:$CG$65,MATCH($D21,'Monthly CUST'!$D$2:$D$65,0),MATCH(CA$1,'Monthly CUST'!$N$1:$CG$1,0))/12*$M21,IF($J21="Base Period",BO21,IF($J21="Adjusted",SUMIF('Input 15_Fcst Inputs'!$A:$A,$D21,'Input 15_Fcst Inputs'!$G:$G)/12))))),0)</f>
        <v>590631.8363766924</v>
      </c>
      <c r="CB21" s="483">
        <f>IFERROR(IF($J21="Historical Average",INDEX('Monthly UPC'!$CM$2:$DJ$65,MATCH($D21,'Monthly UPC'!$D$2:$D$65,0),MATCH(CB$1,'Monthly UPC'!$CM$1:$DJ$1))*(INDEX('Monthly CUST'!$N$2:$CG$65,MATCH($D21,'Monthly CUST'!$D$2:$D$65,0),MATCH(CB$1,'Monthly CUST'!$N$1:$CG$1,0))),IF($J21="UPC Growth Rate",((BP21/INDEX('Monthly CUST'!$N$2:$CG$65,MATCH($D21,'Monthly CUST'!$D$2:$D$65,0),MATCH(BP$1,'Monthly CUST'!$N$1:$CG$1,0)))*(1+$L21)*INDEX('Monthly CUST'!$N$2:$CG$65,MATCH($D21,'Monthly CUST'!$D$2:$D$65,0),MATCH(CB$1,'Monthly CUST'!$N$1:$CG$1,0))),IF($J21="Modeled UPC",INDEX('Monthly CUST'!$N$2:$CG$65,MATCH($D21,'Monthly CUST'!$D$2:$D$65,0),MATCH(CB$1,'Monthly CUST'!$N$1:$CG$1,0))/12*$M21,IF($J21="Base Period",BP21,IF($J21="Adjusted",SUMIF('Input 15_Fcst Inputs'!$A:$A,$D21,'Input 15_Fcst Inputs'!$G:$G)/12))))),0)</f>
        <v>622148.40185081633</v>
      </c>
      <c r="CC21" s="483">
        <f>IFERROR(IF($J21="Historical Average",INDEX('Monthly UPC'!$CM$2:$DJ$65,MATCH($D21,'Monthly UPC'!$D$2:$D$65,0),MATCH(CC$1,'Monthly UPC'!$CM$1:$DJ$1))*(INDEX('Monthly CUST'!$N$2:$CG$65,MATCH($D21,'Monthly CUST'!$D$2:$D$65,0),MATCH(CC$1,'Monthly CUST'!$N$1:$CG$1,0))),IF($J21="UPC Growth Rate",((BQ21/INDEX('Monthly CUST'!$N$2:$CG$65,MATCH($D21,'Monthly CUST'!$D$2:$D$65,0),MATCH(BQ$1,'Monthly CUST'!$N$1:$CG$1,0)))*(1+$L21)*INDEX('Monthly CUST'!$N$2:$CG$65,MATCH($D21,'Monthly CUST'!$D$2:$D$65,0),MATCH(CC$1,'Monthly CUST'!$N$1:$CG$1,0))),IF($J21="Modeled UPC",INDEX('Monthly CUST'!$N$2:$CG$65,MATCH($D21,'Monthly CUST'!$D$2:$D$65,0),MATCH(CC$1,'Monthly CUST'!$N$1:$CG$1,0))/12*$M21,IF($J21="Base Period",BQ21,IF($J21="Adjusted",SUMIF('Input 15_Fcst Inputs'!$A:$A,$D21,'Input 15_Fcst Inputs'!$G:$G)/12))))),0)</f>
        <v>520189.50563730829</v>
      </c>
      <c r="CD21" s="483">
        <f>IFERROR(IF($J21="Historical Average",INDEX('Monthly UPC'!$CM$2:$DJ$65,MATCH($D21,'Monthly UPC'!$D$2:$D$65,0),MATCH(CD$1,'Monthly UPC'!$CM$1:$DJ$1))*(INDEX('Monthly CUST'!$N$2:$CG$65,MATCH($D21,'Monthly CUST'!$D$2:$D$65,0),MATCH(CD$1,'Monthly CUST'!$N$1:$CG$1,0))),IF($J21="UPC Growth Rate",((BR21/INDEX('Monthly CUST'!$N$2:$CG$65,MATCH($D21,'Monthly CUST'!$D$2:$D$65,0),MATCH(BR$1,'Monthly CUST'!$N$1:$CG$1,0)))*(1+$L21)*INDEX('Monthly CUST'!$N$2:$CG$65,MATCH($D21,'Monthly CUST'!$D$2:$D$65,0),MATCH(CD$1,'Monthly CUST'!$N$1:$CG$1,0))),IF($J21="Modeled UPC",INDEX('Monthly CUST'!$N$2:$CG$65,MATCH($D21,'Monthly CUST'!$D$2:$D$65,0),MATCH(CD$1,'Monthly CUST'!$N$1:$CG$1,0))/12*$M21,IF($J21="Base Period",BR21,IF($J21="Adjusted",SUMIF('Input 15_Fcst Inputs'!$A:$A,$D21,'Input 15_Fcst Inputs'!$G:$G)/12))))),0)</f>
        <v>526858.79930335376</v>
      </c>
      <c r="CE21" s="483">
        <f>IFERROR(IF($J21="Historical Average",INDEX('Monthly UPC'!$CM$2:$DJ$65,MATCH($D21,'Monthly UPC'!$D$2:$D$65,0),MATCH(CE$1,'Monthly UPC'!$CM$1:$DJ$1))*(INDEX('Monthly CUST'!$N$2:$CG$65,MATCH($D21,'Monthly CUST'!$D$2:$D$65,0),MATCH(CE$1,'Monthly CUST'!$N$1:$CG$1,0))),IF($J21="UPC Growth Rate",((BS21/INDEX('Monthly CUST'!$N$2:$CG$65,MATCH($D21,'Monthly CUST'!$D$2:$D$65,0),MATCH(BS$1,'Monthly CUST'!$N$1:$CG$1,0)))*(1+$L21)*INDEX('Monthly CUST'!$N$2:$CG$65,MATCH($D21,'Monthly CUST'!$D$2:$D$65,0),MATCH(CE$1,'Monthly CUST'!$N$1:$CG$1,0))),IF($J21="Modeled UPC",INDEX('Monthly CUST'!$N$2:$CG$65,MATCH($D21,'Monthly CUST'!$D$2:$D$65,0),MATCH(CE$1,'Monthly CUST'!$N$1:$CG$1,0))/12*$M21,IF($J21="Base Period",BS21,IF($J21="Adjusted",SUMIF('Input 15_Fcst Inputs'!$A:$A,$D21,'Input 15_Fcst Inputs'!$G:$G)/12))))),0)</f>
        <v>553119.77060217655</v>
      </c>
      <c r="CF21" s="483">
        <f>IFERROR(IF($J21="Historical Average",INDEX('Monthly UPC'!$CM$2:$DJ$65,MATCH($D21,'Monthly UPC'!$D$2:$D$65,0),MATCH(CF$1,'Monthly UPC'!$CM$1:$DJ$1))*(INDEX('Monthly CUST'!$N$2:$CG$65,MATCH($D21,'Monthly CUST'!$D$2:$D$65,0),MATCH(CF$1,'Monthly CUST'!$N$1:$CG$1,0))),IF($J21="UPC Growth Rate",((BT21/INDEX('Monthly CUST'!$N$2:$CG$65,MATCH($D21,'Monthly CUST'!$D$2:$D$65,0),MATCH(BT$1,'Monthly CUST'!$N$1:$CG$1,0)))*(1+$L21)*INDEX('Monthly CUST'!$N$2:$CG$65,MATCH($D21,'Monthly CUST'!$D$2:$D$65,0),MATCH(CF$1,'Monthly CUST'!$N$1:$CG$1,0))),IF($J21="Modeled UPC",INDEX('Monthly CUST'!$N$2:$CG$65,MATCH($D21,'Monthly CUST'!$D$2:$D$65,0),MATCH(CF$1,'Monthly CUST'!$N$1:$CG$1,0))/12*$M21,IF($J21="Base Period",BT21,IF($J21="Adjusted",SUMIF('Input 15_Fcst Inputs'!$A:$A,$D21,'Input 15_Fcst Inputs'!$G:$G)/12))))),0)</f>
        <v>605500.56339626561</v>
      </c>
      <c r="CG21" s="483">
        <f>IFERROR(IF($J21="Historical Average",INDEX('Monthly UPC'!$CM$2:$DJ$65,MATCH($D21,'Monthly UPC'!$D$2:$D$65,0),MATCH(CG$1,'Monthly UPC'!$CM$1:$DJ$1))*(INDEX('Monthly CUST'!$N$2:$CG$65,MATCH($D21,'Monthly CUST'!$D$2:$D$65,0),MATCH(CG$1,'Monthly CUST'!$N$1:$CG$1,0))),IF($J21="UPC Growth Rate",((BU21/INDEX('Monthly CUST'!$N$2:$CG$65,MATCH($D21,'Monthly CUST'!$D$2:$D$65,0),MATCH(BU$1,'Monthly CUST'!$N$1:$CG$1,0)))*(1+$L21)*INDEX('Monthly CUST'!$N$2:$CG$65,MATCH($D21,'Monthly CUST'!$D$2:$D$65,0),MATCH(CG$1,'Monthly CUST'!$N$1:$CG$1,0))),IF($J21="Modeled UPC",INDEX('Monthly CUST'!$N$2:$CG$65,MATCH($D21,'Monthly CUST'!$D$2:$D$65,0),MATCH(CG$1,'Monthly CUST'!$N$1:$CG$1,0))/12*$M21,IF($J21="Base Period",BU21,IF($J21="Adjusted",SUMIF('Input 15_Fcst Inputs'!$A:$A,$D21,'Input 15_Fcst Inputs'!$G:$G)/12))))),0)</f>
        <v>699635.2707088273</v>
      </c>
      <c r="CH21" s="197"/>
      <c r="CI21" s="197">
        <f t="shared" si="0"/>
        <v>9101179.9599999972</v>
      </c>
      <c r="CJ21" s="197">
        <f t="shared" si="1"/>
        <v>9095256.9100000001</v>
      </c>
      <c r="CK21" s="197">
        <f t="shared" si="2"/>
        <v>7704386.799999997</v>
      </c>
      <c r="CL21" s="197">
        <f t="shared" si="3"/>
        <v>8202818.1799999988</v>
      </c>
      <c r="CM21" s="197">
        <f t="shared" si="4"/>
        <v>8150149.5520123644</v>
      </c>
      <c r="CN21" s="197">
        <f t="shared" si="5"/>
        <v>8097819.0985780656</v>
      </c>
      <c r="CP21" s="4">
        <f>SUMIF('Master '!D:D,D21,'Master '!AH:AH)</f>
        <v>8150149.5520123653</v>
      </c>
      <c r="CQ21" s="4">
        <f>SUMIF('Master '!D:D,D21,'Master '!AI:AI)</f>
        <v>8097819.0985780656</v>
      </c>
      <c r="CR21" s="197">
        <f t="shared" si="6"/>
        <v>0</v>
      </c>
      <c r="CS21" s="197">
        <f t="shared" si="7"/>
        <v>0</v>
      </c>
      <c r="CT21" t="s">
        <v>287</v>
      </c>
      <c r="CV21" t="str">
        <f>VLOOKUP(G21,'Master '!G:CC,75,FALSE)</f>
        <v>LVS</v>
      </c>
    </row>
    <row r="22" spans="1:100">
      <c r="A22" s="53" t="s">
        <v>15</v>
      </c>
      <c r="B22" s="53" t="s">
        <v>993</v>
      </c>
      <c r="C22" s="53" t="s">
        <v>1245</v>
      </c>
      <c r="D22" s="53" t="s">
        <v>46</v>
      </c>
      <c r="E22" s="53" t="str">
        <f>VLOOKUP(D22,'Input 14_Ref Table'!C:D,2,FALSE)</f>
        <v>GLT91</v>
      </c>
      <c r="F22" s="143" t="s">
        <v>1286</v>
      </c>
      <c r="G22" s="53" t="str">
        <f>VLOOKUP(D22,'Input 14_Ref Table'!C:I,7,FALSE)</f>
        <v>FPU - FPU - LVTS &gt;50k</v>
      </c>
      <c r="H22" s="53" t="str">
        <f>VLOOKUP(D22,'Input 14_Ref Table'!C:K,8,FALSE)</f>
        <v>LVS</v>
      </c>
      <c r="I22" s="53"/>
      <c r="J22" t="str">
        <f>INDEX('Master '!$AD$2:AD$65,MATCH(D22,'Master '!$D$2:$D$65,0))</f>
        <v>UPC Growth Rate</v>
      </c>
      <c r="K22" s="458">
        <f>INDEX('Master '!$N$2:N$65,MATCH(D22,'Master '!$D$2:$D$65,0))</f>
        <v>1.1133093100946111E-2</v>
      </c>
      <c r="L22" s="137">
        <f>INDEX('Master '!$S$2:S$65,MATCH(D22,'Master '!$D$2:$D$65,0))</f>
        <v>-1.7360612496315646E-2</v>
      </c>
      <c r="M22" s="4">
        <f>INDEX('Master '!$W$2:W$65,MATCH(D22,'Master '!$D$2:$D$65,0))</f>
        <v>19502.099999999999</v>
      </c>
      <c r="N22" s="268">
        <f>SUMIF('Input 16.1_2018VOL-YTD'!$R:$R,$G22,'Input 16.1_2018VOL-YTD'!C:C)</f>
        <v>3074701.2399999998</v>
      </c>
      <c r="O22" s="268">
        <f>SUMIF('Input 16.1_2018VOL-YTD'!$R:$R,$G22,'Input 16.1_2018VOL-YTD'!D:D)</f>
        <v>2841852.0600000005</v>
      </c>
      <c r="P22" s="268">
        <f>SUMIF('Input 16.1_2018VOL-YTD'!$R:$R,$G22,'Input 16.1_2018VOL-YTD'!E:E)</f>
        <v>2802097.3599999989</v>
      </c>
      <c r="Q22" s="268">
        <f>SUMIF('Input 16.1_2018VOL-YTD'!$R:$R,$G22,'Input 16.1_2018VOL-YTD'!F:F)</f>
        <v>2852370.3699999987</v>
      </c>
      <c r="R22" s="268">
        <f>SUMIF('Input 16.1_2018VOL-YTD'!$R:$R,$G22,'Input 16.1_2018VOL-YTD'!G:G)</f>
        <v>2649343.2999999993</v>
      </c>
      <c r="S22" s="268">
        <f>SUMIF('Input 16.1_2018VOL-YTD'!$R:$R,$G22,'Input 16.1_2018VOL-YTD'!H:H)</f>
        <v>2599670.89</v>
      </c>
      <c r="T22" s="268">
        <f>SUMIF('Input 16.1_2018VOL-YTD'!$R:$R,$G22,'Input 16.1_2018VOL-YTD'!I:I)</f>
        <v>2442906.6799999988</v>
      </c>
      <c r="U22" s="268">
        <f>SUMIF('Input 16.1_2018VOL-YTD'!$R:$R,$G22,'Input 16.1_2018VOL-YTD'!J:J)</f>
        <v>2487274.4399999995</v>
      </c>
      <c r="V22" s="268">
        <f>SUMIF('Input 16.1_2018VOL-YTD'!$R:$R,$G22,'Input 16.1_2018VOL-YTD'!K:K)</f>
        <v>2451861.8400000017</v>
      </c>
      <c r="W22" s="268">
        <f>SUMIF('Input 16.1_2018VOL-YTD'!$R:$R,$G22,'Input 16.1_2018VOL-YTD'!L:L)</f>
        <v>2420639.5399999982</v>
      </c>
      <c r="X22" s="268">
        <f>SUMIF('Input 16.1_2018VOL-YTD'!$R:$R,$G22,'Input 16.1_2018VOL-YTD'!M:M)</f>
        <v>2689350.9600000004</v>
      </c>
      <c r="Y22" s="268">
        <f>SUMIF('Input 16.1_2018VOL-YTD'!$R:$R,$G22,'Input 16.1_2018VOL-YTD'!N:N)</f>
        <v>2934689.6499999966</v>
      </c>
      <c r="Z22" s="268">
        <f>SUMIF('Input 3.1_2019VOL-YTD'!$R:$R,$G22,'Input 3.1_2019VOL-YTD'!C:C)</f>
        <v>3285817.3499999973</v>
      </c>
      <c r="AA22" s="268">
        <f>SUMIF('Input 3.1_2019VOL-YTD'!$R:$R,$G22,'Input 3.1_2019VOL-YTD'!D:D)</f>
        <v>2917290.27</v>
      </c>
      <c r="AB22" s="268">
        <f>SUMIF('Input 3.1_2019VOL-YTD'!$R:$R,$G22,'Input 3.1_2019VOL-YTD'!E:E)</f>
        <v>2850994.7000000011</v>
      </c>
      <c r="AC22" s="268">
        <f>SUMIF('Input 3.1_2019VOL-YTD'!$R:$R,$G22,'Input 3.1_2019VOL-YTD'!F:F)</f>
        <v>2824900.299999998</v>
      </c>
      <c r="AD22" s="268">
        <f>SUMIF('Input 3.1_2019VOL-YTD'!$R:$R,$G22,'Input 3.1_2019VOL-YTD'!G:G)</f>
        <v>2780252.489999996</v>
      </c>
      <c r="AE22" s="268">
        <f>SUMIF('Input 3.1_2019VOL-YTD'!$R:$R,$G22,'Input 3.1_2019VOL-YTD'!H:H)</f>
        <v>2537660.9199999981</v>
      </c>
      <c r="AF22" s="268">
        <f>SUMIF('Input 3.1_2019VOL-YTD'!$R:$R,$G22,'Input 3.1_2019VOL-YTD'!I:I)</f>
        <v>2388022.4999999991</v>
      </c>
      <c r="AG22" s="268">
        <f>SUMIF('Input 3.1_2019VOL-YTD'!$R:$R,$G22,'Input 3.1_2019VOL-YTD'!J:J)</f>
        <v>2503486.8600000013</v>
      </c>
      <c r="AH22" s="268">
        <f>SUMIF('Input 3.1_2019VOL-YTD'!$R:$R,$G22,'Input 3.1_2019VOL-YTD'!K:K)</f>
        <v>2396999.23</v>
      </c>
      <c r="AI22" s="268">
        <f>SUMIF('Input 3.1_2019VOL-YTD'!$R:$R,$G22,'Input 3.1_2019VOL-YTD'!L:L)</f>
        <v>2550170.6100000022</v>
      </c>
      <c r="AJ22" s="268">
        <f>SUMIF('Input 3.1_2019VOL-YTD'!$R:$R,$G22,'Input 3.1_2019VOL-YTD'!M:M)</f>
        <v>2851256.73</v>
      </c>
      <c r="AK22" s="268">
        <f>SUMIF('Input 3.1_2019VOL-YTD'!$R:$R,$G22,'Input 3.1_2019VOL-YTD'!N:N)</f>
        <v>3110594.5999999959</v>
      </c>
      <c r="AL22" s="268">
        <f>SUMIF('Input 4.1_2020VOL-YTD'!$R:$R,$G22,'Input 4.1_2020VOL-YTD'!C:C)</f>
        <v>3227691.1699999995</v>
      </c>
      <c r="AM22" s="268">
        <f>SUMIF('Input 4.1_2020VOL-YTD'!$R:$R,$G22,'Input 4.1_2020VOL-YTD'!D:D)</f>
        <v>3004281.2699999963</v>
      </c>
      <c r="AN22" s="268">
        <f>SUMIF('Input 4.1_2020VOL-YTD'!$R:$R,$G22,'Input 4.1_2020VOL-YTD'!E:E)</f>
        <v>2834520.8200000031</v>
      </c>
      <c r="AO22" s="268">
        <f>SUMIF('Input 4.1_2020VOL-YTD'!$R:$R,$G22,'Input 4.1_2020VOL-YTD'!F:F)</f>
        <v>2186329.3499999982</v>
      </c>
      <c r="AP22" s="268">
        <f>SUMIF('Input 4.1_2020VOL-YTD'!$R:$R,$G22,'Input 4.1_2020VOL-YTD'!G:G)</f>
        <v>2061075.5500000007</v>
      </c>
      <c r="AQ22" s="268">
        <f>SUMIF('Input 4.1_2020VOL-YTD'!$R:$R,$G22,'Input 4.1_2020VOL-YTD'!H:H)</f>
        <v>2197247.7000000025</v>
      </c>
      <c r="AR22" s="268">
        <f>SUMIF('Input 4.1_2020VOL-YTD'!$R:$R,$G22,'Input 4.1_2020VOL-YTD'!I:I)</f>
        <v>2335218.3700000006</v>
      </c>
      <c r="AS22" s="268">
        <f>SUMIF('Input 4.1_2020VOL-YTD'!$R:$R,$G22,'Input 4.1_2020VOL-YTD'!J:J)</f>
        <v>2243943.689999999</v>
      </c>
      <c r="AT22" s="268">
        <f>SUMIF('Input 4.1_2020VOL-YTD'!$R:$R,$G22,'Input 4.1_2020VOL-YTD'!K:K)</f>
        <v>2290174.8200000012</v>
      </c>
      <c r="AU22" s="268">
        <f>SUMIF('Input 4.1_2020VOL-YTD'!$R:$R,$G22,'Input 4.1_2020VOL-YTD'!L:L)</f>
        <v>2320817.4899999993</v>
      </c>
      <c r="AV22" s="268">
        <f>SUMIF('Input 4.1_2020VOL-YTD'!$R:$R,$G22,'Input 4.1_2020VOL-YTD'!M:M)</f>
        <v>2467079.5799999991</v>
      </c>
      <c r="AW22" s="268">
        <f>SUMIF('Input 4.1_2020VOL-YTD'!$R:$R,$G22,'Input 4.1_2020VOL-YTD'!N:N)</f>
        <v>2742142.8999999994</v>
      </c>
      <c r="AX22" s="268">
        <f>SUMIF('Input 5.1_2021VOL-YTD'!$R:$R,$G22,'Input 5.1_2021VOL-YTD'!C:C)</f>
        <v>2933518.34</v>
      </c>
      <c r="AY22" s="268">
        <f>SUMIF('Input 5.1_2021VOL-YTD'!$R:$R,$G22,'Input 5.1_2021VOL-YTD'!D:D)</f>
        <v>2701680.1000000024</v>
      </c>
      <c r="AZ22" s="268">
        <f>SUMIF('Input 5.1_2021VOL-YTD'!$R:$R,$G22,'Input 5.1_2021VOL-YTD'!E:E)</f>
        <v>2859006.8800000008</v>
      </c>
      <c r="BA22" s="268">
        <f>SUMIF('Input 5.1_2021VOL-YTD'!$R:$R,$G22,'Input 5.1_2021VOL-YTD'!F:F)</f>
        <v>2796620.5100000002</v>
      </c>
      <c r="BB22" s="268">
        <f>SUMIF('Input 5.1_2021VOL-YTD'!$R:$R,$G22,'Input 5.1_2021VOL-YTD'!G:G)</f>
        <v>2691521.36</v>
      </c>
      <c r="BC22" s="268">
        <f>SUMIF('Input 5.1_2021VOL-YTD'!$R:$R,$G22,'Input 5.1_2021VOL-YTD'!H:H)</f>
        <v>2485060.4400000018</v>
      </c>
      <c r="BD22" s="268">
        <f>SUMIF('Input 5.1_2021VOL-YTD'!$R:$R,$G22,'Input 5.1_2021VOL-YTD'!I:I)</f>
        <v>2644571.7300000028</v>
      </c>
      <c r="BE22" s="268">
        <f>SUMIF('Input 5.1_2021VOL-YTD'!$R:$R,$G22,'Input 5.1_2021VOL-YTD'!J:J)</f>
        <v>2453181.5100000002</v>
      </c>
      <c r="BF22" s="268">
        <f>SUMIF('Input 5.1_2021VOL-YTD'!$R:$R,$G22,'Input 5.1_2021VOL-YTD'!K:K)</f>
        <v>2642126.1299999971</v>
      </c>
      <c r="BG22" s="268">
        <f>SUMIF('Input 5.1_2021VOL-YTD'!$R:$R,$G22,'Input 5.1_2021VOL-YTD'!L:L)</f>
        <v>2638686.3299999982</v>
      </c>
      <c r="BH22" s="268">
        <f>SUMIF('Input 5.1_2021VOL-YTD'!$R:$R,$G22,'Input 5.1_2021VOL-YTD'!M:M)</f>
        <v>2782456.46</v>
      </c>
      <c r="BI22" s="268">
        <f>SUMIF('Input 5.1_2021VOL-YTD'!$R:$R,$G22,'Input 5.1_2021VOL-YTD'!N:N)</f>
        <v>2914335.2300000004</v>
      </c>
      <c r="BJ22" s="483">
        <f>IFERROR(IF($J22="Historical Average",INDEX('Monthly UPC'!$CM$2:$DJ$65,MATCH($D22,'Monthly UPC'!$D$2:$D$65,0),MATCH(BJ$1,'Monthly UPC'!$CM$1:$DJ$1))*(INDEX('Monthly CUST'!$N$2:$CG$65,MATCH($D22,'Monthly CUST'!$D$2:$D$65,0),MATCH(BJ$1,'Monthly CUST'!$N$1:$CG$1,0))),IF($J22="UPC Growth Rate",((AX22/INDEX('Monthly CUST'!$N$2:$CG$65,MATCH($D22,'Monthly CUST'!$D$2:$D$65,0),MATCH(AX$1,'Monthly CUST'!$N$1:$CG$1,0)))*(1+$L22)*INDEX('Monthly CUST'!$N$2:$CG$65,MATCH($D22,'Monthly CUST'!$D$2:$D$65,0),MATCH(BJ$1,'Monthly CUST'!$N$1:$CG$1,0))),IF($J22="Modeled UPC",INDEX('Monthly CUST'!$N$2:$CG$65,MATCH($D22,'Monthly CUST'!$D$2:$D$65,0),MATCH(BJ$1,'Monthly CUST'!$N$1:$CG$1,0))/12*$M22,IF($J22="Base Period",AX22,IF($J22="Adjusted",SUMIF('Input 15_Fcst Inputs'!$A:$A,$D22,'Input 15_Fcst Inputs'!$G:$G)/12))))),0)</f>
        <v>2914682.8150921008</v>
      </c>
      <c r="BK22" s="483">
        <f>IFERROR(IF($J22="Historical Average",INDEX('Monthly UPC'!$CM$2:$DJ$65,MATCH($D22,'Monthly UPC'!$D$2:$D$65,0),MATCH(BK$1,'Monthly UPC'!$CM$1:$DJ$1))*(INDEX('Monthly CUST'!$N$2:$CG$65,MATCH($D22,'Monthly CUST'!$D$2:$D$65,0),MATCH(BK$1,'Monthly CUST'!$N$1:$CG$1,0))),IF($J22="UPC Growth Rate",((AY22/INDEX('Monthly CUST'!$N$2:$CG$65,MATCH($D22,'Monthly CUST'!$D$2:$D$65,0),MATCH(AY$1,'Monthly CUST'!$N$1:$CG$1,0)))*(1+$L22)*INDEX('Monthly CUST'!$N$2:$CG$65,MATCH($D22,'Monthly CUST'!$D$2:$D$65,0),MATCH(BK$1,'Monthly CUST'!$N$1:$CG$1,0))),IF($J22="Modeled UPC",INDEX('Monthly CUST'!$N$2:$CG$65,MATCH($D22,'Monthly CUST'!$D$2:$D$65,0),MATCH(BK$1,'Monthly CUST'!$N$1:$CG$1,0))/12*$M22,IF($J22="Base Period",AY22,IF($J22="Adjusted",SUMIF('Input 15_Fcst Inputs'!$A:$A,$D22,'Input 15_Fcst Inputs'!$G:$G)/12))))),0)</f>
        <v>2684333.1613008818</v>
      </c>
      <c r="BL22" s="483">
        <f>IFERROR(IF($J22="Historical Average",INDEX('Monthly UPC'!$CM$2:$DJ$65,MATCH($D22,'Monthly UPC'!$D$2:$D$65,0),MATCH(BL$1,'Monthly UPC'!$CM$1:$DJ$1))*(INDEX('Monthly CUST'!$N$2:$CG$65,MATCH($D22,'Monthly CUST'!$D$2:$D$65,0),MATCH(BL$1,'Monthly CUST'!$N$1:$CG$1,0))),IF($J22="UPC Growth Rate",((AZ22/INDEX('Monthly CUST'!$N$2:$CG$65,MATCH($D22,'Monthly CUST'!$D$2:$D$65,0),MATCH(AZ$1,'Monthly CUST'!$N$1:$CG$1,0)))*(1+$L22)*INDEX('Monthly CUST'!$N$2:$CG$65,MATCH($D22,'Monthly CUST'!$D$2:$D$65,0),MATCH(BL$1,'Monthly CUST'!$N$1:$CG$1,0))),IF($J22="Modeled UPC",INDEX('Monthly CUST'!$N$2:$CG$65,MATCH($D22,'Monthly CUST'!$D$2:$D$65,0),MATCH(BL$1,'Monthly CUST'!$N$1:$CG$1,0))/12*$M22,IF($J22="Base Period",AZ22,IF($J22="Adjusted",SUMIF('Input 15_Fcst Inputs'!$A:$A,$D22,'Input 15_Fcst Inputs'!$G:$G)/12))))),0)</f>
        <v>2840649.7780293697</v>
      </c>
      <c r="BM22" s="483">
        <f>IFERROR(IF($J22="Historical Average",INDEX('Monthly UPC'!$CM$2:$DJ$65,MATCH($D22,'Monthly UPC'!$D$2:$D$65,0),MATCH(BM$1,'Monthly UPC'!$CM$1:$DJ$1))*(INDEX('Monthly CUST'!$N$2:$CG$65,MATCH($D22,'Monthly CUST'!$D$2:$D$65,0),MATCH(BM$1,'Monthly CUST'!$N$1:$CG$1,0))),IF($J22="UPC Growth Rate",((BA22/INDEX('Monthly CUST'!$N$2:$CG$65,MATCH($D22,'Monthly CUST'!$D$2:$D$65,0),MATCH(BA$1,'Monthly CUST'!$N$1:$CG$1,0)))*(1+$L22)*INDEX('Monthly CUST'!$N$2:$CG$65,MATCH($D22,'Monthly CUST'!$D$2:$D$65,0),MATCH(BM$1,'Monthly CUST'!$N$1:$CG$1,0))),IF($J22="Modeled UPC",INDEX('Monthly CUST'!$N$2:$CG$65,MATCH($D22,'Monthly CUST'!$D$2:$D$65,0),MATCH(BM$1,'Monthly CUST'!$N$1:$CG$1,0))/12*$M22,IF($J22="Base Period",BA22,IF($J22="Adjusted",SUMIF('Input 15_Fcst Inputs'!$A:$A,$D22,'Input 15_Fcst Inputs'!$G:$G)/12))))),0)</f>
        <v>2778663.9782286505</v>
      </c>
      <c r="BN22" s="483">
        <f>IFERROR(IF($J22="Historical Average",INDEX('Monthly UPC'!$CM$2:$DJ$65,MATCH($D22,'Monthly UPC'!$D$2:$D$65,0),MATCH(BN$1,'Monthly UPC'!$CM$1:$DJ$1))*(INDEX('Monthly CUST'!$N$2:$CG$65,MATCH($D22,'Monthly CUST'!$D$2:$D$65,0),MATCH(BN$1,'Monthly CUST'!$N$1:$CG$1,0))),IF($J22="UPC Growth Rate",((BB22/INDEX('Monthly CUST'!$N$2:$CG$65,MATCH($D22,'Monthly CUST'!$D$2:$D$65,0),MATCH(BB$1,'Monthly CUST'!$N$1:$CG$1,0)))*(1+$L22)*INDEX('Monthly CUST'!$N$2:$CG$65,MATCH($D22,'Monthly CUST'!$D$2:$D$65,0),MATCH(BN$1,'Monthly CUST'!$N$1:$CG$1,0))),IF($J22="Modeled UPC",INDEX('Monthly CUST'!$N$2:$CG$65,MATCH($D22,'Monthly CUST'!$D$2:$D$65,0),MATCH(BN$1,'Monthly CUST'!$N$1:$CG$1,0))/12*$M22,IF($J22="Base Period",BB22,IF($J22="Adjusted",SUMIF('Input 15_Fcst Inputs'!$A:$A,$D22,'Input 15_Fcst Inputs'!$G:$G)/12))))),0)</f>
        <v>2674239.6485052546</v>
      </c>
      <c r="BO22" s="483">
        <f>IFERROR(IF($J22="Historical Average",INDEX('Monthly UPC'!$CM$2:$DJ$65,MATCH($D22,'Monthly UPC'!$D$2:$D$65,0),MATCH(BO$1,'Monthly UPC'!$CM$1:$DJ$1))*(INDEX('Monthly CUST'!$N$2:$CG$65,MATCH($D22,'Monthly CUST'!$D$2:$D$65,0),MATCH(BO$1,'Monthly CUST'!$N$1:$CG$1,0))),IF($J22="UPC Growth Rate",((BC22/INDEX('Monthly CUST'!$N$2:$CG$65,MATCH($D22,'Monthly CUST'!$D$2:$D$65,0),MATCH(BC$1,'Monthly CUST'!$N$1:$CG$1,0)))*(1+$L22)*INDEX('Monthly CUST'!$N$2:$CG$65,MATCH($D22,'Monthly CUST'!$D$2:$D$65,0),MATCH(BO$1,'Monthly CUST'!$N$1:$CG$1,0))),IF($J22="Modeled UPC",INDEX('Monthly CUST'!$N$2:$CG$65,MATCH($D22,'Monthly CUST'!$D$2:$D$65,0),MATCH(BO$1,'Monthly CUST'!$N$1:$CG$1,0))/12*$M22,IF($J22="Base Period",BC22,IF($J22="Adjusted",SUMIF('Input 15_Fcst Inputs'!$A:$A,$D22,'Input 15_Fcst Inputs'!$G:$G)/12))))),0)</f>
        <v>2469104.3721012566</v>
      </c>
      <c r="BP22" s="483">
        <f>IFERROR(IF($J22="Historical Average",INDEX('Monthly UPC'!$CM$2:$DJ$65,MATCH($D22,'Monthly UPC'!$D$2:$D$65,0),MATCH(BP$1,'Monthly UPC'!$CM$1:$DJ$1))*(INDEX('Monthly CUST'!$N$2:$CG$65,MATCH($D22,'Monthly CUST'!$D$2:$D$65,0),MATCH(BP$1,'Monthly CUST'!$N$1:$CG$1,0))),IF($J22="UPC Growth Rate",((BD22/INDEX('Monthly CUST'!$N$2:$CG$65,MATCH($D22,'Monthly CUST'!$D$2:$D$65,0),MATCH(BD$1,'Monthly CUST'!$N$1:$CG$1,0)))*(1+$L22)*INDEX('Monthly CUST'!$N$2:$CG$65,MATCH($D22,'Monthly CUST'!$D$2:$D$65,0),MATCH(BP$1,'Monthly CUST'!$N$1:$CG$1,0))),IF($J22="Modeled UPC",INDEX('Monthly CUST'!$N$2:$CG$65,MATCH($D22,'Monthly CUST'!$D$2:$D$65,0),MATCH(BP$1,'Monthly CUST'!$N$1:$CG$1,0))/12*$M22,IF($J22="Base Period",BD22,IF($J22="Adjusted",SUMIF('Input 15_Fcst Inputs'!$A:$A,$D22,'Input 15_Fcst Inputs'!$G:$G)/12))))),0)</f>
        <v>2627591.4725351245</v>
      </c>
      <c r="BQ22" s="483">
        <f>IFERROR(IF($J22="Historical Average",INDEX('Monthly UPC'!$CM$2:$DJ$65,MATCH($D22,'Monthly UPC'!$D$2:$D$65,0),MATCH(BQ$1,'Monthly UPC'!$CM$1:$DJ$1))*(INDEX('Monthly CUST'!$N$2:$CG$65,MATCH($D22,'Monthly CUST'!$D$2:$D$65,0),MATCH(BQ$1,'Monthly CUST'!$N$1:$CG$1,0))),IF($J22="UPC Growth Rate",((BE22/INDEX('Monthly CUST'!$N$2:$CG$65,MATCH($D22,'Monthly CUST'!$D$2:$D$65,0),MATCH(BE$1,'Monthly CUST'!$N$1:$CG$1,0)))*(1+$L22)*INDEX('Monthly CUST'!$N$2:$CG$65,MATCH($D22,'Monthly CUST'!$D$2:$D$65,0),MATCH(BQ$1,'Monthly CUST'!$N$1:$CG$1,0))),IF($J22="Modeled UPC",INDEX('Monthly CUST'!$N$2:$CG$65,MATCH($D22,'Monthly CUST'!$D$2:$D$65,0),MATCH(BQ$1,'Monthly CUST'!$N$1:$CG$1,0))/12*$M22,IF($J22="Base Period",BE22,IF($J22="Adjusted",SUMIF('Input 15_Fcst Inputs'!$A:$A,$D22,'Input 15_Fcst Inputs'!$G:$G)/12))))),0)</f>
        <v>2437430.1302301358</v>
      </c>
      <c r="BR22" s="483">
        <f>IFERROR(IF($J22="Historical Average",INDEX('Monthly UPC'!$CM$2:$DJ$65,MATCH($D22,'Monthly UPC'!$D$2:$D$65,0),MATCH(BR$1,'Monthly UPC'!$CM$1:$DJ$1))*(INDEX('Monthly CUST'!$N$2:$CG$65,MATCH($D22,'Monthly CUST'!$D$2:$D$65,0),MATCH(BR$1,'Monthly CUST'!$N$1:$CG$1,0))),IF($J22="UPC Growth Rate",((BF22/INDEX('Monthly CUST'!$N$2:$CG$65,MATCH($D22,'Monthly CUST'!$D$2:$D$65,0),MATCH(BF$1,'Monthly CUST'!$N$1:$CG$1,0)))*(1+$L22)*INDEX('Monthly CUST'!$N$2:$CG$65,MATCH($D22,'Monthly CUST'!$D$2:$D$65,0),MATCH(BR$1,'Monthly CUST'!$N$1:$CG$1,0))),IF($J22="Modeled UPC",INDEX('Monthly CUST'!$N$2:$CG$65,MATCH($D22,'Monthly CUST'!$D$2:$D$65,0),MATCH(BR$1,'Monthly CUST'!$N$1:$CG$1,0))/12*$M22,IF($J22="Base Period",BF22,IF($J22="Adjusted",SUMIF('Input 15_Fcst Inputs'!$A:$A,$D22,'Input 15_Fcst Inputs'!$G:$G)/12))))),0)</f>
        <v>2625161.5752355545</v>
      </c>
      <c r="BS22" s="483">
        <f>IFERROR(IF($J22="Historical Average",INDEX('Monthly UPC'!$CM$2:$DJ$65,MATCH($D22,'Monthly UPC'!$D$2:$D$65,0),MATCH(BS$1,'Monthly UPC'!$CM$1:$DJ$1))*(INDEX('Monthly CUST'!$N$2:$CG$65,MATCH($D22,'Monthly CUST'!$D$2:$D$65,0),MATCH(BS$1,'Monthly CUST'!$N$1:$CG$1,0))),IF($J22="UPC Growth Rate",((BG22/INDEX('Monthly CUST'!$N$2:$CG$65,MATCH($D22,'Monthly CUST'!$D$2:$D$65,0),MATCH(BG$1,'Monthly CUST'!$N$1:$CG$1,0)))*(1+$L22)*INDEX('Monthly CUST'!$N$2:$CG$65,MATCH($D22,'Monthly CUST'!$D$2:$D$65,0),MATCH(BS$1,'Monthly CUST'!$N$1:$CG$1,0))),IF($J22="Modeled UPC",INDEX('Monthly CUST'!$N$2:$CG$65,MATCH($D22,'Monthly CUST'!$D$2:$D$65,0),MATCH(BS$1,'Monthly CUST'!$N$1:$CG$1,0))/12*$M22,IF($J22="Base Period",BG22,IF($J22="Adjusted",SUMIF('Input 15_Fcst Inputs'!$A:$A,$D22,'Input 15_Fcst Inputs'!$G:$G)/12))))),0)</f>
        <v>2621743.8614920801</v>
      </c>
      <c r="BT22" s="483">
        <f>IFERROR(IF($J22="Historical Average",INDEX('Monthly UPC'!$CM$2:$DJ$65,MATCH($D22,'Monthly UPC'!$D$2:$D$65,0),MATCH(BT$1,'Monthly UPC'!$CM$1:$DJ$1))*(INDEX('Monthly CUST'!$N$2:$CG$65,MATCH($D22,'Monthly CUST'!$D$2:$D$65,0),MATCH(BT$1,'Monthly CUST'!$N$1:$CG$1,0))),IF($J22="UPC Growth Rate",((BH22/INDEX('Monthly CUST'!$N$2:$CG$65,MATCH($D22,'Monthly CUST'!$D$2:$D$65,0),MATCH(BH$1,'Monthly CUST'!$N$1:$CG$1,0)))*(1+$L22)*INDEX('Monthly CUST'!$N$2:$CG$65,MATCH($D22,'Monthly CUST'!$D$2:$D$65,0),MATCH(BT$1,'Monthly CUST'!$N$1:$CG$1,0))),IF($J22="Modeled UPC",INDEX('Monthly CUST'!$N$2:$CG$65,MATCH($D22,'Monthly CUST'!$D$2:$D$65,0),MATCH(BT$1,'Monthly CUST'!$N$1:$CG$1,0))/12*$M22,IF($J22="Base Period",BH22,IF($J22="Adjusted",SUMIF('Input 15_Fcst Inputs'!$A:$A,$D22,'Input 15_Fcst Inputs'!$G:$G)/12))))),0)</f>
        <v>2764590.8727142983</v>
      </c>
      <c r="BU22" s="483">
        <f>IFERROR(IF($J22="Historical Average",INDEX('Monthly UPC'!$CM$2:$DJ$65,MATCH($D22,'Monthly UPC'!$D$2:$D$65,0),MATCH(BU$1,'Monthly UPC'!$CM$1:$DJ$1))*(INDEX('Monthly CUST'!$N$2:$CG$65,MATCH($D22,'Monthly CUST'!$D$2:$D$65,0),MATCH(BU$1,'Monthly CUST'!$N$1:$CG$1,0))),IF($J22="UPC Growth Rate",((BI22/INDEX('Monthly CUST'!$N$2:$CG$65,MATCH($D22,'Monthly CUST'!$D$2:$D$65,0),MATCH(BI$1,'Monthly CUST'!$N$1:$CG$1,0)))*(1+$L22)*INDEX('Monthly CUST'!$N$2:$CG$65,MATCH($D22,'Monthly CUST'!$D$2:$D$65,0),MATCH(BU$1,'Monthly CUST'!$N$1:$CG$1,0))),IF($J22="Modeled UPC",INDEX('Monthly CUST'!$N$2:$CG$65,MATCH($D22,'Monthly CUST'!$D$2:$D$65,0),MATCH(BU$1,'Monthly CUST'!$N$1:$CG$1,0))/12*$M22,IF($J22="Base Period",BI22,IF($J22="Adjusted",SUMIF('Input 15_Fcst Inputs'!$A:$A,$D22,'Input 15_Fcst Inputs'!$G:$G)/12))))),0)</f>
        <v>2895622.8759416877</v>
      </c>
      <c r="BV22" s="483">
        <f>IFERROR(IF($J22="Historical Average",INDEX('Monthly UPC'!$CM$2:$DJ$65,MATCH($D22,'Monthly UPC'!$D$2:$D$65,0),MATCH(BV$1,'Monthly UPC'!$CM$1:$DJ$1))*(INDEX('Monthly CUST'!$N$2:$CG$65,MATCH($D22,'Monthly CUST'!$D$2:$D$65,0),MATCH(BV$1,'Monthly CUST'!$N$1:$CG$1,0))),IF($J22="UPC Growth Rate",((BJ22/INDEX('Monthly CUST'!$N$2:$CG$65,MATCH($D22,'Monthly CUST'!$D$2:$D$65,0),MATCH(BJ$1,'Monthly CUST'!$N$1:$CG$1,0)))*(1+$L22)*INDEX('Monthly CUST'!$N$2:$CG$65,MATCH($D22,'Monthly CUST'!$D$2:$D$65,0),MATCH(BV$1,'Monthly CUST'!$N$1:$CG$1,0))),IF($J22="Modeled UPC",INDEX('Monthly CUST'!$N$2:$CG$65,MATCH($D22,'Monthly CUST'!$D$2:$D$65,0),MATCH(BV$1,'Monthly CUST'!$N$1:$CG$1,0))/12*$M22,IF($J22="Base Period",BJ22,IF($J22="Adjusted",SUMIF('Input 15_Fcst Inputs'!$A:$A,$D22,'Input 15_Fcst Inputs'!$G:$G)/12))))),0)</f>
        <v>2895968.2292605718</v>
      </c>
      <c r="BW22" s="483">
        <f>IFERROR(IF($J22="Historical Average",INDEX('Monthly UPC'!$CM$2:$DJ$65,MATCH($D22,'Monthly UPC'!$D$2:$D$65,0),MATCH(BW$1,'Monthly UPC'!$CM$1:$DJ$1))*(INDEX('Monthly CUST'!$N$2:$CG$65,MATCH($D22,'Monthly CUST'!$D$2:$D$65,0),MATCH(BW$1,'Monthly CUST'!$N$1:$CG$1,0))),IF($J22="UPC Growth Rate",((BK22/INDEX('Monthly CUST'!$N$2:$CG$65,MATCH($D22,'Monthly CUST'!$D$2:$D$65,0),MATCH(BK$1,'Monthly CUST'!$N$1:$CG$1,0)))*(1+$L22)*INDEX('Monthly CUST'!$N$2:$CG$65,MATCH($D22,'Monthly CUST'!$D$2:$D$65,0),MATCH(BW$1,'Monthly CUST'!$N$1:$CG$1,0))),IF($J22="Modeled UPC",INDEX('Monthly CUST'!$N$2:$CG$65,MATCH($D22,'Monthly CUST'!$D$2:$D$65,0),MATCH(BW$1,'Monthly CUST'!$N$1:$CG$1,0))/12*$M22,IF($J22="Base Period",BK22,IF($J22="Adjusted",SUMIF('Input 15_Fcst Inputs'!$A:$A,$D22,'Input 15_Fcst Inputs'!$G:$G)/12))))),0)</f>
        <v>2667097.6037686993</v>
      </c>
      <c r="BX22" s="483">
        <f>IFERROR(IF($J22="Historical Average",INDEX('Monthly UPC'!$CM$2:$DJ$65,MATCH($D22,'Monthly UPC'!$D$2:$D$65,0),MATCH(BX$1,'Monthly UPC'!$CM$1:$DJ$1))*(INDEX('Monthly CUST'!$N$2:$CG$65,MATCH($D22,'Monthly CUST'!$D$2:$D$65,0),MATCH(BX$1,'Monthly CUST'!$N$1:$CG$1,0))),IF($J22="UPC Growth Rate",((BL22/INDEX('Monthly CUST'!$N$2:$CG$65,MATCH($D22,'Monthly CUST'!$D$2:$D$65,0),MATCH(BL$1,'Monthly CUST'!$N$1:$CG$1,0)))*(1+$L22)*INDEX('Monthly CUST'!$N$2:$CG$65,MATCH($D22,'Monthly CUST'!$D$2:$D$65,0),MATCH(BX$1,'Monthly CUST'!$N$1:$CG$1,0))),IF($J22="Modeled UPC",INDEX('Monthly CUST'!$N$2:$CG$65,MATCH($D22,'Monthly CUST'!$D$2:$D$65,0),MATCH(BX$1,'Monthly CUST'!$N$1:$CG$1,0))/12*$M22,IF($J22="Base Period",BL22,IF($J22="Adjusted",SUMIF('Input 15_Fcst Inputs'!$A:$A,$D22,'Input 15_Fcst Inputs'!$G:$G)/12))))),0)</f>
        <v>2822410.5432786876</v>
      </c>
      <c r="BY22" s="483">
        <f>IFERROR(IF($J22="Historical Average",INDEX('Monthly UPC'!$CM$2:$DJ$65,MATCH($D22,'Monthly UPC'!$D$2:$D$65,0),MATCH(BY$1,'Monthly UPC'!$CM$1:$DJ$1))*(INDEX('Monthly CUST'!$N$2:$CG$65,MATCH($D22,'Monthly CUST'!$D$2:$D$65,0),MATCH(BY$1,'Monthly CUST'!$N$1:$CG$1,0))),IF($J22="UPC Growth Rate",((BM22/INDEX('Monthly CUST'!$N$2:$CG$65,MATCH($D22,'Monthly CUST'!$D$2:$D$65,0),MATCH(BM$1,'Monthly CUST'!$N$1:$CG$1,0)))*(1+$L22)*INDEX('Monthly CUST'!$N$2:$CG$65,MATCH($D22,'Monthly CUST'!$D$2:$D$65,0),MATCH(BY$1,'Monthly CUST'!$N$1:$CG$1,0))),IF($J22="Modeled UPC",INDEX('Monthly CUST'!$N$2:$CG$65,MATCH($D22,'Monthly CUST'!$D$2:$D$65,0),MATCH(BY$1,'Monthly CUST'!$N$1:$CG$1,0))/12*$M22,IF($J22="Base Period",BM22,IF($J22="Adjusted",SUMIF('Input 15_Fcst Inputs'!$A:$A,$D22,'Input 15_Fcst Inputs'!$G:$G)/12))))),0)</f>
        <v>2760822.7416974315</v>
      </c>
      <c r="BZ22" s="483">
        <f>IFERROR(IF($J22="Historical Average",INDEX('Monthly UPC'!$CM$2:$DJ$65,MATCH($D22,'Monthly UPC'!$D$2:$D$65,0),MATCH(BZ$1,'Monthly UPC'!$CM$1:$DJ$1))*(INDEX('Monthly CUST'!$N$2:$CG$65,MATCH($D22,'Monthly CUST'!$D$2:$D$65,0),MATCH(BZ$1,'Monthly CUST'!$N$1:$CG$1,0))),IF($J22="UPC Growth Rate",((BN22/INDEX('Monthly CUST'!$N$2:$CG$65,MATCH($D22,'Monthly CUST'!$D$2:$D$65,0),MATCH(BN$1,'Monthly CUST'!$N$1:$CG$1,0)))*(1+$L22)*INDEX('Monthly CUST'!$N$2:$CG$65,MATCH($D22,'Monthly CUST'!$D$2:$D$65,0),MATCH(BZ$1,'Monthly CUST'!$N$1:$CG$1,0))),IF($J22="Modeled UPC",INDEX('Monthly CUST'!$N$2:$CG$65,MATCH($D22,'Monthly CUST'!$D$2:$D$65,0),MATCH(BZ$1,'Monthly CUST'!$N$1:$CG$1,0))/12*$M22,IF($J22="Base Period",BN22,IF($J22="Adjusted",SUMIF('Input 15_Fcst Inputs'!$A:$A,$D22,'Input 15_Fcst Inputs'!$G:$G)/12))))),0)</f>
        <v>2657068.8993668286</v>
      </c>
      <c r="CA22" s="483">
        <f>IFERROR(IF($J22="Historical Average",INDEX('Monthly UPC'!$CM$2:$DJ$65,MATCH($D22,'Monthly UPC'!$D$2:$D$65,0),MATCH(CA$1,'Monthly UPC'!$CM$1:$DJ$1))*(INDEX('Monthly CUST'!$N$2:$CG$65,MATCH($D22,'Monthly CUST'!$D$2:$D$65,0),MATCH(CA$1,'Monthly CUST'!$N$1:$CG$1,0))),IF($J22="UPC Growth Rate",((BO22/INDEX('Monthly CUST'!$N$2:$CG$65,MATCH($D22,'Monthly CUST'!$D$2:$D$65,0),MATCH(BO$1,'Monthly CUST'!$N$1:$CG$1,0)))*(1+$L22)*INDEX('Monthly CUST'!$N$2:$CG$65,MATCH($D22,'Monthly CUST'!$D$2:$D$65,0),MATCH(CA$1,'Monthly CUST'!$N$1:$CG$1,0))),IF($J22="Modeled UPC",INDEX('Monthly CUST'!$N$2:$CG$65,MATCH($D22,'Monthly CUST'!$D$2:$D$65,0),MATCH(CA$1,'Monthly CUST'!$N$1:$CG$1,0))/12*$M22,IF($J22="Base Period",BO22,IF($J22="Adjusted",SUMIF('Input 15_Fcst Inputs'!$A:$A,$D22,'Input 15_Fcst Inputs'!$G:$G)/12))))),0)</f>
        <v>2453250.7548707896</v>
      </c>
      <c r="CB22" s="483">
        <f>IFERROR(IF($J22="Historical Average",INDEX('Monthly UPC'!$CM$2:$DJ$65,MATCH($D22,'Monthly UPC'!$D$2:$D$65,0),MATCH(CB$1,'Monthly UPC'!$CM$1:$DJ$1))*(INDEX('Monthly CUST'!$N$2:$CG$65,MATCH($D22,'Monthly CUST'!$D$2:$D$65,0),MATCH(CB$1,'Monthly CUST'!$N$1:$CG$1,0))),IF($J22="UPC Growth Rate",((BP22/INDEX('Monthly CUST'!$N$2:$CG$65,MATCH($D22,'Monthly CUST'!$D$2:$D$65,0),MATCH(BP$1,'Monthly CUST'!$N$1:$CG$1,0)))*(1+$L22)*INDEX('Monthly CUST'!$N$2:$CG$65,MATCH($D22,'Monthly CUST'!$D$2:$D$65,0),MATCH(CB$1,'Monthly CUST'!$N$1:$CG$1,0))),IF($J22="Modeled UPC",INDEX('Monthly CUST'!$N$2:$CG$65,MATCH($D22,'Monthly CUST'!$D$2:$D$65,0),MATCH(CB$1,'Monthly CUST'!$N$1:$CG$1,0))/12*$M22,IF($J22="Base Period",BP22,IF($J22="Adjusted",SUMIF('Input 15_Fcst Inputs'!$A:$A,$D22,'Input 15_Fcst Inputs'!$G:$G)/12))))),0)</f>
        <v>2610720.2418515221</v>
      </c>
      <c r="CC22" s="483">
        <f>IFERROR(IF($J22="Historical Average",INDEX('Monthly UPC'!$CM$2:$DJ$65,MATCH($D22,'Monthly UPC'!$D$2:$D$65,0),MATCH(CC$1,'Monthly UPC'!$CM$1:$DJ$1))*(INDEX('Monthly CUST'!$N$2:$CG$65,MATCH($D22,'Monthly CUST'!$D$2:$D$65,0),MATCH(CC$1,'Monthly CUST'!$N$1:$CG$1,0))),IF($J22="UPC Growth Rate",((BQ22/INDEX('Monthly CUST'!$N$2:$CG$65,MATCH($D22,'Monthly CUST'!$D$2:$D$65,0),MATCH(BQ$1,'Monthly CUST'!$N$1:$CG$1,0)))*(1+$L22)*INDEX('Monthly CUST'!$N$2:$CG$65,MATCH($D22,'Monthly CUST'!$D$2:$D$65,0),MATCH(CC$1,'Monthly CUST'!$N$1:$CG$1,0))),IF($J22="Modeled UPC",INDEX('Monthly CUST'!$N$2:$CG$65,MATCH($D22,'Monthly CUST'!$D$2:$D$65,0),MATCH(CC$1,'Monthly CUST'!$N$1:$CG$1,0))/12*$M22,IF($J22="Base Period",BQ22,IF($J22="Adjusted",SUMIF('Input 15_Fcst Inputs'!$A:$A,$D22,'Input 15_Fcst Inputs'!$G:$G)/12))))),0)</f>
        <v>2421779.8868676848</v>
      </c>
      <c r="CD22" s="483">
        <f>IFERROR(IF($J22="Historical Average",INDEX('Monthly UPC'!$CM$2:$DJ$65,MATCH($D22,'Monthly UPC'!$D$2:$D$65,0),MATCH(CD$1,'Monthly UPC'!$CM$1:$DJ$1))*(INDEX('Monthly CUST'!$N$2:$CG$65,MATCH($D22,'Monthly CUST'!$D$2:$D$65,0),MATCH(CD$1,'Monthly CUST'!$N$1:$CG$1,0))),IF($J22="UPC Growth Rate",((BR22/INDEX('Monthly CUST'!$N$2:$CG$65,MATCH($D22,'Monthly CUST'!$D$2:$D$65,0),MATCH(BR$1,'Monthly CUST'!$N$1:$CG$1,0)))*(1+$L22)*INDEX('Monthly CUST'!$N$2:$CG$65,MATCH($D22,'Monthly CUST'!$D$2:$D$65,0),MATCH(CD$1,'Monthly CUST'!$N$1:$CG$1,0))),IF($J22="Modeled UPC",INDEX('Monthly CUST'!$N$2:$CG$65,MATCH($D22,'Monthly CUST'!$D$2:$D$65,0),MATCH(CD$1,'Monthly CUST'!$N$1:$CG$1,0))/12*$M22,IF($J22="Base Period",BR22,IF($J22="Adjusted",SUMIF('Input 15_Fcst Inputs'!$A:$A,$D22,'Input 15_Fcst Inputs'!$G:$G)/12))))),0)</f>
        <v>2608305.9464285397</v>
      </c>
      <c r="CE22" s="483">
        <f>IFERROR(IF($J22="Historical Average",INDEX('Monthly UPC'!$CM$2:$DJ$65,MATCH($D22,'Monthly UPC'!$D$2:$D$65,0),MATCH(CE$1,'Monthly UPC'!$CM$1:$DJ$1))*(INDEX('Monthly CUST'!$N$2:$CG$65,MATCH($D22,'Monthly CUST'!$D$2:$D$65,0),MATCH(CE$1,'Monthly CUST'!$N$1:$CG$1,0))),IF($J22="UPC Growth Rate",((BS22/INDEX('Monthly CUST'!$N$2:$CG$65,MATCH($D22,'Monthly CUST'!$D$2:$D$65,0),MATCH(BS$1,'Monthly CUST'!$N$1:$CG$1,0)))*(1+$L22)*INDEX('Monthly CUST'!$N$2:$CG$65,MATCH($D22,'Monthly CUST'!$D$2:$D$65,0),MATCH(CE$1,'Monthly CUST'!$N$1:$CG$1,0))),IF($J22="Modeled UPC",INDEX('Monthly CUST'!$N$2:$CG$65,MATCH($D22,'Monthly CUST'!$D$2:$D$65,0),MATCH(CE$1,'Monthly CUST'!$N$1:$CG$1,0))/12*$M22,IF($J22="Base Period",BS22,IF($J22="Adjusted",SUMIF('Input 15_Fcst Inputs'!$A:$A,$D22,'Input 15_Fcst Inputs'!$G:$G)/12))))),0)</f>
        <v>2604910.1771302274</v>
      </c>
      <c r="CF22" s="483">
        <f>IFERROR(IF($J22="Historical Average",INDEX('Monthly UPC'!$CM$2:$DJ$65,MATCH($D22,'Monthly UPC'!$D$2:$D$65,0),MATCH(CF$1,'Monthly UPC'!$CM$1:$DJ$1))*(INDEX('Monthly CUST'!$N$2:$CG$65,MATCH($D22,'Monthly CUST'!$D$2:$D$65,0),MATCH(CF$1,'Monthly CUST'!$N$1:$CG$1,0))),IF($J22="UPC Growth Rate",((BT22/INDEX('Monthly CUST'!$N$2:$CG$65,MATCH($D22,'Monthly CUST'!$D$2:$D$65,0),MATCH(BT$1,'Monthly CUST'!$N$1:$CG$1,0)))*(1+$L22)*INDEX('Monthly CUST'!$N$2:$CG$65,MATCH($D22,'Monthly CUST'!$D$2:$D$65,0),MATCH(CF$1,'Monthly CUST'!$N$1:$CG$1,0))),IF($J22="Modeled UPC",INDEX('Monthly CUST'!$N$2:$CG$65,MATCH($D22,'Monthly CUST'!$D$2:$D$65,0),MATCH(CF$1,'Monthly CUST'!$N$1:$CG$1,0))/12*$M22,IF($J22="Base Period",BT22,IF($J22="Adjusted",SUMIF('Input 15_Fcst Inputs'!$A:$A,$D22,'Input 15_Fcst Inputs'!$G:$G)/12))))),0)</f>
        <v>2746839.9967326736</v>
      </c>
      <c r="CG22" s="483">
        <f>IFERROR(IF($J22="Historical Average",INDEX('Monthly UPC'!$CM$2:$DJ$65,MATCH($D22,'Monthly UPC'!$D$2:$D$65,0),MATCH(CG$1,'Monthly UPC'!$CM$1:$DJ$1))*(INDEX('Monthly CUST'!$N$2:$CG$65,MATCH($D22,'Monthly CUST'!$D$2:$D$65,0),MATCH(CG$1,'Monthly CUST'!$N$1:$CG$1,0))),IF($J22="UPC Growth Rate",((BU22/INDEX('Monthly CUST'!$N$2:$CG$65,MATCH($D22,'Monthly CUST'!$D$2:$D$65,0),MATCH(BU$1,'Monthly CUST'!$N$1:$CG$1,0)))*(1+$L22)*INDEX('Monthly CUST'!$N$2:$CG$65,MATCH($D22,'Monthly CUST'!$D$2:$D$65,0),MATCH(CG$1,'Monthly CUST'!$N$1:$CG$1,0))),IF($J22="Modeled UPC",INDEX('Monthly CUST'!$N$2:$CG$65,MATCH($D22,'Monthly CUST'!$D$2:$D$65,0),MATCH(CG$1,'Monthly CUST'!$N$1:$CG$1,0))/12*$M22,IF($J22="Base Period",BU22,IF($J22="Adjusted",SUMIF('Input 15_Fcst Inputs'!$A:$A,$D22,'Input 15_Fcst Inputs'!$G:$G)/12))))),0)</f>
        <v>2877030.6701047597</v>
      </c>
      <c r="CH22" s="197"/>
      <c r="CI22" s="197">
        <f t="shared" si="0"/>
        <v>32246758.329999998</v>
      </c>
      <c r="CJ22" s="197">
        <f t="shared" si="1"/>
        <v>32997446.559999995</v>
      </c>
      <c r="CK22" s="197">
        <f t="shared" si="2"/>
        <v>29910522.709999993</v>
      </c>
      <c r="CL22" s="197">
        <f t="shared" si="3"/>
        <v>32542765.020000007</v>
      </c>
      <c r="CM22" s="197">
        <f t="shared" si="4"/>
        <v>32333814.541406393</v>
      </c>
      <c r="CN22" s="197">
        <f t="shared" si="5"/>
        <v>32126205.691358417</v>
      </c>
      <c r="CP22" s="4">
        <f>SUMIF('Master '!D:D,D22,'Master '!AH:AH)</f>
        <v>32333814.541406397</v>
      </c>
      <c r="CQ22" s="4">
        <f>SUMIF('Master '!D:D,D22,'Master '!AI:AI)</f>
        <v>32126205.691358417</v>
      </c>
      <c r="CR22" s="197">
        <f t="shared" si="6"/>
        <v>0</v>
      </c>
      <c r="CS22" s="197">
        <f t="shared" si="7"/>
        <v>0</v>
      </c>
      <c r="CT22" t="s">
        <v>287</v>
      </c>
      <c r="CV22" t="str">
        <f>VLOOKUP(G22,'Master '!G:CC,75,FALSE)</f>
        <v>LVTS</v>
      </c>
    </row>
    <row r="23" spans="1:100">
      <c r="A23" s="53" t="s">
        <v>15</v>
      </c>
      <c r="B23" s="53" t="s">
        <v>994</v>
      </c>
      <c r="C23" s="53" t="s">
        <v>1245</v>
      </c>
      <c r="D23" s="53" t="s">
        <v>48</v>
      </c>
      <c r="E23" s="53" t="str">
        <f>VLOOKUP(D23,'Input 14_Ref Table'!C:D,2,FALSE)</f>
        <v>GIS61</v>
      </c>
      <c r="F23" s="143" t="s">
        <v>1286</v>
      </c>
      <c r="G23" s="53" t="str">
        <f>VLOOKUP(D23,'Input 14_Ref Table'!C:I,7,FALSE)</f>
        <v>FPU - FPU - IS</v>
      </c>
      <c r="H23" s="53" t="str">
        <f>VLOOKUP(D23,'Input 14_Ref Table'!C:K,8,FALSE)</f>
        <v>Base Period</v>
      </c>
      <c r="I23" s="53"/>
      <c r="J23" t="str">
        <f>INDEX('Master '!$AD$2:AD$65,MATCH(D23,'Master '!$D$2:$D$65,0))</f>
        <v>Base Period</v>
      </c>
      <c r="K23" s="458">
        <f>INDEX('Master '!$N$2:N$65,MATCH(D23,'Master '!$D$2:$D$65,0))</f>
        <v>0</v>
      </c>
      <c r="L23" s="137">
        <f>INDEX('Master '!$S$2:S$65,MATCH(D23,'Master '!$D$2:$D$65,0))</f>
        <v>0</v>
      </c>
      <c r="M23" s="4">
        <f>INDEX('Master '!$W$2:W$65,MATCH(D23,'Master '!$D$2:$D$65,0))</f>
        <v>0</v>
      </c>
      <c r="N23" s="268">
        <f>SUMIF('Input 16.1_2018VOL-YTD'!$R:$R,$G23,'Input 16.1_2018VOL-YTD'!C:C)</f>
        <v>0</v>
      </c>
      <c r="O23" s="268">
        <f>SUMIF('Input 16.1_2018VOL-YTD'!$R:$R,$G23,'Input 16.1_2018VOL-YTD'!D:D)</f>
        <v>0</v>
      </c>
      <c r="P23" s="268">
        <f>SUMIF('Input 16.1_2018VOL-YTD'!$R:$R,$G23,'Input 16.1_2018VOL-YTD'!E:E)</f>
        <v>0</v>
      </c>
      <c r="Q23" s="268">
        <f>SUMIF('Input 16.1_2018VOL-YTD'!$R:$R,$G23,'Input 16.1_2018VOL-YTD'!F:F)</f>
        <v>0</v>
      </c>
      <c r="R23" s="268">
        <f>SUMIF('Input 16.1_2018VOL-YTD'!$R:$R,$G23,'Input 16.1_2018VOL-YTD'!G:G)</f>
        <v>0</v>
      </c>
      <c r="S23" s="268">
        <f>SUMIF('Input 16.1_2018VOL-YTD'!$R:$R,$G23,'Input 16.1_2018VOL-YTD'!H:H)</f>
        <v>0</v>
      </c>
      <c r="T23" s="268">
        <f>SUMIF('Input 16.1_2018VOL-YTD'!$R:$R,$G23,'Input 16.1_2018VOL-YTD'!I:I)</f>
        <v>0</v>
      </c>
      <c r="U23" s="268">
        <f>SUMIF('Input 16.1_2018VOL-YTD'!$R:$R,$G23,'Input 16.1_2018VOL-YTD'!J:J)</f>
        <v>0</v>
      </c>
      <c r="V23" s="268">
        <f>SUMIF('Input 16.1_2018VOL-YTD'!$R:$R,$G23,'Input 16.1_2018VOL-YTD'!K:K)</f>
        <v>0</v>
      </c>
      <c r="W23" s="268">
        <f>SUMIF('Input 16.1_2018VOL-YTD'!$R:$R,$G23,'Input 16.1_2018VOL-YTD'!L:L)</f>
        <v>0</v>
      </c>
      <c r="X23" s="268">
        <f>SUMIF('Input 16.1_2018VOL-YTD'!$R:$R,$G23,'Input 16.1_2018VOL-YTD'!M:M)</f>
        <v>0</v>
      </c>
      <c r="Y23" s="268">
        <f>SUMIF('Input 16.1_2018VOL-YTD'!$R:$R,$G23,'Input 16.1_2018VOL-YTD'!N:N)</f>
        <v>0</v>
      </c>
      <c r="Z23" s="268">
        <f>SUMIF('Input 3.1_2019VOL-YTD'!$R:$R,$G23,'Input 3.1_2019VOL-YTD'!C:C)</f>
        <v>0</v>
      </c>
      <c r="AA23" s="268">
        <f>SUMIF('Input 3.1_2019VOL-YTD'!$R:$R,$G23,'Input 3.1_2019VOL-YTD'!D:D)</f>
        <v>0</v>
      </c>
      <c r="AB23" s="268">
        <f>SUMIF('Input 3.1_2019VOL-YTD'!$R:$R,$G23,'Input 3.1_2019VOL-YTD'!E:E)</f>
        <v>0</v>
      </c>
      <c r="AC23" s="268">
        <f>SUMIF('Input 3.1_2019VOL-YTD'!$R:$R,$G23,'Input 3.1_2019VOL-YTD'!F:F)</f>
        <v>0</v>
      </c>
      <c r="AD23" s="268">
        <f>SUMIF('Input 3.1_2019VOL-YTD'!$R:$R,$G23,'Input 3.1_2019VOL-YTD'!G:G)</f>
        <v>0</v>
      </c>
      <c r="AE23" s="268">
        <f>SUMIF('Input 3.1_2019VOL-YTD'!$R:$R,$G23,'Input 3.1_2019VOL-YTD'!H:H)</f>
        <v>0</v>
      </c>
      <c r="AF23" s="268">
        <f>SUMIF('Input 3.1_2019VOL-YTD'!$R:$R,$G23,'Input 3.1_2019VOL-YTD'!I:I)</f>
        <v>0</v>
      </c>
      <c r="AG23" s="268">
        <f>SUMIF('Input 3.1_2019VOL-YTD'!$R:$R,$G23,'Input 3.1_2019VOL-YTD'!J:J)</f>
        <v>0</v>
      </c>
      <c r="AH23" s="268">
        <f>SUMIF('Input 3.1_2019VOL-YTD'!$R:$R,$G23,'Input 3.1_2019VOL-YTD'!K:K)</f>
        <v>0</v>
      </c>
      <c r="AI23" s="268">
        <f>SUMIF('Input 3.1_2019VOL-YTD'!$R:$R,$G23,'Input 3.1_2019VOL-YTD'!L:L)</f>
        <v>0</v>
      </c>
      <c r="AJ23" s="268">
        <f>SUMIF('Input 3.1_2019VOL-YTD'!$R:$R,$G23,'Input 3.1_2019VOL-YTD'!M:M)</f>
        <v>0</v>
      </c>
      <c r="AK23" s="268">
        <f>SUMIF('Input 3.1_2019VOL-YTD'!$R:$R,$G23,'Input 3.1_2019VOL-YTD'!N:N)</f>
        <v>0</v>
      </c>
      <c r="AL23" s="268">
        <f>SUMIF('Input 4.1_2020VOL-YTD'!$R:$R,$G23,'Input 4.1_2020VOL-YTD'!C:C)</f>
        <v>0</v>
      </c>
      <c r="AM23" s="268">
        <f>SUMIF('Input 4.1_2020VOL-YTD'!$R:$R,$G23,'Input 4.1_2020VOL-YTD'!D:D)</f>
        <v>0</v>
      </c>
      <c r="AN23" s="268">
        <f>SUMIF('Input 4.1_2020VOL-YTD'!$R:$R,$G23,'Input 4.1_2020VOL-YTD'!E:E)</f>
        <v>0</v>
      </c>
      <c r="AO23" s="268">
        <f>SUMIF('Input 4.1_2020VOL-YTD'!$R:$R,$G23,'Input 4.1_2020VOL-YTD'!F:F)</f>
        <v>0</v>
      </c>
      <c r="AP23" s="268">
        <f>SUMIF('Input 4.1_2020VOL-YTD'!$R:$R,$G23,'Input 4.1_2020VOL-YTD'!G:G)</f>
        <v>0</v>
      </c>
      <c r="AQ23" s="268">
        <f>SUMIF('Input 4.1_2020VOL-YTD'!$R:$R,$G23,'Input 4.1_2020VOL-YTD'!H:H)</f>
        <v>0</v>
      </c>
      <c r="AR23" s="268">
        <f>SUMIF('Input 4.1_2020VOL-YTD'!$R:$R,$G23,'Input 4.1_2020VOL-YTD'!I:I)</f>
        <v>0</v>
      </c>
      <c r="AS23" s="268">
        <f>SUMIF('Input 4.1_2020VOL-YTD'!$R:$R,$G23,'Input 4.1_2020VOL-YTD'!J:J)</f>
        <v>0</v>
      </c>
      <c r="AT23" s="268">
        <f>SUMIF('Input 4.1_2020VOL-YTD'!$R:$R,$G23,'Input 4.1_2020VOL-YTD'!K:K)</f>
        <v>0</v>
      </c>
      <c r="AU23" s="268">
        <f>SUMIF('Input 4.1_2020VOL-YTD'!$R:$R,$G23,'Input 4.1_2020VOL-YTD'!L:L)</f>
        <v>0</v>
      </c>
      <c r="AV23" s="268">
        <f>SUMIF('Input 4.1_2020VOL-YTD'!$R:$R,$G23,'Input 4.1_2020VOL-YTD'!M:M)</f>
        <v>0</v>
      </c>
      <c r="AW23" s="268">
        <f>SUMIF('Input 4.1_2020VOL-YTD'!$R:$R,$G23,'Input 4.1_2020VOL-YTD'!N:N)</f>
        <v>0</v>
      </c>
      <c r="AX23" s="268">
        <f>SUMIF('Input 5.1_2021VOL-YTD'!$R:$R,$G23,'Input 5.1_2021VOL-YTD'!C:C)</f>
        <v>0</v>
      </c>
      <c r="AY23" s="268">
        <f>SUMIF('Input 5.1_2021VOL-YTD'!$R:$R,$G23,'Input 5.1_2021VOL-YTD'!D:D)</f>
        <v>0</v>
      </c>
      <c r="AZ23" s="268">
        <f>SUMIF('Input 5.1_2021VOL-YTD'!$R:$R,$G23,'Input 5.1_2021VOL-YTD'!E:E)</f>
        <v>0</v>
      </c>
      <c r="BA23" s="268">
        <f>SUMIF('Input 5.1_2021VOL-YTD'!$R:$R,$G23,'Input 5.1_2021VOL-YTD'!F:F)</f>
        <v>0</v>
      </c>
      <c r="BB23" s="268">
        <f>SUMIF('Input 5.1_2021VOL-YTD'!$R:$R,$G23,'Input 5.1_2021VOL-YTD'!G:G)</f>
        <v>0</v>
      </c>
      <c r="BC23" s="268">
        <f>SUMIF('Input 5.1_2021VOL-YTD'!$R:$R,$G23,'Input 5.1_2021VOL-YTD'!H:H)</f>
        <v>0</v>
      </c>
      <c r="BD23" s="268">
        <f>SUMIF('Input 5.1_2021VOL-YTD'!$R:$R,$G23,'Input 5.1_2021VOL-YTD'!I:I)</f>
        <v>0</v>
      </c>
      <c r="BE23" s="268">
        <f>SUMIF('Input 5.1_2021VOL-YTD'!$R:$R,$G23,'Input 5.1_2021VOL-YTD'!J:J)</f>
        <v>0</v>
      </c>
      <c r="BF23" s="268">
        <f>SUMIF('Input 5.1_2021VOL-YTD'!$R:$R,$G23,'Input 5.1_2021VOL-YTD'!K:K)</f>
        <v>0</v>
      </c>
      <c r="BG23" s="268">
        <f>SUMIF('Input 5.1_2021VOL-YTD'!$R:$R,$G23,'Input 5.1_2021VOL-YTD'!L:L)</f>
        <v>0</v>
      </c>
      <c r="BH23" s="268">
        <f>SUMIF('Input 5.1_2021VOL-YTD'!$R:$R,$G23,'Input 5.1_2021VOL-YTD'!M:M)</f>
        <v>0</v>
      </c>
      <c r="BI23" s="268">
        <f>SUMIF('Input 5.1_2021VOL-YTD'!$R:$R,$G23,'Input 5.1_2021VOL-YTD'!N:N)</f>
        <v>0</v>
      </c>
      <c r="BJ23" s="483">
        <f>IFERROR(IF($J23="Historical Average",INDEX('Monthly UPC'!$CM$2:$DJ$65,MATCH($D23,'Monthly UPC'!$D$2:$D$65,0),MATCH(BJ$1,'Monthly UPC'!$CM$1:$DJ$1))*(INDEX('Monthly CUST'!$N$2:$CG$65,MATCH($D23,'Monthly CUST'!$D$2:$D$65,0),MATCH(BJ$1,'Monthly CUST'!$N$1:$CG$1,0))),IF($J23="UPC Growth Rate",((AX23/INDEX('Monthly CUST'!$N$2:$CG$65,MATCH($D23,'Monthly CUST'!$D$2:$D$65,0),MATCH(AX$1,'Monthly CUST'!$N$1:$CG$1,0)))*(1+$L23)*INDEX('Monthly CUST'!$N$2:$CG$65,MATCH($D23,'Monthly CUST'!$D$2:$D$65,0),MATCH(BJ$1,'Monthly CUST'!$N$1:$CG$1,0))),IF($J23="Modeled UPC",INDEX('Monthly CUST'!$N$2:$CG$65,MATCH($D23,'Monthly CUST'!$D$2:$D$65,0),MATCH(BJ$1,'Monthly CUST'!$N$1:$CG$1,0))/12*$M23,IF($J23="Base Period",AX23,IF($J23="Adjusted",SUMIF('Input 15_Fcst Inputs'!$A:$A,$D23,'Input 15_Fcst Inputs'!$G:$G)/12))))),0)</f>
        <v>0</v>
      </c>
      <c r="BK23" s="483">
        <f>IFERROR(IF($J23="Historical Average",INDEX('Monthly UPC'!$CM$2:$DJ$65,MATCH($D23,'Monthly UPC'!$D$2:$D$65,0),MATCH(BK$1,'Monthly UPC'!$CM$1:$DJ$1))*(INDEX('Monthly CUST'!$N$2:$CG$65,MATCH($D23,'Monthly CUST'!$D$2:$D$65,0),MATCH(BK$1,'Monthly CUST'!$N$1:$CG$1,0))),IF($J23="UPC Growth Rate",((AY23/INDEX('Monthly CUST'!$N$2:$CG$65,MATCH($D23,'Monthly CUST'!$D$2:$D$65,0),MATCH(AY$1,'Monthly CUST'!$N$1:$CG$1,0)))*(1+$L23)*INDEX('Monthly CUST'!$N$2:$CG$65,MATCH($D23,'Monthly CUST'!$D$2:$D$65,0),MATCH(BK$1,'Monthly CUST'!$N$1:$CG$1,0))),IF($J23="Modeled UPC",INDEX('Monthly CUST'!$N$2:$CG$65,MATCH($D23,'Monthly CUST'!$D$2:$D$65,0),MATCH(BK$1,'Monthly CUST'!$N$1:$CG$1,0))/12*$M23,IF($J23="Base Period",AY23,IF($J23="Adjusted",SUMIF('Input 15_Fcst Inputs'!$A:$A,$D23,'Input 15_Fcst Inputs'!$G:$G)/12))))),0)</f>
        <v>0</v>
      </c>
      <c r="BL23" s="483">
        <f>IFERROR(IF($J23="Historical Average",INDEX('Monthly UPC'!$CM$2:$DJ$65,MATCH($D23,'Monthly UPC'!$D$2:$D$65,0),MATCH(BL$1,'Monthly UPC'!$CM$1:$DJ$1))*(INDEX('Monthly CUST'!$N$2:$CG$65,MATCH($D23,'Monthly CUST'!$D$2:$D$65,0),MATCH(BL$1,'Monthly CUST'!$N$1:$CG$1,0))),IF($J23="UPC Growth Rate",((AZ23/INDEX('Monthly CUST'!$N$2:$CG$65,MATCH($D23,'Monthly CUST'!$D$2:$D$65,0),MATCH(AZ$1,'Monthly CUST'!$N$1:$CG$1,0)))*(1+$L23)*INDEX('Monthly CUST'!$N$2:$CG$65,MATCH($D23,'Monthly CUST'!$D$2:$D$65,0),MATCH(BL$1,'Monthly CUST'!$N$1:$CG$1,0))),IF($J23="Modeled UPC",INDEX('Monthly CUST'!$N$2:$CG$65,MATCH($D23,'Monthly CUST'!$D$2:$D$65,0),MATCH(BL$1,'Monthly CUST'!$N$1:$CG$1,0))/12*$M23,IF($J23="Base Period",AZ23,IF($J23="Adjusted",SUMIF('Input 15_Fcst Inputs'!$A:$A,$D23,'Input 15_Fcst Inputs'!$G:$G)/12))))),0)</f>
        <v>0</v>
      </c>
      <c r="BM23" s="483">
        <f>IFERROR(IF($J23="Historical Average",INDEX('Monthly UPC'!$CM$2:$DJ$65,MATCH($D23,'Monthly UPC'!$D$2:$D$65,0),MATCH(BM$1,'Monthly UPC'!$CM$1:$DJ$1))*(INDEX('Monthly CUST'!$N$2:$CG$65,MATCH($D23,'Monthly CUST'!$D$2:$D$65,0),MATCH(BM$1,'Monthly CUST'!$N$1:$CG$1,0))),IF($J23="UPC Growth Rate",((BA23/INDEX('Monthly CUST'!$N$2:$CG$65,MATCH($D23,'Monthly CUST'!$D$2:$D$65,0),MATCH(BA$1,'Monthly CUST'!$N$1:$CG$1,0)))*(1+$L23)*INDEX('Monthly CUST'!$N$2:$CG$65,MATCH($D23,'Monthly CUST'!$D$2:$D$65,0),MATCH(BM$1,'Monthly CUST'!$N$1:$CG$1,0))),IF($J23="Modeled UPC",INDEX('Monthly CUST'!$N$2:$CG$65,MATCH($D23,'Monthly CUST'!$D$2:$D$65,0),MATCH(BM$1,'Monthly CUST'!$N$1:$CG$1,0))/12*$M23,IF($J23="Base Period",BA23,IF($J23="Adjusted",SUMIF('Input 15_Fcst Inputs'!$A:$A,$D23,'Input 15_Fcst Inputs'!$G:$G)/12))))),0)</f>
        <v>0</v>
      </c>
      <c r="BN23" s="483">
        <f>IFERROR(IF($J23="Historical Average",INDEX('Monthly UPC'!$CM$2:$DJ$65,MATCH($D23,'Monthly UPC'!$D$2:$D$65,0),MATCH(BN$1,'Monthly UPC'!$CM$1:$DJ$1))*(INDEX('Monthly CUST'!$N$2:$CG$65,MATCH($D23,'Monthly CUST'!$D$2:$D$65,0),MATCH(BN$1,'Monthly CUST'!$N$1:$CG$1,0))),IF($J23="UPC Growth Rate",((BB23/INDEX('Monthly CUST'!$N$2:$CG$65,MATCH($D23,'Monthly CUST'!$D$2:$D$65,0),MATCH(BB$1,'Monthly CUST'!$N$1:$CG$1,0)))*(1+$L23)*INDEX('Monthly CUST'!$N$2:$CG$65,MATCH($D23,'Monthly CUST'!$D$2:$D$65,0),MATCH(BN$1,'Monthly CUST'!$N$1:$CG$1,0))),IF($J23="Modeled UPC",INDEX('Monthly CUST'!$N$2:$CG$65,MATCH($D23,'Monthly CUST'!$D$2:$D$65,0),MATCH(BN$1,'Monthly CUST'!$N$1:$CG$1,0))/12*$M23,IF($J23="Base Period",BB23,IF($J23="Adjusted",SUMIF('Input 15_Fcst Inputs'!$A:$A,$D23,'Input 15_Fcst Inputs'!$G:$G)/12))))),0)</f>
        <v>0</v>
      </c>
      <c r="BO23" s="483">
        <f>IFERROR(IF($J23="Historical Average",INDEX('Monthly UPC'!$CM$2:$DJ$65,MATCH($D23,'Monthly UPC'!$D$2:$D$65,0),MATCH(BO$1,'Monthly UPC'!$CM$1:$DJ$1))*(INDEX('Monthly CUST'!$N$2:$CG$65,MATCH($D23,'Monthly CUST'!$D$2:$D$65,0),MATCH(BO$1,'Monthly CUST'!$N$1:$CG$1,0))),IF($J23="UPC Growth Rate",((BC23/INDEX('Monthly CUST'!$N$2:$CG$65,MATCH($D23,'Monthly CUST'!$D$2:$D$65,0),MATCH(BC$1,'Monthly CUST'!$N$1:$CG$1,0)))*(1+$L23)*INDEX('Monthly CUST'!$N$2:$CG$65,MATCH($D23,'Monthly CUST'!$D$2:$D$65,0),MATCH(BO$1,'Monthly CUST'!$N$1:$CG$1,0))),IF($J23="Modeled UPC",INDEX('Monthly CUST'!$N$2:$CG$65,MATCH($D23,'Monthly CUST'!$D$2:$D$65,0),MATCH(BO$1,'Monthly CUST'!$N$1:$CG$1,0))/12*$M23,IF($J23="Base Period",BC23,IF($J23="Adjusted",SUMIF('Input 15_Fcst Inputs'!$A:$A,$D23,'Input 15_Fcst Inputs'!$G:$G)/12))))),0)</f>
        <v>0</v>
      </c>
      <c r="BP23" s="483">
        <f>IFERROR(IF($J23="Historical Average",INDEX('Monthly UPC'!$CM$2:$DJ$65,MATCH($D23,'Monthly UPC'!$D$2:$D$65,0),MATCH(BP$1,'Monthly UPC'!$CM$1:$DJ$1))*(INDEX('Monthly CUST'!$N$2:$CG$65,MATCH($D23,'Monthly CUST'!$D$2:$D$65,0),MATCH(BP$1,'Monthly CUST'!$N$1:$CG$1,0))),IF($J23="UPC Growth Rate",((BD23/INDEX('Monthly CUST'!$N$2:$CG$65,MATCH($D23,'Monthly CUST'!$D$2:$D$65,0),MATCH(BD$1,'Monthly CUST'!$N$1:$CG$1,0)))*(1+$L23)*INDEX('Monthly CUST'!$N$2:$CG$65,MATCH($D23,'Monthly CUST'!$D$2:$D$65,0),MATCH(BP$1,'Monthly CUST'!$N$1:$CG$1,0))),IF($J23="Modeled UPC",INDEX('Monthly CUST'!$N$2:$CG$65,MATCH($D23,'Monthly CUST'!$D$2:$D$65,0),MATCH(BP$1,'Monthly CUST'!$N$1:$CG$1,0))/12*$M23,IF($J23="Base Period",BD23,IF($J23="Adjusted",SUMIF('Input 15_Fcst Inputs'!$A:$A,$D23,'Input 15_Fcst Inputs'!$G:$G)/12))))),0)</f>
        <v>0</v>
      </c>
      <c r="BQ23" s="483">
        <f>IFERROR(IF($J23="Historical Average",INDEX('Monthly UPC'!$CM$2:$DJ$65,MATCH($D23,'Monthly UPC'!$D$2:$D$65,0),MATCH(BQ$1,'Monthly UPC'!$CM$1:$DJ$1))*(INDEX('Monthly CUST'!$N$2:$CG$65,MATCH($D23,'Monthly CUST'!$D$2:$D$65,0),MATCH(BQ$1,'Monthly CUST'!$N$1:$CG$1,0))),IF($J23="UPC Growth Rate",((BE23/INDEX('Monthly CUST'!$N$2:$CG$65,MATCH($D23,'Monthly CUST'!$D$2:$D$65,0),MATCH(BE$1,'Monthly CUST'!$N$1:$CG$1,0)))*(1+$L23)*INDEX('Monthly CUST'!$N$2:$CG$65,MATCH($D23,'Monthly CUST'!$D$2:$D$65,0),MATCH(BQ$1,'Monthly CUST'!$N$1:$CG$1,0))),IF($J23="Modeled UPC",INDEX('Monthly CUST'!$N$2:$CG$65,MATCH($D23,'Monthly CUST'!$D$2:$D$65,0),MATCH(BQ$1,'Monthly CUST'!$N$1:$CG$1,0))/12*$M23,IF($J23="Base Period",BE23,IF($J23="Adjusted",SUMIF('Input 15_Fcst Inputs'!$A:$A,$D23,'Input 15_Fcst Inputs'!$G:$G)/12))))),0)</f>
        <v>0</v>
      </c>
      <c r="BR23" s="483">
        <f>IFERROR(IF($J23="Historical Average",INDEX('Monthly UPC'!$CM$2:$DJ$65,MATCH($D23,'Monthly UPC'!$D$2:$D$65,0),MATCH(BR$1,'Monthly UPC'!$CM$1:$DJ$1))*(INDEX('Monthly CUST'!$N$2:$CG$65,MATCH($D23,'Monthly CUST'!$D$2:$D$65,0),MATCH(BR$1,'Monthly CUST'!$N$1:$CG$1,0))),IF($J23="UPC Growth Rate",((BF23/INDEX('Monthly CUST'!$N$2:$CG$65,MATCH($D23,'Monthly CUST'!$D$2:$D$65,0),MATCH(BF$1,'Monthly CUST'!$N$1:$CG$1,0)))*(1+$L23)*INDEX('Monthly CUST'!$N$2:$CG$65,MATCH($D23,'Monthly CUST'!$D$2:$D$65,0),MATCH(BR$1,'Monthly CUST'!$N$1:$CG$1,0))),IF($J23="Modeled UPC",INDEX('Monthly CUST'!$N$2:$CG$65,MATCH($D23,'Monthly CUST'!$D$2:$D$65,0),MATCH(BR$1,'Monthly CUST'!$N$1:$CG$1,0))/12*$M23,IF($J23="Base Period",BF23,IF($J23="Adjusted",SUMIF('Input 15_Fcst Inputs'!$A:$A,$D23,'Input 15_Fcst Inputs'!$G:$G)/12))))),0)</f>
        <v>0</v>
      </c>
      <c r="BS23" s="483">
        <f>IFERROR(IF($J23="Historical Average",INDEX('Monthly UPC'!$CM$2:$DJ$65,MATCH($D23,'Monthly UPC'!$D$2:$D$65,0),MATCH(BS$1,'Monthly UPC'!$CM$1:$DJ$1))*(INDEX('Monthly CUST'!$N$2:$CG$65,MATCH($D23,'Monthly CUST'!$D$2:$D$65,0),MATCH(BS$1,'Monthly CUST'!$N$1:$CG$1,0))),IF($J23="UPC Growth Rate",((BG23/INDEX('Monthly CUST'!$N$2:$CG$65,MATCH($D23,'Monthly CUST'!$D$2:$D$65,0),MATCH(BG$1,'Monthly CUST'!$N$1:$CG$1,0)))*(1+$L23)*INDEX('Monthly CUST'!$N$2:$CG$65,MATCH($D23,'Monthly CUST'!$D$2:$D$65,0),MATCH(BS$1,'Monthly CUST'!$N$1:$CG$1,0))),IF($J23="Modeled UPC",INDEX('Monthly CUST'!$N$2:$CG$65,MATCH($D23,'Monthly CUST'!$D$2:$D$65,0),MATCH(BS$1,'Monthly CUST'!$N$1:$CG$1,0))/12*$M23,IF($J23="Base Period",BG23,IF($J23="Adjusted",SUMIF('Input 15_Fcst Inputs'!$A:$A,$D23,'Input 15_Fcst Inputs'!$G:$G)/12))))),0)</f>
        <v>0</v>
      </c>
      <c r="BT23" s="483">
        <f>IFERROR(IF($J23="Historical Average",INDEX('Monthly UPC'!$CM$2:$DJ$65,MATCH($D23,'Monthly UPC'!$D$2:$D$65,0),MATCH(BT$1,'Monthly UPC'!$CM$1:$DJ$1))*(INDEX('Monthly CUST'!$N$2:$CG$65,MATCH($D23,'Monthly CUST'!$D$2:$D$65,0),MATCH(BT$1,'Monthly CUST'!$N$1:$CG$1,0))),IF($J23="UPC Growth Rate",((BH23/INDEX('Monthly CUST'!$N$2:$CG$65,MATCH($D23,'Monthly CUST'!$D$2:$D$65,0),MATCH(BH$1,'Monthly CUST'!$N$1:$CG$1,0)))*(1+$L23)*INDEX('Monthly CUST'!$N$2:$CG$65,MATCH($D23,'Monthly CUST'!$D$2:$D$65,0),MATCH(BT$1,'Monthly CUST'!$N$1:$CG$1,0))),IF($J23="Modeled UPC",INDEX('Monthly CUST'!$N$2:$CG$65,MATCH($D23,'Monthly CUST'!$D$2:$D$65,0),MATCH(BT$1,'Monthly CUST'!$N$1:$CG$1,0))/12*$M23,IF($J23="Base Period",BH23,IF($J23="Adjusted",SUMIF('Input 15_Fcst Inputs'!$A:$A,$D23,'Input 15_Fcst Inputs'!$G:$G)/12))))),0)</f>
        <v>0</v>
      </c>
      <c r="BU23" s="483">
        <f>IFERROR(IF($J23="Historical Average",INDEX('Monthly UPC'!$CM$2:$DJ$65,MATCH($D23,'Monthly UPC'!$D$2:$D$65,0),MATCH(BU$1,'Monthly UPC'!$CM$1:$DJ$1))*(INDEX('Monthly CUST'!$N$2:$CG$65,MATCH($D23,'Monthly CUST'!$D$2:$D$65,0),MATCH(BU$1,'Monthly CUST'!$N$1:$CG$1,0))),IF($J23="UPC Growth Rate",((BI23/INDEX('Monthly CUST'!$N$2:$CG$65,MATCH($D23,'Monthly CUST'!$D$2:$D$65,0),MATCH(BI$1,'Monthly CUST'!$N$1:$CG$1,0)))*(1+$L23)*INDEX('Monthly CUST'!$N$2:$CG$65,MATCH($D23,'Monthly CUST'!$D$2:$D$65,0),MATCH(BU$1,'Monthly CUST'!$N$1:$CG$1,0))),IF($J23="Modeled UPC",INDEX('Monthly CUST'!$N$2:$CG$65,MATCH($D23,'Monthly CUST'!$D$2:$D$65,0),MATCH(BU$1,'Monthly CUST'!$N$1:$CG$1,0))/12*$M23,IF($J23="Base Period",BI23,IF($J23="Adjusted",SUMIF('Input 15_Fcst Inputs'!$A:$A,$D23,'Input 15_Fcst Inputs'!$G:$G)/12))))),0)</f>
        <v>0</v>
      </c>
      <c r="BV23" s="483">
        <f>IFERROR(IF($J23="Historical Average",INDEX('Monthly UPC'!$CM$2:$DJ$65,MATCH($D23,'Monthly UPC'!$D$2:$D$65,0),MATCH(BV$1,'Monthly UPC'!$CM$1:$DJ$1))*(INDEX('Monthly CUST'!$N$2:$CG$65,MATCH($D23,'Monthly CUST'!$D$2:$D$65,0),MATCH(BV$1,'Monthly CUST'!$N$1:$CG$1,0))),IF($J23="UPC Growth Rate",((BJ23/INDEX('Monthly CUST'!$N$2:$CG$65,MATCH($D23,'Monthly CUST'!$D$2:$D$65,0),MATCH(BJ$1,'Monthly CUST'!$N$1:$CG$1,0)))*(1+$L23)*INDEX('Monthly CUST'!$N$2:$CG$65,MATCH($D23,'Monthly CUST'!$D$2:$D$65,0),MATCH(BV$1,'Monthly CUST'!$N$1:$CG$1,0))),IF($J23="Modeled UPC",INDEX('Monthly CUST'!$N$2:$CG$65,MATCH($D23,'Monthly CUST'!$D$2:$D$65,0),MATCH(BV$1,'Monthly CUST'!$N$1:$CG$1,0))/12*$M23,IF($J23="Base Period",BJ23,IF($J23="Adjusted",SUMIF('Input 15_Fcst Inputs'!$A:$A,$D23,'Input 15_Fcst Inputs'!$G:$G)/12))))),0)</f>
        <v>0</v>
      </c>
      <c r="BW23" s="483">
        <f>IFERROR(IF($J23="Historical Average",INDEX('Monthly UPC'!$CM$2:$DJ$65,MATCH($D23,'Monthly UPC'!$D$2:$D$65,0),MATCH(BW$1,'Monthly UPC'!$CM$1:$DJ$1))*(INDEX('Monthly CUST'!$N$2:$CG$65,MATCH($D23,'Monthly CUST'!$D$2:$D$65,0),MATCH(BW$1,'Monthly CUST'!$N$1:$CG$1,0))),IF($J23="UPC Growth Rate",((BK23/INDEX('Monthly CUST'!$N$2:$CG$65,MATCH($D23,'Monthly CUST'!$D$2:$D$65,0),MATCH(BK$1,'Monthly CUST'!$N$1:$CG$1,0)))*(1+$L23)*INDEX('Monthly CUST'!$N$2:$CG$65,MATCH($D23,'Monthly CUST'!$D$2:$D$65,0),MATCH(BW$1,'Monthly CUST'!$N$1:$CG$1,0))),IF($J23="Modeled UPC",INDEX('Monthly CUST'!$N$2:$CG$65,MATCH($D23,'Monthly CUST'!$D$2:$D$65,0),MATCH(BW$1,'Monthly CUST'!$N$1:$CG$1,0))/12*$M23,IF($J23="Base Period",BK23,IF($J23="Adjusted",SUMIF('Input 15_Fcst Inputs'!$A:$A,$D23,'Input 15_Fcst Inputs'!$G:$G)/12))))),0)</f>
        <v>0</v>
      </c>
      <c r="BX23" s="483">
        <f>IFERROR(IF($J23="Historical Average",INDEX('Monthly UPC'!$CM$2:$DJ$65,MATCH($D23,'Monthly UPC'!$D$2:$D$65,0),MATCH(BX$1,'Monthly UPC'!$CM$1:$DJ$1))*(INDEX('Monthly CUST'!$N$2:$CG$65,MATCH($D23,'Monthly CUST'!$D$2:$D$65,0),MATCH(BX$1,'Monthly CUST'!$N$1:$CG$1,0))),IF($J23="UPC Growth Rate",((BL23/INDEX('Monthly CUST'!$N$2:$CG$65,MATCH($D23,'Monthly CUST'!$D$2:$D$65,0),MATCH(BL$1,'Monthly CUST'!$N$1:$CG$1,0)))*(1+$L23)*INDEX('Monthly CUST'!$N$2:$CG$65,MATCH($D23,'Monthly CUST'!$D$2:$D$65,0),MATCH(BX$1,'Monthly CUST'!$N$1:$CG$1,0))),IF($J23="Modeled UPC",INDEX('Monthly CUST'!$N$2:$CG$65,MATCH($D23,'Monthly CUST'!$D$2:$D$65,0),MATCH(BX$1,'Monthly CUST'!$N$1:$CG$1,0))/12*$M23,IF($J23="Base Period",BL23,IF($J23="Adjusted",SUMIF('Input 15_Fcst Inputs'!$A:$A,$D23,'Input 15_Fcst Inputs'!$G:$G)/12))))),0)</f>
        <v>0</v>
      </c>
      <c r="BY23" s="483">
        <f>IFERROR(IF($J23="Historical Average",INDEX('Monthly UPC'!$CM$2:$DJ$65,MATCH($D23,'Monthly UPC'!$D$2:$D$65,0),MATCH(BY$1,'Monthly UPC'!$CM$1:$DJ$1))*(INDEX('Monthly CUST'!$N$2:$CG$65,MATCH($D23,'Monthly CUST'!$D$2:$D$65,0),MATCH(BY$1,'Monthly CUST'!$N$1:$CG$1,0))),IF($J23="UPC Growth Rate",((BM23/INDEX('Monthly CUST'!$N$2:$CG$65,MATCH($D23,'Monthly CUST'!$D$2:$D$65,0),MATCH(BM$1,'Monthly CUST'!$N$1:$CG$1,0)))*(1+$L23)*INDEX('Monthly CUST'!$N$2:$CG$65,MATCH($D23,'Monthly CUST'!$D$2:$D$65,0),MATCH(BY$1,'Monthly CUST'!$N$1:$CG$1,0))),IF($J23="Modeled UPC",INDEX('Monthly CUST'!$N$2:$CG$65,MATCH($D23,'Monthly CUST'!$D$2:$D$65,0),MATCH(BY$1,'Monthly CUST'!$N$1:$CG$1,0))/12*$M23,IF($J23="Base Period",BM23,IF($J23="Adjusted",SUMIF('Input 15_Fcst Inputs'!$A:$A,$D23,'Input 15_Fcst Inputs'!$G:$G)/12))))),0)</f>
        <v>0</v>
      </c>
      <c r="BZ23" s="483">
        <f>IFERROR(IF($J23="Historical Average",INDEX('Monthly UPC'!$CM$2:$DJ$65,MATCH($D23,'Monthly UPC'!$D$2:$D$65,0),MATCH(BZ$1,'Monthly UPC'!$CM$1:$DJ$1))*(INDEX('Monthly CUST'!$N$2:$CG$65,MATCH($D23,'Monthly CUST'!$D$2:$D$65,0),MATCH(BZ$1,'Monthly CUST'!$N$1:$CG$1,0))),IF($J23="UPC Growth Rate",((BN23/INDEX('Monthly CUST'!$N$2:$CG$65,MATCH($D23,'Monthly CUST'!$D$2:$D$65,0),MATCH(BN$1,'Monthly CUST'!$N$1:$CG$1,0)))*(1+$L23)*INDEX('Monthly CUST'!$N$2:$CG$65,MATCH($D23,'Monthly CUST'!$D$2:$D$65,0),MATCH(BZ$1,'Monthly CUST'!$N$1:$CG$1,0))),IF($J23="Modeled UPC",INDEX('Monthly CUST'!$N$2:$CG$65,MATCH($D23,'Monthly CUST'!$D$2:$D$65,0),MATCH(BZ$1,'Monthly CUST'!$N$1:$CG$1,0))/12*$M23,IF($J23="Base Period",BN23,IF($J23="Adjusted",SUMIF('Input 15_Fcst Inputs'!$A:$A,$D23,'Input 15_Fcst Inputs'!$G:$G)/12))))),0)</f>
        <v>0</v>
      </c>
      <c r="CA23" s="483">
        <f>IFERROR(IF($J23="Historical Average",INDEX('Monthly UPC'!$CM$2:$DJ$65,MATCH($D23,'Monthly UPC'!$D$2:$D$65,0),MATCH(CA$1,'Monthly UPC'!$CM$1:$DJ$1))*(INDEX('Monthly CUST'!$N$2:$CG$65,MATCH($D23,'Monthly CUST'!$D$2:$D$65,0),MATCH(CA$1,'Monthly CUST'!$N$1:$CG$1,0))),IF($J23="UPC Growth Rate",((BO23/INDEX('Monthly CUST'!$N$2:$CG$65,MATCH($D23,'Monthly CUST'!$D$2:$D$65,0),MATCH(BO$1,'Monthly CUST'!$N$1:$CG$1,0)))*(1+$L23)*INDEX('Monthly CUST'!$N$2:$CG$65,MATCH($D23,'Monthly CUST'!$D$2:$D$65,0),MATCH(CA$1,'Monthly CUST'!$N$1:$CG$1,0))),IF($J23="Modeled UPC",INDEX('Monthly CUST'!$N$2:$CG$65,MATCH($D23,'Monthly CUST'!$D$2:$D$65,0),MATCH(CA$1,'Monthly CUST'!$N$1:$CG$1,0))/12*$M23,IF($J23="Base Period",BO23,IF($J23="Adjusted",SUMIF('Input 15_Fcst Inputs'!$A:$A,$D23,'Input 15_Fcst Inputs'!$G:$G)/12))))),0)</f>
        <v>0</v>
      </c>
      <c r="CB23" s="483">
        <f>IFERROR(IF($J23="Historical Average",INDEX('Monthly UPC'!$CM$2:$DJ$65,MATCH($D23,'Monthly UPC'!$D$2:$D$65,0),MATCH(CB$1,'Monthly UPC'!$CM$1:$DJ$1))*(INDEX('Monthly CUST'!$N$2:$CG$65,MATCH($D23,'Monthly CUST'!$D$2:$D$65,0),MATCH(CB$1,'Monthly CUST'!$N$1:$CG$1,0))),IF($J23="UPC Growth Rate",((BP23/INDEX('Monthly CUST'!$N$2:$CG$65,MATCH($D23,'Monthly CUST'!$D$2:$D$65,0),MATCH(BP$1,'Monthly CUST'!$N$1:$CG$1,0)))*(1+$L23)*INDEX('Monthly CUST'!$N$2:$CG$65,MATCH($D23,'Monthly CUST'!$D$2:$D$65,0),MATCH(CB$1,'Monthly CUST'!$N$1:$CG$1,0))),IF($J23="Modeled UPC",INDEX('Monthly CUST'!$N$2:$CG$65,MATCH($D23,'Monthly CUST'!$D$2:$D$65,0),MATCH(CB$1,'Monthly CUST'!$N$1:$CG$1,0))/12*$M23,IF($J23="Base Period",BP23,IF($J23="Adjusted",SUMIF('Input 15_Fcst Inputs'!$A:$A,$D23,'Input 15_Fcst Inputs'!$G:$G)/12))))),0)</f>
        <v>0</v>
      </c>
      <c r="CC23" s="483">
        <f>IFERROR(IF($J23="Historical Average",INDEX('Monthly UPC'!$CM$2:$DJ$65,MATCH($D23,'Monthly UPC'!$D$2:$D$65,0),MATCH(CC$1,'Monthly UPC'!$CM$1:$DJ$1))*(INDEX('Monthly CUST'!$N$2:$CG$65,MATCH($D23,'Monthly CUST'!$D$2:$D$65,0),MATCH(CC$1,'Monthly CUST'!$N$1:$CG$1,0))),IF($J23="UPC Growth Rate",((BQ23/INDEX('Monthly CUST'!$N$2:$CG$65,MATCH($D23,'Monthly CUST'!$D$2:$D$65,0),MATCH(BQ$1,'Monthly CUST'!$N$1:$CG$1,0)))*(1+$L23)*INDEX('Monthly CUST'!$N$2:$CG$65,MATCH($D23,'Monthly CUST'!$D$2:$D$65,0),MATCH(CC$1,'Monthly CUST'!$N$1:$CG$1,0))),IF($J23="Modeled UPC",INDEX('Monthly CUST'!$N$2:$CG$65,MATCH($D23,'Monthly CUST'!$D$2:$D$65,0),MATCH(CC$1,'Monthly CUST'!$N$1:$CG$1,0))/12*$M23,IF($J23="Base Period",BQ23,IF($J23="Adjusted",SUMIF('Input 15_Fcst Inputs'!$A:$A,$D23,'Input 15_Fcst Inputs'!$G:$G)/12))))),0)</f>
        <v>0</v>
      </c>
      <c r="CD23" s="483">
        <f>IFERROR(IF($J23="Historical Average",INDEX('Monthly UPC'!$CM$2:$DJ$65,MATCH($D23,'Monthly UPC'!$D$2:$D$65,0),MATCH(CD$1,'Monthly UPC'!$CM$1:$DJ$1))*(INDEX('Monthly CUST'!$N$2:$CG$65,MATCH($D23,'Monthly CUST'!$D$2:$D$65,0),MATCH(CD$1,'Monthly CUST'!$N$1:$CG$1,0))),IF($J23="UPC Growth Rate",((BR23/INDEX('Monthly CUST'!$N$2:$CG$65,MATCH($D23,'Monthly CUST'!$D$2:$D$65,0),MATCH(BR$1,'Monthly CUST'!$N$1:$CG$1,0)))*(1+$L23)*INDEX('Monthly CUST'!$N$2:$CG$65,MATCH($D23,'Monthly CUST'!$D$2:$D$65,0),MATCH(CD$1,'Monthly CUST'!$N$1:$CG$1,0))),IF($J23="Modeled UPC",INDEX('Monthly CUST'!$N$2:$CG$65,MATCH($D23,'Monthly CUST'!$D$2:$D$65,0),MATCH(CD$1,'Monthly CUST'!$N$1:$CG$1,0))/12*$M23,IF($J23="Base Period",BR23,IF($J23="Adjusted",SUMIF('Input 15_Fcst Inputs'!$A:$A,$D23,'Input 15_Fcst Inputs'!$G:$G)/12))))),0)</f>
        <v>0</v>
      </c>
      <c r="CE23" s="483">
        <f>IFERROR(IF($J23="Historical Average",INDEX('Monthly UPC'!$CM$2:$DJ$65,MATCH($D23,'Monthly UPC'!$D$2:$D$65,0),MATCH(CE$1,'Monthly UPC'!$CM$1:$DJ$1))*(INDEX('Monthly CUST'!$N$2:$CG$65,MATCH($D23,'Monthly CUST'!$D$2:$D$65,0),MATCH(CE$1,'Monthly CUST'!$N$1:$CG$1,0))),IF($J23="UPC Growth Rate",((BS23/INDEX('Monthly CUST'!$N$2:$CG$65,MATCH($D23,'Monthly CUST'!$D$2:$D$65,0),MATCH(BS$1,'Monthly CUST'!$N$1:$CG$1,0)))*(1+$L23)*INDEX('Monthly CUST'!$N$2:$CG$65,MATCH($D23,'Monthly CUST'!$D$2:$D$65,0),MATCH(CE$1,'Monthly CUST'!$N$1:$CG$1,0))),IF($J23="Modeled UPC",INDEX('Monthly CUST'!$N$2:$CG$65,MATCH($D23,'Monthly CUST'!$D$2:$D$65,0),MATCH(CE$1,'Monthly CUST'!$N$1:$CG$1,0))/12*$M23,IF($J23="Base Period",BS23,IF($J23="Adjusted",SUMIF('Input 15_Fcst Inputs'!$A:$A,$D23,'Input 15_Fcst Inputs'!$G:$G)/12))))),0)</f>
        <v>0</v>
      </c>
      <c r="CF23" s="483">
        <f>IFERROR(IF($J23="Historical Average",INDEX('Monthly UPC'!$CM$2:$DJ$65,MATCH($D23,'Monthly UPC'!$D$2:$D$65,0),MATCH(CF$1,'Monthly UPC'!$CM$1:$DJ$1))*(INDEX('Monthly CUST'!$N$2:$CG$65,MATCH($D23,'Monthly CUST'!$D$2:$D$65,0),MATCH(CF$1,'Monthly CUST'!$N$1:$CG$1,0))),IF($J23="UPC Growth Rate",((BT23/INDEX('Monthly CUST'!$N$2:$CG$65,MATCH($D23,'Monthly CUST'!$D$2:$D$65,0),MATCH(BT$1,'Monthly CUST'!$N$1:$CG$1,0)))*(1+$L23)*INDEX('Monthly CUST'!$N$2:$CG$65,MATCH($D23,'Monthly CUST'!$D$2:$D$65,0),MATCH(CF$1,'Monthly CUST'!$N$1:$CG$1,0))),IF($J23="Modeled UPC",INDEX('Monthly CUST'!$N$2:$CG$65,MATCH($D23,'Monthly CUST'!$D$2:$D$65,0),MATCH(CF$1,'Monthly CUST'!$N$1:$CG$1,0))/12*$M23,IF($J23="Base Period",BT23,IF($J23="Adjusted",SUMIF('Input 15_Fcst Inputs'!$A:$A,$D23,'Input 15_Fcst Inputs'!$G:$G)/12))))),0)</f>
        <v>0</v>
      </c>
      <c r="CG23" s="483">
        <f>IFERROR(IF($J23="Historical Average",INDEX('Monthly UPC'!$CM$2:$DJ$65,MATCH($D23,'Monthly UPC'!$D$2:$D$65,0),MATCH(CG$1,'Monthly UPC'!$CM$1:$DJ$1))*(INDEX('Monthly CUST'!$N$2:$CG$65,MATCH($D23,'Monthly CUST'!$D$2:$D$65,0),MATCH(CG$1,'Monthly CUST'!$N$1:$CG$1,0))),IF($J23="UPC Growth Rate",((BU23/INDEX('Monthly CUST'!$N$2:$CG$65,MATCH($D23,'Monthly CUST'!$D$2:$D$65,0),MATCH(BU$1,'Monthly CUST'!$N$1:$CG$1,0)))*(1+$L23)*INDEX('Monthly CUST'!$N$2:$CG$65,MATCH($D23,'Monthly CUST'!$D$2:$D$65,0),MATCH(CG$1,'Monthly CUST'!$N$1:$CG$1,0))),IF($J23="Modeled UPC",INDEX('Monthly CUST'!$N$2:$CG$65,MATCH($D23,'Monthly CUST'!$D$2:$D$65,0),MATCH(CG$1,'Monthly CUST'!$N$1:$CG$1,0))/12*$M23,IF($J23="Base Period",BU23,IF($J23="Adjusted",SUMIF('Input 15_Fcst Inputs'!$A:$A,$D23,'Input 15_Fcst Inputs'!$G:$G)/12))))),0)</f>
        <v>0</v>
      </c>
      <c r="CH23" s="197"/>
      <c r="CI23" s="197">
        <f t="shared" si="0"/>
        <v>0</v>
      </c>
      <c r="CJ23" s="197">
        <f t="shared" si="1"/>
        <v>0</v>
      </c>
      <c r="CK23" s="197">
        <f t="shared" si="2"/>
        <v>0</v>
      </c>
      <c r="CL23" s="197">
        <f t="shared" si="3"/>
        <v>0</v>
      </c>
      <c r="CM23" s="197">
        <f t="shared" si="4"/>
        <v>0</v>
      </c>
      <c r="CN23" s="197">
        <f t="shared" si="5"/>
        <v>0</v>
      </c>
      <c r="CP23" s="4">
        <f>SUMIF('Master '!D:D,D23,'Master '!AH:AH)</f>
        <v>0</v>
      </c>
      <c r="CQ23" s="4">
        <f>SUMIF('Master '!D:D,D23,'Master '!AI:AI)</f>
        <v>0</v>
      </c>
      <c r="CR23" s="197">
        <f t="shared" si="6"/>
        <v>0</v>
      </c>
      <c r="CS23" s="197">
        <f t="shared" si="7"/>
        <v>0</v>
      </c>
      <c r="CT23" t="s">
        <v>287</v>
      </c>
      <c r="CV23" t="str">
        <f>VLOOKUP(G23,'Master '!G:CC,75,FALSE)</f>
        <v>IS</v>
      </c>
    </row>
    <row r="24" spans="1:100">
      <c r="A24" s="53" t="s">
        <v>15</v>
      </c>
      <c r="B24" s="53" t="s">
        <v>993</v>
      </c>
      <c r="C24" s="53" t="s">
        <v>1245</v>
      </c>
      <c r="D24" s="53" t="s">
        <v>50</v>
      </c>
      <c r="E24" s="53" t="str">
        <f>VLOOKUP(D24,'Input 14_Ref Table'!C:D,2,FALSE)</f>
        <v>GIT92</v>
      </c>
      <c r="F24" s="143" t="s">
        <v>1286</v>
      </c>
      <c r="G24" s="53" t="str">
        <f>VLOOKUP(D24,'Input 14_Ref Table'!C:I,7,FALSE)</f>
        <v>FPU - FPU - ITS</v>
      </c>
      <c r="H24" s="53" t="str">
        <f>VLOOKUP(D24,'Input 14_Ref Table'!C:K,8,FALSE)</f>
        <v>Base Period</v>
      </c>
      <c r="I24" s="53"/>
      <c r="J24" t="str">
        <f>INDEX('Master '!$AD$2:AD$65,MATCH(D24,'Master '!$D$2:$D$65,0))</f>
        <v>Base Period</v>
      </c>
      <c r="K24" s="458">
        <f>INDEX('Master '!$N$2:N$65,MATCH(D24,'Master '!$D$2:$D$65,0))</f>
        <v>0</v>
      </c>
      <c r="L24" s="137">
        <f>INDEX('Master '!$S$2:S$65,MATCH(D24,'Master '!$D$2:$D$65,0))</f>
        <v>0</v>
      </c>
      <c r="M24" s="4">
        <f>INDEX('Master '!$W$2:W$65,MATCH(D24,'Master '!$D$2:$D$65,0))</f>
        <v>530317.79888888879</v>
      </c>
      <c r="N24" s="268">
        <f>SUMIF('Input 16.1_2018VOL-YTD'!$R:$R,$G24,'Input 16.1_2018VOL-YTD'!C:C)</f>
        <v>919609.62000000011</v>
      </c>
      <c r="O24" s="268">
        <f>SUMIF('Input 16.1_2018VOL-YTD'!$R:$R,$G24,'Input 16.1_2018VOL-YTD'!D:D)</f>
        <v>791181.39</v>
      </c>
      <c r="P24" s="268">
        <f>SUMIF('Input 16.1_2018VOL-YTD'!$R:$R,$G24,'Input 16.1_2018VOL-YTD'!E:E)</f>
        <v>914779.35</v>
      </c>
      <c r="Q24" s="268">
        <f>SUMIF('Input 16.1_2018VOL-YTD'!$R:$R,$G24,'Input 16.1_2018VOL-YTD'!F:F)</f>
        <v>832157.67000000016</v>
      </c>
      <c r="R24" s="268">
        <f>SUMIF('Input 16.1_2018VOL-YTD'!$R:$R,$G24,'Input 16.1_2018VOL-YTD'!G:G)</f>
        <v>860983.39999999991</v>
      </c>
      <c r="S24" s="268">
        <f>SUMIF('Input 16.1_2018VOL-YTD'!$R:$R,$G24,'Input 16.1_2018VOL-YTD'!H:H)</f>
        <v>918601.75999999989</v>
      </c>
      <c r="T24" s="268">
        <f>SUMIF('Input 16.1_2018VOL-YTD'!$R:$R,$G24,'Input 16.1_2018VOL-YTD'!I:I)</f>
        <v>877709.64999999991</v>
      </c>
      <c r="U24" s="268">
        <f>SUMIF('Input 16.1_2018VOL-YTD'!$R:$R,$G24,'Input 16.1_2018VOL-YTD'!J:J)</f>
        <v>836941.85</v>
      </c>
      <c r="V24" s="268">
        <f>SUMIF('Input 16.1_2018VOL-YTD'!$R:$R,$G24,'Input 16.1_2018VOL-YTD'!K:K)</f>
        <v>816022.27000000014</v>
      </c>
      <c r="W24" s="268">
        <f>SUMIF('Input 16.1_2018VOL-YTD'!$R:$R,$G24,'Input 16.1_2018VOL-YTD'!L:L)</f>
        <v>891273.56</v>
      </c>
      <c r="X24" s="268">
        <f>SUMIF('Input 16.1_2018VOL-YTD'!$R:$R,$G24,'Input 16.1_2018VOL-YTD'!M:M)</f>
        <v>846929.39999999991</v>
      </c>
      <c r="Y24" s="268">
        <f>SUMIF('Input 16.1_2018VOL-YTD'!$R:$R,$G24,'Input 16.1_2018VOL-YTD'!N:N)</f>
        <v>806398.34999999986</v>
      </c>
      <c r="Z24" s="268">
        <f>SUMIF('Input 3.1_2019VOL-YTD'!$R:$R,$G24,'Input 3.1_2019VOL-YTD'!C:C)</f>
        <v>907429.37000000011</v>
      </c>
      <c r="AA24" s="268">
        <f>SUMIF('Input 3.1_2019VOL-YTD'!$R:$R,$G24,'Input 3.1_2019VOL-YTD'!D:D)</f>
        <v>802911.97999999986</v>
      </c>
      <c r="AB24" s="268">
        <f>SUMIF('Input 3.1_2019VOL-YTD'!$R:$R,$G24,'Input 3.1_2019VOL-YTD'!E:E)</f>
        <v>836572.22</v>
      </c>
      <c r="AC24" s="268">
        <f>SUMIF('Input 3.1_2019VOL-YTD'!$R:$R,$G24,'Input 3.1_2019VOL-YTD'!F:F)</f>
        <v>858687.07000000018</v>
      </c>
      <c r="AD24" s="268">
        <f>SUMIF('Input 3.1_2019VOL-YTD'!$R:$R,$G24,'Input 3.1_2019VOL-YTD'!G:G)</f>
        <v>804128.58</v>
      </c>
      <c r="AE24" s="268">
        <f>SUMIF('Input 3.1_2019VOL-YTD'!$R:$R,$G24,'Input 3.1_2019VOL-YTD'!H:H)</f>
        <v>825504.08</v>
      </c>
      <c r="AF24" s="268">
        <f>SUMIF('Input 3.1_2019VOL-YTD'!$R:$R,$G24,'Input 3.1_2019VOL-YTD'!I:I)</f>
        <v>832482.20000000007</v>
      </c>
      <c r="AG24" s="268">
        <f>SUMIF('Input 3.1_2019VOL-YTD'!$R:$R,$G24,'Input 3.1_2019VOL-YTD'!J:J)</f>
        <v>781958.63</v>
      </c>
      <c r="AH24" s="268">
        <f>SUMIF('Input 3.1_2019VOL-YTD'!$R:$R,$G24,'Input 3.1_2019VOL-YTD'!K:K)</f>
        <v>775286.75</v>
      </c>
      <c r="AI24" s="268">
        <f>SUMIF('Input 3.1_2019VOL-YTD'!$R:$R,$G24,'Input 3.1_2019VOL-YTD'!L:L)</f>
        <v>872856.05999999994</v>
      </c>
      <c r="AJ24" s="268">
        <f>SUMIF('Input 3.1_2019VOL-YTD'!$R:$R,$G24,'Input 3.1_2019VOL-YTD'!M:M)</f>
        <v>830506.62</v>
      </c>
      <c r="AK24" s="268">
        <f>SUMIF('Input 3.1_2019VOL-YTD'!$R:$R,$G24,'Input 3.1_2019VOL-YTD'!N:N)</f>
        <v>862879.25000000012</v>
      </c>
      <c r="AL24" s="268">
        <f>SUMIF('Input 4.1_2020VOL-YTD'!$R:$R,$G24,'Input 4.1_2020VOL-YTD'!C:C)</f>
        <v>851790.52000000014</v>
      </c>
      <c r="AM24" s="268">
        <f>SUMIF('Input 4.1_2020VOL-YTD'!$R:$R,$G24,'Input 4.1_2020VOL-YTD'!D:D)</f>
        <v>787098.26</v>
      </c>
      <c r="AN24" s="268">
        <f>SUMIF('Input 4.1_2020VOL-YTD'!$R:$R,$G24,'Input 4.1_2020VOL-YTD'!E:E)</f>
        <v>908778.47999999986</v>
      </c>
      <c r="AO24" s="268">
        <f>SUMIF('Input 4.1_2020VOL-YTD'!$R:$R,$G24,'Input 4.1_2020VOL-YTD'!F:F)</f>
        <v>792996.58000000007</v>
      </c>
      <c r="AP24" s="268">
        <f>SUMIF('Input 4.1_2020VOL-YTD'!$R:$R,$G24,'Input 4.1_2020VOL-YTD'!G:G)</f>
        <v>859956.37</v>
      </c>
      <c r="AQ24" s="268">
        <f>SUMIF('Input 4.1_2020VOL-YTD'!$R:$R,$G24,'Input 4.1_2020VOL-YTD'!H:H)</f>
        <v>776215</v>
      </c>
      <c r="AR24" s="268">
        <f>SUMIF('Input 4.1_2020VOL-YTD'!$R:$R,$G24,'Input 4.1_2020VOL-YTD'!I:I)</f>
        <v>829501.29</v>
      </c>
      <c r="AS24" s="268">
        <f>SUMIF('Input 4.1_2020VOL-YTD'!$R:$R,$G24,'Input 4.1_2020VOL-YTD'!J:J)</f>
        <v>830301.94000000018</v>
      </c>
      <c r="AT24" s="268">
        <f>SUMIF('Input 4.1_2020VOL-YTD'!$R:$R,$G24,'Input 4.1_2020VOL-YTD'!K:K)</f>
        <v>796929.13</v>
      </c>
      <c r="AU24" s="268">
        <f>SUMIF('Input 4.1_2020VOL-YTD'!$R:$R,$G24,'Input 4.1_2020VOL-YTD'!L:L)</f>
        <v>852212.8899999999</v>
      </c>
      <c r="AV24" s="268">
        <f>SUMIF('Input 4.1_2020VOL-YTD'!$R:$R,$G24,'Input 4.1_2020VOL-YTD'!M:M)</f>
        <v>859689.58000000007</v>
      </c>
      <c r="AW24" s="268">
        <f>SUMIF('Input 4.1_2020VOL-YTD'!$R:$R,$G24,'Input 4.1_2020VOL-YTD'!N:N)</f>
        <v>901924.75</v>
      </c>
      <c r="AX24" s="268">
        <f>SUMIF('Input 5.1_2021VOL-YTD'!$R:$R,$G24,'Input 5.1_2021VOL-YTD'!C:C)</f>
        <v>935143.99</v>
      </c>
      <c r="AY24" s="268">
        <f>SUMIF('Input 5.1_2021VOL-YTD'!$R:$R,$G24,'Input 5.1_2021VOL-YTD'!D:D)</f>
        <v>756804.09</v>
      </c>
      <c r="AZ24" s="268">
        <f>SUMIF('Input 5.1_2021VOL-YTD'!$R:$R,$G24,'Input 5.1_2021VOL-YTD'!E:E)</f>
        <v>825791.8</v>
      </c>
      <c r="BA24" s="268">
        <f>SUMIF('Input 5.1_2021VOL-YTD'!$R:$R,$G24,'Input 5.1_2021VOL-YTD'!F:F)</f>
        <v>729349.22000000009</v>
      </c>
      <c r="BB24" s="268">
        <f>SUMIF('Input 5.1_2021VOL-YTD'!$R:$R,$G24,'Input 5.1_2021VOL-YTD'!G:G)</f>
        <v>783338.03999999992</v>
      </c>
      <c r="BC24" s="268">
        <f>SUMIF('Input 5.1_2021VOL-YTD'!$R:$R,$G24,'Input 5.1_2021VOL-YTD'!H:H)</f>
        <v>685241.05999999994</v>
      </c>
      <c r="BD24" s="268">
        <f>SUMIF('Input 5.1_2021VOL-YTD'!$R:$R,$G24,'Input 5.1_2021VOL-YTD'!I:I)</f>
        <v>739759.74</v>
      </c>
      <c r="BE24" s="268">
        <f>SUMIF('Input 5.1_2021VOL-YTD'!$R:$R,$G24,'Input 5.1_2021VOL-YTD'!J:J)</f>
        <v>786872.29</v>
      </c>
      <c r="BF24" s="268">
        <f>SUMIF('Input 5.1_2021VOL-YTD'!$R:$R,$G24,'Input 5.1_2021VOL-YTD'!K:K)</f>
        <v>739175.55999999994</v>
      </c>
      <c r="BG24" s="268">
        <f>SUMIF('Input 5.1_2021VOL-YTD'!$R:$R,$G24,'Input 5.1_2021VOL-YTD'!L:L)</f>
        <v>871061.63</v>
      </c>
      <c r="BH24" s="268">
        <f>SUMIF('Input 5.1_2021VOL-YTD'!$R:$R,$G24,'Input 5.1_2021VOL-YTD'!M:M)</f>
        <v>847194.51000000013</v>
      </c>
      <c r="BI24" s="268">
        <f>SUMIF('Input 5.1_2021VOL-YTD'!$R:$R,$G24,'Input 5.1_2021VOL-YTD'!N:N)</f>
        <v>845988.45</v>
      </c>
      <c r="BJ24" s="483">
        <f>IFERROR(IF($J24="Historical Average",INDEX('Monthly UPC'!$CM$2:$DJ$65,MATCH($D24,'Monthly UPC'!$D$2:$D$65,0),MATCH(BJ$1,'Monthly UPC'!$CM$1:$DJ$1))*(INDEX('Monthly CUST'!$N$2:$CG$65,MATCH($D24,'Monthly CUST'!$D$2:$D$65,0),MATCH(BJ$1,'Monthly CUST'!$N$1:$CG$1,0))),IF($J24="UPC Growth Rate",((AX24/INDEX('Monthly CUST'!$N$2:$CG$65,MATCH($D24,'Monthly CUST'!$D$2:$D$65,0),MATCH(AX$1,'Monthly CUST'!$N$1:$CG$1,0)))*(1+$L24)*INDEX('Monthly CUST'!$N$2:$CG$65,MATCH($D24,'Monthly CUST'!$D$2:$D$65,0),MATCH(BJ$1,'Monthly CUST'!$N$1:$CG$1,0))),IF($J24="Modeled UPC",INDEX('Monthly CUST'!$N$2:$CG$65,MATCH($D24,'Monthly CUST'!$D$2:$D$65,0),MATCH(BJ$1,'Monthly CUST'!$N$1:$CG$1,0))/12*$M24,IF($J24="Base Period",AX24,IF($J24="Adjusted",SUMIF('Input 15_Fcst Inputs'!$A:$A,$D24,'Input 15_Fcst Inputs'!$G:$G)/12))))),0)</f>
        <v>935143.99</v>
      </c>
      <c r="BK24" s="483">
        <f>IFERROR(IF($J24="Historical Average",INDEX('Monthly UPC'!$CM$2:$DJ$65,MATCH($D24,'Monthly UPC'!$D$2:$D$65,0),MATCH(BK$1,'Monthly UPC'!$CM$1:$DJ$1))*(INDEX('Monthly CUST'!$N$2:$CG$65,MATCH($D24,'Monthly CUST'!$D$2:$D$65,0),MATCH(BK$1,'Monthly CUST'!$N$1:$CG$1,0))),IF($J24="UPC Growth Rate",((AY24/INDEX('Monthly CUST'!$N$2:$CG$65,MATCH($D24,'Monthly CUST'!$D$2:$D$65,0),MATCH(AY$1,'Monthly CUST'!$N$1:$CG$1,0)))*(1+$L24)*INDEX('Monthly CUST'!$N$2:$CG$65,MATCH($D24,'Monthly CUST'!$D$2:$D$65,0),MATCH(BK$1,'Monthly CUST'!$N$1:$CG$1,0))),IF($J24="Modeled UPC",INDEX('Monthly CUST'!$N$2:$CG$65,MATCH($D24,'Monthly CUST'!$D$2:$D$65,0),MATCH(BK$1,'Monthly CUST'!$N$1:$CG$1,0))/12*$M24,IF($J24="Base Period",AY24,IF($J24="Adjusted",SUMIF('Input 15_Fcst Inputs'!$A:$A,$D24,'Input 15_Fcst Inputs'!$G:$G)/12))))),0)</f>
        <v>756804.09</v>
      </c>
      <c r="BL24" s="483">
        <f>IFERROR(IF($J24="Historical Average",INDEX('Monthly UPC'!$CM$2:$DJ$65,MATCH($D24,'Monthly UPC'!$D$2:$D$65,0),MATCH(BL$1,'Monthly UPC'!$CM$1:$DJ$1))*(INDEX('Monthly CUST'!$N$2:$CG$65,MATCH($D24,'Monthly CUST'!$D$2:$D$65,0),MATCH(BL$1,'Monthly CUST'!$N$1:$CG$1,0))),IF($J24="UPC Growth Rate",((AZ24/INDEX('Monthly CUST'!$N$2:$CG$65,MATCH($D24,'Monthly CUST'!$D$2:$D$65,0),MATCH(AZ$1,'Monthly CUST'!$N$1:$CG$1,0)))*(1+$L24)*INDEX('Monthly CUST'!$N$2:$CG$65,MATCH($D24,'Monthly CUST'!$D$2:$D$65,0),MATCH(BL$1,'Monthly CUST'!$N$1:$CG$1,0))),IF($J24="Modeled UPC",INDEX('Monthly CUST'!$N$2:$CG$65,MATCH($D24,'Monthly CUST'!$D$2:$D$65,0),MATCH(BL$1,'Monthly CUST'!$N$1:$CG$1,0))/12*$M24,IF($J24="Base Period",AZ24,IF($J24="Adjusted",SUMIF('Input 15_Fcst Inputs'!$A:$A,$D24,'Input 15_Fcst Inputs'!$G:$G)/12))))),0)</f>
        <v>825791.8</v>
      </c>
      <c r="BM24" s="483">
        <f>IFERROR(IF($J24="Historical Average",INDEX('Monthly UPC'!$CM$2:$DJ$65,MATCH($D24,'Monthly UPC'!$D$2:$D$65,0),MATCH(BM$1,'Monthly UPC'!$CM$1:$DJ$1))*(INDEX('Monthly CUST'!$N$2:$CG$65,MATCH($D24,'Monthly CUST'!$D$2:$D$65,0),MATCH(BM$1,'Monthly CUST'!$N$1:$CG$1,0))),IF($J24="UPC Growth Rate",((BA24/INDEX('Monthly CUST'!$N$2:$CG$65,MATCH($D24,'Monthly CUST'!$D$2:$D$65,0),MATCH(BA$1,'Monthly CUST'!$N$1:$CG$1,0)))*(1+$L24)*INDEX('Monthly CUST'!$N$2:$CG$65,MATCH($D24,'Monthly CUST'!$D$2:$D$65,0),MATCH(BM$1,'Monthly CUST'!$N$1:$CG$1,0))),IF($J24="Modeled UPC",INDEX('Monthly CUST'!$N$2:$CG$65,MATCH($D24,'Monthly CUST'!$D$2:$D$65,0),MATCH(BM$1,'Monthly CUST'!$N$1:$CG$1,0))/12*$M24,IF($J24="Base Period",BA24,IF($J24="Adjusted",SUMIF('Input 15_Fcst Inputs'!$A:$A,$D24,'Input 15_Fcst Inputs'!$G:$G)/12))))),0)</f>
        <v>729349.22000000009</v>
      </c>
      <c r="BN24" s="483">
        <f>IFERROR(IF($J24="Historical Average",INDEX('Monthly UPC'!$CM$2:$DJ$65,MATCH($D24,'Monthly UPC'!$D$2:$D$65,0),MATCH(BN$1,'Monthly UPC'!$CM$1:$DJ$1))*(INDEX('Monthly CUST'!$N$2:$CG$65,MATCH($D24,'Monthly CUST'!$D$2:$D$65,0),MATCH(BN$1,'Monthly CUST'!$N$1:$CG$1,0))),IF($J24="UPC Growth Rate",((BB24/INDEX('Monthly CUST'!$N$2:$CG$65,MATCH($D24,'Monthly CUST'!$D$2:$D$65,0),MATCH(BB$1,'Monthly CUST'!$N$1:$CG$1,0)))*(1+$L24)*INDEX('Monthly CUST'!$N$2:$CG$65,MATCH($D24,'Monthly CUST'!$D$2:$D$65,0),MATCH(BN$1,'Monthly CUST'!$N$1:$CG$1,0))),IF($J24="Modeled UPC",INDEX('Monthly CUST'!$N$2:$CG$65,MATCH($D24,'Monthly CUST'!$D$2:$D$65,0),MATCH(BN$1,'Monthly CUST'!$N$1:$CG$1,0))/12*$M24,IF($J24="Base Period",BB24,IF($J24="Adjusted",SUMIF('Input 15_Fcst Inputs'!$A:$A,$D24,'Input 15_Fcst Inputs'!$G:$G)/12))))),0)</f>
        <v>783338.03999999992</v>
      </c>
      <c r="BO24" s="483">
        <f>IFERROR(IF($J24="Historical Average",INDEX('Monthly UPC'!$CM$2:$DJ$65,MATCH($D24,'Monthly UPC'!$D$2:$D$65,0),MATCH(BO$1,'Monthly UPC'!$CM$1:$DJ$1))*(INDEX('Monthly CUST'!$N$2:$CG$65,MATCH($D24,'Monthly CUST'!$D$2:$D$65,0),MATCH(BO$1,'Monthly CUST'!$N$1:$CG$1,0))),IF($J24="UPC Growth Rate",((BC24/INDEX('Monthly CUST'!$N$2:$CG$65,MATCH($D24,'Monthly CUST'!$D$2:$D$65,0),MATCH(BC$1,'Monthly CUST'!$N$1:$CG$1,0)))*(1+$L24)*INDEX('Monthly CUST'!$N$2:$CG$65,MATCH($D24,'Monthly CUST'!$D$2:$D$65,0),MATCH(BO$1,'Monthly CUST'!$N$1:$CG$1,0))),IF($J24="Modeled UPC",INDEX('Monthly CUST'!$N$2:$CG$65,MATCH($D24,'Monthly CUST'!$D$2:$D$65,0),MATCH(BO$1,'Monthly CUST'!$N$1:$CG$1,0))/12*$M24,IF($J24="Base Period",BC24,IF($J24="Adjusted",SUMIF('Input 15_Fcst Inputs'!$A:$A,$D24,'Input 15_Fcst Inputs'!$G:$G)/12))))),0)</f>
        <v>685241.05999999994</v>
      </c>
      <c r="BP24" s="483">
        <f>IFERROR(IF($J24="Historical Average",INDEX('Monthly UPC'!$CM$2:$DJ$65,MATCH($D24,'Monthly UPC'!$D$2:$D$65,0),MATCH(BP$1,'Monthly UPC'!$CM$1:$DJ$1))*(INDEX('Monthly CUST'!$N$2:$CG$65,MATCH($D24,'Monthly CUST'!$D$2:$D$65,0),MATCH(BP$1,'Monthly CUST'!$N$1:$CG$1,0))),IF($J24="UPC Growth Rate",((BD24/INDEX('Monthly CUST'!$N$2:$CG$65,MATCH($D24,'Monthly CUST'!$D$2:$D$65,0),MATCH(BD$1,'Monthly CUST'!$N$1:$CG$1,0)))*(1+$L24)*INDEX('Monthly CUST'!$N$2:$CG$65,MATCH($D24,'Monthly CUST'!$D$2:$D$65,0),MATCH(BP$1,'Monthly CUST'!$N$1:$CG$1,0))),IF($J24="Modeled UPC",INDEX('Monthly CUST'!$N$2:$CG$65,MATCH($D24,'Monthly CUST'!$D$2:$D$65,0),MATCH(BP$1,'Monthly CUST'!$N$1:$CG$1,0))/12*$M24,IF($J24="Base Period",BD24,IF($J24="Adjusted",SUMIF('Input 15_Fcst Inputs'!$A:$A,$D24,'Input 15_Fcst Inputs'!$G:$G)/12))))),0)</f>
        <v>739759.74</v>
      </c>
      <c r="BQ24" s="483">
        <f>IFERROR(IF($J24="Historical Average",INDEX('Monthly UPC'!$CM$2:$DJ$65,MATCH($D24,'Monthly UPC'!$D$2:$D$65,0),MATCH(BQ$1,'Monthly UPC'!$CM$1:$DJ$1))*(INDEX('Monthly CUST'!$N$2:$CG$65,MATCH($D24,'Monthly CUST'!$D$2:$D$65,0),MATCH(BQ$1,'Monthly CUST'!$N$1:$CG$1,0))),IF($J24="UPC Growth Rate",((BE24/INDEX('Monthly CUST'!$N$2:$CG$65,MATCH($D24,'Monthly CUST'!$D$2:$D$65,0),MATCH(BE$1,'Monthly CUST'!$N$1:$CG$1,0)))*(1+$L24)*INDEX('Monthly CUST'!$N$2:$CG$65,MATCH($D24,'Monthly CUST'!$D$2:$D$65,0),MATCH(BQ$1,'Monthly CUST'!$N$1:$CG$1,0))),IF($J24="Modeled UPC",INDEX('Monthly CUST'!$N$2:$CG$65,MATCH($D24,'Monthly CUST'!$D$2:$D$65,0),MATCH(BQ$1,'Monthly CUST'!$N$1:$CG$1,0))/12*$M24,IF($J24="Base Period",BE24,IF($J24="Adjusted",SUMIF('Input 15_Fcst Inputs'!$A:$A,$D24,'Input 15_Fcst Inputs'!$G:$G)/12))))),0)</f>
        <v>786872.29</v>
      </c>
      <c r="BR24" s="483">
        <f>IFERROR(IF($J24="Historical Average",INDEX('Monthly UPC'!$CM$2:$DJ$65,MATCH($D24,'Monthly UPC'!$D$2:$D$65,0),MATCH(BR$1,'Monthly UPC'!$CM$1:$DJ$1))*(INDEX('Monthly CUST'!$N$2:$CG$65,MATCH($D24,'Monthly CUST'!$D$2:$D$65,0),MATCH(BR$1,'Monthly CUST'!$N$1:$CG$1,0))),IF($J24="UPC Growth Rate",((BF24/INDEX('Monthly CUST'!$N$2:$CG$65,MATCH($D24,'Monthly CUST'!$D$2:$D$65,0),MATCH(BF$1,'Monthly CUST'!$N$1:$CG$1,0)))*(1+$L24)*INDEX('Monthly CUST'!$N$2:$CG$65,MATCH($D24,'Monthly CUST'!$D$2:$D$65,0),MATCH(BR$1,'Monthly CUST'!$N$1:$CG$1,0))),IF($J24="Modeled UPC",INDEX('Monthly CUST'!$N$2:$CG$65,MATCH($D24,'Monthly CUST'!$D$2:$D$65,0),MATCH(BR$1,'Monthly CUST'!$N$1:$CG$1,0))/12*$M24,IF($J24="Base Period",BF24,IF($J24="Adjusted",SUMIF('Input 15_Fcst Inputs'!$A:$A,$D24,'Input 15_Fcst Inputs'!$G:$G)/12))))),0)</f>
        <v>739175.55999999994</v>
      </c>
      <c r="BS24" s="483">
        <f>IFERROR(IF($J24="Historical Average",INDEX('Monthly UPC'!$CM$2:$DJ$65,MATCH($D24,'Monthly UPC'!$D$2:$D$65,0),MATCH(BS$1,'Monthly UPC'!$CM$1:$DJ$1))*(INDEX('Monthly CUST'!$N$2:$CG$65,MATCH($D24,'Monthly CUST'!$D$2:$D$65,0),MATCH(BS$1,'Monthly CUST'!$N$1:$CG$1,0))),IF($J24="UPC Growth Rate",((BG24/INDEX('Monthly CUST'!$N$2:$CG$65,MATCH($D24,'Monthly CUST'!$D$2:$D$65,0),MATCH(BG$1,'Monthly CUST'!$N$1:$CG$1,0)))*(1+$L24)*INDEX('Monthly CUST'!$N$2:$CG$65,MATCH($D24,'Monthly CUST'!$D$2:$D$65,0),MATCH(BS$1,'Monthly CUST'!$N$1:$CG$1,0))),IF($J24="Modeled UPC",INDEX('Monthly CUST'!$N$2:$CG$65,MATCH($D24,'Monthly CUST'!$D$2:$D$65,0),MATCH(BS$1,'Monthly CUST'!$N$1:$CG$1,0))/12*$M24,IF($J24="Base Period",BG24,IF($J24="Adjusted",SUMIF('Input 15_Fcst Inputs'!$A:$A,$D24,'Input 15_Fcst Inputs'!$G:$G)/12))))),0)</f>
        <v>871061.63</v>
      </c>
      <c r="BT24" s="483">
        <f>IFERROR(IF($J24="Historical Average",INDEX('Monthly UPC'!$CM$2:$DJ$65,MATCH($D24,'Monthly UPC'!$D$2:$D$65,0),MATCH(BT$1,'Monthly UPC'!$CM$1:$DJ$1))*(INDEX('Monthly CUST'!$N$2:$CG$65,MATCH($D24,'Monthly CUST'!$D$2:$D$65,0),MATCH(BT$1,'Monthly CUST'!$N$1:$CG$1,0))),IF($J24="UPC Growth Rate",((BH24/INDEX('Monthly CUST'!$N$2:$CG$65,MATCH($D24,'Monthly CUST'!$D$2:$D$65,0),MATCH(BH$1,'Monthly CUST'!$N$1:$CG$1,0)))*(1+$L24)*INDEX('Monthly CUST'!$N$2:$CG$65,MATCH($D24,'Monthly CUST'!$D$2:$D$65,0),MATCH(BT$1,'Monthly CUST'!$N$1:$CG$1,0))),IF($J24="Modeled UPC",INDEX('Monthly CUST'!$N$2:$CG$65,MATCH($D24,'Monthly CUST'!$D$2:$D$65,0),MATCH(BT$1,'Monthly CUST'!$N$1:$CG$1,0))/12*$M24,IF($J24="Base Period",BH24,IF($J24="Adjusted",SUMIF('Input 15_Fcst Inputs'!$A:$A,$D24,'Input 15_Fcst Inputs'!$G:$G)/12))))),0)</f>
        <v>847194.51000000013</v>
      </c>
      <c r="BU24" s="483">
        <f>IFERROR(IF($J24="Historical Average",INDEX('Monthly UPC'!$CM$2:$DJ$65,MATCH($D24,'Monthly UPC'!$D$2:$D$65,0),MATCH(BU$1,'Monthly UPC'!$CM$1:$DJ$1))*(INDEX('Monthly CUST'!$N$2:$CG$65,MATCH($D24,'Monthly CUST'!$D$2:$D$65,0),MATCH(BU$1,'Monthly CUST'!$N$1:$CG$1,0))),IF($J24="UPC Growth Rate",((BI24/INDEX('Monthly CUST'!$N$2:$CG$65,MATCH($D24,'Monthly CUST'!$D$2:$D$65,0),MATCH(BI$1,'Monthly CUST'!$N$1:$CG$1,0)))*(1+$L24)*INDEX('Monthly CUST'!$N$2:$CG$65,MATCH($D24,'Monthly CUST'!$D$2:$D$65,0),MATCH(BU$1,'Monthly CUST'!$N$1:$CG$1,0))),IF($J24="Modeled UPC",INDEX('Monthly CUST'!$N$2:$CG$65,MATCH($D24,'Monthly CUST'!$D$2:$D$65,0),MATCH(BU$1,'Monthly CUST'!$N$1:$CG$1,0))/12*$M24,IF($J24="Base Period",BI24,IF($J24="Adjusted",SUMIF('Input 15_Fcst Inputs'!$A:$A,$D24,'Input 15_Fcst Inputs'!$G:$G)/12))))),0)</f>
        <v>845988.45</v>
      </c>
      <c r="BV24" s="483">
        <f>IFERROR(IF($J24="Historical Average",INDEX('Monthly UPC'!$CM$2:$DJ$65,MATCH($D24,'Monthly UPC'!$D$2:$D$65,0),MATCH(BV$1,'Monthly UPC'!$CM$1:$DJ$1))*(INDEX('Monthly CUST'!$N$2:$CG$65,MATCH($D24,'Monthly CUST'!$D$2:$D$65,0),MATCH(BV$1,'Monthly CUST'!$N$1:$CG$1,0))),IF($J24="UPC Growth Rate",((BJ24/INDEX('Monthly CUST'!$N$2:$CG$65,MATCH($D24,'Monthly CUST'!$D$2:$D$65,0),MATCH(BJ$1,'Monthly CUST'!$N$1:$CG$1,0)))*(1+$L24)*INDEX('Monthly CUST'!$N$2:$CG$65,MATCH($D24,'Monthly CUST'!$D$2:$D$65,0),MATCH(BV$1,'Monthly CUST'!$N$1:$CG$1,0))),IF($J24="Modeled UPC",INDEX('Monthly CUST'!$N$2:$CG$65,MATCH($D24,'Monthly CUST'!$D$2:$D$65,0),MATCH(BV$1,'Monthly CUST'!$N$1:$CG$1,0))/12*$M24,IF($J24="Base Period",BJ24,IF($J24="Adjusted",SUMIF('Input 15_Fcst Inputs'!$A:$A,$D24,'Input 15_Fcst Inputs'!$G:$G)/12))))),0)</f>
        <v>935143.99</v>
      </c>
      <c r="BW24" s="483">
        <f>IFERROR(IF($J24="Historical Average",INDEX('Monthly UPC'!$CM$2:$DJ$65,MATCH($D24,'Monthly UPC'!$D$2:$D$65,0),MATCH(BW$1,'Monthly UPC'!$CM$1:$DJ$1))*(INDEX('Monthly CUST'!$N$2:$CG$65,MATCH($D24,'Monthly CUST'!$D$2:$D$65,0),MATCH(BW$1,'Monthly CUST'!$N$1:$CG$1,0))),IF($J24="UPC Growth Rate",((BK24/INDEX('Monthly CUST'!$N$2:$CG$65,MATCH($D24,'Monthly CUST'!$D$2:$D$65,0),MATCH(BK$1,'Monthly CUST'!$N$1:$CG$1,0)))*(1+$L24)*INDEX('Monthly CUST'!$N$2:$CG$65,MATCH($D24,'Monthly CUST'!$D$2:$D$65,0),MATCH(BW$1,'Monthly CUST'!$N$1:$CG$1,0))),IF($J24="Modeled UPC",INDEX('Monthly CUST'!$N$2:$CG$65,MATCH($D24,'Monthly CUST'!$D$2:$D$65,0),MATCH(BW$1,'Monthly CUST'!$N$1:$CG$1,0))/12*$M24,IF($J24="Base Period",BK24,IF($J24="Adjusted",SUMIF('Input 15_Fcst Inputs'!$A:$A,$D24,'Input 15_Fcst Inputs'!$G:$G)/12))))),0)</f>
        <v>756804.09</v>
      </c>
      <c r="BX24" s="483">
        <f>IFERROR(IF($J24="Historical Average",INDEX('Monthly UPC'!$CM$2:$DJ$65,MATCH($D24,'Monthly UPC'!$D$2:$D$65,0),MATCH(BX$1,'Monthly UPC'!$CM$1:$DJ$1))*(INDEX('Monthly CUST'!$N$2:$CG$65,MATCH($D24,'Monthly CUST'!$D$2:$D$65,0),MATCH(BX$1,'Monthly CUST'!$N$1:$CG$1,0))),IF($J24="UPC Growth Rate",((BL24/INDEX('Monthly CUST'!$N$2:$CG$65,MATCH($D24,'Monthly CUST'!$D$2:$D$65,0),MATCH(BL$1,'Monthly CUST'!$N$1:$CG$1,0)))*(1+$L24)*INDEX('Monthly CUST'!$N$2:$CG$65,MATCH($D24,'Monthly CUST'!$D$2:$D$65,0),MATCH(BX$1,'Monthly CUST'!$N$1:$CG$1,0))),IF($J24="Modeled UPC",INDEX('Monthly CUST'!$N$2:$CG$65,MATCH($D24,'Monthly CUST'!$D$2:$D$65,0),MATCH(BX$1,'Monthly CUST'!$N$1:$CG$1,0))/12*$M24,IF($J24="Base Period",BL24,IF($J24="Adjusted",SUMIF('Input 15_Fcst Inputs'!$A:$A,$D24,'Input 15_Fcst Inputs'!$G:$G)/12))))),0)</f>
        <v>825791.8</v>
      </c>
      <c r="BY24" s="483">
        <f>IFERROR(IF($J24="Historical Average",INDEX('Monthly UPC'!$CM$2:$DJ$65,MATCH($D24,'Monthly UPC'!$D$2:$D$65,0),MATCH(BY$1,'Monthly UPC'!$CM$1:$DJ$1))*(INDEX('Monthly CUST'!$N$2:$CG$65,MATCH($D24,'Monthly CUST'!$D$2:$D$65,0),MATCH(BY$1,'Monthly CUST'!$N$1:$CG$1,0))),IF($J24="UPC Growth Rate",((BM24/INDEX('Monthly CUST'!$N$2:$CG$65,MATCH($D24,'Monthly CUST'!$D$2:$D$65,0),MATCH(BM$1,'Monthly CUST'!$N$1:$CG$1,0)))*(1+$L24)*INDEX('Monthly CUST'!$N$2:$CG$65,MATCH($D24,'Monthly CUST'!$D$2:$D$65,0),MATCH(BY$1,'Monthly CUST'!$N$1:$CG$1,0))),IF($J24="Modeled UPC",INDEX('Monthly CUST'!$N$2:$CG$65,MATCH($D24,'Monthly CUST'!$D$2:$D$65,0),MATCH(BY$1,'Monthly CUST'!$N$1:$CG$1,0))/12*$M24,IF($J24="Base Period",BM24,IF($J24="Adjusted",SUMIF('Input 15_Fcst Inputs'!$A:$A,$D24,'Input 15_Fcst Inputs'!$G:$G)/12))))),0)</f>
        <v>729349.22000000009</v>
      </c>
      <c r="BZ24" s="483">
        <f>IFERROR(IF($J24="Historical Average",INDEX('Monthly UPC'!$CM$2:$DJ$65,MATCH($D24,'Monthly UPC'!$D$2:$D$65,0),MATCH(BZ$1,'Monthly UPC'!$CM$1:$DJ$1))*(INDEX('Monthly CUST'!$N$2:$CG$65,MATCH($D24,'Monthly CUST'!$D$2:$D$65,0),MATCH(BZ$1,'Monthly CUST'!$N$1:$CG$1,0))),IF($J24="UPC Growth Rate",((BN24/INDEX('Monthly CUST'!$N$2:$CG$65,MATCH($D24,'Monthly CUST'!$D$2:$D$65,0),MATCH(BN$1,'Monthly CUST'!$N$1:$CG$1,0)))*(1+$L24)*INDEX('Monthly CUST'!$N$2:$CG$65,MATCH($D24,'Monthly CUST'!$D$2:$D$65,0),MATCH(BZ$1,'Monthly CUST'!$N$1:$CG$1,0))),IF($J24="Modeled UPC",INDEX('Monthly CUST'!$N$2:$CG$65,MATCH($D24,'Monthly CUST'!$D$2:$D$65,0),MATCH(BZ$1,'Monthly CUST'!$N$1:$CG$1,0))/12*$M24,IF($J24="Base Period",BN24,IF($J24="Adjusted",SUMIF('Input 15_Fcst Inputs'!$A:$A,$D24,'Input 15_Fcst Inputs'!$G:$G)/12))))),0)</f>
        <v>783338.03999999992</v>
      </c>
      <c r="CA24" s="483">
        <f>IFERROR(IF($J24="Historical Average",INDEX('Monthly UPC'!$CM$2:$DJ$65,MATCH($D24,'Monthly UPC'!$D$2:$D$65,0),MATCH(CA$1,'Monthly UPC'!$CM$1:$DJ$1))*(INDEX('Monthly CUST'!$N$2:$CG$65,MATCH($D24,'Monthly CUST'!$D$2:$D$65,0),MATCH(CA$1,'Monthly CUST'!$N$1:$CG$1,0))),IF($J24="UPC Growth Rate",((BO24/INDEX('Monthly CUST'!$N$2:$CG$65,MATCH($D24,'Monthly CUST'!$D$2:$D$65,0),MATCH(BO$1,'Monthly CUST'!$N$1:$CG$1,0)))*(1+$L24)*INDEX('Monthly CUST'!$N$2:$CG$65,MATCH($D24,'Monthly CUST'!$D$2:$D$65,0),MATCH(CA$1,'Monthly CUST'!$N$1:$CG$1,0))),IF($J24="Modeled UPC",INDEX('Monthly CUST'!$N$2:$CG$65,MATCH($D24,'Monthly CUST'!$D$2:$D$65,0),MATCH(CA$1,'Monthly CUST'!$N$1:$CG$1,0))/12*$M24,IF($J24="Base Period",BO24,IF($J24="Adjusted",SUMIF('Input 15_Fcst Inputs'!$A:$A,$D24,'Input 15_Fcst Inputs'!$G:$G)/12))))),0)</f>
        <v>685241.05999999994</v>
      </c>
      <c r="CB24" s="483">
        <f>IFERROR(IF($J24="Historical Average",INDEX('Monthly UPC'!$CM$2:$DJ$65,MATCH($D24,'Monthly UPC'!$D$2:$D$65,0),MATCH(CB$1,'Monthly UPC'!$CM$1:$DJ$1))*(INDEX('Monthly CUST'!$N$2:$CG$65,MATCH($D24,'Monthly CUST'!$D$2:$D$65,0),MATCH(CB$1,'Monthly CUST'!$N$1:$CG$1,0))),IF($J24="UPC Growth Rate",((BP24/INDEX('Monthly CUST'!$N$2:$CG$65,MATCH($D24,'Monthly CUST'!$D$2:$D$65,0),MATCH(BP$1,'Monthly CUST'!$N$1:$CG$1,0)))*(1+$L24)*INDEX('Monthly CUST'!$N$2:$CG$65,MATCH($D24,'Monthly CUST'!$D$2:$D$65,0),MATCH(CB$1,'Monthly CUST'!$N$1:$CG$1,0))),IF($J24="Modeled UPC",INDEX('Monthly CUST'!$N$2:$CG$65,MATCH($D24,'Monthly CUST'!$D$2:$D$65,0),MATCH(CB$1,'Monthly CUST'!$N$1:$CG$1,0))/12*$M24,IF($J24="Base Period",BP24,IF($J24="Adjusted",SUMIF('Input 15_Fcst Inputs'!$A:$A,$D24,'Input 15_Fcst Inputs'!$G:$G)/12))))),0)</f>
        <v>739759.74</v>
      </c>
      <c r="CC24" s="483">
        <f>IFERROR(IF($J24="Historical Average",INDEX('Monthly UPC'!$CM$2:$DJ$65,MATCH($D24,'Monthly UPC'!$D$2:$D$65,0),MATCH(CC$1,'Monthly UPC'!$CM$1:$DJ$1))*(INDEX('Monthly CUST'!$N$2:$CG$65,MATCH($D24,'Monthly CUST'!$D$2:$D$65,0),MATCH(CC$1,'Monthly CUST'!$N$1:$CG$1,0))),IF($J24="UPC Growth Rate",((BQ24/INDEX('Monthly CUST'!$N$2:$CG$65,MATCH($D24,'Monthly CUST'!$D$2:$D$65,0),MATCH(BQ$1,'Monthly CUST'!$N$1:$CG$1,0)))*(1+$L24)*INDEX('Monthly CUST'!$N$2:$CG$65,MATCH($D24,'Monthly CUST'!$D$2:$D$65,0),MATCH(CC$1,'Monthly CUST'!$N$1:$CG$1,0))),IF($J24="Modeled UPC",INDEX('Monthly CUST'!$N$2:$CG$65,MATCH($D24,'Monthly CUST'!$D$2:$D$65,0),MATCH(CC$1,'Monthly CUST'!$N$1:$CG$1,0))/12*$M24,IF($J24="Base Period",BQ24,IF($J24="Adjusted",SUMIF('Input 15_Fcst Inputs'!$A:$A,$D24,'Input 15_Fcst Inputs'!$G:$G)/12))))),0)</f>
        <v>786872.29</v>
      </c>
      <c r="CD24" s="483">
        <f>IFERROR(IF($J24="Historical Average",INDEX('Monthly UPC'!$CM$2:$DJ$65,MATCH($D24,'Monthly UPC'!$D$2:$D$65,0),MATCH(CD$1,'Monthly UPC'!$CM$1:$DJ$1))*(INDEX('Monthly CUST'!$N$2:$CG$65,MATCH($D24,'Monthly CUST'!$D$2:$D$65,0),MATCH(CD$1,'Monthly CUST'!$N$1:$CG$1,0))),IF($J24="UPC Growth Rate",((BR24/INDEX('Monthly CUST'!$N$2:$CG$65,MATCH($D24,'Monthly CUST'!$D$2:$D$65,0),MATCH(BR$1,'Monthly CUST'!$N$1:$CG$1,0)))*(1+$L24)*INDEX('Monthly CUST'!$N$2:$CG$65,MATCH($D24,'Monthly CUST'!$D$2:$D$65,0),MATCH(CD$1,'Monthly CUST'!$N$1:$CG$1,0))),IF($J24="Modeled UPC",INDEX('Monthly CUST'!$N$2:$CG$65,MATCH($D24,'Monthly CUST'!$D$2:$D$65,0),MATCH(CD$1,'Monthly CUST'!$N$1:$CG$1,0))/12*$M24,IF($J24="Base Period",BR24,IF($J24="Adjusted",SUMIF('Input 15_Fcst Inputs'!$A:$A,$D24,'Input 15_Fcst Inputs'!$G:$G)/12))))),0)</f>
        <v>739175.55999999994</v>
      </c>
      <c r="CE24" s="483">
        <f>IFERROR(IF($J24="Historical Average",INDEX('Monthly UPC'!$CM$2:$DJ$65,MATCH($D24,'Monthly UPC'!$D$2:$D$65,0),MATCH(CE$1,'Monthly UPC'!$CM$1:$DJ$1))*(INDEX('Monthly CUST'!$N$2:$CG$65,MATCH($D24,'Monthly CUST'!$D$2:$D$65,0),MATCH(CE$1,'Monthly CUST'!$N$1:$CG$1,0))),IF($J24="UPC Growth Rate",((BS24/INDEX('Monthly CUST'!$N$2:$CG$65,MATCH($D24,'Monthly CUST'!$D$2:$D$65,0),MATCH(BS$1,'Monthly CUST'!$N$1:$CG$1,0)))*(1+$L24)*INDEX('Monthly CUST'!$N$2:$CG$65,MATCH($D24,'Monthly CUST'!$D$2:$D$65,0),MATCH(CE$1,'Monthly CUST'!$N$1:$CG$1,0))),IF($J24="Modeled UPC",INDEX('Monthly CUST'!$N$2:$CG$65,MATCH($D24,'Monthly CUST'!$D$2:$D$65,0),MATCH(CE$1,'Monthly CUST'!$N$1:$CG$1,0))/12*$M24,IF($J24="Base Period",BS24,IF($J24="Adjusted",SUMIF('Input 15_Fcst Inputs'!$A:$A,$D24,'Input 15_Fcst Inputs'!$G:$G)/12))))),0)</f>
        <v>871061.63</v>
      </c>
      <c r="CF24" s="483">
        <f>IFERROR(IF($J24="Historical Average",INDEX('Monthly UPC'!$CM$2:$DJ$65,MATCH($D24,'Monthly UPC'!$D$2:$D$65,0),MATCH(CF$1,'Monthly UPC'!$CM$1:$DJ$1))*(INDEX('Monthly CUST'!$N$2:$CG$65,MATCH($D24,'Monthly CUST'!$D$2:$D$65,0),MATCH(CF$1,'Monthly CUST'!$N$1:$CG$1,0))),IF($J24="UPC Growth Rate",((BT24/INDEX('Monthly CUST'!$N$2:$CG$65,MATCH($D24,'Monthly CUST'!$D$2:$D$65,0),MATCH(BT$1,'Monthly CUST'!$N$1:$CG$1,0)))*(1+$L24)*INDEX('Monthly CUST'!$N$2:$CG$65,MATCH($D24,'Monthly CUST'!$D$2:$D$65,0),MATCH(CF$1,'Monthly CUST'!$N$1:$CG$1,0))),IF($J24="Modeled UPC",INDEX('Monthly CUST'!$N$2:$CG$65,MATCH($D24,'Monthly CUST'!$D$2:$D$65,0),MATCH(CF$1,'Monthly CUST'!$N$1:$CG$1,0))/12*$M24,IF($J24="Base Period",BT24,IF($J24="Adjusted",SUMIF('Input 15_Fcst Inputs'!$A:$A,$D24,'Input 15_Fcst Inputs'!$G:$G)/12))))),0)</f>
        <v>847194.51000000013</v>
      </c>
      <c r="CG24" s="483">
        <f>IFERROR(IF($J24="Historical Average",INDEX('Monthly UPC'!$CM$2:$DJ$65,MATCH($D24,'Monthly UPC'!$D$2:$D$65,0),MATCH(CG$1,'Monthly UPC'!$CM$1:$DJ$1))*(INDEX('Monthly CUST'!$N$2:$CG$65,MATCH($D24,'Monthly CUST'!$D$2:$D$65,0),MATCH(CG$1,'Monthly CUST'!$N$1:$CG$1,0))),IF($J24="UPC Growth Rate",((BU24/INDEX('Monthly CUST'!$N$2:$CG$65,MATCH($D24,'Monthly CUST'!$D$2:$D$65,0),MATCH(BU$1,'Monthly CUST'!$N$1:$CG$1,0)))*(1+$L24)*INDEX('Monthly CUST'!$N$2:$CG$65,MATCH($D24,'Monthly CUST'!$D$2:$D$65,0),MATCH(CG$1,'Monthly CUST'!$N$1:$CG$1,0))),IF($J24="Modeled UPC",INDEX('Monthly CUST'!$N$2:$CG$65,MATCH($D24,'Monthly CUST'!$D$2:$D$65,0),MATCH(CG$1,'Monthly CUST'!$N$1:$CG$1,0))/12*$M24,IF($J24="Base Period",BU24,IF($J24="Adjusted",SUMIF('Input 15_Fcst Inputs'!$A:$A,$D24,'Input 15_Fcst Inputs'!$G:$G)/12))))),0)</f>
        <v>845988.45</v>
      </c>
      <c r="CH24" s="197"/>
      <c r="CI24" s="197">
        <f t="shared" si="0"/>
        <v>10312588.27</v>
      </c>
      <c r="CJ24" s="197">
        <f t="shared" si="1"/>
        <v>9991202.8100000005</v>
      </c>
      <c r="CK24" s="197">
        <f t="shared" si="2"/>
        <v>10047394.789999999</v>
      </c>
      <c r="CL24" s="197">
        <f t="shared" si="3"/>
        <v>9545720.379999999</v>
      </c>
      <c r="CM24" s="197">
        <f t="shared" si="4"/>
        <v>9545720.379999999</v>
      </c>
      <c r="CN24" s="197">
        <f t="shared" si="5"/>
        <v>9545720.379999999</v>
      </c>
      <c r="CP24" s="4">
        <f>SUMIF('Master '!D:D,D24,'Master '!AH:AH)</f>
        <v>9545720.379999999</v>
      </c>
      <c r="CQ24" s="4">
        <f>SUMIF('Master '!D:D,D24,'Master '!AI:AI)</f>
        <v>9545720.379999999</v>
      </c>
      <c r="CR24" s="197">
        <f t="shared" si="6"/>
        <v>0</v>
      </c>
      <c r="CS24" s="197">
        <f t="shared" si="7"/>
        <v>0</v>
      </c>
      <c r="CT24" t="s">
        <v>287</v>
      </c>
      <c r="CV24" t="str">
        <f>VLOOKUP(G24,'Master '!G:CC,75,FALSE)</f>
        <v>ITS</v>
      </c>
    </row>
    <row r="25" spans="1:100">
      <c r="A25" s="53" t="s">
        <v>15</v>
      </c>
      <c r="B25" s="53" t="s">
        <v>994</v>
      </c>
      <c r="C25" s="53" t="s">
        <v>1245</v>
      </c>
      <c r="D25" s="53" t="s">
        <v>52</v>
      </c>
      <c r="E25" s="53" t="str">
        <f>VLOOKUP(D25,'Input 14_Ref Table'!C:D,2,FALSE)</f>
        <v>GCNGV</v>
      </c>
      <c r="F25" s="143" t="s">
        <v>1286</v>
      </c>
      <c r="G25" s="53" t="str">
        <f>VLOOKUP(D25,'Input 14_Ref Table'!C:I,7,FALSE)</f>
        <v>FPU - FPU-NGVS</v>
      </c>
      <c r="H25" s="53" t="str">
        <f>VLOOKUP(D25,'Input 14_Ref Table'!C:K,8,FALSE)</f>
        <v>Base Period</v>
      </c>
      <c r="I25" s="53"/>
      <c r="J25" t="str">
        <f>INDEX('Master '!$AD$2:AD$65,MATCH(D25,'Master '!$D$2:$D$65,0))</f>
        <v>Base Period</v>
      </c>
      <c r="K25" s="458">
        <f>INDEX('Master '!$N$2:N$65,MATCH(D25,'Master '!$D$2:$D$65,0))</f>
        <v>0</v>
      </c>
      <c r="L25" s="137">
        <f>INDEX('Master '!$S$2:S$65,MATCH(D25,'Master '!$D$2:$D$65,0))</f>
        <v>0</v>
      </c>
      <c r="M25" s="4">
        <f>INDEX('Master '!$W$2:W$65,MATCH(D25,'Master '!$D$2:$D$65,0))</f>
        <v>0</v>
      </c>
      <c r="N25" s="268">
        <f>SUMIF('Input 16.1_2018VOL-YTD'!$R:$R,$G25,'Input 16.1_2018VOL-YTD'!C:C)</f>
        <v>0</v>
      </c>
      <c r="O25" s="268">
        <f>SUMIF('Input 16.1_2018VOL-YTD'!$R:$R,$G25,'Input 16.1_2018VOL-YTD'!D:D)</f>
        <v>0</v>
      </c>
      <c r="P25" s="268">
        <f>SUMIF('Input 16.1_2018VOL-YTD'!$R:$R,$G25,'Input 16.1_2018VOL-YTD'!E:E)</f>
        <v>0</v>
      </c>
      <c r="Q25" s="268">
        <f>SUMIF('Input 16.1_2018VOL-YTD'!$R:$R,$G25,'Input 16.1_2018VOL-YTD'!F:F)</f>
        <v>0</v>
      </c>
      <c r="R25" s="268">
        <f>SUMIF('Input 16.1_2018VOL-YTD'!$R:$R,$G25,'Input 16.1_2018VOL-YTD'!G:G)</f>
        <v>0</v>
      </c>
      <c r="S25" s="268">
        <f>SUMIF('Input 16.1_2018VOL-YTD'!$R:$R,$G25,'Input 16.1_2018VOL-YTD'!H:H)</f>
        <v>0</v>
      </c>
      <c r="T25" s="268">
        <f>SUMIF('Input 16.1_2018VOL-YTD'!$R:$R,$G25,'Input 16.1_2018VOL-YTD'!I:I)</f>
        <v>0</v>
      </c>
      <c r="U25" s="268">
        <f>SUMIF('Input 16.1_2018VOL-YTD'!$R:$R,$G25,'Input 16.1_2018VOL-YTD'!J:J)</f>
        <v>0</v>
      </c>
      <c r="V25" s="268">
        <f>SUMIF('Input 16.1_2018VOL-YTD'!$R:$R,$G25,'Input 16.1_2018VOL-YTD'!K:K)</f>
        <v>0</v>
      </c>
      <c r="W25" s="268">
        <f>SUMIF('Input 16.1_2018VOL-YTD'!$R:$R,$G25,'Input 16.1_2018VOL-YTD'!L:L)</f>
        <v>0</v>
      </c>
      <c r="X25" s="268">
        <f>SUMIF('Input 16.1_2018VOL-YTD'!$R:$R,$G25,'Input 16.1_2018VOL-YTD'!M:M)</f>
        <v>0</v>
      </c>
      <c r="Y25" s="268">
        <f>SUMIF('Input 16.1_2018VOL-YTD'!$R:$R,$G25,'Input 16.1_2018VOL-YTD'!N:N)</f>
        <v>0</v>
      </c>
      <c r="Z25" s="268">
        <f>SUMIF('Input 3.1_2019VOL-YTD'!$R:$R,$G25,'Input 3.1_2019VOL-YTD'!C:C)</f>
        <v>0</v>
      </c>
      <c r="AA25" s="268">
        <f>SUMIF('Input 3.1_2019VOL-YTD'!$R:$R,$G25,'Input 3.1_2019VOL-YTD'!D:D)</f>
        <v>0</v>
      </c>
      <c r="AB25" s="268">
        <f>SUMIF('Input 3.1_2019VOL-YTD'!$R:$R,$G25,'Input 3.1_2019VOL-YTD'!E:E)</f>
        <v>0</v>
      </c>
      <c r="AC25" s="268">
        <f>SUMIF('Input 3.1_2019VOL-YTD'!$R:$R,$G25,'Input 3.1_2019VOL-YTD'!F:F)</f>
        <v>0</v>
      </c>
      <c r="AD25" s="268">
        <f>SUMIF('Input 3.1_2019VOL-YTD'!$R:$R,$G25,'Input 3.1_2019VOL-YTD'!G:G)</f>
        <v>0</v>
      </c>
      <c r="AE25" s="268">
        <f>SUMIF('Input 3.1_2019VOL-YTD'!$R:$R,$G25,'Input 3.1_2019VOL-YTD'!H:H)</f>
        <v>0</v>
      </c>
      <c r="AF25" s="268">
        <f>SUMIF('Input 3.1_2019VOL-YTD'!$R:$R,$G25,'Input 3.1_2019VOL-YTD'!I:I)</f>
        <v>0</v>
      </c>
      <c r="AG25" s="268">
        <f>SUMIF('Input 3.1_2019VOL-YTD'!$R:$R,$G25,'Input 3.1_2019VOL-YTD'!J:J)</f>
        <v>0</v>
      </c>
      <c r="AH25" s="268">
        <f>SUMIF('Input 3.1_2019VOL-YTD'!$R:$R,$G25,'Input 3.1_2019VOL-YTD'!K:K)</f>
        <v>0</v>
      </c>
      <c r="AI25" s="268">
        <f>SUMIF('Input 3.1_2019VOL-YTD'!$R:$R,$G25,'Input 3.1_2019VOL-YTD'!L:L)</f>
        <v>0</v>
      </c>
      <c r="AJ25" s="268">
        <f>SUMIF('Input 3.1_2019VOL-YTD'!$R:$R,$G25,'Input 3.1_2019VOL-YTD'!M:M)</f>
        <v>0</v>
      </c>
      <c r="AK25" s="268">
        <f>SUMIF('Input 3.1_2019VOL-YTD'!$R:$R,$G25,'Input 3.1_2019VOL-YTD'!N:N)</f>
        <v>0</v>
      </c>
      <c r="AL25" s="268">
        <f>SUMIF('Input 4.1_2020VOL-YTD'!$R:$R,$G25,'Input 4.1_2020VOL-YTD'!C:C)</f>
        <v>0</v>
      </c>
      <c r="AM25" s="268">
        <f>SUMIF('Input 4.1_2020VOL-YTD'!$R:$R,$G25,'Input 4.1_2020VOL-YTD'!D:D)</f>
        <v>0</v>
      </c>
      <c r="AN25" s="268">
        <f>SUMIF('Input 4.1_2020VOL-YTD'!$R:$R,$G25,'Input 4.1_2020VOL-YTD'!E:E)</f>
        <v>0</v>
      </c>
      <c r="AO25" s="268">
        <f>SUMIF('Input 4.1_2020VOL-YTD'!$R:$R,$G25,'Input 4.1_2020VOL-YTD'!F:F)</f>
        <v>0</v>
      </c>
      <c r="AP25" s="268">
        <f>SUMIF('Input 4.1_2020VOL-YTD'!$R:$R,$G25,'Input 4.1_2020VOL-YTD'!G:G)</f>
        <v>0</v>
      </c>
      <c r="AQ25" s="268">
        <f>SUMIF('Input 4.1_2020VOL-YTD'!$R:$R,$G25,'Input 4.1_2020VOL-YTD'!H:H)</f>
        <v>0</v>
      </c>
      <c r="AR25" s="268">
        <f>SUMIF('Input 4.1_2020VOL-YTD'!$R:$R,$G25,'Input 4.1_2020VOL-YTD'!I:I)</f>
        <v>0</v>
      </c>
      <c r="AS25" s="268">
        <f>SUMIF('Input 4.1_2020VOL-YTD'!$R:$R,$G25,'Input 4.1_2020VOL-YTD'!J:J)</f>
        <v>0</v>
      </c>
      <c r="AT25" s="268">
        <f>SUMIF('Input 4.1_2020VOL-YTD'!$R:$R,$G25,'Input 4.1_2020VOL-YTD'!K:K)</f>
        <v>0</v>
      </c>
      <c r="AU25" s="268">
        <f>SUMIF('Input 4.1_2020VOL-YTD'!$R:$R,$G25,'Input 4.1_2020VOL-YTD'!L:L)</f>
        <v>0</v>
      </c>
      <c r="AV25" s="268">
        <f>SUMIF('Input 4.1_2020VOL-YTD'!$R:$R,$G25,'Input 4.1_2020VOL-YTD'!M:M)</f>
        <v>0</v>
      </c>
      <c r="AW25" s="268">
        <f>SUMIF('Input 4.1_2020VOL-YTD'!$R:$R,$G25,'Input 4.1_2020VOL-YTD'!N:N)</f>
        <v>0</v>
      </c>
      <c r="AX25" s="268">
        <f>SUMIF('Input 5.1_2021VOL-YTD'!$R:$R,$G25,'Input 5.1_2021VOL-YTD'!C:C)</f>
        <v>0</v>
      </c>
      <c r="AY25" s="268">
        <f>SUMIF('Input 5.1_2021VOL-YTD'!$R:$R,$G25,'Input 5.1_2021VOL-YTD'!D:D)</f>
        <v>0</v>
      </c>
      <c r="AZ25" s="268">
        <f>SUMIF('Input 5.1_2021VOL-YTD'!$R:$R,$G25,'Input 5.1_2021VOL-YTD'!E:E)</f>
        <v>0</v>
      </c>
      <c r="BA25" s="268">
        <f>SUMIF('Input 5.1_2021VOL-YTD'!$R:$R,$G25,'Input 5.1_2021VOL-YTD'!F:F)</f>
        <v>0</v>
      </c>
      <c r="BB25" s="268">
        <f>SUMIF('Input 5.1_2021VOL-YTD'!$R:$R,$G25,'Input 5.1_2021VOL-YTD'!G:G)</f>
        <v>0</v>
      </c>
      <c r="BC25" s="268">
        <f>SUMIF('Input 5.1_2021VOL-YTD'!$R:$R,$G25,'Input 5.1_2021VOL-YTD'!H:H)</f>
        <v>0</v>
      </c>
      <c r="BD25" s="268">
        <f>SUMIF('Input 5.1_2021VOL-YTD'!$R:$R,$G25,'Input 5.1_2021VOL-YTD'!I:I)</f>
        <v>0</v>
      </c>
      <c r="BE25" s="268">
        <f>SUMIF('Input 5.1_2021VOL-YTD'!$R:$R,$G25,'Input 5.1_2021VOL-YTD'!J:J)</f>
        <v>0</v>
      </c>
      <c r="BF25" s="268">
        <f>SUMIF('Input 5.1_2021VOL-YTD'!$R:$R,$G25,'Input 5.1_2021VOL-YTD'!K:K)</f>
        <v>0</v>
      </c>
      <c r="BG25" s="268">
        <f>SUMIF('Input 5.1_2021VOL-YTD'!$R:$R,$G25,'Input 5.1_2021VOL-YTD'!L:L)</f>
        <v>0</v>
      </c>
      <c r="BH25" s="268">
        <f>SUMIF('Input 5.1_2021VOL-YTD'!$R:$R,$G25,'Input 5.1_2021VOL-YTD'!M:M)</f>
        <v>0</v>
      </c>
      <c r="BI25" s="268">
        <f>SUMIF('Input 5.1_2021VOL-YTD'!$R:$R,$G25,'Input 5.1_2021VOL-YTD'!N:N)</f>
        <v>0</v>
      </c>
      <c r="BJ25" s="483">
        <f>IFERROR(IF($J25="Historical Average",INDEX('Monthly UPC'!$CM$2:$DJ$65,MATCH($D25,'Monthly UPC'!$D$2:$D$65,0),MATCH(BJ$1,'Monthly UPC'!$CM$1:$DJ$1))*(INDEX('Monthly CUST'!$N$2:$CG$65,MATCH($D25,'Monthly CUST'!$D$2:$D$65,0),MATCH(BJ$1,'Monthly CUST'!$N$1:$CG$1,0))),IF($J25="UPC Growth Rate",((AX25/INDEX('Monthly CUST'!$N$2:$CG$65,MATCH($D25,'Monthly CUST'!$D$2:$D$65,0),MATCH(AX$1,'Monthly CUST'!$N$1:$CG$1,0)))*(1+$L25)*INDEX('Monthly CUST'!$N$2:$CG$65,MATCH($D25,'Monthly CUST'!$D$2:$D$65,0),MATCH(BJ$1,'Monthly CUST'!$N$1:$CG$1,0))),IF($J25="Modeled UPC",INDEX('Monthly CUST'!$N$2:$CG$65,MATCH($D25,'Monthly CUST'!$D$2:$D$65,0),MATCH(BJ$1,'Monthly CUST'!$N$1:$CG$1,0))/12*$M25,IF($J25="Base Period",AX25,IF($J25="Adjusted",SUMIF('Input 15_Fcst Inputs'!$A:$A,$D25,'Input 15_Fcst Inputs'!$G:$G)/12))))),0)</f>
        <v>0</v>
      </c>
      <c r="BK25" s="483">
        <f>IFERROR(IF($J25="Historical Average",INDEX('Monthly UPC'!$CM$2:$DJ$65,MATCH($D25,'Monthly UPC'!$D$2:$D$65,0),MATCH(BK$1,'Monthly UPC'!$CM$1:$DJ$1))*(INDEX('Monthly CUST'!$N$2:$CG$65,MATCH($D25,'Monthly CUST'!$D$2:$D$65,0),MATCH(BK$1,'Monthly CUST'!$N$1:$CG$1,0))),IF($J25="UPC Growth Rate",((AY25/INDEX('Monthly CUST'!$N$2:$CG$65,MATCH($D25,'Monthly CUST'!$D$2:$D$65,0),MATCH(AY$1,'Monthly CUST'!$N$1:$CG$1,0)))*(1+$L25)*INDEX('Monthly CUST'!$N$2:$CG$65,MATCH($D25,'Monthly CUST'!$D$2:$D$65,0),MATCH(BK$1,'Monthly CUST'!$N$1:$CG$1,0))),IF($J25="Modeled UPC",INDEX('Monthly CUST'!$N$2:$CG$65,MATCH($D25,'Monthly CUST'!$D$2:$D$65,0),MATCH(BK$1,'Monthly CUST'!$N$1:$CG$1,0))/12*$M25,IF($J25="Base Period",AY25,IF($J25="Adjusted",SUMIF('Input 15_Fcst Inputs'!$A:$A,$D25,'Input 15_Fcst Inputs'!$G:$G)/12))))),0)</f>
        <v>0</v>
      </c>
      <c r="BL25" s="483">
        <f>IFERROR(IF($J25="Historical Average",INDEX('Monthly UPC'!$CM$2:$DJ$65,MATCH($D25,'Monthly UPC'!$D$2:$D$65,0),MATCH(BL$1,'Monthly UPC'!$CM$1:$DJ$1))*(INDEX('Monthly CUST'!$N$2:$CG$65,MATCH($D25,'Monthly CUST'!$D$2:$D$65,0),MATCH(BL$1,'Monthly CUST'!$N$1:$CG$1,0))),IF($J25="UPC Growth Rate",((AZ25/INDEX('Monthly CUST'!$N$2:$CG$65,MATCH($D25,'Monthly CUST'!$D$2:$D$65,0),MATCH(AZ$1,'Monthly CUST'!$N$1:$CG$1,0)))*(1+$L25)*INDEX('Monthly CUST'!$N$2:$CG$65,MATCH($D25,'Monthly CUST'!$D$2:$D$65,0),MATCH(BL$1,'Monthly CUST'!$N$1:$CG$1,0))),IF($J25="Modeled UPC",INDEX('Monthly CUST'!$N$2:$CG$65,MATCH($D25,'Monthly CUST'!$D$2:$D$65,0),MATCH(BL$1,'Monthly CUST'!$N$1:$CG$1,0))/12*$M25,IF($J25="Base Period",AZ25,IF($J25="Adjusted",SUMIF('Input 15_Fcst Inputs'!$A:$A,$D25,'Input 15_Fcst Inputs'!$G:$G)/12))))),0)</f>
        <v>0</v>
      </c>
      <c r="BM25" s="483">
        <f>IFERROR(IF($J25="Historical Average",INDEX('Monthly UPC'!$CM$2:$DJ$65,MATCH($D25,'Monthly UPC'!$D$2:$D$65,0),MATCH(BM$1,'Monthly UPC'!$CM$1:$DJ$1))*(INDEX('Monthly CUST'!$N$2:$CG$65,MATCH($D25,'Monthly CUST'!$D$2:$D$65,0),MATCH(BM$1,'Monthly CUST'!$N$1:$CG$1,0))),IF($J25="UPC Growth Rate",((BA25/INDEX('Monthly CUST'!$N$2:$CG$65,MATCH($D25,'Monthly CUST'!$D$2:$D$65,0),MATCH(BA$1,'Monthly CUST'!$N$1:$CG$1,0)))*(1+$L25)*INDEX('Monthly CUST'!$N$2:$CG$65,MATCH($D25,'Monthly CUST'!$D$2:$D$65,0),MATCH(BM$1,'Monthly CUST'!$N$1:$CG$1,0))),IF($J25="Modeled UPC",INDEX('Monthly CUST'!$N$2:$CG$65,MATCH($D25,'Monthly CUST'!$D$2:$D$65,0),MATCH(BM$1,'Monthly CUST'!$N$1:$CG$1,0))/12*$M25,IF($J25="Base Period",BA25,IF($J25="Adjusted",SUMIF('Input 15_Fcst Inputs'!$A:$A,$D25,'Input 15_Fcst Inputs'!$G:$G)/12))))),0)</f>
        <v>0</v>
      </c>
      <c r="BN25" s="483">
        <f>IFERROR(IF($J25="Historical Average",INDEX('Monthly UPC'!$CM$2:$DJ$65,MATCH($D25,'Monthly UPC'!$D$2:$D$65,0),MATCH(BN$1,'Monthly UPC'!$CM$1:$DJ$1))*(INDEX('Monthly CUST'!$N$2:$CG$65,MATCH($D25,'Monthly CUST'!$D$2:$D$65,0),MATCH(BN$1,'Monthly CUST'!$N$1:$CG$1,0))),IF($J25="UPC Growth Rate",((BB25/INDEX('Monthly CUST'!$N$2:$CG$65,MATCH($D25,'Monthly CUST'!$D$2:$D$65,0),MATCH(BB$1,'Monthly CUST'!$N$1:$CG$1,0)))*(1+$L25)*INDEX('Monthly CUST'!$N$2:$CG$65,MATCH($D25,'Monthly CUST'!$D$2:$D$65,0),MATCH(BN$1,'Monthly CUST'!$N$1:$CG$1,0))),IF($J25="Modeled UPC",INDEX('Monthly CUST'!$N$2:$CG$65,MATCH($D25,'Monthly CUST'!$D$2:$D$65,0),MATCH(BN$1,'Monthly CUST'!$N$1:$CG$1,0))/12*$M25,IF($J25="Base Period",BB25,IF($J25="Adjusted",SUMIF('Input 15_Fcst Inputs'!$A:$A,$D25,'Input 15_Fcst Inputs'!$G:$G)/12))))),0)</f>
        <v>0</v>
      </c>
      <c r="BO25" s="483">
        <f>IFERROR(IF($J25="Historical Average",INDEX('Monthly UPC'!$CM$2:$DJ$65,MATCH($D25,'Monthly UPC'!$D$2:$D$65,0),MATCH(BO$1,'Monthly UPC'!$CM$1:$DJ$1))*(INDEX('Monthly CUST'!$N$2:$CG$65,MATCH($D25,'Monthly CUST'!$D$2:$D$65,0),MATCH(BO$1,'Monthly CUST'!$N$1:$CG$1,0))),IF($J25="UPC Growth Rate",((BC25/INDEX('Monthly CUST'!$N$2:$CG$65,MATCH($D25,'Monthly CUST'!$D$2:$D$65,0),MATCH(BC$1,'Monthly CUST'!$N$1:$CG$1,0)))*(1+$L25)*INDEX('Monthly CUST'!$N$2:$CG$65,MATCH($D25,'Monthly CUST'!$D$2:$D$65,0),MATCH(BO$1,'Monthly CUST'!$N$1:$CG$1,0))),IF($J25="Modeled UPC",INDEX('Monthly CUST'!$N$2:$CG$65,MATCH($D25,'Monthly CUST'!$D$2:$D$65,0),MATCH(BO$1,'Monthly CUST'!$N$1:$CG$1,0))/12*$M25,IF($J25="Base Period",BC25,IF($J25="Adjusted",SUMIF('Input 15_Fcst Inputs'!$A:$A,$D25,'Input 15_Fcst Inputs'!$G:$G)/12))))),0)</f>
        <v>0</v>
      </c>
      <c r="BP25" s="483">
        <f>IFERROR(IF($J25="Historical Average",INDEX('Monthly UPC'!$CM$2:$DJ$65,MATCH($D25,'Monthly UPC'!$D$2:$D$65,0),MATCH(BP$1,'Monthly UPC'!$CM$1:$DJ$1))*(INDEX('Monthly CUST'!$N$2:$CG$65,MATCH($D25,'Monthly CUST'!$D$2:$D$65,0),MATCH(BP$1,'Monthly CUST'!$N$1:$CG$1,0))),IF($J25="UPC Growth Rate",((BD25/INDEX('Monthly CUST'!$N$2:$CG$65,MATCH($D25,'Monthly CUST'!$D$2:$D$65,0),MATCH(BD$1,'Monthly CUST'!$N$1:$CG$1,0)))*(1+$L25)*INDEX('Monthly CUST'!$N$2:$CG$65,MATCH($D25,'Monthly CUST'!$D$2:$D$65,0),MATCH(BP$1,'Monthly CUST'!$N$1:$CG$1,0))),IF($J25="Modeled UPC",INDEX('Monthly CUST'!$N$2:$CG$65,MATCH($D25,'Monthly CUST'!$D$2:$D$65,0),MATCH(BP$1,'Monthly CUST'!$N$1:$CG$1,0))/12*$M25,IF($J25="Base Period",BD25,IF($J25="Adjusted",SUMIF('Input 15_Fcst Inputs'!$A:$A,$D25,'Input 15_Fcst Inputs'!$G:$G)/12))))),0)</f>
        <v>0</v>
      </c>
      <c r="BQ25" s="483">
        <f>IFERROR(IF($J25="Historical Average",INDEX('Monthly UPC'!$CM$2:$DJ$65,MATCH($D25,'Monthly UPC'!$D$2:$D$65,0),MATCH(BQ$1,'Monthly UPC'!$CM$1:$DJ$1))*(INDEX('Monthly CUST'!$N$2:$CG$65,MATCH($D25,'Monthly CUST'!$D$2:$D$65,0),MATCH(BQ$1,'Monthly CUST'!$N$1:$CG$1,0))),IF($J25="UPC Growth Rate",((BE25/INDEX('Monthly CUST'!$N$2:$CG$65,MATCH($D25,'Monthly CUST'!$D$2:$D$65,0),MATCH(BE$1,'Monthly CUST'!$N$1:$CG$1,0)))*(1+$L25)*INDEX('Monthly CUST'!$N$2:$CG$65,MATCH($D25,'Monthly CUST'!$D$2:$D$65,0),MATCH(BQ$1,'Monthly CUST'!$N$1:$CG$1,0))),IF($J25="Modeled UPC",INDEX('Monthly CUST'!$N$2:$CG$65,MATCH($D25,'Monthly CUST'!$D$2:$D$65,0),MATCH(BQ$1,'Monthly CUST'!$N$1:$CG$1,0))/12*$M25,IF($J25="Base Period",BE25,IF($J25="Adjusted",SUMIF('Input 15_Fcst Inputs'!$A:$A,$D25,'Input 15_Fcst Inputs'!$G:$G)/12))))),0)</f>
        <v>0</v>
      </c>
      <c r="BR25" s="483">
        <f>IFERROR(IF($J25="Historical Average",INDEX('Monthly UPC'!$CM$2:$DJ$65,MATCH($D25,'Monthly UPC'!$D$2:$D$65,0),MATCH(BR$1,'Monthly UPC'!$CM$1:$DJ$1))*(INDEX('Monthly CUST'!$N$2:$CG$65,MATCH($D25,'Monthly CUST'!$D$2:$D$65,0),MATCH(BR$1,'Monthly CUST'!$N$1:$CG$1,0))),IF($J25="UPC Growth Rate",((BF25/INDEX('Monthly CUST'!$N$2:$CG$65,MATCH($D25,'Monthly CUST'!$D$2:$D$65,0),MATCH(BF$1,'Monthly CUST'!$N$1:$CG$1,0)))*(1+$L25)*INDEX('Monthly CUST'!$N$2:$CG$65,MATCH($D25,'Monthly CUST'!$D$2:$D$65,0),MATCH(BR$1,'Monthly CUST'!$N$1:$CG$1,0))),IF($J25="Modeled UPC",INDEX('Monthly CUST'!$N$2:$CG$65,MATCH($D25,'Monthly CUST'!$D$2:$D$65,0),MATCH(BR$1,'Monthly CUST'!$N$1:$CG$1,0))/12*$M25,IF($J25="Base Period",BF25,IF($J25="Adjusted",SUMIF('Input 15_Fcst Inputs'!$A:$A,$D25,'Input 15_Fcst Inputs'!$G:$G)/12))))),0)</f>
        <v>0</v>
      </c>
      <c r="BS25" s="483">
        <f>IFERROR(IF($J25="Historical Average",INDEX('Monthly UPC'!$CM$2:$DJ$65,MATCH($D25,'Monthly UPC'!$D$2:$D$65,0),MATCH(BS$1,'Monthly UPC'!$CM$1:$DJ$1))*(INDEX('Monthly CUST'!$N$2:$CG$65,MATCH($D25,'Monthly CUST'!$D$2:$D$65,0),MATCH(BS$1,'Monthly CUST'!$N$1:$CG$1,0))),IF($J25="UPC Growth Rate",((BG25/INDEX('Monthly CUST'!$N$2:$CG$65,MATCH($D25,'Monthly CUST'!$D$2:$D$65,0),MATCH(BG$1,'Monthly CUST'!$N$1:$CG$1,0)))*(1+$L25)*INDEX('Monthly CUST'!$N$2:$CG$65,MATCH($D25,'Monthly CUST'!$D$2:$D$65,0),MATCH(BS$1,'Monthly CUST'!$N$1:$CG$1,0))),IF($J25="Modeled UPC",INDEX('Monthly CUST'!$N$2:$CG$65,MATCH($D25,'Monthly CUST'!$D$2:$D$65,0),MATCH(BS$1,'Monthly CUST'!$N$1:$CG$1,0))/12*$M25,IF($J25="Base Period",BG25,IF($J25="Adjusted",SUMIF('Input 15_Fcst Inputs'!$A:$A,$D25,'Input 15_Fcst Inputs'!$G:$G)/12))))),0)</f>
        <v>0</v>
      </c>
      <c r="BT25" s="483">
        <f>IFERROR(IF($J25="Historical Average",INDEX('Monthly UPC'!$CM$2:$DJ$65,MATCH($D25,'Monthly UPC'!$D$2:$D$65,0),MATCH(BT$1,'Monthly UPC'!$CM$1:$DJ$1))*(INDEX('Monthly CUST'!$N$2:$CG$65,MATCH($D25,'Monthly CUST'!$D$2:$D$65,0),MATCH(BT$1,'Monthly CUST'!$N$1:$CG$1,0))),IF($J25="UPC Growth Rate",((BH25/INDEX('Monthly CUST'!$N$2:$CG$65,MATCH($D25,'Monthly CUST'!$D$2:$D$65,0),MATCH(BH$1,'Monthly CUST'!$N$1:$CG$1,0)))*(1+$L25)*INDEX('Monthly CUST'!$N$2:$CG$65,MATCH($D25,'Monthly CUST'!$D$2:$D$65,0),MATCH(BT$1,'Monthly CUST'!$N$1:$CG$1,0))),IF($J25="Modeled UPC",INDEX('Monthly CUST'!$N$2:$CG$65,MATCH($D25,'Monthly CUST'!$D$2:$D$65,0),MATCH(BT$1,'Monthly CUST'!$N$1:$CG$1,0))/12*$M25,IF($J25="Base Period",BH25,IF($J25="Adjusted",SUMIF('Input 15_Fcst Inputs'!$A:$A,$D25,'Input 15_Fcst Inputs'!$G:$G)/12))))),0)</f>
        <v>0</v>
      </c>
      <c r="BU25" s="483">
        <f>IFERROR(IF($J25="Historical Average",INDEX('Monthly UPC'!$CM$2:$DJ$65,MATCH($D25,'Monthly UPC'!$D$2:$D$65,0),MATCH(BU$1,'Monthly UPC'!$CM$1:$DJ$1))*(INDEX('Monthly CUST'!$N$2:$CG$65,MATCH($D25,'Monthly CUST'!$D$2:$D$65,0),MATCH(BU$1,'Monthly CUST'!$N$1:$CG$1,0))),IF($J25="UPC Growth Rate",((BI25/INDEX('Monthly CUST'!$N$2:$CG$65,MATCH($D25,'Monthly CUST'!$D$2:$D$65,0),MATCH(BI$1,'Monthly CUST'!$N$1:$CG$1,0)))*(1+$L25)*INDEX('Monthly CUST'!$N$2:$CG$65,MATCH($D25,'Monthly CUST'!$D$2:$D$65,0),MATCH(BU$1,'Monthly CUST'!$N$1:$CG$1,0))),IF($J25="Modeled UPC",INDEX('Monthly CUST'!$N$2:$CG$65,MATCH($D25,'Monthly CUST'!$D$2:$D$65,0),MATCH(BU$1,'Monthly CUST'!$N$1:$CG$1,0))/12*$M25,IF($J25="Base Period",BI25,IF($J25="Adjusted",SUMIF('Input 15_Fcst Inputs'!$A:$A,$D25,'Input 15_Fcst Inputs'!$G:$G)/12))))),0)</f>
        <v>0</v>
      </c>
      <c r="BV25" s="483">
        <f>IFERROR(IF($J25="Historical Average",INDEX('Monthly UPC'!$CM$2:$DJ$65,MATCH($D25,'Monthly UPC'!$D$2:$D$65,0),MATCH(BV$1,'Monthly UPC'!$CM$1:$DJ$1))*(INDEX('Monthly CUST'!$N$2:$CG$65,MATCH($D25,'Monthly CUST'!$D$2:$D$65,0),MATCH(BV$1,'Monthly CUST'!$N$1:$CG$1,0))),IF($J25="UPC Growth Rate",((BJ25/INDEX('Monthly CUST'!$N$2:$CG$65,MATCH($D25,'Monthly CUST'!$D$2:$D$65,0),MATCH(BJ$1,'Monthly CUST'!$N$1:$CG$1,0)))*(1+$L25)*INDEX('Monthly CUST'!$N$2:$CG$65,MATCH($D25,'Monthly CUST'!$D$2:$D$65,0),MATCH(BV$1,'Monthly CUST'!$N$1:$CG$1,0))),IF($J25="Modeled UPC",INDEX('Monthly CUST'!$N$2:$CG$65,MATCH($D25,'Monthly CUST'!$D$2:$D$65,0),MATCH(BV$1,'Monthly CUST'!$N$1:$CG$1,0))/12*$M25,IF($J25="Base Period",BJ25,IF($J25="Adjusted",SUMIF('Input 15_Fcst Inputs'!$A:$A,$D25,'Input 15_Fcst Inputs'!$G:$G)/12))))),0)</f>
        <v>0</v>
      </c>
      <c r="BW25" s="483">
        <f>IFERROR(IF($J25="Historical Average",INDEX('Monthly UPC'!$CM$2:$DJ$65,MATCH($D25,'Monthly UPC'!$D$2:$D$65,0),MATCH(BW$1,'Monthly UPC'!$CM$1:$DJ$1))*(INDEX('Monthly CUST'!$N$2:$CG$65,MATCH($D25,'Monthly CUST'!$D$2:$D$65,0),MATCH(BW$1,'Monthly CUST'!$N$1:$CG$1,0))),IF($J25="UPC Growth Rate",((BK25/INDEX('Monthly CUST'!$N$2:$CG$65,MATCH($D25,'Monthly CUST'!$D$2:$D$65,0),MATCH(BK$1,'Monthly CUST'!$N$1:$CG$1,0)))*(1+$L25)*INDEX('Monthly CUST'!$N$2:$CG$65,MATCH($D25,'Monthly CUST'!$D$2:$D$65,0),MATCH(BW$1,'Monthly CUST'!$N$1:$CG$1,0))),IF($J25="Modeled UPC",INDEX('Monthly CUST'!$N$2:$CG$65,MATCH($D25,'Monthly CUST'!$D$2:$D$65,0),MATCH(BW$1,'Monthly CUST'!$N$1:$CG$1,0))/12*$M25,IF($J25="Base Period",BK25,IF($J25="Adjusted",SUMIF('Input 15_Fcst Inputs'!$A:$A,$D25,'Input 15_Fcst Inputs'!$G:$G)/12))))),0)</f>
        <v>0</v>
      </c>
      <c r="BX25" s="483">
        <f>IFERROR(IF($J25="Historical Average",INDEX('Monthly UPC'!$CM$2:$DJ$65,MATCH($D25,'Monthly UPC'!$D$2:$D$65,0),MATCH(BX$1,'Monthly UPC'!$CM$1:$DJ$1))*(INDEX('Monthly CUST'!$N$2:$CG$65,MATCH($D25,'Monthly CUST'!$D$2:$D$65,0),MATCH(BX$1,'Monthly CUST'!$N$1:$CG$1,0))),IF($J25="UPC Growth Rate",((BL25/INDEX('Monthly CUST'!$N$2:$CG$65,MATCH($D25,'Monthly CUST'!$D$2:$D$65,0),MATCH(BL$1,'Monthly CUST'!$N$1:$CG$1,0)))*(1+$L25)*INDEX('Monthly CUST'!$N$2:$CG$65,MATCH($D25,'Monthly CUST'!$D$2:$D$65,0),MATCH(BX$1,'Monthly CUST'!$N$1:$CG$1,0))),IF($J25="Modeled UPC",INDEX('Monthly CUST'!$N$2:$CG$65,MATCH($D25,'Monthly CUST'!$D$2:$D$65,0),MATCH(BX$1,'Monthly CUST'!$N$1:$CG$1,0))/12*$M25,IF($J25="Base Period",BL25,IF($J25="Adjusted",SUMIF('Input 15_Fcst Inputs'!$A:$A,$D25,'Input 15_Fcst Inputs'!$G:$G)/12))))),0)</f>
        <v>0</v>
      </c>
      <c r="BY25" s="483">
        <f>IFERROR(IF($J25="Historical Average",INDEX('Monthly UPC'!$CM$2:$DJ$65,MATCH($D25,'Monthly UPC'!$D$2:$D$65,0),MATCH(BY$1,'Monthly UPC'!$CM$1:$DJ$1))*(INDEX('Monthly CUST'!$N$2:$CG$65,MATCH($D25,'Monthly CUST'!$D$2:$D$65,0),MATCH(BY$1,'Monthly CUST'!$N$1:$CG$1,0))),IF($J25="UPC Growth Rate",((BM25/INDEX('Monthly CUST'!$N$2:$CG$65,MATCH($D25,'Monthly CUST'!$D$2:$D$65,0),MATCH(BM$1,'Monthly CUST'!$N$1:$CG$1,0)))*(1+$L25)*INDEX('Monthly CUST'!$N$2:$CG$65,MATCH($D25,'Monthly CUST'!$D$2:$D$65,0),MATCH(BY$1,'Monthly CUST'!$N$1:$CG$1,0))),IF($J25="Modeled UPC",INDEX('Monthly CUST'!$N$2:$CG$65,MATCH($D25,'Monthly CUST'!$D$2:$D$65,0),MATCH(BY$1,'Monthly CUST'!$N$1:$CG$1,0))/12*$M25,IF($J25="Base Period",BM25,IF($J25="Adjusted",SUMIF('Input 15_Fcst Inputs'!$A:$A,$D25,'Input 15_Fcst Inputs'!$G:$G)/12))))),0)</f>
        <v>0</v>
      </c>
      <c r="BZ25" s="483">
        <f>IFERROR(IF($J25="Historical Average",INDEX('Monthly UPC'!$CM$2:$DJ$65,MATCH($D25,'Monthly UPC'!$D$2:$D$65,0),MATCH(BZ$1,'Monthly UPC'!$CM$1:$DJ$1))*(INDEX('Monthly CUST'!$N$2:$CG$65,MATCH($D25,'Monthly CUST'!$D$2:$D$65,0),MATCH(BZ$1,'Monthly CUST'!$N$1:$CG$1,0))),IF($J25="UPC Growth Rate",((BN25/INDEX('Monthly CUST'!$N$2:$CG$65,MATCH($D25,'Monthly CUST'!$D$2:$D$65,0),MATCH(BN$1,'Monthly CUST'!$N$1:$CG$1,0)))*(1+$L25)*INDEX('Monthly CUST'!$N$2:$CG$65,MATCH($D25,'Monthly CUST'!$D$2:$D$65,0),MATCH(BZ$1,'Monthly CUST'!$N$1:$CG$1,0))),IF($J25="Modeled UPC",INDEX('Monthly CUST'!$N$2:$CG$65,MATCH($D25,'Monthly CUST'!$D$2:$D$65,0),MATCH(BZ$1,'Monthly CUST'!$N$1:$CG$1,0))/12*$M25,IF($J25="Base Period",BN25,IF($J25="Adjusted",SUMIF('Input 15_Fcst Inputs'!$A:$A,$D25,'Input 15_Fcst Inputs'!$G:$G)/12))))),0)</f>
        <v>0</v>
      </c>
      <c r="CA25" s="483">
        <f>IFERROR(IF($J25="Historical Average",INDEX('Monthly UPC'!$CM$2:$DJ$65,MATCH($D25,'Monthly UPC'!$D$2:$D$65,0),MATCH(CA$1,'Monthly UPC'!$CM$1:$DJ$1))*(INDEX('Monthly CUST'!$N$2:$CG$65,MATCH($D25,'Monthly CUST'!$D$2:$D$65,0),MATCH(CA$1,'Monthly CUST'!$N$1:$CG$1,0))),IF($J25="UPC Growth Rate",((BO25/INDEX('Monthly CUST'!$N$2:$CG$65,MATCH($D25,'Monthly CUST'!$D$2:$D$65,0),MATCH(BO$1,'Monthly CUST'!$N$1:$CG$1,0)))*(1+$L25)*INDEX('Monthly CUST'!$N$2:$CG$65,MATCH($D25,'Monthly CUST'!$D$2:$D$65,0),MATCH(CA$1,'Monthly CUST'!$N$1:$CG$1,0))),IF($J25="Modeled UPC",INDEX('Monthly CUST'!$N$2:$CG$65,MATCH($D25,'Monthly CUST'!$D$2:$D$65,0),MATCH(CA$1,'Monthly CUST'!$N$1:$CG$1,0))/12*$M25,IF($J25="Base Period",BO25,IF($J25="Adjusted",SUMIF('Input 15_Fcst Inputs'!$A:$A,$D25,'Input 15_Fcst Inputs'!$G:$G)/12))))),0)</f>
        <v>0</v>
      </c>
      <c r="CB25" s="483">
        <f>IFERROR(IF($J25="Historical Average",INDEX('Monthly UPC'!$CM$2:$DJ$65,MATCH($D25,'Monthly UPC'!$D$2:$D$65,0),MATCH(CB$1,'Monthly UPC'!$CM$1:$DJ$1))*(INDEX('Monthly CUST'!$N$2:$CG$65,MATCH($D25,'Monthly CUST'!$D$2:$D$65,0),MATCH(CB$1,'Monthly CUST'!$N$1:$CG$1,0))),IF($J25="UPC Growth Rate",((BP25/INDEX('Monthly CUST'!$N$2:$CG$65,MATCH($D25,'Monthly CUST'!$D$2:$D$65,0),MATCH(BP$1,'Monthly CUST'!$N$1:$CG$1,0)))*(1+$L25)*INDEX('Monthly CUST'!$N$2:$CG$65,MATCH($D25,'Monthly CUST'!$D$2:$D$65,0),MATCH(CB$1,'Monthly CUST'!$N$1:$CG$1,0))),IF($J25="Modeled UPC",INDEX('Monthly CUST'!$N$2:$CG$65,MATCH($D25,'Monthly CUST'!$D$2:$D$65,0),MATCH(CB$1,'Monthly CUST'!$N$1:$CG$1,0))/12*$M25,IF($J25="Base Period",BP25,IF($J25="Adjusted",SUMIF('Input 15_Fcst Inputs'!$A:$A,$D25,'Input 15_Fcst Inputs'!$G:$G)/12))))),0)</f>
        <v>0</v>
      </c>
      <c r="CC25" s="483">
        <f>IFERROR(IF($J25="Historical Average",INDEX('Monthly UPC'!$CM$2:$DJ$65,MATCH($D25,'Monthly UPC'!$D$2:$D$65,0),MATCH(CC$1,'Monthly UPC'!$CM$1:$DJ$1))*(INDEX('Monthly CUST'!$N$2:$CG$65,MATCH($D25,'Monthly CUST'!$D$2:$D$65,0),MATCH(CC$1,'Monthly CUST'!$N$1:$CG$1,0))),IF($J25="UPC Growth Rate",((BQ25/INDEX('Monthly CUST'!$N$2:$CG$65,MATCH($D25,'Monthly CUST'!$D$2:$D$65,0),MATCH(BQ$1,'Monthly CUST'!$N$1:$CG$1,0)))*(1+$L25)*INDEX('Monthly CUST'!$N$2:$CG$65,MATCH($D25,'Monthly CUST'!$D$2:$D$65,0),MATCH(CC$1,'Monthly CUST'!$N$1:$CG$1,0))),IF($J25="Modeled UPC",INDEX('Monthly CUST'!$N$2:$CG$65,MATCH($D25,'Monthly CUST'!$D$2:$D$65,0),MATCH(CC$1,'Monthly CUST'!$N$1:$CG$1,0))/12*$M25,IF($J25="Base Period",BQ25,IF($J25="Adjusted",SUMIF('Input 15_Fcst Inputs'!$A:$A,$D25,'Input 15_Fcst Inputs'!$G:$G)/12))))),0)</f>
        <v>0</v>
      </c>
      <c r="CD25" s="483">
        <f>IFERROR(IF($J25="Historical Average",INDEX('Monthly UPC'!$CM$2:$DJ$65,MATCH($D25,'Monthly UPC'!$D$2:$D$65,0),MATCH(CD$1,'Monthly UPC'!$CM$1:$DJ$1))*(INDEX('Monthly CUST'!$N$2:$CG$65,MATCH($D25,'Monthly CUST'!$D$2:$D$65,0),MATCH(CD$1,'Monthly CUST'!$N$1:$CG$1,0))),IF($J25="UPC Growth Rate",((BR25/INDEX('Monthly CUST'!$N$2:$CG$65,MATCH($D25,'Monthly CUST'!$D$2:$D$65,0),MATCH(BR$1,'Monthly CUST'!$N$1:$CG$1,0)))*(1+$L25)*INDEX('Monthly CUST'!$N$2:$CG$65,MATCH($D25,'Monthly CUST'!$D$2:$D$65,0),MATCH(CD$1,'Monthly CUST'!$N$1:$CG$1,0))),IF($J25="Modeled UPC",INDEX('Monthly CUST'!$N$2:$CG$65,MATCH($D25,'Monthly CUST'!$D$2:$D$65,0),MATCH(CD$1,'Monthly CUST'!$N$1:$CG$1,0))/12*$M25,IF($J25="Base Period",BR25,IF($J25="Adjusted",SUMIF('Input 15_Fcst Inputs'!$A:$A,$D25,'Input 15_Fcst Inputs'!$G:$G)/12))))),0)</f>
        <v>0</v>
      </c>
      <c r="CE25" s="483">
        <f>IFERROR(IF($J25="Historical Average",INDEX('Monthly UPC'!$CM$2:$DJ$65,MATCH($D25,'Monthly UPC'!$D$2:$D$65,0),MATCH(CE$1,'Monthly UPC'!$CM$1:$DJ$1))*(INDEX('Monthly CUST'!$N$2:$CG$65,MATCH($D25,'Monthly CUST'!$D$2:$D$65,0),MATCH(CE$1,'Monthly CUST'!$N$1:$CG$1,0))),IF($J25="UPC Growth Rate",((BS25/INDEX('Monthly CUST'!$N$2:$CG$65,MATCH($D25,'Monthly CUST'!$D$2:$D$65,0),MATCH(BS$1,'Monthly CUST'!$N$1:$CG$1,0)))*(1+$L25)*INDEX('Monthly CUST'!$N$2:$CG$65,MATCH($D25,'Monthly CUST'!$D$2:$D$65,0),MATCH(CE$1,'Monthly CUST'!$N$1:$CG$1,0))),IF($J25="Modeled UPC",INDEX('Monthly CUST'!$N$2:$CG$65,MATCH($D25,'Monthly CUST'!$D$2:$D$65,0),MATCH(CE$1,'Monthly CUST'!$N$1:$CG$1,0))/12*$M25,IF($J25="Base Period",BS25,IF($J25="Adjusted",SUMIF('Input 15_Fcst Inputs'!$A:$A,$D25,'Input 15_Fcst Inputs'!$G:$G)/12))))),0)</f>
        <v>0</v>
      </c>
      <c r="CF25" s="483">
        <f>IFERROR(IF($J25="Historical Average",INDEX('Monthly UPC'!$CM$2:$DJ$65,MATCH($D25,'Monthly UPC'!$D$2:$D$65,0),MATCH(CF$1,'Monthly UPC'!$CM$1:$DJ$1))*(INDEX('Monthly CUST'!$N$2:$CG$65,MATCH($D25,'Monthly CUST'!$D$2:$D$65,0),MATCH(CF$1,'Monthly CUST'!$N$1:$CG$1,0))),IF($J25="UPC Growth Rate",((BT25/INDEX('Monthly CUST'!$N$2:$CG$65,MATCH($D25,'Monthly CUST'!$D$2:$D$65,0),MATCH(BT$1,'Monthly CUST'!$N$1:$CG$1,0)))*(1+$L25)*INDEX('Monthly CUST'!$N$2:$CG$65,MATCH($D25,'Monthly CUST'!$D$2:$D$65,0),MATCH(CF$1,'Monthly CUST'!$N$1:$CG$1,0))),IF($J25="Modeled UPC",INDEX('Monthly CUST'!$N$2:$CG$65,MATCH($D25,'Monthly CUST'!$D$2:$D$65,0),MATCH(CF$1,'Monthly CUST'!$N$1:$CG$1,0))/12*$M25,IF($J25="Base Period",BT25,IF($J25="Adjusted",SUMIF('Input 15_Fcst Inputs'!$A:$A,$D25,'Input 15_Fcst Inputs'!$G:$G)/12))))),0)</f>
        <v>0</v>
      </c>
      <c r="CG25" s="483">
        <f>IFERROR(IF($J25="Historical Average",INDEX('Monthly UPC'!$CM$2:$DJ$65,MATCH($D25,'Monthly UPC'!$D$2:$D$65,0),MATCH(CG$1,'Monthly UPC'!$CM$1:$DJ$1))*(INDEX('Monthly CUST'!$N$2:$CG$65,MATCH($D25,'Monthly CUST'!$D$2:$D$65,0),MATCH(CG$1,'Monthly CUST'!$N$1:$CG$1,0))),IF($J25="UPC Growth Rate",((BU25/INDEX('Monthly CUST'!$N$2:$CG$65,MATCH($D25,'Monthly CUST'!$D$2:$D$65,0),MATCH(BU$1,'Monthly CUST'!$N$1:$CG$1,0)))*(1+$L25)*INDEX('Monthly CUST'!$N$2:$CG$65,MATCH($D25,'Monthly CUST'!$D$2:$D$65,0),MATCH(CG$1,'Monthly CUST'!$N$1:$CG$1,0))),IF($J25="Modeled UPC",INDEX('Monthly CUST'!$N$2:$CG$65,MATCH($D25,'Monthly CUST'!$D$2:$D$65,0),MATCH(CG$1,'Monthly CUST'!$N$1:$CG$1,0))/12*$M25,IF($J25="Base Period",BU25,IF($J25="Adjusted",SUMIF('Input 15_Fcst Inputs'!$A:$A,$D25,'Input 15_Fcst Inputs'!$G:$G)/12))))),0)</f>
        <v>0</v>
      </c>
      <c r="CH25" s="197"/>
      <c r="CI25" s="197">
        <f t="shared" si="0"/>
        <v>0</v>
      </c>
      <c r="CJ25" s="197">
        <f t="shared" si="1"/>
        <v>0</v>
      </c>
      <c r="CK25" s="197">
        <f t="shared" si="2"/>
        <v>0</v>
      </c>
      <c r="CL25" s="197">
        <f t="shared" si="3"/>
        <v>0</v>
      </c>
      <c r="CM25" s="197">
        <f t="shared" si="4"/>
        <v>0</v>
      </c>
      <c r="CN25" s="197">
        <f t="shared" si="5"/>
        <v>0</v>
      </c>
      <c r="CP25" s="4">
        <f>SUMIF('Master '!D:D,D25,'Master '!AH:AH)</f>
        <v>0</v>
      </c>
      <c r="CQ25" s="4">
        <f>SUMIF('Master '!D:D,D25,'Master '!AI:AI)</f>
        <v>0</v>
      </c>
      <c r="CR25" s="197">
        <f t="shared" si="6"/>
        <v>0</v>
      </c>
      <c r="CS25" s="197">
        <f t="shared" si="7"/>
        <v>0</v>
      </c>
      <c r="CT25" t="s">
        <v>287</v>
      </c>
      <c r="CV25" t="str">
        <f>VLOOKUP(G25,'Master '!G:CC,75,FALSE)</f>
        <v>GS-1</v>
      </c>
    </row>
    <row r="26" spans="1:100">
      <c r="A26" s="53" t="s">
        <v>15</v>
      </c>
      <c r="B26" s="53" t="s">
        <v>993</v>
      </c>
      <c r="C26" s="53" t="s">
        <v>1245</v>
      </c>
      <c r="D26" s="53" t="s">
        <v>54</v>
      </c>
      <c r="E26" s="53" t="str">
        <f>VLOOKUP(D26,'Input 14_Ref Table'!C:D,2,FALSE)</f>
        <v>GTNGV</v>
      </c>
      <c r="F26" s="143" t="s">
        <v>1286</v>
      </c>
      <c r="G26" s="53" t="str">
        <f>VLOOKUP(D26,'Input 14_Ref Table'!C:I,7,FALSE)</f>
        <v>FPU - FPU- NGVTS</v>
      </c>
      <c r="H26" s="53" t="str">
        <f>VLOOKUP(D26,'Input 14_Ref Table'!C:K,8,FALSE)</f>
        <v>Base Period</v>
      </c>
      <c r="I26" s="53"/>
      <c r="J26" t="str">
        <f>INDEX('Master '!$AD$2:AD$65,MATCH(D26,'Master '!$D$2:$D$65,0))</f>
        <v>Historical Average</v>
      </c>
      <c r="K26" s="458">
        <f>INDEX('Master '!$N$2:N$65,MATCH(D26,'Master '!$D$2:$D$65,0))</f>
        <v>0</v>
      </c>
      <c r="L26" s="137">
        <f>INDEX('Master '!$S$2:S$65,MATCH(D26,'Master '!$D$2:$D$65,0))</f>
        <v>0</v>
      </c>
      <c r="M26" s="4">
        <f>INDEX('Master '!$W$2:W$65,MATCH(D26,'Master '!$D$2:$D$65,0))</f>
        <v>545656.96499999997</v>
      </c>
      <c r="N26" s="268">
        <f>SUMIF('Input 16.1_2018VOL-YTD'!$R:$R,$G26,'Input 16.1_2018VOL-YTD'!C:C)</f>
        <v>50059.83</v>
      </c>
      <c r="O26" s="268">
        <f>SUMIF('Input 16.1_2018VOL-YTD'!$R:$R,$G26,'Input 16.1_2018VOL-YTD'!D:D)</f>
        <v>46190.3</v>
      </c>
      <c r="P26" s="268">
        <f>SUMIF('Input 16.1_2018VOL-YTD'!$R:$R,$G26,'Input 16.1_2018VOL-YTD'!E:E)</f>
        <v>50229.240000000005</v>
      </c>
      <c r="Q26" s="268">
        <f>SUMIF('Input 16.1_2018VOL-YTD'!$R:$R,$G26,'Input 16.1_2018VOL-YTD'!F:F)</f>
        <v>48640.6</v>
      </c>
      <c r="R26" s="268">
        <f>SUMIF('Input 16.1_2018VOL-YTD'!$R:$R,$G26,'Input 16.1_2018VOL-YTD'!G:G)</f>
        <v>52731.210000000006</v>
      </c>
      <c r="S26" s="268">
        <f>SUMIF('Input 16.1_2018VOL-YTD'!$R:$R,$G26,'Input 16.1_2018VOL-YTD'!H:H)</f>
        <v>50611.54</v>
      </c>
      <c r="T26" s="268">
        <f>SUMIF('Input 16.1_2018VOL-YTD'!$R:$R,$G26,'Input 16.1_2018VOL-YTD'!I:I)</f>
        <v>54882.13</v>
      </c>
      <c r="U26" s="268">
        <f>SUMIF('Input 16.1_2018VOL-YTD'!$R:$R,$G26,'Input 16.1_2018VOL-YTD'!J:J)</f>
        <v>59812.259999999995</v>
      </c>
      <c r="V26" s="268">
        <f>SUMIF('Input 16.1_2018VOL-YTD'!$R:$R,$G26,'Input 16.1_2018VOL-YTD'!K:K)</f>
        <v>56310.01</v>
      </c>
      <c r="W26" s="268">
        <f>SUMIF('Input 16.1_2018VOL-YTD'!$R:$R,$G26,'Input 16.1_2018VOL-YTD'!L:L)</f>
        <v>61467.17</v>
      </c>
      <c r="X26" s="268">
        <f>SUMIF('Input 16.1_2018VOL-YTD'!$R:$R,$G26,'Input 16.1_2018VOL-YTD'!M:M)</f>
        <v>57518.450000000004</v>
      </c>
      <c r="Y26" s="268">
        <f>SUMIF('Input 16.1_2018VOL-YTD'!$R:$R,$G26,'Input 16.1_2018VOL-YTD'!N:N)</f>
        <v>54483.119999999995</v>
      </c>
      <c r="Z26" s="268">
        <f>SUMIF('Input 3.1_2019VOL-YTD'!$R:$R,$G26,'Input 3.1_2019VOL-YTD'!C:C)</f>
        <v>56506.71</v>
      </c>
      <c r="AA26" s="268">
        <f>SUMIF('Input 3.1_2019VOL-YTD'!$R:$R,$G26,'Input 3.1_2019VOL-YTD'!D:D)</f>
        <v>45450.78</v>
      </c>
      <c r="AB26" s="268">
        <f>SUMIF('Input 3.1_2019VOL-YTD'!$R:$R,$G26,'Input 3.1_2019VOL-YTD'!E:E)</f>
        <v>50660.5</v>
      </c>
      <c r="AC26" s="268">
        <f>SUMIF('Input 3.1_2019VOL-YTD'!$R:$R,$G26,'Input 3.1_2019VOL-YTD'!F:F)</f>
        <v>52911.819999999992</v>
      </c>
      <c r="AD26" s="268">
        <f>SUMIF('Input 3.1_2019VOL-YTD'!$R:$R,$G26,'Input 3.1_2019VOL-YTD'!G:G)</f>
        <v>56943.81</v>
      </c>
      <c r="AE26" s="268">
        <f>SUMIF('Input 3.1_2019VOL-YTD'!$R:$R,$G26,'Input 3.1_2019VOL-YTD'!H:H)</f>
        <v>52555.76</v>
      </c>
      <c r="AF26" s="268">
        <f>SUMIF('Input 3.1_2019VOL-YTD'!$R:$R,$G26,'Input 3.1_2019VOL-YTD'!I:I)</f>
        <v>65166.81</v>
      </c>
      <c r="AG26" s="268">
        <f>SUMIF('Input 3.1_2019VOL-YTD'!$R:$R,$G26,'Input 3.1_2019VOL-YTD'!J:J)</f>
        <v>70954.8</v>
      </c>
      <c r="AH26" s="268">
        <f>SUMIF('Input 3.1_2019VOL-YTD'!$R:$R,$G26,'Input 3.1_2019VOL-YTD'!K:K)</f>
        <v>65809.789999999994</v>
      </c>
      <c r="AI26" s="268">
        <f>SUMIF('Input 3.1_2019VOL-YTD'!$R:$R,$G26,'Input 3.1_2019VOL-YTD'!L:L)</f>
        <v>74965.25</v>
      </c>
      <c r="AJ26" s="268">
        <f>SUMIF('Input 3.1_2019VOL-YTD'!$R:$R,$G26,'Input 3.1_2019VOL-YTD'!M:M)</f>
        <v>69884.099999999991</v>
      </c>
      <c r="AK26" s="268">
        <f>SUMIF('Input 3.1_2019VOL-YTD'!$R:$R,$G26,'Input 3.1_2019VOL-YTD'!N:N)</f>
        <v>70163.64</v>
      </c>
      <c r="AL26" s="268">
        <f>SUMIF('Input 4.1_2020VOL-YTD'!$R:$R,$G26,'Input 4.1_2020VOL-YTD'!C:C)</f>
        <v>72940.95</v>
      </c>
      <c r="AM26" s="268">
        <f>SUMIF('Input 4.1_2020VOL-YTD'!$R:$R,$G26,'Input 4.1_2020VOL-YTD'!D:D)</f>
        <v>65897.960000000006</v>
      </c>
      <c r="AN26" s="268">
        <f>SUMIF('Input 4.1_2020VOL-YTD'!$R:$R,$G26,'Input 4.1_2020VOL-YTD'!E:E)</f>
        <v>74564.42</v>
      </c>
      <c r="AO26" s="268">
        <f>SUMIF('Input 4.1_2020VOL-YTD'!$R:$R,$G26,'Input 4.1_2020VOL-YTD'!F:F)</f>
        <v>78931.460000000006</v>
      </c>
      <c r="AP26" s="268">
        <f>SUMIF('Input 4.1_2020VOL-YTD'!$R:$R,$G26,'Input 4.1_2020VOL-YTD'!G:G)</f>
        <v>76319.290000000008</v>
      </c>
      <c r="AQ26" s="268">
        <f>SUMIF('Input 4.1_2020VOL-YTD'!$R:$R,$G26,'Input 4.1_2020VOL-YTD'!H:H)</f>
        <v>80862.350000000006</v>
      </c>
      <c r="AR26" s="268">
        <f>SUMIF('Input 4.1_2020VOL-YTD'!$R:$R,$G26,'Input 4.1_2020VOL-YTD'!I:I)</f>
        <v>86853.45</v>
      </c>
      <c r="AS26" s="268">
        <f>SUMIF('Input 4.1_2020VOL-YTD'!$R:$R,$G26,'Input 4.1_2020VOL-YTD'!J:J)</f>
        <v>82327.23</v>
      </c>
      <c r="AT26" s="268">
        <f>SUMIF('Input 4.1_2020VOL-YTD'!$R:$R,$G26,'Input 4.1_2020VOL-YTD'!K:K)</f>
        <v>83346.28</v>
      </c>
      <c r="AU26" s="268">
        <f>SUMIF('Input 4.1_2020VOL-YTD'!$R:$R,$G26,'Input 4.1_2020VOL-YTD'!L:L)</f>
        <v>83457.350000000006</v>
      </c>
      <c r="AV26" s="268">
        <f>SUMIF('Input 4.1_2020VOL-YTD'!$R:$R,$G26,'Input 4.1_2020VOL-YTD'!M:M)</f>
        <v>78034.28</v>
      </c>
      <c r="AW26" s="268">
        <f>SUMIF('Input 4.1_2020VOL-YTD'!$R:$R,$G26,'Input 4.1_2020VOL-YTD'!N:N)</f>
        <v>79617.850000000006</v>
      </c>
      <c r="AX26" s="268">
        <f>SUMIF('Input 5.1_2021VOL-YTD'!$R:$R,$G26,'Input 5.1_2021VOL-YTD'!C:C)</f>
        <v>80802.31</v>
      </c>
      <c r="AY26" s="268">
        <f>SUMIF('Input 5.1_2021VOL-YTD'!$R:$R,$G26,'Input 5.1_2021VOL-YTD'!D:D)</f>
        <v>80458.649999999994</v>
      </c>
      <c r="AZ26" s="268">
        <f>SUMIF('Input 5.1_2021VOL-YTD'!$R:$R,$G26,'Input 5.1_2021VOL-YTD'!E:E)</f>
        <v>94078.790000000008</v>
      </c>
      <c r="BA26" s="268">
        <f>SUMIF('Input 5.1_2021VOL-YTD'!$R:$R,$G26,'Input 5.1_2021VOL-YTD'!F:F)</f>
        <v>92490.89</v>
      </c>
      <c r="BB26" s="268">
        <f>SUMIF('Input 5.1_2021VOL-YTD'!$R:$R,$G26,'Input 5.1_2021VOL-YTD'!G:G)</f>
        <v>90043.489999999991</v>
      </c>
      <c r="BC26" s="268">
        <f>SUMIF('Input 5.1_2021VOL-YTD'!$R:$R,$G26,'Input 5.1_2021VOL-YTD'!H:H)</f>
        <v>92000.39</v>
      </c>
      <c r="BD26" s="268">
        <f>SUMIF('Input 5.1_2021VOL-YTD'!$R:$R,$G26,'Input 5.1_2021VOL-YTD'!I:I)</f>
        <v>93260.34</v>
      </c>
      <c r="BE26" s="268">
        <f>SUMIF('Input 5.1_2021VOL-YTD'!$R:$R,$G26,'Input 5.1_2021VOL-YTD'!J:J)</f>
        <v>96076.29</v>
      </c>
      <c r="BF26" s="268">
        <f>SUMIF('Input 5.1_2021VOL-YTD'!$R:$R,$G26,'Input 5.1_2021VOL-YTD'!K:K)</f>
        <v>94948.829999999987</v>
      </c>
      <c r="BG26" s="268">
        <f>SUMIF('Input 5.1_2021VOL-YTD'!$R:$R,$G26,'Input 5.1_2021VOL-YTD'!L:L)</f>
        <v>89940.06</v>
      </c>
      <c r="BH26" s="268">
        <f>SUMIF('Input 5.1_2021VOL-YTD'!$R:$R,$G26,'Input 5.1_2021VOL-YTD'!M:M)</f>
        <v>89949.5</v>
      </c>
      <c r="BI26" s="268">
        <f>SUMIF('Input 5.1_2021VOL-YTD'!$R:$R,$G26,'Input 5.1_2021VOL-YTD'!N:N)</f>
        <v>97264.39</v>
      </c>
      <c r="BJ26" s="483">
        <f>IFERROR(IF($J26="Historical Average",INDEX('Monthly UPC'!$CM$2:$DJ$65,MATCH($D26,'Monthly UPC'!$D$2:$D$65,0),MATCH(BJ$1,'Monthly UPC'!$CM$1:$DJ$1))*(INDEX('Monthly CUST'!$N$2:$CG$65,MATCH($D26,'Monthly CUST'!$D$2:$D$65,0),MATCH(BJ$1,'Monthly CUST'!$N$1:$CG$1,0))),IF($J26="UPC Growth Rate",((AX26/INDEX('Monthly CUST'!$N$2:$CG$65,MATCH($D26,'Monthly CUST'!$D$2:$D$65,0),MATCH(AX$1,'Monthly CUST'!$N$1:$CG$1,0)))*(1+$L26)*INDEX('Monthly CUST'!$N$2:$CG$65,MATCH($D26,'Monthly CUST'!$D$2:$D$65,0),MATCH(BJ$1,'Monthly CUST'!$N$1:$CG$1,0))),IF($J26="Modeled UPC",INDEX('Monthly CUST'!$N$2:$CG$65,MATCH($D26,'Monthly CUST'!$D$2:$D$65,0),MATCH(BJ$1,'Monthly CUST'!$N$1:$CG$1,0))/12*$M26,IF($J26="Base Period",AX26,IF($J26="Adjusted",SUMIF('Input 15_Fcst Inputs'!$A:$A,$D26,'Input 15_Fcst Inputs'!$G:$G)/12))))),0)</f>
        <v>70083.323333333334</v>
      </c>
      <c r="BK26" s="483">
        <f>IFERROR(IF($J26="Historical Average",INDEX('Monthly UPC'!$CM$2:$DJ$65,MATCH($D26,'Monthly UPC'!$D$2:$D$65,0),MATCH(BK$1,'Monthly UPC'!$CM$1:$DJ$1))*(INDEX('Monthly CUST'!$N$2:$CG$65,MATCH($D26,'Monthly CUST'!$D$2:$D$65,0),MATCH(BK$1,'Monthly CUST'!$N$1:$CG$1,0))),IF($J26="UPC Growth Rate",((AY26/INDEX('Monthly CUST'!$N$2:$CG$65,MATCH($D26,'Monthly CUST'!$D$2:$D$65,0),MATCH(AY$1,'Monthly CUST'!$N$1:$CG$1,0)))*(1+$L26)*INDEX('Monthly CUST'!$N$2:$CG$65,MATCH($D26,'Monthly CUST'!$D$2:$D$65,0),MATCH(BK$1,'Monthly CUST'!$N$1:$CG$1,0))),IF($J26="Modeled UPC",INDEX('Monthly CUST'!$N$2:$CG$65,MATCH($D26,'Monthly CUST'!$D$2:$D$65,0),MATCH(BK$1,'Monthly CUST'!$N$1:$CG$1,0))/12*$M26,IF($J26="Base Period",AY26,IF($J26="Adjusted",SUMIF('Input 15_Fcst Inputs'!$A:$A,$D26,'Input 15_Fcst Inputs'!$G:$G)/12))))),0)</f>
        <v>63935.796666666669</v>
      </c>
      <c r="BL26" s="483">
        <f>IFERROR(IF($J26="Historical Average",INDEX('Monthly UPC'!$CM$2:$DJ$65,MATCH($D26,'Monthly UPC'!$D$2:$D$65,0),MATCH(BL$1,'Monthly UPC'!$CM$1:$DJ$1))*(INDEX('Monthly CUST'!$N$2:$CG$65,MATCH($D26,'Monthly CUST'!$D$2:$D$65,0),MATCH(BL$1,'Monthly CUST'!$N$1:$CG$1,0))),IF($J26="UPC Growth Rate",((AZ26/INDEX('Monthly CUST'!$N$2:$CG$65,MATCH($D26,'Monthly CUST'!$D$2:$D$65,0),MATCH(AZ$1,'Monthly CUST'!$N$1:$CG$1,0)))*(1+$L26)*INDEX('Monthly CUST'!$N$2:$CG$65,MATCH($D26,'Monthly CUST'!$D$2:$D$65,0),MATCH(BL$1,'Monthly CUST'!$N$1:$CG$1,0))),IF($J26="Modeled UPC",INDEX('Monthly CUST'!$N$2:$CG$65,MATCH($D26,'Monthly CUST'!$D$2:$D$65,0),MATCH(BL$1,'Monthly CUST'!$N$1:$CG$1,0))/12*$M26,IF($J26="Base Period",AZ26,IF($J26="Adjusted",SUMIF('Input 15_Fcst Inputs'!$A:$A,$D26,'Input 15_Fcst Inputs'!$G:$G)/12))))),0)</f>
        <v>73101.236666666679</v>
      </c>
      <c r="BM26" s="483">
        <f>IFERROR(IF($J26="Historical Average",INDEX('Monthly UPC'!$CM$2:$DJ$65,MATCH($D26,'Monthly UPC'!$D$2:$D$65,0),MATCH(BM$1,'Monthly UPC'!$CM$1:$DJ$1))*(INDEX('Monthly CUST'!$N$2:$CG$65,MATCH($D26,'Monthly CUST'!$D$2:$D$65,0),MATCH(BM$1,'Monthly CUST'!$N$1:$CG$1,0))),IF($J26="UPC Growth Rate",((BA26/INDEX('Monthly CUST'!$N$2:$CG$65,MATCH($D26,'Monthly CUST'!$D$2:$D$65,0),MATCH(BA$1,'Monthly CUST'!$N$1:$CG$1,0)))*(1+$L26)*INDEX('Monthly CUST'!$N$2:$CG$65,MATCH($D26,'Monthly CUST'!$D$2:$D$65,0),MATCH(BM$1,'Monthly CUST'!$N$1:$CG$1,0))),IF($J26="Modeled UPC",INDEX('Monthly CUST'!$N$2:$CG$65,MATCH($D26,'Monthly CUST'!$D$2:$D$65,0),MATCH(BM$1,'Monthly CUST'!$N$1:$CG$1,0))/12*$M26,IF($J26="Base Period",BA26,IF($J26="Adjusted",SUMIF('Input 15_Fcst Inputs'!$A:$A,$D26,'Input 15_Fcst Inputs'!$G:$G)/12))))),0)</f>
        <v>74778.056666666656</v>
      </c>
      <c r="BN26" s="483">
        <f>IFERROR(IF($J26="Historical Average",INDEX('Monthly UPC'!$CM$2:$DJ$65,MATCH($D26,'Monthly UPC'!$D$2:$D$65,0),MATCH(BN$1,'Monthly UPC'!$CM$1:$DJ$1))*(INDEX('Monthly CUST'!$N$2:$CG$65,MATCH($D26,'Monthly CUST'!$D$2:$D$65,0),MATCH(BN$1,'Monthly CUST'!$N$1:$CG$1,0))),IF($J26="UPC Growth Rate",((BB26/INDEX('Monthly CUST'!$N$2:$CG$65,MATCH($D26,'Monthly CUST'!$D$2:$D$65,0),MATCH(BB$1,'Monthly CUST'!$N$1:$CG$1,0)))*(1+$L26)*INDEX('Monthly CUST'!$N$2:$CG$65,MATCH($D26,'Monthly CUST'!$D$2:$D$65,0),MATCH(BN$1,'Monthly CUST'!$N$1:$CG$1,0))),IF($J26="Modeled UPC",INDEX('Monthly CUST'!$N$2:$CG$65,MATCH($D26,'Monthly CUST'!$D$2:$D$65,0),MATCH(BN$1,'Monthly CUST'!$N$1:$CG$1,0))/12*$M26,IF($J26="Base Period",BB26,IF($J26="Adjusted",SUMIF('Input 15_Fcst Inputs'!$A:$A,$D26,'Input 15_Fcst Inputs'!$G:$G)/12))))),0)</f>
        <v>74435.53</v>
      </c>
      <c r="BO26" s="483">
        <f>IFERROR(IF($J26="Historical Average",INDEX('Monthly UPC'!$CM$2:$DJ$65,MATCH($D26,'Monthly UPC'!$D$2:$D$65,0),MATCH(BO$1,'Monthly UPC'!$CM$1:$DJ$1))*(INDEX('Monthly CUST'!$N$2:$CG$65,MATCH($D26,'Monthly CUST'!$D$2:$D$65,0),MATCH(BO$1,'Monthly CUST'!$N$1:$CG$1,0))),IF($J26="UPC Growth Rate",((BC26/INDEX('Monthly CUST'!$N$2:$CG$65,MATCH($D26,'Monthly CUST'!$D$2:$D$65,0),MATCH(BC$1,'Monthly CUST'!$N$1:$CG$1,0)))*(1+$L26)*INDEX('Monthly CUST'!$N$2:$CG$65,MATCH($D26,'Monthly CUST'!$D$2:$D$65,0),MATCH(BO$1,'Monthly CUST'!$N$1:$CG$1,0))),IF($J26="Modeled UPC",INDEX('Monthly CUST'!$N$2:$CG$65,MATCH($D26,'Monthly CUST'!$D$2:$D$65,0),MATCH(BO$1,'Monthly CUST'!$N$1:$CG$1,0))/12*$M26,IF($J26="Base Period",BC26,IF($J26="Adjusted",SUMIF('Input 15_Fcst Inputs'!$A:$A,$D26,'Input 15_Fcst Inputs'!$G:$G)/12))))),0)</f>
        <v>75139.5</v>
      </c>
      <c r="BP26" s="483">
        <f>IFERROR(IF($J26="Historical Average",INDEX('Monthly UPC'!$CM$2:$DJ$65,MATCH($D26,'Monthly UPC'!$D$2:$D$65,0),MATCH(BP$1,'Monthly UPC'!$CM$1:$DJ$1))*(INDEX('Monthly CUST'!$N$2:$CG$65,MATCH($D26,'Monthly CUST'!$D$2:$D$65,0),MATCH(BP$1,'Monthly CUST'!$N$1:$CG$1,0))),IF($J26="UPC Growth Rate",((BD26/INDEX('Monthly CUST'!$N$2:$CG$65,MATCH($D26,'Monthly CUST'!$D$2:$D$65,0),MATCH(BD$1,'Monthly CUST'!$N$1:$CG$1,0)))*(1+$L26)*INDEX('Monthly CUST'!$N$2:$CG$65,MATCH($D26,'Monthly CUST'!$D$2:$D$65,0),MATCH(BP$1,'Monthly CUST'!$N$1:$CG$1,0))),IF($J26="Modeled UPC",INDEX('Monthly CUST'!$N$2:$CG$65,MATCH($D26,'Monthly CUST'!$D$2:$D$65,0),MATCH(BP$1,'Monthly CUST'!$N$1:$CG$1,0))/12*$M26,IF($J26="Base Period",BD26,IF($J26="Adjusted",SUMIF('Input 15_Fcst Inputs'!$A:$A,$D26,'Input 15_Fcst Inputs'!$G:$G)/12))))),0)</f>
        <v>81760.2</v>
      </c>
      <c r="BQ26" s="483">
        <f>IFERROR(IF($J26="Historical Average",INDEX('Monthly UPC'!$CM$2:$DJ$65,MATCH($D26,'Monthly UPC'!$D$2:$D$65,0),MATCH(BQ$1,'Monthly UPC'!$CM$1:$DJ$1))*(INDEX('Monthly CUST'!$N$2:$CG$65,MATCH($D26,'Monthly CUST'!$D$2:$D$65,0),MATCH(BQ$1,'Monthly CUST'!$N$1:$CG$1,0))),IF($J26="UPC Growth Rate",((BE26/INDEX('Monthly CUST'!$N$2:$CG$65,MATCH($D26,'Monthly CUST'!$D$2:$D$65,0),MATCH(BE$1,'Monthly CUST'!$N$1:$CG$1,0)))*(1+$L26)*INDEX('Monthly CUST'!$N$2:$CG$65,MATCH($D26,'Monthly CUST'!$D$2:$D$65,0),MATCH(BQ$1,'Monthly CUST'!$N$1:$CG$1,0))),IF($J26="Modeled UPC",INDEX('Monthly CUST'!$N$2:$CG$65,MATCH($D26,'Monthly CUST'!$D$2:$D$65,0),MATCH(BQ$1,'Monthly CUST'!$N$1:$CG$1,0))/12*$M26,IF($J26="Base Period",BE26,IF($J26="Adjusted",SUMIF('Input 15_Fcst Inputs'!$A:$A,$D26,'Input 15_Fcst Inputs'!$G:$G)/12))))),0)</f>
        <v>83119.44</v>
      </c>
      <c r="BR26" s="483">
        <f>IFERROR(IF($J26="Historical Average",INDEX('Monthly UPC'!$CM$2:$DJ$65,MATCH($D26,'Monthly UPC'!$D$2:$D$65,0),MATCH(BR$1,'Monthly UPC'!$CM$1:$DJ$1))*(INDEX('Monthly CUST'!$N$2:$CG$65,MATCH($D26,'Monthly CUST'!$D$2:$D$65,0),MATCH(BR$1,'Monthly CUST'!$N$1:$CG$1,0))),IF($J26="UPC Growth Rate",((BF26/INDEX('Monthly CUST'!$N$2:$CG$65,MATCH($D26,'Monthly CUST'!$D$2:$D$65,0),MATCH(BF$1,'Monthly CUST'!$N$1:$CG$1,0)))*(1+$L26)*INDEX('Monthly CUST'!$N$2:$CG$65,MATCH($D26,'Monthly CUST'!$D$2:$D$65,0),MATCH(BR$1,'Monthly CUST'!$N$1:$CG$1,0))),IF($J26="Modeled UPC",INDEX('Monthly CUST'!$N$2:$CG$65,MATCH($D26,'Monthly CUST'!$D$2:$D$65,0),MATCH(BR$1,'Monthly CUST'!$N$1:$CG$1,0))/12*$M26,IF($J26="Base Period",BF26,IF($J26="Adjusted",SUMIF('Input 15_Fcst Inputs'!$A:$A,$D26,'Input 15_Fcst Inputs'!$G:$G)/12))))),0)</f>
        <v>81368.3</v>
      </c>
      <c r="BS26" s="483">
        <f>IFERROR(IF($J26="Historical Average",INDEX('Monthly UPC'!$CM$2:$DJ$65,MATCH($D26,'Monthly UPC'!$D$2:$D$65,0),MATCH(BS$1,'Monthly UPC'!$CM$1:$DJ$1))*(INDEX('Monthly CUST'!$N$2:$CG$65,MATCH($D26,'Monthly CUST'!$D$2:$D$65,0),MATCH(BS$1,'Monthly CUST'!$N$1:$CG$1,0))),IF($J26="UPC Growth Rate",((BG26/INDEX('Monthly CUST'!$N$2:$CG$65,MATCH($D26,'Monthly CUST'!$D$2:$D$65,0),MATCH(BG$1,'Monthly CUST'!$N$1:$CG$1,0)))*(1+$L26)*INDEX('Monthly CUST'!$N$2:$CG$65,MATCH($D26,'Monthly CUST'!$D$2:$D$65,0),MATCH(BS$1,'Monthly CUST'!$N$1:$CG$1,0))),IF($J26="Modeled UPC",INDEX('Monthly CUST'!$N$2:$CG$65,MATCH($D26,'Monthly CUST'!$D$2:$D$65,0),MATCH(BS$1,'Monthly CUST'!$N$1:$CG$1,0))/12*$M26,IF($J26="Base Period",BG26,IF($J26="Adjusted",SUMIF('Input 15_Fcst Inputs'!$A:$A,$D26,'Input 15_Fcst Inputs'!$G:$G)/12))))),0)</f>
        <v>82787.55333333333</v>
      </c>
      <c r="BT26" s="483">
        <f>IFERROR(IF($J26="Historical Average",INDEX('Monthly UPC'!$CM$2:$DJ$65,MATCH($D26,'Monthly UPC'!$D$2:$D$65,0),MATCH(BT$1,'Monthly UPC'!$CM$1:$DJ$1))*(INDEX('Monthly CUST'!$N$2:$CG$65,MATCH($D26,'Monthly CUST'!$D$2:$D$65,0),MATCH(BT$1,'Monthly CUST'!$N$1:$CG$1,0))),IF($J26="UPC Growth Rate",((BH26/INDEX('Monthly CUST'!$N$2:$CG$65,MATCH($D26,'Monthly CUST'!$D$2:$D$65,0),MATCH(BH$1,'Monthly CUST'!$N$1:$CG$1,0)))*(1+$L26)*INDEX('Monthly CUST'!$N$2:$CG$65,MATCH($D26,'Monthly CUST'!$D$2:$D$65,0),MATCH(BT$1,'Monthly CUST'!$N$1:$CG$1,0))),IF($J26="Modeled UPC",INDEX('Monthly CUST'!$N$2:$CG$65,MATCH($D26,'Monthly CUST'!$D$2:$D$65,0),MATCH(BT$1,'Monthly CUST'!$N$1:$CG$1,0))/12*$M26,IF($J26="Base Period",BH26,IF($J26="Adjusted",SUMIF('Input 15_Fcst Inputs'!$A:$A,$D26,'Input 15_Fcst Inputs'!$G:$G)/12))))),0)</f>
        <v>79289.293333333335</v>
      </c>
      <c r="BU26" s="483">
        <f>IFERROR(IF($J26="Historical Average",INDEX('Monthly UPC'!$CM$2:$DJ$65,MATCH($D26,'Monthly UPC'!$D$2:$D$65,0),MATCH(BU$1,'Monthly UPC'!$CM$1:$DJ$1))*(INDEX('Monthly CUST'!$N$2:$CG$65,MATCH($D26,'Monthly CUST'!$D$2:$D$65,0),MATCH(BU$1,'Monthly CUST'!$N$1:$CG$1,0))),IF($J26="UPC Growth Rate",((BI26/INDEX('Monthly CUST'!$N$2:$CG$65,MATCH($D26,'Monthly CUST'!$D$2:$D$65,0),MATCH(BI$1,'Monthly CUST'!$N$1:$CG$1,0)))*(1+$L26)*INDEX('Monthly CUST'!$N$2:$CG$65,MATCH($D26,'Monthly CUST'!$D$2:$D$65,0),MATCH(BU$1,'Monthly CUST'!$N$1:$CG$1,0))),IF($J26="Modeled UPC",INDEX('Monthly CUST'!$N$2:$CG$65,MATCH($D26,'Monthly CUST'!$D$2:$D$65,0),MATCH(BU$1,'Monthly CUST'!$N$1:$CG$1,0))/12*$M26,IF($J26="Base Period",BI26,IF($J26="Adjusted",SUMIF('Input 15_Fcst Inputs'!$A:$A,$D26,'Input 15_Fcst Inputs'!$G:$G)/12))))),0)</f>
        <v>82348.626666666663</v>
      </c>
      <c r="BV26" s="483">
        <f>IFERROR(IF($J26="Historical Average",INDEX('Monthly UPC'!$CM$2:$DJ$65,MATCH($D26,'Monthly UPC'!$D$2:$D$65,0),MATCH(BV$1,'Monthly UPC'!$CM$1:$DJ$1))*(INDEX('Monthly CUST'!$N$2:$CG$65,MATCH($D26,'Monthly CUST'!$D$2:$D$65,0),MATCH(BV$1,'Monthly CUST'!$N$1:$CG$1,0))),IF($J26="UPC Growth Rate",((BJ26/INDEX('Monthly CUST'!$N$2:$CG$65,MATCH($D26,'Monthly CUST'!$D$2:$D$65,0),MATCH(BJ$1,'Monthly CUST'!$N$1:$CG$1,0)))*(1+$L26)*INDEX('Monthly CUST'!$N$2:$CG$65,MATCH($D26,'Monthly CUST'!$D$2:$D$65,0),MATCH(BV$1,'Monthly CUST'!$N$1:$CG$1,0))),IF($J26="Modeled UPC",INDEX('Monthly CUST'!$N$2:$CG$65,MATCH($D26,'Monthly CUST'!$D$2:$D$65,0),MATCH(BV$1,'Monthly CUST'!$N$1:$CG$1,0))/12*$M26,IF($J26="Base Period",BJ26,IF($J26="Adjusted",SUMIF('Input 15_Fcst Inputs'!$A:$A,$D26,'Input 15_Fcst Inputs'!$G:$G)/12))))),0)</f>
        <v>70083.323333333334</v>
      </c>
      <c r="BW26" s="483">
        <f>IFERROR(IF($J26="Historical Average",INDEX('Monthly UPC'!$CM$2:$DJ$65,MATCH($D26,'Monthly UPC'!$D$2:$D$65,0),MATCH(BW$1,'Monthly UPC'!$CM$1:$DJ$1))*(INDEX('Monthly CUST'!$N$2:$CG$65,MATCH($D26,'Monthly CUST'!$D$2:$D$65,0),MATCH(BW$1,'Monthly CUST'!$N$1:$CG$1,0))),IF($J26="UPC Growth Rate",((BK26/INDEX('Monthly CUST'!$N$2:$CG$65,MATCH($D26,'Monthly CUST'!$D$2:$D$65,0),MATCH(BK$1,'Monthly CUST'!$N$1:$CG$1,0)))*(1+$L26)*INDEX('Monthly CUST'!$N$2:$CG$65,MATCH($D26,'Monthly CUST'!$D$2:$D$65,0),MATCH(BW$1,'Monthly CUST'!$N$1:$CG$1,0))),IF($J26="Modeled UPC",INDEX('Monthly CUST'!$N$2:$CG$65,MATCH($D26,'Monthly CUST'!$D$2:$D$65,0),MATCH(BW$1,'Monthly CUST'!$N$1:$CG$1,0))/12*$M26,IF($J26="Base Period",BK26,IF($J26="Adjusted",SUMIF('Input 15_Fcst Inputs'!$A:$A,$D26,'Input 15_Fcst Inputs'!$G:$G)/12))))),0)</f>
        <v>63935.796666666669</v>
      </c>
      <c r="BX26" s="483">
        <f>IFERROR(IF($J26="Historical Average",INDEX('Monthly UPC'!$CM$2:$DJ$65,MATCH($D26,'Monthly UPC'!$D$2:$D$65,0),MATCH(BX$1,'Monthly UPC'!$CM$1:$DJ$1))*(INDEX('Monthly CUST'!$N$2:$CG$65,MATCH($D26,'Monthly CUST'!$D$2:$D$65,0),MATCH(BX$1,'Monthly CUST'!$N$1:$CG$1,0))),IF($J26="UPC Growth Rate",((BL26/INDEX('Monthly CUST'!$N$2:$CG$65,MATCH($D26,'Monthly CUST'!$D$2:$D$65,0),MATCH(BL$1,'Monthly CUST'!$N$1:$CG$1,0)))*(1+$L26)*INDEX('Monthly CUST'!$N$2:$CG$65,MATCH($D26,'Monthly CUST'!$D$2:$D$65,0),MATCH(BX$1,'Monthly CUST'!$N$1:$CG$1,0))),IF($J26="Modeled UPC",INDEX('Monthly CUST'!$N$2:$CG$65,MATCH($D26,'Monthly CUST'!$D$2:$D$65,0),MATCH(BX$1,'Monthly CUST'!$N$1:$CG$1,0))/12*$M26,IF($J26="Base Period",BL26,IF($J26="Adjusted",SUMIF('Input 15_Fcst Inputs'!$A:$A,$D26,'Input 15_Fcst Inputs'!$G:$G)/12))))),0)</f>
        <v>73101.236666666679</v>
      </c>
      <c r="BY26" s="483">
        <f>IFERROR(IF($J26="Historical Average",INDEX('Monthly UPC'!$CM$2:$DJ$65,MATCH($D26,'Monthly UPC'!$D$2:$D$65,0),MATCH(BY$1,'Monthly UPC'!$CM$1:$DJ$1))*(INDEX('Monthly CUST'!$N$2:$CG$65,MATCH($D26,'Monthly CUST'!$D$2:$D$65,0),MATCH(BY$1,'Monthly CUST'!$N$1:$CG$1,0))),IF($J26="UPC Growth Rate",((BM26/INDEX('Monthly CUST'!$N$2:$CG$65,MATCH($D26,'Monthly CUST'!$D$2:$D$65,0),MATCH(BM$1,'Monthly CUST'!$N$1:$CG$1,0)))*(1+$L26)*INDEX('Monthly CUST'!$N$2:$CG$65,MATCH($D26,'Monthly CUST'!$D$2:$D$65,0),MATCH(BY$1,'Monthly CUST'!$N$1:$CG$1,0))),IF($J26="Modeled UPC",INDEX('Monthly CUST'!$N$2:$CG$65,MATCH($D26,'Monthly CUST'!$D$2:$D$65,0),MATCH(BY$1,'Monthly CUST'!$N$1:$CG$1,0))/12*$M26,IF($J26="Base Period",BM26,IF($J26="Adjusted",SUMIF('Input 15_Fcst Inputs'!$A:$A,$D26,'Input 15_Fcst Inputs'!$G:$G)/12))))),0)</f>
        <v>74778.056666666656</v>
      </c>
      <c r="BZ26" s="483">
        <f>IFERROR(IF($J26="Historical Average",INDEX('Monthly UPC'!$CM$2:$DJ$65,MATCH($D26,'Monthly UPC'!$D$2:$D$65,0),MATCH(BZ$1,'Monthly UPC'!$CM$1:$DJ$1))*(INDEX('Monthly CUST'!$N$2:$CG$65,MATCH($D26,'Monthly CUST'!$D$2:$D$65,0),MATCH(BZ$1,'Monthly CUST'!$N$1:$CG$1,0))),IF($J26="UPC Growth Rate",((BN26/INDEX('Monthly CUST'!$N$2:$CG$65,MATCH($D26,'Monthly CUST'!$D$2:$D$65,0),MATCH(BN$1,'Monthly CUST'!$N$1:$CG$1,0)))*(1+$L26)*INDEX('Monthly CUST'!$N$2:$CG$65,MATCH($D26,'Monthly CUST'!$D$2:$D$65,0),MATCH(BZ$1,'Monthly CUST'!$N$1:$CG$1,0))),IF($J26="Modeled UPC",INDEX('Monthly CUST'!$N$2:$CG$65,MATCH($D26,'Monthly CUST'!$D$2:$D$65,0),MATCH(BZ$1,'Monthly CUST'!$N$1:$CG$1,0))/12*$M26,IF($J26="Base Period",BN26,IF($J26="Adjusted",SUMIF('Input 15_Fcst Inputs'!$A:$A,$D26,'Input 15_Fcst Inputs'!$G:$G)/12))))),0)</f>
        <v>74435.53</v>
      </c>
      <c r="CA26" s="483">
        <f>IFERROR(IF($J26="Historical Average",INDEX('Monthly UPC'!$CM$2:$DJ$65,MATCH($D26,'Monthly UPC'!$D$2:$D$65,0),MATCH(CA$1,'Monthly UPC'!$CM$1:$DJ$1))*(INDEX('Monthly CUST'!$N$2:$CG$65,MATCH($D26,'Monthly CUST'!$D$2:$D$65,0),MATCH(CA$1,'Monthly CUST'!$N$1:$CG$1,0))),IF($J26="UPC Growth Rate",((BO26/INDEX('Monthly CUST'!$N$2:$CG$65,MATCH($D26,'Monthly CUST'!$D$2:$D$65,0),MATCH(BO$1,'Monthly CUST'!$N$1:$CG$1,0)))*(1+$L26)*INDEX('Monthly CUST'!$N$2:$CG$65,MATCH($D26,'Monthly CUST'!$D$2:$D$65,0),MATCH(CA$1,'Monthly CUST'!$N$1:$CG$1,0))),IF($J26="Modeled UPC",INDEX('Monthly CUST'!$N$2:$CG$65,MATCH($D26,'Monthly CUST'!$D$2:$D$65,0),MATCH(CA$1,'Monthly CUST'!$N$1:$CG$1,0))/12*$M26,IF($J26="Base Period",BO26,IF($J26="Adjusted",SUMIF('Input 15_Fcst Inputs'!$A:$A,$D26,'Input 15_Fcst Inputs'!$G:$G)/12))))),0)</f>
        <v>75139.5</v>
      </c>
      <c r="CB26" s="483">
        <f>IFERROR(IF($J26="Historical Average",INDEX('Monthly UPC'!$CM$2:$DJ$65,MATCH($D26,'Monthly UPC'!$D$2:$D$65,0),MATCH(CB$1,'Monthly UPC'!$CM$1:$DJ$1))*(INDEX('Monthly CUST'!$N$2:$CG$65,MATCH($D26,'Monthly CUST'!$D$2:$D$65,0),MATCH(CB$1,'Monthly CUST'!$N$1:$CG$1,0))),IF($J26="UPC Growth Rate",((BP26/INDEX('Monthly CUST'!$N$2:$CG$65,MATCH($D26,'Monthly CUST'!$D$2:$D$65,0),MATCH(BP$1,'Monthly CUST'!$N$1:$CG$1,0)))*(1+$L26)*INDEX('Monthly CUST'!$N$2:$CG$65,MATCH($D26,'Monthly CUST'!$D$2:$D$65,0),MATCH(CB$1,'Monthly CUST'!$N$1:$CG$1,0))),IF($J26="Modeled UPC",INDEX('Monthly CUST'!$N$2:$CG$65,MATCH($D26,'Monthly CUST'!$D$2:$D$65,0),MATCH(CB$1,'Monthly CUST'!$N$1:$CG$1,0))/12*$M26,IF($J26="Base Period",BP26,IF($J26="Adjusted",SUMIF('Input 15_Fcst Inputs'!$A:$A,$D26,'Input 15_Fcst Inputs'!$G:$G)/12))))),0)</f>
        <v>81760.2</v>
      </c>
      <c r="CC26" s="483">
        <f>IFERROR(IF($J26="Historical Average",INDEX('Monthly UPC'!$CM$2:$DJ$65,MATCH($D26,'Monthly UPC'!$D$2:$D$65,0),MATCH(CC$1,'Monthly UPC'!$CM$1:$DJ$1))*(INDEX('Monthly CUST'!$N$2:$CG$65,MATCH($D26,'Monthly CUST'!$D$2:$D$65,0),MATCH(CC$1,'Monthly CUST'!$N$1:$CG$1,0))),IF($J26="UPC Growth Rate",((BQ26/INDEX('Monthly CUST'!$N$2:$CG$65,MATCH($D26,'Monthly CUST'!$D$2:$D$65,0),MATCH(BQ$1,'Monthly CUST'!$N$1:$CG$1,0)))*(1+$L26)*INDEX('Monthly CUST'!$N$2:$CG$65,MATCH($D26,'Monthly CUST'!$D$2:$D$65,0),MATCH(CC$1,'Monthly CUST'!$N$1:$CG$1,0))),IF($J26="Modeled UPC",INDEX('Monthly CUST'!$N$2:$CG$65,MATCH($D26,'Monthly CUST'!$D$2:$D$65,0),MATCH(CC$1,'Monthly CUST'!$N$1:$CG$1,0))/12*$M26,IF($J26="Base Period",BQ26,IF($J26="Adjusted",SUMIF('Input 15_Fcst Inputs'!$A:$A,$D26,'Input 15_Fcst Inputs'!$G:$G)/12))))),0)</f>
        <v>83119.44</v>
      </c>
      <c r="CD26" s="483">
        <f>IFERROR(IF($J26="Historical Average",INDEX('Monthly UPC'!$CM$2:$DJ$65,MATCH($D26,'Monthly UPC'!$D$2:$D$65,0),MATCH(CD$1,'Monthly UPC'!$CM$1:$DJ$1))*(INDEX('Monthly CUST'!$N$2:$CG$65,MATCH($D26,'Monthly CUST'!$D$2:$D$65,0),MATCH(CD$1,'Monthly CUST'!$N$1:$CG$1,0))),IF($J26="UPC Growth Rate",((BR26/INDEX('Monthly CUST'!$N$2:$CG$65,MATCH($D26,'Monthly CUST'!$D$2:$D$65,0),MATCH(BR$1,'Monthly CUST'!$N$1:$CG$1,0)))*(1+$L26)*INDEX('Monthly CUST'!$N$2:$CG$65,MATCH($D26,'Monthly CUST'!$D$2:$D$65,0),MATCH(CD$1,'Monthly CUST'!$N$1:$CG$1,0))),IF($J26="Modeled UPC",INDEX('Monthly CUST'!$N$2:$CG$65,MATCH($D26,'Monthly CUST'!$D$2:$D$65,0),MATCH(CD$1,'Monthly CUST'!$N$1:$CG$1,0))/12*$M26,IF($J26="Base Period",BR26,IF($J26="Adjusted",SUMIF('Input 15_Fcst Inputs'!$A:$A,$D26,'Input 15_Fcst Inputs'!$G:$G)/12))))),0)</f>
        <v>81368.3</v>
      </c>
      <c r="CE26" s="483">
        <f>IFERROR(IF($J26="Historical Average",INDEX('Monthly UPC'!$CM$2:$DJ$65,MATCH($D26,'Monthly UPC'!$D$2:$D$65,0),MATCH(CE$1,'Monthly UPC'!$CM$1:$DJ$1))*(INDEX('Monthly CUST'!$N$2:$CG$65,MATCH($D26,'Monthly CUST'!$D$2:$D$65,0),MATCH(CE$1,'Monthly CUST'!$N$1:$CG$1,0))),IF($J26="UPC Growth Rate",((BS26/INDEX('Monthly CUST'!$N$2:$CG$65,MATCH($D26,'Monthly CUST'!$D$2:$D$65,0),MATCH(BS$1,'Monthly CUST'!$N$1:$CG$1,0)))*(1+$L26)*INDEX('Monthly CUST'!$N$2:$CG$65,MATCH($D26,'Monthly CUST'!$D$2:$D$65,0),MATCH(CE$1,'Monthly CUST'!$N$1:$CG$1,0))),IF($J26="Modeled UPC",INDEX('Monthly CUST'!$N$2:$CG$65,MATCH($D26,'Monthly CUST'!$D$2:$D$65,0),MATCH(CE$1,'Monthly CUST'!$N$1:$CG$1,0))/12*$M26,IF($J26="Base Period",BS26,IF($J26="Adjusted",SUMIF('Input 15_Fcst Inputs'!$A:$A,$D26,'Input 15_Fcst Inputs'!$G:$G)/12))))),0)</f>
        <v>82787.55333333333</v>
      </c>
      <c r="CF26" s="483">
        <f>IFERROR(IF($J26="Historical Average",INDEX('Monthly UPC'!$CM$2:$DJ$65,MATCH($D26,'Monthly UPC'!$D$2:$D$65,0),MATCH(CF$1,'Monthly UPC'!$CM$1:$DJ$1))*(INDEX('Monthly CUST'!$N$2:$CG$65,MATCH($D26,'Monthly CUST'!$D$2:$D$65,0),MATCH(CF$1,'Monthly CUST'!$N$1:$CG$1,0))),IF($J26="UPC Growth Rate",((BT26/INDEX('Monthly CUST'!$N$2:$CG$65,MATCH($D26,'Monthly CUST'!$D$2:$D$65,0),MATCH(BT$1,'Monthly CUST'!$N$1:$CG$1,0)))*(1+$L26)*INDEX('Monthly CUST'!$N$2:$CG$65,MATCH($D26,'Monthly CUST'!$D$2:$D$65,0),MATCH(CF$1,'Monthly CUST'!$N$1:$CG$1,0))),IF($J26="Modeled UPC",INDEX('Monthly CUST'!$N$2:$CG$65,MATCH($D26,'Monthly CUST'!$D$2:$D$65,0),MATCH(CF$1,'Monthly CUST'!$N$1:$CG$1,0))/12*$M26,IF($J26="Base Period",BT26,IF($J26="Adjusted",SUMIF('Input 15_Fcst Inputs'!$A:$A,$D26,'Input 15_Fcst Inputs'!$G:$G)/12))))),0)</f>
        <v>79289.293333333335</v>
      </c>
      <c r="CG26" s="483">
        <f>IFERROR(IF($J26="Historical Average",INDEX('Monthly UPC'!$CM$2:$DJ$65,MATCH($D26,'Monthly UPC'!$D$2:$D$65,0),MATCH(CG$1,'Monthly UPC'!$CM$1:$DJ$1))*(INDEX('Monthly CUST'!$N$2:$CG$65,MATCH($D26,'Monthly CUST'!$D$2:$D$65,0),MATCH(CG$1,'Monthly CUST'!$N$1:$CG$1,0))),IF($J26="UPC Growth Rate",((BU26/INDEX('Monthly CUST'!$N$2:$CG$65,MATCH($D26,'Monthly CUST'!$D$2:$D$65,0),MATCH(BU$1,'Monthly CUST'!$N$1:$CG$1,0)))*(1+$L26)*INDEX('Monthly CUST'!$N$2:$CG$65,MATCH($D26,'Monthly CUST'!$D$2:$D$65,0),MATCH(CG$1,'Monthly CUST'!$N$1:$CG$1,0))),IF($J26="Modeled UPC",INDEX('Monthly CUST'!$N$2:$CG$65,MATCH($D26,'Monthly CUST'!$D$2:$D$65,0),MATCH(CG$1,'Monthly CUST'!$N$1:$CG$1,0))/12*$M26,IF($J26="Base Period",BU26,IF($J26="Adjusted",SUMIF('Input 15_Fcst Inputs'!$A:$A,$D26,'Input 15_Fcst Inputs'!$G:$G)/12))))),0)</f>
        <v>82348.626666666663</v>
      </c>
      <c r="CH26" s="197"/>
      <c r="CI26" s="197">
        <f t="shared" si="0"/>
        <v>642935.86</v>
      </c>
      <c r="CJ26" s="197">
        <f t="shared" si="1"/>
        <v>731973.77</v>
      </c>
      <c r="CK26" s="197">
        <f t="shared" si="2"/>
        <v>943152.87</v>
      </c>
      <c r="CL26" s="197">
        <f t="shared" si="3"/>
        <v>1091313.93</v>
      </c>
      <c r="CM26" s="197">
        <f t="shared" si="4"/>
        <v>922146.8566666668</v>
      </c>
      <c r="CN26" s="197">
        <f t="shared" si="5"/>
        <v>922146.8566666668</v>
      </c>
      <c r="CP26" s="4">
        <f>SUMIF('Master '!D:D,D26,'Master '!AH:AH)</f>
        <v>922146.8566666668</v>
      </c>
      <c r="CQ26" s="4">
        <f>SUMIF('Master '!D:D,D26,'Master '!AI:AI)</f>
        <v>922146.8566666668</v>
      </c>
      <c r="CR26" s="197">
        <f t="shared" si="6"/>
        <v>0</v>
      </c>
      <c r="CS26" s="197">
        <f t="shared" si="7"/>
        <v>0</v>
      </c>
      <c r="CT26" t="s">
        <v>287</v>
      </c>
      <c r="CV26" t="str">
        <f>VLOOKUP(G26,'Master '!G:CC,75,FALSE)</f>
        <v>NVGTS</v>
      </c>
    </row>
    <row r="27" spans="1:100">
      <c r="A27" s="53" t="s">
        <v>15</v>
      </c>
      <c r="B27" s="53" t="s">
        <v>994</v>
      </c>
      <c r="C27" s="53" t="s">
        <v>1245</v>
      </c>
      <c r="D27" s="53" t="s">
        <v>56</v>
      </c>
      <c r="E27" s="53" t="str">
        <f>VLOOKUP(D27,'Input 14_Ref Table'!C:D,2,FALSE)</f>
        <v>LITEG</v>
      </c>
      <c r="F27" s="143" t="s">
        <v>1286</v>
      </c>
      <c r="G27" s="53" t="str">
        <f>VLOOKUP(D27,'Input 14_Ref Table'!C:I,7,FALSE)</f>
        <v>FPU - FPU - GLS</v>
      </c>
      <c r="H27" s="53" t="str">
        <f>VLOOKUP(D27,'Input 14_Ref Table'!C:K,8,FALSE)</f>
        <v>Base Period</v>
      </c>
      <c r="I27" s="53"/>
      <c r="J27" t="str">
        <f>INDEX('Master '!$AD$2:AD$65,MATCH(D27,'Master '!$D$2:$D$65,0))</f>
        <v>Base Period</v>
      </c>
      <c r="K27" s="458">
        <f>INDEX('Master '!$N$2:N$65,MATCH(D27,'Master '!$D$2:$D$65,0))</f>
        <v>0</v>
      </c>
      <c r="L27" s="137">
        <f>INDEX('Master '!$S$2:S$65,MATCH(D27,'Master '!$D$2:$D$65,0))</f>
        <v>0</v>
      </c>
      <c r="M27" s="4">
        <f>INDEX('Master '!$W$2:W$65,MATCH(D27,'Master '!$D$2:$D$65,0))</f>
        <v>3458.5886705202315</v>
      </c>
      <c r="N27" s="268">
        <f>SUMIF('Input 16.1_2018VOL-YTD'!$R:$R,$G27,'Input 16.1_2018VOL-YTD'!C:C)</f>
        <v>14809.22</v>
      </c>
      <c r="O27" s="268">
        <f>SUMIF('Input 16.1_2018VOL-YTD'!$R:$R,$G27,'Input 16.1_2018VOL-YTD'!D:D)</f>
        <v>14258.22</v>
      </c>
      <c r="P27" s="268">
        <f>SUMIF('Input 16.1_2018VOL-YTD'!$R:$R,$G27,'Input 16.1_2018VOL-YTD'!E:E)</f>
        <v>14258.22</v>
      </c>
      <c r="Q27" s="268">
        <f>SUMIF('Input 16.1_2018VOL-YTD'!$R:$R,$G27,'Input 16.1_2018VOL-YTD'!F:F)</f>
        <v>14247.22</v>
      </c>
      <c r="R27" s="268">
        <f>SUMIF('Input 16.1_2018VOL-YTD'!$R:$R,$G27,'Input 16.1_2018VOL-YTD'!G:G)</f>
        <v>14224.22</v>
      </c>
      <c r="S27" s="268">
        <f>SUMIF('Input 16.1_2018VOL-YTD'!$R:$R,$G27,'Input 16.1_2018VOL-YTD'!H:H)</f>
        <v>14224.22</v>
      </c>
      <c r="T27" s="268">
        <f>SUMIF('Input 16.1_2018VOL-YTD'!$R:$R,$G27,'Input 16.1_2018VOL-YTD'!I:I)</f>
        <v>14224.22</v>
      </c>
      <c r="U27" s="268">
        <f>SUMIF('Input 16.1_2018VOL-YTD'!$R:$R,$G27,'Input 16.1_2018VOL-YTD'!J:J)</f>
        <v>14224.22</v>
      </c>
      <c r="V27" s="268">
        <f>SUMIF('Input 16.1_2018VOL-YTD'!$R:$R,$G27,'Input 16.1_2018VOL-YTD'!K:K)</f>
        <v>13306.220000000001</v>
      </c>
      <c r="W27" s="268">
        <f>SUMIF('Input 16.1_2018VOL-YTD'!$R:$R,$G27,'Input 16.1_2018VOL-YTD'!L:L)</f>
        <v>13306.220000000001</v>
      </c>
      <c r="X27" s="268">
        <f>SUMIF('Input 16.1_2018VOL-YTD'!$R:$R,$G27,'Input 16.1_2018VOL-YTD'!M:M)</f>
        <v>12595.220000000001</v>
      </c>
      <c r="Y27" s="268">
        <f>SUMIF('Input 16.1_2018VOL-YTD'!$R:$R,$G27,'Input 16.1_2018VOL-YTD'!N:N)</f>
        <v>11878.22</v>
      </c>
      <c r="Z27" s="268">
        <f>SUMIF('Input 3.1_2019VOL-YTD'!$R:$R,$G27,'Input 3.1_2019VOL-YTD'!C:C)</f>
        <v>11878.22</v>
      </c>
      <c r="AA27" s="268">
        <f>SUMIF('Input 3.1_2019VOL-YTD'!$R:$R,$G27,'Input 3.1_2019VOL-YTD'!D:D)</f>
        <v>11878.22</v>
      </c>
      <c r="AB27" s="268">
        <f>SUMIF('Input 3.1_2019VOL-YTD'!$R:$R,$G27,'Input 3.1_2019VOL-YTD'!E:E)</f>
        <v>11878.22</v>
      </c>
      <c r="AC27" s="268">
        <f>SUMIF('Input 3.1_2019VOL-YTD'!$R:$R,$G27,'Input 3.1_2019VOL-YTD'!F:F)</f>
        <v>10501.22</v>
      </c>
      <c r="AD27" s="268">
        <f>SUMIF('Input 3.1_2019VOL-YTD'!$R:$R,$G27,'Input 3.1_2019VOL-YTD'!G:G)</f>
        <v>10960.22</v>
      </c>
      <c r="AE27" s="268">
        <f>SUMIF('Input 3.1_2019VOL-YTD'!$R:$R,$G27,'Input 3.1_2019VOL-YTD'!H:H)</f>
        <v>10960.22</v>
      </c>
      <c r="AF27" s="268">
        <f>SUMIF('Input 3.1_2019VOL-YTD'!$R:$R,$G27,'Input 3.1_2019VOL-YTD'!I:I)</f>
        <v>10150.219999999999</v>
      </c>
      <c r="AG27" s="268">
        <f>SUMIF('Input 3.1_2019VOL-YTD'!$R:$R,$G27,'Input 3.1_2019VOL-YTD'!J:J)</f>
        <v>9365.2200000000012</v>
      </c>
      <c r="AH27" s="268">
        <f>SUMIF('Input 3.1_2019VOL-YTD'!$R:$R,$G27,'Input 3.1_2019VOL-YTD'!K:K)</f>
        <v>9526.2199999999993</v>
      </c>
      <c r="AI27" s="268">
        <f>SUMIF('Input 3.1_2019VOL-YTD'!$R:$R,$G27,'Input 3.1_2019VOL-YTD'!L:L)</f>
        <v>9526.2199999999993</v>
      </c>
      <c r="AJ27" s="268">
        <f>SUMIF('Input 3.1_2019VOL-YTD'!$R:$R,$G27,'Input 3.1_2019VOL-YTD'!M:M)</f>
        <v>9526.2199999999993</v>
      </c>
      <c r="AK27" s="268">
        <f>SUMIF('Input 3.1_2019VOL-YTD'!$R:$R,$G27,'Input 3.1_2019VOL-YTD'!N:N)</f>
        <v>9526.2199999999993</v>
      </c>
      <c r="AL27" s="268">
        <f>SUMIF('Input 4.1_2020VOL-YTD'!$R:$R,$G27,'Input 4.1_2020VOL-YTD'!C:C)</f>
        <v>8386.2199999999993</v>
      </c>
      <c r="AM27" s="268">
        <f>SUMIF('Input 4.1_2020VOL-YTD'!$R:$R,$G27,'Input 4.1_2020VOL-YTD'!D:D)</f>
        <v>9802.2199999999993</v>
      </c>
      <c r="AN27" s="268">
        <f>SUMIF('Input 4.1_2020VOL-YTD'!$R:$R,$G27,'Input 4.1_2020VOL-YTD'!E:E)</f>
        <v>9094.2199999999993</v>
      </c>
      <c r="AO27" s="268">
        <f>SUMIF('Input 4.1_2020VOL-YTD'!$R:$R,$G27,'Input 4.1_2020VOL-YTD'!F:F)</f>
        <v>9094.2199999999993</v>
      </c>
      <c r="AP27" s="268">
        <f>SUMIF('Input 4.1_2020VOL-YTD'!$R:$R,$G27,'Input 4.1_2020VOL-YTD'!G:G)</f>
        <v>9094.2199999999993</v>
      </c>
      <c r="AQ27" s="268">
        <f>SUMIF('Input 4.1_2020VOL-YTD'!$R:$R,$G27,'Input 4.1_2020VOL-YTD'!H:H)</f>
        <v>9094.2199999999993</v>
      </c>
      <c r="AR27" s="268">
        <f>SUMIF('Input 4.1_2020VOL-YTD'!$R:$R,$G27,'Input 4.1_2020VOL-YTD'!I:I)</f>
        <v>9094.2199999999993</v>
      </c>
      <c r="AS27" s="268">
        <f>SUMIF('Input 4.1_2020VOL-YTD'!$R:$R,$G27,'Input 4.1_2020VOL-YTD'!J:J)</f>
        <v>9094.2199999999993</v>
      </c>
      <c r="AT27" s="268">
        <f>SUMIF('Input 4.1_2020VOL-YTD'!$R:$R,$G27,'Input 4.1_2020VOL-YTD'!K:K)</f>
        <v>9094.2199999999993</v>
      </c>
      <c r="AU27" s="268">
        <f>SUMIF('Input 4.1_2020VOL-YTD'!$R:$R,$G27,'Input 4.1_2020VOL-YTD'!L:L)</f>
        <v>9094.2199999999993</v>
      </c>
      <c r="AV27" s="268">
        <f>SUMIF('Input 4.1_2020VOL-YTD'!$R:$R,$G27,'Input 4.1_2020VOL-YTD'!M:M)</f>
        <v>9094.2199999999993</v>
      </c>
      <c r="AW27" s="268">
        <f>SUMIF('Input 4.1_2020VOL-YTD'!$R:$R,$G27,'Input 4.1_2020VOL-YTD'!N:N)</f>
        <v>9094.2199999999993</v>
      </c>
      <c r="AX27" s="268">
        <f>SUMIF('Input 5.1_2021VOL-YTD'!$R:$R,$G27,'Input 5.1_2021VOL-YTD'!C:C)</f>
        <v>9094.2199999999993</v>
      </c>
      <c r="AY27" s="268">
        <f>SUMIF('Input 5.1_2021VOL-YTD'!$R:$R,$G27,'Input 5.1_2021VOL-YTD'!D:D)</f>
        <v>8686.2199999999993</v>
      </c>
      <c r="AZ27" s="268">
        <f>SUMIF('Input 5.1_2021VOL-YTD'!$R:$R,$G27,'Input 5.1_2021VOL-YTD'!E:E)</f>
        <v>8686.2199999999993</v>
      </c>
      <c r="BA27" s="268">
        <f>SUMIF('Input 5.1_2021VOL-YTD'!$R:$R,$G27,'Input 5.1_2021VOL-YTD'!F:F)</f>
        <v>8686.2199999999993</v>
      </c>
      <c r="BB27" s="268">
        <f>SUMIF('Input 5.1_2021VOL-YTD'!$R:$R,$G27,'Input 5.1_2021VOL-YTD'!G:G)</f>
        <v>8626.2199999999993</v>
      </c>
      <c r="BC27" s="268">
        <f>SUMIF('Input 5.1_2021VOL-YTD'!$R:$R,$G27,'Input 5.1_2021VOL-YTD'!H:H)</f>
        <v>8626.2199999999993</v>
      </c>
      <c r="BD27" s="268">
        <f>SUMIF('Input 5.1_2021VOL-YTD'!$R:$R,$G27,'Input 5.1_2021VOL-YTD'!I:I)</f>
        <v>8626.2199999999993</v>
      </c>
      <c r="BE27" s="268">
        <f>SUMIF('Input 5.1_2021VOL-YTD'!$R:$R,$G27,'Input 5.1_2021VOL-YTD'!J:J)</f>
        <v>7882.2199999999993</v>
      </c>
      <c r="BF27" s="268">
        <f>SUMIF('Input 5.1_2021VOL-YTD'!$R:$R,$G27,'Input 5.1_2021VOL-YTD'!K:K)</f>
        <v>7882.2199999999993</v>
      </c>
      <c r="BG27" s="268">
        <f>SUMIF('Input 5.1_2021VOL-YTD'!$R:$R,$G27,'Input 5.1_2021VOL-YTD'!L:L)</f>
        <v>7882.2199999999993</v>
      </c>
      <c r="BH27" s="268">
        <f>SUMIF('Input 5.1_2021VOL-YTD'!$R:$R,$G27,'Input 5.1_2021VOL-YTD'!M:M)</f>
        <v>7462.22</v>
      </c>
      <c r="BI27" s="268">
        <f>SUMIF('Input 5.1_2021VOL-YTD'!$R:$R,$G27,'Input 5.1_2021VOL-YTD'!N:N)</f>
        <v>7582.2199999999993</v>
      </c>
      <c r="BJ27" s="483">
        <f>IFERROR(IF($J27="Historical Average",INDEX('Monthly UPC'!$CM$2:$DJ$65,MATCH($D27,'Monthly UPC'!$D$2:$D$65,0),MATCH(BJ$1,'Monthly UPC'!$CM$1:$DJ$1))*(INDEX('Monthly CUST'!$N$2:$CG$65,MATCH($D27,'Monthly CUST'!$D$2:$D$65,0),MATCH(BJ$1,'Monthly CUST'!$N$1:$CG$1,0))),IF($J27="UPC Growth Rate",((AX27/INDEX('Monthly CUST'!$N$2:$CG$65,MATCH($D27,'Monthly CUST'!$D$2:$D$65,0),MATCH(AX$1,'Monthly CUST'!$N$1:$CG$1,0)))*(1+$L27)*INDEX('Monthly CUST'!$N$2:$CG$65,MATCH($D27,'Monthly CUST'!$D$2:$D$65,0),MATCH(BJ$1,'Monthly CUST'!$N$1:$CG$1,0))),IF($J27="Modeled UPC",INDEX('Monthly CUST'!$N$2:$CG$65,MATCH($D27,'Monthly CUST'!$D$2:$D$65,0),MATCH(BJ$1,'Monthly CUST'!$N$1:$CG$1,0))/12*$M27,IF($J27="Base Period",AX27,IF($J27="Adjusted",SUMIF('Input 15_Fcst Inputs'!$A:$A,$D27,'Input 15_Fcst Inputs'!$G:$G)/12))))),0)</f>
        <v>9094.2199999999993</v>
      </c>
      <c r="BK27" s="483">
        <f>IFERROR(IF($J27="Historical Average",INDEX('Monthly UPC'!$CM$2:$DJ$65,MATCH($D27,'Monthly UPC'!$D$2:$D$65,0),MATCH(BK$1,'Monthly UPC'!$CM$1:$DJ$1))*(INDEX('Monthly CUST'!$N$2:$CG$65,MATCH($D27,'Monthly CUST'!$D$2:$D$65,0),MATCH(BK$1,'Monthly CUST'!$N$1:$CG$1,0))),IF($J27="UPC Growth Rate",((AY27/INDEX('Monthly CUST'!$N$2:$CG$65,MATCH($D27,'Monthly CUST'!$D$2:$D$65,0),MATCH(AY$1,'Monthly CUST'!$N$1:$CG$1,0)))*(1+$L27)*INDEX('Monthly CUST'!$N$2:$CG$65,MATCH($D27,'Monthly CUST'!$D$2:$D$65,0),MATCH(BK$1,'Monthly CUST'!$N$1:$CG$1,0))),IF($J27="Modeled UPC",INDEX('Monthly CUST'!$N$2:$CG$65,MATCH($D27,'Monthly CUST'!$D$2:$D$65,0),MATCH(BK$1,'Monthly CUST'!$N$1:$CG$1,0))/12*$M27,IF($J27="Base Period",AY27,IF($J27="Adjusted",SUMIF('Input 15_Fcst Inputs'!$A:$A,$D27,'Input 15_Fcst Inputs'!$G:$G)/12))))),0)</f>
        <v>8686.2199999999993</v>
      </c>
      <c r="BL27" s="483">
        <f>IFERROR(IF($J27="Historical Average",INDEX('Monthly UPC'!$CM$2:$DJ$65,MATCH($D27,'Monthly UPC'!$D$2:$D$65,0),MATCH(BL$1,'Monthly UPC'!$CM$1:$DJ$1))*(INDEX('Monthly CUST'!$N$2:$CG$65,MATCH($D27,'Monthly CUST'!$D$2:$D$65,0),MATCH(BL$1,'Monthly CUST'!$N$1:$CG$1,0))),IF($J27="UPC Growth Rate",((AZ27/INDEX('Monthly CUST'!$N$2:$CG$65,MATCH($D27,'Monthly CUST'!$D$2:$D$65,0),MATCH(AZ$1,'Monthly CUST'!$N$1:$CG$1,0)))*(1+$L27)*INDEX('Monthly CUST'!$N$2:$CG$65,MATCH($D27,'Monthly CUST'!$D$2:$D$65,0),MATCH(BL$1,'Monthly CUST'!$N$1:$CG$1,0))),IF($J27="Modeled UPC",INDEX('Monthly CUST'!$N$2:$CG$65,MATCH($D27,'Monthly CUST'!$D$2:$D$65,0),MATCH(BL$1,'Monthly CUST'!$N$1:$CG$1,0))/12*$M27,IF($J27="Base Period",AZ27,IF($J27="Adjusted",SUMIF('Input 15_Fcst Inputs'!$A:$A,$D27,'Input 15_Fcst Inputs'!$G:$G)/12))))),0)</f>
        <v>8686.2199999999993</v>
      </c>
      <c r="BM27" s="483">
        <f>IFERROR(IF($J27="Historical Average",INDEX('Monthly UPC'!$CM$2:$DJ$65,MATCH($D27,'Monthly UPC'!$D$2:$D$65,0),MATCH(BM$1,'Monthly UPC'!$CM$1:$DJ$1))*(INDEX('Monthly CUST'!$N$2:$CG$65,MATCH($D27,'Monthly CUST'!$D$2:$D$65,0),MATCH(BM$1,'Monthly CUST'!$N$1:$CG$1,0))),IF($J27="UPC Growth Rate",((BA27/INDEX('Monthly CUST'!$N$2:$CG$65,MATCH($D27,'Monthly CUST'!$D$2:$D$65,0),MATCH(BA$1,'Monthly CUST'!$N$1:$CG$1,0)))*(1+$L27)*INDEX('Monthly CUST'!$N$2:$CG$65,MATCH($D27,'Monthly CUST'!$D$2:$D$65,0),MATCH(BM$1,'Monthly CUST'!$N$1:$CG$1,0))),IF($J27="Modeled UPC",INDEX('Monthly CUST'!$N$2:$CG$65,MATCH($D27,'Monthly CUST'!$D$2:$D$65,0),MATCH(BM$1,'Monthly CUST'!$N$1:$CG$1,0))/12*$M27,IF($J27="Base Period",BA27,IF($J27="Adjusted",SUMIF('Input 15_Fcst Inputs'!$A:$A,$D27,'Input 15_Fcst Inputs'!$G:$G)/12))))),0)</f>
        <v>8686.2199999999993</v>
      </c>
      <c r="BN27" s="483">
        <f>IFERROR(IF($J27="Historical Average",INDEX('Monthly UPC'!$CM$2:$DJ$65,MATCH($D27,'Monthly UPC'!$D$2:$D$65,0),MATCH(BN$1,'Monthly UPC'!$CM$1:$DJ$1))*(INDEX('Monthly CUST'!$N$2:$CG$65,MATCH($D27,'Monthly CUST'!$D$2:$D$65,0),MATCH(BN$1,'Monthly CUST'!$N$1:$CG$1,0))),IF($J27="UPC Growth Rate",((BB27/INDEX('Monthly CUST'!$N$2:$CG$65,MATCH($D27,'Monthly CUST'!$D$2:$D$65,0),MATCH(BB$1,'Monthly CUST'!$N$1:$CG$1,0)))*(1+$L27)*INDEX('Monthly CUST'!$N$2:$CG$65,MATCH($D27,'Monthly CUST'!$D$2:$D$65,0),MATCH(BN$1,'Monthly CUST'!$N$1:$CG$1,0))),IF($J27="Modeled UPC",INDEX('Monthly CUST'!$N$2:$CG$65,MATCH($D27,'Monthly CUST'!$D$2:$D$65,0),MATCH(BN$1,'Monthly CUST'!$N$1:$CG$1,0))/12*$M27,IF($J27="Base Period",BB27,IF($J27="Adjusted",SUMIF('Input 15_Fcst Inputs'!$A:$A,$D27,'Input 15_Fcst Inputs'!$G:$G)/12))))),0)</f>
        <v>8626.2199999999993</v>
      </c>
      <c r="BO27" s="483">
        <f>IFERROR(IF($J27="Historical Average",INDEX('Monthly UPC'!$CM$2:$DJ$65,MATCH($D27,'Monthly UPC'!$D$2:$D$65,0),MATCH(BO$1,'Monthly UPC'!$CM$1:$DJ$1))*(INDEX('Monthly CUST'!$N$2:$CG$65,MATCH($D27,'Monthly CUST'!$D$2:$D$65,0),MATCH(BO$1,'Monthly CUST'!$N$1:$CG$1,0))),IF($J27="UPC Growth Rate",((BC27/INDEX('Monthly CUST'!$N$2:$CG$65,MATCH($D27,'Monthly CUST'!$D$2:$D$65,0),MATCH(BC$1,'Monthly CUST'!$N$1:$CG$1,0)))*(1+$L27)*INDEX('Monthly CUST'!$N$2:$CG$65,MATCH($D27,'Monthly CUST'!$D$2:$D$65,0),MATCH(BO$1,'Monthly CUST'!$N$1:$CG$1,0))),IF($J27="Modeled UPC",INDEX('Monthly CUST'!$N$2:$CG$65,MATCH($D27,'Monthly CUST'!$D$2:$D$65,0),MATCH(BO$1,'Monthly CUST'!$N$1:$CG$1,0))/12*$M27,IF($J27="Base Period",BC27,IF($J27="Adjusted",SUMIF('Input 15_Fcst Inputs'!$A:$A,$D27,'Input 15_Fcst Inputs'!$G:$G)/12))))),0)</f>
        <v>8626.2199999999993</v>
      </c>
      <c r="BP27" s="483">
        <f>IFERROR(IF($J27="Historical Average",INDEX('Monthly UPC'!$CM$2:$DJ$65,MATCH($D27,'Monthly UPC'!$D$2:$D$65,0),MATCH(BP$1,'Monthly UPC'!$CM$1:$DJ$1))*(INDEX('Monthly CUST'!$N$2:$CG$65,MATCH($D27,'Monthly CUST'!$D$2:$D$65,0),MATCH(BP$1,'Monthly CUST'!$N$1:$CG$1,0))),IF($J27="UPC Growth Rate",((BD27/INDEX('Monthly CUST'!$N$2:$CG$65,MATCH($D27,'Monthly CUST'!$D$2:$D$65,0),MATCH(BD$1,'Monthly CUST'!$N$1:$CG$1,0)))*(1+$L27)*INDEX('Monthly CUST'!$N$2:$CG$65,MATCH($D27,'Monthly CUST'!$D$2:$D$65,0),MATCH(BP$1,'Monthly CUST'!$N$1:$CG$1,0))),IF($J27="Modeled UPC",INDEX('Monthly CUST'!$N$2:$CG$65,MATCH($D27,'Monthly CUST'!$D$2:$D$65,0),MATCH(BP$1,'Monthly CUST'!$N$1:$CG$1,0))/12*$M27,IF($J27="Base Period",BD27,IF($J27="Adjusted",SUMIF('Input 15_Fcst Inputs'!$A:$A,$D27,'Input 15_Fcst Inputs'!$G:$G)/12))))),0)</f>
        <v>8626.2199999999993</v>
      </c>
      <c r="BQ27" s="483">
        <f>IFERROR(IF($J27="Historical Average",INDEX('Monthly UPC'!$CM$2:$DJ$65,MATCH($D27,'Monthly UPC'!$D$2:$D$65,0),MATCH(BQ$1,'Monthly UPC'!$CM$1:$DJ$1))*(INDEX('Monthly CUST'!$N$2:$CG$65,MATCH($D27,'Monthly CUST'!$D$2:$D$65,0),MATCH(BQ$1,'Monthly CUST'!$N$1:$CG$1,0))),IF($J27="UPC Growth Rate",((BE27/INDEX('Monthly CUST'!$N$2:$CG$65,MATCH($D27,'Monthly CUST'!$D$2:$D$65,0),MATCH(BE$1,'Monthly CUST'!$N$1:$CG$1,0)))*(1+$L27)*INDEX('Monthly CUST'!$N$2:$CG$65,MATCH($D27,'Monthly CUST'!$D$2:$D$65,0),MATCH(BQ$1,'Monthly CUST'!$N$1:$CG$1,0))),IF($J27="Modeled UPC",INDEX('Monthly CUST'!$N$2:$CG$65,MATCH($D27,'Monthly CUST'!$D$2:$D$65,0),MATCH(BQ$1,'Monthly CUST'!$N$1:$CG$1,0))/12*$M27,IF($J27="Base Period",BE27,IF($J27="Adjusted",SUMIF('Input 15_Fcst Inputs'!$A:$A,$D27,'Input 15_Fcst Inputs'!$G:$G)/12))))),0)</f>
        <v>7882.2199999999993</v>
      </c>
      <c r="BR27" s="483">
        <f>IFERROR(IF($J27="Historical Average",INDEX('Monthly UPC'!$CM$2:$DJ$65,MATCH($D27,'Monthly UPC'!$D$2:$D$65,0),MATCH(BR$1,'Monthly UPC'!$CM$1:$DJ$1))*(INDEX('Monthly CUST'!$N$2:$CG$65,MATCH($D27,'Monthly CUST'!$D$2:$D$65,0),MATCH(BR$1,'Monthly CUST'!$N$1:$CG$1,0))),IF($J27="UPC Growth Rate",((BF27/INDEX('Monthly CUST'!$N$2:$CG$65,MATCH($D27,'Monthly CUST'!$D$2:$D$65,0),MATCH(BF$1,'Monthly CUST'!$N$1:$CG$1,0)))*(1+$L27)*INDEX('Monthly CUST'!$N$2:$CG$65,MATCH($D27,'Monthly CUST'!$D$2:$D$65,0),MATCH(BR$1,'Monthly CUST'!$N$1:$CG$1,0))),IF($J27="Modeled UPC",INDEX('Monthly CUST'!$N$2:$CG$65,MATCH($D27,'Monthly CUST'!$D$2:$D$65,0),MATCH(BR$1,'Monthly CUST'!$N$1:$CG$1,0))/12*$M27,IF($J27="Base Period",BF27,IF($J27="Adjusted",SUMIF('Input 15_Fcst Inputs'!$A:$A,$D27,'Input 15_Fcst Inputs'!$G:$G)/12))))),0)</f>
        <v>7882.2199999999993</v>
      </c>
      <c r="BS27" s="483">
        <f>IFERROR(IF($J27="Historical Average",INDEX('Monthly UPC'!$CM$2:$DJ$65,MATCH($D27,'Monthly UPC'!$D$2:$D$65,0),MATCH(BS$1,'Monthly UPC'!$CM$1:$DJ$1))*(INDEX('Monthly CUST'!$N$2:$CG$65,MATCH($D27,'Monthly CUST'!$D$2:$D$65,0),MATCH(BS$1,'Monthly CUST'!$N$1:$CG$1,0))),IF($J27="UPC Growth Rate",((BG27/INDEX('Monthly CUST'!$N$2:$CG$65,MATCH($D27,'Monthly CUST'!$D$2:$D$65,0),MATCH(BG$1,'Monthly CUST'!$N$1:$CG$1,0)))*(1+$L27)*INDEX('Monthly CUST'!$N$2:$CG$65,MATCH($D27,'Monthly CUST'!$D$2:$D$65,0),MATCH(BS$1,'Monthly CUST'!$N$1:$CG$1,0))),IF($J27="Modeled UPC",INDEX('Monthly CUST'!$N$2:$CG$65,MATCH($D27,'Monthly CUST'!$D$2:$D$65,0),MATCH(BS$1,'Monthly CUST'!$N$1:$CG$1,0))/12*$M27,IF($J27="Base Period",BG27,IF($J27="Adjusted",SUMIF('Input 15_Fcst Inputs'!$A:$A,$D27,'Input 15_Fcst Inputs'!$G:$G)/12))))),0)</f>
        <v>7882.2199999999993</v>
      </c>
      <c r="BT27" s="483">
        <f>IFERROR(IF($J27="Historical Average",INDEX('Monthly UPC'!$CM$2:$DJ$65,MATCH($D27,'Monthly UPC'!$D$2:$D$65,0),MATCH(BT$1,'Monthly UPC'!$CM$1:$DJ$1))*(INDEX('Monthly CUST'!$N$2:$CG$65,MATCH($D27,'Monthly CUST'!$D$2:$D$65,0),MATCH(BT$1,'Monthly CUST'!$N$1:$CG$1,0))),IF($J27="UPC Growth Rate",((BH27/INDEX('Monthly CUST'!$N$2:$CG$65,MATCH($D27,'Monthly CUST'!$D$2:$D$65,0),MATCH(BH$1,'Monthly CUST'!$N$1:$CG$1,0)))*(1+$L27)*INDEX('Monthly CUST'!$N$2:$CG$65,MATCH($D27,'Monthly CUST'!$D$2:$D$65,0),MATCH(BT$1,'Monthly CUST'!$N$1:$CG$1,0))),IF($J27="Modeled UPC",INDEX('Monthly CUST'!$N$2:$CG$65,MATCH($D27,'Monthly CUST'!$D$2:$D$65,0),MATCH(BT$1,'Monthly CUST'!$N$1:$CG$1,0))/12*$M27,IF($J27="Base Period",BH27,IF($J27="Adjusted",SUMIF('Input 15_Fcst Inputs'!$A:$A,$D27,'Input 15_Fcst Inputs'!$G:$G)/12))))),0)</f>
        <v>7462.22</v>
      </c>
      <c r="BU27" s="483">
        <f>IFERROR(IF($J27="Historical Average",INDEX('Monthly UPC'!$CM$2:$DJ$65,MATCH($D27,'Monthly UPC'!$D$2:$D$65,0),MATCH(BU$1,'Monthly UPC'!$CM$1:$DJ$1))*(INDEX('Monthly CUST'!$N$2:$CG$65,MATCH($D27,'Monthly CUST'!$D$2:$D$65,0),MATCH(BU$1,'Monthly CUST'!$N$1:$CG$1,0))),IF($J27="UPC Growth Rate",((BI27/INDEX('Monthly CUST'!$N$2:$CG$65,MATCH($D27,'Monthly CUST'!$D$2:$D$65,0),MATCH(BI$1,'Monthly CUST'!$N$1:$CG$1,0)))*(1+$L27)*INDEX('Monthly CUST'!$N$2:$CG$65,MATCH($D27,'Monthly CUST'!$D$2:$D$65,0),MATCH(BU$1,'Monthly CUST'!$N$1:$CG$1,0))),IF($J27="Modeled UPC",INDEX('Monthly CUST'!$N$2:$CG$65,MATCH($D27,'Monthly CUST'!$D$2:$D$65,0),MATCH(BU$1,'Monthly CUST'!$N$1:$CG$1,0))/12*$M27,IF($J27="Base Period",BI27,IF($J27="Adjusted",SUMIF('Input 15_Fcst Inputs'!$A:$A,$D27,'Input 15_Fcst Inputs'!$G:$G)/12))))),0)</f>
        <v>7582.2199999999993</v>
      </c>
      <c r="BV27" s="483">
        <f>IFERROR(IF($J27="Historical Average",INDEX('Monthly UPC'!$CM$2:$DJ$65,MATCH($D27,'Monthly UPC'!$D$2:$D$65,0),MATCH(BV$1,'Monthly UPC'!$CM$1:$DJ$1))*(INDEX('Monthly CUST'!$N$2:$CG$65,MATCH($D27,'Monthly CUST'!$D$2:$D$65,0),MATCH(BV$1,'Monthly CUST'!$N$1:$CG$1,0))),IF($J27="UPC Growth Rate",((BJ27/INDEX('Monthly CUST'!$N$2:$CG$65,MATCH($D27,'Monthly CUST'!$D$2:$D$65,0),MATCH(BJ$1,'Monthly CUST'!$N$1:$CG$1,0)))*(1+$L27)*INDEX('Monthly CUST'!$N$2:$CG$65,MATCH($D27,'Monthly CUST'!$D$2:$D$65,0),MATCH(BV$1,'Monthly CUST'!$N$1:$CG$1,0))),IF($J27="Modeled UPC",INDEX('Monthly CUST'!$N$2:$CG$65,MATCH($D27,'Monthly CUST'!$D$2:$D$65,0),MATCH(BV$1,'Monthly CUST'!$N$1:$CG$1,0))/12*$M27,IF($J27="Base Period",BJ27,IF($J27="Adjusted",SUMIF('Input 15_Fcst Inputs'!$A:$A,$D27,'Input 15_Fcst Inputs'!$G:$G)/12))))),0)</f>
        <v>9094.2199999999993</v>
      </c>
      <c r="BW27" s="483">
        <f>IFERROR(IF($J27="Historical Average",INDEX('Monthly UPC'!$CM$2:$DJ$65,MATCH($D27,'Monthly UPC'!$D$2:$D$65,0),MATCH(BW$1,'Monthly UPC'!$CM$1:$DJ$1))*(INDEX('Monthly CUST'!$N$2:$CG$65,MATCH($D27,'Monthly CUST'!$D$2:$D$65,0),MATCH(BW$1,'Monthly CUST'!$N$1:$CG$1,0))),IF($J27="UPC Growth Rate",((BK27/INDEX('Monthly CUST'!$N$2:$CG$65,MATCH($D27,'Monthly CUST'!$D$2:$D$65,0),MATCH(BK$1,'Monthly CUST'!$N$1:$CG$1,0)))*(1+$L27)*INDEX('Monthly CUST'!$N$2:$CG$65,MATCH($D27,'Monthly CUST'!$D$2:$D$65,0),MATCH(BW$1,'Monthly CUST'!$N$1:$CG$1,0))),IF($J27="Modeled UPC",INDEX('Monthly CUST'!$N$2:$CG$65,MATCH($D27,'Monthly CUST'!$D$2:$D$65,0),MATCH(BW$1,'Monthly CUST'!$N$1:$CG$1,0))/12*$M27,IF($J27="Base Period",BK27,IF($J27="Adjusted",SUMIF('Input 15_Fcst Inputs'!$A:$A,$D27,'Input 15_Fcst Inputs'!$G:$G)/12))))),0)</f>
        <v>8686.2199999999993</v>
      </c>
      <c r="BX27" s="483">
        <f>IFERROR(IF($J27="Historical Average",INDEX('Monthly UPC'!$CM$2:$DJ$65,MATCH($D27,'Monthly UPC'!$D$2:$D$65,0),MATCH(BX$1,'Monthly UPC'!$CM$1:$DJ$1))*(INDEX('Monthly CUST'!$N$2:$CG$65,MATCH($D27,'Monthly CUST'!$D$2:$D$65,0),MATCH(BX$1,'Monthly CUST'!$N$1:$CG$1,0))),IF($J27="UPC Growth Rate",((BL27/INDEX('Monthly CUST'!$N$2:$CG$65,MATCH($D27,'Monthly CUST'!$D$2:$D$65,0),MATCH(BL$1,'Monthly CUST'!$N$1:$CG$1,0)))*(1+$L27)*INDEX('Monthly CUST'!$N$2:$CG$65,MATCH($D27,'Monthly CUST'!$D$2:$D$65,0),MATCH(BX$1,'Monthly CUST'!$N$1:$CG$1,0))),IF($J27="Modeled UPC",INDEX('Monthly CUST'!$N$2:$CG$65,MATCH($D27,'Monthly CUST'!$D$2:$D$65,0),MATCH(BX$1,'Monthly CUST'!$N$1:$CG$1,0))/12*$M27,IF($J27="Base Period",BL27,IF($J27="Adjusted",SUMIF('Input 15_Fcst Inputs'!$A:$A,$D27,'Input 15_Fcst Inputs'!$G:$G)/12))))),0)</f>
        <v>8686.2199999999993</v>
      </c>
      <c r="BY27" s="483">
        <f>IFERROR(IF($J27="Historical Average",INDEX('Monthly UPC'!$CM$2:$DJ$65,MATCH($D27,'Monthly UPC'!$D$2:$D$65,0),MATCH(BY$1,'Monthly UPC'!$CM$1:$DJ$1))*(INDEX('Monthly CUST'!$N$2:$CG$65,MATCH($D27,'Monthly CUST'!$D$2:$D$65,0),MATCH(BY$1,'Monthly CUST'!$N$1:$CG$1,0))),IF($J27="UPC Growth Rate",((BM27/INDEX('Monthly CUST'!$N$2:$CG$65,MATCH($D27,'Monthly CUST'!$D$2:$D$65,0),MATCH(BM$1,'Monthly CUST'!$N$1:$CG$1,0)))*(1+$L27)*INDEX('Monthly CUST'!$N$2:$CG$65,MATCH($D27,'Monthly CUST'!$D$2:$D$65,0),MATCH(BY$1,'Monthly CUST'!$N$1:$CG$1,0))),IF($J27="Modeled UPC",INDEX('Monthly CUST'!$N$2:$CG$65,MATCH($D27,'Monthly CUST'!$D$2:$D$65,0),MATCH(BY$1,'Monthly CUST'!$N$1:$CG$1,0))/12*$M27,IF($J27="Base Period",BM27,IF($J27="Adjusted",SUMIF('Input 15_Fcst Inputs'!$A:$A,$D27,'Input 15_Fcst Inputs'!$G:$G)/12))))),0)</f>
        <v>8686.2199999999993</v>
      </c>
      <c r="BZ27" s="483">
        <f>IFERROR(IF($J27="Historical Average",INDEX('Monthly UPC'!$CM$2:$DJ$65,MATCH($D27,'Monthly UPC'!$D$2:$D$65,0),MATCH(BZ$1,'Monthly UPC'!$CM$1:$DJ$1))*(INDEX('Monthly CUST'!$N$2:$CG$65,MATCH($D27,'Monthly CUST'!$D$2:$D$65,0),MATCH(BZ$1,'Monthly CUST'!$N$1:$CG$1,0))),IF($J27="UPC Growth Rate",((BN27/INDEX('Monthly CUST'!$N$2:$CG$65,MATCH($D27,'Monthly CUST'!$D$2:$D$65,0),MATCH(BN$1,'Monthly CUST'!$N$1:$CG$1,0)))*(1+$L27)*INDEX('Monthly CUST'!$N$2:$CG$65,MATCH($D27,'Monthly CUST'!$D$2:$D$65,0),MATCH(BZ$1,'Monthly CUST'!$N$1:$CG$1,0))),IF($J27="Modeled UPC",INDEX('Monthly CUST'!$N$2:$CG$65,MATCH($D27,'Monthly CUST'!$D$2:$D$65,0),MATCH(BZ$1,'Monthly CUST'!$N$1:$CG$1,0))/12*$M27,IF($J27="Base Period",BN27,IF($J27="Adjusted",SUMIF('Input 15_Fcst Inputs'!$A:$A,$D27,'Input 15_Fcst Inputs'!$G:$G)/12))))),0)</f>
        <v>8626.2199999999993</v>
      </c>
      <c r="CA27" s="483">
        <f>IFERROR(IF($J27="Historical Average",INDEX('Monthly UPC'!$CM$2:$DJ$65,MATCH($D27,'Monthly UPC'!$D$2:$D$65,0),MATCH(CA$1,'Monthly UPC'!$CM$1:$DJ$1))*(INDEX('Monthly CUST'!$N$2:$CG$65,MATCH($D27,'Monthly CUST'!$D$2:$D$65,0),MATCH(CA$1,'Monthly CUST'!$N$1:$CG$1,0))),IF($J27="UPC Growth Rate",((BO27/INDEX('Monthly CUST'!$N$2:$CG$65,MATCH($D27,'Monthly CUST'!$D$2:$D$65,0),MATCH(BO$1,'Monthly CUST'!$N$1:$CG$1,0)))*(1+$L27)*INDEX('Monthly CUST'!$N$2:$CG$65,MATCH($D27,'Monthly CUST'!$D$2:$D$65,0),MATCH(CA$1,'Monthly CUST'!$N$1:$CG$1,0))),IF($J27="Modeled UPC",INDEX('Monthly CUST'!$N$2:$CG$65,MATCH($D27,'Monthly CUST'!$D$2:$D$65,0),MATCH(CA$1,'Monthly CUST'!$N$1:$CG$1,0))/12*$M27,IF($J27="Base Period",BO27,IF($J27="Adjusted",SUMIF('Input 15_Fcst Inputs'!$A:$A,$D27,'Input 15_Fcst Inputs'!$G:$G)/12))))),0)</f>
        <v>8626.2199999999993</v>
      </c>
      <c r="CB27" s="483">
        <f>IFERROR(IF($J27="Historical Average",INDEX('Monthly UPC'!$CM$2:$DJ$65,MATCH($D27,'Monthly UPC'!$D$2:$D$65,0),MATCH(CB$1,'Monthly UPC'!$CM$1:$DJ$1))*(INDEX('Monthly CUST'!$N$2:$CG$65,MATCH($D27,'Monthly CUST'!$D$2:$D$65,0),MATCH(CB$1,'Monthly CUST'!$N$1:$CG$1,0))),IF($J27="UPC Growth Rate",((BP27/INDEX('Monthly CUST'!$N$2:$CG$65,MATCH($D27,'Monthly CUST'!$D$2:$D$65,0),MATCH(BP$1,'Monthly CUST'!$N$1:$CG$1,0)))*(1+$L27)*INDEX('Monthly CUST'!$N$2:$CG$65,MATCH($D27,'Monthly CUST'!$D$2:$D$65,0),MATCH(CB$1,'Monthly CUST'!$N$1:$CG$1,0))),IF($J27="Modeled UPC",INDEX('Monthly CUST'!$N$2:$CG$65,MATCH($D27,'Monthly CUST'!$D$2:$D$65,0),MATCH(CB$1,'Monthly CUST'!$N$1:$CG$1,0))/12*$M27,IF($J27="Base Period",BP27,IF($J27="Adjusted",SUMIF('Input 15_Fcst Inputs'!$A:$A,$D27,'Input 15_Fcst Inputs'!$G:$G)/12))))),0)</f>
        <v>8626.2199999999993</v>
      </c>
      <c r="CC27" s="483">
        <f>IFERROR(IF($J27="Historical Average",INDEX('Monthly UPC'!$CM$2:$DJ$65,MATCH($D27,'Monthly UPC'!$D$2:$D$65,0),MATCH(CC$1,'Monthly UPC'!$CM$1:$DJ$1))*(INDEX('Monthly CUST'!$N$2:$CG$65,MATCH($D27,'Monthly CUST'!$D$2:$D$65,0),MATCH(CC$1,'Monthly CUST'!$N$1:$CG$1,0))),IF($J27="UPC Growth Rate",((BQ27/INDEX('Monthly CUST'!$N$2:$CG$65,MATCH($D27,'Monthly CUST'!$D$2:$D$65,0),MATCH(BQ$1,'Monthly CUST'!$N$1:$CG$1,0)))*(1+$L27)*INDEX('Monthly CUST'!$N$2:$CG$65,MATCH($D27,'Monthly CUST'!$D$2:$D$65,0),MATCH(CC$1,'Monthly CUST'!$N$1:$CG$1,0))),IF($J27="Modeled UPC",INDEX('Monthly CUST'!$N$2:$CG$65,MATCH($D27,'Monthly CUST'!$D$2:$D$65,0),MATCH(CC$1,'Monthly CUST'!$N$1:$CG$1,0))/12*$M27,IF($J27="Base Period",BQ27,IF($J27="Adjusted",SUMIF('Input 15_Fcst Inputs'!$A:$A,$D27,'Input 15_Fcst Inputs'!$G:$G)/12))))),0)</f>
        <v>7882.2199999999993</v>
      </c>
      <c r="CD27" s="483">
        <f>IFERROR(IF($J27="Historical Average",INDEX('Monthly UPC'!$CM$2:$DJ$65,MATCH($D27,'Monthly UPC'!$D$2:$D$65,0),MATCH(CD$1,'Monthly UPC'!$CM$1:$DJ$1))*(INDEX('Monthly CUST'!$N$2:$CG$65,MATCH($D27,'Monthly CUST'!$D$2:$D$65,0),MATCH(CD$1,'Monthly CUST'!$N$1:$CG$1,0))),IF($J27="UPC Growth Rate",((BR27/INDEX('Monthly CUST'!$N$2:$CG$65,MATCH($D27,'Monthly CUST'!$D$2:$D$65,0),MATCH(BR$1,'Monthly CUST'!$N$1:$CG$1,0)))*(1+$L27)*INDEX('Monthly CUST'!$N$2:$CG$65,MATCH($D27,'Monthly CUST'!$D$2:$D$65,0),MATCH(CD$1,'Monthly CUST'!$N$1:$CG$1,0))),IF($J27="Modeled UPC",INDEX('Monthly CUST'!$N$2:$CG$65,MATCH($D27,'Monthly CUST'!$D$2:$D$65,0),MATCH(CD$1,'Monthly CUST'!$N$1:$CG$1,0))/12*$M27,IF($J27="Base Period",BR27,IF($J27="Adjusted",SUMIF('Input 15_Fcst Inputs'!$A:$A,$D27,'Input 15_Fcst Inputs'!$G:$G)/12))))),0)</f>
        <v>7882.2199999999993</v>
      </c>
      <c r="CE27" s="483">
        <f>IFERROR(IF($J27="Historical Average",INDEX('Monthly UPC'!$CM$2:$DJ$65,MATCH($D27,'Monthly UPC'!$D$2:$D$65,0),MATCH(CE$1,'Monthly UPC'!$CM$1:$DJ$1))*(INDEX('Monthly CUST'!$N$2:$CG$65,MATCH($D27,'Monthly CUST'!$D$2:$D$65,0),MATCH(CE$1,'Monthly CUST'!$N$1:$CG$1,0))),IF($J27="UPC Growth Rate",((BS27/INDEX('Monthly CUST'!$N$2:$CG$65,MATCH($D27,'Monthly CUST'!$D$2:$D$65,0),MATCH(BS$1,'Monthly CUST'!$N$1:$CG$1,0)))*(1+$L27)*INDEX('Monthly CUST'!$N$2:$CG$65,MATCH($D27,'Monthly CUST'!$D$2:$D$65,0),MATCH(CE$1,'Monthly CUST'!$N$1:$CG$1,0))),IF($J27="Modeled UPC",INDEX('Monthly CUST'!$N$2:$CG$65,MATCH($D27,'Monthly CUST'!$D$2:$D$65,0),MATCH(CE$1,'Monthly CUST'!$N$1:$CG$1,0))/12*$M27,IF($J27="Base Period",BS27,IF($J27="Adjusted",SUMIF('Input 15_Fcst Inputs'!$A:$A,$D27,'Input 15_Fcst Inputs'!$G:$G)/12))))),0)</f>
        <v>7882.2199999999993</v>
      </c>
      <c r="CF27" s="483">
        <f>IFERROR(IF($J27="Historical Average",INDEX('Monthly UPC'!$CM$2:$DJ$65,MATCH($D27,'Monthly UPC'!$D$2:$D$65,0),MATCH(CF$1,'Monthly UPC'!$CM$1:$DJ$1))*(INDEX('Monthly CUST'!$N$2:$CG$65,MATCH($D27,'Monthly CUST'!$D$2:$D$65,0),MATCH(CF$1,'Monthly CUST'!$N$1:$CG$1,0))),IF($J27="UPC Growth Rate",((BT27/INDEX('Monthly CUST'!$N$2:$CG$65,MATCH($D27,'Monthly CUST'!$D$2:$D$65,0),MATCH(BT$1,'Monthly CUST'!$N$1:$CG$1,0)))*(1+$L27)*INDEX('Monthly CUST'!$N$2:$CG$65,MATCH($D27,'Monthly CUST'!$D$2:$D$65,0),MATCH(CF$1,'Monthly CUST'!$N$1:$CG$1,0))),IF($J27="Modeled UPC",INDEX('Monthly CUST'!$N$2:$CG$65,MATCH($D27,'Monthly CUST'!$D$2:$D$65,0),MATCH(CF$1,'Monthly CUST'!$N$1:$CG$1,0))/12*$M27,IF($J27="Base Period",BT27,IF($J27="Adjusted",SUMIF('Input 15_Fcst Inputs'!$A:$A,$D27,'Input 15_Fcst Inputs'!$G:$G)/12))))),0)</f>
        <v>7462.22</v>
      </c>
      <c r="CG27" s="483">
        <f>IFERROR(IF($J27="Historical Average",INDEX('Monthly UPC'!$CM$2:$DJ$65,MATCH($D27,'Monthly UPC'!$D$2:$D$65,0),MATCH(CG$1,'Monthly UPC'!$CM$1:$DJ$1))*(INDEX('Monthly CUST'!$N$2:$CG$65,MATCH($D27,'Monthly CUST'!$D$2:$D$65,0),MATCH(CG$1,'Monthly CUST'!$N$1:$CG$1,0))),IF($J27="UPC Growth Rate",((BU27/INDEX('Monthly CUST'!$N$2:$CG$65,MATCH($D27,'Monthly CUST'!$D$2:$D$65,0),MATCH(BU$1,'Monthly CUST'!$N$1:$CG$1,0)))*(1+$L27)*INDEX('Monthly CUST'!$N$2:$CG$65,MATCH($D27,'Monthly CUST'!$D$2:$D$65,0),MATCH(CG$1,'Monthly CUST'!$N$1:$CG$1,0))),IF($J27="Modeled UPC",INDEX('Monthly CUST'!$N$2:$CG$65,MATCH($D27,'Monthly CUST'!$D$2:$D$65,0),MATCH(CG$1,'Monthly CUST'!$N$1:$CG$1,0))/12*$M27,IF($J27="Base Period",BU27,IF($J27="Adjusted",SUMIF('Input 15_Fcst Inputs'!$A:$A,$D27,'Input 15_Fcst Inputs'!$G:$G)/12))))),0)</f>
        <v>7582.2199999999993</v>
      </c>
      <c r="CH27" s="197"/>
      <c r="CI27" s="197">
        <f t="shared" si="0"/>
        <v>165555.64000000001</v>
      </c>
      <c r="CJ27" s="197">
        <f t="shared" si="1"/>
        <v>125676.64</v>
      </c>
      <c r="CK27" s="197">
        <f t="shared" si="2"/>
        <v>109130.64</v>
      </c>
      <c r="CL27" s="197">
        <f t="shared" si="3"/>
        <v>99722.64</v>
      </c>
      <c r="CM27" s="197">
        <f t="shared" si="4"/>
        <v>99722.64</v>
      </c>
      <c r="CN27" s="197">
        <f t="shared" si="5"/>
        <v>99722.64</v>
      </c>
      <c r="CP27" s="4">
        <f>SUMIF('Master '!D:D,D27,'Master '!AH:AH)</f>
        <v>99722.64</v>
      </c>
      <c r="CQ27" s="4">
        <f>SUMIF('Master '!D:D,D27,'Master '!AI:AI)</f>
        <v>99722.64</v>
      </c>
      <c r="CR27" s="197">
        <f t="shared" si="6"/>
        <v>0</v>
      </c>
      <c r="CS27" s="197">
        <f t="shared" si="7"/>
        <v>0</v>
      </c>
      <c r="CT27" t="s">
        <v>287</v>
      </c>
      <c r="CV27" t="str">
        <f>VLOOKUP(G27,'Master '!G:CC,75,FALSE)</f>
        <v>GLS</v>
      </c>
    </row>
    <row r="28" spans="1:100">
      <c r="A28" s="53" t="s">
        <v>15</v>
      </c>
      <c r="B28" s="53" t="s">
        <v>993</v>
      </c>
      <c r="C28" s="53" t="s">
        <v>1245</v>
      </c>
      <c r="D28" s="53" t="s">
        <v>58</v>
      </c>
      <c r="E28" s="53" t="str">
        <f>VLOOKUP(D28,'Input 14_Ref Table'!C:D,2,FALSE)</f>
        <v>LA3MX</v>
      </c>
      <c r="F28" s="143" t="s">
        <v>1286</v>
      </c>
      <c r="G28" s="53" t="str">
        <f>VLOOKUP(D28,'Input 14_Ref Table'!C:I,7,FALSE)</f>
        <v>LA3MX</v>
      </c>
      <c r="H28" s="53" t="str">
        <f>VLOOKUP(D28,'Input 14_Ref Table'!C:K,8,FALSE)</f>
        <v>Base Period</v>
      </c>
      <c r="I28" s="53"/>
      <c r="J28" t="str">
        <f>INDEX('Master '!$AD$2:AD$65,MATCH(D28,'Master '!$D$2:$D$65,0))</f>
        <v>Base Period</v>
      </c>
      <c r="K28" s="458">
        <f>INDEX('Master '!$N$2:N$65,MATCH(D28,'Master '!$D$2:$D$65,0))</f>
        <v>0</v>
      </c>
      <c r="L28" s="137">
        <f>INDEX('Master '!$S$2:S$65,MATCH(D28,'Master '!$D$2:$D$65,0))</f>
        <v>0</v>
      </c>
      <c r="M28" s="4">
        <f>INDEX('Master '!$W$2:W$65,MATCH(D28,'Master '!$D$2:$D$65,0))</f>
        <v>0</v>
      </c>
      <c r="N28" s="268">
        <f>SUMIF('Input 16.1_2018VOL-YTD'!$R:$R,$G28,'Input 16.1_2018VOL-YTD'!C:C)</f>
        <v>0</v>
      </c>
      <c r="O28" s="268">
        <f>SUMIF('Input 16.1_2018VOL-YTD'!$R:$R,$G28,'Input 16.1_2018VOL-YTD'!D:D)</f>
        <v>0</v>
      </c>
      <c r="P28" s="268">
        <f>SUMIF('Input 16.1_2018VOL-YTD'!$R:$R,$G28,'Input 16.1_2018VOL-YTD'!E:E)</f>
        <v>0</v>
      </c>
      <c r="Q28" s="268">
        <f>SUMIF('Input 16.1_2018VOL-YTD'!$R:$R,$G28,'Input 16.1_2018VOL-YTD'!F:F)</f>
        <v>0</v>
      </c>
      <c r="R28" s="268">
        <f>SUMIF('Input 16.1_2018VOL-YTD'!$R:$R,$G28,'Input 16.1_2018VOL-YTD'!G:G)</f>
        <v>0</v>
      </c>
      <c r="S28" s="268">
        <f>SUMIF('Input 16.1_2018VOL-YTD'!$R:$R,$G28,'Input 16.1_2018VOL-YTD'!H:H)</f>
        <v>0</v>
      </c>
      <c r="T28" s="268">
        <f>SUMIF('Input 16.1_2018VOL-YTD'!$R:$R,$G28,'Input 16.1_2018VOL-YTD'!I:I)</f>
        <v>0</v>
      </c>
      <c r="U28" s="268">
        <f>SUMIF('Input 16.1_2018VOL-YTD'!$R:$R,$G28,'Input 16.1_2018VOL-YTD'!J:J)</f>
        <v>0</v>
      </c>
      <c r="V28" s="268">
        <f>SUMIF('Input 16.1_2018VOL-YTD'!$R:$R,$G28,'Input 16.1_2018VOL-YTD'!K:K)</f>
        <v>0</v>
      </c>
      <c r="W28" s="268">
        <f>SUMIF('Input 16.1_2018VOL-YTD'!$R:$R,$G28,'Input 16.1_2018VOL-YTD'!L:L)</f>
        <v>0</v>
      </c>
      <c r="X28" s="268">
        <f>SUMIF('Input 16.1_2018VOL-YTD'!$R:$R,$G28,'Input 16.1_2018VOL-YTD'!M:M)</f>
        <v>0</v>
      </c>
      <c r="Y28" s="268">
        <f>SUMIF('Input 16.1_2018VOL-YTD'!$R:$R,$G28,'Input 16.1_2018VOL-YTD'!N:N)</f>
        <v>0</v>
      </c>
      <c r="Z28" s="268">
        <f>SUMIF('Input 3.1_2019VOL-YTD'!$R:$R,$G28,'Input 3.1_2019VOL-YTD'!C:C)</f>
        <v>0</v>
      </c>
      <c r="AA28" s="268">
        <f>SUMIF('Input 3.1_2019VOL-YTD'!$R:$R,$G28,'Input 3.1_2019VOL-YTD'!D:D)</f>
        <v>0</v>
      </c>
      <c r="AB28" s="268">
        <f>SUMIF('Input 3.1_2019VOL-YTD'!$R:$R,$G28,'Input 3.1_2019VOL-YTD'!E:E)</f>
        <v>0</v>
      </c>
      <c r="AC28" s="268">
        <f>SUMIF('Input 3.1_2019VOL-YTD'!$R:$R,$G28,'Input 3.1_2019VOL-YTD'!F:F)</f>
        <v>0</v>
      </c>
      <c r="AD28" s="268">
        <f>SUMIF('Input 3.1_2019VOL-YTD'!$R:$R,$G28,'Input 3.1_2019VOL-YTD'!G:G)</f>
        <v>0</v>
      </c>
      <c r="AE28" s="268">
        <f>SUMIF('Input 3.1_2019VOL-YTD'!$R:$R,$G28,'Input 3.1_2019VOL-YTD'!H:H)</f>
        <v>0</v>
      </c>
      <c r="AF28" s="268">
        <f>SUMIF('Input 3.1_2019VOL-YTD'!$R:$R,$G28,'Input 3.1_2019VOL-YTD'!I:I)</f>
        <v>0</v>
      </c>
      <c r="AG28" s="268">
        <f>SUMIF('Input 3.1_2019VOL-YTD'!$R:$R,$G28,'Input 3.1_2019VOL-YTD'!J:J)</f>
        <v>0</v>
      </c>
      <c r="AH28" s="268">
        <f>SUMIF('Input 3.1_2019VOL-YTD'!$R:$R,$G28,'Input 3.1_2019VOL-YTD'!K:K)</f>
        <v>0</v>
      </c>
      <c r="AI28" s="268">
        <f>SUMIF('Input 3.1_2019VOL-YTD'!$R:$R,$G28,'Input 3.1_2019VOL-YTD'!L:L)</f>
        <v>0</v>
      </c>
      <c r="AJ28" s="268">
        <f>SUMIF('Input 3.1_2019VOL-YTD'!$R:$R,$G28,'Input 3.1_2019VOL-YTD'!M:M)</f>
        <v>0</v>
      </c>
      <c r="AK28" s="268">
        <f>SUMIF('Input 3.1_2019VOL-YTD'!$R:$R,$G28,'Input 3.1_2019VOL-YTD'!N:N)</f>
        <v>0</v>
      </c>
      <c r="AL28" s="268">
        <f>SUMIF('Input 4.1_2020VOL-YTD'!$R:$R,$G28,'Input 4.1_2020VOL-YTD'!C:C)</f>
        <v>0</v>
      </c>
      <c r="AM28" s="268">
        <f>SUMIF('Input 4.1_2020VOL-YTD'!$R:$R,$G28,'Input 4.1_2020VOL-YTD'!D:D)</f>
        <v>0</v>
      </c>
      <c r="AN28" s="268">
        <f>SUMIF('Input 4.1_2020VOL-YTD'!$R:$R,$G28,'Input 4.1_2020VOL-YTD'!E:E)</f>
        <v>0</v>
      </c>
      <c r="AO28" s="268">
        <f>SUMIF('Input 4.1_2020VOL-YTD'!$R:$R,$G28,'Input 4.1_2020VOL-YTD'!F:F)</f>
        <v>0</v>
      </c>
      <c r="AP28" s="268">
        <f>SUMIF('Input 4.1_2020VOL-YTD'!$R:$R,$G28,'Input 4.1_2020VOL-YTD'!G:G)</f>
        <v>0</v>
      </c>
      <c r="AQ28" s="268">
        <f>SUMIF('Input 4.1_2020VOL-YTD'!$R:$R,$G28,'Input 4.1_2020VOL-YTD'!H:H)</f>
        <v>0</v>
      </c>
      <c r="AR28" s="268">
        <f>SUMIF('Input 4.1_2020VOL-YTD'!$R:$R,$G28,'Input 4.1_2020VOL-YTD'!I:I)</f>
        <v>0</v>
      </c>
      <c r="AS28" s="268">
        <f>SUMIF('Input 4.1_2020VOL-YTD'!$R:$R,$G28,'Input 4.1_2020VOL-YTD'!J:J)</f>
        <v>0</v>
      </c>
      <c r="AT28" s="268">
        <f>SUMIF('Input 4.1_2020VOL-YTD'!$R:$R,$G28,'Input 4.1_2020VOL-YTD'!K:K)</f>
        <v>0</v>
      </c>
      <c r="AU28" s="268">
        <f>SUMIF('Input 4.1_2020VOL-YTD'!$R:$R,$G28,'Input 4.1_2020VOL-YTD'!L:L)</f>
        <v>0</v>
      </c>
      <c r="AV28" s="268">
        <f>SUMIF('Input 4.1_2020VOL-YTD'!$R:$R,$G28,'Input 4.1_2020VOL-YTD'!M:M)</f>
        <v>0</v>
      </c>
      <c r="AW28" s="268">
        <f>SUMIF('Input 4.1_2020VOL-YTD'!$R:$R,$G28,'Input 4.1_2020VOL-YTD'!N:N)</f>
        <v>0</v>
      </c>
      <c r="AX28" s="268">
        <f>SUMIF('Input 5.1_2021VOL-YTD'!$R:$R,$G28,'Input 5.1_2021VOL-YTD'!C:C)</f>
        <v>0</v>
      </c>
      <c r="AY28" s="268">
        <f>SUMIF('Input 5.1_2021VOL-YTD'!$R:$R,$G28,'Input 5.1_2021VOL-YTD'!D:D)</f>
        <v>0</v>
      </c>
      <c r="AZ28" s="268">
        <f>SUMIF('Input 5.1_2021VOL-YTD'!$R:$R,$G28,'Input 5.1_2021VOL-YTD'!E:E)</f>
        <v>0</v>
      </c>
      <c r="BA28" s="268">
        <f>SUMIF('Input 5.1_2021VOL-YTD'!$R:$R,$G28,'Input 5.1_2021VOL-YTD'!F:F)</f>
        <v>0</v>
      </c>
      <c r="BB28" s="268">
        <f>SUMIF('Input 5.1_2021VOL-YTD'!$R:$R,$G28,'Input 5.1_2021VOL-YTD'!G:G)</f>
        <v>0</v>
      </c>
      <c r="BC28" s="268">
        <f>SUMIF('Input 5.1_2021VOL-YTD'!$R:$R,$G28,'Input 5.1_2021VOL-YTD'!H:H)</f>
        <v>0</v>
      </c>
      <c r="BD28" s="268">
        <f>SUMIF('Input 5.1_2021VOL-YTD'!$R:$R,$G28,'Input 5.1_2021VOL-YTD'!I:I)</f>
        <v>0</v>
      </c>
      <c r="BE28" s="268">
        <f>SUMIF('Input 5.1_2021VOL-YTD'!$R:$R,$G28,'Input 5.1_2021VOL-YTD'!J:J)</f>
        <v>0</v>
      </c>
      <c r="BF28" s="268">
        <f>SUMIF('Input 5.1_2021VOL-YTD'!$R:$R,$G28,'Input 5.1_2021VOL-YTD'!K:K)</f>
        <v>0</v>
      </c>
      <c r="BG28" s="268">
        <f>SUMIF('Input 5.1_2021VOL-YTD'!$R:$R,$G28,'Input 5.1_2021VOL-YTD'!L:L)</f>
        <v>0</v>
      </c>
      <c r="BH28" s="268">
        <f>SUMIF('Input 5.1_2021VOL-YTD'!$R:$R,$G28,'Input 5.1_2021VOL-YTD'!M:M)</f>
        <v>0</v>
      </c>
      <c r="BI28" s="268">
        <f>SUMIF('Input 5.1_2021VOL-YTD'!$R:$R,$G28,'Input 5.1_2021VOL-YTD'!N:N)</f>
        <v>0</v>
      </c>
      <c r="BJ28" s="483">
        <f>IFERROR(IF($J28="Historical Average",INDEX('Monthly UPC'!$CM$2:$DJ$65,MATCH($D28,'Monthly UPC'!$D$2:$D$65,0),MATCH(BJ$1,'Monthly UPC'!$CM$1:$DJ$1))*(INDEX('Monthly CUST'!$N$2:$CG$65,MATCH($D28,'Monthly CUST'!$D$2:$D$65,0),MATCH(BJ$1,'Monthly CUST'!$N$1:$CG$1,0))),IF($J28="UPC Growth Rate",((AX28/INDEX('Monthly CUST'!$N$2:$CG$65,MATCH($D28,'Monthly CUST'!$D$2:$D$65,0),MATCH(AX$1,'Monthly CUST'!$N$1:$CG$1,0)))*(1+$L28)*INDEX('Monthly CUST'!$N$2:$CG$65,MATCH($D28,'Monthly CUST'!$D$2:$D$65,0),MATCH(BJ$1,'Monthly CUST'!$N$1:$CG$1,0))),IF($J28="Modeled UPC",INDEX('Monthly CUST'!$N$2:$CG$65,MATCH($D28,'Monthly CUST'!$D$2:$D$65,0),MATCH(BJ$1,'Monthly CUST'!$N$1:$CG$1,0))/12*$M28,IF($J28="Base Period",AX28,IF($J28="Adjusted",SUMIF('Input 15_Fcst Inputs'!$A:$A,$D28,'Input 15_Fcst Inputs'!$G:$G)/12))))),0)</f>
        <v>0</v>
      </c>
      <c r="BK28" s="483">
        <f>IFERROR(IF($J28="Historical Average",INDEX('Monthly UPC'!$CM$2:$DJ$65,MATCH($D28,'Monthly UPC'!$D$2:$D$65,0),MATCH(BK$1,'Monthly UPC'!$CM$1:$DJ$1))*(INDEX('Monthly CUST'!$N$2:$CG$65,MATCH($D28,'Monthly CUST'!$D$2:$D$65,0),MATCH(BK$1,'Monthly CUST'!$N$1:$CG$1,0))),IF($J28="UPC Growth Rate",((AY28/INDEX('Monthly CUST'!$N$2:$CG$65,MATCH($D28,'Monthly CUST'!$D$2:$D$65,0),MATCH(AY$1,'Monthly CUST'!$N$1:$CG$1,0)))*(1+$L28)*INDEX('Monthly CUST'!$N$2:$CG$65,MATCH($D28,'Monthly CUST'!$D$2:$D$65,0),MATCH(BK$1,'Monthly CUST'!$N$1:$CG$1,0))),IF($J28="Modeled UPC",INDEX('Monthly CUST'!$N$2:$CG$65,MATCH($D28,'Monthly CUST'!$D$2:$D$65,0),MATCH(BK$1,'Monthly CUST'!$N$1:$CG$1,0))/12*$M28,IF($J28="Base Period",AY28,IF($J28="Adjusted",SUMIF('Input 15_Fcst Inputs'!$A:$A,$D28,'Input 15_Fcst Inputs'!$G:$G)/12))))),0)</f>
        <v>0</v>
      </c>
      <c r="BL28" s="483">
        <f>IFERROR(IF($J28="Historical Average",INDEX('Monthly UPC'!$CM$2:$DJ$65,MATCH($D28,'Monthly UPC'!$D$2:$D$65,0),MATCH(BL$1,'Monthly UPC'!$CM$1:$DJ$1))*(INDEX('Monthly CUST'!$N$2:$CG$65,MATCH($D28,'Monthly CUST'!$D$2:$D$65,0),MATCH(BL$1,'Monthly CUST'!$N$1:$CG$1,0))),IF($J28="UPC Growth Rate",((AZ28/INDEX('Monthly CUST'!$N$2:$CG$65,MATCH($D28,'Monthly CUST'!$D$2:$D$65,0),MATCH(AZ$1,'Monthly CUST'!$N$1:$CG$1,0)))*(1+$L28)*INDEX('Monthly CUST'!$N$2:$CG$65,MATCH($D28,'Monthly CUST'!$D$2:$D$65,0),MATCH(BL$1,'Monthly CUST'!$N$1:$CG$1,0))),IF($J28="Modeled UPC",INDEX('Monthly CUST'!$N$2:$CG$65,MATCH($D28,'Monthly CUST'!$D$2:$D$65,0),MATCH(BL$1,'Monthly CUST'!$N$1:$CG$1,0))/12*$M28,IF($J28="Base Period",AZ28,IF($J28="Adjusted",SUMIF('Input 15_Fcst Inputs'!$A:$A,$D28,'Input 15_Fcst Inputs'!$G:$G)/12))))),0)</f>
        <v>0</v>
      </c>
      <c r="BM28" s="483">
        <f>IFERROR(IF($J28="Historical Average",INDEX('Monthly UPC'!$CM$2:$DJ$65,MATCH($D28,'Monthly UPC'!$D$2:$D$65,0),MATCH(BM$1,'Monthly UPC'!$CM$1:$DJ$1))*(INDEX('Monthly CUST'!$N$2:$CG$65,MATCH($D28,'Monthly CUST'!$D$2:$D$65,0),MATCH(BM$1,'Monthly CUST'!$N$1:$CG$1,0))),IF($J28="UPC Growth Rate",((BA28/INDEX('Monthly CUST'!$N$2:$CG$65,MATCH($D28,'Monthly CUST'!$D$2:$D$65,0),MATCH(BA$1,'Monthly CUST'!$N$1:$CG$1,0)))*(1+$L28)*INDEX('Monthly CUST'!$N$2:$CG$65,MATCH($D28,'Monthly CUST'!$D$2:$D$65,0),MATCH(BM$1,'Monthly CUST'!$N$1:$CG$1,0))),IF($J28="Modeled UPC",INDEX('Monthly CUST'!$N$2:$CG$65,MATCH($D28,'Monthly CUST'!$D$2:$D$65,0),MATCH(BM$1,'Monthly CUST'!$N$1:$CG$1,0))/12*$M28,IF($J28="Base Period",BA28,IF($J28="Adjusted",SUMIF('Input 15_Fcst Inputs'!$A:$A,$D28,'Input 15_Fcst Inputs'!$G:$G)/12))))),0)</f>
        <v>0</v>
      </c>
      <c r="BN28" s="483">
        <f>IFERROR(IF($J28="Historical Average",INDEX('Monthly UPC'!$CM$2:$DJ$65,MATCH($D28,'Monthly UPC'!$D$2:$D$65,0),MATCH(BN$1,'Monthly UPC'!$CM$1:$DJ$1))*(INDEX('Monthly CUST'!$N$2:$CG$65,MATCH($D28,'Monthly CUST'!$D$2:$D$65,0),MATCH(BN$1,'Monthly CUST'!$N$1:$CG$1,0))),IF($J28="UPC Growth Rate",((BB28/INDEX('Monthly CUST'!$N$2:$CG$65,MATCH($D28,'Monthly CUST'!$D$2:$D$65,0),MATCH(BB$1,'Monthly CUST'!$N$1:$CG$1,0)))*(1+$L28)*INDEX('Monthly CUST'!$N$2:$CG$65,MATCH($D28,'Monthly CUST'!$D$2:$D$65,0),MATCH(BN$1,'Monthly CUST'!$N$1:$CG$1,0))),IF($J28="Modeled UPC",INDEX('Monthly CUST'!$N$2:$CG$65,MATCH($D28,'Monthly CUST'!$D$2:$D$65,0),MATCH(BN$1,'Monthly CUST'!$N$1:$CG$1,0))/12*$M28,IF($J28="Base Period",BB28,IF($J28="Adjusted",SUMIF('Input 15_Fcst Inputs'!$A:$A,$D28,'Input 15_Fcst Inputs'!$G:$G)/12))))),0)</f>
        <v>0</v>
      </c>
      <c r="BO28" s="483">
        <f>IFERROR(IF($J28="Historical Average",INDEX('Monthly UPC'!$CM$2:$DJ$65,MATCH($D28,'Monthly UPC'!$D$2:$D$65,0),MATCH(BO$1,'Monthly UPC'!$CM$1:$DJ$1))*(INDEX('Monthly CUST'!$N$2:$CG$65,MATCH($D28,'Monthly CUST'!$D$2:$D$65,0),MATCH(BO$1,'Monthly CUST'!$N$1:$CG$1,0))),IF($J28="UPC Growth Rate",((BC28/INDEX('Monthly CUST'!$N$2:$CG$65,MATCH($D28,'Monthly CUST'!$D$2:$D$65,0),MATCH(BC$1,'Monthly CUST'!$N$1:$CG$1,0)))*(1+$L28)*INDEX('Monthly CUST'!$N$2:$CG$65,MATCH($D28,'Monthly CUST'!$D$2:$D$65,0),MATCH(BO$1,'Monthly CUST'!$N$1:$CG$1,0))),IF($J28="Modeled UPC",INDEX('Monthly CUST'!$N$2:$CG$65,MATCH($D28,'Monthly CUST'!$D$2:$D$65,0),MATCH(BO$1,'Monthly CUST'!$N$1:$CG$1,0))/12*$M28,IF($J28="Base Period",BC28,IF($J28="Adjusted",SUMIF('Input 15_Fcst Inputs'!$A:$A,$D28,'Input 15_Fcst Inputs'!$G:$G)/12))))),0)</f>
        <v>0</v>
      </c>
      <c r="BP28" s="483">
        <f>IFERROR(IF($J28="Historical Average",INDEX('Monthly UPC'!$CM$2:$DJ$65,MATCH($D28,'Monthly UPC'!$D$2:$D$65,0),MATCH(BP$1,'Monthly UPC'!$CM$1:$DJ$1))*(INDEX('Monthly CUST'!$N$2:$CG$65,MATCH($D28,'Monthly CUST'!$D$2:$D$65,0),MATCH(BP$1,'Monthly CUST'!$N$1:$CG$1,0))),IF($J28="UPC Growth Rate",((BD28/INDEX('Monthly CUST'!$N$2:$CG$65,MATCH($D28,'Monthly CUST'!$D$2:$D$65,0),MATCH(BD$1,'Monthly CUST'!$N$1:$CG$1,0)))*(1+$L28)*INDEX('Monthly CUST'!$N$2:$CG$65,MATCH($D28,'Monthly CUST'!$D$2:$D$65,0),MATCH(BP$1,'Monthly CUST'!$N$1:$CG$1,0))),IF($J28="Modeled UPC",INDEX('Monthly CUST'!$N$2:$CG$65,MATCH($D28,'Monthly CUST'!$D$2:$D$65,0),MATCH(BP$1,'Monthly CUST'!$N$1:$CG$1,0))/12*$M28,IF($J28="Base Period",BD28,IF($J28="Adjusted",SUMIF('Input 15_Fcst Inputs'!$A:$A,$D28,'Input 15_Fcst Inputs'!$G:$G)/12))))),0)</f>
        <v>0</v>
      </c>
      <c r="BQ28" s="483">
        <f>IFERROR(IF($J28="Historical Average",INDEX('Monthly UPC'!$CM$2:$DJ$65,MATCH($D28,'Monthly UPC'!$D$2:$D$65,0),MATCH(BQ$1,'Monthly UPC'!$CM$1:$DJ$1))*(INDEX('Monthly CUST'!$N$2:$CG$65,MATCH($D28,'Monthly CUST'!$D$2:$D$65,0),MATCH(BQ$1,'Monthly CUST'!$N$1:$CG$1,0))),IF($J28="UPC Growth Rate",((BE28/INDEX('Monthly CUST'!$N$2:$CG$65,MATCH($D28,'Monthly CUST'!$D$2:$D$65,0),MATCH(BE$1,'Monthly CUST'!$N$1:$CG$1,0)))*(1+$L28)*INDEX('Monthly CUST'!$N$2:$CG$65,MATCH($D28,'Monthly CUST'!$D$2:$D$65,0),MATCH(BQ$1,'Monthly CUST'!$N$1:$CG$1,0))),IF($J28="Modeled UPC",INDEX('Monthly CUST'!$N$2:$CG$65,MATCH($D28,'Monthly CUST'!$D$2:$D$65,0),MATCH(BQ$1,'Monthly CUST'!$N$1:$CG$1,0))/12*$M28,IF($J28="Base Period",BE28,IF($J28="Adjusted",SUMIF('Input 15_Fcst Inputs'!$A:$A,$D28,'Input 15_Fcst Inputs'!$G:$G)/12))))),0)</f>
        <v>0</v>
      </c>
      <c r="BR28" s="483">
        <f>IFERROR(IF($J28="Historical Average",INDEX('Monthly UPC'!$CM$2:$DJ$65,MATCH($D28,'Monthly UPC'!$D$2:$D$65,0),MATCH(BR$1,'Monthly UPC'!$CM$1:$DJ$1))*(INDEX('Monthly CUST'!$N$2:$CG$65,MATCH($D28,'Monthly CUST'!$D$2:$D$65,0),MATCH(BR$1,'Monthly CUST'!$N$1:$CG$1,0))),IF($J28="UPC Growth Rate",((BF28/INDEX('Monthly CUST'!$N$2:$CG$65,MATCH($D28,'Monthly CUST'!$D$2:$D$65,0),MATCH(BF$1,'Monthly CUST'!$N$1:$CG$1,0)))*(1+$L28)*INDEX('Monthly CUST'!$N$2:$CG$65,MATCH($D28,'Monthly CUST'!$D$2:$D$65,0),MATCH(BR$1,'Monthly CUST'!$N$1:$CG$1,0))),IF($J28="Modeled UPC",INDEX('Monthly CUST'!$N$2:$CG$65,MATCH($D28,'Monthly CUST'!$D$2:$D$65,0),MATCH(BR$1,'Monthly CUST'!$N$1:$CG$1,0))/12*$M28,IF($J28="Base Period",BF28,IF($J28="Adjusted",SUMIF('Input 15_Fcst Inputs'!$A:$A,$D28,'Input 15_Fcst Inputs'!$G:$G)/12))))),0)</f>
        <v>0</v>
      </c>
      <c r="BS28" s="483">
        <f>IFERROR(IF($J28="Historical Average",INDEX('Monthly UPC'!$CM$2:$DJ$65,MATCH($D28,'Monthly UPC'!$D$2:$D$65,0),MATCH(BS$1,'Monthly UPC'!$CM$1:$DJ$1))*(INDEX('Monthly CUST'!$N$2:$CG$65,MATCH($D28,'Monthly CUST'!$D$2:$D$65,0),MATCH(BS$1,'Monthly CUST'!$N$1:$CG$1,0))),IF($J28="UPC Growth Rate",((BG28/INDEX('Monthly CUST'!$N$2:$CG$65,MATCH($D28,'Monthly CUST'!$D$2:$D$65,0),MATCH(BG$1,'Monthly CUST'!$N$1:$CG$1,0)))*(1+$L28)*INDEX('Monthly CUST'!$N$2:$CG$65,MATCH($D28,'Monthly CUST'!$D$2:$D$65,0),MATCH(BS$1,'Monthly CUST'!$N$1:$CG$1,0))),IF($J28="Modeled UPC",INDEX('Monthly CUST'!$N$2:$CG$65,MATCH($D28,'Monthly CUST'!$D$2:$D$65,0),MATCH(BS$1,'Monthly CUST'!$N$1:$CG$1,0))/12*$M28,IF($J28="Base Period",BG28,IF($J28="Adjusted",SUMIF('Input 15_Fcst Inputs'!$A:$A,$D28,'Input 15_Fcst Inputs'!$G:$G)/12))))),0)</f>
        <v>0</v>
      </c>
      <c r="BT28" s="483">
        <f>IFERROR(IF($J28="Historical Average",INDEX('Monthly UPC'!$CM$2:$DJ$65,MATCH($D28,'Monthly UPC'!$D$2:$D$65,0),MATCH(BT$1,'Monthly UPC'!$CM$1:$DJ$1))*(INDEX('Monthly CUST'!$N$2:$CG$65,MATCH($D28,'Monthly CUST'!$D$2:$D$65,0),MATCH(BT$1,'Monthly CUST'!$N$1:$CG$1,0))),IF($J28="UPC Growth Rate",((BH28/INDEX('Monthly CUST'!$N$2:$CG$65,MATCH($D28,'Monthly CUST'!$D$2:$D$65,0),MATCH(BH$1,'Monthly CUST'!$N$1:$CG$1,0)))*(1+$L28)*INDEX('Monthly CUST'!$N$2:$CG$65,MATCH($D28,'Monthly CUST'!$D$2:$D$65,0),MATCH(BT$1,'Monthly CUST'!$N$1:$CG$1,0))),IF($J28="Modeled UPC",INDEX('Monthly CUST'!$N$2:$CG$65,MATCH($D28,'Monthly CUST'!$D$2:$D$65,0),MATCH(BT$1,'Monthly CUST'!$N$1:$CG$1,0))/12*$M28,IF($J28="Base Period",BH28,IF($J28="Adjusted",SUMIF('Input 15_Fcst Inputs'!$A:$A,$D28,'Input 15_Fcst Inputs'!$G:$G)/12))))),0)</f>
        <v>0</v>
      </c>
      <c r="BU28" s="483">
        <f>IFERROR(IF($J28="Historical Average",INDEX('Monthly UPC'!$CM$2:$DJ$65,MATCH($D28,'Monthly UPC'!$D$2:$D$65,0),MATCH(BU$1,'Monthly UPC'!$CM$1:$DJ$1))*(INDEX('Monthly CUST'!$N$2:$CG$65,MATCH($D28,'Monthly CUST'!$D$2:$D$65,0),MATCH(BU$1,'Monthly CUST'!$N$1:$CG$1,0))),IF($J28="UPC Growth Rate",((BI28/INDEX('Monthly CUST'!$N$2:$CG$65,MATCH($D28,'Monthly CUST'!$D$2:$D$65,0),MATCH(BI$1,'Monthly CUST'!$N$1:$CG$1,0)))*(1+$L28)*INDEX('Monthly CUST'!$N$2:$CG$65,MATCH($D28,'Monthly CUST'!$D$2:$D$65,0),MATCH(BU$1,'Monthly CUST'!$N$1:$CG$1,0))),IF($J28="Modeled UPC",INDEX('Monthly CUST'!$N$2:$CG$65,MATCH($D28,'Monthly CUST'!$D$2:$D$65,0),MATCH(BU$1,'Monthly CUST'!$N$1:$CG$1,0))/12*$M28,IF($J28="Base Period",BI28,IF($J28="Adjusted",SUMIF('Input 15_Fcst Inputs'!$A:$A,$D28,'Input 15_Fcst Inputs'!$G:$G)/12))))),0)</f>
        <v>0</v>
      </c>
      <c r="BV28" s="483">
        <f>IFERROR(IF($J28="Historical Average",INDEX('Monthly UPC'!$CM$2:$DJ$65,MATCH($D28,'Monthly UPC'!$D$2:$D$65,0),MATCH(BV$1,'Monthly UPC'!$CM$1:$DJ$1))*(INDEX('Monthly CUST'!$N$2:$CG$65,MATCH($D28,'Monthly CUST'!$D$2:$D$65,0),MATCH(BV$1,'Monthly CUST'!$N$1:$CG$1,0))),IF($J28="UPC Growth Rate",((BJ28/INDEX('Monthly CUST'!$N$2:$CG$65,MATCH($D28,'Monthly CUST'!$D$2:$D$65,0),MATCH(BJ$1,'Monthly CUST'!$N$1:$CG$1,0)))*(1+$L28)*INDEX('Monthly CUST'!$N$2:$CG$65,MATCH($D28,'Monthly CUST'!$D$2:$D$65,0),MATCH(BV$1,'Monthly CUST'!$N$1:$CG$1,0))),IF($J28="Modeled UPC",INDEX('Monthly CUST'!$N$2:$CG$65,MATCH($D28,'Monthly CUST'!$D$2:$D$65,0),MATCH(BV$1,'Monthly CUST'!$N$1:$CG$1,0))/12*$M28,IF($J28="Base Period",BJ28,IF($J28="Adjusted",SUMIF('Input 15_Fcst Inputs'!$A:$A,$D28,'Input 15_Fcst Inputs'!$G:$G)/12))))),0)</f>
        <v>0</v>
      </c>
      <c r="BW28" s="483">
        <f>IFERROR(IF($J28="Historical Average",INDEX('Monthly UPC'!$CM$2:$DJ$65,MATCH($D28,'Monthly UPC'!$D$2:$D$65,0),MATCH(BW$1,'Monthly UPC'!$CM$1:$DJ$1))*(INDEX('Monthly CUST'!$N$2:$CG$65,MATCH($D28,'Monthly CUST'!$D$2:$D$65,0),MATCH(BW$1,'Monthly CUST'!$N$1:$CG$1,0))),IF($J28="UPC Growth Rate",((BK28/INDEX('Monthly CUST'!$N$2:$CG$65,MATCH($D28,'Monthly CUST'!$D$2:$D$65,0),MATCH(BK$1,'Monthly CUST'!$N$1:$CG$1,0)))*(1+$L28)*INDEX('Monthly CUST'!$N$2:$CG$65,MATCH($D28,'Monthly CUST'!$D$2:$D$65,0),MATCH(BW$1,'Monthly CUST'!$N$1:$CG$1,0))),IF($J28="Modeled UPC",INDEX('Monthly CUST'!$N$2:$CG$65,MATCH($D28,'Monthly CUST'!$D$2:$D$65,0),MATCH(BW$1,'Monthly CUST'!$N$1:$CG$1,0))/12*$M28,IF($J28="Base Period",BK28,IF($J28="Adjusted",SUMIF('Input 15_Fcst Inputs'!$A:$A,$D28,'Input 15_Fcst Inputs'!$G:$G)/12))))),0)</f>
        <v>0</v>
      </c>
      <c r="BX28" s="483">
        <f>IFERROR(IF($J28="Historical Average",INDEX('Monthly UPC'!$CM$2:$DJ$65,MATCH($D28,'Monthly UPC'!$D$2:$D$65,0),MATCH(BX$1,'Monthly UPC'!$CM$1:$DJ$1))*(INDEX('Monthly CUST'!$N$2:$CG$65,MATCH($D28,'Monthly CUST'!$D$2:$D$65,0),MATCH(BX$1,'Monthly CUST'!$N$1:$CG$1,0))),IF($J28="UPC Growth Rate",((BL28/INDEX('Monthly CUST'!$N$2:$CG$65,MATCH($D28,'Monthly CUST'!$D$2:$D$65,0),MATCH(BL$1,'Monthly CUST'!$N$1:$CG$1,0)))*(1+$L28)*INDEX('Monthly CUST'!$N$2:$CG$65,MATCH($D28,'Monthly CUST'!$D$2:$D$65,0),MATCH(BX$1,'Monthly CUST'!$N$1:$CG$1,0))),IF($J28="Modeled UPC",INDEX('Monthly CUST'!$N$2:$CG$65,MATCH($D28,'Monthly CUST'!$D$2:$D$65,0),MATCH(BX$1,'Monthly CUST'!$N$1:$CG$1,0))/12*$M28,IF($J28="Base Period",BL28,IF($J28="Adjusted",SUMIF('Input 15_Fcst Inputs'!$A:$A,$D28,'Input 15_Fcst Inputs'!$G:$G)/12))))),0)</f>
        <v>0</v>
      </c>
      <c r="BY28" s="483">
        <f>IFERROR(IF($J28="Historical Average",INDEX('Monthly UPC'!$CM$2:$DJ$65,MATCH($D28,'Monthly UPC'!$D$2:$D$65,0),MATCH(BY$1,'Monthly UPC'!$CM$1:$DJ$1))*(INDEX('Monthly CUST'!$N$2:$CG$65,MATCH($D28,'Monthly CUST'!$D$2:$D$65,0),MATCH(BY$1,'Monthly CUST'!$N$1:$CG$1,0))),IF($J28="UPC Growth Rate",((BM28/INDEX('Monthly CUST'!$N$2:$CG$65,MATCH($D28,'Monthly CUST'!$D$2:$D$65,0),MATCH(BM$1,'Monthly CUST'!$N$1:$CG$1,0)))*(1+$L28)*INDEX('Monthly CUST'!$N$2:$CG$65,MATCH($D28,'Monthly CUST'!$D$2:$D$65,0),MATCH(BY$1,'Monthly CUST'!$N$1:$CG$1,0))),IF($J28="Modeled UPC",INDEX('Monthly CUST'!$N$2:$CG$65,MATCH($D28,'Monthly CUST'!$D$2:$D$65,0),MATCH(BY$1,'Monthly CUST'!$N$1:$CG$1,0))/12*$M28,IF($J28="Base Period",BM28,IF($J28="Adjusted",SUMIF('Input 15_Fcst Inputs'!$A:$A,$D28,'Input 15_Fcst Inputs'!$G:$G)/12))))),0)</f>
        <v>0</v>
      </c>
      <c r="BZ28" s="483">
        <f>IFERROR(IF($J28="Historical Average",INDEX('Monthly UPC'!$CM$2:$DJ$65,MATCH($D28,'Monthly UPC'!$D$2:$D$65,0),MATCH(BZ$1,'Monthly UPC'!$CM$1:$DJ$1))*(INDEX('Monthly CUST'!$N$2:$CG$65,MATCH($D28,'Monthly CUST'!$D$2:$D$65,0),MATCH(BZ$1,'Monthly CUST'!$N$1:$CG$1,0))),IF($J28="UPC Growth Rate",((BN28/INDEX('Monthly CUST'!$N$2:$CG$65,MATCH($D28,'Monthly CUST'!$D$2:$D$65,0),MATCH(BN$1,'Monthly CUST'!$N$1:$CG$1,0)))*(1+$L28)*INDEX('Monthly CUST'!$N$2:$CG$65,MATCH($D28,'Monthly CUST'!$D$2:$D$65,0),MATCH(BZ$1,'Monthly CUST'!$N$1:$CG$1,0))),IF($J28="Modeled UPC",INDEX('Monthly CUST'!$N$2:$CG$65,MATCH($D28,'Monthly CUST'!$D$2:$D$65,0),MATCH(BZ$1,'Monthly CUST'!$N$1:$CG$1,0))/12*$M28,IF($J28="Base Period",BN28,IF($J28="Adjusted",SUMIF('Input 15_Fcst Inputs'!$A:$A,$D28,'Input 15_Fcst Inputs'!$G:$G)/12))))),0)</f>
        <v>0</v>
      </c>
      <c r="CA28" s="483">
        <f>IFERROR(IF($J28="Historical Average",INDEX('Monthly UPC'!$CM$2:$DJ$65,MATCH($D28,'Monthly UPC'!$D$2:$D$65,0),MATCH(CA$1,'Monthly UPC'!$CM$1:$DJ$1))*(INDEX('Monthly CUST'!$N$2:$CG$65,MATCH($D28,'Monthly CUST'!$D$2:$D$65,0),MATCH(CA$1,'Monthly CUST'!$N$1:$CG$1,0))),IF($J28="UPC Growth Rate",((BO28/INDEX('Monthly CUST'!$N$2:$CG$65,MATCH($D28,'Monthly CUST'!$D$2:$D$65,0),MATCH(BO$1,'Monthly CUST'!$N$1:$CG$1,0)))*(1+$L28)*INDEX('Monthly CUST'!$N$2:$CG$65,MATCH($D28,'Monthly CUST'!$D$2:$D$65,0),MATCH(CA$1,'Monthly CUST'!$N$1:$CG$1,0))),IF($J28="Modeled UPC",INDEX('Monthly CUST'!$N$2:$CG$65,MATCH($D28,'Monthly CUST'!$D$2:$D$65,0),MATCH(CA$1,'Monthly CUST'!$N$1:$CG$1,0))/12*$M28,IF($J28="Base Period",BO28,IF($J28="Adjusted",SUMIF('Input 15_Fcst Inputs'!$A:$A,$D28,'Input 15_Fcst Inputs'!$G:$G)/12))))),0)</f>
        <v>0</v>
      </c>
      <c r="CB28" s="483">
        <f>IFERROR(IF($J28="Historical Average",INDEX('Monthly UPC'!$CM$2:$DJ$65,MATCH($D28,'Monthly UPC'!$D$2:$D$65,0),MATCH(CB$1,'Monthly UPC'!$CM$1:$DJ$1))*(INDEX('Monthly CUST'!$N$2:$CG$65,MATCH($D28,'Monthly CUST'!$D$2:$D$65,0),MATCH(CB$1,'Monthly CUST'!$N$1:$CG$1,0))),IF($J28="UPC Growth Rate",((BP28/INDEX('Monthly CUST'!$N$2:$CG$65,MATCH($D28,'Monthly CUST'!$D$2:$D$65,0),MATCH(BP$1,'Monthly CUST'!$N$1:$CG$1,0)))*(1+$L28)*INDEX('Monthly CUST'!$N$2:$CG$65,MATCH($D28,'Monthly CUST'!$D$2:$D$65,0),MATCH(CB$1,'Monthly CUST'!$N$1:$CG$1,0))),IF($J28="Modeled UPC",INDEX('Monthly CUST'!$N$2:$CG$65,MATCH($D28,'Monthly CUST'!$D$2:$D$65,0),MATCH(CB$1,'Monthly CUST'!$N$1:$CG$1,0))/12*$M28,IF($J28="Base Period",BP28,IF($J28="Adjusted",SUMIF('Input 15_Fcst Inputs'!$A:$A,$D28,'Input 15_Fcst Inputs'!$G:$G)/12))))),0)</f>
        <v>0</v>
      </c>
      <c r="CC28" s="483">
        <f>IFERROR(IF($J28="Historical Average",INDEX('Monthly UPC'!$CM$2:$DJ$65,MATCH($D28,'Monthly UPC'!$D$2:$D$65,0),MATCH(CC$1,'Monthly UPC'!$CM$1:$DJ$1))*(INDEX('Monthly CUST'!$N$2:$CG$65,MATCH($D28,'Monthly CUST'!$D$2:$D$65,0),MATCH(CC$1,'Monthly CUST'!$N$1:$CG$1,0))),IF($J28="UPC Growth Rate",((BQ28/INDEX('Monthly CUST'!$N$2:$CG$65,MATCH($D28,'Monthly CUST'!$D$2:$D$65,0),MATCH(BQ$1,'Monthly CUST'!$N$1:$CG$1,0)))*(1+$L28)*INDEX('Monthly CUST'!$N$2:$CG$65,MATCH($D28,'Monthly CUST'!$D$2:$D$65,0),MATCH(CC$1,'Monthly CUST'!$N$1:$CG$1,0))),IF($J28="Modeled UPC",INDEX('Monthly CUST'!$N$2:$CG$65,MATCH($D28,'Monthly CUST'!$D$2:$D$65,0),MATCH(CC$1,'Monthly CUST'!$N$1:$CG$1,0))/12*$M28,IF($J28="Base Period",BQ28,IF($J28="Adjusted",SUMIF('Input 15_Fcst Inputs'!$A:$A,$D28,'Input 15_Fcst Inputs'!$G:$G)/12))))),0)</f>
        <v>0</v>
      </c>
      <c r="CD28" s="483">
        <f>IFERROR(IF($J28="Historical Average",INDEX('Monthly UPC'!$CM$2:$DJ$65,MATCH($D28,'Monthly UPC'!$D$2:$D$65,0),MATCH(CD$1,'Monthly UPC'!$CM$1:$DJ$1))*(INDEX('Monthly CUST'!$N$2:$CG$65,MATCH($D28,'Monthly CUST'!$D$2:$D$65,0),MATCH(CD$1,'Monthly CUST'!$N$1:$CG$1,0))),IF($J28="UPC Growth Rate",((BR28/INDEX('Monthly CUST'!$N$2:$CG$65,MATCH($D28,'Monthly CUST'!$D$2:$D$65,0),MATCH(BR$1,'Monthly CUST'!$N$1:$CG$1,0)))*(1+$L28)*INDEX('Monthly CUST'!$N$2:$CG$65,MATCH($D28,'Monthly CUST'!$D$2:$D$65,0),MATCH(CD$1,'Monthly CUST'!$N$1:$CG$1,0))),IF($J28="Modeled UPC",INDEX('Monthly CUST'!$N$2:$CG$65,MATCH($D28,'Monthly CUST'!$D$2:$D$65,0),MATCH(CD$1,'Monthly CUST'!$N$1:$CG$1,0))/12*$M28,IF($J28="Base Period",BR28,IF($J28="Adjusted",SUMIF('Input 15_Fcst Inputs'!$A:$A,$D28,'Input 15_Fcst Inputs'!$G:$G)/12))))),0)</f>
        <v>0</v>
      </c>
      <c r="CE28" s="483">
        <f>IFERROR(IF($J28="Historical Average",INDEX('Monthly UPC'!$CM$2:$DJ$65,MATCH($D28,'Monthly UPC'!$D$2:$D$65,0),MATCH(CE$1,'Monthly UPC'!$CM$1:$DJ$1))*(INDEX('Monthly CUST'!$N$2:$CG$65,MATCH($D28,'Monthly CUST'!$D$2:$D$65,0),MATCH(CE$1,'Monthly CUST'!$N$1:$CG$1,0))),IF($J28="UPC Growth Rate",((BS28/INDEX('Monthly CUST'!$N$2:$CG$65,MATCH($D28,'Monthly CUST'!$D$2:$D$65,0),MATCH(BS$1,'Monthly CUST'!$N$1:$CG$1,0)))*(1+$L28)*INDEX('Monthly CUST'!$N$2:$CG$65,MATCH($D28,'Monthly CUST'!$D$2:$D$65,0),MATCH(CE$1,'Monthly CUST'!$N$1:$CG$1,0))),IF($J28="Modeled UPC",INDEX('Monthly CUST'!$N$2:$CG$65,MATCH($D28,'Monthly CUST'!$D$2:$D$65,0),MATCH(CE$1,'Monthly CUST'!$N$1:$CG$1,0))/12*$M28,IF($J28="Base Period",BS28,IF($J28="Adjusted",SUMIF('Input 15_Fcst Inputs'!$A:$A,$D28,'Input 15_Fcst Inputs'!$G:$G)/12))))),0)</f>
        <v>0</v>
      </c>
      <c r="CF28" s="483">
        <f>IFERROR(IF($J28="Historical Average",INDEX('Monthly UPC'!$CM$2:$DJ$65,MATCH($D28,'Monthly UPC'!$D$2:$D$65,0),MATCH(CF$1,'Monthly UPC'!$CM$1:$DJ$1))*(INDEX('Monthly CUST'!$N$2:$CG$65,MATCH($D28,'Monthly CUST'!$D$2:$D$65,0),MATCH(CF$1,'Monthly CUST'!$N$1:$CG$1,0))),IF($J28="UPC Growth Rate",((BT28/INDEX('Monthly CUST'!$N$2:$CG$65,MATCH($D28,'Monthly CUST'!$D$2:$D$65,0),MATCH(BT$1,'Monthly CUST'!$N$1:$CG$1,0)))*(1+$L28)*INDEX('Monthly CUST'!$N$2:$CG$65,MATCH($D28,'Monthly CUST'!$D$2:$D$65,0),MATCH(CF$1,'Monthly CUST'!$N$1:$CG$1,0))),IF($J28="Modeled UPC",INDEX('Monthly CUST'!$N$2:$CG$65,MATCH($D28,'Monthly CUST'!$D$2:$D$65,0),MATCH(CF$1,'Monthly CUST'!$N$1:$CG$1,0))/12*$M28,IF($J28="Base Period",BT28,IF($J28="Adjusted",SUMIF('Input 15_Fcst Inputs'!$A:$A,$D28,'Input 15_Fcst Inputs'!$G:$G)/12))))),0)</f>
        <v>0</v>
      </c>
      <c r="CG28" s="483">
        <f>IFERROR(IF($J28="Historical Average",INDEX('Monthly UPC'!$CM$2:$DJ$65,MATCH($D28,'Monthly UPC'!$D$2:$D$65,0),MATCH(CG$1,'Monthly UPC'!$CM$1:$DJ$1))*(INDEX('Monthly CUST'!$N$2:$CG$65,MATCH($D28,'Monthly CUST'!$D$2:$D$65,0),MATCH(CG$1,'Monthly CUST'!$N$1:$CG$1,0))),IF($J28="UPC Growth Rate",((BU28/INDEX('Monthly CUST'!$N$2:$CG$65,MATCH($D28,'Monthly CUST'!$D$2:$D$65,0),MATCH(BU$1,'Monthly CUST'!$N$1:$CG$1,0)))*(1+$L28)*INDEX('Monthly CUST'!$N$2:$CG$65,MATCH($D28,'Monthly CUST'!$D$2:$D$65,0),MATCH(CG$1,'Monthly CUST'!$N$1:$CG$1,0))),IF($J28="Modeled UPC",INDEX('Monthly CUST'!$N$2:$CG$65,MATCH($D28,'Monthly CUST'!$D$2:$D$65,0),MATCH(CG$1,'Monthly CUST'!$N$1:$CG$1,0))/12*$M28,IF($J28="Base Period",BU28,IF($J28="Adjusted",SUMIF('Input 15_Fcst Inputs'!$A:$A,$D28,'Input 15_Fcst Inputs'!$G:$G)/12))))),0)</f>
        <v>0</v>
      </c>
      <c r="CH28" s="197"/>
      <c r="CI28" s="197">
        <f t="shared" si="0"/>
        <v>0</v>
      </c>
      <c r="CJ28" s="197">
        <f t="shared" si="1"/>
        <v>0</v>
      </c>
      <c r="CK28" s="197">
        <f t="shared" si="2"/>
        <v>0</v>
      </c>
      <c r="CL28" s="197">
        <f t="shared" si="3"/>
        <v>0</v>
      </c>
      <c r="CM28" s="197">
        <f t="shared" si="4"/>
        <v>0</v>
      </c>
      <c r="CN28" s="197">
        <f t="shared" si="5"/>
        <v>0</v>
      </c>
      <c r="CP28" s="4">
        <f>SUMIF('Master '!D:D,D28,'Master '!AH:AH)</f>
        <v>0</v>
      </c>
      <c r="CQ28" s="4">
        <f>SUMIF('Master '!D:D,D28,'Master '!AI:AI)</f>
        <v>0</v>
      </c>
      <c r="CR28" s="197">
        <f t="shared" si="6"/>
        <v>0</v>
      </c>
      <c r="CS28" s="197">
        <f t="shared" si="7"/>
        <v>0</v>
      </c>
      <c r="CT28" t="s">
        <v>287</v>
      </c>
      <c r="CV28" t="str">
        <f>VLOOKUP(G28,'Master '!G:CC,75,FALSE)</f>
        <v>GLSTS</v>
      </c>
    </row>
    <row r="29" spans="1:100">
      <c r="A29" s="53" t="s">
        <v>17</v>
      </c>
      <c r="B29" s="53" t="s">
        <v>993</v>
      </c>
      <c r="C29" s="53" t="s">
        <v>8</v>
      </c>
      <c r="D29" s="53" t="s">
        <v>1295</v>
      </c>
      <c r="E29" s="53" t="str">
        <f>VLOOKUP(D29,'Input 14_Ref Table'!C:D,2,FALSE)</f>
        <v>CR801</v>
      </c>
      <c r="F29" s="143" t="s">
        <v>1286</v>
      </c>
      <c r="G29" s="53" t="str">
        <f>VLOOKUP(D29,'Input 14_Ref Table'!C:I,7,FALSE)</f>
        <v>CFG - FTS-A R</v>
      </c>
      <c r="H29" s="53" t="str">
        <f>VLOOKUP(D29,'Input 14_Ref Table'!C:K,8,FALSE)</f>
        <v>FTS_AB</v>
      </c>
      <c r="I29" s="53"/>
      <c r="J29" t="str">
        <f>INDEX('Master '!$AD$2:AD$65,MATCH(D29,'Master '!$D$2:$D$65,0))</f>
        <v>UPC Growth Rate</v>
      </c>
      <c r="K29" s="458">
        <f>INDEX('Master '!$N$2:N$65,MATCH(D29,'Master '!$D$2:$D$65,0))</f>
        <v>-7.5316460637900734E-3</v>
      </c>
      <c r="L29" s="137">
        <f>INDEX('Master '!$S$2:S$65,MATCH(D29,'Master '!$D$2:$D$65,0))</f>
        <v>0</v>
      </c>
      <c r="M29" s="4">
        <f>INDEX('Master '!$W$2:W$65,MATCH(D29,'Master '!$D$2:$D$65,0))</f>
        <v>103.66332451256534</v>
      </c>
      <c r="N29" s="268">
        <f>SUMIF('Input 16.1_2018VOL-YTD'!$R:$R,$G29,'Input 16.1_2018VOL-YTD'!C:C)</f>
        <v>11134.16</v>
      </c>
      <c r="O29" s="268">
        <f>SUMIF('Input 16.1_2018VOL-YTD'!$R:$R,$G29,'Input 16.1_2018VOL-YTD'!D:D)</f>
        <v>8740.7399999999197</v>
      </c>
      <c r="P29" s="268">
        <f>SUMIF('Input 16.1_2018VOL-YTD'!$R:$R,$G29,'Input 16.1_2018VOL-YTD'!E:E)</f>
        <v>8333.1099999999005</v>
      </c>
      <c r="Q29" s="268">
        <f>SUMIF('Input 16.1_2018VOL-YTD'!$R:$R,$G29,'Input 16.1_2018VOL-YTD'!F:F)</f>
        <v>7726.66999999991</v>
      </c>
      <c r="R29" s="268">
        <f>SUMIF('Input 16.1_2018VOL-YTD'!$R:$R,$G29,'Input 16.1_2018VOL-YTD'!G:G)</f>
        <v>6138.5799999999599</v>
      </c>
      <c r="S29" s="268">
        <f>SUMIF('Input 16.1_2018VOL-YTD'!$R:$R,$G29,'Input 16.1_2018VOL-YTD'!H:H)</f>
        <v>6469.5099999999602</v>
      </c>
      <c r="T29" s="268">
        <f>SUMIF('Input 16.1_2018VOL-YTD'!$R:$R,$G29,'Input 16.1_2018VOL-YTD'!I:I)</f>
        <v>5243</v>
      </c>
      <c r="U29" s="268">
        <f>SUMIF('Input 16.1_2018VOL-YTD'!$R:$R,$G29,'Input 16.1_2018VOL-YTD'!J:J)</f>
        <v>5457.9199999999901</v>
      </c>
      <c r="V29" s="268">
        <f>SUMIF('Input 16.1_2018VOL-YTD'!$R:$R,$G29,'Input 16.1_2018VOL-YTD'!K:K)</f>
        <v>5710.49999999996</v>
      </c>
      <c r="W29" s="268">
        <f>SUMIF('Input 16.1_2018VOL-YTD'!$R:$R,$G29,'Input 16.1_2018VOL-YTD'!L:L)</f>
        <v>5126.8599999999597</v>
      </c>
      <c r="X29" s="268">
        <f>SUMIF('Input 16.1_2018VOL-YTD'!$R:$R,$G29,'Input 16.1_2018VOL-YTD'!M:M)</f>
        <v>7299.1999999999198</v>
      </c>
      <c r="Y29" s="268">
        <f>SUMIF('Input 16.1_2018VOL-YTD'!$R:$R,$G29,'Input 16.1_2018VOL-YTD'!N:N)</f>
        <v>8955.6500000000106</v>
      </c>
      <c r="Z29" s="268">
        <f>SUMIF('Input 3.1_2019VOL-YTD'!$R:$R,$G29,'Input 3.1_2019VOL-YTD'!C:C)</f>
        <v>9423.5299999999297</v>
      </c>
      <c r="AA29" s="268">
        <f>SUMIF('Input 3.1_2019VOL-YTD'!$R:$R,$G29,'Input 3.1_2019VOL-YTD'!D:D)</f>
        <v>8896.9899999999307</v>
      </c>
      <c r="AB29" s="268">
        <f>SUMIF('Input 3.1_2019VOL-YTD'!$R:$R,$G29,'Input 3.1_2019VOL-YTD'!E:E)</f>
        <v>7627.8999999999896</v>
      </c>
      <c r="AC29" s="268">
        <f>SUMIF('Input 3.1_2019VOL-YTD'!$R:$R,$G29,'Input 3.1_2019VOL-YTD'!F:F)</f>
        <v>7536.7400000000498</v>
      </c>
      <c r="AD29" s="268">
        <f>SUMIF('Input 3.1_2019VOL-YTD'!$R:$R,$G29,'Input 3.1_2019VOL-YTD'!G:G)</f>
        <v>6514.1400000000403</v>
      </c>
      <c r="AE29" s="268">
        <f>SUMIF('Input 3.1_2019VOL-YTD'!$R:$R,$G29,'Input 3.1_2019VOL-YTD'!H:H)</f>
        <v>5870.3799999999801</v>
      </c>
      <c r="AF29" s="268">
        <f>SUMIF('Input 3.1_2019VOL-YTD'!$R:$R,$G29,'Input 3.1_2019VOL-YTD'!I:I)</f>
        <v>5245.4699999999402</v>
      </c>
      <c r="AG29" s="268">
        <f>SUMIF('Input 3.1_2019VOL-YTD'!$R:$R,$G29,'Input 3.1_2019VOL-YTD'!J:J)</f>
        <v>5715.8999999999796</v>
      </c>
      <c r="AH29" s="268">
        <f>SUMIF('Input 3.1_2019VOL-YTD'!$R:$R,$G29,'Input 3.1_2019VOL-YTD'!K:K)</f>
        <v>5760.70999999997</v>
      </c>
      <c r="AI29" s="268">
        <f>SUMIF('Input 3.1_2019VOL-YTD'!$R:$R,$G29,'Input 3.1_2019VOL-YTD'!L:L)</f>
        <v>5815.77</v>
      </c>
      <c r="AJ29" s="268">
        <f>SUMIF('Input 3.1_2019VOL-YTD'!$R:$R,$G29,'Input 3.1_2019VOL-YTD'!M:M)</f>
        <v>6676.58</v>
      </c>
      <c r="AK29" s="268">
        <f>SUMIF('Input 3.1_2019VOL-YTD'!$R:$R,$G29,'Input 3.1_2019VOL-YTD'!N:N)</f>
        <v>8907.9699999999502</v>
      </c>
      <c r="AL29" s="268">
        <f>SUMIF('Input 4.1_2020VOL-YTD'!$R:$R,$G29,'Input 4.1_2020VOL-YTD'!C:C)</f>
        <v>9304.3399999999492</v>
      </c>
      <c r="AM29" s="268">
        <f>SUMIF('Input 4.1_2020VOL-YTD'!$R:$R,$G29,'Input 4.1_2020VOL-YTD'!D:D)</f>
        <v>8690.9800000000196</v>
      </c>
      <c r="AN29" s="268">
        <f>SUMIF('Input 4.1_2020VOL-YTD'!$R:$R,$G29,'Input 4.1_2020VOL-YTD'!E:E)</f>
        <v>8168.41</v>
      </c>
      <c r="AO29" s="268">
        <f>SUMIF('Input 4.1_2020VOL-YTD'!$R:$R,$G29,'Input 4.1_2020VOL-YTD'!F:F)</f>
        <v>7560.1500000000296</v>
      </c>
      <c r="AP29" s="268">
        <f>SUMIF('Input 4.1_2020VOL-YTD'!$R:$R,$G29,'Input 4.1_2020VOL-YTD'!G:G)</f>
        <v>7083.8</v>
      </c>
      <c r="AQ29" s="268">
        <f>SUMIF('Input 4.1_2020VOL-YTD'!$R:$R,$G29,'Input 4.1_2020VOL-YTD'!H:H)</f>
        <v>6038.5899999999301</v>
      </c>
      <c r="AR29" s="268">
        <f>SUMIF('Input 4.1_2020VOL-YTD'!$R:$R,$G29,'Input 4.1_2020VOL-YTD'!I:I)</f>
        <v>6297.5799999999799</v>
      </c>
      <c r="AS29" s="268">
        <f>SUMIF('Input 4.1_2020VOL-YTD'!$R:$R,$G29,'Input 4.1_2020VOL-YTD'!J:J)</f>
        <v>5751.4699999999702</v>
      </c>
      <c r="AT29" s="268">
        <f>SUMIF('Input 4.1_2020VOL-YTD'!$R:$R,$G29,'Input 4.1_2020VOL-YTD'!K:K)</f>
        <v>5897.2799999999797</v>
      </c>
      <c r="AU29" s="268">
        <f>SUMIF('Input 4.1_2020VOL-YTD'!$R:$R,$G29,'Input 4.1_2020VOL-YTD'!L:L)</f>
        <v>5915.1200000000299</v>
      </c>
      <c r="AV29" s="268">
        <f>SUMIF('Input 4.1_2020VOL-YTD'!$R:$R,$G29,'Input 4.1_2020VOL-YTD'!M:M)</f>
        <v>6863.1400000000403</v>
      </c>
      <c r="AW29" s="268">
        <f>SUMIF('Input 4.1_2020VOL-YTD'!$R:$R,$G29,'Input 4.1_2020VOL-YTD'!N:N)</f>
        <v>10214.6</v>
      </c>
      <c r="AX29" s="268">
        <f>SUMIF('Input 5.1_2021VOL-YTD'!$R:$R,$G29,'Input 5.1_2021VOL-YTD'!C:C)</f>
        <v>11351.75</v>
      </c>
      <c r="AY29" s="268">
        <f>SUMIF('Input 5.1_2021VOL-YTD'!$R:$R,$G29,'Input 5.1_2021VOL-YTD'!D:D)</f>
        <v>8786.0800000000309</v>
      </c>
      <c r="AZ29" s="268">
        <f>SUMIF('Input 5.1_2021VOL-YTD'!$R:$R,$G29,'Input 5.1_2021VOL-YTD'!E:E)</f>
        <v>8373.1400000000303</v>
      </c>
      <c r="BA29" s="268">
        <f>SUMIF('Input 5.1_2021VOL-YTD'!$R:$R,$G29,'Input 5.1_2021VOL-YTD'!F:F)</f>
        <v>8728.6900000000096</v>
      </c>
      <c r="BB29" s="268">
        <f>SUMIF('Input 5.1_2021VOL-YTD'!$R:$R,$G29,'Input 5.1_2021VOL-YTD'!G:G)</f>
        <v>6463.0099999999502</v>
      </c>
      <c r="BC29" s="268">
        <f>SUMIF('Input 5.1_2021VOL-YTD'!$R:$R,$G29,'Input 5.1_2021VOL-YTD'!H:H)</f>
        <v>6052.9499999999798</v>
      </c>
      <c r="BD29" s="268">
        <f>SUMIF('Input 5.1_2021VOL-YTD'!$R:$R,$G29,'Input 5.1_2021VOL-YTD'!I:I)</f>
        <v>6178.0500000000102</v>
      </c>
      <c r="BE29" s="268">
        <f>SUMIF('Input 5.1_2021VOL-YTD'!$R:$R,$G29,'Input 5.1_2021VOL-YTD'!J:J)</f>
        <v>5713.9500000000298</v>
      </c>
      <c r="BF29" s="268">
        <f>SUMIF('Input 5.1_2021VOL-YTD'!$R:$R,$G29,'Input 5.1_2021VOL-YTD'!K:K)</f>
        <v>6405.2799999999797</v>
      </c>
      <c r="BG29" s="268">
        <f>SUMIF('Input 5.1_2021VOL-YTD'!$R:$R,$G29,'Input 5.1_2021VOL-YTD'!L:L)</f>
        <v>6239.9499999999898</v>
      </c>
      <c r="BH29" s="268">
        <f>SUMIF('Input 5.1_2021VOL-YTD'!$R:$R,$G29,'Input 5.1_2021VOL-YTD'!M:M)</f>
        <v>7330.73</v>
      </c>
      <c r="BI29" s="268">
        <f>SUMIF('Input 5.1_2021VOL-YTD'!$R:$R,$G29,'Input 5.1_2021VOL-YTD'!N:N)</f>
        <v>9796.3799999999501</v>
      </c>
      <c r="BJ29" s="483">
        <f>IFERROR(IF($J29="Historical Average",INDEX('Monthly UPC'!$CM$2:$DJ$65,MATCH($D29,'Monthly UPC'!$D$2:$D$65,0),MATCH(BJ$1,'Monthly UPC'!$CM$1:$DJ$1))*(INDEX('Monthly CUST'!$N$2:$CG$65,MATCH($D29,'Monthly CUST'!$D$2:$D$65,0),MATCH(BJ$1,'Monthly CUST'!$N$1:$CG$1,0))),IF($J29="UPC Growth Rate",((AX29/INDEX('Monthly CUST'!$N$2:$CG$65,MATCH($D29,'Monthly CUST'!$D$2:$D$65,0),MATCH(AX$1,'Monthly CUST'!$N$1:$CG$1,0)))*(1+$L29)*INDEX('Monthly CUST'!$N$2:$CG$65,MATCH($D29,'Monthly CUST'!$D$2:$D$65,0),MATCH(BJ$1,'Monthly CUST'!$N$1:$CG$1,0))),IF($J29="Modeled UPC",INDEX('Monthly CUST'!$N$2:$CG$65,MATCH($D29,'Monthly CUST'!$D$2:$D$65,0),MATCH(BJ$1,'Monthly CUST'!$N$1:$CG$1,0))/12*$M29,IF($J29="Base Period",AX29,IF($J29="Adjusted",SUMIF('Input 15_Fcst Inputs'!$A:$A,$D29,'Input 15_Fcst Inputs'!$G:$G)/12))))),0)</f>
        <v>11266.252636795371</v>
      </c>
      <c r="BK29" s="483">
        <f>IFERROR(IF($J29="Historical Average",INDEX('Monthly UPC'!$CM$2:$DJ$65,MATCH($D29,'Monthly UPC'!$D$2:$D$65,0),MATCH(BK$1,'Monthly UPC'!$CM$1:$DJ$1))*(INDEX('Monthly CUST'!$N$2:$CG$65,MATCH($D29,'Monthly CUST'!$D$2:$D$65,0),MATCH(BK$1,'Monthly CUST'!$N$1:$CG$1,0))),IF($J29="UPC Growth Rate",((AY29/INDEX('Monthly CUST'!$N$2:$CG$65,MATCH($D29,'Monthly CUST'!$D$2:$D$65,0),MATCH(AY$1,'Monthly CUST'!$N$1:$CG$1,0)))*(1+$L29)*INDEX('Monthly CUST'!$N$2:$CG$65,MATCH($D29,'Monthly CUST'!$D$2:$D$65,0),MATCH(BK$1,'Monthly CUST'!$N$1:$CG$1,0))),IF($J29="Modeled UPC",INDEX('Monthly CUST'!$N$2:$CG$65,MATCH($D29,'Monthly CUST'!$D$2:$D$65,0),MATCH(BK$1,'Monthly CUST'!$N$1:$CG$1,0))/12*$M29,IF($J29="Base Period",AY29,IF($J29="Adjusted",SUMIF('Input 15_Fcst Inputs'!$A:$A,$D29,'Input 15_Fcst Inputs'!$G:$G)/12))))),0)</f>
        <v>8719.9063551518866</v>
      </c>
      <c r="BL29" s="483">
        <f>IFERROR(IF($J29="Historical Average",INDEX('Monthly UPC'!$CM$2:$DJ$65,MATCH($D29,'Monthly UPC'!$D$2:$D$65,0),MATCH(BL$1,'Monthly UPC'!$CM$1:$DJ$1))*(INDEX('Monthly CUST'!$N$2:$CG$65,MATCH($D29,'Monthly CUST'!$D$2:$D$65,0),MATCH(BL$1,'Monthly CUST'!$N$1:$CG$1,0))),IF($J29="UPC Growth Rate",((AZ29/INDEX('Monthly CUST'!$N$2:$CG$65,MATCH($D29,'Monthly CUST'!$D$2:$D$65,0),MATCH(AZ$1,'Monthly CUST'!$N$1:$CG$1,0)))*(1+$L29)*INDEX('Monthly CUST'!$N$2:$CG$65,MATCH($D29,'Monthly CUST'!$D$2:$D$65,0),MATCH(BL$1,'Monthly CUST'!$N$1:$CG$1,0))),IF($J29="Modeled UPC",INDEX('Monthly CUST'!$N$2:$CG$65,MATCH($D29,'Monthly CUST'!$D$2:$D$65,0),MATCH(BL$1,'Monthly CUST'!$N$1:$CG$1,0))/12*$M29,IF($J29="Base Period",AZ29,IF($J29="Adjusted",SUMIF('Input 15_Fcst Inputs'!$A:$A,$D29,'Input 15_Fcst Inputs'!$G:$G)/12))))),0)</f>
        <v>8310.0764730774663</v>
      </c>
      <c r="BM29" s="483">
        <f>IFERROR(IF($J29="Historical Average",INDEX('Monthly UPC'!$CM$2:$DJ$65,MATCH($D29,'Monthly UPC'!$D$2:$D$65,0),MATCH(BM$1,'Monthly UPC'!$CM$1:$DJ$1))*(INDEX('Monthly CUST'!$N$2:$CG$65,MATCH($D29,'Monthly CUST'!$D$2:$D$65,0),MATCH(BM$1,'Monthly CUST'!$N$1:$CG$1,0))),IF($J29="UPC Growth Rate",((BA29/INDEX('Monthly CUST'!$N$2:$CG$65,MATCH($D29,'Monthly CUST'!$D$2:$D$65,0),MATCH(BA$1,'Monthly CUST'!$N$1:$CG$1,0)))*(1+$L29)*INDEX('Monthly CUST'!$N$2:$CG$65,MATCH($D29,'Monthly CUST'!$D$2:$D$65,0),MATCH(BM$1,'Monthly CUST'!$N$1:$CG$1,0))),IF($J29="Modeled UPC",INDEX('Monthly CUST'!$N$2:$CG$65,MATCH($D29,'Monthly CUST'!$D$2:$D$65,0),MATCH(BM$1,'Monthly CUST'!$N$1:$CG$1,0))/12*$M29,IF($J29="Base Period",BA29,IF($J29="Adjusted",SUMIF('Input 15_Fcst Inputs'!$A:$A,$D29,'Input 15_Fcst Inputs'!$G:$G)/12))))),0)</f>
        <v>8662.9485963194657</v>
      </c>
      <c r="BN29" s="483">
        <f>IFERROR(IF($J29="Historical Average",INDEX('Monthly UPC'!$CM$2:$DJ$65,MATCH($D29,'Monthly UPC'!$D$2:$D$65,0),MATCH(BN$1,'Monthly UPC'!$CM$1:$DJ$1))*(INDEX('Monthly CUST'!$N$2:$CG$65,MATCH($D29,'Monthly CUST'!$D$2:$D$65,0),MATCH(BN$1,'Monthly CUST'!$N$1:$CG$1,0))),IF($J29="UPC Growth Rate",((BB29/INDEX('Monthly CUST'!$N$2:$CG$65,MATCH($D29,'Monthly CUST'!$D$2:$D$65,0),MATCH(BB$1,'Monthly CUST'!$N$1:$CG$1,0)))*(1+$L29)*INDEX('Monthly CUST'!$N$2:$CG$65,MATCH($D29,'Monthly CUST'!$D$2:$D$65,0),MATCH(BN$1,'Monthly CUST'!$N$1:$CG$1,0))),IF($J29="Modeled UPC",INDEX('Monthly CUST'!$N$2:$CG$65,MATCH($D29,'Monthly CUST'!$D$2:$D$65,0),MATCH(BN$1,'Monthly CUST'!$N$1:$CG$1,0))/12*$M29,IF($J29="Base Period",BB29,IF($J29="Adjusted",SUMIF('Input 15_Fcst Inputs'!$A:$A,$D29,'Input 15_Fcst Inputs'!$G:$G)/12))))),0)</f>
        <v>6414.332896173215</v>
      </c>
      <c r="BO29" s="483">
        <f>IFERROR(IF($J29="Historical Average",INDEX('Monthly UPC'!$CM$2:$DJ$65,MATCH($D29,'Monthly UPC'!$D$2:$D$65,0),MATCH(BO$1,'Monthly UPC'!$CM$1:$DJ$1))*(INDEX('Monthly CUST'!$N$2:$CG$65,MATCH($D29,'Monthly CUST'!$D$2:$D$65,0),MATCH(BO$1,'Monthly CUST'!$N$1:$CG$1,0))),IF($J29="UPC Growth Rate",((BC29/INDEX('Monthly CUST'!$N$2:$CG$65,MATCH($D29,'Monthly CUST'!$D$2:$D$65,0),MATCH(BC$1,'Monthly CUST'!$N$1:$CG$1,0)))*(1+$L29)*INDEX('Monthly CUST'!$N$2:$CG$65,MATCH($D29,'Monthly CUST'!$D$2:$D$65,0),MATCH(BO$1,'Monthly CUST'!$N$1:$CG$1,0))),IF($J29="Modeled UPC",INDEX('Monthly CUST'!$N$2:$CG$65,MATCH($D29,'Monthly CUST'!$D$2:$D$65,0),MATCH(BO$1,'Monthly CUST'!$N$1:$CG$1,0))/12*$M29,IF($J29="Base Period",BC29,IF($J29="Adjusted",SUMIF('Input 15_Fcst Inputs'!$A:$A,$D29,'Input 15_Fcst Inputs'!$G:$G)/12))))),0)</f>
        <v>6007.3613229581615</v>
      </c>
      <c r="BP29" s="483">
        <f>IFERROR(IF($J29="Historical Average",INDEX('Monthly UPC'!$CM$2:$DJ$65,MATCH($D29,'Monthly UPC'!$D$2:$D$65,0),MATCH(BP$1,'Monthly UPC'!$CM$1:$DJ$1))*(INDEX('Monthly CUST'!$N$2:$CG$65,MATCH($D29,'Monthly CUST'!$D$2:$D$65,0),MATCH(BP$1,'Monthly CUST'!$N$1:$CG$1,0))),IF($J29="UPC Growth Rate",((BD29/INDEX('Monthly CUST'!$N$2:$CG$65,MATCH($D29,'Monthly CUST'!$D$2:$D$65,0),MATCH(BD$1,'Monthly CUST'!$N$1:$CG$1,0)))*(1+$L29)*INDEX('Monthly CUST'!$N$2:$CG$65,MATCH($D29,'Monthly CUST'!$D$2:$D$65,0),MATCH(BP$1,'Monthly CUST'!$N$1:$CG$1,0))),IF($J29="Modeled UPC",INDEX('Monthly CUST'!$N$2:$CG$65,MATCH($D29,'Monthly CUST'!$D$2:$D$65,0),MATCH(BP$1,'Monthly CUST'!$N$1:$CG$1,0))/12*$M29,IF($J29="Base Period",BD29,IF($J29="Adjusted",SUMIF('Input 15_Fcst Inputs'!$A:$A,$D29,'Input 15_Fcst Inputs'!$G:$G)/12))))),0)</f>
        <v>6131.5191140356119</v>
      </c>
      <c r="BQ29" s="483">
        <f>IFERROR(IF($J29="Historical Average",INDEX('Monthly UPC'!$CM$2:$DJ$65,MATCH($D29,'Monthly UPC'!$D$2:$D$65,0),MATCH(BQ$1,'Monthly UPC'!$CM$1:$DJ$1))*(INDEX('Monthly CUST'!$N$2:$CG$65,MATCH($D29,'Monthly CUST'!$D$2:$D$65,0),MATCH(BQ$1,'Monthly CUST'!$N$1:$CG$1,0))),IF($J29="UPC Growth Rate",((BE29/INDEX('Monthly CUST'!$N$2:$CG$65,MATCH($D29,'Monthly CUST'!$D$2:$D$65,0),MATCH(BE$1,'Monthly CUST'!$N$1:$CG$1,0)))*(1+$L29)*INDEX('Monthly CUST'!$N$2:$CG$65,MATCH($D29,'Monthly CUST'!$D$2:$D$65,0),MATCH(BQ$1,'Monthly CUST'!$N$1:$CG$1,0))),IF($J29="Modeled UPC",INDEX('Monthly CUST'!$N$2:$CG$65,MATCH($D29,'Monthly CUST'!$D$2:$D$65,0),MATCH(BQ$1,'Monthly CUST'!$N$1:$CG$1,0))/12*$M29,IF($J29="Base Period",BE29,IF($J29="Adjusted",SUMIF('Input 15_Fcst Inputs'!$A:$A,$D29,'Input 15_Fcst Inputs'!$G:$G)/12))))),0)</f>
        <v>5670.9145509738364</v>
      </c>
      <c r="BR29" s="483">
        <f>IFERROR(IF($J29="Historical Average",INDEX('Monthly UPC'!$CM$2:$DJ$65,MATCH($D29,'Monthly UPC'!$D$2:$D$65,0),MATCH(BR$1,'Monthly UPC'!$CM$1:$DJ$1))*(INDEX('Monthly CUST'!$N$2:$CG$65,MATCH($D29,'Monthly CUST'!$D$2:$D$65,0),MATCH(BR$1,'Monthly CUST'!$N$1:$CG$1,0))),IF($J29="UPC Growth Rate",((BF29/INDEX('Monthly CUST'!$N$2:$CG$65,MATCH($D29,'Monthly CUST'!$D$2:$D$65,0),MATCH(BF$1,'Monthly CUST'!$N$1:$CG$1,0)))*(1+$L29)*INDEX('Monthly CUST'!$N$2:$CG$65,MATCH($D29,'Monthly CUST'!$D$2:$D$65,0),MATCH(BR$1,'Monthly CUST'!$N$1:$CG$1,0))),IF($J29="Modeled UPC",INDEX('Monthly CUST'!$N$2:$CG$65,MATCH($D29,'Monthly CUST'!$D$2:$D$65,0),MATCH(BR$1,'Monthly CUST'!$N$1:$CG$1,0))/12*$M29,IF($J29="Base Period",BF29,IF($J29="Adjusted",SUMIF('Input 15_Fcst Inputs'!$A:$A,$D29,'Input 15_Fcst Inputs'!$G:$G)/12))))),0)</f>
        <v>6357.0376981005065</v>
      </c>
      <c r="BS29" s="483">
        <f>IFERROR(IF($J29="Historical Average",INDEX('Monthly UPC'!$CM$2:$DJ$65,MATCH($D29,'Monthly UPC'!$D$2:$D$65,0),MATCH(BS$1,'Monthly UPC'!$CM$1:$DJ$1))*(INDEX('Monthly CUST'!$N$2:$CG$65,MATCH($D29,'Monthly CUST'!$D$2:$D$65,0),MATCH(BS$1,'Monthly CUST'!$N$1:$CG$1,0))),IF($J29="UPC Growth Rate",((BG29/INDEX('Monthly CUST'!$N$2:$CG$65,MATCH($D29,'Monthly CUST'!$D$2:$D$65,0),MATCH(BG$1,'Monthly CUST'!$N$1:$CG$1,0)))*(1+$L29)*INDEX('Monthly CUST'!$N$2:$CG$65,MATCH($D29,'Monthly CUST'!$D$2:$D$65,0),MATCH(BS$1,'Monthly CUST'!$N$1:$CG$1,0))),IF($J29="Modeled UPC",INDEX('Monthly CUST'!$N$2:$CG$65,MATCH($D29,'Monthly CUST'!$D$2:$D$65,0),MATCH(BS$1,'Monthly CUST'!$N$1:$CG$1,0))/12*$M29,IF($J29="Base Period",BG29,IF($J29="Adjusted",SUMIF('Input 15_Fcst Inputs'!$A:$A,$D29,'Input 15_Fcst Inputs'!$G:$G)/12))))),0)</f>
        <v>6192.9529051442432</v>
      </c>
      <c r="BT29" s="483">
        <f>IFERROR(IF($J29="Historical Average",INDEX('Monthly UPC'!$CM$2:$DJ$65,MATCH($D29,'Monthly UPC'!$D$2:$D$65,0),MATCH(BT$1,'Monthly UPC'!$CM$1:$DJ$1))*(INDEX('Monthly CUST'!$N$2:$CG$65,MATCH($D29,'Monthly CUST'!$D$2:$D$65,0),MATCH(BT$1,'Monthly CUST'!$N$1:$CG$1,0))),IF($J29="UPC Growth Rate",((BH29/INDEX('Monthly CUST'!$N$2:$CG$65,MATCH($D29,'Monthly CUST'!$D$2:$D$65,0),MATCH(BH$1,'Monthly CUST'!$N$1:$CG$1,0)))*(1+$L29)*INDEX('Monthly CUST'!$N$2:$CG$65,MATCH($D29,'Monthly CUST'!$D$2:$D$65,0),MATCH(BT$1,'Monthly CUST'!$N$1:$CG$1,0))),IF($J29="Modeled UPC",INDEX('Monthly CUST'!$N$2:$CG$65,MATCH($D29,'Monthly CUST'!$D$2:$D$65,0),MATCH(BT$1,'Monthly CUST'!$N$1:$CG$1,0))/12*$M29,IF($J29="Base Period",BH29,IF($J29="Adjusted",SUMIF('Input 15_Fcst Inputs'!$A:$A,$D29,'Input 15_Fcst Inputs'!$G:$G)/12))))),0)</f>
        <v>7275.5175362507925</v>
      </c>
      <c r="BU29" s="483">
        <f>IFERROR(IF($J29="Historical Average",INDEX('Monthly UPC'!$CM$2:$DJ$65,MATCH($D29,'Monthly UPC'!$D$2:$D$65,0),MATCH(BU$1,'Monthly UPC'!$CM$1:$DJ$1))*(INDEX('Monthly CUST'!$N$2:$CG$65,MATCH($D29,'Monthly CUST'!$D$2:$D$65,0),MATCH(BU$1,'Monthly CUST'!$N$1:$CG$1,0))),IF($J29="UPC Growth Rate",((BI29/INDEX('Monthly CUST'!$N$2:$CG$65,MATCH($D29,'Monthly CUST'!$D$2:$D$65,0),MATCH(BI$1,'Monthly CUST'!$N$1:$CG$1,0)))*(1+$L29)*INDEX('Monthly CUST'!$N$2:$CG$65,MATCH($D29,'Monthly CUST'!$D$2:$D$65,0),MATCH(BU$1,'Monthly CUST'!$N$1:$CG$1,0))),IF($J29="Modeled UPC",INDEX('Monthly CUST'!$N$2:$CG$65,MATCH($D29,'Monthly CUST'!$D$2:$D$65,0),MATCH(BU$1,'Monthly CUST'!$N$1:$CG$1,0))/12*$M29,IF($J29="Base Period",BI29,IF($J29="Adjusted",SUMIF('Input 15_Fcst Inputs'!$A:$A,$D29,'Input 15_Fcst Inputs'!$G:$G)/12))))),0)</f>
        <v>9722.5971331335586</v>
      </c>
      <c r="BV29" s="483">
        <f>IFERROR(IF($J29="Historical Average",INDEX('Monthly UPC'!$CM$2:$DJ$65,MATCH($D29,'Monthly UPC'!$D$2:$D$65,0),MATCH(BV$1,'Monthly UPC'!$CM$1:$DJ$1))*(INDEX('Monthly CUST'!$N$2:$CG$65,MATCH($D29,'Monthly CUST'!$D$2:$D$65,0),MATCH(BV$1,'Monthly CUST'!$N$1:$CG$1,0))),IF($J29="UPC Growth Rate",((BJ29/INDEX('Monthly CUST'!$N$2:$CG$65,MATCH($D29,'Monthly CUST'!$D$2:$D$65,0),MATCH(BJ$1,'Monthly CUST'!$N$1:$CG$1,0)))*(1+$L29)*INDEX('Monthly CUST'!$N$2:$CG$65,MATCH($D29,'Monthly CUST'!$D$2:$D$65,0),MATCH(BV$1,'Monthly CUST'!$N$1:$CG$1,0))),IF($J29="Modeled UPC",INDEX('Monthly CUST'!$N$2:$CG$65,MATCH($D29,'Monthly CUST'!$D$2:$D$65,0),MATCH(BV$1,'Monthly CUST'!$N$1:$CG$1,0))/12*$M29,IF($J29="Base Period",BJ29,IF($J29="Adjusted",SUMIF('Input 15_Fcst Inputs'!$A:$A,$D29,'Input 15_Fcst Inputs'!$G:$G)/12))))),0)</f>
        <v>11181.399209469786</v>
      </c>
      <c r="BW29" s="483">
        <f>IFERROR(IF($J29="Historical Average",INDEX('Monthly UPC'!$CM$2:$DJ$65,MATCH($D29,'Monthly UPC'!$D$2:$D$65,0),MATCH(BW$1,'Monthly UPC'!$CM$1:$DJ$1))*(INDEX('Monthly CUST'!$N$2:$CG$65,MATCH($D29,'Monthly CUST'!$D$2:$D$65,0),MATCH(BW$1,'Monthly CUST'!$N$1:$CG$1,0))),IF($J29="UPC Growth Rate",((BK29/INDEX('Monthly CUST'!$N$2:$CG$65,MATCH($D29,'Monthly CUST'!$D$2:$D$65,0),MATCH(BK$1,'Monthly CUST'!$N$1:$CG$1,0)))*(1+$L29)*INDEX('Monthly CUST'!$N$2:$CG$65,MATCH($D29,'Monthly CUST'!$D$2:$D$65,0),MATCH(BW$1,'Monthly CUST'!$N$1:$CG$1,0))),IF($J29="Modeled UPC",INDEX('Monthly CUST'!$N$2:$CG$65,MATCH($D29,'Monthly CUST'!$D$2:$D$65,0),MATCH(BW$1,'Monthly CUST'!$N$1:$CG$1,0))/12*$M29,IF($J29="Base Period",BK29,IF($J29="Adjusted",SUMIF('Input 15_Fcst Inputs'!$A:$A,$D29,'Input 15_Fcst Inputs'!$G:$G)/12))))),0)</f>
        <v>8654.2311067754872</v>
      </c>
      <c r="BX29" s="483">
        <f>IFERROR(IF($J29="Historical Average",INDEX('Monthly UPC'!$CM$2:$DJ$65,MATCH($D29,'Monthly UPC'!$D$2:$D$65,0),MATCH(BX$1,'Monthly UPC'!$CM$1:$DJ$1))*(INDEX('Monthly CUST'!$N$2:$CG$65,MATCH($D29,'Monthly CUST'!$D$2:$D$65,0),MATCH(BX$1,'Monthly CUST'!$N$1:$CG$1,0))),IF($J29="UPC Growth Rate",((BL29/INDEX('Monthly CUST'!$N$2:$CG$65,MATCH($D29,'Monthly CUST'!$D$2:$D$65,0),MATCH(BL$1,'Monthly CUST'!$N$1:$CG$1,0)))*(1+$L29)*INDEX('Monthly CUST'!$N$2:$CG$65,MATCH($D29,'Monthly CUST'!$D$2:$D$65,0),MATCH(BX$1,'Monthly CUST'!$N$1:$CG$1,0))),IF($J29="Modeled UPC",INDEX('Monthly CUST'!$N$2:$CG$65,MATCH($D29,'Monthly CUST'!$D$2:$D$65,0),MATCH(BX$1,'Monthly CUST'!$N$1:$CG$1,0))/12*$M29,IF($J29="Base Period",BL29,IF($J29="Adjusted",SUMIF('Input 15_Fcst Inputs'!$A:$A,$D29,'Input 15_Fcst Inputs'!$G:$G)/12))))),0)</f>
        <v>8247.487918319217</v>
      </c>
      <c r="BY29" s="483">
        <f>IFERROR(IF($J29="Historical Average",INDEX('Monthly UPC'!$CM$2:$DJ$65,MATCH($D29,'Monthly UPC'!$D$2:$D$65,0),MATCH(BY$1,'Monthly UPC'!$CM$1:$DJ$1))*(INDEX('Monthly CUST'!$N$2:$CG$65,MATCH($D29,'Monthly CUST'!$D$2:$D$65,0),MATCH(BY$1,'Monthly CUST'!$N$1:$CG$1,0))),IF($J29="UPC Growth Rate",((BM29/INDEX('Monthly CUST'!$N$2:$CG$65,MATCH($D29,'Monthly CUST'!$D$2:$D$65,0),MATCH(BM$1,'Monthly CUST'!$N$1:$CG$1,0)))*(1+$L29)*INDEX('Monthly CUST'!$N$2:$CG$65,MATCH($D29,'Monthly CUST'!$D$2:$D$65,0),MATCH(BY$1,'Monthly CUST'!$N$1:$CG$1,0))),IF($J29="Modeled UPC",INDEX('Monthly CUST'!$N$2:$CG$65,MATCH($D29,'Monthly CUST'!$D$2:$D$65,0),MATCH(BY$1,'Monthly CUST'!$N$1:$CG$1,0))/12*$M29,IF($J29="Base Period",BM29,IF($J29="Adjusted",SUMIF('Input 15_Fcst Inputs'!$A:$A,$D29,'Input 15_Fcst Inputs'!$G:$G)/12))))),0)</f>
        <v>8597.7023336231796</v>
      </c>
      <c r="BZ29" s="483">
        <f>IFERROR(IF($J29="Historical Average",INDEX('Monthly UPC'!$CM$2:$DJ$65,MATCH($D29,'Monthly UPC'!$D$2:$D$65,0),MATCH(BZ$1,'Monthly UPC'!$CM$1:$DJ$1))*(INDEX('Monthly CUST'!$N$2:$CG$65,MATCH($D29,'Monthly CUST'!$D$2:$D$65,0),MATCH(BZ$1,'Monthly CUST'!$N$1:$CG$1,0))),IF($J29="UPC Growth Rate",((BN29/INDEX('Monthly CUST'!$N$2:$CG$65,MATCH($D29,'Monthly CUST'!$D$2:$D$65,0),MATCH(BN$1,'Monthly CUST'!$N$1:$CG$1,0)))*(1+$L29)*INDEX('Monthly CUST'!$N$2:$CG$65,MATCH($D29,'Monthly CUST'!$D$2:$D$65,0),MATCH(BZ$1,'Monthly CUST'!$N$1:$CG$1,0))),IF($J29="Modeled UPC",INDEX('Monthly CUST'!$N$2:$CG$65,MATCH($D29,'Monthly CUST'!$D$2:$D$65,0),MATCH(BZ$1,'Monthly CUST'!$N$1:$CG$1,0))/12*$M29,IF($J29="Base Period",BN29,IF($J29="Adjusted",SUMIF('Input 15_Fcst Inputs'!$A:$A,$D29,'Input 15_Fcst Inputs'!$G:$G)/12))))),0)</f>
        <v>6366.0224110639128</v>
      </c>
      <c r="CA29" s="483">
        <f>IFERROR(IF($J29="Historical Average",INDEX('Monthly UPC'!$CM$2:$DJ$65,MATCH($D29,'Monthly UPC'!$D$2:$D$65,0),MATCH(CA$1,'Monthly UPC'!$CM$1:$DJ$1))*(INDEX('Monthly CUST'!$N$2:$CG$65,MATCH($D29,'Monthly CUST'!$D$2:$D$65,0),MATCH(CA$1,'Monthly CUST'!$N$1:$CG$1,0))),IF($J29="UPC Growth Rate",((BO29/INDEX('Monthly CUST'!$N$2:$CG$65,MATCH($D29,'Monthly CUST'!$D$2:$D$65,0),MATCH(BO$1,'Monthly CUST'!$N$1:$CG$1,0)))*(1+$L29)*INDEX('Monthly CUST'!$N$2:$CG$65,MATCH($D29,'Monthly CUST'!$D$2:$D$65,0),MATCH(CA$1,'Monthly CUST'!$N$1:$CG$1,0))),IF($J29="Modeled UPC",INDEX('Monthly CUST'!$N$2:$CG$65,MATCH($D29,'Monthly CUST'!$D$2:$D$65,0),MATCH(CA$1,'Monthly CUST'!$N$1:$CG$1,0))/12*$M29,IF($J29="Base Period",BO29,IF($J29="Adjusted",SUMIF('Input 15_Fcst Inputs'!$A:$A,$D29,'Input 15_Fcst Inputs'!$G:$G)/12))))),0)</f>
        <v>5962.1160036963392</v>
      </c>
      <c r="CB29" s="483">
        <f>IFERROR(IF($J29="Historical Average",INDEX('Monthly UPC'!$CM$2:$DJ$65,MATCH($D29,'Monthly UPC'!$D$2:$D$65,0),MATCH(CB$1,'Monthly UPC'!$CM$1:$DJ$1))*(INDEX('Monthly CUST'!$N$2:$CG$65,MATCH($D29,'Monthly CUST'!$D$2:$D$65,0),MATCH(CB$1,'Monthly CUST'!$N$1:$CG$1,0))),IF($J29="UPC Growth Rate",((BP29/INDEX('Monthly CUST'!$N$2:$CG$65,MATCH($D29,'Monthly CUST'!$D$2:$D$65,0),MATCH(BP$1,'Monthly CUST'!$N$1:$CG$1,0)))*(1+$L29)*INDEX('Monthly CUST'!$N$2:$CG$65,MATCH($D29,'Monthly CUST'!$D$2:$D$65,0),MATCH(CB$1,'Monthly CUST'!$N$1:$CG$1,0))),IF($J29="Modeled UPC",INDEX('Monthly CUST'!$N$2:$CG$65,MATCH($D29,'Monthly CUST'!$D$2:$D$65,0),MATCH(CB$1,'Monthly CUST'!$N$1:$CG$1,0))/12*$M29,IF($J29="Base Period",BP29,IF($J29="Adjusted",SUMIF('Input 15_Fcst Inputs'!$A:$A,$D29,'Input 15_Fcst Inputs'!$G:$G)/12))))),0)</f>
        <v>6085.3386822353323</v>
      </c>
      <c r="CC29" s="483">
        <f>IFERROR(IF($J29="Historical Average",INDEX('Monthly UPC'!$CM$2:$DJ$65,MATCH($D29,'Monthly UPC'!$D$2:$D$65,0),MATCH(CC$1,'Monthly UPC'!$CM$1:$DJ$1))*(INDEX('Monthly CUST'!$N$2:$CG$65,MATCH($D29,'Monthly CUST'!$D$2:$D$65,0),MATCH(CC$1,'Monthly CUST'!$N$1:$CG$1,0))),IF($J29="UPC Growth Rate",((BQ29/INDEX('Monthly CUST'!$N$2:$CG$65,MATCH($D29,'Monthly CUST'!$D$2:$D$65,0),MATCH(BQ$1,'Monthly CUST'!$N$1:$CG$1,0)))*(1+$L29)*INDEX('Monthly CUST'!$N$2:$CG$65,MATCH($D29,'Monthly CUST'!$D$2:$D$65,0),MATCH(CC$1,'Monthly CUST'!$N$1:$CG$1,0))),IF($J29="Modeled UPC",INDEX('Monthly CUST'!$N$2:$CG$65,MATCH($D29,'Monthly CUST'!$D$2:$D$65,0),MATCH(CC$1,'Monthly CUST'!$N$1:$CG$1,0))/12*$M29,IF($J29="Base Period",BQ29,IF($J29="Adjusted",SUMIF('Input 15_Fcst Inputs'!$A:$A,$D29,'Input 15_Fcst Inputs'!$G:$G)/12))))),0)</f>
        <v>5628.2032297179039</v>
      </c>
      <c r="CD29" s="483">
        <f>IFERROR(IF($J29="Historical Average",INDEX('Monthly UPC'!$CM$2:$DJ$65,MATCH($D29,'Monthly UPC'!$D$2:$D$65,0),MATCH(CD$1,'Monthly UPC'!$CM$1:$DJ$1))*(INDEX('Monthly CUST'!$N$2:$CG$65,MATCH($D29,'Monthly CUST'!$D$2:$D$65,0),MATCH(CD$1,'Monthly CUST'!$N$1:$CG$1,0))),IF($J29="UPC Growth Rate",((BR29/INDEX('Monthly CUST'!$N$2:$CG$65,MATCH($D29,'Monthly CUST'!$D$2:$D$65,0),MATCH(BR$1,'Monthly CUST'!$N$1:$CG$1,0)))*(1+$L29)*INDEX('Monthly CUST'!$N$2:$CG$65,MATCH($D29,'Monthly CUST'!$D$2:$D$65,0),MATCH(CD$1,'Monthly CUST'!$N$1:$CG$1,0))),IF($J29="Modeled UPC",INDEX('Monthly CUST'!$N$2:$CG$65,MATCH($D29,'Monthly CUST'!$D$2:$D$65,0),MATCH(CD$1,'Monthly CUST'!$N$1:$CG$1,0))/12*$M29,IF($J29="Base Period",BR29,IF($J29="Adjusted",SUMIF('Input 15_Fcst Inputs'!$A:$A,$D29,'Input 15_Fcst Inputs'!$G:$G)/12))))),0)</f>
        <v>6309.158740144243</v>
      </c>
      <c r="CE29" s="483">
        <f>IFERROR(IF($J29="Historical Average",INDEX('Monthly UPC'!$CM$2:$DJ$65,MATCH($D29,'Monthly UPC'!$D$2:$D$65,0),MATCH(CE$1,'Monthly UPC'!$CM$1:$DJ$1))*(INDEX('Monthly CUST'!$N$2:$CG$65,MATCH($D29,'Monthly CUST'!$D$2:$D$65,0),MATCH(CE$1,'Monthly CUST'!$N$1:$CG$1,0))),IF($J29="UPC Growth Rate",((BS29/INDEX('Monthly CUST'!$N$2:$CG$65,MATCH($D29,'Monthly CUST'!$D$2:$D$65,0),MATCH(BS$1,'Monthly CUST'!$N$1:$CG$1,0)))*(1+$L29)*INDEX('Monthly CUST'!$N$2:$CG$65,MATCH($D29,'Monthly CUST'!$D$2:$D$65,0),MATCH(CE$1,'Monthly CUST'!$N$1:$CG$1,0))),IF($J29="Modeled UPC",INDEX('Monthly CUST'!$N$2:$CG$65,MATCH($D29,'Monthly CUST'!$D$2:$D$65,0),MATCH(CE$1,'Monthly CUST'!$N$1:$CG$1,0))/12*$M29,IF($J29="Base Period",BS29,IF($J29="Adjusted",SUMIF('Input 15_Fcst Inputs'!$A:$A,$D29,'Input 15_Fcst Inputs'!$G:$G)/12))))),0)</f>
        <v>6146.3097757729756</v>
      </c>
      <c r="CF29" s="483">
        <f>IFERROR(IF($J29="Historical Average",INDEX('Monthly UPC'!$CM$2:$DJ$65,MATCH($D29,'Monthly UPC'!$D$2:$D$65,0),MATCH(CF$1,'Monthly UPC'!$CM$1:$DJ$1))*(INDEX('Monthly CUST'!$N$2:$CG$65,MATCH($D29,'Monthly CUST'!$D$2:$D$65,0),MATCH(CF$1,'Monthly CUST'!$N$1:$CG$1,0))),IF($J29="UPC Growth Rate",((BT29/INDEX('Monthly CUST'!$N$2:$CG$65,MATCH($D29,'Monthly CUST'!$D$2:$D$65,0),MATCH(BT$1,'Monthly CUST'!$N$1:$CG$1,0)))*(1+$L29)*INDEX('Monthly CUST'!$N$2:$CG$65,MATCH($D29,'Monthly CUST'!$D$2:$D$65,0),MATCH(CF$1,'Monthly CUST'!$N$1:$CG$1,0))),IF($J29="Modeled UPC",INDEX('Monthly CUST'!$N$2:$CG$65,MATCH($D29,'Monthly CUST'!$D$2:$D$65,0),MATCH(CF$1,'Monthly CUST'!$N$1:$CG$1,0))/12*$M29,IF($J29="Base Period",BT29,IF($J29="Adjusted",SUMIF('Input 15_Fcst Inputs'!$A:$A,$D29,'Input 15_Fcst Inputs'!$G:$G)/12))))),0)</f>
        <v>7220.7209132368525</v>
      </c>
      <c r="CG29" s="483">
        <f>IFERROR(IF($J29="Historical Average",INDEX('Monthly UPC'!$CM$2:$DJ$65,MATCH($D29,'Monthly UPC'!$D$2:$D$65,0),MATCH(CG$1,'Monthly UPC'!$CM$1:$DJ$1))*(INDEX('Monthly CUST'!$N$2:$CG$65,MATCH($D29,'Monthly CUST'!$D$2:$D$65,0),MATCH(CG$1,'Monthly CUST'!$N$1:$CG$1,0))),IF($J29="UPC Growth Rate",((BU29/INDEX('Monthly CUST'!$N$2:$CG$65,MATCH($D29,'Monthly CUST'!$D$2:$D$65,0),MATCH(BU$1,'Monthly CUST'!$N$1:$CG$1,0)))*(1+$L29)*INDEX('Monthly CUST'!$N$2:$CG$65,MATCH($D29,'Monthly CUST'!$D$2:$D$65,0),MATCH(CG$1,'Monthly CUST'!$N$1:$CG$1,0))),IF($J29="Modeled UPC",INDEX('Monthly CUST'!$N$2:$CG$65,MATCH($D29,'Monthly CUST'!$D$2:$D$65,0),MATCH(CG$1,'Monthly CUST'!$N$1:$CG$1,0))/12*$M29,IF($J29="Base Period",BU29,IF($J29="Adjusted",SUMIF('Input 15_Fcst Inputs'!$A:$A,$D29,'Input 15_Fcst Inputs'!$G:$G)/12))))),0)</f>
        <v>9649.3699727059757</v>
      </c>
      <c r="CH29" s="197"/>
      <c r="CI29" s="197">
        <f t="shared" si="0"/>
        <v>86335.899999999485</v>
      </c>
      <c r="CJ29" s="197">
        <f t="shared" si="1"/>
        <v>83992.079999999783</v>
      </c>
      <c r="CK29" s="197">
        <f t="shared" si="2"/>
        <v>87785.459999999934</v>
      </c>
      <c r="CL29" s="197">
        <f t="shared" si="3"/>
        <v>91419.959999999948</v>
      </c>
      <c r="CM29" s="197">
        <f t="shared" si="4"/>
        <v>90731.417218114104</v>
      </c>
      <c r="CN29" s="197">
        <f t="shared" si="5"/>
        <v>90048.060296761207</v>
      </c>
      <c r="CP29" s="4">
        <f>SUMIF('Master '!D:D,D29,'Master '!AH:AH)</f>
        <v>90731.417218114104</v>
      </c>
      <c r="CQ29" s="4">
        <f>SUMIF('Master '!D:D,D29,'Master '!AI:AI)</f>
        <v>90048.060296761192</v>
      </c>
      <c r="CR29" s="197">
        <f t="shared" si="6"/>
        <v>0</v>
      </c>
      <c r="CS29" s="197">
        <f t="shared" si="7"/>
        <v>0</v>
      </c>
      <c r="CT29" t="s">
        <v>287</v>
      </c>
      <c r="CV29" t="str">
        <f>VLOOKUP(G29,'Master '!G:CC,75,FALSE)</f>
        <v>FTS-A</v>
      </c>
    </row>
    <row r="30" spans="1:100">
      <c r="A30" s="53" t="s">
        <v>17</v>
      </c>
      <c r="B30" s="53" t="s">
        <v>993</v>
      </c>
      <c r="C30" s="53" t="s">
        <v>8</v>
      </c>
      <c r="D30" s="53" t="s">
        <v>1296</v>
      </c>
      <c r="E30" s="53" t="str">
        <f>VLOOKUP(D30,'Input 14_Ref Table'!C:D,2,FALSE)</f>
        <v>CR804</v>
      </c>
      <c r="F30" s="143" t="s">
        <v>1287</v>
      </c>
      <c r="G30" s="53" t="str">
        <f>VLOOKUP(D30,'Input 14_Ref Table'!C:I,7,FALSE)</f>
        <v>CFG - FTS-A - Fixed R</v>
      </c>
      <c r="H30" s="53" t="str">
        <f>VLOOKUP(D30,'Input 14_Ref Table'!C:K,8,FALSE)</f>
        <v>FTS_AB</v>
      </c>
      <c r="I30" s="53"/>
      <c r="J30" t="str">
        <f>INDEX('Master '!$AD$2:AD$65,MATCH(D30,'Master '!$D$2:$D$65,0))</f>
        <v>UPC Growth Rate</v>
      </c>
      <c r="K30" s="458">
        <f>INDEX('Master '!$N$2:N$65,MATCH(D30,'Master '!$D$2:$D$65,0))</f>
        <v>-7.5316460637900734E-3</v>
      </c>
      <c r="L30" s="137">
        <f>INDEX('Master '!$S$2:S$65,MATCH(D30,'Master '!$D$2:$D$65,0))</f>
        <v>0</v>
      </c>
      <c r="M30" s="4">
        <f>INDEX('Master '!$W$2:W$65,MATCH(D30,'Master '!$D$2:$D$65,0))</f>
        <v>103.66332451256534</v>
      </c>
      <c r="N30" s="268">
        <f>SUMIF('Input 16.1_2018VOL-YTD'!$R:$R,$G30,'Input 16.1_2018VOL-YTD'!C:C)</f>
        <v>364.06</v>
      </c>
      <c r="O30" s="268">
        <f>SUMIF('Input 16.1_2018VOL-YTD'!$R:$R,$G30,'Input 16.1_2018VOL-YTD'!D:D)</f>
        <v>279.16000000000003</v>
      </c>
      <c r="P30" s="268">
        <f>SUMIF('Input 16.1_2018VOL-YTD'!$R:$R,$G30,'Input 16.1_2018VOL-YTD'!E:E)</f>
        <v>253.9</v>
      </c>
      <c r="Q30" s="268">
        <f>SUMIF('Input 16.1_2018VOL-YTD'!$R:$R,$G30,'Input 16.1_2018VOL-YTD'!F:F)</f>
        <v>235.22</v>
      </c>
      <c r="R30" s="268">
        <f>SUMIF('Input 16.1_2018VOL-YTD'!$R:$R,$G30,'Input 16.1_2018VOL-YTD'!G:G)</f>
        <v>164.1</v>
      </c>
      <c r="S30" s="268">
        <f>SUMIF('Input 16.1_2018VOL-YTD'!$R:$R,$G30,'Input 16.1_2018VOL-YTD'!H:H)</f>
        <v>285.8</v>
      </c>
      <c r="T30" s="268">
        <f>SUMIF('Input 16.1_2018VOL-YTD'!$R:$R,$G30,'Input 16.1_2018VOL-YTD'!I:I)</f>
        <v>26</v>
      </c>
      <c r="U30" s="268">
        <f>SUMIF('Input 16.1_2018VOL-YTD'!$R:$R,$G30,'Input 16.1_2018VOL-YTD'!J:J)</f>
        <v>150.58000000000001</v>
      </c>
      <c r="V30" s="268">
        <f>SUMIF('Input 16.1_2018VOL-YTD'!$R:$R,$G30,'Input 16.1_2018VOL-YTD'!K:K)</f>
        <v>142.19</v>
      </c>
      <c r="W30" s="268">
        <f>SUMIF('Input 16.1_2018VOL-YTD'!$R:$R,$G30,'Input 16.1_2018VOL-YTD'!L:L)</f>
        <v>149.79</v>
      </c>
      <c r="X30" s="268">
        <f>SUMIF('Input 16.1_2018VOL-YTD'!$R:$R,$G30,'Input 16.1_2018VOL-YTD'!M:M)</f>
        <v>219.62</v>
      </c>
      <c r="Y30" s="268">
        <f>SUMIF('Input 16.1_2018VOL-YTD'!$R:$R,$G30,'Input 16.1_2018VOL-YTD'!N:N)</f>
        <v>285.70999999999998</v>
      </c>
      <c r="Z30" s="268">
        <f>SUMIF('Input 3.1_2019VOL-YTD'!$R:$R,$G30,'Input 3.1_2019VOL-YTD'!C:C)</f>
        <v>303.70999999999998</v>
      </c>
      <c r="AA30" s="268">
        <f>SUMIF('Input 3.1_2019VOL-YTD'!$R:$R,$G30,'Input 3.1_2019VOL-YTD'!D:D)</f>
        <v>321.74</v>
      </c>
      <c r="AB30" s="268">
        <f>SUMIF('Input 3.1_2019VOL-YTD'!$R:$R,$G30,'Input 3.1_2019VOL-YTD'!E:E)</f>
        <v>297.83</v>
      </c>
      <c r="AC30" s="268">
        <f>SUMIF('Input 3.1_2019VOL-YTD'!$R:$R,$G30,'Input 3.1_2019VOL-YTD'!F:F)</f>
        <v>244.94</v>
      </c>
      <c r="AD30" s="268">
        <f>SUMIF('Input 3.1_2019VOL-YTD'!$R:$R,$G30,'Input 3.1_2019VOL-YTD'!G:G)</f>
        <v>195.1</v>
      </c>
      <c r="AE30" s="268">
        <f>SUMIF('Input 3.1_2019VOL-YTD'!$R:$R,$G30,'Input 3.1_2019VOL-YTD'!H:H)</f>
        <v>173.47</v>
      </c>
      <c r="AF30" s="268">
        <f>SUMIF('Input 3.1_2019VOL-YTD'!$R:$R,$G30,'Input 3.1_2019VOL-YTD'!I:I)</f>
        <v>140.43</v>
      </c>
      <c r="AG30" s="268">
        <f>SUMIF('Input 3.1_2019VOL-YTD'!$R:$R,$G30,'Input 3.1_2019VOL-YTD'!J:J)</f>
        <v>135.35</v>
      </c>
      <c r="AH30" s="268">
        <f>SUMIF('Input 3.1_2019VOL-YTD'!$R:$R,$G30,'Input 3.1_2019VOL-YTD'!K:K)</f>
        <v>143.68</v>
      </c>
      <c r="AI30" s="268">
        <f>SUMIF('Input 3.1_2019VOL-YTD'!$R:$R,$G30,'Input 3.1_2019VOL-YTD'!L:L)</f>
        <v>162.34</v>
      </c>
      <c r="AJ30" s="268">
        <f>SUMIF('Input 3.1_2019VOL-YTD'!$R:$R,$G30,'Input 3.1_2019VOL-YTD'!M:M)</f>
        <v>207.76</v>
      </c>
      <c r="AK30" s="268">
        <f>SUMIF('Input 3.1_2019VOL-YTD'!$R:$R,$G30,'Input 3.1_2019VOL-YTD'!N:N)</f>
        <v>323.95999999999998</v>
      </c>
      <c r="AL30" s="268">
        <f>SUMIF('Input 4.1_2020VOL-YTD'!$R:$R,$G30,'Input 4.1_2020VOL-YTD'!C:C)</f>
        <v>399.16</v>
      </c>
      <c r="AM30" s="268">
        <f>SUMIF('Input 4.1_2020VOL-YTD'!$R:$R,$G30,'Input 4.1_2020VOL-YTD'!D:D)</f>
        <v>306.31</v>
      </c>
      <c r="AN30" s="268">
        <f>SUMIF('Input 4.1_2020VOL-YTD'!$R:$R,$G30,'Input 4.1_2020VOL-YTD'!E:E)</f>
        <v>1161.76</v>
      </c>
      <c r="AO30" s="268">
        <f>SUMIF('Input 4.1_2020VOL-YTD'!$R:$R,$G30,'Input 4.1_2020VOL-YTD'!F:F)</f>
        <v>-586.84</v>
      </c>
      <c r="AP30" s="268">
        <f>SUMIF('Input 4.1_2020VOL-YTD'!$R:$R,$G30,'Input 4.1_2020VOL-YTD'!G:G)</f>
        <v>286.5</v>
      </c>
      <c r="AQ30" s="268">
        <f>SUMIF('Input 4.1_2020VOL-YTD'!$R:$R,$G30,'Input 4.1_2020VOL-YTD'!H:H)</f>
        <v>167.91</v>
      </c>
      <c r="AR30" s="268">
        <f>SUMIF('Input 4.1_2020VOL-YTD'!$R:$R,$G30,'Input 4.1_2020VOL-YTD'!I:I)</f>
        <v>163.94</v>
      </c>
      <c r="AS30" s="268">
        <f>SUMIF('Input 4.1_2020VOL-YTD'!$R:$R,$G30,'Input 4.1_2020VOL-YTD'!J:J)</f>
        <v>131.25</v>
      </c>
      <c r="AT30" s="268">
        <f>SUMIF('Input 4.1_2020VOL-YTD'!$R:$R,$G30,'Input 4.1_2020VOL-YTD'!K:K)</f>
        <v>136.77000000000001</v>
      </c>
      <c r="AU30" s="268">
        <f>SUMIF('Input 4.1_2020VOL-YTD'!$R:$R,$G30,'Input 4.1_2020VOL-YTD'!L:L)</f>
        <v>166.92</v>
      </c>
      <c r="AV30" s="268">
        <f>SUMIF('Input 4.1_2020VOL-YTD'!$R:$R,$G30,'Input 4.1_2020VOL-YTD'!M:M)</f>
        <v>262.89</v>
      </c>
      <c r="AW30" s="268">
        <f>SUMIF('Input 4.1_2020VOL-YTD'!$R:$R,$G30,'Input 4.1_2020VOL-YTD'!N:N)</f>
        <v>326.2</v>
      </c>
      <c r="AX30" s="268">
        <f>SUMIF('Input 5.1_2021VOL-YTD'!$R:$R,$G30,'Input 5.1_2021VOL-YTD'!C:C)</f>
        <v>401</v>
      </c>
      <c r="AY30" s="268">
        <f>SUMIF('Input 5.1_2021VOL-YTD'!$R:$R,$G30,'Input 5.1_2021VOL-YTD'!D:D)</f>
        <v>296.44</v>
      </c>
      <c r="AZ30" s="268">
        <f>SUMIF('Input 5.1_2021VOL-YTD'!$R:$R,$G30,'Input 5.1_2021VOL-YTD'!E:E)</f>
        <v>278.26</v>
      </c>
      <c r="BA30" s="268">
        <f>SUMIF('Input 5.1_2021VOL-YTD'!$R:$R,$G30,'Input 5.1_2021VOL-YTD'!F:F)</f>
        <v>268.83999999999997</v>
      </c>
      <c r="BB30" s="268">
        <f>SUMIF('Input 5.1_2021VOL-YTD'!$R:$R,$G30,'Input 5.1_2021VOL-YTD'!G:G)</f>
        <v>164.38</v>
      </c>
      <c r="BC30" s="268">
        <f>SUMIF('Input 5.1_2021VOL-YTD'!$R:$R,$G30,'Input 5.1_2021VOL-YTD'!H:H)</f>
        <v>149.66999999999999</v>
      </c>
      <c r="BD30" s="268">
        <f>SUMIF('Input 5.1_2021VOL-YTD'!$R:$R,$G30,'Input 5.1_2021VOL-YTD'!I:I)</f>
        <v>136.75</v>
      </c>
      <c r="BE30" s="268">
        <f>SUMIF('Input 5.1_2021VOL-YTD'!$R:$R,$G30,'Input 5.1_2021VOL-YTD'!J:J)</f>
        <v>129.43</v>
      </c>
      <c r="BF30" s="268">
        <f>SUMIF('Input 5.1_2021VOL-YTD'!$R:$R,$G30,'Input 5.1_2021VOL-YTD'!K:K)</f>
        <v>138.16</v>
      </c>
      <c r="BG30" s="268">
        <f>SUMIF('Input 5.1_2021VOL-YTD'!$R:$R,$G30,'Input 5.1_2021VOL-YTD'!L:L)</f>
        <v>143.85</v>
      </c>
      <c r="BH30" s="268">
        <f>SUMIF('Input 5.1_2021VOL-YTD'!$R:$R,$G30,'Input 5.1_2021VOL-YTD'!M:M)</f>
        <v>197.62</v>
      </c>
      <c r="BI30" s="268">
        <f>SUMIF('Input 5.1_2021VOL-YTD'!$R:$R,$G30,'Input 5.1_2021VOL-YTD'!N:N)</f>
        <v>303.16000000000003</v>
      </c>
      <c r="BJ30" s="483">
        <f>IFERROR(IF($J30="Historical Average",INDEX('Monthly UPC'!$CM$2:$DJ$65,MATCH($D30,'Monthly UPC'!$D$2:$D$65,0),MATCH(BJ$1,'Monthly UPC'!$CM$1:$DJ$1))*(INDEX('Monthly CUST'!$N$2:$CG$65,MATCH($D30,'Monthly CUST'!$D$2:$D$65,0),MATCH(BJ$1,'Monthly CUST'!$N$1:$CG$1,0))),IF($J30="UPC Growth Rate",((AX30/INDEX('Monthly CUST'!$N$2:$CG$65,MATCH($D30,'Monthly CUST'!$D$2:$D$65,0),MATCH(AX$1,'Monthly CUST'!$N$1:$CG$1,0)))*(1+$L30)*INDEX('Monthly CUST'!$N$2:$CG$65,MATCH($D30,'Monthly CUST'!$D$2:$D$65,0),MATCH(BJ$1,'Monthly CUST'!$N$1:$CG$1,0))),IF($J30="Modeled UPC",INDEX('Monthly CUST'!$N$2:$CG$65,MATCH($D30,'Monthly CUST'!$D$2:$D$65,0),MATCH(BJ$1,'Monthly CUST'!$N$1:$CG$1,0))/12*$M30,IF($J30="Base Period",AX30,IF($J30="Adjusted",SUMIF('Input 15_Fcst Inputs'!$A:$A,$D30,'Input 15_Fcst Inputs'!$G:$G)/12))))),0)</f>
        <v>397.97980992842014</v>
      </c>
      <c r="BK30" s="483">
        <f>IFERROR(IF($J30="Historical Average",INDEX('Monthly UPC'!$CM$2:$DJ$65,MATCH($D30,'Monthly UPC'!$D$2:$D$65,0),MATCH(BK$1,'Monthly UPC'!$CM$1:$DJ$1))*(INDEX('Monthly CUST'!$N$2:$CG$65,MATCH($D30,'Monthly CUST'!$D$2:$D$65,0),MATCH(BK$1,'Monthly CUST'!$N$1:$CG$1,0))),IF($J30="UPC Growth Rate",((AY30/INDEX('Monthly CUST'!$N$2:$CG$65,MATCH($D30,'Monthly CUST'!$D$2:$D$65,0),MATCH(AY$1,'Monthly CUST'!$N$1:$CG$1,0)))*(1+$L30)*INDEX('Monthly CUST'!$N$2:$CG$65,MATCH($D30,'Monthly CUST'!$D$2:$D$65,0),MATCH(BK$1,'Monthly CUST'!$N$1:$CG$1,0))),IF($J30="Modeled UPC",INDEX('Monthly CUST'!$N$2:$CG$65,MATCH($D30,'Monthly CUST'!$D$2:$D$65,0),MATCH(BK$1,'Monthly CUST'!$N$1:$CG$1,0))/12*$M30,IF($J30="Base Period",AY30,IF($J30="Adjusted",SUMIF('Input 15_Fcst Inputs'!$A:$A,$D30,'Input 15_Fcst Inputs'!$G:$G)/12))))),0)</f>
        <v>294.20731884085006</v>
      </c>
      <c r="BL30" s="483">
        <f>IFERROR(IF($J30="Historical Average",INDEX('Monthly UPC'!$CM$2:$DJ$65,MATCH($D30,'Monthly UPC'!$D$2:$D$65,0),MATCH(BL$1,'Monthly UPC'!$CM$1:$DJ$1))*(INDEX('Monthly CUST'!$N$2:$CG$65,MATCH($D30,'Monthly CUST'!$D$2:$D$65,0),MATCH(BL$1,'Monthly CUST'!$N$1:$CG$1,0))),IF($J30="UPC Growth Rate",((AZ30/INDEX('Monthly CUST'!$N$2:$CG$65,MATCH($D30,'Monthly CUST'!$D$2:$D$65,0),MATCH(AZ$1,'Monthly CUST'!$N$1:$CG$1,0)))*(1+$L30)*INDEX('Monthly CUST'!$N$2:$CG$65,MATCH($D30,'Monthly CUST'!$D$2:$D$65,0),MATCH(BL$1,'Monthly CUST'!$N$1:$CG$1,0))),IF($J30="Modeled UPC",INDEX('Monthly CUST'!$N$2:$CG$65,MATCH($D30,'Monthly CUST'!$D$2:$D$65,0),MATCH(BL$1,'Monthly CUST'!$N$1:$CG$1,0))/12*$M30,IF($J30="Base Period",AZ30,IF($J30="Adjusted",SUMIF('Input 15_Fcst Inputs'!$A:$A,$D30,'Input 15_Fcst Inputs'!$G:$G)/12))))),0)</f>
        <v>276.16424416628979</v>
      </c>
      <c r="BM30" s="483">
        <f>IFERROR(IF($J30="Historical Average",INDEX('Monthly UPC'!$CM$2:$DJ$65,MATCH($D30,'Monthly UPC'!$D$2:$D$65,0),MATCH(BM$1,'Monthly UPC'!$CM$1:$DJ$1))*(INDEX('Monthly CUST'!$N$2:$CG$65,MATCH($D30,'Monthly CUST'!$D$2:$D$65,0),MATCH(BM$1,'Monthly CUST'!$N$1:$CG$1,0))),IF($J30="UPC Growth Rate",((BA30/INDEX('Monthly CUST'!$N$2:$CG$65,MATCH($D30,'Monthly CUST'!$D$2:$D$65,0),MATCH(BA$1,'Monthly CUST'!$N$1:$CG$1,0)))*(1+$L30)*INDEX('Monthly CUST'!$N$2:$CG$65,MATCH($D30,'Monthly CUST'!$D$2:$D$65,0),MATCH(BM$1,'Monthly CUST'!$N$1:$CG$1,0))),IF($J30="Modeled UPC",INDEX('Monthly CUST'!$N$2:$CG$65,MATCH($D30,'Monthly CUST'!$D$2:$D$65,0),MATCH(BM$1,'Monthly CUST'!$N$1:$CG$1,0))/12*$M30,IF($J30="Base Period",BA30,IF($J30="Adjusted",SUMIF('Input 15_Fcst Inputs'!$A:$A,$D30,'Input 15_Fcst Inputs'!$G:$G)/12))))),0)</f>
        <v>266.81519227221065</v>
      </c>
      <c r="BN30" s="483">
        <f>IFERROR(IF($J30="Historical Average",INDEX('Monthly UPC'!$CM$2:$DJ$65,MATCH($D30,'Monthly UPC'!$D$2:$D$65,0),MATCH(BN$1,'Monthly UPC'!$CM$1:$DJ$1))*(INDEX('Monthly CUST'!$N$2:$CG$65,MATCH($D30,'Monthly CUST'!$D$2:$D$65,0),MATCH(BN$1,'Monthly CUST'!$N$1:$CG$1,0))),IF($J30="UPC Growth Rate",((BB30/INDEX('Monthly CUST'!$N$2:$CG$65,MATCH($D30,'Monthly CUST'!$D$2:$D$65,0),MATCH(BB$1,'Monthly CUST'!$N$1:$CG$1,0)))*(1+$L30)*INDEX('Monthly CUST'!$N$2:$CG$65,MATCH($D30,'Monthly CUST'!$D$2:$D$65,0),MATCH(BN$1,'Monthly CUST'!$N$1:$CG$1,0))),IF($J30="Modeled UPC",INDEX('Monthly CUST'!$N$2:$CG$65,MATCH($D30,'Monthly CUST'!$D$2:$D$65,0),MATCH(BN$1,'Monthly CUST'!$N$1:$CG$1,0))/12*$M30,IF($J30="Base Period",BB30,IF($J30="Adjusted",SUMIF('Input 15_Fcst Inputs'!$A:$A,$D30,'Input 15_Fcst Inputs'!$G:$G)/12))))),0)</f>
        <v>163.14194802003419</v>
      </c>
      <c r="BO30" s="483">
        <f>IFERROR(IF($J30="Historical Average",INDEX('Monthly UPC'!$CM$2:$DJ$65,MATCH($D30,'Monthly UPC'!$D$2:$D$65,0),MATCH(BO$1,'Monthly UPC'!$CM$1:$DJ$1))*(INDEX('Monthly CUST'!$N$2:$CG$65,MATCH($D30,'Monthly CUST'!$D$2:$D$65,0),MATCH(BO$1,'Monthly CUST'!$N$1:$CG$1,0))),IF($J30="UPC Growth Rate",((BC30/INDEX('Monthly CUST'!$N$2:$CG$65,MATCH($D30,'Monthly CUST'!$D$2:$D$65,0),MATCH(BC$1,'Monthly CUST'!$N$1:$CG$1,0)))*(1+$L30)*INDEX('Monthly CUST'!$N$2:$CG$65,MATCH($D30,'Monthly CUST'!$D$2:$D$65,0),MATCH(BO$1,'Monthly CUST'!$N$1:$CG$1,0))),IF($J30="Modeled UPC",INDEX('Monthly CUST'!$N$2:$CG$65,MATCH($D30,'Monthly CUST'!$D$2:$D$65,0),MATCH(BO$1,'Monthly CUST'!$N$1:$CG$1,0))/12*$M30,IF($J30="Base Period",BC30,IF($J30="Adjusted",SUMIF('Input 15_Fcst Inputs'!$A:$A,$D30,'Input 15_Fcst Inputs'!$G:$G)/12))))),0)</f>
        <v>148.5427385336325</v>
      </c>
      <c r="BP30" s="483">
        <f>IFERROR(IF($J30="Historical Average",INDEX('Monthly UPC'!$CM$2:$DJ$65,MATCH($D30,'Monthly UPC'!$D$2:$D$65,0),MATCH(BP$1,'Monthly UPC'!$CM$1:$DJ$1))*(INDEX('Monthly CUST'!$N$2:$CG$65,MATCH($D30,'Monthly CUST'!$D$2:$D$65,0),MATCH(BP$1,'Monthly CUST'!$N$1:$CG$1,0))),IF($J30="UPC Growth Rate",((BD30/INDEX('Monthly CUST'!$N$2:$CG$65,MATCH($D30,'Monthly CUST'!$D$2:$D$65,0),MATCH(BD$1,'Monthly CUST'!$N$1:$CG$1,0)))*(1+$L30)*INDEX('Monthly CUST'!$N$2:$CG$65,MATCH($D30,'Monthly CUST'!$D$2:$D$65,0),MATCH(BP$1,'Monthly CUST'!$N$1:$CG$1,0))),IF($J30="Modeled UPC",INDEX('Monthly CUST'!$N$2:$CG$65,MATCH($D30,'Monthly CUST'!$D$2:$D$65,0),MATCH(BP$1,'Monthly CUST'!$N$1:$CG$1,0))/12*$M30,IF($J30="Base Period",BD30,IF($J30="Adjusted",SUMIF('Input 15_Fcst Inputs'!$A:$A,$D30,'Input 15_Fcst Inputs'!$G:$G)/12))))),0)</f>
        <v>135.72004740077671</v>
      </c>
      <c r="BQ30" s="483">
        <f>IFERROR(IF($J30="Historical Average",INDEX('Monthly UPC'!$CM$2:$DJ$65,MATCH($D30,'Monthly UPC'!$D$2:$D$65,0),MATCH(BQ$1,'Monthly UPC'!$CM$1:$DJ$1))*(INDEX('Monthly CUST'!$N$2:$CG$65,MATCH($D30,'Monthly CUST'!$D$2:$D$65,0),MATCH(BQ$1,'Monthly CUST'!$N$1:$CG$1,0))),IF($J30="UPC Growth Rate",((BE30/INDEX('Monthly CUST'!$N$2:$CG$65,MATCH($D30,'Monthly CUST'!$D$2:$D$65,0),MATCH(BE$1,'Monthly CUST'!$N$1:$CG$1,0)))*(1+$L30)*INDEX('Monthly CUST'!$N$2:$CG$65,MATCH($D30,'Monthly CUST'!$D$2:$D$65,0),MATCH(BQ$1,'Monthly CUST'!$N$1:$CG$1,0))),IF($J30="Modeled UPC",INDEX('Monthly CUST'!$N$2:$CG$65,MATCH($D30,'Monthly CUST'!$D$2:$D$65,0),MATCH(BQ$1,'Monthly CUST'!$N$1:$CG$1,0))/12*$M30,IF($J30="Base Period",BE30,IF($J30="Adjusted",SUMIF('Input 15_Fcst Inputs'!$A:$A,$D30,'Input 15_Fcst Inputs'!$G:$G)/12))))),0)</f>
        <v>128.45517904996365</v>
      </c>
      <c r="BR30" s="483">
        <f>IFERROR(IF($J30="Historical Average",INDEX('Monthly UPC'!$CM$2:$DJ$65,MATCH($D30,'Monthly UPC'!$D$2:$D$65,0),MATCH(BR$1,'Monthly UPC'!$CM$1:$DJ$1))*(INDEX('Monthly CUST'!$N$2:$CG$65,MATCH($D30,'Monthly CUST'!$D$2:$D$65,0),MATCH(BR$1,'Monthly CUST'!$N$1:$CG$1,0))),IF($J30="UPC Growth Rate",((BF30/INDEX('Monthly CUST'!$N$2:$CG$65,MATCH($D30,'Monthly CUST'!$D$2:$D$65,0),MATCH(BF$1,'Monthly CUST'!$N$1:$CG$1,0)))*(1+$L30)*INDEX('Monthly CUST'!$N$2:$CG$65,MATCH($D30,'Monthly CUST'!$D$2:$D$65,0),MATCH(BR$1,'Monthly CUST'!$N$1:$CG$1,0))),IF($J30="Modeled UPC",INDEX('Monthly CUST'!$N$2:$CG$65,MATCH($D30,'Monthly CUST'!$D$2:$D$65,0),MATCH(BR$1,'Monthly CUST'!$N$1:$CG$1,0))/12*$M30,IF($J30="Base Period",BF30,IF($J30="Adjusted",SUMIF('Input 15_Fcst Inputs'!$A:$A,$D30,'Input 15_Fcst Inputs'!$G:$G)/12))))),0)</f>
        <v>137.11942777982676</v>
      </c>
      <c r="BS30" s="483">
        <f>IFERROR(IF($J30="Historical Average",INDEX('Monthly UPC'!$CM$2:$DJ$65,MATCH($D30,'Monthly UPC'!$D$2:$D$65,0),MATCH(BS$1,'Monthly UPC'!$CM$1:$DJ$1))*(INDEX('Monthly CUST'!$N$2:$CG$65,MATCH($D30,'Monthly CUST'!$D$2:$D$65,0),MATCH(BS$1,'Monthly CUST'!$N$1:$CG$1,0))),IF($J30="UPC Growth Rate",((BG30/INDEX('Monthly CUST'!$N$2:$CG$65,MATCH($D30,'Monthly CUST'!$D$2:$D$65,0),MATCH(BG$1,'Monthly CUST'!$N$1:$CG$1,0)))*(1+$L30)*INDEX('Monthly CUST'!$N$2:$CG$65,MATCH($D30,'Monthly CUST'!$D$2:$D$65,0),MATCH(BS$1,'Monthly CUST'!$N$1:$CG$1,0))),IF($J30="Modeled UPC",INDEX('Monthly CUST'!$N$2:$CG$65,MATCH($D30,'Monthly CUST'!$D$2:$D$65,0),MATCH(BS$1,'Monthly CUST'!$N$1:$CG$1,0))/12*$M30,IF($J30="Base Period",BG30,IF($J30="Adjusted",SUMIF('Input 15_Fcst Inputs'!$A:$A,$D30,'Input 15_Fcst Inputs'!$G:$G)/12))))),0)</f>
        <v>142.7665727137238</v>
      </c>
      <c r="BT30" s="483">
        <f>IFERROR(IF($J30="Historical Average",INDEX('Monthly UPC'!$CM$2:$DJ$65,MATCH($D30,'Monthly UPC'!$D$2:$D$65,0),MATCH(BT$1,'Monthly UPC'!$CM$1:$DJ$1))*(INDEX('Monthly CUST'!$N$2:$CG$65,MATCH($D30,'Monthly CUST'!$D$2:$D$65,0),MATCH(BT$1,'Monthly CUST'!$N$1:$CG$1,0))),IF($J30="UPC Growth Rate",((BH30/INDEX('Monthly CUST'!$N$2:$CG$65,MATCH($D30,'Monthly CUST'!$D$2:$D$65,0),MATCH(BH$1,'Monthly CUST'!$N$1:$CG$1,0)))*(1+$L30)*INDEX('Monthly CUST'!$N$2:$CG$65,MATCH($D30,'Monthly CUST'!$D$2:$D$65,0),MATCH(BT$1,'Monthly CUST'!$N$1:$CG$1,0))),IF($J30="Modeled UPC",INDEX('Monthly CUST'!$N$2:$CG$65,MATCH($D30,'Monthly CUST'!$D$2:$D$65,0),MATCH(BT$1,'Monthly CUST'!$N$1:$CG$1,0))/12*$M30,IF($J30="Base Period",BH30,IF($J30="Adjusted",SUMIF('Input 15_Fcst Inputs'!$A:$A,$D30,'Input 15_Fcst Inputs'!$G:$G)/12))))),0)</f>
        <v>196.13159610487381</v>
      </c>
      <c r="BU30" s="483">
        <f>IFERROR(IF($J30="Historical Average",INDEX('Monthly UPC'!$CM$2:$DJ$65,MATCH($D30,'Monthly UPC'!$D$2:$D$65,0),MATCH(BU$1,'Monthly UPC'!$CM$1:$DJ$1))*(INDEX('Monthly CUST'!$N$2:$CG$65,MATCH($D30,'Monthly CUST'!$D$2:$D$65,0),MATCH(BU$1,'Monthly CUST'!$N$1:$CG$1,0))),IF($J30="UPC Growth Rate",((BI30/INDEX('Monthly CUST'!$N$2:$CG$65,MATCH($D30,'Monthly CUST'!$D$2:$D$65,0),MATCH(BI$1,'Monthly CUST'!$N$1:$CG$1,0)))*(1+$L30)*INDEX('Monthly CUST'!$N$2:$CG$65,MATCH($D30,'Monthly CUST'!$D$2:$D$65,0),MATCH(BU$1,'Monthly CUST'!$N$1:$CG$1,0))),IF($J30="Modeled UPC",INDEX('Monthly CUST'!$N$2:$CG$65,MATCH($D30,'Monthly CUST'!$D$2:$D$65,0),MATCH(BU$1,'Monthly CUST'!$N$1:$CG$1,0))/12*$M30,IF($J30="Base Period",BI30,IF($J30="Adjusted",SUMIF('Input 15_Fcst Inputs'!$A:$A,$D30,'Input 15_Fcst Inputs'!$G:$G)/12))))),0)</f>
        <v>300.87670617930144</v>
      </c>
      <c r="BV30" s="483">
        <f>IFERROR(IF($J30="Historical Average",INDEX('Monthly UPC'!$CM$2:$DJ$65,MATCH($D30,'Monthly UPC'!$D$2:$D$65,0),MATCH(BV$1,'Monthly UPC'!$CM$1:$DJ$1))*(INDEX('Monthly CUST'!$N$2:$CG$65,MATCH($D30,'Monthly CUST'!$D$2:$D$65,0),MATCH(BV$1,'Monthly CUST'!$N$1:$CG$1,0))),IF($J30="UPC Growth Rate",((BJ30/INDEX('Monthly CUST'!$N$2:$CG$65,MATCH($D30,'Monthly CUST'!$D$2:$D$65,0),MATCH(BJ$1,'Monthly CUST'!$N$1:$CG$1,0)))*(1+$L30)*INDEX('Monthly CUST'!$N$2:$CG$65,MATCH($D30,'Monthly CUST'!$D$2:$D$65,0),MATCH(BV$1,'Monthly CUST'!$N$1:$CG$1,0))),IF($J30="Modeled UPC",INDEX('Monthly CUST'!$N$2:$CG$65,MATCH($D30,'Monthly CUST'!$D$2:$D$65,0),MATCH(BV$1,'Monthly CUST'!$N$1:$CG$1,0))/12*$M30,IF($J30="Base Period",BJ30,IF($J30="Adjusted",SUMIF('Input 15_Fcst Inputs'!$A:$A,$D30,'Input 15_Fcst Inputs'!$G:$G)/12))))),0)</f>
        <v>394.98236685950479</v>
      </c>
      <c r="BW30" s="483">
        <f>IFERROR(IF($J30="Historical Average",INDEX('Monthly UPC'!$CM$2:$DJ$65,MATCH($D30,'Monthly UPC'!$D$2:$D$65,0),MATCH(BW$1,'Monthly UPC'!$CM$1:$DJ$1))*(INDEX('Monthly CUST'!$N$2:$CG$65,MATCH($D30,'Monthly CUST'!$D$2:$D$65,0),MATCH(BW$1,'Monthly CUST'!$N$1:$CG$1,0))),IF($J30="UPC Growth Rate",((BK30/INDEX('Monthly CUST'!$N$2:$CG$65,MATCH($D30,'Monthly CUST'!$D$2:$D$65,0),MATCH(BK$1,'Monthly CUST'!$N$1:$CG$1,0)))*(1+$L30)*INDEX('Monthly CUST'!$N$2:$CG$65,MATCH($D30,'Monthly CUST'!$D$2:$D$65,0),MATCH(BW$1,'Monthly CUST'!$N$1:$CG$1,0))),IF($J30="Modeled UPC",INDEX('Monthly CUST'!$N$2:$CG$65,MATCH($D30,'Monthly CUST'!$D$2:$D$65,0),MATCH(BW$1,'Monthly CUST'!$N$1:$CG$1,0))/12*$M30,IF($J30="Base Period",BK30,IF($J30="Adjusted",SUMIF('Input 15_Fcst Inputs'!$A:$A,$D30,'Input 15_Fcst Inputs'!$G:$G)/12))))),0)</f>
        <v>291.99145344596417</v>
      </c>
      <c r="BX30" s="483">
        <f>IFERROR(IF($J30="Historical Average",INDEX('Monthly UPC'!$CM$2:$DJ$65,MATCH($D30,'Monthly UPC'!$D$2:$D$65,0),MATCH(BX$1,'Monthly UPC'!$CM$1:$DJ$1))*(INDEX('Monthly CUST'!$N$2:$CG$65,MATCH($D30,'Monthly CUST'!$D$2:$D$65,0),MATCH(BX$1,'Monthly CUST'!$N$1:$CG$1,0))),IF($J30="UPC Growth Rate",((BL30/INDEX('Monthly CUST'!$N$2:$CG$65,MATCH($D30,'Monthly CUST'!$D$2:$D$65,0),MATCH(BL$1,'Monthly CUST'!$N$1:$CG$1,0)))*(1+$L30)*INDEX('Monthly CUST'!$N$2:$CG$65,MATCH($D30,'Monthly CUST'!$D$2:$D$65,0),MATCH(BX$1,'Monthly CUST'!$N$1:$CG$1,0))),IF($J30="Modeled UPC",INDEX('Monthly CUST'!$N$2:$CG$65,MATCH($D30,'Monthly CUST'!$D$2:$D$65,0),MATCH(BX$1,'Monthly CUST'!$N$1:$CG$1,0))/12*$M30,IF($J30="Base Period",BL30,IF($J30="Adjusted",SUMIF('Input 15_Fcst Inputs'!$A:$A,$D30,'Input 15_Fcst Inputs'!$G:$G)/12))))),0)</f>
        <v>274.08427282375521</v>
      </c>
      <c r="BY30" s="483">
        <f>IFERROR(IF($J30="Historical Average",INDEX('Monthly UPC'!$CM$2:$DJ$65,MATCH($D30,'Monthly UPC'!$D$2:$D$65,0),MATCH(BY$1,'Monthly UPC'!$CM$1:$DJ$1))*(INDEX('Monthly CUST'!$N$2:$CG$65,MATCH($D30,'Monthly CUST'!$D$2:$D$65,0),MATCH(BY$1,'Monthly CUST'!$N$1:$CG$1,0))),IF($J30="UPC Growth Rate",((BM30/INDEX('Monthly CUST'!$N$2:$CG$65,MATCH($D30,'Monthly CUST'!$D$2:$D$65,0),MATCH(BM$1,'Monthly CUST'!$N$1:$CG$1,0)))*(1+$L30)*INDEX('Monthly CUST'!$N$2:$CG$65,MATCH($D30,'Monthly CUST'!$D$2:$D$65,0),MATCH(BY$1,'Monthly CUST'!$N$1:$CG$1,0))),IF($J30="Modeled UPC",INDEX('Monthly CUST'!$N$2:$CG$65,MATCH($D30,'Monthly CUST'!$D$2:$D$65,0),MATCH(BY$1,'Monthly CUST'!$N$1:$CG$1,0))/12*$M30,IF($J30="Base Period",BM30,IF($J30="Adjusted",SUMIF('Input 15_Fcst Inputs'!$A:$A,$D30,'Input 15_Fcst Inputs'!$G:$G)/12))))),0)</f>
        <v>264.80563467957427</v>
      </c>
      <c r="BZ30" s="483">
        <f>IFERROR(IF($J30="Historical Average",INDEX('Monthly UPC'!$CM$2:$DJ$65,MATCH($D30,'Monthly UPC'!$D$2:$D$65,0),MATCH(BZ$1,'Monthly UPC'!$CM$1:$DJ$1))*(INDEX('Monthly CUST'!$N$2:$CG$65,MATCH($D30,'Monthly CUST'!$D$2:$D$65,0),MATCH(BZ$1,'Monthly CUST'!$N$1:$CG$1,0))),IF($J30="UPC Growth Rate",((BN30/INDEX('Monthly CUST'!$N$2:$CG$65,MATCH($D30,'Monthly CUST'!$D$2:$D$65,0),MATCH(BN$1,'Monthly CUST'!$N$1:$CG$1,0)))*(1+$L30)*INDEX('Monthly CUST'!$N$2:$CG$65,MATCH($D30,'Monthly CUST'!$D$2:$D$65,0),MATCH(BZ$1,'Monthly CUST'!$N$1:$CG$1,0))),IF($J30="Modeled UPC",INDEX('Monthly CUST'!$N$2:$CG$65,MATCH($D30,'Monthly CUST'!$D$2:$D$65,0),MATCH(BZ$1,'Monthly CUST'!$N$1:$CG$1,0))/12*$M30,IF($J30="Base Period",BN30,IF($J30="Adjusted",SUMIF('Input 15_Fcst Inputs'!$A:$A,$D30,'Input 15_Fcst Inputs'!$G:$G)/12))))),0)</f>
        <v>161.91322060939004</v>
      </c>
      <c r="CA30" s="483">
        <f>IFERROR(IF($J30="Historical Average",INDEX('Monthly UPC'!$CM$2:$DJ$65,MATCH($D30,'Monthly UPC'!$D$2:$D$65,0),MATCH(CA$1,'Monthly UPC'!$CM$1:$DJ$1))*(INDEX('Monthly CUST'!$N$2:$CG$65,MATCH($D30,'Monthly CUST'!$D$2:$D$65,0),MATCH(CA$1,'Monthly CUST'!$N$1:$CG$1,0))),IF($J30="UPC Growth Rate",((BO30/INDEX('Monthly CUST'!$N$2:$CG$65,MATCH($D30,'Monthly CUST'!$D$2:$D$65,0),MATCH(BO$1,'Monthly CUST'!$N$1:$CG$1,0)))*(1+$L30)*INDEX('Monthly CUST'!$N$2:$CG$65,MATCH($D30,'Monthly CUST'!$D$2:$D$65,0),MATCH(CA$1,'Monthly CUST'!$N$1:$CG$1,0))),IF($J30="Modeled UPC",INDEX('Monthly CUST'!$N$2:$CG$65,MATCH($D30,'Monthly CUST'!$D$2:$D$65,0),MATCH(CA$1,'Monthly CUST'!$N$1:$CG$1,0))/12*$M30,IF($J30="Base Period",BO30,IF($J30="Adjusted",SUMIF('Input 15_Fcst Inputs'!$A:$A,$D30,'Input 15_Fcst Inputs'!$G:$G)/12))))),0)</f>
        <v>147.4239672016511</v>
      </c>
      <c r="CB30" s="483">
        <f>IFERROR(IF($J30="Historical Average",INDEX('Monthly UPC'!$CM$2:$DJ$65,MATCH($D30,'Monthly UPC'!$D$2:$D$65,0),MATCH(CB$1,'Monthly UPC'!$CM$1:$DJ$1))*(INDEX('Monthly CUST'!$N$2:$CG$65,MATCH($D30,'Monthly CUST'!$D$2:$D$65,0),MATCH(CB$1,'Monthly CUST'!$N$1:$CG$1,0))),IF($J30="UPC Growth Rate",((BP30/INDEX('Monthly CUST'!$N$2:$CG$65,MATCH($D30,'Monthly CUST'!$D$2:$D$65,0),MATCH(BP$1,'Monthly CUST'!$N$1:$CG$1,0)))*(1+$L30)*INDEX('Monthly CUST'!$N$2:$CG$65,MATCH($D30,'Monthly CUST'!$D$2:$D$65,0),MATCH(CB$1,'Monthly CUST'!$N$1:$CG$1,0))),IF($J30="Modeled UPC",INDEX('Monthly CUST'!$N$2:$CG$65,MATCH($D30,'Monthly CUST'!$D$2:$D$65,0),MATCH(CB$1,'Monthly CUST'!$N$1:$CG$1,0))/12*$M30,IF($J30="Base Period",BP30,IF($J30="Adjusted",SUMIF('Input 15_Fcst Inputs'!$A:$A,$D30,'Input 15_Fcst Inputs'!$G:$G)/12))))),0)</f>
        <v>134.69785203999325</v>
      </c>
      <c r="CC30" s="483">
        <f>IFERROR(IF($J30="Historical Average",INDEX('Monthly UPC'!$CM$2:$DJ$65,MATCH($D30,'Monthly UPC'!$D$2:$D$65,0),MATCH(CC$1,'Monthly UPC'!$CM$1:$DJ$1))*(INDEX('Monthly CUST'!$N$2:$CG$65,MATCH($D30,'Monthly CUST'!$D$2:$D$65,0),MATCH(CC$1,'Monthly CUST'!$N$1:$CG$1,0))),IF($J30="UPC Growth Rate",((BQ30/INDEX('Monthly CUST'!$N$2:$CG$65,MATCH($D30,'Monthly CUST'!$D$2:$D$65,0),MATCH(BQ$1,'Monthly CUST'!$N$1:$CG$1,0)))*(1+$L30)*INDEX('Monthly CUST'!$N$2:$CG$65,MATCH($D30,'Monthly CUST'!$D$2:$D$65,0),MATCH(CC$1,'Monthly CUST'!$N$1:$CG$1,0))),IF($J30="Modeled UPC",INDEX('Monthly CUST'!$N$2:$CG$65,MATCH($D30,'Monthly CUST'!$D$2:$D$65,0),MATCH(CC$1,'Monthly CUST'!$N$1:$CG$1,0))/12*$M30,IF($J30="Base Period",BQ30,IF($J30="Adjusted",SUMIF('Input 15_Fcst Inputs'!$A:$A,$D30,'Input 15_Fcst Inputs'!$G:$G)/12))))),0)</f>
        <v>127.48770010629855</v>
      </c>
      <c r="CD30" s="483">
        <f>IFERROR(IF($J30="Historical Average",INDEX('Monthly UPC'!$CM$2:$DJ$65,MATCH($D30,'Monthly UPC'!$D$2:$D$65,0),MATCH(CD$1,'Monthly UPC'!$CM$1:$DJ$1))*(INDEX('Monthly CUST'!$N$2:$CG$65,MATCH($D30,'Monthly CUST'!$D$2:$D$65,0),MATCH(CD$1,'Monthly CUST'!$N$1:$CG$1,0))),IF($J30="UPC Growth Rate",((BR30/INDEX('Monthly CUST'!$N$2:$CG$65,MATCH($D30,'Monthly CUST'!$D$2:$D$65,0),MATCH(BR$1,'Monthly CUST'!$N$1:$CG$1,0)))*(1+$L30)*INDEX('Monthly CUST'!$N$2:$CG$65,MATCH($D30,'Monthly CUST'!$D$2:$D$65,0),MATCH(CD$1,'Monthly CUST'!$N$1:$CG$1,0))),IF($J30="Modeled UPC",INDEX('Monthly CUST'!$N$2:$CG$65,MATCH($D30,'Monthly CUST'!$D$2:$D$65,0),MATCH(CD$1,'Monthly CUST'!$N$1:$CG$1,0))/12*$M30,IF($J30="Base Period",BR30,IF($J30="Adjusted",SUMIF('Input 15_Fcst Inputs'!$A:$A,$D30,'Input 15_Fcst Inputs'!$G:$G)/12))))),0)</f>
        <v>136.08669278131967</v>
      </c>
      <c r="CE30" s="483">
        <f>IFERROR(IF($J30="Historical Average",INDEX('Monthly UPC'!$CM$2:$DJ$65,MATCH($D30,'Monthly UPC'!$D$2:$D$65,0),MATCH(CE$1,'Monthly UPC'!$CM$1:$DJ$1))*(INDEX('Monthly CUST'!$N$2:$CG$65,MATCH($D30,'Monthly CUST'!$D$2:$D$65,0),MATCH(CE$1,'Monthly CUST'!$N$1:$CG$1,0))),IF($J30="UPC Growth Rate",((BS30/INDEX('Monthly CUST'!$N$2:$CG$65,MATCH($D30,'Monthly CUST'!$D$2:$D$65,0),MATCH(BS$1,'Monthly CUST'!$N$1:$CG$1,0)))*(1+$L30)*INDEX('Monthly CUST'!$N$2:$CG$65,MATCH($D30,'Monthly CUST'!$D$2:$D$65,0),MATCH(CE$1,'Monthly CUST'!$N$1:$CG$1,0))),IF($J30="Modeled UPC",INDEX('Monthly CUST'!$N$2:$CG$65,MATCH($D30,'Monthly CUST'!$D$2:$D$65,0),MATCH(CE$1,'Monthly CUST'!$N$1:$CG$1,0))/12*$M30,IF($J30="Base Period",BS30,IF($J30="Adjusted",SUMIF('Input 15_Fcst Inputs'!$A:$A,$D30,'Input 15_Fcst Inputs'!$G:$G)/12))))),0)</f>
        <v>141.69130541830367</v>
      </c>
      <c r="CF30" s="483">
        <f>IFERROR(IF($J30="Historical Average",INDEX('Monthly UPC'!$CM$2:$DJ$65,MATCH($D30,'Monthly UPC'!$D$2:$D$65,0),MATCH(CF$1,'Monthly UPC'!$CM$1:$DJ$1))*(INDEX('Monthly CUST'!$N$2:$CG$65,MATCH($D30,'Monthly CUST'!$D$2:$D$65,0),MATCH(CF$1,'Monthly CUST'!$N$1:$CG$1,0))),IF($J30="UPC Growth Rate",((BT30/INDEX('Monthly CUST'!$N$2:$CG$65,MATCH($D30,'Monthly CUST'!$D$2:$D$65,0),MATCH(BT$1,'Monthly CUST'!$N$1:$CG$1,0)))*(1+$L30)*INDEX('Monthly CUST'!$N$2:$CG$65,MATCH($D30,'Monthly CUST'!$D$2:$D$65,0),MATCH(CF$1,'Monthly CUST'!$N$1:$CG$1,0))),IF($J30="Modeled UPC",INDEX('Monthly CUST'!$N$2:$CG$65,MATCH($D30,'Monthly CUST'!$D$2:$D$65,0),MATCH(CF$1,'Monthly CUST'!$N$1:$CG$1,0))/12*$M30,IF($J30="Base Period",BT30,IF($J30="Adjusted",SUMIF('Input 15_Fcst Inputs'!$A:$A,$D30,'Input 15_Fcst Inputs'!$G:$G)/12))))),0)</f>
        <v>194.65440234108564</v>
      </c>
      <c r="CG30" s="483">
        <f>IFERROR(IF($J30="Historical Average",INDEX('Monthly UPC'!$CM$2:$DJ$65,MATCH($D30,'Monthly UPC'!$D$2:$D$65,0),MATCH(CG$1,'Monthly UPC'!$CM$1:$DJ$1))*(INDEX('Monthly CUST'!$N$2:$CG$65,MATCH($D30,'Monthly CUST'!$D$2:$D$65,0),MATCH(CG$1,'Monthly CUST'!$N$1:$CG$1,0))),IF($J30="UPC Growth Rate",((BU30/INDEX('Monthly CUST'!$N$2:$CG$65,MATCH($D30,'Monthly CUST'!$D$2:$D$65,0),MATCH(BU$1,'Monthly CUST'!$N$1:$CG$1,0)))*(1+$L30)*INDEX('Monthly CUST'!$N$2:$CG$65,MATCH($D30,'Monthly CUST'!$D$2:$D$65,0),MATCH(CG$1,'Monthly CUST'!$N$1:$CG$1,0))),IF($J30="Modeled UPC",INDEX('Monthly CUST'!$N$2:$CG$65,MATCH($D30,'Monthly CUST'!$D$2:$D$65,0),MATCH(CG$1,'Monthly CUST'!$N$1:$CG$1,0))/12*$M30,IF($J30="Base Period",BU30,IF($J30="Adjusted",SUMIF('Input 15_Fcst Inputs'!$A:$A,$D30,'Input 15_Fcst Inputs'!$G:$G)/12))))),0)</f>
        <v>298.61060931951994</v>
      </c>
      <c r="CH30" s="197"/>
      <c r="CI30" s="197">
        <f t="shared" si="0"/>
        <v>2556.1299999999997</v>
      </c>
      <c r="CJ30" s="197">
        <f t="shared" si="1"/>
        <v>2650.3100000000004</v>
      </c>
      <c r="CK30" s="197">
        <f t="shared" si="2"/>
        <v>2922.77</v>
      </c>
      <c r="CL30" s="197">
        <f t="shared" si="3"/>
        <v>2607.56</v>
      </c>
      <c r="CM30" s="197">
        <f t="shared" si="4"/>
        <v>2587.9207809899035</v>
      </c>
      <c r="CN30" s="197">
        <f t="shared" si="5"/>
        <v>2568.42947762636</v>
      </c>
      <c r="CP30" s="4">
        <f>SUMIF('Master '!D:D,D30,'Master '!AH:AH)</f>
        <v>2587.9207809899035</v>
      </c>
      <c r="CQ30" s="4">
        <f>SUMIF('Master '!D:D,D30,'Master '!AI:AI)</f>
        <v>2568.4294776263605</v>
      </c>
      <c r="CR30" s="197">
        <f t="shared" si="6"/>
        <v>0</v>
      </c>
      <c r="CS30" s="197">
        <f t="shared" si="7"/>
        <v>0</v>
      </c>
      <c r="CT30" t="s">
        <v>287</v>
      </c>
      <c r="CV30" t="str">
        <f>VLOOKUP(G30,'Master '!G:CC,75,FALSE)</f>
        <v>FTS-A</v>
      </c>
    </row>
    <row r="31" spans="1:100">
      <c r="A31" s="53" t="s">
        <v>17</v>
      </c>
      <c r="B31" s="53" t="s">
        <v>993</v>
      </c>
      <c r="C31" s="53" t="s">
        <v>8</v>
      </c>
      <c r="D31" s="53" t="s">
        <v>1298</v>
      </c>
      <c r="E31" s="53" t="str">
        <f>VLOOKUP(D31,'Input 14_Ref Table'!C:D,2,FALSE)</f>
        <v>CR807</v>
      </c>
      <c r="F31" s="143" t="s">
        <v>1286</v>
      </c>
      <c r="G31" s="53" t="str">
        <f>VLOOKUP(D31,'Input 14_Ref Table'!C:I,7,FALSE)</f>
        <v>CFG - FTS-B R</v>
      </c>
      <c r="H31" s="53" t="str">
        <f>VLOOKUP(D31,'Input 14_Ref Table'!C:K,8,FALSE)</f>
        <v>FTS_AB</v>
      </c>
      <c r="I31" s="53"/>
      <c r="J31" t="str">
        <f>INDEX('Master '!$AD$2:AD$65,MATCH(D31,'Master '!$D$2:$D$65,0))</f>
        <v>UPC Growth Rate</v>
      </c>
      <c r="K31" s="458">
        <f>INDEX('Master '!$N$2:N$65,MATCH(D31,'Master '!$D$2:$D$65,0))</f>
        <v>-7.5316460637900734E-3</v>
      </c>
      <c r="L31" s="137">
        <f>INDEX('Master '!$S$2:S$65,MATCH(D31,'Master '!$D$2:$D$65,0))</f>
        <v>0</v>
      </c>
      <c r="M31" s="4">
        <f>INDEX('Master '!$W$2:W$65,MATCH(D31,'Master '!$D$2:$D$65,0))</f>
        <v>103.66332451256534</v>
      </c>
      <c r="N31" s="268">
        <f>SUMIF('Input 16.1_2018VOL-YTD'!$R:$R,$G31,'Input 16.1_2018VOL-YTD'!C:C)</f>
        <v>43131.09</v>
      </c>
      <c r="O31" s="268">
        <f>SUMIF('Input 16.1_2018VOL-YTD'!$R:$R,$G31,'Input 16.1_2018VOL-YTD'!D:D)</f>
        <v>27496.0800000001</v>
      </c>
      <c r="P31" s="268">
        <f>SUMIF('Input 16.1_2018VOL-YTD'!$R:$R,$G31,'Input 16.1_2018VOL-YTD'!E:E)</f>
        <v>25464</v>
      </c>
      <c r="Q31" s="268">
        <f>SUMIF('Input 16.1_2018VOL-YTD'!$R:$R,$G31,'Input 16.1_2018VOL-YTD'!F:F)</f>
        <v>24735.840000000098</v>
      </c>
      <c r="R31" s="268">
        <f>SUMIF('Input 16.1_2018VOL-YTD'!$R:$R,$G31,'Input 16.1_2018VOL-YTD'!G:G)</f>
        <v>20800.209999999799</v>
      </c>
      <c r="S31" s="268">
        <f>SUMIF('Input 16.1_2018VOL-YTD'!$R:$R,$G31,'Input 16.1_2018VOL-YTD'!H:H)</f>
        <v>21551.039999999801</v>
      </c>
      <c r="T31" s="268">
        <f>SUMIF('Input 16.1_2018VOL-YTD'!$R:$R,$G31,'Input 16.1_2018VOL-YTD'!I:I)</f>
        <v>18536</v>
      </c>
      <c r="U31" s="268">
        <f>SUMIF('Input 16.1_2018VOL-YTD'!$R:$R,$G31,'Input 16.1_2018VOL-YTD'!J:J)</f>
        <v>19034.0799999999</v>
      </c>
      <c r="V31" s="268">
        <f>SUMIF('Input 16.1_2018VOL-YTD'!$R:$R,$G31,'Input 16.1_2018VOL-YTD'!K:K)</f>
        <v>19422.329999999802</v>
      </c>
      <c r="W31" s="268">
        <f>SUMIF('Input 16.1_2018VOL-YTD'!$R:$R,$G31,'Input 16.1_2018VOL-YTD'!L:L)</f>
        <v>17737.91</v>
      </c>
      <c r="X31" s="268">
        <f>SUMIF('Input 16.1_2018VOL-YTD'!$R:$R,$G31,'Input 16.1_2018VOL-YTD'!M:M)</f>
        <v>23695.8400000002</v>
      </c>
      <c r="Y31" s="268">
        <f>SUMIF('Input 16.1_2018VOL-YTD'!$R:$R,$G31,'Input 16.1_2018VOL-YTD'!N:N)</f>
        <v>31206.709999999901</v>
      </c>
      <c r="Z31" s="268">
        <f>SUMIF('Input 3.1_2019VOL-YTD'!$R:$R,$G31,'Input 3.1_2019VOL-YTD'!C:C)</f>
        <v>33265.11</v>
      </c>
      <c r="AA31" s="268">
        <f>SUMIF('Input 3.1_2019VOL-YTD'!$R:$R,$G31,'Input 3.1_2019VOL-YTD'!D:D)</f>
        <v>31765.3</v>
      </c>
      <c r="AB31" s="268">
        <f>SUMIF('Input 3.1_2019VOL-YTD'!$R:$R,$G31,'Input 3.1_2019VOL-YTD'!E:E)</f>
        <v>25003.739999999802</v>
      </c>
      <c r="AC31" s="268">
        <f>SUMIF('Input 3.1_2019VOL-YTD'!$R:$R,$G31,'Input 3.1_2019VOL-YTD'!F:F)</f>
        <v>23967.940000000199</v>
      </c>
      <c r="AD31" s="268">
        <f>SUMIF('Input 3.1_2019VOL-YTD'!$R:$R,$G31,'Input 3.1_2019VOL-YTD'!G:G)</f>
        <v>22011.950000000201</v>
      </c>
      <c r="AE31" s="268">
        <f>SUMIF('Input 3.1_2019VOL-YTD'!$R:$R,$G31,'Input 3.1_2019VOL-YTD'!H:H)</f>
        <v>19550.789999999899</v>
      </c>
      <c r="AF31" s="268">
        <f>SUMIF('Input 3.1_2019VOL-YTD'!$R:$R,$G31,'Input 3.1_2019VOL-YTD'!I:I)</f>
        <v>17081.460000000199</v>
      </c>
      <c r="AG31" s="268">
        <f>SUMIF('Input 3.1_2019VOL-YTD'!$R:$R,$G31,'Input 3.1_2019VOL-YTD'!J:J)</f>
        <v>18953.569999999901</v>
      </c>
      <c r="AH31" s="268">
        <f>SUMIF('Input 3.1_2019VOL-YTD'!$R:$R,$G31,'Input 3.1_2019VOL-YTD'!K:K)</f>
        <v>19642.8200000002</v>
      </c>
      <c r="AI31" s="268">
        <f>SUMIF('Input 3.1_2019VOL-YTD'!$R:$R,$G31,'Input 3.1_2019VOL-YTD'!L:L)</f>
        <v>18839.949999999801</v>
      </c>
      <c r="AJ31" s="268">
        <f>SUMIF('Input 3.1_2019VOL-YTD'!$R:$R,$G31,'Input 3.1_2019VOL-YTD'!M:M)</f>
        <v>22284.4899999999</v>
      </c>
      <c r="AK31" s="268">
        <f>SUMIF('Input 3.1_2019VOL-YTD'!$R:$R,$G31,'Input 3.1_2019VOL-YTD'!N:N)</f>
        <v>30310.140000000301</v>
      </c>
      <c r="AL31" s="268">
        <f>SUMIF('Input 4.1_2020VOL-YTD'!$R:$R,$G31,'Input 4.1_2020VOL-YTD'!C:C)</f>
        <v>30526.8100000001</v>
      </c>
      <c r="AM31" s="268">
        <f>SUMIF('Input 4.1_2020VOL-YTD'!$R:$R,$G31,'Input 4.1_2020VOL-YTD'!D:D)</f>
        <v>28752.9199999997</v>
      </c>
      <c r="AN31" s="268">
        <f>SUMIF('Input 4.1_2020VOL-YTD'!$R:$R,$G31,'Input 4.1_2020VOL-YTD'!E:E)</f>
        <v>26441.780000000101</v>
      </c>
      <c r="AO31" s="268">
        <f>SUMIF('Input 4.1_2020VOL-YTD'!$R:$R,$G31,'Input 4.1_2020VOL-YTD'!F:F)</f>
        <v>25540.749999999702</v>
      </c>
      <c r="AP31" s="268">
        <f>SUMIF('Input 4.1_2020VOL-YTD'!$R:$R,$G31,'Input 4.1_2020VOL-YTD'!G:G)</f>
        <v>22868.559999999899</v>
      </c>
      <c r="AQ31" s="268">
        <f>SUMIF('Input 4.1_2020VOL-YTD'!$R:$R,$G31,'Input 4.1_2020VOL-YTD'!H:H)</f>
        <v>19729.030000000101</v>
      </c>
      <c r="AR31" s="268">
        <f>SUMIF('Input 4.1_2020VOL-YTD'!$R:$R,$G31,'Input 4.1_2020VOL-YTD'!I:I)</f>
        <v>21177.149999999801</v>
      </c>
      <c r="AS31" s="268">
        <f>SUMIF('Input 4.1_2020VOL-YTD'!$R:$R,$G31,'Input 4.1_2020VOL-YTD'!J:J)</f>
        <v>18547.690000000199</v>
      </c>
      <c r="AT31" s="268">
        <f>SUMIF('Input 4.1_2020VOL-YTD'!$R:$R,$G31,'Input 4.1_2020VOL-YTD'!K:K)</f>
        <v>19607.430000000099</v>
      </c>
      <c r="AU31" s="268">
        <f>SUMIF('Input 4.1_2020VOL-YTD'!$R:$R,$G31,'Input 4.1_2020VOL-YTD'!L:L)</f>
        <v>18460.66</v>
      </c>
      <c r="AV31" s="268">
        <f>SUMIF('Input 4.1_2020VOL-YTD'!$R:$R,$G31,'Input 4.1_2020VOL-YTD'!M:M)</f>
        <v>22127.529999999799</v>
      </c>
      <c r="AW31" s="268">
        <f>SUMIF('Input 4.1_2020VOL-YTD'!$R:$R,$G31,'Input 4.1_2020VOL-YTD'!N:N)</f>
        <v>34755.479999999799</v>
      </c>
      <c r="AX31" s="268">
        <f>SUMIF('Input 5.1_2021VOL-YTD'!$R:$R,$G31,'Input 5.1_2021VOL-YTD'!C:C)</f>
        <v>36943.209999999897</v>
      </c>
      <c r="AY31" s="268">
        <f>SUMIF('Input 5.1_2021VOL-YTD'!$R:$R,$G31,'Input 5.1_2021VOL-YTD'!D:D)</f>
        <v>28284.829999999602</v>
      </c>
      <c r="AZ31" s="268">
        <f>SUMIF('Input 5.1_2021VOL-YTD'!$R:$R,$G31,'Input 5.1_2021VOL-YTD'!E:E)</f>
        <v>24660.0700000004</v>
      </c>
      <c r="BA31" s="268">
        <f>SUMIF('Input 5.1_2021VOL-YTD'!$R:$R,$G31,'Input 5.1_2021VOL-YTD'!F:F)</f>
        <v>26575.5099999999</v>
      </c>
      <c r="BB31" s="268">
        <f>SUMIF('Input 5.1_2021VOL-YTD'!$R:$R,$G31,'Input 5.1_2021VOL-YTD'!G:G)</f>
        <v>20283.099999999798</v>
      </c>
      <c r="BC31" s="268">
        <f>SUMIF('Input 5.1_2021VOL-YTD'!$R:$R,$G31,'Input 5.1_2021VOL-YTD'!H:H)</f>
        <v>19602.550000000199</v>
      </c>
      <c r="BD31" s="268">
        <f>SUMIF('Input 5.1_2021VOL-YTD'!$R:$R,$G31,'Input 5.1_2021VOL-YTD'!I:I)</f>
        <v>20004.279999999901</v>
      </c>
      <c r="BE31" s="268">
        <f>SUMIF('Input 5.1_2021VOL-YTD'!$R:$R,$G31,'Input 5.1_2021VOL-YTD'!J:J)</f>
        <v>18649.919999999802</v>
      </c>
      <c r="BF31" s="268">
        <f>SUMIF('Input 5.1_2021VOL-YTD'!$R:$R,$G31,'Input 5.1_2021VOL-YTD'!K:K)</f>
        <v>20356.680000000099</v>
      </c>
      <c r="BG31" s="268">
        <f>SUMIF('Input 5.1_2021VOL-YTD'!$R:$R,$G31,'Input 5.1_2021VOL-YTD'!L:L)</f>
        <v>19536.389999999901</v>
      </c>
      <c r="BH31" s="268">
        <f>SUMIF('Input 5.1_2021VOL-YTD'!$R:$R,$G31,'Input 5.1_2021VOL-YTD'!M:M)</f>
        <v>21566.309999999899</v>
      </c>
      <c r="BI31" s="268">
        <f>SUMIF('Input 5.1_2021VOL-YTD'!$R:$R,$G31,'Input 5.1_2021VOL-YTD'!N:N)</f>
        <v>30811.46</v>
      </c>
      <c r="BJ31" s="483">
        <f>IFERROR(IF($J31="Historical Average",INDEX('Monthly UPC'!$CM$2:$DJ$65,MATCH($D31,'Monthly UPC'!$D$2:$D$65,0),MATCH(BJ$1,'Monthly UPC'!$CM$1:$DJ$1))*(INDEX('Monthly CUST'!$N$2:$CG$65,MATCH($D31,'Monthly CUST'!$D$2:$D$65,0),MATCH(BJ$1,'Monthly CUST'!$N$1:$CG$1,0))),IF($J31="UPC Growth Rate",((AX31/INDEX('Monthly CUST'!$N$2:$CG$65,MATCH($D31,'Monthly CUST'!$D$2:$D$65,0),MATCH(AX$1,'Monthly CUST'!$N$1:$CG$1,0)))*(1+$L31)*INDEX('Monthly CUST'!$N$2:$CG$65,MATCH($D31,'Monthly CUST'!$D$2:$D$65,0),MATCH(BJ$1,'Monthly CUST'!$N$1:$CG$1,0))),IF($J31="Modeled UPC",INDEX('Monthly CUST'!$N$2:$CG$65,MATCH($D31,'Monthly CUST'!$D$2:$D$65,0),MATCH(BJ$1,'Monthly CUST'!$N$1:$CG$1,0))/12*$M31,IF($J31="Base Period",AX31,IF($J31="Adjusted",SUMIF('Input 15_Fcst Inputs'!$A:$A,$D31,'Input 15_Fcst Inputs'!$G:$G)/12))))),0)</f>
        <v>36664.966817819623</v>
      </c>
      <c r="BK31" s="483">
        <f>IFERROR(IF($J31="Historical Average",INDEX('Monthly UPC'!$CM$2:$DJ$65,MATCH($D31,'Monthly UPC'!$D$2:$D$65,0),MATCH(BK$1,'Monthly UPC'!$CM$1:$DJ$1))*(INDEX('Monthly CUST'!$N$2:$CG$65,MATCH($D31,'Monthly CUST'!$D$2:$D$65,0),MATCH(BK$1,'Monthly CUST'!$N$1:$CG$1,0))),IF($J31="UPC Growth Rate",((AY31/INDEX('Monthly CUST'!$N$2:$CG$65,MATCH($D31,'Monthly CUST'!$D$2:$D$65,0),MATCH(AY$1,'Monthly CUST'!$N$1:$CG$1,0)))*(1+$L31)*INDEX('Monthly CUST'!$N$2:$CG$65,MATCH($D31,'Monthly CUST'!$D$2:$D$65,0),MATCH(BK$1,'Monthly CUST'!$N$1:$CG$1,0))),IF($J31="Modeled UPC",INDEX('Monthly CUST'!$N$2:$CG$65,MATCH($D31,'Monthly CUST'!$D$2:$D$65,0),MATCH(BK$1,'Monthly CUST'!$N$1:$CG$1,0))/12*$M31,IF($J31="Base Period",AY31,IF($J31="Adjusted",SUMIF('Input 15_Fcst Inputs'!$A:$A,$D31,'Input 15_Fcst Inputs'!$G:$G)/12))))),0)</f>
        <v>28071.798671465134</v>
      </c>
      <c r="BL31" s="483">
        <f>IFERROR(IF($J31="Historical Average",INDEX('Monthly UPC'!$CM$2:$DJ$65,MATCH($D31,'Monthly UPC'!$D$2:$D$65,0),MATCH(BL$1,'Monthly UPC'!$CM$1:$DJ$1))*(INDEX('Monthly CUST'!$N$2:$CG$65,MATCH($D31,'Monthly CUST'!$D$2:$D$65,0),MATCH(BL$1,'Monthly CUST'!$N$1:$CG$1,0))),IF($J31="UPC Growth Rate",((AZ31/INDEX('Monthly CUST'!$N$2:$CG$65,MATCH($D31,'Monthly CUST'!$D$2:$D$65,0),MATCH(AZ$1,'Monthly CUST'!$N$1:$CG$1,0)))*(1+$L31)*INDEX('Monthly CUST'!$N$2:$CG$65,MATCH($D31,'Monthly CUST'!$D$2:$D$65,0),MATCH(BL$1,'Monthly CUST'!$N$1:$CG$1,0))),IF($J31="Modeled UPC",INDEX('Monthly CUST'!$N$2:$CG$65,MATCH($D31,'Monthly CUST'!$D$2:$D$65,0),MATCH(BL$1,'Monthly CUST'!$N$1:$CG$1,0))/12*$M31,IF($J31="Base Period",AZ31,IF($J31="Adjusted",SUMIF('Input 15_Fcst Inputs'!$A:$A,$D31,'Input 15_Fcst Inputs'!$G:$G)/12))))),0)</f>
        <v>24474.339080852111</v>
      </c>
      <c r="BM31" s="483">
        <f>IFERROR(IF($J31="Historical Average",INDEX('Monthly UPC'!$CM$2:$DJ$65,MATCH($D31,'Monthly UPC'!$D$2:$D$65,0),MATCH(BM$1,'Monthly UPC'!$CM$1:$DJ$1))*(INDEX('Monthly CUST'!$N$2:$CG$65,MATCH($D31,'Monthly CUST'!$D$2:$D$65,0),MATCH(BM$1,'Monthly CUST'!$N$1:$CG$1,0))),IF($J31="UPC Growth Rate",((BA31/INDEX('Monthly CUST'!$N$2:$CG$65,MATCH($D31,'Monthly CUST'!$D$2:$D$65,0),MATCH(BA$1,'Monthly CUST'!$N$1:$CG$1,0)))*(1+$L31)*INDEX('Monthly CUST'!$N$2:$CG$65,MATCH($D31,'Monthly CUST'!$D$2:$D$65,0),MATCH(BM$1,'Monthly CUST'!$N$1:$CG$1,0))),IF($J31="Modeled UPC",INDEX('Monthly CUST'!$N$2:$CG$65,MATCH($D31,'Monthly CUST'!$D$2:$D$65,0),MATCH(BM$1,'Monthly CUST'!$N$1:$CG$1,0))/12*$M31,IF($J31="Base Period",BA31,IF($J31="Adjusted",SUMIF('Input 15_Fcst Inputs'!$A:$A,$D31,'Input 15_Fcst Inputs'!$G:$G)/12))))),0)</f>
        <v>26375.352664715185</v>
      </c>
      <c r="BN31" s="483">
        <f>IFERROR(IF($J31="Historical Average",INDEX('Monthly UPC'!$CM$2:$DJ$65,MATCH($D31,'Monthly UPC'!$D$2:$D$65,0),MATCH(BN$1,'Monthly UPC'!$CM$1:$DJ$1))*(INDEX('Monthly CUST'!$N$2:$CG$65,MATCH($D31,'Monthly CUST'!$D$2:$D$65,0),MATCH(BN$1,'Monthly CUST'!$N$1:$CG$1,0))),IF($J31="UPC Growth Rate",((BB31/INDEX('Monthly CUST'!$N$2:$CG$65,MATCH($D31,'Monthly CUST'!$D$2:$D$65,0),MATCH(BB$1,'Monthly CUST'!$N$1:$CG$1,0)))*(1+$L31)*INDEX('Monthly CUST'!$N$2:$CG$65,MATCH($D31,'Monthly CUST'!$D$2:$D$65,0),MATCH(BN$1,'Monthly CUST'!$N$1:$CG$1,0))),IF($J31="Modeled UPC",INDEX('Monthly CUST'!$N$2:$CG$65,MATCH($D31,'Monthly CUST'!$D$2:$D$65,0),MATCH(BN$1,'Monthly CUST'!$N$1:$CG$1,0))/12*$M31,IF($J31="Base Period",BB31,IF($J31="Adjusted",SUMIF('Input 15_Fcst Inputs'!$A:$A,$D31,'Input 15_Fcst Inputs'!$G:$G)/12))))),0)</f>
        <v>20130.334869723341</v>
      </c>
      <c r="BO31" s="483">
        <f>IFERROR(IF($J31="Historical Average",INDEX('Monthly UPC'!$CM$2:$DJ$65,MATCH($D31,'Monthly UPC'!$D$2:$D$65,0),MATCH(BO$1,'Monthly UPC'!$CM$1:$DJ$1))*(INDEX('Monthly CUST'!$N$2:$CG$65,MATCH($D31,'Monthly CUST'!$D$2:$D$65,0),MATCH(BO$1,'Monthly CUST'!$N$1:$CG$1,0))),IF($J31="UPC Growth Rate",((BC31/INDEX('Monthly CUST'!$N$2:$CG$65,MATCH($D31,'Monthly CUST'!$D$2:$D$65,0),MATCH(BC$1,'Monthly CUST'!$N$1:$CG$1,0)))*(1+$L31)*INDEX('Monthly CUST'!$N$2:$CG$65,MATCH($D31,'Monthly CUST'!$D$2:$D$65,0),MATCH(BO$1,'Monthly CUST'!$N$1:$CG$1,0))),IF($J31="Modeled UPC",INDEX('Monthly CUST'!$N$2:$CG$65,MATCH($D31,'Monthly CUST'!$D$2:$D$65,0),MATCH(BO$1,'Monthly CUST'!$N$1:$CG$1,0))/12*$M31,IF($J31="Base Period",BC31,IF($J31="Adjusted",SUMIF('Input 15_Fcst Inputs'!$A:$A,$D31,'Input 15_Fcst Inputs'!$G:$G)/12))))),0)</f>
        <v>19454.91053145245</v>
      </c>
      <c r="BP31" s="483">
        <f>IFERROR(IF($J31="Historical Average",INDEX('Monthly UPC'!$CM$2:$DJ$65,MATCH($D31,'Monthly UPC'!$D$2:$D$65,0),MATCH(BP$1,'Monthly UPC'!$CM$1:$DJ$1))*(INDEX('Monthly CUST'!$N$2:$CG$65,MATCH($D31,'Monthly CUST'!$D$2:$D$65,0),MATCH(BP$1,'Monthly CUST'!$N$1:$CG$1,0))),IF($J31="UPC Growth Rate",((BD31/INDEX('Monthly CUST'!$N$2:$CG$65,MATCH($D31,'Monthly CUST'!$D$2:$D$65,0),MATCH(BD$1,'Monthly CUST'!$N$1:$CG$1,0)))*(1+$L31)*INDEX('Monthly CUST'!$N$2:$CG$65,MATCH($D31,'Monthly CUST'!$D$2:$D$65,0),MATCH(BP$1,'Monthly CUST'!$N$1:$CG$1,0))),IF($J31="Modeled UPC",INDEX('Monthly CUST'!$N$2:$CG$65,MATCH($D31,'Monthly CUST'!$D$2:$D$65,0),MATCH(BP$1,'Monthly CUST'!$N$1:$CG$1,0))/12*$M31,IF($J31="Base Period",BD31,IF($J31="Adjusted",SUMIF('Input 15_Fcst Inputs'!$A:$A,$D31,'Input 15_Fcst Inputs'!$G:$G)/12))))),0)</f>
        <v>19853.614843278941</v>
      </c>
      <c r="BQ31" s="483">
        <f>IFERROR(IF($J31="Historical Average",INDEX('Monthly UPC'!$CM$2:$DJ$65,MATCH($D31,'Monthly UPC'!$D$2:$D$65,0),MATCH(BQ$1,'Monthly UPC'!$CM$1:$DJ$1))*(INDEX('Monthly CUST'!$N$2:$CG$65,MATCH($D31,'Monthly CUST'!$D$2:$D$65,0),MATCH(BQ$1,'Monthly CUST'!$N$1:$CG$1,0))),IF($J31="UPC Growth Rate",((BE31/INDEX('Monthly CUST'!$N$2:$CG$65,MATCH($D31,'Monthly CUST'!$D$2:$D$65,0),MATCH(BE$1,'Monthly CUST'!$N$1:$CG$1,0)))*(1+$L31)*INDEX('Monthly CUST'!$N$2:$CG$65,MATCH($D31,'Monthly CUST'!$D$2:$D$65,0),MATCH(BQ$1,'Monthly CUST'!$N$1:$CG$1,0))),IF($J31="Modeled UPC",INDEX('Monthly CUST'!$N$2:$CG$65,MATCH($D31,'Monthly CUST'!$D$2:$D$65,0),MATCH(BQ$1,'Monthly CUST'!$N$1:$CG$1,0))/12*$M31,IF($J31="Base Period",BE31,IF($J31="Adjusted",SUMIF('Input 15_Fcst Inputs'!$A:$A,$D31,'Input 15_Fcst Inputs'!$G:$G)/12))))),0)</f>
        <v>18509.455403441803</v>
      </c>
      <c r="BR31" s="483">
        <f>IFERROR(IF($J31="Historical Average",INDEX('Monthly UPC'!$CM$2:$DJ$65,MATCH($D31,'Monthly UPC'!$D$2:$D$65,0),MATCH(BR$1,'Monthly UPC'!$CM$1:$DJ$1))*(INDEX('Monthly CUST'!$N$2:$CG$65,MATCH($D31,'Monthly CUST'!$D$2:$D$65,0),MATCH(BR$1,'Monthly CUST'!$N$1:$CG$1,0))),IF($J31="UPC Growth Rate",((BF31/INDEX('Monthly CUST'!$N$2:$CG$65,MATCH($D31,'Monthly CUST'!$D$2:$D$65,0),MATCH(BF$1,'Monthly CUST'!$N$1:$CG$1,0)))*(1+$L31)*INDEX('Monthly CUST'!$N$2:$CG$65,MATCH($D31,'Monthly CUST'!$D$2:$D$65,0),MATCH(BR$1,'Monthly CUST'!$N$1:$CG$1,0))),IF($J31="Modeled UPC",INDEX('Monthly CUST'!$N$2:$CG$65,MATCH($D31,'Monthly CUST'!$D$2:$D$65,0),MATCH(BR$1,'Monthly CUST'!$N$1:$CG$1,0))/12*$M31,IF($J31="Base Period",BF31,IF($J31="Adjusted",SUMIF('Input 15_Fcst Inputs'!$A:$A,$D31,'Input 15_Fcst Inputs'!$G:$G)/12))))),0)</f>
        <v>20203.360691206264</v>
      </c>
      <c r="BS31" s="483">
        <f>IFERROR(IF($J31="Historical Average",INDEX('Monthly UPC'!$CM$2:$DJ$65,MATCH($D31,'Monthly UPC'!$D$2:$D$65,0),MATCH(BS$1,'Monthly UPC'!$CM$1:$DJ$1))*(INDEX('Monthly CUST'!$N$2:$CG$65,MATCH($D31,'Monthly CUST'!$D$2:$D$65,0),MATCH(BS$1,'Monthly CUST'!$N$1:$CG$1,0))),IF($J31="UPC Growth Rate",((BG31/INDEX('Monthly CUST'!$N$2:$CG$65,MATCH($D31,'Monthly CUST'!$D$2:$D$65,0),MATCH(BG$1,'Monthly CUST'!$N$1:$CG$1,0)))*(1+$L31)*INDEX('Monthly CUST'!$N$2:$CG$65,MATCH($D31,'Monthly CUST'!$D$2:$D$65,0),MATCH(BS$1,'Monthly CUST'!$N$1:$CG$1,0))),IF($J31="Modeled UPC",INDEX('Monthly CUST'!$N$2:$CG$65,MATCH($D31,'Monthly CUST'!$D$2:$D$65,0),MATCH(BS$1,'Monthly CUST'!$N$1:$CG$1,0))/12*$M31,IF($J31="Base Period",BG31,IF($J31="Adjusted",SUMIF('Input 15_Fcst Inputs'!$A:$A,$D31,'Input 15_Fcst Inputs'!$G:$G)/12))))),0)</f>
        <v>19389.248825155733</v>
      </c>
      <c r="BT31" s="483">
        <f>IFERROR(IF($J31="Historical Average",INDEX('Monthly UPC'!$CM$2:$DJ$65,MATCH($D31,'Monthly UPC'!$D$2:$D$65,0),MATCH(BT$1,'Monthly UPC'!$CM$1:$DJ$1))*(INDEX('Monthly CUST'!$N$2:$CG$65,MATCH($D31,'Monthly CUST'!$D$2:$D$65,0),MATCH(BT$1,'Monthly CUST'!$N$1:$CG$1,0))),IF($J31="UPC Growth Rate",((BH31/INDEX('Monthly CUST'!$N$2:$CG$65,MATCH($D31,'Monthly CUST'!$D$2:$D$65,0),MATCH(BH$1,'Monthly CUST'!$N$1:$CG$1,0)))*(1+$L31)*INDEX('Monthly CUST'!$N$2:$CG$65,MATCH($D31,'Monthly CUST'!$D$2:$D$65,0),MATCH(BT$1,'Monthly CUST'!$N$1:$CG$1,0))),IF($J31="Modeled UPC",INDEX('Monthly CUST'!$N$2:$CG$65,MATCH($D31,'Monthly CUST'!$D$2:$D$65,0),MATCH(BT$1,'Monthly CUST'!$N$1:$CG$1,0))/12*$M31,IF($J31="Base Period",BH31,IF($J31="Adjusted",SUMIF('Input 15_Fcst Inputs'!$A:$A,$D31,'Input 15_Fcst Inputs'!$G:$G)/12))))),0)</f>
        <v>21403.880186177921</v>
      </c>
      <c r="BU31" s="483">
        <f>IFERROR(IF($J31="Historical Average",INDEX('Monthly UPC'!$CM$2:$DJ$65,MATCH($D31,'Monthly UPC'!$D$2:$D$65,0),MATCH(BU$1,'Monthly UPC'!$CM$1:$DJ$1))*(INDEX('Monthly CUST'!$N$2:$CG$65,MATCH($D31,'Monthly CUST'!$D$2:$D$65,0),MATCH(BU$1,'Monthly CUST'!$N$1:$CG$1,0))),IF($J31="UPC Growth Rate",((BI31/INDEX('Monthly CUST'!$N$2:$CG$65,MATCH($D31,'Monthly CUST'!$D$2:$D$65,0),MATCH(BI$1,'Monthly CUST'!$N$1:$CG$1,0)))*(1+$L31)*INDEX('Monthly CUST'!$N$2:$CG$65,MATCH($D31,'Monthly CUST'!$D$2:$D$65,0),MATCH(BU$1,'Monthly CUST'!$N$1:$CG$1,0))),IF($J31="Modeled UPC",INDEX('Monthly CUST'!$N$2:$CG$65,MATCH($D31,'Monthly CUST'!$D$2:$D$65,0),MATCH(BU$1,'Monthly CUST'!$N$1:$CG$1,0))/12*$M31,IF($J31="Base Period",BI31,IF($J31="Adjusted",SUMIF('Input 15_Fcst Inputs'!$A:$A,$D31,'Input 15_Fcst Inputs'!$G:$G)/12))))),0)</f>
        <v>30579.398988571375</v>
      </c>
      <c r="BV31" s="483">
        <f>IFERROR(IF($J31="Historical Average",INDEX('Monthly UPC'!$CM$2:$DJ$65,MATCH($D31,'Monthly UPC'!$D$2:$D$65,0),MATCH(BV$1,'Monthly UPC'!$CM$1:$DJ$1))*(INDEX('Monthly CUST'!$N$2:$CG$65,MATCH($D31,'Monthly CUST'!$D$2:$D$65,0),MATCH(BV$1,'Monthly CUST'!$N$1:$CG$1,0))),IF($J31="UPC Growth Rate",((BJ31/INDEX('Monthly CUST'!$N$2:$CG$65,MATCH($D31,'Monthly CUST'!$D$2:$D$65,0),MATCH(BJ$1,'Monthly CUST'!$N$1:$CG$1,0)))*(1+$L31)*INDEX('Monthly CUST'!$N$2:$CG$65,MATCH($D31,'Monthly CUST'!$D$2:$D$65,0),MATCH(BV$1,'Monthly CUST'!$N$1:$CG$1,0))),IF($J31="Modeled UPC",INDEX('Monthly CUST'!$N$2:$CG$65,MATCH($D31,'Monthly CUST'!$D$2:$D$65,0),MATCH(BV$1,'Monthly CUST'!$N$1:$CG$1,0))/12*$M31,IF($J31="Base Period",BJ31,IF($J31="Adjusted",SUMIF('Input 15_Fcst Inputs'!$A:$A,$D31,'Input 15_Fcst Inputs'!$G:$G)/12))))),0)</f>
        <v>36388.8192648072</v>
      </c>
      <c r="BW31" s="483">
        <f>IFERROR(IF($J31="Historical Average",INDEX('Monthly UPC'!$CM$2:$DJ$65,MATCH($D31,'Monthly UPC'!$D$2:$D$65,0),MATCH(BW$1,'Monthly UPC'!$CM$1:$DJ$1))*(INDEX('Monthly CUST'!$N$2:$CG$65,MATCH($D31,'Monthly CUST'!$D$2:$D$65,0),MATCH(BW$1,'Monthly CUST'!$N$1:$CG$1,0))),IF($J31="UPC Growth Rate",((BK31/INDEX('Monthly CUST'!$N$2:$CG$65,MATCH($D31,'Monthly CUST'!$D$2:$D$65,0),MATCH(BK$1,'Monthly CUST'!$N$1:$CG$1,0)))*(1+$L31)*INDEX('Monthly CUST'!$N$2:$CG$65,MATCH($D31,'Monthly CUST'!$D$2:$D$65,0),MATCH(BW$1,'Monthly CUST'!$N$1:$CG$1,0))),IF($J31="Modeled UPC",INDEX('Monthly CUST'!$N$2:$CG$65,MATCH($D31,'Monthly CUST'!$D$2:$D$65,0),MATCH(BW$1,'Monthly CUST'!$N$1:$CG$1,0))/12*$M31,IF($J31="Base Period",BK31,IF($J31="Adjusted",SUMIF('Input 15_Fcst Inputs'!$A:$A,$D31,'Input 15_Fcst Inputs'!$G:$G)/12))))),0)</f>
        <v>27860.371819497683</v>
      </c>
      <c r="BX31" s="483">
        <f>IFERROR(IF($J31="Historical Average",INDEX('Monthly UPC'!$CM$2:$DJ$65,MATCH($D31,'Monthly UPC'!$D$2:$D$65,0),MATCH(BX$1,'Monthly UPC'!$CM$1:$DJ$1))*(INDEX('Monthly CUST'!$N$2:$CG$65,MATCH($D31,'Monthly CUST'!$D$2:$D$65,0),MATCH(BX$1,'Monthly CUST'!$N$1:$CG$1,0))),IF($J31="UPC Growth Rate",((BL31/INDEX('Monthly CUST'!$N$2:$CG$65,MATCH($D31,'Monthly CUST'!$D$2:$D$65,0),MATCH(BL$1,'Monthly CUST'!$N$1:$CG$1,0)))*(1+$L31)*INDEX('Monthly CUST'!$N$2:$CG$65,MATCH($D31,'Monthly CUST'!$D$2:$D$65,0),MATCH(BX$1,'Monthly CUST'!$N$1:$CG$1,0))),IF($J31="Modeled UPC",INDEX('Monthly CUST'!$N$2:$CG$65,MATCH($D31,'Monthly CUST'!$D$2:$D$65,0),MATCH(BX$1,'Monthly CUST'!$N$1:$CG$1,0))/12*$M31,IF($J31="Base Period",BL31,IF($J31="Adjusted",SUMIF('Input 15_Fcst Inputs'!$A:$A,$D31,'Input 15_Fcst Inputs'!$G:$G)/12))))),0)</f>
        <v>24290.007021249945</v>
      </c>
      <c r="BY31" s="483">
        <f>IFERROR(IF($J31="Historical Average",INDEX('Monthly UPC'!$CM$2:$DJ$65,MATCH($D31,'Monthly UPC'!$D$2:$D$65,0),MATCH(BY$1,'Monthly UPC'!$CM$1:$DJ$1))*(INDEX('Monthly CUST'!$N$2:$CG$65,MATCH($D31,'Monthly CUST'!$D$2:$D$65,0),MATCH(BY$1,'Monthly CUST'!$N$1:$CG$1,0))),IF($J31="UPC Growth Rate",((BM31/INDEX('Monthly CUST'!$N$2:$CG$65,MATCH($D31,'Monthly CUST'!$D$2:$D$65,0),MATCH(BM$1,'Monthly CUST'!$N$1:$CG$1,0)))*(1+$L31)*INDEX('Monthly CUST'!$N$2:$CG$65,MATCH($D31,'Monthly CUST'!$D$2:$D$65,0),MATCH(BY$1,'Monthly CUST'!$N$1:$CG$1,0))),IF($J31="Modeled UPC",INDEX('Monthly CUST'!$N$2:$CG$65,MATCH($D31,'Monthly CUST'!$D$2:$D$65,0),MATCH(BY$1,'Monthly CUST'!$N$1:$CG$1,0))/12*$M31,IF($J31="Base Period",BM31,IF($J31="Adjusted",SUMIF('Input 15_Fcst Inputs'!$A:$A,$D31,'Input 15_Fcst Inputs'!$G:$G)/12))))),0)</f>
        <v>26176.702843636907</v>
      </c>
      <c r="BZ31" s="483">
        <f>IFERROR(IF($J31="Historical Average",INDEX('Monthly UPC'!$CM$2:$DJ$65,MATCH($D31,'Monthly UPC'!$D$2:$D$65,0),MATCH(BZ$1,'Monthly UPC'!$CM$1:$DJ$1))*(INDEX('Monthly CUST'!$N$2:$CG$65,MATCH($D31,'Monthly CUST'!$D$2:$D$65,0),MATCH(BZ$1,'Monthly CUST'!$N$1:$CG$1,0))),IF($J31="UPC Growth Rate",((BN31/INDEX('Monthly CUST'!$N$2:$CG$65,MATCH($D31,'Monthly CUST'!$D$2:$D$65,0),MATCH(BN$1,'Monthly CUST'!$N$1:$CG$1,0)))*(1+$L31)*INDEX('Monthly CUST'!$N$2:$CG$65,MATCH($D31,'Monthly CUST'!$D$2:$D$65,0),MATCH(BZ$1,'Monthly CUST'!$N$1:$CG$1,0))),IF($J31="Modeled UPC",INDEX('Monthly CUST'!$N$2:$CG$65,MATCH($D31,'Monthly CUST'!$D$2:$D$65,0),MATCH(BZ$1,'Monthly CUST'!$N$1:$CG$1,0))/12*$M31,IF($J31="Base Period",BN31,IF($J31="Adjusted",SUMIF('Input 15_Fcst Inputs'!$A:$A,$D31,'Input 15_Fcst Inputs'!$G:$G)/12))))),0)</f>
        <v>19978.72031233901</v>
      </c>
      <c r="CA31" s="483">
        <f>IFERROR(IF($J31="Historical Average",INDEX('Monthly UPC'!$CM$2:$DJ$65,MATCH($D31,'Monthly UPC'!$D$2:$D$65,0),MATCH(CA$1,'Monthly UPC'!$CM$1:$DJ$1))*(INDEX('Monthly CUST'!$N$2:$CG$65,MATCH($D31,'Monthly CUST'!$D$2:$D$65,0),MATCH(CA$1,'Monthly CUST'!$N$1:$CG$1,0))),IF($J31="UPC Growth Rate",((BO31/INDEX('Monthly CUST'!$N$2:$CG$65,MATCH($D31,'Monthly CUST'!$D$2:$D$65,0),MATCH(BO$1,'Monthly CUST'!$N$1:$CG$1,0)))*(1+$L31)*INDEX('Monthly CUST'!$N$2:$CG$65,MATCH($D31,'Monthly CUST'!$D$2:$D$65,0),MATCH(CA$1,'Monthly CUST'!$N$1:$CG$1,0))),IF($J31="Modeled UPC",INDEX('Monthly CUST'!$N$2:$CG$65,MATCH($D31,'Monthly CUST'!$D$2:$D$65,0),MATCH(CA$1,'Monthly CUST'!$N$1:$CG$1,0))/12*$M31,IF($J31="Base Period",BO31,IF($J31="Adjusted",SUMIF('Input 15_Fcst Inputs'!$A:$A,$D31,'Input 15_Fcst Inputs'!$G:$G)/12))))),0)</f>
        <v>19308.383031126847</v>
      </c>
      <c r="CB31" s="483">
        <f>IFERROR(IF($J31="Historical Average",INDEX('Monthly UPC'!$CM$2:$DJ$65,MATCH($D31,'Monthly UPC'!$D$2:$D$65,0),MATCH(CB$1,'Monthly UPC'!$CM$1:$DJ$1))*(INDEX('Monthly CUST'!$N$2:$CG$65,MATCH($D31,'Monthly CUST'!$D$2:$D$65,0),MATCH(CB$1,'Monthly CUST'!$N$1:$CG$1,0))),IF($J31="UPC Growth Rate",((BP31/INDEX('Monthly CUST'!$N$2:$CG$65,MATCH($D31,'Monthly CUST'!$D$2:$D$65,0),MATCH(BP$1,'Monthly CUST'!$N$1:$CG$1,0)))*(1+$L31)*INDEX('Monthly CUST'!$N$2:$CG$65,MATCH($D31,'Monthly CUST'!$D$2:$D$65,0),MATCH(CB$1,'Monthly CUST'!$N$1:$CG$1,0))),IF($J31="Modeled UPC",INDEX('Monthly CUST'!$N$2:$CG$65,MATCH($D31,'Monthly CUST'!$D$2:$D$65,0),MATCH(CB$1,'Monthly CUST'!$N$1:$CG$1,0))/12*$M31,IF($J31="Base Period",BP31,IF($J31="Adjusted",SUMIF('Input 15_Fcst Inputs'!$A:$A,$D31,'Input 15_Fcst Inputs'!$G:$G)/12))))),0)</f>
        <v>19704.084443192558</v>
      </c>
      <c r="CC31" s="483">
        <f>IFERROR(IF($J31="Historical Average",INDEX('Monthly UPC'!$CM$2:$DJ$65,MATCH($D31,'Monthly UPC'!$D$2:$D$65,0),MATCH(CC$1,'Monthly UPC'!$CM$1:$DJ$1))*(INDEX('Monthly CUST'!$N$2:$CG$65,MATCH($D31,'Monthly CUST'!$D$2:$D$65,0),MATCH(CC$1,'Monthly CUST'!$N$1:$CG$1,0))),IF($J31="UPC Growth Rate",((BQ31/INDEX('Monthly CUST'!$N$2:$CG$65,MATCH($D31,'Monthly CUST'!$D$2:$D$65,0),MATCH(BQ$1,'Monthly CUST'!$N$1:$CG$1,0)))*(1+$L31)*INDEX('Monthly CUST'!$N$2:$CG$65,MATCH($D31,'Monthly CUST'!$D$2:$D$65,0),MATCH(CC$1,'Monthly CUST'!$N$1:$CG$1,0))),IF($J31="Modeled UPC",INDEX('Monthly CUST'!$N$2:$CG$65,MATCH($D31,'Monthly CUST'!$D$2:$D$65,0),MATCH(CC$1,'Monthly CUST'!$N$1:$CG$1,0))/12*$M31,IF($J31="Base Period",BQ31,IF($J31="Adjusted",SUMIF('Input 15_Fcst Inputs'!$A:$A,$D31,'Input 15_Fcst Inputs'!$G:$G)/12))))),0)</f>
        <v>18370.048736509572</v>
      </c>
      <c r="CD31" s="483">
        <f>IFERROR(IF($J31="Historical Average",INDEX('Monthly UPC'!$CM$2:$DJ$65,MATCH($D31,'Monthly UPC'!$D$2:$D$65,0),MATCH(CD$1,'Monthly UPC'!$CM$1:$DJ$1))*(INDEX('Monthly CUST'!$N$2:$CG$65,MATCH($D31,'Monthly CUST'!$D$2:$D$65,0),MATCH(CD$1,'Monthly CUST'!$N$1:$CG$1,0))),IF($J31="UPC Growth Rate",((BR31/INDEX('Monthly CUST'!$N$2:$CG$65,MATCH($D31,'Monthly CUST'!$D$2:$D$65,0),MATCH(BR$1,'Monthly CUST'!$N$1:$CG$1,0)))*(1+$L31)*INDEX('Monthly CUST'!$N$2:$CG$65,MATCH($D31,'Monthly CUST'!$D$2:$D$65,0),MATCH(CD$1,'Monthly CUST'!$N$1:$CG$1,0))),IF($J31="Modeled UPC",INDEX('Monthly CUST'!$N$2:$CG$65,MATCH($D31,'Monthly CUST'!$D$2:$D$65,0),MATCH(CD$1,'Monthly CUST'!$N$1:$CG$1,0))/12*$M31,IF($J31="Base Period",BR31,IF($J31="Adjusted",SUMIF('Input 15_Fcst Inputs'!$A:$A,$D31,'Input 15_Fcst Inputs'!$G:$G)/12))))),0)</f>
        <v>20051.196129181011</v>
      </c>
      <c r="CE31" s="483">
        <f>IFERROR(IF($J31="Historical Average",INDEX('Monthly UPC'!$CM$2:$DJ$65,MATCH($D31,'Monthly UPC'!$D$2:$D$65,0),MATCH(CE$1,'Monthly UPC'!$CM$1:$DJ$1))*(INDEX('Monthly CUST'!$N$2:$CG$65,MATCH($D31,'Monthly CUST'!$D$2:$D$65,0),MATCH(CE$1,'Monthly CUST'!$N$1:$CG$1,0))),IF($J31="UPC Growth Rate",((BS31/INDEX('Monthly CUST'!$N$2:$CG$65,MATCH($D31,'Monthly CUST'!$D$2:$D$65,0),MATCH(BS$1,'Monthly CUST'!$N$1:$CG$1,0)))*(1+$L31)*INDEX('Monthly CUST'!$N$2:$CG$65,MATCH($D31,'Monthly CUST'!$D$2:$D$65,0),MATCH(CE$1,'Monthly CUST'!$N$1:$CG$1,0))),IF($J31="Modeled UPC",INDEX('Monthly CUST'!$N$2:$CG$65,MATCH($D31,'Monthly CUST'!$D$2:$D$65,0),MATCH(CE$1,'Monthly CUST'!$N$1:$CG$1,0))/12*$M31,IF($J31="Base Period",BS31,IF($J31="Adjusted",SUMIF('Input 15_Fcst Inputs'!$A:$A,$D31,'Input 15_Fcst Inputs'!$G:$G)/12))))),0)</f>
        <v>19243.215865561902</v>
      </c>
      <c r="CF31" s="483">
        <f>IFERROR(IF($J31="Historical Average",INDEX('Monthly UPC'!$CM$2:$DJ$65,MATCH($D31,'Monthly UPC'!$D$2:$D$65,0),MATCH(CF$1,'Monthly UPC'!$CM$1:$DJ$1))*(INDEX('Monthly CUST'!$N$2:$CG$65,MATCH($D31,'Monthly CUST'!$D$2:$D$65,0),MATCH(CF$1,'Monthly CUST'!$N$1:$CG$1,0))),IF($J31="UPC Growth Rate",((BT31/INDEX('Monthly CUST'!$N$2:$CG$65,MATCH($D31,'Monthly CUST'!$D$2:$D$65,0),MATCH(BT$1,'Monthly CUST'!$N$1:$CG$1,0)))*(1+$L31)*INDEX('Monthly CUST'!$N$2:$CG$65,MATCH($D31,'Monthly CUST'!$D$2:$D$65,0),MATCH(CF$1,'Monthly CUST'!$N$1:$CG$1,0))),IF($J31="Modeled UPC",INDEX('Monthly CUST'!$N$2:$CG$65,MATCH($D31,'Monthly CUST'!$D$2:$D$65,0),MATCH(CF$1,'Monthly CUST'!$N$1:$CG$1,0))/12*$M31,IF($J31="Base Period",BT31,IF($J31="Adjusted",SUMIF('Input 15_Fcst Inputs'!$A:$A,$D31,'Input 15_Fcst Inputs'!$G:$G)/12))))),0)</f>
        <v>21242.67373622386</v>
      </c>
      <c r="CG31" s="483">
        <f>IFERROR(IF($J31="Historical Average",INDEX('Monthly UPC'!$CM$2:$DJ$65,MATCH($D31,'Monthly UPC'!$D$2:$D$65,0),MATCH(CG$1,'Monthly UPC'!$CM$1:$DJ$1))*(INDEX('Monthly CUST'!$N$2:$CG$65,MATCH($D31,'Monthly CUST'!$D$2:$D$65,0),MATCH(CG$1,'Monthly CUST'!$N$1:$CG$1,0))),IF($J31="UPC Growth Rate",((BU31/INDEX('Monthly CUST'!$N$2:$CG$65,MATCH($D31,'Monthly CUST'!$D$2:$D$65,0),MATCH(BU$1,'Monthly CUST'!$N$1:$CG$1,0)))*(1+$L31)*INDEX('Monthly CUST'!$N$2:$CG$65,MATCH($D31,'Monthly CUST'!$D$2:$D$65,0),MATCH(CG$1,'Monthly CUST'!$N$1:$CG$1,0))),IF($J31="Modeled UPC",INDEX('Monthly CUST'!$N$2:$CG$65,MATCH($D31,'Monthly CUST'!$D$2:$D$65,0),MATCH(CG$1,'Monthly CUST'!$N$1:$CG$1,0))/12*$M31,IF($J31="Base Period",BU31,IF($J31="Adjusted",SUMIF('Input 15_Fcst Inputs'!$A:$A,$D31,'Input 15_Fcst Inputs'!$G:$G)/12))))),0)</f>
        <v>30349.085778546032</v>
      </c>
      <c r="CH31" s="197"/>
      <c r="CI31" s="197">
        <f t="shared" si="0"/>
        <v>292811.1299999996</v>
      </c>
      <c r="CJ31" s="197">
        <f t="shared" si="1"/>
        <v>282677.26000000042</v>
      </c>
      <c r="CK31" s="197">
        <f t="shared" si="2"/>
        <v>288535.78999999934</v>
      </c>
      <c r="CL31" s="197">
        <f t="shared" si="3"/>
        <v>287274.30999999942</v>
      </c>
      <c r="CM31" s="197">
        <f t="shared" si="4"/>
        <v>285110.66157385986</v>
      </c>
      <c r="CN31" s="197">
        <f t="shared" si="5"/>
        <v>282963.30898187257</v>
      </c>
      <c r="CP31" s="4">
        <f>SUMIF('Master '!D:D,D31,'Master '!AH:AH)</f>
        <v>285110.66157385992</v>
      </c>
      <c r="CQ31" s="4">
        <f>SUMIF('Master '!D:D,D31,'Master '!AI:AI)</f>
        <v>282963.30898187263</v>
      </c>
      <c r="CR31" s="197">
        <f t="shared" si="6"/>
        <v>0</v>
      </c>
      <c r="CS31" s="197">
        <f t="shared" si="7"/>
        <v>0</v>
      </c>
      <c r="CT31" t="s">
        <v>287</v>
      </c>
      <c r="CV31" t="str">
        <f>VLOOKUP(G31,'Master '!G:CC,75,FALSE)</f>
        <v>FTS-B</v>
      </c>
    </row>
    <row r="32" spans="1:100">
      <c r="A32" s="53" t="s">
        <v>17</v>
      </c>
      <c r="B32" s="53" t="s">
        <v>993</v>
      </c>
      <c r="C32" s="53" t="s">
        <v>8</v>
      </c>
      <c r="D32" s="53" t="s">
        <v>1297</v>
      </c>
      <c r="E32" s="53" t="str">
        <f>VLOOKUP(D32,'Input 14_Ref Table'!C:D,2,FALSE)</f>
        <v>CR814</v>
      </c>
      <c r="F32" s="143" t="s">
        <v>1287</v>
      </c>
      <c r="G32" s="53" t="str">
        <f>VLOOKUP(D32,'Input 14_Ref Table'!C:I,7,FALSE)</f>
        <v>CFG - FTS-B - Fixed R</v>
      </c>
      <c r="H32" s="53" t="str">
        <f>VLOOKUP(D32,'Input 14_Ref Table'!C:K,8,FALSE)</f>
        <v>FTS_AB</v>
      </c>
      <c r="I32" s="53"/>
      <c r="J32" t="str">
        <f>INDEX('Master '!$AD$2:AD$65,MATCH(D32,'Master '!$D$2:$D$65,0))</f>
        <v>UPC Growth Rate</v>
      </c>
      <c r="K32" s="458">
        <f>INDEX('Master '!$N$2:N$65,MATCH(D32,'Master '!$D$2:$D$65,0))</f>
        <v>-7.5316460637900734E-3</v>
      </c>
      <c r="L32" s="137">
        <f>INDEX('Master '!$S$2:S$65,MATCH(D32,'Master '!$D$2:$D$65,0))</f>
        <v>0</v>
      </c>
      <c r="M32" s="4">
        <f>INDEX('Master '!$W$2:W$65,MATCH(D32,'Master '!$D$2:$D$65,0))</f>
        <v>103.66332451256534</v>
      </c>
      <c r="N32" s="268">
        <f>SUMIF('Input 16.1_2018VOL-YTD'!$R:$R,$G32,'Input 16.1_2018VOL-YTD'!C:C)</f>
        <v>1309.6400000000001</v>
      </c>
      <c r="O32" s="268">
        <f>SUMIF('Input 16.1_2018VOL-YTD'!$R:$R,$G32,'Input 16.1_2018VOL-YTD'!D:D)</f>
        <v>799.88</v>
      </c>
      <c r="P32" s="268">
        <f>SUMIF('Input 16.1_2018VOL-YTD'!$R:$R,$G32,'Input 16.1_2018VOL-YTD'!E:E)</f>
        <v>747.44</v>
      </c>
      <c r="Q32" s="268">
        <f>SUMIF('Input 16.1_2018VOL-YTD'!$R:$R,$G32,'Input 16.1_2018VOL-YTD'!F:F)</f>
        <v>723.59</v>
      </c>
      <c r="R32" s="268">
        <f>SUMIF('Input 16.1_2018VOL-YTD'!$R:$R,$G32,'Input 16.1_2018VOL-YTD'!G:G)</f>
        <v>576.69000000000005</v>
      </c>
      <c r="S32" s="268">
        <f>SUMIF('Input 16.1_2018VOL-YTD'!$R:$R,$G32,'Input 16.1_2018VOL-YTD'!H:H)</f>
        <v>624.54</v>
      </c>
      <c r="T32" s="268">
        <f>SUMIF('Input 16.1_2018VOL-YTD'!$R:$R,$G32,'Input 16.1_2018VOL-YTD'!I:I)</f>
        <v>502</v>
      </c>
      <c r="U32" s="268">
        <f>SUMIF('Input 16.1_2018VOL-YTD'!$R:$R,$G32,'Input 16.1_2018VOL-YTD'!J:J)</f>
        <v>524.66999999999996</v>
      </c>
      <c r="V32" s="268">
        <f>SUMIF('Input 16.1_2018VOL-YTD'!$R:$R,$G32,'Input 16.1_2018VOL-YTD'!K:K)</f>
        <v>564.34</v>
      </c>
      <c r="W32" s="268">
        <f>SUMIF('Input 16.1_2018VOL-YTD'!$R:$R,$G32,'Input 16.1_2018VOL-YTD'!L:L)</f>
        <v>502.2</v>
      </c>
      <c r="X32" s="268">
        <f>SUMIF('Input 16.1_2018VOL-YTD'!$R:$R,$G32,'Input 16.1_2018VOL-YTD'!M:M)</f>
        <v>654.99</v>
      </c>
      <c r="Y32" s="268">
        <f>SUMIF('Input 16.1_2018VOL-YTD'!$R:$R,$G32,'Input 16.1_2018VOL-YTD'!N:N)</f>
        <v>809.5</v>
      </c>
      <c r="Z32" s="268">
        <f>SUMIF('Input 3.1_2019VOL-YTD'!$R:$R,$G32,'Input 3.1_2019VOL-YTD'!C:C)</f>
        <v>928.03</v>
      </c>
      <c r="AA32" s="268">
        <f>SUMIF('Input 3.1_2019VOL-YTD'!$R:$R,$G32,'Input 3.1_2019VOL-YTD'!D:D)</f>
        <v>896.84</v>
      </c>
      <c r="AB32" s="268">
        <f>SUMIF('Input 3.1_2019VOL-YTD'!$R:$R,$G32,'Input 3.1_2019VOL-YTD'!E:E)</f>
        <v>716.06</v>
      </c>
      <c r="AC32" s="268">
        <f>SUMIF('Input 3.1_2019VOL-YTD'!$R:$R,$G32,'Input 3.1_2019VOL-YTD'!F:F)</f>
        <v>684.31</v>
      </c>
      <c r="AD32" s="268">
        <f>SUMIF('Input 3.1_2019VOL-YTD'!$R:$R,$G32,'Input 3.1_2019VOL-YTD'!G:G)</f>
        <v>666.25</v>
      </c>
      <c r="AE32" s="268">
        <f>SUMIF('Input 3.1_2019VOL-YTD'!$R:$R,$G32,'Input 3.1_2019VOL-YTD'!H:H)</f>
        <v>534.03</v>
      </c>
      <c r="AF32" s="268">
        <f>SUMIF('Input 3.1_2019VOL-YTD'!$R:$R,$G32,'Input 3.1_2019VOL-YTD'!I:I)</f>
        <v>494.37</v>
      </c>
      <c r="AG32" s="268">
        <f>SUMIF('Input 3.1_2019VOL-YTD'!$R:$R,$G32,'Input 3.1_2019VOL-YTD'!J:J)</f>
        <v>556.51</v>
      </c>
      <c r="AH32" s="268">
        <f>SUMIF('Input 3.1_2019VOL-YTD'!$R:$R,$G32,'Input 3.1_2019VOL-YTD'!K:K)</f>
        <v>555.27</v>
      </c>
      <c r="AI32" s="268">
        <f>SUMIF('Input 3.1_2019VOL-YTD'!$R:$R,$G32,'Input 3.1_2019VOL-YTD'!L:L)</f>
        <v>587.13</v>
      </c>
      <c r="AJ32" s="268">
        <f>SUMIF('Input 3.1_2019VOL-YTD'!$R:$R,$G32,'Input 3.1_2019VOL-YTD'!M:M)</f>
        <v>696.83</v>
      </c>
      <c r="AK32" s="268">
        <f>SUMIF('Input 3.1_2019VOL-YTD'!$R:$R,$G32,'Input 3.1_2019VOL-YTD'!N:N)</f>
        <v>965.81</v>
      </c>
      <c r="AL32" s="268">
        <f>SUMIF('Input 4.1_2020VOL-YTD'!$R:$R,$G32,'Input 4.1_2020VOL-YTD'!C:C)</f>
        <v>928.23</v>
      </c>
      <c r="AM32" s="268">
        <f>SUMIF('Input 4.1_2020VOL-YTD'!$R:$R,$G32,'Input 4.1_2020VOL-YTD'!D:D)</f>
        <v>869.9</v>
      </c>
      <c r="AN32" s="268">
        <f>SUMIF('Input 4.1_2020VOL-YTD'!$R:$R,$G32,'Input 4.1_2020VOL-YTD'!E:E)</f>
        <v>721.32</v>
      </c>
      <c r="AO32" s="268">
        <f>SUMIF('Input 4.1_2020VOL-YTD'!$R:$R,$G32,'Input 4.1_2020VOL-YTD'!F:F)</f>
        <v>701.26</v>
      </c>
      <c r="AP32" s="268">
        <f>SUMIF('Input 4.1_2020VOL-YTD'!$R:$R,$G32,'Input 4.1_2020VOL-YTD'!G:G)</f>
        <v>641.38</v>
      </c>
      <c r="AQ32" s="268">
        <f>SUMIF('Input 4.1_2020VOL-YTD'!$R:$R,$G32,'Input 4.1_2020VOL-YTD'!H:H)</f>
        <v>559.57000000000005</v>
      </c>
      <c r="AR32" s="268">
        <f>SUMIF('Input 4.1_2020VOL-YTD'!$R:$R,$G32,'Input 4.1_2020VOL-YTD'!I:I)</f>
        <v>584.25</v>
      </c>
      <c r="AS32" s="268">
        <f>SUMIF('Input 4.1_2020VOL-YTD'!$R:$R,$G32,'Input 4.1_2020VOL-YTD'!J:J)</f>
        <v>535.37</v>
      </c>
      <c r="AT32" s="268">
        <f>SUMIF('Input 4.1_2020VOL-YTD'!$R:$R,$G32,'Input 4.1_2020VOL-YTD'!K:K)</f>
        <v>547.42999999999995</v>
      </c>
      <c r="AU32" s="268">
        <f>SUMIF('Input 4.1_2020VOL-YTD'!$R:$R,$G32,'Input 4.1_2020VOL-YTD'!L:L)</f>
        <v>540.42999999999995</v>
      </c>
      <c r="AV32" s="268">
        <f>SUMIF('Input 4.1_2020VOL-YTD'!$R:$R,$G32,'Input 4.1_2020VOL-YTD'!M:M)</f>
        <v>617.96</v>
      </c>
      <c r="AW32" s="268">
        <f>SUMIF('Input 4.1_2020VOL-YTD'!$R:$R,$G32,'Input 4.1_2020VOL-YTD'!N:N)</f>
        <v>910.05</v>
      </c>
      <c r="AX32" s="268">
        <f>SUMIF('Input 5.1_2021VOL-YTD'!$R:$R,$G32,'Input 5.1_2021VOL-YTD'!C:C)</f>
        <v>984.45</v>
      </c>
      <c r="AY32" s="268">
        <f>SUMIF('Input 5.1_2021VOL-YTD'!$R:$R,$G32,'Input 5.1_2021VOL-YTD'!D:D)</f>
        <v>752.48</v>
      </c>
      <c r="AZ32" s="268">
        <f>SUMIF('Input 5.1_2021VOL-YTD'!$R:$R,$G32,'Input 5.1_2021VOL-YTD'!E:E)</f>
        <v>661.76</v>
      </c>
      <c r="BA32" s="268">
        <f>SUMIF('Input 5.1_2021VOL-YTD'!$R:$R,$G32,'Input 5.1_2021VOL-YTD'!F:F)</f>
        <v>694.98</v>
      </c>
      <c r="BB32" s="268">
        <f>SUMIF('Input 5.1_2021VOL-YTD'!$R:$R,$G32,'Input 5.1_2021VOL-YTD'!G:G)</f>
        <v>514.55999999999995</v>
      </c>
      <c r="BC32" s="268">
        <f>SUMIF('Input 5.1_2021VOL-YTD'!$R:$R,$G32,'Input 5.1_2021VOL-YTD'!H:H)</f>
        <v>529.73</v>
      </c>
      <c r="BD32" s="268">
        <f>SUMIF('Input 5.1_2021VOL-YTD'!$R:$R,$G32,'Input 5.1_2021VOL-YTD'!I:I)</f>
        <v>710.28</v>
      </c>
      <c r="BE32" s="268">
        <f>SUMIF('Input 5.1_2021VOL-YTD'!$R:$R,$G32,'Input 5.1_2021VOL-YTD'!J:J)</f>
        <v>566</v>
      </c>
      <c r="BF32" s="268">
        <f>SUMIF('Input 5.1_2021VOL-YTD'!$R:$R,$G32,'Input 5.1_2021VOL-YTD'!K:K)</f>
        <v>621.95000000000005</v>
      </c>
      <c r="BG32" s="268">
        <f>SUMIF('Input 5.1_2021VOL-YTD'!$R:$R,$G32,'Input 5.1_2021VOL-YTD'!L:L)</f>
        <v>583.82000000000005</v>
      </c>
      <c r="BH32" s="268">
        <f>SUMIF('Input 5.1_2021VOL-YTD'!$R:$R,$G32,'Input 5.1_2021VOL-YTD'!M:M)</f>
        <v>641.25</v>
      </c>
      <c r="BI32" s="268">
        <f>SUMIF('Input 5.1_2021VOL-YTD'!$R:$R,$G32,'Input 5.1_2021VOL-YTD'!N:N)</f>
        <v>871.34</v>
      </c>
      <c r="BJ32" s="483">
        <f>IFERROR(IF($J32="Historical Average",INDEX('Monthly UPC'!$CM$2:$DJ$65,MATCH($D32,'Monthly UPC'!$D$2:$D$65,0),MATCH(BJ$1,'Monthly UPC'!$CM$1:$DJ$1))*(INDEX('Monthly CUST'!$N$2:$CG$65,MATCH($D32,'Monthly CUST'!$D$2:$D$65,0),MATCH(BJ$1,'Monthly CUST'!$N$1:$CG$1,0))),IF($J32="UPC Growth Rate",((AX32/INDEX('Monthly CUST'!$N$2:$CG$65,MATCH($D32,'Monthly CUST'!$D$2:$D$65,0),MATCH(AX$1,'Monthly CUST'!$N$1:$CG$1,0)))*(1+$L32)*INDEX('Monthly CUST'!$N$2:$CG$65,MATCH($D32,'Monthly CUST'!$D$2:$D$65,0),MATCH(BJ$1,'Monthly CUST'!$N$1:$CG$1,0))),IF($J32="Modeled UPC",INDEX('Monthly CUST'!$N$2:$CG$65,MATCH($D32,'Monthly CUST'!$D$2:$D$65,0),MATCH(BJ$1,'Monthly CUST'!$N$1:$CG$1,0))/12*$M32,IF($J32="Base Period",AX32,IF($J32="Adjusted",SUMIF('Input 15_Fcst Inputs'!$A:$A,$D32,'Input 15_Fcst Inputs'!$G:$G)/12))))),0)</f>
        <v>977.03547103250185</v>
      </c>
      <c r="BK32" s="483">
        <f>IFERROR(IF($J32="Historical Average",INDEX('Monthly UPC'!$CM$2:$DJ$65,MATCH($D32,'Monthly UPC'!$D$2:$D$65,0),MATCH(BK$1,'Monthly UPC'!$CM$1:$DJ$1))*(INDEX('Monthly CUST'!$N$2:$CG$65,MATCH($D32,'Monthly CUST'!$D$2:$D$65,0),MATCH(BK$1,'Monthly CUST'!$N$1:$CG$1,0))),IF($J32="UPC Growth Rate",((AY32/INDEX('Monthly CUST'!$N$2:$CG$65,MATCH($D32,'Monthly CUST'!$D$2:$D$65,0),MATCH(AY$1,'Monthly CUST'!$N$1:$CG$1,0)))*(1+$L32)*INDEX('Monthly CUST'!$N$2:$CG$65,MATCH($D32,'Monthly CUST'!$D$2:$D$65,0),MATCH(BK$1,'Monthly CUST'!$N$1:$CG$1,0))),IF($J32="Modeled UPC",INDEX('Monthly CUST'!$N$2:$CG$65,MATCH($D32,'Monthly CUST'!$D$2:$D$65,0),MATCH(BK$1,'Monthly CUST'!$N$1:$CG$1,0))/12*$M32,IF($J32="Base Period",AY32,IF($J32="Adjusted",SUMIF('Input 15_Fcst Inputs'!$A:$A,$D32,'Input 15_Fcst Inputs'!$G:$G)/12))))),0)</f>
        <v>746.81258696991927</v>
      </c>
      <c r="BL32" s="483">
        <f>IFERROR(IF($J32="Historical Average",INDEX('Monthly UPC'!$CM$2:$DJ$65,MATCH($D32,'Monthly UPC'!$D$2:$D$65,0),MATCH(BL$1,'Monthly UPC'!$CM$1:$DJ$1))*(INDEX('Monthly CUST'!$N$2:$CG$65,MATCH($D32,'Monthly CUST'!$D$2:$D$65,0),MATCH(BL$1,'Monthly CUST'!$N$1:$CG$1,0))),IF($J32="UPC Growth Rate",((AZ32/INDEX('Monthly CUST'!$N$2:$CG$65,MATCH($D32,'Monthly CUST'!$D$2:$D$65,0),MATCH(AZ$1,'Monthly CUST'!$N$1:$CG$1,0)))*(1+$L32)*INDEX('Monthly CUST'!$N$2:$CG$65,MATCH($D32,'Monthly CUST'!$D$2:$D$65,0),MATCH(BL$1,'Monthly CUST'!$N$1:$CG$1,0))),IF($J32="Modeled UPC",INDEX('Monthly CUST'!$N$2:$CG$65,MATCH($D32,'Monthly CUST'!$D$2:$D$65,0),MATCH(BL$1,'Monthly CUST'!$N$1:$CG$1,0))/12*$M32,IF($J32="Base Period",AZ32,IF($J32="Adjusted",SUMIF('Input 15_Fcst Inputs'!$A:$A,$D32,'Input 15_Fcst Inputs'!$G:$G)/12))))),0)</f>
        <v>656.77585790082628</v>
      </c>
      <c r="BM32" s="483">
        <f>IFERROR(IF($J32="Historical Average",INDEX('Monthly UPC'!$CM$2:$DJ$65,MATCH($D32,'Monthly UPC'!$D$2:$D$65,0),MATCH(BM$1,'Monthly UPC'!$CM$1:$DJ$1))*(INDEX('Monthly CUST'!$N$2:$CG$65,MATCH($D32,'Monthly CUST'!$D$2:$D$65,0),MATCH(BM$1,'Monthly CUST'!$N$1:$CG$1,0))),IF($J32="UPC Growth Rate",((BA32/INDEX('Monthly CUST'!$N$2:$CG$65,MATCH($D32,'Monthly CUST'!$D$2:$D$65,0),MATCH(BA$1,'Monthly CUST'!$N$1:$CG$1,0)))*(1+$L32)*INDEX('Monthly CUST'!$N$2:$CG$65,MATCH($D32,'Monthly CUST'!$D$2:$D$65,0),MATCH(BM$1,'Monthly CUST'!$N$1:$CG$1,0))),IF($J32="Modeled UPC",INDEX('Monthly CUST'!$N$2:$CG$65,MATCH($D32,'Monthly CUST'!$D$2:$D$65,0),MATCH(BM$1,'Monthly CUST'!$N$1:$CG$1,0))/12*$M32,IF($J32="Base Period",BA32,IF($J32="Adjusted",SUMIF('Input 15_Fcst Inputs'!$A:$A,$D32,'Input 15_Fcst Inputs'!$G:$G)/12))))),0)</f>
        <v>689.74565661858708</v>
      </c>
      <c r="BN32" s="483">
        <f>IFERROR(IF($J32="Historical Average",INDEX('Monthly UPC'!$CM$2:$DJ$65,MATCH($D32,'Monthly UPC'!$D$2:$D$65,0),MATCH(BN$1,'Monthly UPC'!$CM$1:$DJ$1))*(INDEX('Monthly CUST'!$N$2:$CG$65,MATCH($D32,'Monthly CUST'!$D$2:$D$65,0),MATCH(BN$1,'Monthly CUST'!$N$1:$CG$1,0))),IF($J32="UPC Growth Rate",((BB32/INDEX('Monthly CUST'!$N$2:$CG$65,MATCH($D32,'Monthly CUST'!$D$2:$D$65,0),MATCH(BB$1,'Monthly CUST'!$N$1:$CG$1,0)))*(1+$L32)*INDEX('Monthly CUST'!$N$2:$CG$65,MATCH($D32,'Monthly CUST'!$D$2:$D$65,0),MATCH(BN$1,'Monthly CUST'!$N$1:$CG$1,0))),IF($J32="Modeled UPC",INDEX('Monthly CUST'!$N$2:$CG$65,MATCH($D32,'Monthly CUST'!$D$2:$D$65,0),MATCH(BN$1,'Monthly CUST'!$N$1:$CG$1,0))/12*$M32,IF($J32="Base Period",BB32,IF($J32="Adjusted",SUMIF('Input 15_Fcst Inputs'!$A:$A,$D32,'Input 15_Fcst Inputs'!$G:$G)/12))))),0)</f>
        <v>510.6845162014161</v>
      </c>
      <c r="BO32" s="483">
        <f>IFERROR(IF($J32="Historical Average",INDEX('Monthly UPC'!$CM$2:$DJ$65,MATCH($D32,'Monthly UPC'!$D$2:$D$65,0),MATCH(BO$1,'Monthly UPC'!$CM$1:$DJ$1))*(INDEX('Monthly CUST'!$N$2:$CG$65,MATCH($D32,'Monthly CUST'!$D$2:$D$65,0),MATCH(BO$1,'Monthly CUST'!$N$1:$CG$1,0))),IF($J32="UPC Growth Rate",((BC32/INDEX('Monthly CUST'!$N$2:$CG$65,MATCH($D32,'Monthly CUST'!$D$2:$D$65,0),MATCH(BC$1,'Monthly CUST'!$N$1:$CG$1,0)))*(1+$L32)*INDEX('Monthly CUST'!$N$2:$CG$65,MATCH($D32,'Monthly CUST'!$D$2:$D$65,0),MATCH(BO$1,'Monthly CUST'!$N$1:$CG$1,0))),IF($J32="Modeled UPC",INDEX('Monthly CUST'!$N$2:$CG$65,MATCH($D32,'Monthly CUST'!$D$2:$D$65,0),MATCH(BO$1,'Monthly CUST'!$N$1:$CG$1,0))/12*$M32,IF($J32="Base Period",BC32,IF($J32="Adjusted",SUMIF('Input 15_Fcst Inputs'!$A:$A,$D32,'Input 15_Fcst Inputs'!$G:$G)/12))))),0)</f>
        <v>525.74026113062848</v>
      </c>
      <c r="BP32" s="483">
        <f>IFERROR(IF($J32="Historical Average",INDEX('Monthly UPC'!$CM$2:$DJ$65,MATCH($D32,'Monthly UPC'!$D$2:$D$65,0),MATCH(BP$1,'Monthly UPC'!$CM$1:$DJ$1))*(INDEX('Monthly CUST'!$N$2:$CG$65,MATCH($D32,'Monthly CUST'!$D$2:$D$65,0),MATCH(BP$1,'Monthly CUST'!$N$1:$CG$1,0))),IF($J32="UPC Growth Rate",((BD32/INDEX('Monthly CUST'!$N$2:$CG$65,MATCH($D32,'Monthly CUST'!$D$2:$D$65,0),MATCH(BD$1,'Monthly CUST'!$N$1:$CG$1,0)))*(1+$L32)*INDEX('Monthly CUST'!$N$2:$CG$65,MATCH($D32,'Monthly CUST'!$D$2:$D$65,0),MATCH(BP$1,'Monthly CUST'!$N$1:$CG$1,0))),IF($J32="Modeled UPC",INDEX('Monthly CUST'!$N$2:$CG$65,MATCH($D32,'Monthly CUST'!$D$2:$D$65,0),MATCH(BP$1,'Monthly CUST'!$N$1:$CG$1,0))/12*$M32,IF($J32="Base Period",BD32,IF($J32="Adjusted",SUMIF('Input 15_Fcst Inputs'!$A:$A,$D32,'Input 15_Fcst Inputs'!$G:$G)/12))))),0)</f>
        <v>704.93042243381115</v>
      </c>
      <c r="BQ32" s="483">
        <f>IFERROR(IF($J32="Historical Average",INDEX('Monthly UPC'!$CM$2:$DJ$65,MATCH($D32,'Monthly UPC'!$D$2:$D$65,0),MATCH(BQ$1,'Monthly UPC'!$CM$1:$DJ$1))*(INDEX('Monthly CUST'!$N$2:$CG$65,MATCH($D32,'Monthly CUST'!$D$2:$D$65,0),MATCH(BQ$1,'Monthly CUST'!$N$1:$CG$1,0))),IF($J32="UPC Growth Rate",((BE32/INDEX('Monthly CUST'!$N$2:$CG$65,MATCH($D32,'Monthly CUST'!$D$2:$D$65,0),MATCH(BE$1,'Monthly CUST'!$N$1:$CG$1,0)))*(1+$L32)*INDEX('Monthly CUST'!$N$2:$CG$65,MATCH($D32,'Monthly CUST'!$D$2:$D$65,0),MATCH(BQ$1,'Monthly CUST'!$N$1:$CG$1,0))),IF($J32="Modeled UPC",INDEX('Monthly CUST'!$N$2:$CG$65,MATCH($D32,'Monthly CUST'!$D$2:$D$65,0),MATCH(BQ$1,'Monthly CUST'!$N$1:$CG$1,0))/12*$M32,IF($J32="Base Period",BE32,IF($J32="Adjusted",SUMIF('Input 15_Fcst Inputs'!$A:$A,$D32,'Input 15_Fcst Inputs'!$G:$G)/12))))),0)</f>
        <v>561.73708832789475</v>
      </c>
      <c r="BR32" s="483">
        <f>IFERROR(IF($J32="Historical Average",INDEX('Monthly UPC'!$CM$2:$DJ$65,MATCH($D32,'Monthly UPC'!$D$2:$D$65,0),MATCH(BR$1,'Monthly UPC'!$CM$1:$DJ$1))*(INDEX('Monthly CUST'!$N$2:$CG$65,MATCH($D32,'Monthly CUST'!$D$2:$D$65,0),MATCH(BR$1,'Monthly CUST'!$N$1:$CG$1,0))),IF($J32="UPC Growth Rate",((BF32/INDEX('Monthly CUST'!$N$2:$CG$65,MATCH($D32,'Monthly CUST'!$D$2:$D$65,0),MATCH(BF$1,'Monthly CUST'!$N$1:$CG$1,0)))*(1+$L32)*INDEX('Monthly CUST'!$N$2:$CG$65,MATCH($D32,'Monthly CUST'!$D$2:$D$65,0),MATCH(BR$1,'Monthly CUST'!$N$1:$CG$1,0))),IF($J32="Modeled UPC",INDEX('Monthly CUST'!$N$2:$CG$65,MATCH($D32,'Monthly CUST'!$D$2:$D$65,0),MATCH(BR$1,'Monthly CUST'!$N$1:$CG$1,0))/12*$M32,IF($J32="Base Period",BF32,IF($J32="Adjusted",SUMIF('Input 15_Fcst Inputs'!$A:$A,$D32,'Input 15_Fcst Inputs'!$G:$G)/12))))),0)</f>
        <v>617.2656927306258</v>
      </c>
      <c r="BS32" s="483">
        <f>IFERROR(IF($J32="Historical Average",INDEX('Monthly UPC'!$CM$2:$DJ$65,MATCH($D32,'Monthly UPC'!$D$2:$D$65,0),MATCH(BS$1,'Monthly UPC'!$CM$1:$DJ$1))*(INDEX('Monthly CUST'!$N$2:$CG$65,MATCH($D32,'Monthly CUST'!$D$2:$D$65,0),MATCH(BS$1,'Monthly CUST'!$N$1:$CG$1,0))),IF($J32="UPC Growth Rate",((BG32/INDEX('Monthly CUST'!$N$2:$CG$65,MATCH($D32,'Monthly CUST'!$D$2:$D$65,0),MATCH(BG$1,'Monthly CUST'!$N$1:$CG$1,0)))*(1+$L32)*INDEX('Monthly CUST'!$N$2:$CG$65,MATCH($D32,'Monthly CUST'!$D$2:$D$65,0),MATCH(BS$1,'Monthly CUST'!$N$1:$CG$1,0))),IF($J32="Modeled UPC",INDEX('Monthly CUST'!$N$2:$CG$65,MATCH($D32,'Monthly CUST'!$D$2:$D$65,0),MATCH(BS$1,'Monthly CUST'!$N$1:$CG$1,0))/12*$M32,IF($J32="Base Period",BG32,IF($J32="Adjusted",SUMIF('Input 15_Fcst Inputs'!$A:$A,$D32,'Input 15_Fcst Inputs'!$G:$G)/12))))),0)</f>
        <v>579.42287439503809</v>
      </c>
      <c r="BT32" s="483">
        <f>IFERROR(IF($J32="Historical Average",INDEX('Monthly UPC'!$CM$2:$DJ$65,MATCH($D32,'Monthly UPC'!$D$2:$D$65,0),MATCH(BT$1,'Monthly UPC'!$CM$1:$DJ$1))*(INDEX('Monthly CUST'!$N$2:$CG$65,MATCH($D32,'Monthly CUST'!$D$2:$D$65,0),MATCH(BT$1,'Monthly CUST'!$N$1:$CG$1,0))),IF($J32="UPC Growth Rate",((BH32/INDEX('Monthly CUST'!$N$2:$CG$65,MATCH($D32,'Monthly CUST'!$D$2:$D$65,0),MATCH(BH$1,'Monthly CUST'!$N$1:$CG$1,0)))*(1+$L32)*INDEX('Monthly CUST'!$N$2:$CG$65,MATCH($D32,'Monthly CUST'!$D$2:$D$65,0),MATCH(BT$1,'Monthly CUST'!$N$1:$CG$1,0))),IF($J32="Modeled UPC",INDEX('Monthly CUST'!$N$2:$CG$65,MATCH($D32,'Monthly CUST'!$D$2:$D$65,0),MATCH(BT$1,'Monthly CUST'!$N$1:$CG$1,0))/12*$M32,IF($J32="Base Period",BH32,IF($J32="Adjusted",SUMIF('Input 15_Fcst Inputs'!$A:$A,$D32,'Input 15_Fcst Inputs'!$G:$G)/12))))),0)</f>
        <v>636.42033196159457</v>
      </c>
      <c r="BU32" s="483">
        <f>IFERROR(IF($J32="Historical Average",INDEX('Monthly UPC'!$CM$2:$DJ$65,MATCH($D32,'Monthly UPC'!$D$2:$D$65,0),MATCH(BU$1,'Monthly UPC'!$CM$1:$DJ$1))*(INDEX('Monthly CUST'!$N$2:$CG$65,MATCH($D32,'Monthly CUST'!$D$2:$D$65,0),MATCH(BU$1,'Monthly CUST'!$N$1:$CG$1,0))),IF($J32="UPC Growth Rate",((BI32/INDEX('Monthly CUST'!$N$2:$CG$65,MATCH($D32,'Monthly CUST'!$D$2:$D$65,0),MATCH(BI$1,'Monthly CUST'!$N$1:$CG$1,0)))*(1+$L32)*INDEX('Monthly CUST'!$N$2:$CG$65,MATCH($D32,'Monthly CUST'!$D$2:$D$65,0),MATCH(BU$1,'Monthly CUST'!$N$1:$CG$1,0))),IF($J32="Modeled UPC",INDEX('Monthly CUST'!$N$2:$CG$65,MATCH($D32,'Monthly CUST'!$D$2:$D$65,0),MATCH(BU$1,'Monthly CUST'!$N$1:$CG$1,0))/12*$M32,IF($J32="Base Period",BI32,IF($J32="Adjusted",SUMIF('Input 15_Fcst Inputs'!$A:$A,$D32,'Input 15_Fcst Inputs'!$G:$G)/12))))),0)</f>
        <v>864.77737551877715</v>
      </c>
      <c r="BV32" s="483">
        <f>IFERROR(IF($J32="Historical Average",INDEX('Monthly UPC'!$CM$2:$DJ$65,MATCH($D32,'Monthly UPC'!$D$2:$D$65,0),MATCH(BV$1,'Monthly UPC'!$CM$1:$DJ$1))*(INDEX('Monthly CUST'!$N$2:$CG$65,MATCH($D32,'Monthly CUST'!$D$2:$D$65,0),MATCH(BV$1,'Monthly CUST'!$N$1:$CG$1,0))),IF($J32="UPC Growth Rate",((BJ32/INDEX('Monthly CUST'!$N$2:$CG$65,MATCH($D32,'Monthly CUST'!$D$2:$D$65,0),MATCH(BJ$1,'Monthly CUST'!$N$1:$CG$1,0)))*(1+$L32)*INDEX('Monthly CUST'!$N$2:$CG$65,MATCH($D32,'Monthly CUST'!$D$2:$D$65,0),MATCH(BV$1,'Monthly CUST'!$N$1:$CG$1,0))),IF($J32="Modeled UPC",INDEX('Monthly CUST'!$N$2:$CG$65,MATCH($D32,'Monthly CUST'!$D$2:$D$65,0),MATCH(BV$1,'Monthly CUST'!$N$1:$CG$1,0))/12*$M32,IF($J32="Base Period",BJ32,IF($J32="Adjusted",SUMIF('Input 15_Fcst Inputs'!$A:$A,$D32,'Input 15_Fcst Inputs'!$G:$G)/12))))),0)</f>
        <v>969.67678567291671</v>
      </c>
      <c r="BW32" s="483">
        <f>IFERROR(IF($J32="Historical Average",INDEX('Monthly UPC'!$CM$2:$DJ$65,MATCH($D32,'Monthly UPC'!$D$2:$D$65,0),MATCH(BW$1,'Monthly UPC'!$CM$1:$DJ$1))*(INDEX('Monthly CUST'!$N$2:$CG$65,MATCH($D32,'Monthly CUST'!$D$2:$D$65,0),MATCH(BW$1,'Monthly CUST'!$N$1:$CG$1,0))),IF($J32="UPC Growth Rate",((BK32/INDEX('Monthly CUST'!$N$2:$CG$65,MATCH($D32,'Monthly CUST'!$D$2:$D$65,0),MATCH(BK$1,'Monthly CUST'!$N$1:$CG$1,0)))*(1+$L32)*INDEX('Monthly CUST'!$N$2:$CG$65,MATCH($D32,'Monthly CUST'!$D$2:$D$65,0),MATCH(BW$1,'Monthly CUST'!$N$1:$CG$1,0))),IF($J32="Modeled UPC",INDEX('Monthly CUST'!$N$2:$CG$65,MATCH($D32,'Monthly CUST'!$D$2:$D$65,0),MATCH(BW$1,'Monthly CUST'!$N$1:$CG$1,0))/12*$M32,IF($J32="Base Period",BK32,IF($J32="Adjusted",SUMIF('Input 15_Fcst Inputs'!$A:$A,$D32,'Input 15_Fcst Inputs'!$G:$G)/12))))),0)</f>
        <v>741.1878588888784</v>
      </c>
      <c r="BX32" s="483">
        <f>IFERROR(IF($J32="Historical Average",INDEX('Monthly UPC'!$CM$2:$DJ$65,MATCH($D32,'Monthly UPC'!$D$2:$D$65,0),MATCH(BX$1,'Monthly UPC'!$CM$1:$DJ$1))*(INDEX('Monthly CUST'!$N$2:$CG$65,MATCH($D32,'Monthly CUST'!$D$2:$D$65,0),MATCH(BX$1,'Monthly CUST'!$N$1:$CG$1,0))),IF($J32="UPC Growth Rate",((BL32/INDEX('Monthly CUST'!$N$2:$CG$65,MATCH($D32,'Monthly CUST'!$D$2:$D$65,0),MATCH(BL$1,'Monthly CUST'!$N$1:$CG$1,0)))*(1+$L32)*INDEX('Monthly CUST'!$N$2:$CG$65,MATCH($D32,'Monthly CUST'!$D$2:$D$65,0),MATCH(BX$1,'Monthly CUST'!$N$1:$CG$1,0))),IF($J32="Modeled UPC",INDEX('Monthly CUST'!$N$2:$CG$65,MATCH($D32,'Monthly CUST'!$D$2:$D$65,0),MATCH(BX$1,'Monthly CUST'!$N$1:$CG$1,0))/12*$M32,IF($J32="Base Period",BL32,IF($J32="Adjusted",SUMIF('Input 15_Fcst Inputs'!$A:$A,$D32,'Input 15_Fcst Inputs'!$G:$G)/12))))),0)</f>
        <v>651.82925459587523</v>
      </c>
      <c r="BY32" s="483">
        <f>IFERROR(IF($J32="Historical Average",INDEX('Monthly UPC'!$CM$2:$DJ$65,MATCH($D32,'Monthly UPC'!$D$2:$D$65,0),MATCH(BY$1,'Monthly UPC'!$CM$1:$DJ$1))*(INDEX('Monthly CUST'!$N$2:$CG$65,MATCH($D32,'Monthly CUST'!$D$2:$D$65,0),MATCH(BY$1,'Monthly CUST'!$N$1:$CG$1,0))),IF($J32="UPC Growth Rate",((BM32/INDEX('Monthly CUST'!$N$2:$CG$65,MATCH($D32,'Monthly CUST'!$D$2:$D$65,0),MATCH(BM$1,'Monthly CUST'!$N$1:$CG$1,0)))*(1+$L32)*INDEX('Monthly CUST'!$N$2:$CG$65,MATCH($D32,'Monthly CUST'!$D$2:$D$65,0),MATCH(BY$1,'Monthly CUST'!$N$1:$CG$1,0))),IF($J32="Modeled UPC",INDEX('Monthly CUST'!$N$2:$CG$65,MATCH($D32,'Monthly CUST'!$D$2:$D$65,0),MATCH(BY$1,'Monthly CUST'!$N$1:$CG$1,0))/12*$M32,IF($J32="Base Period",BM32,IF($J32="Adjusted",SUMIF('Input 15_Fcst Inputs'!$A:$A,$D32,'Input 15_Fcst Inputs'!$G:$G)/12))))),0)</f>
        <v>684.55073645889945</v>
      </c>
      <c r="BZ32" s="483">
        <f>IFERROR(IF($J32="Historical Average",INDEX('Monthly UPC'!$CM$2:$DJ$65,MATCH($D32,'Monthly UPC'!$D$2:$D$65,0),MATCH(BZ$1,'Monthly UPC'!$CM$1:$DJ$1))*(INDEX('Monthly CUST'!$N$2:$CG$65,MATCH($D32,'Monthly CUST'!$D$2:$D$65,0),MATCH(BZ$1,'Monthly CUST'!$N$1:$CG$1,0))),IF($J32="UPC Growth Rate",((BN32/INDEX('Monthly CUST'!$N$2:$CG$65,MATCH($D32,'Monthly CUST'!$D$2:$D$65,0),MATCH(BN$1,'Monthly CUST'!$N$1:$CG$1,0)))*(1+$L32)*INDEX('Monthly CUST'!$N$2:$CG$65,MATCH($D32,'Monthly CUST'!$D$2:$D$65,0),MATCH(BZ$1,'Monthly CUST'!$N$1:$CG$1,0))),IF($J32="Modeled UPC",INDEX('Monthly CUST'!$N$2:$CG$65,MATCH($D32,'Monthly CUST'!$D$2:$D$65,0),MATCH(BZ$1,'Monthly CUST'!$N$1:$CG$1,0))/12*$M32,IF($J32="Base Period",BN32,IF($J32="Adjusted",SUMIF('Input 15_Fcst Inputs'!$A:$A,$D32,'Input 15_Fcst Inputs'!$G:$G)/12))))),0)</f>
        <v>506.83822117512921</v>
      </c>
      <c r="CA32" s="483">
        <f>IFERROR(IF($J32="Historical Average",INDEX('Monthly UPC'!$CM$2:$DJ$65,MATCH($D32,'Monthly UPC'!$D$2:$D$65,0),MATCH(CA$1,'Monthly UPC'!$CM$1:$DJ$1))*(INDEX('Monthly CUST'!$N$2:$CG$65,MATCH($D32,'Monthly CUST'!$D$2:$D$65,0),MATCH(CA$1,'Monthly CUST'!$N$1:$CG$1,0))),IF($J32="UPC Growth Rate",((BO32/INDEX('Monthly CUST'!$N$2:$CG$65,MATCH($D32,'Monthly CUST'!$D$2:$D$65,0),MATCH(BO$1,'Monthly CUST'!$N$1:$CG$1,0)))*(1+$L32)*INDEX('Monthly CUST'!$N$2:$CG$65,MATCH($D32,'Monthly CUST'!$D$2:$D$65,0),MATCH(CA$1,'Monthly CUST'!$N$1:$CG$1,0))),IF($J32="Modeled UPC",INDEX('Monthly CUST'!$N$2:$CG$65,MATCH($D32,'Monthly CUST'!$D$2:$D$65,0),MATCH(CA$1,'Monthly CUST'!$N$1:$CG$1,0))/12*$M32,IF($J32="Base Period",BO32,IF($J32="Adjusted",SUMIF('Input 15_Fcst Inputs'!$A:$A,$D32,'Input 15_Fcst Inputs'!$G:$G)/12))))),0)</f>
        <v>521.78057156230807</v>
      </c>
      <c r="CB32" s="483">
        <f>IFERROR(IF($J32="Historical Average",INDEX('Monthly UPC'!$CM$2:$DJ$65,MATCH($D32,'Monthly UPC'!$D$2:$D$65,0),MATCH(CB$1,'Monthly UPC'!$CM$1:$DJ$1))*(INDEX('Monthly CUST'!$N$2:$CG$65,MATCH($D32,'Monthly CUST'!$D$2:$D$65,0),MATCH(CB$1,'Monthly CUST'!$N$1:$CG$1,0))),IF($J32="UPC Growth Rate",((BP32/INDEX('Monthly CUST'!$N$2:$CG$65,MATCH($D32,'Monthly CUST'!$D$2:$D$65,0),MATCH(BP$1,'Monthly CUST'!$N$1:$CG$1,0)))*(1+$L32)*INDEX('Monthly CUST'!$N$2:$CG$65,MATCH($D32,'Monthly CUST'!$D$2:$D$65,0),MATCH(CB$1,'Monthly CUST'!$N$1:$CG$1,0))),IF($J32="Modeled UPC",INDEX('Monthly CUST'!$N$2:$CG$65,MATCH($D32,'Monthly CUST'!$D$2:$D$65,0),MATCH(CB$1,'Monthly CUST'!$N$1:$CG$1,0))/12*$M32,IF($J32="Base Period",BP32,IF($J32="Adjusted",SUMIF('Input 15_Fcst Inputs'!$A:$A,$D32,'Input 15_Fcst Inputs'!$G:$G)/12))))),0)</f>
        <v>699.62113599244162</v>
      </c>
      <c r="CC32" s="483">
        <f>IFERROR(IF($J32="Historical Average",INDEX('Monthly UPC'!$CM$2:$DJ$65,MATCH($D32,'Monthly UPC'!$D$2:$D$65,0),MATCH(CC$1,'Monthly UPC'!$CM$1:$DJ$1))*(INDEX('Monthly CUST'!$N$2:$CG$65,MATCH($D32,'Monthly CUST'!$D$2:$D$65,0),MATCH(CC$1,'Monthly CUST'!$N$1:$CG$1,0))),IF($J32="UPC Growth Rate",((BQ32/INDEX('Monthly CUST'!$N$2:$CG$65,MATCH($D32,'Monthly CUST'!$D$2:$D$65,0),MATCH(BQ$1,'Monthly CUST'!$N$1:$CG$1,0)))*(1+$L32)*INDEX('Monthly CUST'!$N$2:$CG$65,MATCH($D32,'Monthly CUST'!$D$2:$D$65,0),MATCH(CC$1,'Monthly CUST'!$N$1:$CG$1,0))),IF($J32="Modeled UPC",INDEX('Monthly CUST'!$N$2:$CG$65,MATCH($D32,'Monthly CUST'!$D$2:$D$65,0),MATCH(CC$1,'Monthly CUST'!$N$1:$CG$1,0))/12*$M32,IF($J32="Base Period",BQ32,IF($J32="Adjusted",SUMIF('Input 15_Fcst Inputs'!$A:$A,$D32,'Input 15_Fcst Inputs'!$G:$G)/12))))),0)</f>
        <v>557.50628339770515</v>
      </c>
      <c r="CD32" s="483">
        <f>IFERROR(IF($J32="Historical Average",INDEX('Monthly UPC'!$CM$2:$DJ$65,MATCH($D32,'Monthly UPC'!$D$2:$D$65,0),MATCH(CD$1,'Monthly UPC'!$CM$1:$DJ$1))*(INDEX('Monthly CUST'!$N$2:$CG$65,MATCH($D32,'Monthly CUST'!$D$2:$D$65,0),MATCH(CD$1,'Monthly CUST'!$N$1:$CG$1,0))),IF($J32="UPC Growth Rate",((BR32/INDEX('Monthly CUST'!$N$2:$CG$65,MATCH($D32,'Monthly CUST'!$D$2:$D$65,0),MATCH(BR$1,'Monthly CUST'!$N$1:$CG$1,0)))*(1+$L32)*INDEX('Monthly CUST'!$N$2:$CG$65,MATCH($D32,'Monthly CUST'!$D$2:$D$65,0),MATCH(CD$1,'Monthly CUST'!$N$1:$CG$1,0))),IF($J32="Modeled UPC",INDEX('Monthly CUST'!$N$2:$CG$65,MATCH($D32,'Monthly CUST'!$D$2:$D$65,0),MATCH(CD$1,'Monthly CUST'!$N$1:$CG$1,0))/12*$M32,IF($J32="Base Period",BR32,IF($J32="Adjusted",SUMIF('Input 15_Fcst Inputs'!$A:$A,$D32,'Input 15_Fcst Inputs'!$G:$G)/12))))),0)</f>
        <v>612.61666600565854</v>
      </c>
      <c r="CE32" s="483">
        <f>IFERROR(IF($J32="Historical Average",INDEX('Monthly UPC'!$CM$2:$DJ$65,MATCH($D32,'Monthly UPC'!$D$2:$D$65,0),MATCH(CE$1,'Monthly UPC'!$CM$1:$DJ$1))*(INDEX('Monthly CUST'!$N$2:$CG$65,MATCH($D32,'Monthly CUST'!$D$2:$D$65,0),MATCH(CE$1,'Monthly CUST'!$N$1:$CG$1,0))),IF($J32="UPC Growth Rate",((BS32/INDEX('Monthly CUST'!$N$2:$CG$65,MATCH($D32,'Monthly CUST'!$D$2:$D$65,0),MATCH(BS$1,'Monthly CUST'!$N$1:$CG$1,0)))*(1+$L32)*INDEX('Monthly CUST'!$N$2:$CG$65,MATCH($D32,'Monthly CUST'!$D$2:$D$65,0),MATCH(CE$1,'Monthly CUST'!$N$1:$CG$1,0))),IF($J32="Modeled UPC",INDEX('Monthly CUST'!$N$2:$CG$65,MATCH($D32,'Monthly CUST'!$D$2:$D$65,0),MATCH(CE$1,'Monthly CUST'!$N$1:$CG$1,0))/12*$M32,IF($J32="Base Period",BS32,IF($J32="Adjusted",SUMIF('Input 15_Fcst Inputs'!$A:$A,$D32,'Input 15_Fcst Inputs'!$G:$G)/12))))),0)</f>
        <v>575.05886638383083</v>
      </c>
      <c r="CF32" s="483">
        <f>IFERROR(IF($J32="Historical Average",INDEX('Monthly UPC'!$CM$2:$DJ$65,MATCH($D32,'Monthly UPC'!$D$2:$D$65,0),MATCH(CF$1,'Monthly UPC'!$CM$1:$DJ$1))*(INDEX('Monthly CUST'!$N$2:$CG$65,MATCH($D32,'Monthly CUST'!$D$2:$D$65,0),MATCH(CF$1,'Monthly CUST'!$N$1:$CG$1,0))),IF($J32="UPC Growth Rate",((BT32/INDEX('Monthly CUST'!$N$2:$CG$65,MATCH($D32,'Monthly CUST'!$D$2:$D$65,0),MATCH(BT$1,'Monthly CUST'!$N$1:$CG$1,0)))*(1+$L32)*INDEX('Monthly CUST'!$N$2:$CG$65,MATCH($D32,'Monthly CUST'!$D$2:$D$65,0),MATCH(CF$1,'Monthly CUST'!$N$1:$CG$1,0))),IF($J32="Modeled UPC",INDEX('Monthly CUST'!$N$2:$CG$65,MATCH($D32,'Monthly CUST'!$D$2:$D$65,0),MATCH(CF$1,'Monthly CUST'!$N$1:$CG$1,0))/12*$M32,IF($J32="Base Period",BT32,IF($J32="Adjusted",SUMIF('Input 15_Fcst Inputs'!$A:$A,$D32,'Input 15_Fcst Inputs'!$G:$G)/12))))),0)</f>
        <v>631.62703927346013</v>
      </c>
      <c r="CG32" s="483">
        <f>IFERROR(IF($J32="Historical Average",INDEX('Monthly UPC'!$CM$2:$DJ$65,MATCH($D32,'Monthly UPC'!$D$2:$D$65,0),MATCH(CG$1,'Monthly UPC'!$CM$1:$DJ$1))*(INDEX('Monthly CUST'!$N$2:$CG$65,MATCH($D32,'Monthly CUST'!$D$2:$D$65,0),MATCH(CG$1,'Monthly CUST'!$N$1:$CG$1,0))),IF($J32="UPC Growth Rate",((BU32/INDEX('Monthly CUST'!$N$2:$CG$65,MATCH($D32,'Monthly CUST'!$D$2:$D$65,0),MATCH(BU$1,'Monthly CUST'!$N$1:$CG$1,0)))*(1+$L32)*INDEX('Monthly CUST'!$N$2:$CG$65,MATCH($D32,'Monthly CUST'!$D$2:$D$65,0),MATCH(CG$1,'Monthly CUST'!$N$1:$CG$1,0))),IF($J32="Modeled UPC",INDEX('Monthly CUST'!$N$2:$CG$65,MATCH($D32,'Monthly CUST'!$D$2:$D$65,0),MATCH(CG$1,'Monthly CUST'!$N$1:$CG$1,0))/12*$M32,IF($J32="Base Period",BU32,IF($J32="Adjusted",SUMIF('Input 15_Fcst Inputs'!$A:$A,$D32,'Input 15_Fcst Inputs'!$G:$G)/12))))),0)</f>
        <v>858.26417840239651</v>
      </c>
      <c r="CH32" s="197"/>
      <c r="CI32" s="197">
        <f t="shared" si="0"/>
        <v>8339.48</v>
      </c>
      <c r="CJ32" s="197">
        <f t="shared" si="1"/>
        <v>8281.44</v>
      </c>
      <c r="CK32" s="197">
        <f t="shared" si="2"/>
        <v>8157.1500000000005</v>
      </c>
      <c r="CL32" s="197">
        <f t="shared" si="3"/>
        <v>8132.5999999999995</v>
      </c>
      <c r="CM32" s="197">
        <f t="shared" si="4"/>
        <v>8071.3481352216204</v>
      </c>
      <c r="CN32" s="197">
        <f t="shared" si="5"/>
        <v>8010.5575978095003</v>
      </c>
      <c r="CP32" s="4">
        <f>SUMIF('Master '!D:D,D32,'Master '!AH:AH)</f>
        <v>8071.3481352216195</v>
      </c>
      <c r="CQ32" s="4">
        <f>SUMIF('Master '!D:D,D32,'Master '!AI:AI)</f>
        <v>8010.5575978094976</v>
      </c>
      <c r="CR32" s="197">
        <f t="shared" si="6"/>
        <v>0</v>
      </c>
      <c r="CS32" s="197">
        <f t="shared" si="7"/>
        <v>0</v>
      </c>
      <c r="CT32" t="s">
        <v>287</v>
      </c>
      <c r="CV32" t="str">
        <f>VLOOKUP(G32,'Master '!G:CC,75,FALSE)</f>
        <v>FTS-B</v>
      </c>
    </row>
    <row r="33" spans="1:100">
      <c r="A33" s="53" t="s">
        <v>17</v>
      </c>
      <c r="B33" s="53" t="s">
        <v>993</v>
      </c>
      <c r="C33" s="53" t="s">
        <v>1245</v>
      </c>
      <c r="D33" s="53" t="s">
        <v>1282</v>
      </c>
      <c r="E33" s="53" t="str">
        <f>VLOOKUP(D33,'Input 14_Ref Table'!C:D,2,FALSE)</f>
        <v>CC801</v>
      </c>
      <c r="F33" s="143" t="s">
        <v>1286</v>
      </c>
      <c r="G33" s="53" t="str">
        <f>VLOOKUP(D33,'Input 14_Ref Table'!C:I,7,FALSE)</f>
        <v>CFG - FTS-A NR</v>
      </c>
      <c r="H33" s="53" t="str">
        <f>VLOOKUP(D33,'Input 14_Ref Table'!C:K,8,FALSE)</f>
        <v>FTS_AB_C</v>
      </c>
      <c r="I33" s="53"/>
      <c r="J33" t="str">
        <f>INDEX('Master '!$AD$2:AD$65,MATCH(D33,'Master '!$D$2:$D$65,0))</f>
        <v>UPC Growth Rate</v>
      </c>
      <c r="K33" s="458">
        <f>INDEX('Master '!$N$2:N$65,MATCH(D33,'Master '!$D$2:$D$65,0))</f>
        <v>-8.9379418530954602E-2</v>
      </c>
      <c r="L33" s="137">
        <f>INDEX('Master '!$S$2:S$65,MATCH(D33,'Master '!$D$2:$D$65,0))</f>
        <v>-3.2809295967190781E-2</v>
      </c>
      <c r="M33" s="4">
        <f>INDEX('Master '!$W$2:W$65,MATCH(D33,'Master '!$D$2:$D$65,0))</f>
        <v>70.75</v>
      </c>
      <c r="N33" s="268">
        <f>SUMIF('Input 16.1_2018VOL-YTD'!$R:$R,$G33,'Input 16.1_2018VOL-YTD'!C:C)</f>
        <v>110.08</v>
      </c>
      <c r="O33" s="268">
        <f>SUMIF('Input 16.1_2018VOL-YTD'!$R:$R,$G33,'Input 16.1_2018VOL-YTD'!D:D)</f>
        <v>36.340000000000003</v>
      </c>
      <c r="P33" s="268">
        <f>SUMIF('Input 16.1_2018VOL-YTD'!$R:$R,$G33,'Input 16.1_2018VOL-YTD'!E:E)</f>
        <v>41.58</v>
      </c>
      <c r="Q33" s="268">
        <f>SUMIF('Input 16.1_2018VOL-YTD'!$R:$R,$G33,'Input 16.1_2018VOL-YTD'!F:F)</f>
        <v>42.63</v>
      </c>
      <c r="R33" s="268">
        <f>SUMIF('Input 16.1_2018VOL-YTD'!$R:$R,$G33,'Input 16.1_2018VOL-YTD'!G:G)</f>
        <v>35.29</v>
      </c>
      <c r="S33" s="268">
        <f>SUMIF('Input 16.1_2018VOL-YTD'!$R:$R,$G33,'Input 16.1_2018VOL-YTD'!H:H)</f>
        <v>121.61</v>
      </c>
      <c r="T33" s="268">
        <f>SUMIF('Input 16.1_2018VOL-YTD'!$R:$R,$G33,'Input 16.1_2018VOL-YTD'!I:I)</f>
        <v>24</v>
      </c>
      <c r="U33" s="268">
        <f>SUMIF('Input 16.1_2018VOL-YTD'!$R:$R,$G33,'Input 16.1_2018VOL-YTD'!J:J)</f>
        <v>25.91</v>
      </c>
      <c r="V33" s="268">
        <f>SUMIF('Input 16.1_2018VOL-YTD'!$R:$R,$G33,'Input 16.1_2018VOL-YTD'!K:K)</f>
        <v>25.95</v>
      </c>
      <c r="W33" s="268">
        <f>SUMIF('Input 16.1_2018VOL-YTD'!$R:$R,$G33,'Input 16.1_2018VOL-YTD'!L:L)</f>
        <v>27.01</v>
      </c>
      <c r="X33" s="268">
        <f>SUMIF('Input 16.1_2018VOL-YTD'!$R:$R,$G33,'Input 16.1_2018VOL-YTD'!M:M)</f>
        <v>37.42</v>
      </c>
      <c r="Y33" s="268">
        <f>SUMIF('Input 16.1_2018VOL-YTD'!$R:$R,$G33,'Input 16.1_2018VOL-YTD'!N:N)</f>
        <v>40.630000000000003</v>
      </c>
      <c r="Z33" s="268">
        <f>SUMIF('Input 3.1_2019VOL-YTD'!$R:$R,$G33,'Input 3.1_2019VOL-YTD'!C:C)</f>
        <v>29.05</v>
      </c>
      <c r="AA33" s="268">
        <f>SUMIF('Input 3.1_2019VOL-YTD'!$R:$R,$G33,'Input 3.1_2019VOL-YTD'!D:D)</f>
        <v>35.29</v>
      </c>
      <c r="AB33" s="268">
        <f>SUMIF('Input 3.1_2019VOL-YTD'!$R:$R,$G33,'Input 3.1_2019VOL-YTD'!E:E)</f>
        <v>37.369999999999997</v>
      </c>
      <c r="AC33" s="268">
        <f>SUMIF('Input 3.1_2019VOL-YTD'!$R:$R,$G33,'Input 3.1_2019VOL-YTD'!F:F)</f>
        <v>29.02</v>
      </c>
      <c r="AD33" s="268">
        <f>SUMIF('Input 3.1_2019VOL-YTD'!$R:$R,$G33,'Input 3.1_2019VOL-YTD'!G:G)</f>
        <v>27.97</v>
      </c>
      <c r="AE33" s="268">
        <f>SUMIF('Input 3.1_2019VOL-YTD'!$R:$R,$G33,'Input 3.1_2019VOL-YTD'!H:H)</f>
        <v>25.92</v>
      </c>
      <c r="AF33" s="268">
        <f>SUMIF('Input 3.1_2019VOL-YTD'!$R:$R,$G33,'Input 3.1_2019VOL-YTD'!I:I)</f>
        <v>29.61</v>
      </c>
      <c r="AG33" s="268">
        <f>SUMIF('Input 3.1_2019VOL-YTD'!$R:$R,$G33,'Input 3.1_2019VOL-YTD'!J:J)</f>
        <v>30.7</v>
      </c>
      <c r="AH33" s="268">
        <f>SUMIF('Input 3.1_2019VOL-YTD'!$R:$R,$G33,'Input 3.1_2019VOL-YTD'!K:K)</f>
        <v>36.44</v>
      </c>
      <c r="AI33" s="268">
        <f>SUMIF('Input 3.1_2019VOL-YTD'!$R:$R,$G33,'Input 3.1_2019VOL-YTD'!L:L)</f>
        <v>22.89</v>
      </c>
      <c r="AJ33" s="268">
        <f>SUMIF('Input 3.1_2019VOL-YTD'!$R:$R,$G33,'Input 3.1_2019VOL-YTD'!M:M)</f>
        <v>30.2</v>
      </c>
      <c r="AK33" s="268">
        <f>SUMIF('Input 3.1_2019VOL-YTD'!$R:$R,$G33,'Input 3.1_2019VOL-YTD'!N:N)</f>
        <v>35.380000000000003</v>
      </c>
      <c r="AL33" s="268">
        <f>SUMIF('Input 4.1_2020VOL-YTD'!$R:$R,$G33,'Input 4.1_2020VOL-YTD'!C:C)</f>
        <v>33.29</v>
      </c>
      <c r="AM33" s="268">
        <f>SUMIF('Input 4.1_2020VOL-YTD'!$R:$R,$G33,'Input 4.1_2020VOL-YTD'!D:D)</f>
        <v>38.619999999999997</v>
      </c>
      <c r="AN33" s="268">
        <f>SUMIF('Input 4.1_2020VOL-YTD'!$R:$R,$G33,'Input 4.1_2020VOL-YTD'!E:E)</f>
        <v>34.380000000000003</v>
      </c>
      <c r="AO33" s="268">
        <f>SUMIF('Input 4.1_2020VOL-YTD'!$R:$R,$G33,'Input 4.1_2020VOL-YTD'!F:F)</f>
        <v>24.2</v>
      </c>
      <c r="AP33" s="268">
        <f>SUMIF('Input 4.1_2020VOL-YTD'!$R:$R,$G33,'Input 4.1_2020VOL-YTD'!G:G)</f>
        <v>20.94</v>
      </c>
      <c r="AQ33" s="268">
        <f>SUMIF('Input 4.1_2020VOL-YTD'!$R:$R,$G33,'Input 4.1_2020VOL-YTD'!H:H)</f>
        <v>18.82</v>
      </c>
      <c r="AR33" s="268">
        <f>SUMIF('Input 4.1_2020VOL-YTD'!$R:$R,$G33,'Input 4.1_2020VOL-YTD'!I:I)</f>
        <v>23.18</v>
      </c>
      <c r="AS33" s="268">
        <f>SUMIF('Input 4.1_2020VOL-YTD'!$R:$R,$G33,'Input 4.1_2020VOL-YTD'!J:J)</f>
        <v>18.829999999999998</v>
      </c>
      <c r="AT33" s="268">
        <f>SUMIF('Input 4.1_2020VOL-YTD'!$R:$R,$G33,'Input 4.1_2020VOL-YTD'!K:K)</f>
        <v>21.96</v>
      </c>
      <c r="AU33" s="268">
        <f>SUMIF('Input 4.1_2020VOL-YTD'!$R:$R,$G33,'Input 4.1_2020VOL-YTD'!L:L)</f>
        <v>21.89</v>
      </c>
      <c r="AV33" s="268">
        <f>SUMIF('Input 4.1_2020VOL-YTD'!$R:$R,$G33,'Input 4.1_2020VOL-YTD'!M:M)</f>
        <v>21.08</v>
      </c>
      <c r="AW33" s="268">
        <f>SUMIF('Input 4.1_2020VOL-YTD'!$R:$R,$G33,'Input 4.1_2020VOL-YTD'!N:N)</f>
        <v>47</v>
      </c>
      <c r="AX33" s="268">
        <f>SUMIF('Input 5.1_2021VOL-YTD'!$R:$R,$G33,'Input 5.1_2021VOL-YTD'!C:C)</f>
        <v>116.21</v>
      </c>
      <c r="AY33" s="268">
        <f>SUMIF('Input 5.1_2021VOL-YTD'!$R:$R,$G33,'Input 5.1_2021VOL-YTD'!D:D)</f>
        <v>49.35</v>
      </c>
      <c r="AZ33" s="268">
        <f>SUMIF('Input 5.1_2021VOL-YTD'!$R:$R,$G33,'Input 5.1_2021VOL-YTD'!E:E)</f>
        <v>24.24</v>
      </c>
      <c r="BA33" s="268">
        <f>SUMIF('Input 5.1_2021VOL-YTD'!$R:$R,$G33,'Input 5.1_2021VOL-YTD'!F:F)</f>
        <v>28.21</v>
      </c>
      <c r="BB33" s="268">
        <f>SUMIF('Input 5.1_2021VOL-YTD'!$R:$R,$G33,'Input 5.1_2021VOL-YTD'!G:G)</f>
        <v>22.03</v>
      </c>
      <c r="BC33" s="268">
        <f>SUMIF('Input 5.1_2021VOL-YTD'!$R:$R,$G33,'Input 5.1_2021VOL-YTD'!H:H)</f>
        <v>20.93</v>
      </c>
      <c r="BD33" s="268">
        <f>SUMIF('Input 5.1_2021VOL-YTD'!$R:$R,$G33,'Input 5.1_2021VOL-YTD'!I:I)</f>
        <v>22.89</v>
      </c>
      <c r="BE33" s="268">
        <f>SUMIF('Input 5.1_2021VOL-YTD'!$R:$R,$G33,'Input 5.1_2021VOL-YTD'!J:J)</f>
        <v>19.79</v>
      </c>
      <c r="BF33" s="268">
        <f>SUMIF('Input 5.1_2021VOL-YTD'!$R:$R,$G33,'Input 5.1_2021VOL-YTD'!K:K)</f>
        <v>27.17</v>
      </c>
      <c r="BG33" s="268">
        <f>SUMIF('Input 5.1_2021VOL-YTD'!$R:$R,$G33,'Input 5.1_2021VOL-YTD'!L:L)</f>
        <v>19.78</v>
      </c>
      <c r="BH33" s="268">
        <f>SUMIF('Input 5.1_2021VOL-YTD'!$R:$R,$G33,'Input 5.1_2021VOL-YTD'!M:M)</f>
        <v>24.98</v>
      </c>
      <c r="BI33" s="268">
        <f>SUMIF('Input 5.1_2021VOL-YTD'!$R:$R,$G33,'Input 5.1_2021VOL-YTD'!N:N)</f>
        <v>32.340000000000003</v>
      </c>
      <c r="BJ33" s="483">
        <f>IFERROR(IF($J33="Historical Average",INDEX('Monthly UPC'!$CM$2:$DJ$65,MATCH($D33,'Monthly UPC'!$D$2:$D$65,0),MATCH(BJ$1,'Monthly UPC'!$CM$1:$DJ$1))*(INDEX('Monthly CUST'!$N$2:$CG$65,MATCH($D33,'Monthly CUST'!$D$2:$D$65,0),MATCH(BJ$1,'Monthly CUST'!$N$1:$CG$1,0))),IF($J33="UPC Growth Rate",((AX33/INDEX('Monthly CUST'!$N$2:$CG$65,MATCH($D33,'Monthly CUST'!$D$2:$D$65,0),MATCH(AX$1,'Monthly CUST'!$N$1:$CG$1,0)))*(1+$L33)*INDEX('Monthly CUST'!$N$2:$CG$65,MATCH($D33,'Monthly CUST'!$D$2:$D$65,0),MATCH(BJ$1,'Monthly CUST'!$N$1:$CG$1,0))),IF($J33="Modeled UPC",INDEX('Monthly CUST'!$N$2:$CG$65,MATCH($D33,'Monthly CUST'!$D$2:$D$65,0),MATCH(BJ$1,'Monthly CUST'!$N$1:$CG$1,0))/12*$M33,IF($J33="Base Period",AX33,IF($J33="Adjusted",SUMIF('Input 15_Fcst Inputs'!$A:$A,$D33,'Input 15_Fcst Inputs'!$G:$G)/12))))),0)</f>
        <v>102.35123250041875</v>
      </c>
      <c r="BK33" s="483">
        <f>IFERROR(IF($J33="Historical Average",INDEX('Monthly UPC'!$CM$2:$DJ$65,MATCH($D33,'Monthly UPC'!$D$2:$D$65,0),MATCH(BK$1,'Monthly UPC'!$CM$1:$DJ$1))*(INDEX('Monthly CUST'!$N$2:$CG$65,MATCH($D33,'Monthly CUST'!$D$2:$D$65,0),MATCH(BK$1,'Monthly CUST'!$N$1:$CG$1,0))),IF($J33="UPC Growth Rate",((AY33/INDEX('Monthly CUST'!$N$2:$CG$65,MATCH($D33,'Monthly CUST'!$D$2:$D$65,0),MATCH(AY$1,'Monthly CUST'!$N$1:$CG$1,0)))*(1+$L33)*INDEX('Monthly CUST'!$N$2:$CG$65,MATCH($D33,'Monthly CUST'!$D$2:$D$65,0),MATCH(BK$1,'Monthly CUST'!$N$1:$CG$1,0))),IF($J33="Modeled UPC",INDEX('Monthly CUST'!$N$2:$CG$65,MATCH($D33,'Monthly CUST'!$D$2:$D$65,0),MATCH(BK$1,'Monthly CUST'!$N$1:$CG$1,0))/12*$M33,IF($J33="Base Period",AY33,IF($J33="Adjusted",SUMIF('Input 15_Fcst Inputs'!$A:$A,$D33,'Input 15_Fcst Inputs'!$G:$G)/12))))),0)</f>
        <v>43.46470462004703</v>
      </c>
      <c r="BL33" s="483">
        <f>IFERROR(IF($J33="Historical Average",INDEX('Monthly UPC'!$CM$2:$DJ$65,MATCH($D33,'Monthly UPC'!$D$2:$D$65,0),MATCH(BL$1,'Monthly UPC'!$CM$1:$DJ$1))*(INDEX('Monthly CUST'!$N$2:$CG$65,MATCH($D33,'Monthly CUST'!$D$2:$D$65,0),MATCH(BL$1,'Monthly CUST'!$N$1:$CG$1,0))),IF($J33="UPC Growth Rate",((AZ33/INDEX('Monthly CUST'!$N$2:$CG$65,MATCH($D33,'Monthly CUST'!$D$2:$D$65,0),MATCH(AZ$1,'Monthly CUST'!$N$1:$CG$1,0)))*(1+$L33)*INDEX('Monthly CUST'!$N$2:$CG$65,MATCH($D33,'Monthly CUST'!$D$2:$D$65,0),MATCH(BL$1,'Monthly CUST'!$N$1:$CG$1,0))),IF($J33="Modeled UPC",INDEX('Monthly CUST'!$N$2:$CG$65,MATCH($D33,'Monthly CUST'!$D$2:$D$65,0),MATCH(BL$1,'Monthly CUST'!$N$1:$CG$1,0))/12*$M33,IF($J33="Base Period",AZ33,IF($J33="Adjusted",SUMIF('Input 15_Fcst Inputs'!$A:$A,$D33,'Input 15_Fcst Inputs'!$G:$G)/12))))),0)</f>
        <v>21.349228773858965</v>
      </c>
      <c r="BM33" s="483">
        <f>IFERROR(IF($J33="Historical Average",INDEX('Monthly UPC'!$CM$2:$DJ$65,MATCH($D33,'Monthly UPC'!$D$2:$D$65,0),MATCH(BM$1,'Monthly UPC'!$CM$1:$DJ$1))*(INDEX('Monthly CUST'!$N$2:$CG$65,MATCH($D33,'Monthly CUST'!$D$2:$D$65,0),MATCH(BM$1,'Monthly CUST'!$N$1:$CG$1,0))),IF($J33="UPC Growth Rate",((BA33/INDEX('Monthly CUST'!$N$2:$CG$65,MATCH($D33,'Monthly CUST'!$D$2:$D$65,0),MATCH(BA$1,'Monthly CUST'!$N$1:$CG$1,0)))*(1+$L33)*INDEX('Monthly CUST'!$N$2:$CG$65,MATCH($D33,'Monthly CUST'!$D$2:$D$65,0),MATCH(BM$1,'Monthly CUST'!$N$1:$CG$1,0))),IF($J33="Modeled UPC",INDEX('Monthly CUST'!$N$2:$CG$65,MATCH($D33,'Monthly CUST'!$D$2:$D$65,0),MATCH(BM$1,'Monthly CUST'!$N$1:$CG$1,0))/12*$M33,IF($J33="Base Period",BA33,IF($J33="Adjusted",SUMIF('Input 15_Fcst Inputs'!$A:$A,$D33,'Input 15_Fcst Inputs'!$G:$G)/12))))),0)</f>
        <v>24.845781506211278</v>
      </c>
      <c r="BN33" s="483">
        <f>IFERROR(IF($J33="Historical Average",INDEX('Monthly UPC'!$CM$2:$DJ$65,MATCH($D33,'Monthly UPC'!$D$2:$D$65,0),MATCH(BN$1,'Monthly UPC'!$CM$1:$DJ$1))*(INDEX('Monthly CUST'!$N$2:$CG$65,MATCH($D33,'Monthly CUST'!$D$2:$D$65,0),MATCH(BN$1,'Monthly CUST'!$N$1:$CG$1,0))),IF($J33="UPC Growth Rate",((BB33/INDEX('Monthly CUST'!$N$2:$CG$65,MATCH($D33,'Monthly CUST'!$D$2:$D$65,0),MATCH(BB$1,'Monthly CUST'!$N$1:$CG$1,0)))*(1+$L33)*INDEX('Monthly CUST'!$N$2:$CG$65,MATCH($D33,'Monthly CUST'!$D$2:$D$65,0),MATCH(BN$1,'Monthly CUST'!$N$1:$CG$1,0))),IF($J33="Modeled UPC",INDEX('Monthly CUST'!$N$2:$CG$65,MATCH($D33,'Monthly CUST'!$D$2:$D$65,0),MATCH(BN$1,'Monthly CUST'!$N$1:$CG$1,0))/12*$M33,IF($J33="Base Period",BB33,IF($J33="Adjusted",SUMIF('Input 15_Fcst Inputs'!$A:$A,$D33,'Input 15_Fcst Inputs'!$G:$G)/12))))),0)</f>
        <v>19.402785061390802</v>
      </c>
      <c r="BO33" s="483">
        <f>IFERROR(IF($J33="Historical Average",INDEX('Monthly UPC'!$CM$2:$DJ$65,MATCH($D33,'Monthly UPC'!$D$2:$D$65,0),MATCH(BO$1,'Monthly UPC'!$CM$1:$DJ$1))*(INDEX('Monthly CUST'!$N$2:$CG$65,MATCH($D33,'Monthly CUST'!$D$2:$D$65,0),MATCH(BO$1,'Monthly CUST'!$N$1:$CG$1,0))),IF($J33="UPC Growth Rate",((BC33/INDEX('Monthly CUST'!$N$2:$CG$65,MATCH($D33,'Monthly CUST'!$D$2:$D$65,0),MATCH(BC$1,'Monthly CUST'!$N$1:$CG$1,0)))*(1+$L33)*INDEX('Monthly CUST'!$N$2:$CG$65,MATCH($D33,'Monthly CUST'!$D$2:$D$65,0),MATCH(BO$1,'Monthly CUST'!$N$1:$CG$1,0))),IF($J33="Modeled UPC",INDEX('Monthly CUST'!$N$2:$CG$65,MATCH($D33,'Monthly CUST'!$D$2:$D$65,0),MATCH(BO$1,'Monthly CUST'!$N$1:$CG$1,0))/12*$M33,IF($J33="Base Period",BC33,IF($J33="Adjusted",SUMIF('Input 15_Fcst Inputs'!$A:$A,$D33,'Input 15_Fcst Inputs'!$G:$G)/12))))),0)</f>
        <v>18.433966923963204</v>
      </c>
      <c r="BP33" s="483">
        <f>IFERROR(IF($J33="Historical Average",INDEX('Monthly UPC'!$CM$2:$DJ$65,MATCH($D33,'Monthly UPC'!$D$2:$D$65,0),MATCH(BP$1,'Monthly UPC'!$CM$1:$DJ$1))*(INDEX('Monthly CUST'!$N$2:$CG$65,MATCH($D33,'Monthly CUST'!$D$2:$D$65,0),MATCH(BP$1,'Monthly CUST'!$N$1:$CG$1,0))),IF($J33="UPC Growth Rate",((BD33/INDEX('Monthly CUST'!$N$2:$CG$65,MATCH($D33,'Monthly CUST'!$D$2:$D$65,0),MATCH(BD$1,'Monthly CUST'!$N$1:$CG$1,0)))*(1+$L33)*INDEX('Monthly CUST'!$N$2:$CG$65,MATCH($D33,'Monthly CUST'!$D$2:$D$65,0),MATCH(BP$1,'Monthly CUST'!$N$1:$CG$1,0))),IF($J33="Modeled UPC",INDEX('Monthly CUST'!$N$2:$CG$65,MATCH($D33,'Monthly CUST'!$D$2:$D$65,0),MATCH(BP$1,'Monthly CUST'!$N$1:$CG$1,0))/12*$M33,IF($J33="Base Period",BD33,IF($J33="Adjusted",SUMIF('Input 15_Fcst Inputs'!$A:$A,$D33,'Input 15_Fcst Inputs'!$G:$G)/12))))),0)</f>
        <v>20.160224696106919</v>
      </c>
      <c r="BQ33" s="483">
        <f>IFERROR(IF($J33="Historical Average",INDEX('Monthly UPC'!$CM$2:$DJ$65,MATCH($D33,'Monthly UPC'!$D$2:$D$65,0),MATCH(BQ$1,'Monthly UPC'!$CM$1:$DJ$1))*(INDEX('Monthly CUST'!$N$2:$CG$65,MATCH($D33,'Monthly CUST'!$D$2:$D$65,0),MATCH(BQ$1,'Monthly CUST'!$N$1:$CG$1,0))),IF($J33="UPC Growth Rate",((BE33/INDEX('Monthly CUST'!$N$2:$CG$65,MATCH($D33,'Monthly CUST'!$D$2:$D$65,0),MATCH(BE$1,'Monthly CUST'!$N$1:$CG$1,0)))*(1+$L33)*INDEX('Monthly CUST'!$N$2:$CG$65,MATCH($D33,'Monthly CUST'!$D$2:$D$65,0),MATCH(BQ$1,'Monthly CUST'!$N$1:$CG$1,0))),IF($J33="Modeled UPC",INDEX('Monthly CUST'!$N$2:$CG$65,MATCH($D33,'Monthly CUST'!$D$2:$D$65,0),MATCH(BQ$1,'Monthly CUST'!$N$1:$CG$1,0))/12*$M33,IF($J33="Base Period",BE33,IF($J33="Adjusted",SUMIF('Input 15_Fcst Inputs'!$A:$A,$D33,'Input 15_Fcst Inputs'!$G:$G)/12))))),0)</f>
        <v>17.4299190360837</v>
      </c>
      <c r="BR33" s="483">
        <f>IFERROR(IF($J33="Historical Average",INDEX('Monthly UPC'!$CM$2:$DJ$65,MATCH($D33,'Monthly UPC'!$D$2:$D$65,0),MATCH(BR$1,'Monthly UPC'!$CM$1:$DJ$1))*(INDEX('Monthly CUST'!$N$2:$CG$65,MATCH($D33,'Monthly CUST'!$D$2:$D$65,0),MATCH(BR$1,'Monthly CUST'!$N$1:$CG$1,0))),IF($J33="UPC Growth Rate",((BF33/INDEX('Monthly CUST'!$N$2:$CG$65,MATCH($D33,'Monthly CUST'!$D$2:$D$65,0),MATCH(BF$1,'Monthly CUST'!$N$1:$CG$1,0)))*(1+$L33)*INDEX('Monthly CUST'!$N$2:$CG$65,MATCH($D33,'Monthly CUST'!$D$2:$D$65,0),MATCH(BR$1,'Monthly CUST'!$N$1:$CG$1,0))),IF($J33="Modeled UPC",INDEX('Monthly CUST'!$N$2:$CG$65,MATCH($D33,'Monthly CUST'!$D$2:$D$65,0),MATCH(BR$1,'Monthly CUST'!$N$1:$CG$1,0))/12*$M33,IF($J33="Base Period",BF33,IF($J33="Adjusted",SUMIF('Input 15_Fcst Inputs'!$A:$A,$D33,'Input 15_Fcst Inputs'!$G:$G)/12))))),0)</f>
        <v>23.929807994461555</v>
      </c>
      <c r="BS33" s="483">
        <f>IFERROR(IF($J33="Historical Average",INDEX('Monthly UPC'!$CM$2:$DJ$65,MATCH($D33,'Monthly UPC'!$D$2:$D$65,0),MATCH(BS$1,'Monthly UPC'!$CM$1:$DJ$1))*(INDEX('Monthly CUST'!$N$2:$CG$65,MATCH($D33,'Monthly CUST'!$D$2:$D$65,0),MATCH(BS$1,'Monthly CUST'!$N$1:$CG$1,0))),IF($J33="UPC Growth Rate",((BG33/INDEX('Monthly CUST'!$N$2:$CG$65,MATCH($D33,'Monthly CUST'!$D$2:$D$65,0),MATCH(BG$1,'Monthly CUST'!$N$1:$CG$1,0)))*(1+$L33)*INDEX('Monthly CUST'!$N$2:$CG$65,MATCH($D33,'Monthly CUST'!$D$2:$D$65,0),MATCH(BS$1,'Monthly CUST'!$N$1:$CG$1,0))),IF($J33="Modeled UPC",INDEX('Monthly CUST'!$N$2:$CG$65,MATCH($D33,'Monthly CUST'!$D$2:$D$65,0),MATCH(BS$1,'Monthly CUST'!$N$1:$CG$1,0))/12*$M33,IF($J33="Base Period",BG33,IF($J33="Adjusted",SUMIF('Input 15_Fcst Inputs'!$A:$A,$D33,'Input 15_Fcst Inputs'!$G:$G)/12))))),0)</f>
        <v>17.421111598470723</v>
      </c>
      <c r="BT33" s="483">
        <f>IFERROR(IF($J33="Historical Average",INDEX('Monthly UPC'!$CM$2:$DJ$65,MATCH($D33,'Monthly UPC'!$D$2:$D$65,0),MATCH(BT$1,'Monthly UPC'!$CM$1:$DJ$1))*(INDEX('Monthly CUST'!$N$2:$CG$65,MATCH($D33,'Monthly CUST'!$D$2:$D$65,0),MATCH(BT$1,'Monthly CUST'!$N$1:$CG$1,0))),IF($J33="UPC Growth Rate",((BH33/INDEX('Monthly CUST'!$N$2:$CG$65,MATCH($D33,'Monthly CUST'!$D$2:$D$65,0),MATCH(BH$1,'Monthly CUST'!$N$1:$CG$1,0)))*(1+$L33)*INDEX('Monthly CUST'!$N$2:$CG$65,MATCH($D33,'Monthly CUST'!$D$2:$D$65,0),MATCH(BT$1,'Monthly CUST'!$N$1:$CG$1,0))),IF($J33="Modeled UPC",INDEX('Monthly CUST'!$N$2:$CG$65,MATCH($D33,'Monthly CUST'!$D$2:$D$65,0),MATCH(BT$1,'Monthly CUST'!$N$1:$CG$1,0))/12*$M33,IF($J33="Base Period",BH33,IF($J33="Adjusted",SUMIF('Input 15_Fcst Inputs'!$A:$A,$D33,'Input 15_Fcst Inputs'!$G:$G)/12))))),0)</f>
        <v>22.000979157219344</v>
      </c>
      <c r="BU33" s="483">
        <f>IFERROR(IF($J33="Historical Average",INDEX('Monthly UPC'!$CM$2:$DJ$65,MATCH($D33,'Monthly UPC'!$D$2:$D$65,0),MATCH(BU$1,'Monthly UPC'!$CM$1:$DJ$1))*(INDEX('Monthly CUST'!$N$2:$CG$65,MATCH($D33,'Monthly CUST'!$D$2:$D$65,0),MATCH(BU$1,'Monthly CUST'!$N$1:$CG$1,0))),IF($J33="UPC Growth Rate",((BI33/INDEX('Monthly CUST'!$N$2:$CG$65,MATCH($D33,'Monthly CUST'!$D$2:$D$65,0),MATCH(BI$1,'Monthly CUST'!$N$1:$CG$1,0)))*(1+$L33)*INDEX('Monthly CUST'!$N$2:$CG$65,MATCH($D33,'Monthly CUST'!$D$2:$D$65,0),MATCH(BU$1,'Monthly CUST'!$N$1:$CG$1,0))),IF($J33="Modeled UPC",INDEX('Monthly CUST'!$N$2:$CG$65,MATCH($D33,'Monthly CUST'!$D$2:$D$65,0),MATCH(BU$1,'Monthly CUST'!$N$1:$CG$1,0))/12*$M33,IF($J33="Base Period",BI33,IF($J33="Adjusted",SUMIF('Input 15_Fcst Inputs'!$A:$A,$D33,'Input 15_Fcst Inputs'!$G:$G)/12))))),0)</f>
        <v>28.483253240371244</v>
      </c>
      <c r="BV33" s="483">
        <f>IFERROR(IF($J33="Historical Average",INDEX('Monthly UPC'!$CM$2:$DJ$65,MATCH($D33,'Monthly UPC'!$D$2:$D$65,0),MATCH(BV$1,'Monthly UPC'!$CM$1:$DJ$1))*(INDEX('Monthly CUST'!$N$2:$CG$65,MATCH($D33,'Monthly CUST'!$D$2:$D$65,0),MATCH(BV$1,'Monthly CUST'!$N$1:$CG$1,0))),IF($J33="UPC Growth Rate",((BJ33/INDEX('Monthly CUST'!$N$2:$CG$65,MATCH($D33,'Monthly CUST'!$D$2:$D$65,0),MATCH(BJ$1,'Monthly CUST'!$N$1:$CG$1,0)))*(1+$L33)*INDEX('Monthly CUST'!$N$2:$CG$65,MATCH($D33,'Monthly CUST'!$D$2:$D$65,0),MATCH(BV$1,'Monthly CUST'!$N$1:$CG$1,0))),IF($J33="Modeled UPC",INDEX('Monthly CUST'!$N$2:$CG$65,MATCH($D33,'Monthly CUST'!$D$2:$D$65,0),MATCH(BV$1,'Monthly CUST'!$N$1:$CG$1,0))/12*$M33,IF($J33="Base Period",BJ33,IF($J33="Adjusted",SUMIF('Input 15_Fcst Inputs'!$A:$A,$D33,'Input 15_Fcst Inputs'!$G:$G)/12))))),0)</f>
        <v>90.145209485885673</v>
      </c>
      <c r="BW33" s="483">
        <f>IFERROR(IF($J33="Historical Average",INDEX('Monthly UPC'!$CM$2:$DJ$65,MATCH($D33,'Monthly UPC'!$D$2:$D$65,0),MATCH(BW$1,'Monthly UPC'!$CM$1:$DJ$1))*(INDEX('Monthly CUST'!$N$2:$CG$65,MATCH($D33,'Monthly CUST'!$D$2:$D$65,0),MATCH(BW$1,'Monthly CUST'!$N$1:$CG$1,0))),IF($J33="UPC Growth Rate",((BK33/INDEX('Monthly CUST'!$N$2:$CG$65,MATCH($D33,'Monthly CUST'!$D$2:$D$65,0),MATCH(BK$1,'Monthly CUST'!$N$1:$CG$1,0)))*(1+$L33)*INDEX('Monthly CUST'!$N$2:$CG$65,MATCH($D33,'Monthly CUST'!$D$2:$D$65,0),MATCH(BW$1,'Monthly CUST'!$N$1:$CG$1,0))),IF($J33="Modeled UPC",INDEX('Monthly CUST'!$N$2:$CG$65,MATCH($D33,'Monthly CUST'!$D$2:$D$65,0),MATCH(BW$1,'Monthly CUST'!$N$1:$CG$1,0))/12*$M33,IF($J33="Base Period",BK33,IF($J33="Adjusted",SUMIF('Input 15_Fcst Inputs'!$A:$A,$D33,'Input 15_Fcst Inputs'!$G:$G)/12))))),0)</f>
        <v>38.281267430758611</v>
      </c>
      <c r="BX33" s="483">
        <f>IFERROR(IF($J33="Historical Average",INDEX('Monthly UPC'!$CM$2:$DJ$65,MATCH($D33,'Monthly UPC'!$D$2:$D$65,0),MATCH(BX$1,'Monthly UPC'!$CM$1:$DJ$1))*(INDEX('Monthly CUST'!$N$2:$CG$65,MATCH($D33,'Monthly CUST'!$D$2:$D$65,0),MATCH(BX$1,'Monthly CUST'!$N$1:$CG$1,0))),IF($J33="UPC Growth Rate",((BL33/INDEX('Monthly CUST'!$N$2:$CG$65,MATCH($D33,'Monthly CUST'!$D$2:$D$65,0),MATCH(BL$1,'Monthly CUST'!$N$1:$CG$1,0)))*(1+$L33)*INDEX('Monthly CUST'!$N$2:$CG$65,MATCH($D33,'Monthly CUST'!$D$2:$D$65,0),MATCH(BX$1,'Monthly CUST'!$N$1:$CG$1,0))),IF($J33="Modeled UPC",INDEX('Monthly CUST'!$N$2:$CG$65,MATCH($D33,'Monthly CUST'!$D$2:$D$65,0),MATCH(BX$1,'Monthly CUST'!$N$1:$CG$1,0))/12*$M33,IF($J33="Base Period",BL33,IF($J33="Adjusted",SUMIF('Input 15_Fcst Inputs'!$A:$A,$D33,'Input 15_Fcst Inputs'!$G:$G)/12))))),0)</f>
        <v>18.80320005109602</v>
      </c>
      <c r="BY33" s="483">
        <f>IFERROR(IF($J33="Historical Average",INDEX('Monthly UPC'!$CM$2:$DJ$65,MATCH($D33,'Monthly UPC'!$D$2:$D$65,0),MATCH(BY$1,'Monthly UPC'!$CM$1:$DJ$1))*(INDEX('Monthly CUST'!$N$2:$CG$65,MATCH($D33,'Monthly CUST'!$D$2:$D$65,0),MATCH(BY$1,'Monthly CUST'!$N$1:$CG$1,0))),IF($J33="UPC Growth Rate",((BM33/INDEX('Monthly CUST'!$N$2:$CG$65,MATCH($D33,'Monthly CUST'!$D$2:$D$65,0),MATCH(BM$1,'Monthly CUST'!$N$1:$CG$1,0)))*(1+$L33)*INDEX('Monthly CUST'!$N$2:$CG$65,MATCH($D33,'Monthly CUST'!$D$2:$D$65,0),MATCH(BY$1,'Monthly CUST'!$N$1:$CG$1,0))),IF($J33="Modeled UPC",INDEX('Monthly CUST'!$N$2:$CG$65,MATCH($D33,'Monthly CUST'!$D$2:$D$65,0),MATCH(BY$1,'Monthly CUST'!$N$1:$CG$1,0))/12*$M33,IF($J33="Base Period",BM33,IF($J33="Adjusted",SUMIF('Input 15_Fcst Inputs'!$A:$A,$D33,'Input 15_Fcst Inputs'!$G:$G)/12))))),0)</f>
        <v>21.882767056164138</v>
      </c>
      <c r="BZ33" s="483">
        <f>IFERROR(IF($J33="Historical Average",INDEX('Monthly UPC'!$CM$2:$DJ$65,MATCH($D33,'Monthly UPC'!$D$2:$D$65,0),MATCH(BZ$1,'Monthly UPC'!$CM$1:$DJ$1))*(INDEX('Monthly CUST'!$N$2:$CG$65,MATCH($D33,'Monthly CUST'!$D$2:$D$65,0),MATCH(BZ$1,'Monthly CUST'!$N$1:$CG$1,0))),IF($J33="UPC Growth Rate",((BN33/INDEX('Monthly CUST'!$N$2:$CG$65,MATCH($D33,'Monthly CUST'!$D$2:$D$65,0),MATCH(BN$1,'Monthly CUST'!$N$1:$CG$1,0)))*(1+$L33)*INDEX('Monthly CUST'!$N$2:$CG$65,MATCH($D33,'Monthly CUST'!$D$2:$D$65,0),MATCH(BZ$1,'Monthly CUST'!$N$1:$CG$1,0))),IF($J33="Modeled UPC",INDEX('Monthly CUST'!$N$2:$CG$65,MATCH($D33,'Monthly CUST'!$D$2:$D$65,0),MATCH(BZ$1,'Monthly CUST'!$N$1:$CG$1,0))/12*$M33,IF($J33="Base Period",BN33,IF($J33="Adjusted",SUMIF('Input 15_Fcst Inputs'!$A:$A,$D33,'Input 15_Fcst Inputs'!$G:$G)/12))))),0)</f>
        <v>17.088881894622332</v>
      </c>
      <c r="CA33" s="483">
        <f>IFERROR(IF($J33="Historical Average",INDEX('Monthly UPC'!$CM$2:$DJ$65,MATCH($D33,'Monthly UPC'!$D$2:$D$65,0),MATCH(CA$1,'Monthly UPC'!$CM$1:$DJ$1))*(INDEX('Monthly CUST'!$N$2:$CG$65,MATCH($D33,'Monthly CUST'!$D$2:$D$65,0),MATCH(CA$1,'Monthly CUST'!$N$1:$CG$1,0))),IF($J33="UPC Growth Rate",((BO33/INDEX('Monthly CUST'!$N$2:$CG$65,MATCH($D33,'Monthly CUST'!$D$2:$D$65,0),MATCH(BO$1,'Monthly CUST'!$N$1:$CG$1,0)))*(1+$L33)*INDEX('Monthly CUST'!$N$2:$CG$65,MATCH($D33,'Monthly CUST'!$D$2:$D$65,0),MATCH(CA$1,'Monthly CUST'!$N$1:$CG$1,0))),IF($J33="Modeled UPC",INDEX('Monthly CUST'!$N$2:$CG$65,MATCH($D33,'Monthly CUST'!$D$2:$D$65,0),MATCH(CA$1,'Monthly CUST'!$N$1:$CG$1,0))/12*$M33,IF($J33="Base Period",BO33,IF($J33="Adjusted",SUMIF('Input 15_Fcst Inputs'!$A:$A,$D33,'Input 15_Fcst Inputs'!$G:$G)/12))))),0)</f>
        <v>16.235601364250812</v>
      </c>
      <c r="CB33" s="483">
        <f>IFERROR(IF($J33="Historical Average",INDEX('Monthly UPC'!$CM$2:$DJ$65,MATCH($D33,'Monthly UPC'!$D$2:$D$65,0),MATCH(CB$1,'Monthly UPC'!$CM$1:$DJ$1))*(INDEX('Monthly CUST'!$N$2:$CG$65,MATCH($D33,'Monthly CUST'!$D$2:$D$65,0),MATCH(CB$1,'Monthly CUST'!$N$1:$CG$1,0))),IF($J33="UPC Growth Rate",((BP33/INDEX('Monthly CUST'!$N$2:$CG$65,MATCH($D33,'Monthly CUST'!$D$2:$D$65,0),MATCH(BP$1,'Monthly CUST'!$N$1:$CG$1,0)))*(1+$L33)*INDEX('Monthly CUST'!$N$2:$CG$65,MATCH($D33,'Monthly CUST'!$D$2:$D$65,0),MATCH(CB$1,'Monthly CUST'!$N$1:$CG$1,0))),IF($J33="Modeled UPC",INDEX('Monthly CUST'!$N$2:$CG$65,MATCH($D33,'Monthly CUST'!$D$2:$D$65,0),MATCH(CB$1,'Monthly CUST'!$N$1:$CG$1,0))/12*$M33,IF($J33="Base Period",BP33,IF($J33="Adjusted",SUMIF('Input 15_Fcst Inputs'!$A:$A,$D33,'Input 15_Fcst Inputs'!$G:$G)/12))))),0)</f>
        <v>17.755992127458246</v>
      </c>
      <c r="CC33" s="483">
        <f>IFERROR(IF($J33="Historical Average",INDEX('Monthly UPC'!$CM$2:$DJ$65,MATCH($D33,'Monthly UPC'!$D$2:$D$65,0),MATCH(CC$1,'Monthly UPC'!$CM$1:$DJ$1))*(INDEX('Monthly CUST'!$N$2:$CG$65,MATCH($D33,'Monthly CUST'!$D$2:$D$65,0),MATCH(CC$1,'Monthly CUST'!$N$1:$CG$1,0))),IF($J33="UPC Growth Rate",((BQ33/INDEX('Monthly CUST'!$N$2:$CG$65,MATCH($D33,'Monthly CUST'!$D$2:$D$65,0),MATCH(BQ$1,'Monthly CUST'!$N$1:$CG$1,0)))*(1+$L33)*INDEX('Monthly CUST'!$N$2:$CG$65,MATCH($D33,'Monthly CUST'!$D$2:$D$65,0),MATCH(CC$1,'Monthly CUST'!$N$1:$CG$1,0))),IF($J33="Modeled UPC",INDEX('Monthly CUST'!$N$2:$CG$65,MATCH($D33,'Monthly CUST'!$D$2:$D$65,0),MATCH(CC$1,'Monthly CUST'!$N$1:$CG$1,0))/12*$M33,IF($J33="Base Period",BQ33,IF($J33="Adjusted",SUMIF('Input 15_Fcst Inputs'!$A:$A,$D33,'Input 15_Fcst Inputs'!$G:$G)/12))))),0)</f>
        <v>15.35129245095669</v>
      </c>
      <c r="CD33" s="483">
        <f>IFERROR(IF($J33="Historical Average",INDEX('Monthly UPC'!$CM$2:$DJ$65,MATCH($D33,'Monthly UPC'!$D$2:$D$65,0),MATCH(CD$1,'Monthly UPC'!$CM$1:$DJ$1))*(INDEX('Monthly CUST'!$N$2:$CG$65,MATCH($D33,'Monthly CUST'!$D$2:$D$65,0),MATCH(CD$1,'Monthly CUST'!$N$1:$CG$1,0))),IF($J33="UPC Growth Rate",((BR33/INDEX('Monthly CUST'!$N$2:$CG$65,MATCH($D33,'Monthly CUST'!$D$2:$D$65,0),MATCH(BR$1,'Monthly CUST'!$N$1:$CG$1,0)))*(1+$L33)*INDEX('Monthly CUST'!$N$2:$CG$65,MATCH($D33,'Monthly CUST'!$D$2:$D$65,0),MATCH(CD$1,'Monthly CUST'!$N$1:$CG$1,0))),IF($J33="Modeled UPC",INDEX('Monthly CUST'!$N$2:$CG$65,MATCH($D33,'Monthly CUST'!$D$2:$D$65,0),MATCH(CD$1,'Monthly CUST'!$N$1:$CG$1,0))/12*$M33,IF($J33="Base Period",BR33,IF($J33="Adjusted",SUMIF('Input 15_Fcst Inputs'!$A:$A,$D33,'Input 15_Fcst Inputs'!$G:$G)/12))))),0)</f>
        <v>21.076029100176523</v>
      </c>
      <c r="CE33" s="483">
        <f>IFERROR(IF($J33="Historical Average",INDEX('Monthly UPC'!$CM$2:$DJ$65,MATCH($D33,'Monthly UPC'!$D$2:$D$65,0),MATCH(CE$1,'Monthly UPC'!$CM$1:$DJ$1))*(INDEX('Monthly CUST'!$N$2:$CG$65,MATCH($D33,'Monthly CUST'!$D$2:$D$65,0),MATCH(CE$1,'Monthly CUST'!$N$1:$CG$1,0))),IF($J33="UPC Growth Rate",((BS33/INDEX('Monthly CUST'!$N$2:$CG$65,MATCH($D33,'Monthly CUST'!$D$2:$D$65,0),MATCH(BS$1,'Monthly CUST'!$N$1:$CG$1,0)))*(1+$L33)*INDEX('Monthly CUST'!$N$2:$CG$65,MATCH($D33,'Monthly CUST'!$D$2:$D$65,0),MATCH(CE$1,'Monthly CUST'!$N$1:$CG$1,0))),IF($J33="Modeled UPC",INDEX('Monthly CUST'!$N$2:$CG$65,MATCH($D33,'Monthly CUST'!$D$2:$D$65,0),MATCH(CE$1,'Monthly CUST'!$N$1:$CG$1,0))/12*$M33,IF($J33="Base Period",BS33,IF($J33="Adjusted",SUMIF('Input 15_Fcst Inputs'!$A:$A,$D33,'Input 15_Fcst Inputs'!$G:$G)/12))))),0)</f>
        <v>15.343535355226043</v>
      </c>
      <c r="CF33" s="483">
        <f>IFERROR(IF($J33="Historical Average",INDEX('Monthly UPC'!$CM$2:$DJ$65,MATCH($D33,'Monthly UPC'!$D$2:$D$65,0),MATCH(CF$1,'Monthly UPC'!$CM$1:$DJ$1))*(INDEX('Monthly CUST'!$N$2:$CG$65,MATCH($D33,'Monthly CUST'!$D$2:$D$65,0),MATCH(CF$1,'Monthly CUST'!$N$1:$CG$1,0))),IF($J33="UPC Growth Rate",((BT33/INDEX('Monthly CUST'!$N$2:$CG$65,MATCH($D33,'Monthly CUST'!$D$2:$D$65,0),MATCH(BT$1,'Monthly CUST'!$N$1:$CG$1,0)))*(1+$L33)*INDEX('Monthly CUST'!$N$2:$CG$65,MATCH($D33,'Monthly CUST'!$D$2:$D$65,0),MATCH(CF$1,'Monthly CUST'!$N$1:$CG$1,0))),IF($J33="Modeled UPC",INDEX('Monthly CUST'!$N$2:$CG$65,MATCH($D33,'Monthly CUST'!$D$2:$D$65,0),MATCH(CF$1,'Monthly CUST'!$N$1:$CG$1,0))/12*$M33,IF($J33="Base Period",BT33,IF($J33="Adjusted",SUMIF('Input 15_Fcst Inputs'!$A:$A,$D33,'Input 15_Fcst Inputs'!$G:$G)/12))))),0)</f>
        <v>19.377225135164132</v>
      </c>
      <c r="CG33" s="483">
        <f>IFERROR(IF($J33="Historical Average",INDEX('Monthly UPC'!$CM$2:$DJ$65,MATCH($D33,'Monthly UPC'!$D$2:$D$65,0),MATCH(CG$1,'Monthly UPC'!$CM$1:$DJ$1))*(INDEX('Monthly CUST'!$N$2:$CG$65,MATCH($D33,'Monthly CUST'!$D$2:$D$65,0),MATCH(CG$1,'Monthly CUST'!$N$1:$CG$1,0))),IF($J33="UPC Growth Rate",((BU33/INDEX('Monthly CUST'!$N$2:$CG$65,MATCH($D33,'Monthly CUST'!$D$2:$D$65,0),MATCH(BU$1,'Monthly CUST'!$N$1:$CG$1,0)))*(1+$L33)*INDEX('Monthly CUST'!$N$2:$CG$65,MATCH($D33,'Monthly CUST'!$D$2:$D$65,0),MATCH(CG$1,'Monthly CUST'!$N$1:$CG$1,0))),IF($J33="Modeled UPC",INDEX('Monthly CUST'!$N$2:$CG$65,MATCH($D33,'Monthly CUST'!$D$2:$D$65,0),MATCH(CG$1,'Monthly CUST'!$N$1:$CG$1,0))/12*$M33,IF($J33="Base Period",BU33,IF($J33="Adjusted",SUMIF('Input 15_Fcst Inputs'!$A:$A,$D33,'Input 15_Fcst Inputs'!$G:$G)/12))))),0)</f>
        <v>25.086447592922664</v>
      </c>
      <c r="CH33" s="197"/>
      <c r="CI33" s="197">
        <f t="shared" si="0"/>
        <v>568.45000000000005</v>
      </c>
      <c r="CJ33" s="197">
        <f t="shared" si="1"/>
        <v>369.84</v>
      </c>
      <c r="CK33" s="197">
        <f t="shared" si="2"/>
        <v>324.19</v>
      </c>
      <c r="CL33" s="197">
        <f t="shared" si="3"/>
        <v>407.92000000000007</v>
      </c>
      <c r="CM33" s="197">
        <f t="shared" si="4"/>
        <v>359.27299510860342</v>
      </c>
      <c r="CN33" s="197">
        <f t="shared" si="5"/>
        <v>316.42744904468185</v>
      </c>
      <c r="CP33" s="4">
        <f>SUMIF('Master '!D:D,D33,'Master '!AH:AH)</f>
        <v>359.2729951086036</v>
      </c>
      <c r="CQ33" s="4">
        <f>SUMIF('Master '!D:D,D33,'Master '!AI:AI)</f>
        <v>316.42744904468196</v>
      </c>
      <c r="CR33" s="197">
        <f t="shared" si="6"/>
        <v>0</v>
      </c>
      <c r="CS33" s="197">
        <f t="shared" si="7"/>
        <v>0</v>
      </c>
      <c r="CT33" t="s">
        <v>287</v>
      </c>
      <c r="CV33" t="str">
        <f>VLOOKUP(G33,'Master '!G:CC,75,FALSE)</f>
        <v>FTS-A</v>
      </c>
    </row>
    <row r="34" spans="1:100">
      <c r="A34" s="53" t="s">
        <v>17</v>
      </c>
      <c r="B34" s="53" t="s">
        <v>993</v>
      </c>
      <c r="C34" s="53" t="s">
        <v>1245</v>
      </c>
      <c r="D34" s="53" t="s">
        <v>1283</v>
      </c>
      <c r="E34" s="53" t="str">
        <f>VLOOKUP(D34,'Input 14_Ref Table'!C:D,2,FALSE)</f>
        <v>CC805</v>
      </c>
      <c r="F34" s="143" t="s">
        <v>1286</v>
      </c>
      <c r="G34" s="53" t="str">
        <f>VLOOKUP(D34,'Input 14_Ref Table'!C:I,7,FALSE)</f>
        <v>CFG - FTS-B NR</v>
      </c>
      <c r="H34" s="53" t="str">
        <f>VLOOKUP(D34,'Input 14_Ref Table'!C:K,8,FALSE)</f>
        <v>FTS_AB_C</v>
      </c>
      <c r="I34" s="53"/>
      <c r="J34" t="str">
        <f>INDEX('Master '!$AD$2:AD$65,MATCH(D34,'Master '!$D$2:$D$65,0))</f>
        <v>UPC Growth Rate</v>
      </c>
      <c r="K34" s="458">
        <f>INDEX('Master '!$N$2:N$65,MATCH(D34,'Master '!$D$2:$D$65,0))</f>
        <v>-8.9379418530954602E-2</v>
      </c>
      <c r="L34" s="137">
        <f>INDEX('Master '!$S$2:S$65,MATCH(D34,'Master '!$D$2:$D$65,0))</f>
        <v>-3.2809295967190781E-2</v>
      </c>
      <c r="M34" s="4">
        <f>INDEX('Master '!$W$2:W$65,MATCH(D34,'Master '!$D$2:$D$65,0))</f>
        <v>70.75</v>
      </c>
      <c r="N34" s="268">
        <f>SUMIF('Input 16.1_2018VOL-YTD'!$R:$R,$G34,'Input 16.1_2018VOL-YTD'!C:C)</f>
        <v>160.13</v>
      </c>
      <c r="O34" s="268">
        <f>SUMIF('Input 16.1_2018VOL-YTD'!$R:$R,$G34,'Input 16.1_2018VOL-YTD'!D:D)</f>
        <v>158.71</v>
      </c>
      <c r="P34" s="268">
        <f>SUMIF('Input 16.1_2018VOL-YTD'!$R:$R,$G34,'Input 16.1_2018VOL-YTD'!E:E)</f>
        <v>59.74</v>
      </c>
      <c r="Q34" s="268">
        <f>SUMIF('Input 16.1_2018VOL-YTD'!$R:$R,$G34,'Input 16.1_2018VOL-YTD'!F:F)</f>
        <v>72.709999999999994</v>
      </c>
      <c r="R34" s="268">
        <f>SUMIF('Input 16.1_2018VOL-YTD'!$R:$R,$G34,'Input 16.1_2018VOL-YTD'!G:G)</f>
        <v>53.39</v>
      </c>
      <c r="S34" s="268">
        <f>SUMIF('Input 16.1_2018VOL-YTD'!$R:$R,$G34,'Input 16.1_2018VOL-YTD'!H:H)</f>
        <v>58.25</v>
      </c>
      <c r="T34" s="268">
        <f>SUMIF('Input 16.1_2018VOL-YTD'!$R:$R,$G34,'Input 16.1_2018VOL-YTD'!I:I)</f>
        <v>73</v>
      </c>
      <c r="U34" s="268">
        <f>SUMIF('Input 16.1_2018VOL-YTD'!$R:$R,$G34,'Input 16.1_2018VOL-YTD'!J:J)</f>
        <v>54.96</v>
      </c>
      <c r="V34" s="268">
        <f>SUMIF('Input 16.1_2018VOL-YTD'!$R:$R,$G34,'Input 16.1_2018VOL-YTD'!K:K)</f>
        <v>53.4</v>
      </c>
      <c r="W34" s="268">
        <f>SUMIF('Input 16.1_2018VOL-YTD'!$R:$R,$G34,'Input 16.1_2018VOL-YTD'!L:L)</f>
        <v>49.05</v>
      </c>
      <c r="X34" s="268">
        <f>SUMIF('Input 16.1_2018VOL-YTD'!$R:$R,$G34,'Input 16.1_2018VOL-YTD'!M:M)</f>
        <v>65.03</v>
      </c>
      <c r="Y34" s="268">
        <f>SUMIF('Input 16.1_2018VOL-YTD'!$R:$R,$G34,'Input 16.1_2018VOL-YTD'!N:N)</f>
        <v>96.59</v>
      </c>
      <c r="Z34" s="268">
        <f>SUMIF('Input 3.1_2019VOL-YTD'!$R:$R,$G34,'Input 3.1_2019VOL-YTD'!C:C)</f>
        <v>109.42</v>
      </c>
      <c r="AA34" s="268">
        <f>SUMIF('Input 3.1_2019VOL-YTD'!$R:$R,$G34,'Input 3.1_2019VOL-YTD'!D:D)</f>
        <v>87.81</v>
      </c>
      <c r="AB34" s="268">
        <f>SUMIF('Input 3.1_2019VOL-YTD'!$R:$R,$G34,'Input 3.1_2019VOL-YTD'!E:E)</f>
        <v>63.71</v>
      </c>
      <c r="AC34" s="268">
        <f>SUMIF('Input 3.1_2019VOL-YTD'!$R:$R,$G34,'Input 3.1_2019VOL-YTD'!F:F)</f>
        <v>70.06</v>
      </c>
      <c r="AD34" s="268">
        <f>SUMIF('Input 3.1_2019VOL-YTD'!$R:$R,$G34,'Input 3.1_2019VOL-YTD'!G:G)</f>
        <v>49.2</v>
      </c>
      <c r="AE34" s="268">
        <f>SUMIF('Input 3.1_2019VOL-YTD'!$R:$R,$G34,'Input 3.1_2019VOL-YTD'!H:H)</f>
        <v>53.29</v>
      </c>
      <c r="AF34" s="268">
        <f>SUMIF('Input 3.1_2019VOL-YTD'!$R:$R,$G34,'Input 3.1_2019VOL-YTD'!I:I)</f>
        <v>45.85</v>
      </c>
      <c r="AG34" s="268">
        <f>SUMIF('Input 3.1_2019VOL-YTD'!$R:$R,$G34,'Input 3.1_2019VOL-YTD'!J:J)</f>
        <v>44.75</v>
      </c>
      <c r="AH34" s="268">
        <f>SUMIF('Input 3.1_2019VOL-YTD'!$R:$R,$G34,'Input 3.1_2019VOL-YTD'!K:K)</f>
        <v>51.48</v>
      </c>
      <c r="AI34" s="268">
        <f>SUMIF('Input 3.1_2019VOL-YTD'!$R:$R,$G34,'Input 3.1_2019VOL-YTD'!L:L)</f>
        <v>50.35</v>
      </c>
      <c r="AJ34" s="268">
        <f>SUMIF('Input 3.1_2019VOL-YTD'!$R:$R,$G34,'Input 3.1_2019VOL-YTD'!M:M)</f>
        <v>60.92</v>
      </c>
      <c r="AK34" s="268">
        <f>SUMIF('Input 3.1_2019VOL-YTD'!$R:$R,$G34,'Input 3.1_2019VOL-YTD'!N:N)</f>
        <v>73.08</v>
      </c>
      <c r="AL34" s="268">
        <f>SUMIF('Input 4.1_2020VOL-YTD'!$R:$R,$G34,'Input 4.1_2020VOL-YTD'!C:C)</f>
        <v>98.33</v>
      </c>
      <c r="AM34" s="268">
        <f>SUMIF('Input 4.1_2020VOL-YTD'!$R:$R,$G34,'Input 4.1_2020VOL-YTD'!D:D)</f>
        <v>76.53</v>
      </c>
      <c r="AN34" s="268">
        <f>SUMIF('Input 4.1_2020VOL-YTD'!$R:$R,$G34,'Input 4.1_2020VOL-YTD'!E:E)</f>
        <v>65.599999999999994</v>
      </c>
      <c r="AO34" s="268">
        <f>SUMIF('Input 4.1_2020VOL-YTD'!$R:$R,$G34,'Input 4.1_2020VOL-YTD'!F:F)</f>
        <v>61.66</v>
      </c>
      <c r="AP34" s="268">
        <f>SUMIF('Input 4.1_2020VOL-YTD'!$R:$R,$G34,'Input 4.1_2020VOL-YTD'!G:G)</f>
        <v>55.19</v>
      </c>
      <c r="AQ34" s="268">
        <f>SUMIF('Input 4.1_2020VOL-YTD'!$R:$R,$G34,'Input 4.1_2020VOL-YTD'!H:H)</f>
        <v>53.03</v>
      </c>
      <c r="AR34" s="268">
        <f>SUMIF('Input 4.1_2020VOL-YTD'!$R:$R,$G34,'Input 4.1_2020VOL-YTD'!I:I)</f>
        <v>59.29</v>
      </c>
      <c r="AS34" s="268">
        <f>SUMIF('Input 4.1_2020VOL-YTD'!$R:$R,$G34,'Input 4.1_2020VOL-YTD'!J:J)</f>
        <v>53.19</v>
      </c>
      <c r="AT34" s="268">
        <f>SUMIF('Input 4.1_2020VOL-YTD'!$R:$R,$G34,'Input 4.1_2020VOL-YTD'!K:K)</f>
        <v>55.29</v>
      </c>
      <c r="AU34" s="268">
        <f>SUMIF('Input 4.1_2020VOL-YTD'!$R:$R,$G34,'Input 4.1_2020VOL-YTD'!L:L)</f>
        <v>59.45</v>
      </c>
      <c r="AV34" s="268">
        <f>SUMIF('Input 4.1_2020VOL-YTD'!$R:$R,$G34,'Input 4.1_2020VOL-YTD'!M:M)</f>
        <v>64.8</v>
      </c>
      <c r="AW34" s="268">
        <f>SUMIF('Input 4.1_2020VOL-YTD'!$R:$R,$G34,'Input 4.1_2020VOL-YTD'!N:N)</f>
        <v>130.69</v>
      </c>
      <c r="AX34" s="268">
        <f>SUMIF('Input 5.1_2021VOL-YTD'!$R:$R,$G34,'Input 5.1_2021VOL-YTD'!C:C)</f>
        <v>124.43</v>
      </c>
      <c r="AY34" s="268">
        <f>SUMIF('Input 5.1_2021VOL-YTD'!$R:$R,$G34,'Input 5.1_2021VOL-YTD'!D:D)</f>
        <v>103.33</v>
      </c>
      <c r="AZ34" s="268">
        <f>SUMIF('Input 5.1_2021VOL-YTD'!$R:$R,$G34,'Input 5.1_2021VOL-YTD'!E:E)</f>
        <v>55.2</v>
      </c>
      <c r="BA34" s="268">
        <f>SUMIF('Input 5.1_2021VOL-YTD'!$R:$R,$G34,'Input 5.1_2021VOL-YTD'!F:F)</f>
        <v>61.68</v>
      </c>
      <c r="BB34" s="268">
        <f>SUMIF('Input 5.1_2021VOL-YTD'!$R:$R,$G34,'Input 5.1_2021VOL-YTD'!G:G)</f>
        <v>52.97</v>
      </c>
      <c r="BC34" s="268">
        <f>SUMIF('Input 5.1_2021VOL-YTD'!$R:$R,$G34,'Input 5.1_2021VOL-YTD'!H:H)</f>
        <v>45.89</v>
      </c>
      <c r="BD34" s="268">
        <f>SUMIF('Input 5.1_2021VOL-YTD'!$R:$R,$G34,'Input 5.1_2021VOL-YTD'!I:I)</f>
        <v>48.95</v>
      </c>
      <c r="BE34" s="268">
        <f>SUMIF('Input 5.1_2021VOL-YTD'!$R:$R,$G34,'Input 5.1_2021VOL-YTD'!J:J)</f>
        <v>48.17</v>
      </c>
      <c r="BF34" s="268">
        <f>SUMIF('Input 5.1_2021VOL-YTD'!$R:$R,$G34,'Input 5.1_2021VOL-YTD'!K:K)</f>
        <v>52.04</v>
      </c>
      <c r="BG34" s="268">
        <f>SUMIF('Input 5.1_2021VOL-YTD'!$R:$R,$G34,'Input 5.1_2021VOL-YTD'!L:L)</f>
        <v>46.85</v>
      </c>
      <c r="BH34" s="268">
        <f>SUMIF('Input 5.1_2021VOL-YTD'!$R:$R,$G34,'Input 5.1_2021VOL-YTD'!M:M)</f>
        <v>47.77</v>
      </c>
      <c r="BI34" s="268">
        <f>SUMIF('Input 5.1_2021VOL-YTD'!$R:$R,$G34,'Input 5.1_2021VOL-YTD'!N:N)</f>
        <v>58.68</v>
      </c>
      <c r="BJ34" s="483">
        <f>IFERROR(IF($J34="Historical Average",INDEX('Monthly UPC'!$CM$2:$DJ$65,MATCH($D34,'Monthly UPC'!$D$2:$D$65,0),MATCH(BJ$1,'Monthly UPC'!$CM$1:$DJ$1))*(INDEX('Monthly CUST'!$N$2:$CG$65,MATCH($D34,'Monthly CUST'!$D$2:$D$65,0),MATCH(BJ$1,'Monthly CUST'!$N$1:$CG$1,0))),IF($J34="UPC Growth Rate",((AX34/INDEX('Monthly CUST'!$N$2:$CG$65,MATCH($D34,'Monthly CUST'!$D$2:$D$65,0),MATCH(AX$1,'Monthly CUST'!$N$1:$CG$1,0)))*(1+$L34)*INDEX('Monthly CUST'!$N$2:$CG$65,MATCH($D34,'Monthly CUST'!$D$2:$D$65,0),MATCH(BJ$1,'Monthly CUST'!$N$1:$CG$1,0))),IF($J34="Modeled UPC",INDEX('Monthly CUST'!$N$2:$CG$65,MATCH($D34,'Monthly CUST'!$D$2:$D$65,0),MATCH(BJ$1,'Monthly CUST'!$N$1:$CG$1,0))/12*$M34,IF($J34="Base Period",AX34,IF($J34="Adjusted",SUMIF('Input 15_Fcst Inputs'!$A:$A,$D34,'Input 15_Fcst Inputs'!$G:$G)/12))))),0)</f>
        <v>109.59094621828677</v>
      </c>
      <c r="BK34" s="483">
        <f>IFERROR(IF($J34="Historical Average",INDEX('Monthly UPC'!$CM$2:$DJ$65,MATCH($D34,'Monthly UPC'!$D$2:$D$65,0),MATCH(BK$1,'Monthly UPC'!$CM$1:$DJ$1))*(INDEX('Monthly CUST'!$N$2:$CG$65,MATCH($D34,'Monthly CUST'!$D$2:$D$65,0),MATCH(BK$1,'Monthly CUST'!$N$1:$CG$1,0))),IF($J34="UPC Growth Rate",((AY34/INDEX('Monthly CUST'!$N$2:$CG$65,MATCH($D34,'Monthly CUST'!$D$2:$D$65,0),MATCH(AY$1,'Monthly CUST'!$N$1:$CG$1,0)))*(1+$L34)*INDEX('Monthly CUST'!$N$2:$CG$65,MATCH($D34,'Monthly CUST'!$D$2:$D$65,0),MATCH(BK$1,'Monthly CUST'!$N$1:$CG$1,0))),IF($J34="Modeled UPC",INDEX('Monthly CUST'!$N$2:$CG$65,MATCH($D34,'Monthly CUST'!$D$2:$D$65,0),MATCH(BK$1,'Monthly CUST'!$N$1:$CG$1,0))/12*$M34,IF($J34="Base Period",AY34,IF($J34="Adjusted",SUMIF('Input 15_Fcst Inputs'!$A:$A,$D34,'Input 15_Fcst Inputs'!$G:$G)/12))))),0)</f>
        <v>91.00725285490293</v>
      </c>
      <c r="BL34" s="483">
        <f>IFERROR(IF($J34="Historical Average",INDEX('Monthly UPC'!$CM$2:$DJ$65,MATCH($D34,'Monthly UPC'!$D$2:$D$65,0),MATCH(BL$1,'Monthly UPC'!$CM$1:$DJ$1))*(INDEX('Monthly CUST'!$N$2:$CG$65,MATCH($D34,'Monthly CUST'!$D$2:$D$65,0),MATCH(BL$1,'Monthly CUST'!$N$1:$CG$1,0))),IF($J34="UPC Growth Rate",((AZ34/INDEX('Monthly CUST'!$N$2:$CG$65,MATCH($D34,'Monthly CUST'!$D$2:$D$65,0),MATCH(AZ$1,'Monthly CUST'!$N$1:$CG$1,0)))*(1+$L34)*INDEX('Monthly CUST'!$N$2:$CG$65,MATCH($D34,'Monthly CUST'!$D$2:$D$65,0),MATCH(BL$1,'Monthly CUST'!$N$1:$CG$1,0))),IF($J34="Modeled UPC",INDEX('Monthly CUST'!$N$2:$CG$65,MATCH($D34,'Monthly CUST'!$D$2:$D$65,0),MATCH(BL$1,'Monthly CUST'!$N$1:$CG$1,0))/12*$M34,IF($J34="Base Period",AZ34,IF($J34="Adjusted",SUMIF('Input 15_Fcst Inputs'!$A:$A,$D34,'Input 15_Fcst Inputs'!$G:$G)/12))))),0)</f>
        <v>48.617055623639231</v>
      </c>
      <c r="BM34" s="483">
        <f>IFERROR(IF($J34="Historical Average",INDEX('Monthly UPC'!$CM$2:$DJ$65,MATCH($D34,'Monthly UPC'!$D$2:$D$65,0),MATCH(BM$1,'Monthly UPC'!$CM$1:$DJ$1))*(INDEX('Monthly CUST'!$N$2:$CG$65,MATCH($D34,'Monthly CUST'!$D$2:$D$65,0),MATCH(BM$1,'Monthly CUST'!$N$1:$CG$1,0))),IF($J34="UPC Growth Rate",((BA34/INDEX('Monthly CUST'!$N$2:$CG$65,MATCH($D34,'Monthly CUST'!$D$2:$D$65,0),MATCH(BA$1,'Monthly CUST'!$N$1:$CG$1,0)))*(1+$L34)*INDEX('Monthly CUST'!$N$2:$CG$65,MATCH($D34,'Monthly CUST'!$D$2:$D$65,0),MATCH(BM$1,'Monthly CUST'!$N$1:$CG$1,0))),IF($J34="Modeled UPC",INDEX('Monthly CUST'!$N$2:$CG$65,MATCH($D34,'Monthly CUST'!$D$2:$D$65,0),MATCH(BM$1,'Monthly CUST'!$N$1:$CG$1,0))/12*$M34,IF($J34="Base Period",BA34,IF($J34="Adjusted",SUMIF('Input 15_Fcst Inputs'!$A:$A,$D34,'Input 15_Fcst Inputs'!$G:$G)/12))))),0)</f>
        <v>54.324275196849058</v>
      </c>
      <c r="BN34" s="483">
        <f>IFERROR(IF($J34="Historical Average",INDEX('Monthly UPC'!$CM$2:$DJ$65,MATCH($D34,'Monthly UPC'!$D$2:$D$65,0),MATCH(BN$1,'Monthly UPC'!$CM$1:$DJ$1))*(INDEX('Monthly CUST'!$N$2:$CG$65,MATCH($D34,'Monthly CUST'!$D$2:$D$65,0),MATCH(BN$1,'Monthly CUST'!$N$1:$CG$1,0))),IF($J34="UPC Growth Rate",((BB34/INDEX('Monthly CUST'!$N$2:$CG$65,MATCH($D34,'Monthly CUST'!$D$2:$D$65,0),MATCH(BB$1,'Monthly CUST'!$N$1:$CG$1,0)))*(1+$L34)*INDEX('Monthly CUST'!$N$2:$CG$65,MATCH($D34,'Monthly CUST'!$D$2:$D$65,0),MATCH(BN$1,'Monthly CUST'!$N$1:$CG$1,0))),IF($J34="Modeled UPC",INDEX('Monthly CUST'!$N$2:$CG$65,MATCH($D34,'Monthly CUST'!$D$2:$D$65,0),MATCH(BN$1,'Monthly CUST'!$N$1:$CG$1,0))/12*$M34,IF($J34="Base Period",BB34,IF($J34="Adjusted",SUMIF('Input 15_Fcst Inputs'!$A:$A,$D34,'Input 15_Fcst Inputs'!$G:$G)/12))))),0)</f>
        <v>46.652997035945106</v>
      </c>
      <c r="BO34" s="483">
        <f>IFERROR(IF($J34="Historical Average",INDEX('Monthly UPC'!$CM$2:$DJ$65,MATCH($D34,'Monthly UPC'!$D$2:$D$65,0),MATCH(BO$1,'Monthly UPC'!$CM$1:$DJ$1))*(INDEX('Monthly CUST'!$N$2:$CG$65,MATCH($D34,'Monthly CUST'!$D$2:$D$65,0),MATCH(BO$1,'Monthly CUST'!$N$1:$CG$1,0))),IF($J34="UPC Growth Rate",((BC34/INDEX('Monthly CUST'!$N$2:$CG$65,MATCH($D34,'Monthly CUST'!$D$2:$D$65,0),MATCH(BC$1,'Monthly CUST'!$N$1:$CG$1,0)))*(1+$L34)*INDEX('Monthly CUST'!$N$2:$CG$65,MATCH($D34,'Monthly CUST'!$D$2:$D$65,0),MATCH(BO$1,'Monthly CUST'!$N$1:$CG$1,0))),IF($J34="Modeled UPC",INDEX('Monthly CUST'!$N$2:$CG$65,MATCH($D34,'Monthly CUST'!$D$2:$D$65,0),MATCH(BO$1,'Monthly CUST'!$N$1:$CG$1,0))/12*$M34,IF($J34="Base Period",BC34,IF($J34="Adjusted",SUMIF('Input 15_Fcst Inputs'!$A:$A,$D34,'Input 15_Fcst Inputs'!$G:$G)/12))))),0)</f>
        <v>40.4173312059566</v>
      </c>
      <c r="BP34" s="483">
        <f>IFERROR(IF($J34="Historical Average",INDEX('Monthly UPC'!$CM$2:$DJ$65,MATCH($D34,'Monthly UPC'!$D$2:$D$65,0),MATCH(BP$1,'Monthly UPC'!$CM$1:$DJ$1))*(INDEX('Monthly CUST'!$N$2:$CG$65,MATCH($D34,'Monthly CUST'!$D$2:$D$65,0),MATCH(BP$1,'Monthly CUST'!$N$1:$CG$1,0))),IF($J34="UPC Growth Rate",((BD34/INDEX('Monthly CUST'!$N$2:$CG$65,MATCH($D34,'Monthly CUST'!$D$2:$D$65,0),MATCH(BD$1,'Monthly CUST'!$N$1:$CG$1,0)))*(1+$L34)*INDEX('Monthly CUST'!$N$2:$CG$65,MATCH($D34,'Monthly CUST'!$D$2:$D$65,0),MATCH(BP$1,'Monthly CUST'!$N$1:$CG$1,0))),IF($J34="Modeled UPC",INDEX('Monthly CUST'!$N$2:$CG$65,MATCH($D34,'Monthly CUST'!$D$2:$D$65,0),MATCH(BP$1,'Monthly CUST'!$N$1:$CG$1,0))/12*$M34,IF($J34="Base Period",BD34,IF($J34="Adjusted",SUMIF('Input 15_Fcst Inputs'!$A:$A,$D34,'Input 15_Fcst Inputs'!$G:$G)/12))))),0)</f>
        <v>43.112407115527901</v>
      </c>
      <c r="BQ34" s="483">
        <f>IFERROR(IF($J34="Historical Average",INDEX('Monthly UPC'!$CM$2:$DJ$65,MATCH($D34,'Monthly UPC'!$D$2:$D$65,0),MATCH(BQ$1,'Monthly UPC'!$CM$1:$DJ$1))*(INDEX('Monthly CUST'!$N$2:$CG$65,MATCH($D34,'Monthly CUST'!$D$2:$D$65,0),MATCH(BQ$1,'Monthly CUST'!$N$1:$CG$1,0))),IF($J34="UPC Growth Rate",((BE34/INDEX('Monthly CUST'!$N$2:$CG$65,MATCH($D34,'Monthly CUST'!$D$2:$D$65,0),MATCH(BE$1,'Monthly CUST'!$N$1:$CG$1,0)))*(1+$L34)*INDEX('Monthly CUST'!$N$2:$CG$65,MATCH($D34,'Monthly CUST'!$D$2:$D$65,0),MATCH(BQ$1,'Monthly CUST'!$N$1:$CG$1,0))),IF($J34="Modeled UPC",INDEX('Monthly CUST'!$N$2:$CG$65,MATCH($D34,'Monthly CUST'!$D$2:$D$65,0),MATCH(BQ$1,'Monthly CUST'!$N$1:$CG$1,0))/12*$M34,IF($J34="Base Period",BE34,IF($J34="Adjusted",SUMIF('Input 15_Fcst Inputs'!$A:$A,$D34,'Input 15_Fcst Inputs'!$G:$G)/12))))),0)</f>
        <v>42.425426981715617</v>
      </c>
      <c r="BR34" s="483">
        <f>IFERROR(IF($J34="Historical Average",INDEX('Monthly UPC'!$CM$2:$DJ$65,MATCH($D34,'Monthly UPC'!$D$2:$D$65,0),MATCH(BR$1,'Monthly UPC'!$CM$1:$DJ$1))*(INDEX('Monthly CUST'!$N$2:$CG$65,MATCH($D34,'Monthly CUST'!$D$2:$D$65,0),MATCH(BR$1,'Monthly CUST'!$N$1:$CG$1,0))),IF($J34="UPC Growth Rate",((BF34/INDEX('Monthly CUST'!$N$2:$CG$65,MATCH($D34,'Monthly CUST'!$D$2:$D$65,0),MATCH(BF$1,'Monthly CUST'!$N$1:$CG$1,0)))*(1+$L34)*INDEX('Monthly CUST'!$N$2:$CG$65,MATCH($D34,'Monthly CUST'!$D$2:$D$65,0),MATCH(BR$1,'Monthly CUST'!$N$1:$CG$1,0))),IF($J34="Modeled UPC",INDEX('Monthly CUST'!$N$2:$CG$65,MATCH($D34,'Monthly CUST'!$D$2:$D$65,0),MATCH(BR$1,'Monthly CUST'!$N$1:$CG$1,0))/12*$M34,IF($J34="Base Period",BF34,IF($J34="Adjusted",SUMIF('Input 15_Fcst Inputs'!$A:$A,$D34,'Input 15_Fcst Inputs'!$G:$G)/12))))),0)</f>
        <v>45.833905337938148</v>
      </c>
      <c r="BS34" s="483">
        <f>IFERROR(IF($J34="Historical Average",INDEX('Monthly UPC'!$CM$2:$DJ$65,MATCH($D34,'Monthly UPC'!$D$2:$D$65,0),MATCH(BS$1,'Monthly UPC'!$CM$1:$DJ$1))*(INDEX('Monthly CUST'!$N$2:$CG$65,MATCH($D34,'Monthly CUST'!$D$2:$D$65,0),MATCH(BS$1,'Monthly CUST'!$N$1:$CG$1,0))),IF($J34="UPC Growth Rate",((BG34/INDEX('Monthly CUST'!$N$2:$CG$65,MATCH($D34,'Monthly CUST'!$D$2:$D$65,0),MATCH(BG$1,'Monthly CUST'!$N$1:$CG$1,0)))*(1+$L34)*INDEX('Monthly CUST'!$N$2:$CG$65,MATCH($D34,'Monthly CUST'!$D$2:$D$65,0),MATCH(BS$1,'Monthly CUST'!$N$1:$CG$1,0))),IF($J34="Modeled UPC",INDEX('Monthly CUST'!$N$2:$CG$65,MATCH($D34,'Monthly CUST'!$D$2:$D$65,0),MATCH(BS$1,'Monthly CUST'!$N$1:$CG$1,0))/12*$M34,IF($J34="Base Period",BG34,IF($J34="Adjusted",SUMIF('Input 15_Fcst Inputs'!$A:$A,$D34,'Input 15_Fcst Inputs'!$G:$G)/12))))),0)</f>
        <v>41.262845216802496</v>
      </c>
      <c r="BT34" s="483">
        <f>IFERROR(IF($J34="Historical Average",INDEX('Monthly UPC'!$CM$2:$DJ$65,MATCH($D34,'Monthly UPC'!$D$2:$D$65,0),MATCH(BT$1,'Monthly UPC'!$CM$1:$DJ$1))*(INDEX('Monthly CUST'!$N$2:$CG$65,MATCH($D34,'Monthly CUST'!$D$2:$D$65,0),MATCH(BT$1,'Monthly CUST'!$N$1:$CG$1,0))),IF($J34="UPC Growth Rate",((BH34/INDEX('Monthly CUST'!$N$2:$CG$65,MATCH($D34,'Monthly CUST'!$D$2:$D$65,0),MATCH(BH$1,'Monthly CUST'!$N$1:$CG$1,0)))*(1+$L34)*INDEX('Monthly CUST'!$N$2:$CG$65,MATCH($D34,'Monthly CUST'!$D$2:$D$65,0),MATCH(BT$1,'Monthly CUST'!$N$1:$CG$1,0))),IF($J34="Modeled UPC",INDEX('Monthly CUST'!$N$2:$CG$65,MATCH($D34,'Monthly CUST'!$D$2:$D$65,0),MATCH(BT$1,'Monthly CUST'!$N$1:$CG$1,0))/12*$M34,IF($J34="Base Period",BH34,IF($J34="Adjusted",SUMIF('Input 15_Fcst Inputs'!$A:$A,$D34,'Input 15_Fcst Inputs'!$G:$G)/12))))),0)</f>
        <v>42.073129477196488</v>
      </c>
      <c r="BU34" s="483">
        <f>IFERROR(IF($J34="Historical Average",INDEX('Monthly UPC'!$CM$2:$DJ$65,MATCH($D34,'Monthly UPC'!$D$2:$D$65,0),MATCH(BU$1,'Monthly UPC'!$CM$1:$DJ$1))*(INDEX('Monthly CUST'!$N$2:$CG$65,MATCH($D34,'Monthly CUST'!$D$2:$D$65,0),MATCH(BU$1,'Monthly CUST'!$N$1:$CG$1,0))),IF($J34="UPC Growth Rate",((BI34/INDEX('Monthly CUST'!$N$2:$CG$65,MATCH($D34,'Monthly CUST'!$D$2:$D$65,0),MATCH(BI$1,'Monthly CUST'!$N$1:$CG$1,0)))*(1+$L34)*INDEX('Monthly CUST'!$N$2:$CG$65,MATCH($D34,'Monthly CUST'!$D$2:$D$65,0),MATCH(BU$1,'Monthly CUST'!$N$1:$CG$1,0))),IF($J34="Modeled UPC",INDEX('Monthly CUST'!$N$2:$CG$65,MATCH($D34,'Monthly CUST'!$D$2:$D$65,0),MATCH(BU$1,'Monthly CUST'!$N$1:$CG$1,0))/12*$M34,IF($J34="Base Period",BI34,IF($J34="Adjusted",SUMIF('Input 15_Fcst Inputs'!$A:$A,$D34,'Input 15_Fcst Inputs'!$G:$G)/12))))),0)</f>
        <v>51.682043912955614</v>
      </c>
      <c r="BV34" s="483">
        <f>IFERROR(IF($J34="Historical Average",INDEX('Monthly UPC'!$CM$2:$DJ$65,MATCH($D34,'Monthly UPC'!$D$2:$D$65,0),MATCH(BV$1,'Monthly UPC'!$CM$1:$DJ$1))*(INDEX('Monthly CUST'!$N$2:$CG$65,MATCH($D34,'Monthly CUST'!$D$2:$D$65,0),MATCH(BV$1,'Monthly CUST'!$N$1:$CG$1,0))),IF($J34="UPC Growth Rate",((BJ34/INDEX('Monthly CUST'!$N$2:$CG$65,MATCH($D34,'Monthly CUST'!$D$2:$D$65,0),MATCH(BJ$1,'Monthly CUST'!$N$1:$CG$1,0)))*(1+$L34)*INDEX('Monthly CUST'!$N$2:$CG$65,MATCH($D34,'Monthly CUST'!$D$2:$D$65,0),MATCH(BV$1,'Monthly CUST'!$N$1:$CG$1,0))),IF($J34="Modeled UPC",INDEX('Monthly CUST'!$N$2:$CG$65,MATCH($D34,'Monthly CUST'!$D$2:$D$65,0),MATCH(BV$1,'Monthly CUST'!$N$1:$CG$1,0))/12*$M34,IF($J34="Base Period",BJ34,IF($J34="Adjusted",SUMIF('Input 15_Fcst Inputs'!$A:$A,$D34,'Input 15_Fcst Inputs'!$G:$G)/12))))),0)</f>
        <v>96.521542176480125</v>
      </c>
      <c r="BW34" s="483">
        <f>IFERROR(IF($J34="Historical Average",INDEX('Monthly UPC'!$CM$2:$DJ$65,MATCH($D34,'Monthly UPC'!$D$2:$D$65,0),MATCH(BW$1,'Monthly UPC'!$CM$1:$DJ$1))*(INDEX('Monthly CUST'!$N$2:$CG$65,MATCH($D34,'Monthly CUST'!$D$2:$D$65,0),MATCH(BW$1,'Monthly CUST'!$N$1:$CG$1,0))),IF($J34="UPC Growth Rate",((BK34/INDEX('Monthly CUST'!$N$2:$CG$65,MATCH($D34,'Monthly CUST'!$D$2:$D$65,0),MATCH(BK$1,'Monthly CUST'!$N$1:$CG$1,0)))*(1+$L34)*INDEX('Monthly CUST'!$N$2:$CG$65,MATCH($D34,'Monthly CUST'!$D$2:$D$65,0),MATCH(BW$1,'Monthly CUST'!$N$1:$CG$1,0))),IF($J34="Modeled UPC",INDEX('Monthly CUST'!$N$2:$CG$65,MATCH($D34,'Monthly CUST'!$D$2:$D$65,0),MATCH(BW$1,'Monthly CUST'!$N$1:$CG$1,0))/12*$M34,IF($J34="Base Period",BK34,IF($J34="Adjusted",SUMIF('Input 15_Fcst Inputs'!$A:$A,$D34,'Input 15_Fcst Inputs'!$G:$G)/12))))),0)</f>
        <v>80.154070184808262</v>
      </c>
      <c r="BX34" s="483">
        <f>IFERROR(IF($J34="Historical Average",INDEX('Monthly UPC'!$CM$2:$DJ$65,MATCH($D34,'Monthly UPC'!$D$2:$D$65,0),MATCH(BX$1,'Monthly UPC'!$CM$1:$DJ$1))*(INDEX('Monthly CUST'!$N$2:$CG$65,MATCH($D34,'Monthly CUST'!$D$2:$D$65,0),MATCH(BX$1,'Monthly CUST'!$N$1:$CG$1,0))),IF($J34="UPC Growth Rate",((BL34/INDEX('Monthly CUST'!$N$2:$CG$65,MATCH($D34,'Monthly CUST'!$D$2:$D$65,0),MATCH(BL$1,'Monthly CUST'!$N$1:$CG$1,0)))*(1+$L34)*INDEX('Monthly CUST'!$N$2:$CG$65,MATCH($D34,'Monthly CUST'!$D$2:$D$65,0),MATCH(BX$1,'Monthly CUST'!$N$1:$CG$1,0))),IF($J34="Modeled UPC",INDEX('Monthly CUST'!$N$2:$CG$65,MATCH($D34,'Monthly CUST'!$D$2:$D$65,0),MATCH(BX$1,'Monthly CUST'!$N$1:$CG$1,0))/12*$M34,IF($J34="Base Period",BL34,IF($J34="Adjusted",SUMIF('Input 15_Fcst Inputs'!$A:$A,$D34,'Input 15_Fcst Inputs'!$G:$G)/12))))),0)</f>
        <v>42.81916843318897</v>
      </c>
      <c r="BY34" s="483">
        <f>IFERROR(IF($J34="Historical Average",INDEX('Monthly UPC'!$CM$2:$DJ$65,MATCH($D34,'Monthly UPC'!$D$2:$D$65,0),MATCH(BY$1,'Monthly UPC'!$CM$1:$DJ$1))*(INDEX('Monthly CUST'!$N$2:$CG$65,MATCH($D34,'Monthly CUST'!$D$2:$D$65,0),MATCH(BY$1,'Monthly CUST'!$N$1:$CG$1,0))),IF($J34="UPC Growth Rate",((BM34/INDEX('Monthly CUST'!$N$2:$CG$65,MATCH($D34,'Monthly CUST'!$D$2:$D$65,0),MATCH(BM$1,'Monthly CUST'!$N$1:$CG$1,0)))*(1+$L34)*INDEX('Monthly CUST'!$N$2:$CG$65,MATCH($D34,'Monthly CUST'!$D$2:$D$65,0),MATCH(BY$1,'Monthly CUST'!$N$1:$CG$1,0))),IF($J34="Modeled UPC",INDEX('Monthly CUST'!$N$2:$CG$65,MATCH($D34,'Monthly CUST'!$D$2:$D$65,0),MATCH(BY$1,'Monthly CUST'!$N$1:$CG$1,0))/12*$M34,IF($J34="Base Period",BM34,IF($J34="Adjusted",SUMIF('Input 15_Fcst Inputs'!$A:$A,$D34,'Input 15_Fcst Inputs'!$G:$G)/12))))),0)</f>
        <v>47.845766466650282</v>
      </c>
      <c r="BZ34" s="483">
        <f>IFERROR(IF($J34="Historical Average",INDEX('Monthly UPC'!$CM$2:$DJ$65,MATCH($D34,'Monthly UPC'!$D$2:$D$65,0),MATCH(BZ$1,'Monthly UPC'!$CM$1:$DJ$1))*(INDEX('Monthly CUST'!$N$2:$CG$65,MATCH($D34,'Monthly CUST'!$D$2:$D$65,0),MATCH(BZ$1,'Monthly CUST'!$N$1:$CG$1,0))),IF($J34="UPC Growth Rate",((BN34/INDEX('Monthly CUST'!$N$2:$CG$65,MATCH($D34,'Monthly CUST'!$D$2:$D$65,0),MATCH(BN$1,'Monthly CUST'!$N$1:$CG$1,0)))*(1+$L34)*INDEX('Monthly CUST'!$N$2:$CG$65,MATCH($D34,'Monthly CUST'!$D$2:$D$65,0),MATCH(BZ$1,'Monthly CUST'!$N$1:$CG$1,0))),IF($J34="Modeled UPC",INDEX('Monthly CUST'!$N$2:$CG$65,MATCH($D34,'Monthly CUST'!$D$2:$D$65,0),MATCH(BZ$1,'Monthly CUST'!$N$1:$CG$1,0))/12*$M34,IF($J34="Base Period",BN34,IF($J34="Adjusted",SUMIF('Input 15_Fcst Inputs'!$A:$A,$D34,'Input 15_Fcst Inputs'!$G:$G)/12))))),0)</f>
        <v>41.089336085253976</v>
      </c>
      <c r="CA34" s="483">
        <f>IFERROR(IF($J34="Historical Average",INDEX('Monthly UPC'!$CM$2:$DJ$65,MATCH($D34,'Monthly UPC'!$D$2:$D$65,0),MATCH(CA$1,'Monthly UPC'!$CM$1:$DJ$1))*(INDEX('Monthly CUST'!$N$2:$CG$65,MATCH($D34,'Monthly CUST'!$D$2:$D$65,0),MATCH(CA$1,'Monthly CUST'!$N$1:$CG$1,0))),IF($J34="UPC Growth Rate",((BO34/INDEX('Monthly CUST'!$N$2:$CG$65,MATCH($D34,'Monthly CUST'!$D$2:$D$65,0),MATCH(BO$1,'Monthly CUST'!$N$1:$CG$1,0)))*(1+$L34)*INDEX('Monthly CUST'!$N$2:$CG$65,MATCH($D34,'Monthly CUST'!$D$2:$D$65,0),MATCH(CA$1,'Monthly CUST'!$N$1:$CG$1,0))),IF($J34="Modeled UPC",INDEX('Monthly CUST'!$N$2:$CG$65,MATCH($D34,'Monthly CUST'!$D$2:$D$65,0),MATCH(CA$1,'Monthly CUST'!$N$1:$CG$1,0))/12*$M34,IF($J34="Base Period",BO34,IF($J34="Adjusted",SUMIF('Input 15_Fcst Inputs'!$A:$A,$D34,'Input 15_Fcst Inputs'!$G:$G)/12))))),0)</f>
        <v>35.597312307953651</v>
      </c>
      <c r="CB34" s="483">
        <f>IFERROR(IF($J34="Historical Average",INDEX('Monthly UPC'!$CM$2:$DJ$65,MATCH($D34,'Monthly UPC'!$D$2:$D$65,0),MATCH(CB$1,'Monthly UPC'!$CM$1:$DJ$1))*(INDEX('Monthly CUST'!$N$2:$CG$65,MATCH($D34,'Monthly CUST'!$D$2:$D$65,0),MATCH(CB$1,'Monthly CUST'!$N$1:$CG$1,0))),IF($J34="UPC Growth Rate",((BP34/INDEX('Monthly CUST'!$N$2:$CG$65,MATCH($D34,'Monthly CUST'!$D$2:$D$65,0),MATCH(BP$1,'Monthly CUST'!$N$1:$CG$1,0)))*(1+$L34)*INDEX('Monthly CUST'!$N$2:$CG$65,MATCH($D34,'Monthly CUST'!$D$2:$D$65,0),MATCH(CB$1,'Monthly CUST'!$N$1:$CG$1,0))),IF($J34="Modeled UPC",INDEX('Monthly CUST'!$N$2:$CG$65,MATCH($D34,'Monthly CUST'!$D$2:$D$65,0),MATCH(CB$1,'Monthly CUST'!$N$1:$CG$1,0))/12*$M34,IF($J34="Base Period",BP34,IF($J34="Adjusted",SUMIF('Input 15_Fcst Inputs'!$A:$A,$D34,'Input 15_Fcst Inputs'!$G:$G)/12))))),0)</f>
        <v>37.970983601532602</v>
      </c>
      <c r="CC34" s="483">
        <f>IFERROR(IF($J34="Historical Average",INDEX('Monthly UPC'!$CM$2:$DJ$65,MATCH($D34,'Monthly UPC'!$D$2:$D$65,0),MATCH(CC$1,'Monthly UPC'!$CM$1:$DJ$1))*(INDEX('Monthly CUST'!$N$2:$CG$65,MATCH($D34,'Monthly CUST'!$D$2:$D$65,0),MATCH(CC$1,'Monthly CUST'!$N$1:$CG$1,0))),IF($J34="UPC Growth Rate",((BQ34/INDEX('Monthly CUST'!$N$2:$CG$65,MATCH($D34,'Monthly CUST'!$D$2:$D$65,0),MATCH(BQ$1,'Monthly CUST'!$N$1:$CG$1,0)))*(1+$L34)*INDEX('Monthly CUST'!$N$2:$CG$65,MATCH($D34,'Monthly CUST'!$D$2:$D$65,0),MATCH(CC$1,'Monthly CUST'!$N$1:$CG$1,0))),IF($J34="Modeled UPC",INDEX('Monthly CUST'!$N$2:$CG$65,MATCH($D34,'Monthly CUST'!$D$2:$D$65,0),MATCH(CC$1,'Monthly CUST'!$N$1:$CG$1,0))/12*$M34,IF($J34="Base Period",BQ34,IF($J34="Adjusted",SUMIF('Input 15_Fcst Inputs'!$A:$A,$D34,'Input 15_Fcst Inputs'!$G:$G)/12))))),0)</f>
        <v>37.365930134541898</v>
      </c>
      <c r="CD34" s="483">
        <f>IFERROR(IF($J34="Historical Average",INDEX('Monthly UPC'!$CM$2:$DJ$65,MATCH($D34,'Monthly UPC'!$D$2:$D$65,0),MATCH(CD$1,'Monthly UPC'!$CM$1:$DJ$1))*(INDEX('Monthly CUST'!$N$2:$CG$65,MATCH($D34,'Monthly CUST'!$D$2:$D$65,0),MATCH(CD$1,'Monthly CUST'!$N$1:$CG$1,0))),IF($J34="UPC Growth Rate",((BR34/INDEX('Monthly CUST'!$N$2:$CG$65,MATCH($D34,'Monthly CUST'!$D$2:$D$65,0),MATCH(BR$1,'Monthly CUST'!$N$1:$CG$1,0)))*(1+$L34)*INDEX('Monthly CUST'!$N$2:$CG$65,MATCH($D34,'Monthly CUST'!$D$2:$D$65,0),MATCH(CD$1,'Monthly CUST'!$N$1:$CG$1,0))),IF($J34="Modeled UPC",INDEX('Monthly CUST'!$N$2:$CG$65,MATCH($D34,'Monthly CUST'!$D$2:$D$65,0),MATCH(CD$1,'Monthly CUST'!$N$1:$CG$1,0))/12*$M34,IF($J34="Base Period",BR34,IF($J34="Adjusted",SUMIF('Input 15_Fcst Inputs'!$A:$A,$D34,'Input 15_Fcst Inputs'!$G:$G)/12))))),0)</f>
        <v>40.367926182303506</v>
      </c>
      <c r="CE34" s="483">
        <f>IFERROR(IF($J34="Historical Average",INDEX('Monthly UPC'!$CM$2:$DJ$65,MATCH($D34,'Monthly UPC'!$D$2:$D$65,0),MATCH(CE$1,'Monthly UPC'!$CM$1:$DJ$1))*(INDEX('Monthly CUST'!$N$2:$CG$65,MATCH($D34,'Monthly CUST'!$D$2:$D$65,0),MATCH(CE$1,'Monthly CUST'!$N$1:$CG$1,0))),IF($J34="UPC Growth Rate",((BS34/INDEX('Monthly CUST'!$N$2:$CG$65,MATCH($D34,'Monthly CUST'!$D$2:$D$65,0),MATCH(BS$1,'Monthly CUST'!$N$1:$CG$1,0)))*(1+$L34)*INDEX('Monthly CUST'!$N$2:$CG$65,MATCH($D34,'Monthly CUST'!$D$2:$D$65,0),MATCH(CE$1,'Monthly CUST'!$N$1:$CG$1,0))),IF($J34="Modeled UPC",INDEX('Monthly CUST'!$N$2:$CG$65,MATCH($D34,'Monthly CUST'!$D$2:$D$65,0),MATCH(CE$1,'Monthly CUST'!$N$1:$CG$1,0))/12*$M34,IF($J34="Base Period",BS34,IF($J34="Adjusted",SUMIF('Input 15_Fcst Inputs'!$A:$A,$D34,'Input 15_Fcst Inputs'!$G:$G)/12))))),0)</f>
        <v>36.341993498096066</v>
      </c>
      <c r="CF34" s="483">
        <f>IFERROR(IF($J34="Historical Average",INDEX('Monthly UPC'!$CM$2:$DJ$65,MATCH($D34,'Monthly UPC'!$D$2:$D$65,0),MATCH(CF$1,'Monthly UPC'!$CM$1:$DJ$1))*(INDEX('Monthly CUST'!$N$2:$CG$65,MATCH($D34,'Monthly CUST'!$D$2:$D$65,0),MATCH(CF$1,'Monthly CUST'!$N$1:$CG$1,0))),IF($J34="UPC Growth Rate",((BT34/INDEX('Monthly CUST'!$N$2:$CG$65,MATCH($D34,'Monthly CUST'!$D$2:$D$65,0),MATCH(BT$1,'Monthly CUST'!$N$1:$CG$1,0)))*(1+$L34)*INDEX('Monthly CUST'!$N$2:$CG$65,MATCH($D34,'Monthly CUST'!$D$2:$D$65,0),MATCH(CF$1,'Monthly CUST'!$N$1:$CG$1,0))),IF($J34="Modeled UPC",INDEX('Monthly CUST'!$N$2:$CG$65,MATCH($D34,'Monthly CUST'!$D$2:$D$65,0),MATCH(CF$1,'Monthly CUST'!$N$1:$CG$1,0))/12*$M34,IF($J34="Base Period",BT34,IF($J34="Adjusted",SUMIF('Input 15_Fcst Inputs'!$A:$A,$D34,'Input 15_Fcst Inputs'!$G:$G)/12))))),0)</f>
        <v>37.055646305315889</v>
      </c>
      <c r="CG34" s="483">
        <f>IFERROR(IF($J34="Historical Average",INDEX('Monthly UPC'!$CM$2:$DJ$65,MATCH($D34,'Monthly UPC'!$D$2:$D$65,0),MATCH(CG$1,'Monthly UPC'!$CM$1:$DJ$1))*(INDEX('Monthly CUST'!$N$2:$CG$65,MATCH($D34,'Monthly CUST'!$D$2:$D$65,0),MATCH(CG$1,'Monthly CUST'!$N$1:$CG$1,0))),IF($J34="UPC Growth Rate",((BU34/INDEX('Monthly CUST'!$N$2:$CG$65,MATCH($D34,'Monthly CUST'!$D$2:$D$65,0),MATCH(BU$1,'Monthly CUST'!$N$1:$CG$1,0)))*(1+$L34)*INDEX('Monthly CUST'!$N$2:$CG$65,MATCH($D34,'Monthly CUST'!$D$2:$D$65,0),MATCH(CG$1,'Monthly CUST'!$N$1:$CG$1,0))),IF($J34="Modeled UPC",INDEX('Monthly CUST'!$N$2:$CG$65,MATCH($D34,'Monthly CUST'!$D$2:$D$65,0),MATCH(CG$1,'Monthly CUST'!$N$1:$CG$1,0))/12*$M34,IF($J34="Base Period",BU34,IF($J34="Adjusted",SUMIF('Input 15_Fcst Inputs'!$A:$A,$D34,'Input 15_Fcst Inputs'!$G:$G)/12))))),0)</f>
        <v>45.51863774745523</v>
      </c>
      <c r="CH34" s="197"/>
      <c r="CI34" s="197">
        <f t="shared" ref="CI34:CI65" si="8">SUM(N34:Y34)</f>
        <v>954.96</v>
      </c>
      <c r="CJ34" s="197">
        <f t="shared" ref="CJ34:CJ65" si="9">SUM(Z34:AK34)</f>
        <v>759.92000000000007</v>
      </c>
      <c r="CK34" s="197">
        <f t="shared" ref="CK34:CK65" si="10">SUM(AL34:AW34)</f>
        <v>833.05</v>
      </c>
      <c r="CL34" s="197">
        <f t="shared" ref="CL34:CL65" si="11">SUM(AX34:BI34)</f>
        <v>745.95999999999992</v>
      </c>
      <c r="CM34" s="197">
        <f t="shared" ref="CM34:CM65" si="12">SUM(BJ34:BU34)</f>
        <v>656.99961617771601</v>
      </c>
      <c r="CN34" s="197">
        <f t="shared" ref="CN34:CN65" si="13">SUM(BV34:CG34)</f>
        <v>578.64831312358058</v>
      </c>
      <c r="CP34" s="4">
        <f>SUMIF('Master '!D:D,D34,'Master '!AH:AH)</f>
        <v>656.99961617771578</v>
      </c>
      <c r="CQ34" s="4">
        <f>SUMIF('Master '!D:D,D34,'Master '!AI:AI)</f>
        <v>578.64831312358035</v>
      </c>
      <c r="CR34" s="197">
        <f t="shared" ref="CR34:CR65" si="14">CM34-CP34</f>
        <v>0</v>
      </c>
      <c r="CS34" s="197">
        <f t="shared" ref="CS34:CS65" si="15">CN34-CQ34</f>
        <v>0</v>
      </c>
      <c r="CT34" t="s">
        <v>287</v>
      </c>
      <c r="CV34" t="str">
        <f>VLOOKUP(G34,'Master '!G:CC,75,FALSE)</f>
        <v>FTS-B</v>
      </c>
    </row>
    <row r="35" spans="1:100">
      <c r="A35" s="53" t="s">
        <v>17</v>
      </c>
      <c r="B35" s="53" t="s">
        <v>993</v>
      </c>
      <c r="C35" s="53" t="s">
        <v>1245</v>
      </c>
      <c r="D35" s="53" t="s">
        <v>1375</v>
      </c>
      <c r="E35" s="53" t="str">
        <f>VLOOKUP(D35,'Input 14_Ref Table'!C:D,2,FALSE)</f>
        <v>CC804</v>
      </c>
      <c r="F35" s="143" t="s">
        <v>1287</v>
      </c>
      <c r="G35" s="53" t="str">
        <f>VLOOKUP(D35,'Input 14_Ref Table'!C:I,7,FALSE)</f>
        <v>CFG - FTS-A - Fixed NR</v>
      </c>
      <c r="H35" s="53" t="str">
        <f>VLOOKUP(D35,'Input 14_Ref Table'!C:K,8,FALSE)</f>
        <v>FTS_AB_C</v>
      </c>
      <c r="I35" s="53"/>
      <c r="J35" t="str">
        <f>INDEX('Master '!$AD$2:AD$65,MATCH(D35,'Master '!$D$2:$D$65,0))</f>
        <v>UPC Growth Rate</v>
      </c>
      <c r="K35" s="458">
        <f>INDEX('Master '!$N$2:N$65,MATCH(D35,'Master '!$D$2:$D$65,0))</f>
        <v>-8.9379418530954602E-2</v>
      </c>
      <c r="L35" s="137">
        <f>INDEX('Master '!$S$2:S$65,MATCH(D35,'Master '!$D$2:$D$65,0))</f>
        <v>-3.2809295967190781E-2</v>
      </c>
      <c r="M35" s="4">
        <f>INDEX('Master '!$W$2:W$65,MATCH(D35,'Master '!$D$2:$D$65,0))</f>
        <v>70.75</v>
      </c>
      <c r="N35" s="268">
        <f>SUMIF('Input 16.1_2018VOL-YTD'!$R:$R,$G35,'Input 16.1_2018VOL-YTD'!C:C)</f>
        <v>0</v>
      </c>
      <c r="O35" s="268">
        <f>SUMIF('Input 16.1_2018VOL-YTD'!$R:$R,$G35,'Input 16.1_2018VOL-YTD'!D:D)</f>
        <v>0</v>
      </c>
      <c r="P35" s="268">
        <f>SUMIF('Input 16.1_2018VOL-YTD'!$R:$R,$G35,'Input 16.1_2018VOL-YTD'!E:E)</f>
        <v>0</v>
      </c>
      <c r="Q35" s="268">
        <f>SUMIF('Input 16.1_2018VOL-YTD'!$R:$R,$G35,'Input 16.1_2018VOL-YTD'!F:F)</f>
        <v>0</v>
      </c>
      <c r="R35" s="268">
        <f>SUMIF('Input 16.1_2018VOL-YTD'!$R:$R,$G35,'Input 16.1_2018VOL-YTD'!G:G)</f>
        <v>0</v>
      </c>
      <c r="S35" s="268">
        <f>SUMIF('Input 16.1_2018VOL-YTD'!$R:$R,$G35,'Input 16.1_2018VOL-YTD'!H:H)</f>
        <v>0</v>
      </c>
      <c r="T35" s="268">
        <f>SUMIF('Input 16.1_2018VOL-YTD'!$R:$R,$G35,'Input 16.1_2018VOL-YTD'!I:I)</f>
        <v>0</v>
      </c>
      <c r="U35" s="268">
        <f>SUMIF('Input 16.1_2018VOL-YTD'!$R:$R,$G35,'Input 16.1_2018VOL-YTD'!J:J)</f>
        <v>0</v>
      </c>
      <c r="V35" s="268">
        <f>SUMIF('Input 16.1_2018VOL-YTD'!$R:$R,$G35,'Input 16.1_2018VOL-YTD'!K:K)</f>
        <v>0</v>
      </c>
      <c r="W35" s="268">
        <f>SUMIF('Input 16.1_2018VOL-YTD'!$R:$R,$G35,'Input 16.1_2018VOL-YTD'!L:L)</f>
        <v>0</v>
      </c>
      <c r="X35" s="268">
        <f>SUMIF('Input 16.1_2018VOL-YTD'!$R:$R,$G35,'Input 16.1_2018VOL-YTD'!M:M)</f>
        <v>0</v>
      </c>
      <c r="Y35" s="268">
        <f>SUMIF('Input 16.1_2018VOL-YTD'!$R:$R,$G35,'Input 16.1_2018VOL-YTD'!N:N)</f>
        <v>0</v>
      </c>
      <c r="Z35" s="268">
        <f>SUMIF('Input 3.1_2019VOL-YTD'!$R:$R,$G35,'Input 3.1_2019VOL-YTD'!C:C)</f>
        <v>0</v>
      </c>
      <c r="AA35" s="268">
        <f>SUMIF('Input 3.1_2019VOL-YTD'!$R:$R,$G35,'Input 3.1_2019VOL-YTD'!D:D)</f>
        <v>0</v>
      </c>
      <c r="AB35" s="268">
        <f>SUMIF('Input 3.1_2019VOL-YTD'!$R:$R,$G35,'Input 3.1_2019VOL-YTD'!E:E)</f>
        <v>0</v>
      </c>
      <c r="AC35" s="268">
        <f>SUMIF('Input 3.1_2019VOL-YTD'!$R:$R,$G35,'Input 3.1_2019VOL-YTD'!F:F)</f>
        <v>0</v>
      </c>
      <c r="AD35" s="268">
        <f>SUMIF('Input 3.1_2019VOL-YTD'!$R:$R,$G35,'Input 3.1_2019VOL-YTD'!G:G)</f>
        <v>0</v>
      </c>
      <c r="AE35" s="268">
        <f>SUMIF('Input 3.1_2019VOL-YTD'!$R:$R,$G35,'Input 3.1_2019VOL-YTD'!H:H)</f>
        <v>0</v>
      </c>
      <c r="AF35" s="268">
        <f>SUMIF('Input 3.1_2019VOL-YTD'!$R:$R,$G35,'Input 3.1_2019VOL-YTD'!I:I)</f>
        <v>0</v>
      </c>
      <c r="AG35" s="268">
        <f>SUMIF('Input 3.1_2019VOL-YTD'!$R:$R,$G35,'Input 3.1_2019VOL-YTD'!J:J)</f>
        <v>0</v>
      </c>
      <c r="AH35" s="268">
        <f>SUMIF('Input 3.1_2019VOL-YTD'!$R:$R,$G35,'Input 3.1_2019VOL-YTD'!K:K)</f>
        <v>0</v>
      </c>
      <c r="AI35" s="268">
        <f>SUMIF('Input 3.1_2019VOL-YTD'!$R:$R,$G35,'Input 3.1_2019VOL-YTD'!L:L)</f>
        <v>0</v>
      </c>
      <c r="AJ35" s="268">
        <f>SUMIF('Input 3.1_2019VOL-YTD'!$R:$R,$G35,'Input 3.1_2019VOL-YTD'!M:M)</f>
        <v>0</v>
      </c>
      <c r="AK35" s="268">
        <f>SUMIF('Input 3.1_2019VOL-YTD'!$R:$R,$G35,'Input 3.1_2019VOL-YTD'!N:N)</f>
        <v>0</v>
      </c>
      <c r="AL35" s="268">
        <f>SUMIF('Input 4.1_2020VOL-YTD'!$R:$R,$G35,'Input 4.1_2020VOL-YTD'!C:C)</f>
        <v>0</v>
      </c>
      <c r="AM35" s="268">
        <f>SUMIF('Input 4.1_2020VOL-YTD'!$R:$R,$G35,'Input 4.1_2020VOL-YTD'!D:D)</f>
        <v>0</v>
      </c>
      <c r="AN35" s="268">
        <f>SUMIF('Input 4.1_2020VOL-YTD'!$R:$R,$G35,'Input 4.1_2020VOL-YTD'!E:E)</f>
        <v>0</v>
      </c>
      <c r="AO35" s="268">
        <f>SUMIF('Input 4.1_2020VOL-YTD'!$R:$R,$G35,'Input 4.1_2020VOL-YTD'!F:F)</f>
        <v>0</v>
      </c>
      <c r="AP35" s="268">
        <f>SUMIF('Input 4.1_2020VOL-YTD'!$R:$R,$G35,'Input 4.1_2020VOL-YTD'!G:G)</f>
        <v>0</v>
      </c>
      <c r="AQ35" s="268">
        <f>SUMIF('Input 4.1_2020VOL-YTD'!$R:$R,$G35,'Input 4.1_2020VOL-YTD'!H:H)</f>
        <v>0</v>
      </c>
      <c r="AR35" s="268">
        <f>SUMIF('Input 4.1_2020VOL-YTD'!$R:$R,$G35,'Input 4.1_2020VOL-YTD'!I:I)</f>
        <v>0</v>
      </c>
      <c r="AS35" s="268">
        <f>SUMIF('Input 4.1_2020VOL-YTD'!$R:$R,$G35,'Input 4.1_2020VOL-YTD'!J:J)</f>
        <v>0</v>
      </c>
      <c r="AT35" s="268">
        <f>SUMIF('Input 4.1_2020VOL-YTD'!$R:$R,$G35,'Input 4.1_2020VOL-YTD'!K:K)</f>
        <v>0</v>
      </c>
      <c r="AU35" s="268">
        <f>SUMIF('Input 4.1_2020VOL-YTD'!$R:$R,$G35,'Input 4.1_2020VOL-YTD'!L:L)</f>
        <v>0</v>
      </c>
      <c r="AV35" s="268">
        <f>SUMIF('Input 4.1_2020VOL-YTD'!$R:$R,$G35,'Input 4.1_2020VOL-YTD'!M:M)</f>
        <v>0</v>
      </c>
      <c r="AW35" s="268">
        <f>SUMIF('Input 4.1_2020VOL-YTD'!$R:$R,$G35,'Input 4.1_2020VOL-YTD'!N:N)</f>
        <v>0</v>
      </c>
      <c r="AX35" s="268">
        <f>SUMIF('Input 5.1_2021VOL-YTD'!$R:$R,$G35,'Input 5.1_2021VOL-YTD'!C:C)</f>
        <v>0</v>
      </c>
      <c r="AY35" s="268">
        <f>SUMIF('Input 5.1_2021VOL-YTD'!$R:$R,$G35,'Input 5.1_2021VOL-YTD'!D:D)</f>
        <v>0</v>
      </c>
      <c r="AZ35" s="268">
        <f>SUMIF('Input 5.1_2021VOL-YTD'!$R:$R,$G35,'Input 5.1_2021VOL-YTD'!E:E)</f>
        <v>0</v>
      </c>
      <c r="BA35" s="268">
        <f>SUMIF('Input 5.1_2021VOL-YTD'!$R:$R,$G35,'Input 5.1_2021VOL-YTD'!F:F)</f>
        <v>0</v>
      </c>
      <c r="BB35" s="268">
        <f>SUMIF('Input 5.1_2021VOL-YTD'!$R:$R,$G35,'Input 5.1_2021VOL-YTD'!G:G)</f>
        <v>0</v>
      </c>
      <c r="BC35" s="268">
        <f>SUMIF('Input 5.1_2021VOL-YTD'!$R:$R,$G35,'Input 5.1_2021VOL-YTD'!H:H)</f>
        <v>0</v>
      </c>
      <c r="BD35" s="268">
        <f>SUMIF('Input 5.1_2021VOL-YTD'!$R:$R,$G35,'Input 5.1_2021VOL-YTD'!I:I)</f>
        <v>0</v>
      </c>
      <c r="BE35" s="268">
        <f>SUMIF('Input 5.1_2021VOL-YTD'!$R:$R,$G35,'Input 5.1_2021VOL-YTD'!J:J)</f>
        <v>0</v>
      </c>
      <c r="BF35" s="268">
        <f>SUMIF('Input 5.1_2021VOL-YTD'!$R:$R,$G35,'Input 5.1_2021VOL-YTD'!K:K)</f>
        <v>0</v>
      </c>
      <c r="BG35" s="268">
        <f>SUMIF('Input 5.1_2021VOL-YTD'!$R:$R,$G35,'Input 5.1_2021VOL-YTD'!L:L)</f>
        <v>0</v>
      </c>
      <c r="BH35" s="268">
        <f>SUMIF('Input 5.1_2021VOL-YTD'!$R:$R,$G35,'Input 5.1_2021VOL-YTD'!M:M)</f>
        <v>0</v>
      </c>
      <c r="BI35" s="268">
        <f>SUMIF('Input 5.1_2021VOL-YTD'!$R:$R,$G35,'Input 5.1_2021VOL-YTD'!N:N)</f>
        <v>0</v>
      </c>
      <c r="BJ35" s="483">
        <f>IFERROR(IF($J35="Historical Average",INDEX('Monthly UPC'!$CM$2:$DJ$65,MATCH($D35,'Monthly UPC'!$D$2:$D$65,0),MATCH(BJ$1,'Monthly UPC'!$CM$1:$DJ$1))*(INDEX('Monthly CUST'!$N$2:$CG$65,MATCH($D35,'Monthly CUST'!$D$2:$D$65,0),MATCH(BJ$1,'Monthly CUST'!$N$1:$CG$1,0))),IF($J35="UPC Growth Rate",((AX35/INDEX('Monthly CUST'!$N$2:$CG$65,MATCH($D35,'Monthly CUST'!$D$2:$D$65,0),MATCH(AX$1,'Monthly CUST'!$N$1:$CG$1,0)))*(1+$L35)*INDEX('Monthly CUST'!$N$2:$CG$65,MATCH($D35,'Monthly CUST'!$D$2:$D$65,0),MATCH(BJ$1,'Monthly CUST'!$N$1:$CG$1,0))),IF($J35="Modeled UPC",INDEX('Monthly CUST'!$N$2:$CG$65,MATCH($D35,'Monthly CUST'!$D$2:$D$65,0),MATCH(BJ$1,'Monthly CUST'!$N$1:$CG$1,0))/12*$M35,IF($J35="Base Period",AX35,IF($J35="Adjusted",SUMIF('Input 15_Fcst Inputs'!$A:$A,$D35,'Input 15_Fcst Inputs'!$G:$G)/12))))),0)</f>
        <v>0</v>
      </c>
      <c r="BK35" s="483">
        <f>IFERROR(IF($J35="Historical Average",INDEX('Monthly UPC'!$CM$2:$DJ$65,MATCH($D35,'Monthly UPC'!$D$2:$D$65,0),MATCH(BK$1,'Monthly UPC'!$CM$1:$DJ$1))*(INDEX('Monthly CUST'!$N$2:$CG$65,MATCH($D35,'Monthly CUST'!$D$2:$D$65,0),MATCH(BK$1,'Monthly CUST'!$N$1:$CG$1,0))),IF($J35="UPC Growth Rate",((AY35/INDEX('Monthly CUST'!$N$2:$CG$65,MATCH($D35,'Monthly CUST'!$D$2:$D$65,0),MATCH(AY$1,'Monthly CUST'!$N$1:$CG$1,0)))*(1+$L35)*INDEX('Monthly CUST'!$N$2:$CG$65,MATCH($D35,'Monthly CUST'!$D$2:$D$65,0),MATCH(BK$1,'Monthly CUST'!$N$1:$CG$1,0))),IF($J35="Modeled UPC",INDEX('Monthly CUST'!$N$2:$CG$65,MATCH($D35,'Monthly CUST'!$D$2:$D$65,0),MATCH(BK$1,'Monthly CUST'!$N$1:$CG$1,0))/12*$M35,IF($J35="Base Period",AY35,IF($J35="Adjusted",SUMIF('Input 15_Fcst Inputs'!$A:$A,$D35,'Input 15_Fcst Inputs'!$G:$G)/12))))),0)</f>
        <v>0</v>
      </c>
      <c r="BL35" s="483">
        <f>IFERROR(IF($J35="Historical Average",INDEX('Monthly UPC'!$CM$2:$DJ$65,MATCH($D35,'Monthly UPC'!$D$2:$D$65,0),MATCH(BL$1,'Monthly UPC'!$CM$1:$DJ$1))*(INDEX('Monthly CUST'!$N$2:$CG$65,MATCH($D35,'Monthly CUST'!$D$2:$D$65,0),MATCH(BL$1,'Monthly CUST'!$N$1:$CG$1,0))),IF($J35="UPC Growth Rate",((AZ35/INDEX('Monthly CUST'!$N$2:$CG$65,MATCH($D35,'Monthly CUST'!$D$2:$D$65,0),MATCH(AZ$1,'Monthly CUST'!$N$1:$CG$1,0)))*(1+$L35)*INDEX('Monthly CUST'!$N$2:$CG$65,MATCH($D35,'Monthly CUST'!$D$2:$D$65,0),MATCH(BL$1,'Monthly CUST'!$N$1:$CG$1,0))),IF($J35="Modeled UPC",INDEX('Monthly CUST'!$N$2:$CG$65,MATCH($D35,'Monthly CUST'!$D$2:$D$65,0),MATCH(BL$1,'Monthly CUST'!$N$1:$CG$1,0))/12*$M35,IF($J35="Base Period",AZ35,IF($J35="Adjusted",SUMIF('Input 15_Fcst Inputs'!$A:$A,$D35,'Input 15_Fcst Inputs'!$G:$G)/12))))),0)</f>
        <v>0</v>
      </c>
      <c r="BM35" s="483">
        <f>IFERROR(IF($J35="Historical Average",INDEX('Monthly UPC'!$CM$2:$DJ$65,MATCH($D35,'Monthly UPC'!$D$2:$D$65,0),MATCH(BM$1,'Monthly UPC'!$CM$1:$DJ$1))*(INDEX('Monthly CUST'!$N$2:$CG$65,MATCH($D35,'Monthly CUST'!$D$2:$D$65,0),MATCH(BM$1,'Monthly CUST'!$N$1:$CG$1,0))),IF($J35="UPC Growth Rate",((BA35/INDEX('Monthly CUST'!$N$2:$CG$65,MATCH($D35,'Monthly CUST'!$D$2:$D$65,0),MATCH(BA$1,'Monthly CUST'!$N$1:$CG$1,0)))*(1+$L35)*INDEX('Monthly CUST'!$N$2:$CG$65,MATCH($D35,'Monthly CUST'!$D$2:$D$65,0),MATCH(BM$1,'Monthly CUST'!$N$1:$CG$1,0))),IF($J35="Modeled UPC",INDEX('Monthly CUST'!$N$2:$CG$65,MATCH($D35,'Monthly CUST'!$D$2:$D$65,0),MATCH(BM$1,'Monthly CUST'!$N$1:$CG$1,0))/12*$M35,IF($J35="Base Period",BA35,IF($J35="Adjusted",SUMIF('Input 15_Fcst Inputs'!$A:$A,$D35,'Input 15_Fcst Inputs'!$G:$G)/12))))),0)</f>
        <v>0</v>
      </c>
      <c r="BN35" s="483">
        <f>IFERROR(IF($J35="Historical Average",INDEX('Monthly UPC'!$CM$2:$DJ$65,MATCH($D35,'Monthly UPC'!$D$2:$D$65,0),MATCH(BN$1,'Monthly UPC'!$CM$1:$DJ$1))*(INDEX('Monthly CUST'!$N$2:$CG$65,MATCH($D35,'Monthly CUST'!$D$2:$D$65,0),MATCH(BN$1,'Monthly CUST'!$N$1:$CG$1,0))),IF($J35="UPC Growth Rate",((BB35/INDEX('Monthly CUST'!$N$2:$CG$65,MATCH($D35,'Monthly CUST'!$D$2:$D$65,0),MATCH(BB$1,'Monthly CUST'!$N$1:$CG$1,0)))*(1+$L35)*INDEX('Monthly CUST'!$N$2:$CG$65,MATCH($D35,'Monthly CUST'!$D$2:$D$65,0),MATCH(BN$1,'Monthly CUST'!$N$1:$CG$1,0))),IF($J35="Modeled UPC",INDEX('Monthly CUST'!$N$2:$CG$65,MATCH($D35,'Monthly CUST'!$D$2:$D$65,0),MATCH(BN$1,'Monthly CUST'!$N$1:$CG$1,0))/12*$M35,IF($J35="Base Period",BB35,IF($J35="Adjusted",SUMIF('Input 15_Fcst Inputs'!$A:$A,$D35,'Input 15_Fcst Inputs'!$G:$G)/12))))),0)</f>
        <v>0</v>
      </c>
      <c r="BO35" s="483">
        <f>IFERROR(IF($J35="Historical Average",INDEX('Monthly UPC'!$CM$2:$DJ$65,MATCH($D35,'Monthly UPC'!$D$2:$D$65,0),MATCH(BO$1,'Monthly UPC'!$CM$1:$DJ$1))*(INDEX('Monthly CUST'!$N$2:$CG$65,MATCH($D35,'Monthly CUST'!$D$2:$D$65,0),MATCH(BO$1,'Monthly CUST'!$N$1:$CG$1,0))),IF($J35="UPC Growth Rate",((BC35/INDEX('Monthly CUST'!$N$2:$CG$65,MATCH($D35,'Monthly CUST'!$D$2:$D$65,0),MATCH(BC$1,'Monthly CUST'!$N$1:$CG$1,0)))*(1+$L35)*INDEX('Monthly CUST'!$N$2:$CG$65,MATCH($D35,'Monthly CUST'!$D$2:$D$65,0),MATCH(BO$1,'Monthly CUST'!$N$1:$CG$1,0))),IF($J35="Modeled UPC",INDEX('Monthly CUST'!$N$2:$CG$65,MATCH($D35,'Monthly CUST'!$D$2:$D$65,0),MATCH(BO$1,'Monthly CUST'!$N$1:$CG$1,0))/12*$M35,IF($J35="Base Period",BC35,IF($J35="Adjusted",SUMIF('Input 15_Fcst Inputs'!$A:$A,$D35,'Input 15_Fcst Inputs'!$G:$G)/12))))),0)</f>
        <v>0</v>
      </c>
      <c r="BP35" s="483">
        <f>IFERROR(IF($J35="Historical Average",INDEX('Monthly UPC'!$CM$2:$DJ$65,MATCH($D35,'Monthly UPC'!$D$2:$D$65,0),MATCH(BP$1,'Monthly UPC'!$CM$1:$DJ$1))*(INDEX('Monthly CUST'!$N$2:$CG$65,MATCH($D35,'Monthly CUST'!$D$2:$D$65,0),MATCH(BP$1,'Monthly CUST'!$N$1:$CG$1,0))),IF($J35="UPC Growth Rate",((BD35/INDEX('Monthly CUST'!$N$2:$CG$65,MATCH($D35,'Monthly CUST'!$D$2:$D$65,0),MATCH(BD$1,'Monthly CUST'!$N$1:$CG$1,0)))*(1+$L35)*INDEX('Monthly CUST'!$N$2:$CG$65,MATCH($D35,'Monthly CUST'!$D$2:$D$65,0),MATCH(BP$1,'Monthly CUST'!$N$1:$CG$1,0))),IF($J35="Modeled UPC",INDEX('Monthly CUST'!$N$2:$CG$65,MATCH($D35,'Monthly CUST'!$D$2:$D$65,0),MATCH(BP$1,'Monthly CUST'!$N$1:$CG$1,0))/12*$M35,IF($J35="Base Period",BD35,IF($J35="Adjusted",SUMIF('Input 15_Fcst Inputs'!$A:$A,$D35,'Input 15_Fcst Inputs'!$G:$G)/12))))),0)</f>
        <v>0</v>
      </c>
      <c r="BQ35" s="483">
        <f>IFERROR(IF($J35="Historical Average",INDEX('Monthly UPC'!$CM$2:$DJ$65,MATCH($D35,'Monthly UPC'!$D$2:$D$65,0),MATCH(BQ$1,'Monthly UPC'!$CM$1:$DJ$1))*(INDEX('Monthly CUST'!$N$2:$CG$65,MATCH($D35,'Monthly CUST'!$D$2:$D$65,0),MATCH(BQ$1,'Monthly CUST'!$N$1:$CG$1,0))),IF($J35="UPC Growth Rate",((BE35/INDEX('Monthly CUST'!$N$2:$CG$65,MATCH($D35,'Monthly CUST'!$D$2:$D$65,0),MATCH(BE$1,'Monthly CUST'!$N$1:$CG$1,0)))*(1+$L35)*INDEX('Monthly CUST'!$N$2:$CG$65,MATCH($D35,'Monthly CUST'!$D$2:$D$65,0),MATCH(BQ$1,'Monthly CUST'!$N$1:$CG$1,0))),IF($J35="Modeled UPC",INDEX('Monthly CUST'!$N$2:$CG$65,MATCH($D35,'Monthly CUST'!$D$2:$D$65,0),MATCH(BQ$1,'Monthly CUST'!$N$1:$CG$1,0))/12*$M35,IF($J35="Base Period",BE35,IF($J35="Adjusted",SUMIF('Input 15_Fcst Inputs'!$A:$A,$D35,'Input 15_Fcst Inputs'!$G:$G)/12))))),0)</f>
        <v>0</v>
      </c>
      <c r="BR35" s="483">
        <f>IFERROR(IF($J35="Historical Average",INDEX('Monthly UPC'!$CM$2:$DJ$65,MATCH($D35,'Monthly UPC'!$D$2:$D$65,0),MATCH(BR$1,'Monthly UPC'!$CM$1:$DJ$1))*(INDEX('Monthly CUST'!$N$2:$CG$65,MATCH($D35,'Monthly CUST'!$D$2:$D$65,0),MATCH(BR$1,'Monthly CUST'!$N$1:$CG$1,0))),IF($J35="UPC Growth Rate",((BF35/INDEX('Monthly CUST'!$N$2:$CG$65,MATCH($D35,'Monthly CUST'!$D$2:$D$65,0),MATCH(BF$1,'Monthly CUST'!$N$1:$CG$1,0)))*(1+$L35)*INDEX('Monthly CUST'!$N$2:$CG$65,MATCH($D35,'Monthly CUST'!$D$2:$D$65,0),MATCH(BR$1,'Monthly CUST'!$N$1:$CG$1,0))),IF($J35="Modeled UPC",INDEX('Monthly CUST'!$N$2:$CG$65,MATCH($D35,'Monthly CUST'!$D$2:$D$65,0),MATCH(BR$1,'Monthly CUST'!$N$1:$CG$1,0))/12*$M35,IF($J35="Base Period",BF35,IF($J35="Adjusted",SUMIF('Input 15_Fcst Inputs'!$A:$A,$D35,'Input 15_Fcst Inputs'!$G:$G)/12))))),0)</f>
        <v>0</v>
      </c>
      <c r="BS35" s="483">
        <f>IFERROR(IF($J35="Historical Average",INDEX('Monthly UPC'!$CM$2:$DJ$65,MATCH($D35,'Monthly UPC'!$D$2:$D$65,0),MATCH(BS$1,'Monthly UPC'!$CM$1:$DJ$1))*(INDEX('Monthly CUST'!$N$2:$CG$65,MATCH($D35,'Monthly CUST'!$D$2:$D$65,0),MATCH(BS$1,'Monthly CUST'!$N$1:$CG$1,0))),IF($J35="UPC Growth Rate",((BG35/INDEX('Monthly CUST'!$N$2:$CG$65,MATCH($D35,'Monthly CUST'!$D$2:$D$65,0),MATCH(BG$1,'Monthly CUST'!$N$1:$CG$1,0)))*(1+$L35)*INDEX('Monthly CUST'!$N$2:$CG$65,MATCH($D35,'Monthly CUST'!$D$2:$D$65,0),MATCH(BS$1,'Monthly CUST'!$N$1:$CG$1,0))),IF($J35="Modeled UPC",INDEX('Monthly CUST'!$N$2:$CG$65,MATCH($D35,'Monthly CUST'!$D$2:$D$65,0),MATCH(BS$1,'Monthly CUST'!$N$1:$CG$1,0))/12*$M35,IF($J35="Base Period",BG35,IF($J35="Adjusted",SUMIF('Input 15_Fcst Inputs'!$A:$A,$D35,'Input 15_Fcst Inputs'!$G:$G)/12))))),0)</f>
        <v>0</v>
      </c>
      <c r="BT35" s="483">
        <f>IFERROR(IF($J35="Historical Average",INDEX('Monthly UPC'!$CM$2:$DJ$65,MATCH($D35,'Monthly UPC'!$D$2:$D$65,0),MATCH(BT$1,'Monthly UPC'!$CM$1:$DJ$1))*(INDEX('Monthly CUST'!$N$2:$CG$65,MATCH($D35,'Monthly CUST'!$D$2:$D$65,0),MATCH(BT$1,'Monthly CUST'!$N$1:$CG$1,0))),IF($J35="UPC Growth Rate",((BH35/INDEX('Monthly CUST'!$N$2:$CG$65,MATCH($D35,'Monthly CUST'!$D$2:$D$65,0),MATCH(BH$1,'Monthly CUST'!$N$1:$CG$1,0)))*(1+$L35)*INDEX('Monthly CUST'!$N$2:$CG$65,MATCH($D35,'Monthly CUST'!$D$2:$D$65,0),MATCH(BT$1,'Monthly CUST'!$N$1:$CG$1,0))),IF($J35="Modeled UPC",INDEX('Monthly CUST'!$N$2:$CG$65,MATCH($D35,'Monthly CUST'!$D$2:$D$65,0),MATCH(BT$1,'Monthly CUST'!$N$1:$CG$1,0))/12*$M35,IF($J35="Base Period",BH35,IF($J35="Adjusted",SUMIF('Input 15_Fcst Inputs'!$A:$A,$D35,'Input 15_Fcst Inputs'!$G:$G)/12))))),0)</f>
        <v>0</v>
      </c>
      <c r="BU35" s="483">
        <f>IFERROR(IF($J35="Historical Average",INDEX('Monthly UPC'!$CM$2:$DJ$65,MATCH($D35,'Monthly UPC'!$D$2:$D$65,0),MATCH(BU$1,'Monthly UPC'!$CM$1:$DJ$1))*(INDEX('Monthly CUST'!$N$2:$CG$65,MATCH($D35,'Monthly CUST'!$D$2:$D$65,0),MATCH(BU$1,'Monthly CUST'!$N$1:$CG$1,0))),IF($J35="UPC Growth Rate",((BI35/INDEX('Monthly CUST'!$N$2:$CG$65,MATCH($D35,'Monthly CUST'!$D$2:$D$65,0),MATCH(BI$1,'Monthly CUST'!$N$1:$CG$1,0)))*(1+$L35)*INDEX('Monthly CUST'!$N$2:$CG$65,MATCH($D35,'Monthly CUST'!$D$2:$D$65,0),MATCH(BU$1,'Monthly CUST'!$N$1:$CG$1,0))),IF($J35="Modeled UPC",INDEX('Monthly CUST'!$N$2:$CG$65,MATCH($D35,'Monthly CUST'!$D$2:$D$65,0),MATCH(BU$1,'Monthly CUST'!$N$1:$CG$1,0))/12*$M35,IF($J35="Base Period",BI35,IF($J35="Adjusted",SUMIF('Input 15_Fcst Inputs'!$A:$A,$D35,'Input 15_Fcst Inputs'!$G:$G)/12))))),0)</f>
        <v>0</v>
      </c>
      <c r="BV35" s="483">
        <f>IFERROR(IF($J35="Historical Average",INDEX('Monthly UPC'!$CM$2:$DJ$65,MATCH($D35,'Monthly UPC'!$D$2:$D$65,0),MATCH(BV$1,'Monthly UPC'!$CM$1:$DJ$1))*(INDEX('Monthly CUST'!$N$2:$CG$65,MATCH($D35,'Monthly CUST'!$D$2:$D$65,0),MATCH(BV$1,'Monthly CUST'!$N$1:$CG$1,0))),IF($J35="UPC Growth Rate",((BJ35/INDEX('Monthly CUST'!$N$2:$CG$65,MATCH($D35,'Monthly CUST'!$D$2:$D$65,0),MATCH(BJ$1,'Monthly CUST'!$N$1:$CG$1,0)))*(1+$L35)*INDEX('Monthly CUST'!$N$2:$CG$65,MATCH($D35,'Monthly CUST'!$D$2:$D$65,0),MATCH(BV$1,'Monthly CUST'!$N$1:$CG$1,0))),IF($J35="Modeled UPC",INDEX('Monthly CUST'!$N$2:$CG$65,MATCH($D35,'Monthly CUST'!$D$2:$D$65,0),MATCH(BV$1,'Monthly CUST'!$N$1:$CG$1,0))/12*$M35,IF($J35="Base Period",BJ35,IF($J35="Adjusted",SUMIF('Input 15_Fcst Inputs'!$A:$A,$D35,'Input 15_Fcst Inputs'!$G:$G)/12))))),0)</f>
        <v>0</v>
      </c>
      <c r="BW35" s="483">
        <f>IFERROR(IF($J35="Historical Average",INDEX('Monthly UPC'!$CM$2:$DJ$65,MATCH($D35,'Monthly UPC'!$D$2:$D$65,0),MATCH(BW$1,'Monthly UPC'!$CM$1:$DJ$1))*(INDEX('Monthly CUST'!$N$2:$CG$65,MATCH($D35,'Monthly CUST'!$D$2:$D$65,0),MATCH(BW$1,'Monthly CUST'!$N$1:$CG$1,0))),IF($J35="UPC Growth Rate",((BK35/INDEX('Monthly CUST'!$N$2:$CG$65,MATCH($D35,'Monthly CUST'!$D$2:$D$65,0),MATCH(BK$1,'Monthly CUST'!$N$1:$CG$1,0)))*(1+$L35)*INDEX('Monthly CUST'!$N$2:$CG$65,MATCH($D35,'Monthly CUST'!$D$2:$D$65,0),MATCH(BW$1,'Monthly CUST'!$N$1:$CG$1,0))),IF($J35="Modeled UPC",INDEX('Monthly CUST'!$N$2:$CG$65,MATCH($D35,'Monthly CUST'!$D$2:$D$65,0),MATCH(BW$1,'Monthly CUST'!$N$1:$CG$1,0))/12*$M35,IF($J35="Base Period",BK35,IF($J35="Adjusted",SUMIF('Input 15_Fcst Inputs'!$A:$A,$D35,'Input 15_Fcst Inputs'!$G:$G)/12))))),0)</f>
        <v>0</v>
      </c>
      <c r="BX35" s="483">
        <f>IFERROR(IF($J35="Historical Average",INDEX('Monthly UPC'!$CM$2:$DJ$65,MATCH($D35,'Monthly UPC'!$D$2:$D$65,0),MATCH(BX$1,'Monthly UPC'!$CM$1:$DJ$1))*(INDEX('Monthly CUST'!$N$2:$CG$65,MATCH($D35,'Monthly CUST'!$D$2:$D$65,0),MATCH(BX$1,'Monthly CUST'!$N$1:$CG$1,0))),IF($J35="UPC Growth Rate",((BL35/INDEX('Monthly CUST'!$N$2:$CG$65,MATCH($D35,'Monthly CUST'!$D$2:$D$65,0),MATCH(BL$1,'Monthly CUST'!$N$1:$CG$1,0)))*(1+$L35)*INDEX('Monthly CUST'!$N$2:$CG$65,MATCH($D35,'Monthly CUST'!$D$2:$D$65,0),MATCH(BX$1,'Monthly CUST'!$N$1:$CG$1,0))),IF($J35="Modeled UPC",INDEX('Monthly CUST'!$N$2:$CG$65,MATCH($D35,'Monthly CUST'!$D$2:$D$65,0),MATCH(BX$1,'Monthly CUST'!$N$1:$CG$1,0))/12*$M35,IF($J35="Base Period",BL35,IF($J35="Adjusted",SUMIF('Input 15_Fcst Inputs'!$A:$A,$D35,'Input 15_Fcst Inputs'!$G:$G)/12))))),0)</f>
        <v>0</v>
      </c>
      <c r="BY35" s="483">
        <f>IFERROR(IF($J35="Historical Average",INDEX('Monthly UPC'!$CM$2:$DJ$65,MATCH($D35,'Monthly UPC'!$D$2:$D$65,0),MATCH(BY$1,'Monthly UPC'!$CM$1:$DJ$1))*(INDEX('Monthly CUST'!$N$2:$CG$65,MATCH($D35,'Monthly CUST'!$D$2:$D$65,0),MATCH(BY$1,'Monthly CUST'!$N$1:$CG$1,0))),IF($J35="UPC Growth Rate",((BM35/INDEX('Monthly CUST'!$N$2:$CG$65,MATCH($D35,'Monthly CUST'!$D$2:$D$65,0),MATCH(BM$1,'Monthly CUST'!$N$1:$CG$1,0)))*(1+$L35)*INDEX('Monthly CUST'!$N$2:$CG$65,MATCH($D35,'Monthly CUST'!$D$2:$D$65,0),MATCH(BY$1,'Monthly CUST'!$N$1:$CG$1,0))),IF($J35="Modeled UPC",INDEX('Monthly CUST'!$N$2:$CG$65,MATCH($D35,'Monthly CUST'!$D$2:$D$65,0),MATCH(BY$1,'Monthly CUST'!$N$1:$CG$1,0))/12*$M35,IF($J35="Base Period",BM35,IF($J35="Adjusted",SUMIF('Input 15_Fcst Inputs'!$A:$A,$D35,'Input 15_Fcst Inputs'!$G:$G)/12))))),0)</f>
        <v>0</v>
      </c>
      <c r="BZ35" s="483">
        <f>IFERROR(IF($J35="Historical Average",INDEX('Monthly UPC'!$CM$2:$DJ$65,MATCH($D35,'Monthly UPC'!$D$2:$D$65,0),MATCH(BZ$1,'Monthly UPC'!$CM$1:$DJ$1))*(INDEX('Monthly CUST'!$N$2:$CG$65,MATCH($D35,'Monthly CUST'!$D$2:$D$65,0),MATCH(BZ$1,'Monthly CUST'!$N$1:$CG$1,0))),IF($J35="UPC Growth Rate",((BN35/INDEX('Monthly CUST'!$N$2:$CG$65,MATCH($D35,'Monthly CUST'!$D$2:$D$65,0),MATCH(BN$1,'Monthly CUST'!$N$1:$CG$1,0)))*(1+$L35)*INDEX('Monthly CUST'!$N$2:$CG$65,MATCH($D35,'Monthly CUST'!$D$2:$D$65,0),MATCH(BZ$1,'Monthly CUST'!$N$1:$CG$1,0))),IF($J35="Modeled UPC",INDEX('Monthly CUST'!$N$2:$CG$65,MATCH($D35,'Monthly CUST'!$D$2:$D$65,0),MATCH(BZ$1,'Monthly CUST'!$N$1:$CG$1,0))/12*$M35,IF($J35="Base Period",BN35,IF($J35="Adjusted",SUMIF('Input 15_Fcst Inputs'!$A:$A,$D35,'Input 15_Fcst Inputs'!$G:$G)/12))))),0)</f>
        <v>0</v>
      </c>
      <c r="CA35" s="483">
        <f>IFERROR(IF($J35="Historical Average",INDEX('Monthly UPC'!$CM$2:$DJ$65,MATCH($D35,'Monthly UPC'!$D$2:$D$65,0),MATCH(CA$1,'Monthly UPC'!$CM$1:$DJ$1))*(INDEX('Monthly CUST'!$N$2:$CG$65,MATCH($D35,'Monthly CUST'!$D$2:$D$65,0),MATCH(CA$1,'Monthly CUST'!$N$1:$CG$1,0))),IF($J35="UPC Growth Rate",((BO35/INDEX('Monthly CUST'!$N$2:$CG$65,MATCH($D35,'Monthly CUST'!$D$2:$D$65,0),MATCH(BO$1,'Monthly CUST'!$N$1:$CG$1,0)))*(1+$L35)*INDEX('Monthly CUST'!$N$2:$CG$65,MATCH($D35,'Monthly CUST'!$D$2:$D$65,0),MATCH(CA$1,'Monthly CUST'!$N$1:$CG$1,0))),IF($J35="Modeled UPC",INDEX('Monthly CUST'!$N$2:$CG$65,MATCH($D35,'Monthly CUST'!$D$2:$D$65,0),MATCH(CA$1,'Monthly CUST'!$N$1:$CG$1,0))/12*$M35,IF($J35="Base Period",BO35,IF($J35="Adjusted",SUMIF('Input 15_Fcst Inputs'!$A:$A,$D35,'Input 15_Fcst Inputs'!$G:$G)/12))))),0)</f>
        <v>0</v>
      </c>
      <c r="CB35" s="483">
        <f>IFERROR(IF($J35="Historical Average",INDEX('Monthly UPC'!$CM$2:$DJ$65,MATCH($D35,'Monthly UPC'!$D$2:$D$65,0),MATCH(CB$1,'Monthly UPC'!$CM$1:$DJ$1))*(INDEX('Monthly CUST'!$N$2:$CG$65,MATCH($D35,'Monthly CUST'!$D$2:$D$65,0),MATCH(CB$1,'Monthly CUST'!$N$1:$CG$1,0))),IF($J35="UPC Growth Rate",((BP35/INDEX('Monthly CUST'!$N$2:$CG$65,MATCH($D35,'Monthly CUST'!$D$2:$D$65,0),MATCH(BP$1,'Monthly CUST'!$N$1:$CG$1,0)))*(1+$L35)*INDEX('Monthly CUST'!$N$2:$CG$65,MATCH($D35,'Monthly CUST'!$D$2:$D$65,0),MATCH(CB$1,'Monthly CUST'!$N$1:$CG$1,0))),IF($J35="Modeled UPC",INDEX('Monthly CUST'!$N$2:$CG$65,MATCH($D35,'Monthly CUST'!$D$2:$D$65,0),MATCH(CB$1,'Monthly CUST'!$N$1:$CG$1,0))/12*$M35,IF($J35="Base Period",BP35,IF($J35="Adjusted",SUMIF('Input 15_Fcst Inputs'!$A:$A,$D35,'Input 15_Fcst Inputs'!$G:$G)/12))))),0)</f>
        <v>0</v>
      </c>
      <c r="CC35" s="483">
        <f>IFERROR(IF($J35="Historical Average",INDEX('Monthly UPC'!$CM$2:$DJ$65,MATCH($D35,'Monthly UPC'!$D$2:$D$65,0),MATCH(CC$1,'Monthly UPC'!$CM$1:$DJ$1))*(INDEX('Monthly CUST'!$N$2:$CG$65,MATCH($D35,'Monthly CUST'!$D$2:$D$65,0),MATCH(CC$1,'Monthly CUST'!$N$1:$CG$1,0))),IF($J35="UPC Growth Rate",((BQ35/INDEX('Monthly CUST'!$N$2:$CG$65,MATCH($D35,'Monthly CUST'!$D$2:$D$65,0),MATCH(BQ$1,'Monthly CUST'!$N$1:$CG$1,0)))*(1+$L35)*INDEX('Monthly CUST'!$N$2:$CG$65,MATCH($D35,'Monthly CUST'!$D$2:$D$65,0),MATCH(CC$1,'Monthly CUST'!$N$1:$CG$1,0))),IF($J35="Modeled UPC",INDEX('Monthly CUST'!$N$2:$CG$65,MATCH($D35,'Monthly CUST'!$D$2:$D$65,0),MATCH(CC$1,'Monthly CUST'!$N$1:$CG$1,0))/12*$M35,IF($J35="Base Period",BQ35,IF($J35="Adjusted",SUMIF('Input 15_Fcst Inputs'!$A:$A,$D35,'Input 15_Fcst Inputs'!$G:$G)/12))))),0)</f>
        <v>0</v>
      </c>
      <c r="CD35" s="483">
        <f>IFERROR(IF($J35="Historical Average",INDEX('Monthly UPC'!$CM$2:$DJ$65,MATCH($D35,'Monthly UPC'!$D$2:$D$65,0),MATCH(CD$1,'Monthly UPC'!$CM$1:$DJ$1))*(INDEX('Monthly CUST'!$N$2:$CG$65,MATCH($D35,'Monthly CUST'!$D$2:$D$65,0),MATCH(CD$1,'Monthly CUST'!$N$1:$CG$1,0))),IF($J35="UPC Growth Rate",((BR35/INDEX('Monthly CUST'!$N$2:$CG$65,MATCH($D35,'Monthly CUST'!$D$2:$D$65,0),MATCH(BR$1,'Monthly CUST'!$N$1:$CG$1,0)))*(1+$L35)*INDEX('Monthly CUST'!$N$2:$CG$65,MATCH($D35,'Monthly CUST'!$D$2:$D$65,0),MATCH(CD$1,'Monthly CUST'!$N$1:$CG$1,0))),IF($J35="Modeled UPC",INDEX('Monthly CUST'!$N$2:$CG$65,MATCH($D35,'Monthly CUST'!$D$2:$D$65,0),MATCH(CD$1,'Monthly CUST'!$N$1:$CG$1,0))/12*$M35,IF($J35="Base Period",BR35,IF($J35="Adjusted",SUMIF('Input 15_Fcst Inputs'!$A:$A,$D35,'Input 15_Fcst Inputs'!$G:$G)/12))))),0)</f>
        <v>0</v>
      </c>
      <c r="CE35" s="483">
        <f>IFERROR(IF($J35="Historical Average",INDEX('Monthly UPC'!$CM$2:$DJ$65,MATCH($D35,'Monthly UPC'!$D$2:$D$65,0),MATCH(CE$1,'Monthly UPC'!$CM$1:$DJ$1))*(INDEX('Monthly CUST'!$N$2:$CG$65,MATCH($D35,'Monthly CUST'!$D$2:$D$65,0),MATCH(CE$1,'Monthly CUST'!$N$1:$CG$1,0))),IF($J35="UPC Growth Rate",((BS35/INDEX('Monthly CUST'!$N$2:$CG$65,MATCH($D35,'Monthly CUST'!$D$2:$D$65,0),MATCH(BS$1,'Monthly CUST'!$N$1:$CG$1,0)))*(1+$L35)*INDEX('Monthly CUST'!$N$2:$CG$65,MATCH($D35,'Monthly CUST'!$D$2:$D$65,0),MATCH(CE$1,'Monthly CUST'!$N$1:$CG$1,0))),IF($J35="Modeled UPC",INDEX('Monthly CUST'!$N$2:$CG$65,MATCH($D35,'Monthly CUST'!$D$2:$D$65,0),MATCH(CE$1,'Monthly CUST'!$N$1:$CG$1,0))/12*$M35,IF($J35="Base Period",BS35,IF($J35="Adjusted",SUMIF('Input 15_Fcst Inputs'!$A:$A,$D35,'Input 15_Fcst Inputs'!$G:$G)/12))))),0)</f>
        <v>0</v>
      </c>
      <c r="CF35" s="483">
        <f>IFERROR(IF($J35="Historical Average",INDEX('Monthly UPC'!$CM$2:$DJ$65,MATCH($D35,'Monthly UPC'!$D$2:$D$65,0),MATCH(CF$1,'Monthly UPC'!$CM$1:$DJ$1))*(INDEX('Monthly CUST'!$N$2:$CG$65,MATCH($D35,'Monthly CUST'!$D$2:$D$65,0),MATCH(CF$1,'Monthly CUST'!$N$1:$CG$1,0))),IF($J35="UPC Growth Rate",((BT35/INDEX('Monthly CUST'!$N$2:$CG$65,MATCH($D35,'Monthly CUST'!$D$2:$D$65,0),MATCH(BT$1,'Monthly CUST'!$N$1:$CG$1,0)))*(1+$L35)*INDEX('Monthly CUST'!$N$2:$CG$65,MATCH($D35,'Monthly CUST'!$D$2:$D$65,0),MATCH(CF$1,'Monthly CUST'!$N$1:$CG$1,0))),IF($J35="Modeled UPC",INDEX('Monthly CUST'!$N$2:$CG$65,MATCH($D35,'Monthly CUST'!$D$2:$D$65,0),MATCH(CF$1,'Monthly CUST'!$N$1:$CG$1,0))/12*$M35,IF($J35="Base Period",BT35,IF($J35="Adjusted",SUMIF('Input 15_Fcst Inputs'!$A:$A,$D35,'Input 15_Fcst Inputs'!$G:$G)/12))))),0)</f>
        <v>0</v>
      </c>
      <c r="CG35" s="483">
        <f>IFERROR(IF($J35="Historical Average",INDEX('Monthly UPC'!$CM$2:$DJ$65,MATCH($D35,'Monthly UPC'!$D$2:$D$65,0),MATCH(CG$1,'Monthly UPC'!$CM$1:$DJ$1))*(INDEX('Monthly CUST'!$N$2:$CG$65,MATCH($D35,'Monthly CUST'!$D$2:$D$65,0),MATCH(CG$1,'Monthly CUST'!$N$1:$CG$1,0))),IF($J35="UPC Growth Rate",((BU35/INDEX('Monthly CUST'!$N$2:$CG$65,MATCH($D35,'Monthly CUST'!$D$2:$D$65,0),MATCH(BU$1,'Monthly CUST'!$N$1:$CG$1,0)))*(1+$L35)*INDEX('Monthly CUST'!$N$2:$CG$65,MATCH($D35,'Monthly CUST'!$D$2:$D$65,0),MATCH(CG$1,'Monthly CUST'!$N$1:$CG$1,0))),IF($J35="Modeled UPC",INDEX('Monthly CUST'!$N$2:$CG$65,MATCH($D35,'Monthly CUST'!$D$2:$D$65,0),MATCH(CG$1,'Monthly CUST'!$N$1:$CG$1,0))/12*$M35,IF($J35="Base Period",BU35,IF($J35="Adjusted",SUMIF('Input 15_Fcst Inputs'!$A:$A,$D35,'Input 15_Fcst Inputs'!$G:$G)/12))))),0)</f>
        <v>0</v>
      </c>
      <c r="CH35" s="197"/>
      <c r="CI35" s="197">
        <f t="shared" si="8"/>
        <v>0</v>
      </c>
      <c r="CJ35" s="197">
        <f t="shared" si="9"/>
        <v>0</v>
      </c>
      <c r="CK35" s="197">
        <f t="shared" si="10"/>
        <v>0</v>
      </c>
      <c r="CL35" s="197">
        <f t="shared" si="11"/>
        <v>0</v>
      </c>
      <c r="CM35" s="197">
        <f t="shared" si="12"/>
        <v>0</v>
      </c>
      <c r="CN35" s="197">
        <f t="shared" si="13"/>
        <v>0</v>
      </c>
      <c r="CP35" s="4">
        <f>SUMIF('Master '!D:D,D35,'Master '!AH:AH)</f>
        <v>0</v>
      </c>
      <c r="CQ35" s="4">
        <f>SUMIF('Master '!D:D,D35,'Master '!AI:AI)</f>
        <v>0</v>
      </c>
      <c r="CR35" s="197">
        <f t="shared" si="14"/>
        <v>0</v>
      </c>
      <c r="CS35" s="197">
        <f t="shared" si="15"/>
        <v>0</v>
      </c>
      <c r="CT35" t="s">
        <v>287</v>
      </c>
      <c r="CV35" t="str">
        <f>VLOOKUP(G35,'Master '!G:CC,75,FALSE)</f>
        <v>FTS-A</v>
      </c>
    </row>
    <row r="36" spans="1:100">
      <c r="A36" s="53" t="s">
        <v>17</v>
      </c>
      <c r="B36" s="53" t="s">
        <v>993</v>
      </c>
      <c r="C36" s="53" t="s">
        <v>1245</v>
      </c>
      <c r="D36" s="53" t="s">
        <v>1293</v>
      </c>
      <c r="E36" s="53" t="str">
        <f>VLOOKUP(D36,'Input 14_Ref Table'!C:D,2,FALSE)</f>
        <v>CC810</v>
      </c>
      <c r="F36" s="143" t="s">
        <v>1287</v>
      </c>
      <c r="G36" s="53" t="str">
        <f>VLOOKUP(D36,'Input 14_Ref Table'!C:I,7,FALSE)</f>
        <v>CFG - FTS-B - Fixed NR</v>
      </c>
      <c r="H36" s="53" t="str">
        <f>VLOOKUP(D36,'Input 14_Ref Table'!C:K,8,FALSE)</f>
        <v>FTS_AB_C</v>
      </c>
      <c r="I36" s="53"/>
      <c r="J36" t="str">
        <f>INDEX('Master '!$AD$2:AD$65,MATCH(D36,'Master '!$D$2:$D$65,0))</f>
        <v>UPC Growth Rate</v>
      </c>
      <c r="K36" s="458">
        <f>INDEX('Master '!$N$2:N$65,MATCH(D36,'Master '!$D$2:$D$65,0))</f>
        <v>-8.9379418530954602E-2</v>
      </c>
      <c r="L36" s="137">
        <f>INDEX('Master '!$S$2:S$65,MATCH(D36,'Master '!$D$2:$D$65,0))</f>
        <v>-3.2809295967190781E-2</v>
      </c>
      <c r="M36" s="4">
        <f>INDEX('Master '!$W$2:W$65,MATCH(D36,'Master '!$D$2:$D$65,0))</f>
        <v>70.75</v>
      </c>
      <c r="N36" s="268">
        <f>SUMIF('Input 16.1_2018VOL-YTD'!$R:$R,$G36,'Input 16.1_2018VOL-YTD'!C:C)</f>
        <v>2.0699999999999998</v>
      </c>
      <c r="O36" s="268">
        <f>SUMIF('Input 16.1_2018VOL-YTD'!$R:$R,$G36,'Input 16.1_2018VOL-YTD'!D:D)</f>
        <v>2.0699999999999998</v>
      </c>
      <c r="P36" s="268">
        <f>SUMIF('Input 16.1_2018VOL-YTD'!$R:$R,$G36,'Input 16.1_2018VOL-YTD'!E:E)</f>
        <v>1.03</v>
      </c>
      <c r="Q36" s="268">
        <f>SUMIF('Input 16.1_2018VOL-YTD'!$R:$R,$G36,'Input 16.1_2018VOL-YTD'!F:F)</f>
        <v>1.03</v>
      </c>
      <c r="R36" s="268">
        <f>SUMIF('Input 16.1_2018VOL-YTD'!$R:$R,$G36,'Input 16.1_2018VOL-YTD'!G:G)</f>
        <v>1.03</v>
      </c>
      <c r="S36" s="268">
        <f>SUMIF('Input 16.1_2018VOL-YTD'!$R:$R,$G36,'Input 16.1_2018VOL-YTD'!H:H)</f>
        <v>1.03</v>
      </c>
      <c r="T36" s="268">
        <f>SUMIF('Input 16.1_2018VOL-YTD'!$R:$R,$G36,'Input 16.1_2018VOL-YTD'!I:I)</f>
        <v>1</v>
      </c>
      <c r="U36" s="268">
        <f>SUMIF('Input 16.1_2018VOL-YTD'!$R:$R,$G36,'Input 16.1_2018VOL-YTD'!J:J)</f>
        <v>0</v>
      </c>
      <c r="V36" s="268">
        <f>SUMIF('Input 16.1_2018VOL-YTD'!$R:$R,$G36,'Input 16.1_2018VOL-YTD'!K:K)</f>
        <v>1.03</v>
      </c>
      <c r="W36" s="268">
        <f>SUMIF('Input 16.1_2018VOL-YTD'!$R:$R,$G36,'Input 16.1_2018VOL-YTD'!L:L)</f>
        <v>2.0699999999999998</v>
      </c>
      <c r="X36" s="268">
        <f>SUMIF('Input 16.1_2018VOL-YTD'!$R:$R,$G36,'Input 16.1_2018VOL-YTD'!M:M)</f>
        <v>2.0699999999999998</v>
      </c>
      <c r="Y36" s="268">
        <f>SUMIF('Input 16.1_2018VOL-YTD'!$R:$R,$G36,'Input 16.1_2018VOL-YTD'!N:N)</f>
        <v>2.08</v>
      </c>
      <c r="Z36" s="268">
        <f>SUMIF('Input 3.1_2019VOL-YTD'!$R:$R,$G36,'Input 3.1_2019VOL-YTD'!C:C)</f>
        <v>2.0699999999999998</v>
      </c>
      <c r="AA36" s="268">
        <f>SUMIF('Input 3.1_2019VOL-YTD'!$R:$R,$G36,'Input 3.1_2019VOL-YTD'!D:D)</f>
        <v>1.03</v>
      </c>
      <c r="AB36" s="268">
        <f>SUMIF('Input 3.1_2019VOL-YTD'!$R:$R,$G36,'Input 3.1_2019VOL-YTD'!E:E)</f>
        <v>2.0699999999999998</v>
      </c>
      <c r="AC36" s="268">
        <f>SUMIF('Input 3.1_2019VOL-YTD'!$R:$R,$G36,'Input 3.1_2019VOL-YTD'!F:F)</f>
        <v>2.0699999999999998</v>
      </c>
      <c r="AD36" s="268">
        <f>SUMIF('Input 3.1_2019VOL-YTD'!$R:$R,$G36,'Input 3.1_2019VOL-YTD'!G:G)</f>
        <v>1.03</v>
      </c>
      <c r="AE36" s="268">
        <f>SUMIF('Input 3.1_2019VOL-YTD'!$R:$R,$G36,'Input 3.1_2019VOL-YTD'!H:H)</f>
        <v>2.0699999999999998</v>
      </c>
      <c r="AF36" s="268">
        <f>SUMIF('Input 3.1_2019VOL-YTD'!$R:$R,$G36,'Input 3.1_2019VOL-YTD'!I:I)</f>
        <v>1.03</v>
      </c>
      <c r="AG36" s="268">
        <f>SUMIF('Input 3.1_2019VOL-YTD'!$R:$R,$G36,'Input 3.1_2019VOL-YTD'!J:J)</f>
        <v>2.08</v>
      </c>
      <c r="AH36" s="268">
        <f>SUMIF('Input 3.1_2019VOL-YTD'!$R:$R,$G36,'Input 3.1_2019VOL-YTD'!K:K)</f>
        <v>2.08</v>
      </c>
      <c r="AI36" s="268">
        <f>SUMIF('Input 3.1_2019VOL-YTD'!$R:$R,$G36,'Input 3.1_2019VOL-YTD'!L:L)</f>
        <v>1.03</v>
      </c>
      <c r="AJ36" s="268">
        <f>SUMIF('Input 3.1_2019VOL-YTD'!$R:$R,$G36,'Input 3.1_2019VOL-YTD'!M:M)</f>
        <v>1.03</v>
      </c>
      <c r="AK36" s="268">
        <f>SUMIF('Input 3.1_2019VOL-YTD'!$R:$R,$G36,'Input 3.1_2019VOL-YTD'!N:N)</f>
        <v>2.0699999999999998</v>
      </c>
      <c r="AL36" s="268">
        <f>SUMIF('Input 4.1_2020VOL-YTD'!$R:$R,$G36,'Input 4.1_2020VOL-YTD'!C:C)</f>
        <v>1.03</v>
      </c>
      <c r="AM36" s="268">
        <f>SUMIF('Input 4.1_2020VOL-YTD'!$R:$R,$G36,'Input 4.1_2020VOL-YTD'!D:D)</f>
        <v>1.03</v>
      </c>
      <c r="AN36" s="268">
        <f>SUMIF('Input 4.1_2020VOL-YTD'!$R:$R,$G36,'Input 4.1_2020VOL-YTD'!E:E)</f>
        <v>2.08</v>
      </c>
      <c r="AO36" s="268">
        <f>SUMIF('Input 4.1_2020VOL-YTD'!$R:$R,$G36,'Input 4.1_2020VOL-YTD'!F:F)</f>
        <v>2.08</v>
      </c>
      <c r="AP36" s="268">
        <f>SUMIF('Input 4.1_2020VOL-YTD'!$R:$R,$G36,'Input 4.1_2020VOL-YTD'!G:G)</f>
        <v>1.03</v>
      </c>
      <c r="AQ36" s="268">
        <f>SUMIF('Input 4.1_2020VOL-YTD'!$R:$R,$G36,'Input 4.1_2020VOL-YTD'!H:H)</f>
        <v>1.03</v>
      </c>
      <c r="AR36" s="268">
        <f>SUMIF('Input 4.1_2020VOL-YTD'!$R:$R,$G36,'Input 4.1_2020VOL-YTD'!I:I)</f>
        <v>3.11</v>
      </c>
      <c r="AS36" s="268">
        <f>SUMIF('Input 4.1_2020VOL-YTD'!$R:$R,$G36,'Input 4.1_2020VOL-YTD'!J:J)</f>
        <v>2.08</v>
      </c>
      <c r="AT36" s="268">
        <f>SUMIF('Input 4.1_2020VOL-YTD'!$R:$R,$G36,'Input 4.1_2020VOL-YTD'!K:K)</f>
        <v>1.03</v>
      </c>
      <c r="AU36" s="268">
        <f>SUMIF('Input 4.1_2020VOL-YTD'!$R:$R,$G36,'Input 4.1_2020VOL-YTD'!L:L)</f>
        <v>2.08</v>
      </c>
      <c r="AV36" s="268">
        <f>SUMIF('Input 4.1_2020VOL-YTD'!$R:$R,$G36,'Input 4.1_2020VOL-YTD'!M:M)</f>
        <v>2.08</v>
      </c>
      <c r="AW36" s="268">
        <f>SUMIF('Input 4.1_2020VOL-YTD'!$R:$R,$G36,'Input 4.1_2020VOL-YTD'!N:N)</f>
        <v>2.08</v>
      </c>
      <c r="AX36" s="268">
        <f>SUMIF('Input 5.1_2021VOL-YTD'!$R:$R,$G36,'Input 5.1_2021VOL-YTD'!C:C)</f>
        <v>2.08</v>
      </c>
      <c r="AY36" s="268">
        <f>SUMIF('Input 5.1_2021VOL-YTD'!$R:$R,$G36,'Input 5.1_2021VOL-YTD'!D:D)</f>
        <v>1.03</v>
      </c>
      <c r="AZ36" s="268">
        <f>SUMIF('Input 5.1_2021VOL-YTD'!$R:$R,$G36,'Input 5.1_2021VOL-YTD'!E:E)</f>
        <v>2.08</v>
      </c>
      <c r="BA36" s="268">
        <f>SUMIF('Input 5.1_2021VOL-YTD'!$R:$R,$G36,'Input 5.1_2021VOL-YTD'!F:F)</f>
        <v>2.08</v>
      </c>
      <c r="BB36" s="268">
        <f>SUMIF('Input 5.1_2021VOL-YTD'!$R:$R,$G36,'Input 5.1_2021VOL-YTD'!G:G)</f>
        <v>1.03</v>
      </c>
      <c r="BC36" s="268">
        <f>SUMIF('Input 5.1_2021VOL-YTD'!$R:$R,$G36,'Input 5.1_2021VOL-YTD'!H:H)</f>
        <v>1.03</v>
      </c>
      <c r="BD36" s="268">
        <f>SUMIF('Input 5.1_2021VOL-YTD'!$R:$R,$G36,'Input 5.1_2021VOL-YTD'!I:I)</f>
        <v>2.08</v>
      </c>
      <c r="BE36" s="268">
        <f>SUMIF('Input 5.1_2021VOL-YTD'!$R:$R,$G36,'Input 5.1_2021VOL-YTD'!J:J)</f>
        <v>2.08</v>
      </c>
      <c r="BF36" s="268">
        <f>SUMIF('Input 5.1_2021VOL-YTD'!$R:$R,$G36,'Input 5.1_2021VOL-YTD'!K:K)</f>
        <v>2.08</v>
      </c>
      <c r="BG36" s="268">
        <f>SUMIF('Input 5.1_2021VOL-YTD'!$R:$R,$G36,'Input 5.1_2021VOL-YTD'!L:L)</f>
        <v>2.08</v>
      </c>
      <c r="BH36" s="268">
        <f>SUMIF('Input 5.1_2021VOL-YTD'!$R:$R,$G36,'Input 5.1_2021VOL-YTD'!M:M)</f>
        <v>2.08</v>
      </c>
      <c r="BI36" s="268">
        <f>SUMIF('Input 5.1_2021VOL-YTD'!$R:$R,$G36,'Input 5.1_2021VOL-YTD'!N:N)</f>
        <v>2.0699999999999998</v>
      </c>
      <c r="BJ36" s="483">
        <f>IFERROR(IF($J36="Historical Average",INDEX('Monthly UPC'!$CM$2:$DJ$65,MATCH($D36,'Monthly UPC'!$D$2:$D$65,0),MATCH(BJ$1,'Monthly UPC'!$CM$1:$DJ$1))*(INDEX('Monthly CUST'!$N$2:$CG$65,MATCH($D36,'Monthly CUST'!$D$2:$D$65,0),MATCH(BJ$1,'Monthly CUST'!$N$1:$CG$1,0))),IF($J36="UPC Growth Rate",((AX36/INDEX('Monthly CUST'!$N$2:$CG$65,MATCH($D36,'Monthly CUST'!$D$2:$D$65,0),MATCH(AX$1,'Monthly CUST'!$N$1:$CG$1,0)))*(1+$L36)*INDEX('Monthly CUST'!$N$2:$CG$65,MATCH($D36,'Monthly CUST'!$D$2:$D$65,0),MATCH(BJ$1,'Monthly CUST'!$N$1:$CG$1,0))),IF($J36="Modeled UPC",INDEX('Monthly CUST'!$N$2:$CG$65,MATCH($D36,'Monthly CUST'!$D$2:$D$65,0),MATCH(BJ$1,'Monthly CUST'!$N$1:$CG$1,0))/12*$M36,IF($J36="Base Period",AX36,IF($J36="Adjusted",SUMIF('Input 15_Fcst Inputs'!$A:$A,$D36,'Input 15_Fcst Inputs'!$G:$G)/12))))),0)</f>
        <v>1.831947023499449</v>
      </c>
      <c r="BK36" s="483">
        <f>IFERROR(IF($J36="Historical Average",INDEX('Monthly UPC'!$CM$2:$DJ$65,MATCH($D36,'Monthly UPC'!$D$2:$D$65,0),MATCH(BK$1,'Monthly UPC'!$CM$1:$DJ$1))*(INDEX('Monthly CUST'!$N$2:$CG$65,MATCH($D36,'Monthly CUST'!$D$2:$D$65,0),MATCH(BK$1,'Monthly CUST'!$N$1:$CG$1,0))),IF($J36="UPC Growth Rate",((AY36/INDEX('Monthly CUST'!$N$2:$CG$65,MATCH($D36,'Monthly CUST'!$D$2:$D$65,0),MATCH(AY$1,'Monthly CUST'!$N$1:$CG$1,0)))*(1+$L36)*INDEX('Monthly CUST'!$N$2:$CG$65,MATCH($D36,'Monthly CUST'!$D$2:$D$65,0),MATCH(BK$1,'Monthly CUST'!$N$1:$CG$1,0))),IF($J36="Modeled UPC",INDEX('Monthly CUST'!$N$2:$CG$65,MATCH($D36,'Monthly CUST'!$D$2:$D$65,0),MATCH(BK$1,'Monthly CUST'!$N$1:$CG$1,0))/12*$M36,IF($J36="Base Period",AY36,IF($J36="Adjusted",SUMIF('Input 15_Fcst Inputs'!$A:$A,$D36,'Input 15_Fcst Inputs'!$G:$G)/12))))),0)</f>
        <v>0.90716607413674644</v>
      </c>
      <c r="BL36" s="483">
        <f>IFERROR(IF($J36="Historical Average",INDEX('Monthly UPC'!$CM$2:$DJ$65,MATCH($D36,'Monthly UPC'!$D$2:$D$65,0),MATCH(BL$1,'Monthly UPC'!$CM$1:$DJ$1))*(INDEX('Monthly CUST'!$N$2:$CG$65,MATCH($D36,'Monthly CUST'!$D$2:$D$65,0),MATCH(BL$1,'Monthly CUST'!$N$1:$CG$1,0))),IF($J36="UPC Growth Rate",((AZ36/INDEX('Monthly CUST'!$N$2:$CG$65,MATCH($D36,'Monthly CUST'!$D$2:$D$65,0),MATCH(AZ$1,'Monthly CUST'!$N$1:$CG$1,0)))*(1+$L36)*INDEX('Monthly CUST'!$N$2:$CG$65,MATCH($D36,'Monthly CUST'!$D$2:$D$65,0),MATCH(BL$1,'Monthly CUST'!$N$1:$CG$1,0))),IF($J36="Modeled UPC",INDEX('Monthly CUST'!$N$2:$CG$65,MATCH($D36,'Monthly CUST'!$D$2:$D$65,0),MATCH(BL$1,'Monthly CUST'!$N$1:$CG$1,0))/12*$M36,IF($J36="Base Period",AZ36,IF($J36="Adjusted",SUMIF('Input 15_Fcst Inputs'!$A:$A,$D36,'Input 15_Fcst Inputs'!$G:$G)/12))))),0)</f>
        <v>1.831947023499449</v>
      </c>
      <c r="BM36" s="483">
        <f>IFERROR(IF($J36="Historical Average",INDEX('Monthly UPC'!$CM$2:$DJ$65,MATCH($D36,'Monthly UPC'!$D$2:$D$65,0),MATCH(BM$1,'Monthly UPC'!$CM$1:$DJ$1))*(INDEX('Monthly CUST'!$N$2:$CG$65,MATCH($D36,'Monthly CUST'!$D$2:$D$65,0),MATCH(BM$1,'Monthly CUST'!$N$1:$CG$1,0))),IF($J36="UPC Growth Rate",((BA36/INDEX('Monthly CUST'!$N$2:$CG$65,MATCH($D36,'Monthly CUST'!$D$2:$D$65,0),MATCH(BA$1,'Monthly CUST'!$N$1:$CG$1,0)))*(1+$L36)*INDEX('Monthly CUST'!$N$2:$CG$65,MATCH($D36,'Monthly CUST'!$D$2:$D$65,0),MATCH(BM$1,'Monthly CUST'!$N$1:$CG$1,0))),IF($J36="Modeled UPC",INDEX('Monthly CUST'!$N$2:$CG$65,MATCH($D36,'Monthly CUST'!$D$2:$D$65,0),MATCH(BM$1,'Monthly CUST'!$N$1:$CG$1,0))/12*$M36,IF($J36="Base Period",BA36,IF($J36="Adjusted",SUMIF('Input 15_Fcst Inputs'!$A:$A,$D36,'Input 15_Fcst Inputs'!$G:$G)/12))))),0)</f>
        <v>1.831947023499449</v>
      </c>
      <c r="BN36" s="483">
        <f>IFERROR(IF($J36="Historical Average",INDEX('Monthly UPC'!$CM$2:$DJ$65,MATCH($D36,'Monthly UPC'!$D$2:$D$65,0),MATCH(BN$1,'Monthly UPC'!$CM$1:$DJ$1))*(INDEX('Monthly CUST'!$N$2:$CG$65,MATCH($D36,'Monthly CUST'!$D$2:$D$65,0),MATCH(BN$1,'Monthly CUST'!$N$1:$CG$1,0))),IF($J36="UPC Growth Rate",((BB36/INDEX('Monthly CUST'!$N$2:$CG$65,MATCH($D36,'Monthly CUST'!$D$2:$D$65,0),MATCH(BB$1,'Monthly CUST'!$N$1:$CG$1,0)))*(1+$L36)*INDEX('Monthly CUST'!$N$2:$CG$65,MATCH($D36,'Monthly CUST'!$D$2:$D$65,0),MATCH(BN$1,'Monthly CUST'!$N$1:$CG$1,0))),IF($J36="Modeled UPC",INDEX('Monthly CUST'!$N$2:$CG$65,MATCH($D36,'Monthly CUST'!$D$2:$D$65,0),MATCH(BN$1,'Monthly CUST'!$N$1:$CG$1,0))/12*$M36,IF($J36="Base Period",BB36,IF($J36="Adjusted",SUMIF('Input 15_Fcst Inputs'!$A:$A,$D36,'Input 15_Fcst Inputs'!$G:$G)/12))))),0)</f>
        <v>0.90716607413674644</v>
      </c>
      <c r="BO36" s="483">
        <f>IFERROR(IF($J36="Historical Average",INDEX('Monthly UPC'!$CM$2:$DJ$65,MATCH($D36,'Monthly UPC'!$D$2:$D$65,0),MATCH(BO$1,'Monthly UPC'!$CM$1:$DJ$1))*(INDEX('Monthly CUST'!$N$2:$CG$65,MATCH($D36,'Monthly CUST'!$D$2:$D$65,0),MATCH(BO$1,'Monthly CUST'!$N$1:$CG$1,0))),IF($J36="UPC Growth Rate",((BC36/INDEX('Monthly CUST'!$N$2:$CG$65,MATCH($D36,'Monthly CUST'!$D$2:$D$65,0),MATCH(BC$1,'Monthly CUST'!$N$1:$CG$1,0)))*(1+$L36)*INDEX('Monthly CUST'!$N$2:$CG$65,MATCH($D36,'Monthly CUST'!$D$2:$D$65,0),MATCH(BO$1,'Monthly CUST'!$N$1:$CG$1,0))),IF($J36="Modeled UPC",INDEX('Monthly CUST'!$N$2:$CG$65,MATCH($D36,'Monthly CUST'!$D$2:$D$65,0),MATCH(BO$1,'Monthly CUST'!$N$1:$CG$1,0))/12*$M36,IF($J36="Base Period",BC36,IF($J36="Adjusted",SUMIF('Input 15_Fcst Inputs'!$A:$A,$D36,'Input 15_Fcst Inputs'!$G:$G)/12))))),0)</f>
        <v>0.90716607413674644</v>
      </c>
      <c r="BP36" s="483">
        <f>IFERROR(IF($J36="Historical Average",INDEX('Monthly UPC'!$CM$2:$DJ$65,MATCH($D36,'Monthly UPC'!$D$2:$D$65,0),MATCH(BP$1,'Monthly UPC'!$CM$1:$DJ$1))*(INDEX('Monthly CUST'!$N$2:$CG$65,MATCH($D36,'Monthly CUST'!$D$2:$D$65,0),MATCH(BP$1,'Monthly CUST'!$N$1:$CG$1,0))),IF($J36="UPC Growth Rate",((BD36/INDEX('Monthly CUST'!$N$2:$CG$65,MATCH($D36,'Monthly CUST'!$D$2:$D$65,0),MATCH(BD$1,'Monthly CUST'!$N$1:$CG$1,0)))*(1+$L36)*INDEX('Monthly CUST'!$N$2:$CG$65,MATCH($D36,'Monthly CUST'!$D$2:$D$65,0),MATCH(BP$1,'Monthly CUST'!$N$1:$CG$1,0))),IF($J36="Modeled UPC",INDEX('Monthly CUST'!$N$2:$CG$65,MATCH($D36,'Monthly CUST'!$D$2:$D$65,0),MATCH(BP$1,'Monthly CUST'!$N$1:$CG$1,0))/12*$M36,IF($J36="Base Period",BD36,IF($J36="Adjusted",SUMIF('Input 15_Fcst Inputs'!$A:$A,$D36,'Input 15_Fcst Inputs'!$G:$G)/12))))),0)</f>
        <v>1.831947023499449</v>
      </c>
      <c r="BQ36" s="483">
        <f>IFERROR(IF($J36="Historical Average",INDEX('Monthly UPC'!$CM$2:$DJ$65,MATCH($D36,'Monthly UPC'!$D$2:$D$65,0),MATCH(BQ$1,'Monthly UPC'!$CM$1:$DJ$1))*(INDEX('Monthly CUST'!$N$2:$CG$65,MATCH($D36,'Monthly CUST'!$D$2:$D$65,0),MATCH(BQ$1,'Monthly CUST'!$N$1:$CG$1,0))),IF($J36="UPC Growth Rate",((BE36/INDEX('Monthly CUST'!$N$2:$CG$65,MATCH($D36,'Monthly CUST'!$D$2:$D$65,0),MATCH(BE$1,'Monthly CUST'!$N$1:$CG$1,0)))*(1+$L36)*INDEX('Monthly CUST'!$N$2:$CG$65,MATCH($D36,'Monthly CUST'!$D$2:$D$65,0),MATCH(BQ$1,'Monthly CUST'!$N$1:$CG$1,0))),IF($J36="Modeled UPC",INDEX('Monthly CUST'!$N$2:$CG$65,MATCH($D36,'Monthly CUST'!$D$2:$D$65,0),MATCH(BQ$1,'Monthly CUST'!$N$1:$CG$1,0))/12*$M36,IF($J36="Base Period",BE36,IF($J36="Adjusted",SUMIF('Input 15_Fcst Inputs'!$A:$A,$D36,'Input 15_Fcst Inputs'!$G:$G)/12))))),0)</f>
        <v>1.831947023499449</v>
      </c>
      <c r="BR36" s="483">
        <f>IFERROR(IF($J36="Historical Average",INDEX('Monthly UPC'!$CM$2:$DJ$65,MATCH($D36,'Monthly UPC'!$D$2:$D$65,0),MATCH(BR$1,'Monthly UPC'!$CM$1:$DJ$1))*(INDEX('Monthly CUST'!$N$2:$CG$65,MATCH($D36,'Monthly CUST'!$D$2:$D$65,0),MATCH(BR$1,'Monthly CUST'!$N$1:$CG$1,0))),IF($J36="UPC Growth Rate",((BF36/INDEX('Monthly CUST'!$N$2:$CG$65,MATCH($D36,'Monthly CUST'!$D$2:$D$65,0),MATCH(BF$1,'Monthly CUST'!$N$1:$CG$1,0)))*(1+$L36)*INDEX('Monthly CUST'!$N$2:$CG$65,MATCH($D36,'Monthly CUST'!$D$2:$D$65,0),MATCH(BR$1,'Monthly CUST'!$N$1:$CG$1,0))),IF($J36="Modeled UPC",INDEX('Monthly CUST'!$N$2:$CG$65,MATCH($D36,'Monthly CUST'!$D$2:$D$65,0),MATCH(BR$1,'Monthly CUST'!$N$1:$CG$1,0))/12*$M36,IF($J36="Base Period",BF36,IF($J36="Adjusted",SUMIF('Input 15_Fcst Inputs'!$A:$A,$D36,'Input 15_Fcst Inputs'!$G:$G)/12))))),0)</f>
        <v>1.831947023499449</v>
      </c>
      <c r="BS36" s="483">
        <f>IFERROR(IF($J36="Historical Average",INDEX('Monthly UPC'!$CM$2:$DJ$65,MATCH($D36,'Monthly UPC'!$D$2:$D$65,0),MATCH(BS$1,'Monthly UPC'!$CM$1:$DJ$1))*(INDEX('Monthly CUST'!$N$2:$CG$65,MATCH($D36,'Monthly CUST'!$D$2:$D$65,0),MATCH(BS$1,'Monthly CUST'!$N$1:$CG$1,0))),IF($J36="UPC Growth Rate",((BG36/INDEX('Monthly CUST'!$N$2:$CG$65,MATCH($D36,'Monthly CUST'!$D$2:$D$65,0),MATCH(BG$1,'Monthly CUST'!$N$1:$CG$1,0)))*(1+$L36)*INDEX('Monthly CUST'!$N$2:$CG$65,MATCH($D36,'Monthly CUST'!$D$2:$D$65,0),MATCH(BS$1,'Monthly CUST'!$N$1:$CG$1,0))),IF($J36="Modeled UPC",INDEX('Monthly CUST'!$N$2:$CG$65,MATCH($D36,'Monthly CUST'!$D$2:$D$65,0),MATCH(BS$1,'Monthly CUST'!$N$1:$CG$1,0))/12*$M36,IF($J36="Base Period",BG36,IF($J36="Adjusted",SUMIF('Input 15_Fcst Inputs'!$A:$A,$D36,'Input 15_Fcst Inputs'!$G:$G)/12))))),0)</f>
        <v>1.831947023499449</v>
      </c>
      <c r="BT36" s="483">
        <f>IFERROR(IF($J36="Historical Average",INDEX('Monthly UPC'!$CM$2:$DJ$65,MATCH($D36,'Monthly UPC'!$D$2:$D$65,0),MATCH(BT$1,'Monthly UPC'!$CM$1:$DJ$1))*(INDEX('Monthly CUST'!$N$2:$CG$65,MATCH($D36,'Monthly CUST'!$D$2:$D$65,0),MATCH(BT$1,'Monthly CUST'!$N$1:$CG$1,0))),IF($J36="UPC Growth Rate",((BH36/INDEX('Monthly CUST'!$N$2:$CG$65,MATCH($D36,'Monthly CUST'!$D$2:$D$65,0),MATCH(BH$1,'Monthly CUST'!$N$1:$CG$1,0)))*(1+$L36)*INDEX('Monthly CUST'!$N$2:$CG$65,MATCH($D36,'Monthly CUST'!$D$2:$D$65,0),MATCH(BT$1,'Monthly CUST'!$N$1:$CG$1,0))),IF($J36="Modeled UPC",INDEX('Monthly CUST'!$N$2:$CG$65,MATCH($D36,'Monthly CUST'!$D$2:$D$65,0),MATCH(BT$1,'Monthly CUST'!$N$1:$CG$1,0))/12*$M36,IF($J36="Base Period",BH36,IF($J36="Adjusted",SUMIF('Input 15_Fcst Inputs'!$A:$A,$D36,'Input 15_Fcst Inputs'!$G:$G)/12))))),0)</f>
        <v>1.831947023499449</v>
      </c>
      <c r="BU36" s="483">
        <f>IFERROR(IF($J36="Historical Average",INDEX('Monthly UPC'!$CM$2:$DJ$65,MATCH($D36,'Monthly UPC'!$D$2:$D$65,0),MATCH(BU$1,'Monthly UPC'!$CM$1:$DJ$1))*(INDEX('Monthly CUST'!$N$2:$CG$65,MATCH($D36,'Monthly CUST'!$D$2:$D$65,0),MATCH(BU$1,'Monthly CUST'!$N$1:$CG$1,0))),IF($J36="UPC Growth Rate",((BI36/INDEX('Monthly CUST'!$N$2:$CG$65,MATCH($D36,'Monthly CUST'!$D$2:$D$65,0),MATCH(BI$1,'Monthly CUST'!$N$1:$CG$1,0)))*(1+$L36)*INDEX('Monthly CUST'!$N$2:$CG$65,MATCH($D36,'Monthly CUST'!$D$2:$D$65,0),MATCH(BU$1,'Monthly CUST'!$N$1:$CG$1,0))),IF($J36="Modeled UPC",INDEX('Monthly CUST'!$N$2:$CG$65,MATCH($D36,'Monthly CUST'!$D$2:$D$65,0),MATCH(BU$1,'Monthly CUST'!$N$1:$CG$1,0))/12*$M36,IF($J36="Base Period",BI36,IF($J36="Adjusted",SUMIF('Input 15_Fcst Inputs'!$A:$A,$D36,'Input 15_Fcst Inputs'!$G:$G)/12))))),0)</f>
        <v>1.823139585886471</v>
      </c>
      <c r="BV36" s="483">
        <f>IFERROR(IF($J36="Historical Average",INDEX('Monthly UPC'!$CM$2:$DJ$65,MATCH($D36,'Monthly UPC'!$D$2:$D$65,0),MATCH(BV$1,'Monthly UPC'!$CM$1:$DJ$1))*(INDEX('Monthly CUST'!$N$2:$CG$65,MATCH($D36,'Monthly CUST'!$D$2:$D$65,0),MATCH(BV$1,'Monthly CUST'!$N$1:$CG$1,0))),IF($J36="UPC Growth Rate",((BJ36/INDEX('Monthly CUST'!$N$2:$CG$65,MATCH($D36,'Monthly CUST'!$D$2:$D$65,0),MATCH(BJ$1,'Monthly CUST'!$N$1:$CG$1,0)))*(1+$L36)*INDEX('Monthly CUST'!$N$2:$CG$65,MATCH($D36,'Monthly CUST'!$D$2:$D$65,0),MATCH(BV$1,'Monthly CUST'!$N$1:$CG$1,0))),IF($J36="Modeled UPC",INDEX('Monthly CUST'!$N$2:$CG$65,MATCH($D36,'Monthly CUST'!$D$2:$D$65,0),MATCH(BV$1,'Monthly CUST'!$N$1:$CG$1,0))/12*$M36,IF($J36="Base Period",BJ36,IF($J36="Adjusted",SUMIF('Input 15_Fcst Inputs'!$A:$A,$D36,'Input 15_Fcst Inputs'!$G:$G)/12))))),0)</f>
        <v>1.6134759119752362</v>
      </c>
      <c r="BW36" s="483">
        <f>IFERROR(IF($J36="Historical Average",INDEX('Monthly UPC'!$CM$2:$DJ$65,MATCH($D36,'Monthly UPC'!$D$2:$D$65,0),MATCH(BW$1,'Monthly UPC'!$CM$1:$DJ$1))*(INDEX('Monthly CUST'!$N$2:$CG$65,MATCH($D36,'Monthly CUST'!$D$2:$D$65,0),MATCH(BW$1,'Monthly CUST'!$N$1:$CG$1,0))),IF($J36="UPC Growth Rate",((BK36/INDEX('Monthly CUST'!$N$2:$CG$65,MATCH($D36,'Monthly CUST'!$D$2:$D$65,0),MATCH(BK$1,'Monthly CUST'!$N$1:$CG$1,0)))*(1+$L36)*INDEX('Monthly CUST'!$N$2:$CG$65,MATCH($D36,'Monthly CUST'!$D$2:$D$65,0),MATCH(BW$1,'Monthly CUST'!$N$1:$CG$1,0))),IF($J36="Modeled UPC",INDEX('Monthly CUST'!$N$2:$CG$65,MATCH($D36,'Monthly CUST'!$D$2:$D$65,0),MATCH(BW$1,'Monthly CUST'!$N$1:$CG$1,0))/12*$M36,IF($J36="Base Period",BK36,IF($J36="Adjusted",SUMIF('Input 15_Fcst Inputs'!$A:$A,$D36,'Input 15_Fcst Inputs'!$G:$G)/12))))),0)</f>
        <v>0.79898086025696802</v>
      </c>
      <c r="BX36" s="483">
        <f>IFERROR(IF($J36="Historical Average",INDEX('Monthly UPC'!$CM$2:$DJ$65,MATCH($D36,'Monthly UPC'!$D$2:$D$65,0),MATCH(BX$1,'Monthly UPC'!$CM$1:$DJ$1))*(INDEX('Monthly CUST'!$N$2:$CG$65,MATCH($D36,'Monthly CUST'!$D$2:$D$65,0),MATCH(BX$1,'Monthly CUST'!$N$1:$CG$1,0))),IF($J36="UPC Growth Rate",((BL36/INDEX('Monthly CUST'!$N$2:$CG$65,MATCH($D36,'Monthly CUST'!$D$2:$D$65,0),MATCH(BL$1,'Monthly CUST'!$N$1:$CG$1,0)))*(1+$L36)*INDEX('Monthly CUST'!$N$2:$CG$65,MATCH($D36,'Monthly CUST'!$D$2:$D$65,0),MATCH(BX$1,'Monthly CUST'!$N$1:$CG$1,0))),IF($J36="Modeled UPC",INDEX('Monthly CUST'!$N$2:$CG$65,MATCH($D36,'Monthly CUST'!$D$2:$D$65,0),MATCH(BX$1,'Monthly CUST'!$N$1:$CG$1,0))/12*$M36,IF($J36="Base Period",BL36,IF($J36="Adjusted",SUMIF('Input 15_Fcst Inputs'!$A:$A,$D36,'Input 15_Fcst Inputs'!$G:$G)/12))))),0)</f>
        <v>1.6134759119752362</v>
      </c>
      <c r="BY36" s="483">
        <f>IFERROR(IF($J36="Historical Average",INDEX('Monthly UPC'!$CM$2:$DJ$65,MATCH($D36,'Monthly UPC'!$D$2:$D$65,0),MATCH(BY$1,'Monthly UPC'!$CM$1:$DJ$1))*(INDEX('Monthly CUST'!$N$2:$CG$65,MATCH($D36,'Monthly CUST'!$D$2:$D$65,0),MATCH(BY$1,'Monthly CUST'!$N$1:$CG$1,0))),IF($J36="UPC Growth Rate",((BM36/INDEX('Monthly CUST'!$N$2:$CG$65,MATCH($D36,'Monthly CUST'!$D$2:$D$65,0),MATCH(BM$1,'Monthly CUST'!$N$1:$CG$1,0)))*(1+$L36)*INDEX('Monthly CUST'!$N$2:$CG$65,MATCH($D36,'Monthly CUST'!$D$2:$D$65,0),MATCH(BY$1,'Monthly CUST'!$N$1:$CG$1,0))),IF($J36="Modeled UPC",INDEX('Monthly CUST'!$N$2:$CG$65,MATCH($D36,'Monthly CUST'!$D$2:$D$65,0),MATCH(BY$1,'Monthly CUST'!$N$1:$CG$1,0))/12*$M36,IF($J36="Base Period",BM36,IF($J36="Adjusted",SUMIF('Input 15_Fcst Inputs'!$A:$A,$D36,'Input 15_Fcst Inputs'!$G:$G)/12))))),0)</f>
        <v>1.6134759119752362</v>
      </c>
      <c r="BZ36" s="483">
        <f>IFERROR(IF($J36="Historical Average",INDEX('Monthly UPC'!$CM$2:$DJ$65,MATCH($D36,'Monthly UPC'!$D$2:$D$65,0),MATCH(BZ$1,'Monthly UPC'!$CM$1:$DJ$1))*(INDEX('Monthly CUST'!$N$2:$CG$65,MATCH($D36,'Monthly CUST'!$D$2:$D$65,0),MATCH(BZ$1,'Monthly CUST'!$N$1:$CG$1,0))),IF($J36="UPC Growth Rate",((BN36/INDEX('Monthly CUST'!$N$2:$CG$65,MATCH($D36,'Monthly CUST'!$D$2:$D$65,0),MATCH(BN$1,'Monthly CUST'!$N$1:$CG$1,0)))*(1+$L36)*INDEX('Monthly CUST'!$N$2:$CG$65,MATCH($D36,'Monthly CUST'!$D$2:$D$65,0),MATCH(BZ$1,'Monthly CUST'!$N$1:$CG$1,0))),IF($J36="Modeled UPC",INDEX('Monthly CUST'!$N$2:$CG$65,MATCH($D36,'Monthly CUST'!$D$2:$D$65,0),MATCH(BZ$1,'Monthly CUST'!$N$1:$CG$1,0))/12*$M36,IF($J36="Base Period",BN36,IF($J36="Adjusted",SUMIF('Input 15_Fcst Inputs'!$A:$A,$D36,'Input 15_Fcst Inputs'!$G:$G)/12))))),0)</f>
        <v>0.79898086025696802</v>
      </c>
      <c r="CA36" s="483">
        <f>IFERROR(IF($J36="Historical Average",INDEX('Monthly UPC'!$CM$2:$DJ$65,MATCH($D36,'Monthly UPC'!$D$2:$D$65,0),MATCH(CA$1,'Monthly UPC'!$CM$1:$DJ$1))*(INDEX('Monthly CUST'!$N$2:$CG$65,MATCH($D36,'Monthly CUST'!$D$2:$D$65,0),MATCH(CA$1,'Monthly CUST'!$N$1:$CG$1,0))),IF($J36="UPC Growth Rate",((BO36/INDEX('Monthly CUST'!$N$2:$CG$65,MATCH($D36,'Monthly CUST'!$D$2:$D$65,0),MATCH(BO$1,'Monthly CUST'!$N$1:$CG$1,0)))*(1+$L36)*INDEX('Monthly CUST'!$N$2:$CG$65,MATCH($D36,'Monthly CUST'!$D$2:$D$65,0),MATCH(CA$1,'Monthly CUST'!$N$1:$CG$1,0))),IF($J36="Modeled UPC",INDEX('Monthly CUST'!$N$2:$CG$65,MATCH($D36,'Monthly CUST'!$D$2:$D$65,0),MATCH(CA$1,'Monthly CUST'!$N$1:$CG$1,0))/12*$M36,IF($J36="Base Period",BO36,IF($J36="Adjusted",SUMIF('Input 15_Fcst Inputs'!$A:$A,$D36,'Input 15_Fcst Inputs'!$G:$G)/12))))),0)</f>
        <v>0.79898086025696802</v>
      </c>
      <c r="CB36" s="483">
        <f>IFERROR(IF($J36="Historical Average",INDEX('Monthly UPC'!$CM$2:$DJ$65,MATCH($D36,'Monthly UPC'!$D$2:$D$65,0),MATCH(CB$1,'Monthly UPC'!$CM$1:$DJ$1))*(INDEX('Monthly CUST'!$N$2:$CG$65,MATCH($D36,'Monthly CUST'!$D$2:$D$65,0),MATCH(CB$1,'Monthly CUST'!$N$1:$CG$1,0))),IF($J36="UPC Growth Rate",((BP36/INDEX('Monthly CUST'!$N$2:$CG$65,MATCH($D36,'Monthly CUST'!$D$2:$D$65,0),MATCH(BP$1,'Monthly CUST'!$N$1:$CG$1,0)))*(1+$L36)*INDEX('Monthly CUST'!$N$2:$CG$65,MATCH($D36,'Monthly CUST'!$D$2:$D$65,0),MATCH(CB$1,'Monthly CUST'!$N$1:$CG$1,0))),IF($J36="Modeled UPC",INDEX('Monthly CUST'!$N$2:$CG$65,MATCH($D36,'Monthly CUST'!$D$2:$D$65,0),MATCH(CB$1,'Monthly CUST'!$N$1:$CG$1,0))/12*$M36,IF($J36="Base Period",BP36,IF($J36="Adjusted",SUMIF('Input 15_Fcst Inputs'!$A:$A,$D36,'Input 15_Fcst Inputs'!$G:$G)/12))))),0)</f>
        <v>1.6134759119752362</v>
      </c>
      <c r="CC36" s="483">
        <f>IFERROR(IF($J36="Historical Average",INDEX('Monthly UPC'!$CM$2:$DJ$65,MATCH($D36,'Monthly UPC'!$D$2:$D$65,0),MATCH(CC$1,'Monthly UPC'!$CM$1:$DJ$1))*(INDEX('Monthly CUST'!$N$2:$CG$65,MATCH($D36,'Monthly CUST'!$D$2:$D$65,0),MATCH(CC$1,'Monthly CUST'!$N$1:$CG$1,0))),IF($J36="UPC Growth Rate",((BQ36/INDEX('Monthly CUST'!$N$2:$CG$65,MATCH($D36,'Monthly CUST'!$D$2:$D$65,0),MATCH(BQ$1,'Monthly CUST'!$N$1:$CG$1,0)))*(1+$L36)*INDEX('Monthly CUST'!$N$2:$CG$65,MATCH($D36,'Monthly CUST'!$D$2:$D$65,0),MATCH(CC$1,'Monthly CUST'!$N$1:$CG$1,0))),IF($J36="Modeled UPC",INDEX('Monthly CUST'!$N$2:$CG$65,MATCH($D36,'Monthly CUST'!$D$2:$D$65,0),MATCH(CC$1,'Monthly CUST'!$N$1:$CG$1,0))/12*$M36,IF($J36="Base Period",BQ36,IF($J36="Adjusted",SUMIF('Input 15_Fcst Inputs'!$A:$A,$D36,'Input 15_Fcst Inputs'!$G:$G)/12))))),0)</f>
        <v>1.6134759119752362</v>
      </c>
      <c r="CD36" s="483">
        <f>IFERROR(IF($J36="Historical Average",INDEX('Monthly UPC'!$CM$2:$DJ$65,MATCH($D36,'Monthly UPC'!$D$2:$D$65,0),MATCH(CD$1,'Monthly UPC'!$CM$1:$DJ$1))*(INDEX('Monthly CUST'!$N$2:$CG$65,MATCH($D36,'Monthly CUST'!$D$2:$D$65,0),MATCH(CD$1,'Monthly CUST'!$N$1:$CG$1,0))),IF($J36="UPC Growth Rate",((BR36/INDEX('Monthly CUST'!$N$2:$CG$65,MATCH($D36,'Monthly CUST'!$D$2:$D$65,0),MATCH(BR$1,'Monthly CUST'!$N$1:$CG$1,0)))*(1+$L36)*INDEX('Monthly CUST'!$N$2:$CG$65,MATCH($D36,'Monthly CUST'!$D$2:$D$65,0),MATCH(CD$1,'Monthly CUST'!$N$1:$CG$1,0))),IF($J36="Modeled UPC",INDEX('Monthly CUST'!$N$2:$CG$65,MATCH($D36,'Monthly CUST'!$D$2:$D$65,0),MATCH(CD$1,'Monthly CUST'!$N$1:$CG$1,0))/12*$M36,IF($J36="Base Period",BR36,IF($J36="Adjusted",SUMIF('Input 15_Fcst Inputs'!$A:$A,$D36,'Input 15_Fcst Inputs'!$G:$G)/12))))),0)</f>
        <v>1.6134759119752362</v>
      </c>
      <c r="CE36" s="483">
        <f>IFERROR(IF($J36="Historical Average",INDEX('Monthly UPC'!$CM$2:$DJ$65,MATCH($D36,'Monthly UPC'!$D$2:$D$65,0),MATCH(CE$1,'Monthly UPC'!$CM$1:$DJ$1))*(INDEX('Monthly CUST'!$N$2:$CG$65,MATCH($D36,'Monthly CUST'!$D$2:$D$65,0),MATCH(CE$1,'Monthly CUST'!$N$1:$CG$1,0))),IF($J36="UPC Growth Rate",((BS36/INDEX('Monthly CUST'!$N$2:$CG$65,MATCH($D36,'Monthly CUST'!$D$2:$D$65,0),MATCH(BS$1,'Monthly CUST'!$N$1:$CG$1,0)))*(1+$L36)*INDEX('Monthly CUST'!$N$2:$CG$65,MATCH($D36,'Monthly CUST'!$D$2:$D$65,0),MATCH(CE$1,'Monthly CUST'!$N$1:$CG$1,0))),IF($J36="Modeled UPC",INDEX('Monthly CUST'!$N$2:$CG$65,MATCH($D36,'Monthly CUST'!$D$2:$D$65,0),MATCH(CE$1,'Monthly CUST'!$N$1:$CG$1,0))/12*$M36,IF($J36="Base Period",BS36,IF($J36="Adjusted",SUMIF('Input 15_Fcst Inputs'!$A:$A,$D36,'Input 15_Fcst Inputs'!$G:$G)/12))))),0)</f>
        <v>1.6134759119752362</v>
      </c>
      <c r="CF36" s="483">
        <f>IFERROR(IF($J36="Historical Average",INDEX('Monthly UPC'!$CM$2:$DJ$65,MATCH($D36,'Monthly UPC'!$D$2:$D$65,0),MATCH(CF$1,'Monthly UPC'!$CM$1:$DJ$1))*(INDEX('Monthly CUST'!$N$2:$CG$65,MATCH($D36,'Monthly CUST'!$D$2:$D$65,0),MATCH(CF$1,'Monthly CUST'!$N$1:$CG$1,0))),IF($J36="UPC Growth Rate",((BT36/INDEX('Monthly CUST'!$N$2:$CG$65,MATCH($D36,'Monthly CUST'!$D$2:$D$65,0),MATCH(BT$1,'Monthly CUST'!$N$1:$CG$1,0)))*(1+$L36)*INDEX('Monthly CUST'!$N$2:$CG$65,MATCH($D36,'Monthly CUST'!$D$2:$D$65,0),MATCH(CF$1,'Monthly CUST'!$N$1:$CG$1,0))),IF($J36="Modeled UPC",INDEX('Monthly CUST'!$N$2:$CG$65,MATCH($D36,'Monthly CUST'!$D$2:$D$65,0),MATCH(CF$1,'Monthly CUST'!$N$1:$CG$1,0))/12*$M36,IF($J36="Base Period",BT36,IF($J36="Adjusted",SUMIF('Input 15_Fcst Inputs'!$A:$A,$D36,'Input 15_Fcst Inputs'!$G:$G)/12))))),0)</f>
        <v>1.6134759119752362</v>
      </c>
      <c r="CG36" s="483">
        <f>IFERROR(IF($J36="Historical Average",INDEX('Monthly UPC'!$CM$2:$DJ$65,MATCH($D36,'Monthly UPC'!$D$2:$D$65,0),MATCH(CG$1,'Monthly UPC'!$CM$1:$DJ$1))*(INDEX('Monthly CUST'!$N$2:$CG$65,MATCH($D36,'Monthly CUST'!$D$2:$D$65,0),MATCH(CG$1,'Monthly CUST'!$N$1:$CG$1,0))),IF($J36="UPC Growth Rate",((BU36/INDEX('Monthly CUST'!$N$2:$CG$65,MATCH($D36,'Monthly CUST'!$D$2:$D$65,0),MATCH(BU$1,'Monthly CUST'!$N$1:$CG$1,0)))*(1+$L36)*INDEX('Monthly CUST'!$N$2:$CG$65,MATCH($D36,'Monthly CUST'!$D$2:$D$65,0),MATCH(CG$1,'Monthly CUST'!$N$1:$CG$1,0))),IF($J36="Modeled UPC",INDEX('Monthly CUST'!$N$2:$CG$65,MATCH($D36,'Monthly CUST'!$D$2:$D$65,0),MATCH(CG$1,'Monthly CUST'!$N$1:$CG$1,0))/12*$M36,IF($J36="Base Period",BU36,IF($J36="Adjusted",SUMIF('Input 15_Fcst Inputs'!$A:$A,$D36,'Input 15_Fcst Inputs'!$G:$G)/12))))),0)</f>
        <v>1.6057188162445861</v>
      </c>
      <c r="CH36" s="197"/>
      <c r="CI36" s="197">
        <f t="shared" si="8"/>
        <v>16.509999999999998</v>
      </c>
      <c r="CJ36" s="197">
        <f t="shared" si="9"/>
        <v>19.66</v>
      </c>
      <c r="CK36" s="197">
        <f t="shared" si="10"/>
        <v>20.739999999999995</v>
      </c>
      <c r="CL36" s="197">
        <f t="shared" si="11"/>
        <v>21.799999999999997</v>
      </c>
      <c r="CM36" s="197">
        <f t="shared" si="12"/>
        <v>19.200213996292302</v>
      </c>
      <c r="CN36" s="197">
        <f t="shared" si="13"/>
        <v>16.910468692817378</v>
      </c>
      <c r="CP36" s="4">
        <f>SUMIF('Master '!D:D,D36,'Master '!AH:AH)</f>
        <v>19.200213996292302</v>
      </c>
      <c r="CQ36" s="4">
        <f>SUMIF('Master '!D:D,D36,'Master '!AI:AI)</f>
        <v>16.910468692817378</v>
      </c>
      <c r="CR36" s="197">
        <f t="shared" si="14"/>
        <v>0</v>
      </c>
      <c r="CS36" s="197">
        <f t="shared" si="15"/>
        <v>0</v>
      </c>
      <c r="CT36" t="s">
        <v>287</v>
      </c>
      <c r="CV36" t="str">
        <f>VLOOKUP(G36,'Master '!G:CC,75,FALSE)</f>
        <v>FTS-B</v>
      </c>
    </row>
    <row r="37" spans="1:100">
      <c r="A37" s="53" t="s">
        <v>17</v>
      </c>
      <c r="B37" s="53" t="s">
        <v>993</v>
      </c>
      <c r="C37" s="53" t="s">
        <v>8</v>
      </c>
      <c r="D37" s="53" t="s">
        <v>1247</v>
      </c>
      <c r="E37" s="53" t="str">
        <f>VLOOKUP(D37,'Input 14_Ref Table'!C:D,2,FALSE)</f>
        <v>CR810</v>
      </c>
      <c r="F37" s="143" t="s">
        <v>1286</v>
      </c>
      <c r="G37" s="53" t="str">
        <f>VLOOKUP(D37,'Input 14_Ref Table'!C:I,7,FALSE)</f>
        <v>CFG - FTS-1 R</v>
      </c>
      <c r="H37" s="53" t="str">
        <f>VLOOKUP(D37,'Input 14_Ref Table'!C:K,8,FALSE)</f>
        <v>FTS_1</v>
      </c>
      <c r="I37" s="53"/>
      <c r="J37" t="str">
        <f>INDEX('Master '!$AD$2:AD$65,MATCH(D37,'Master '!$D$2:$D$65,0))</f>
        <v>UPC Growth Rate</v>
      </c>
      <c r="K37" s="458">
        <f>INDEX('Master '!$N$2:N$65,MATCH(D37,'Master '!$D$2:$D$65,0))</f>
        <v>3.3861006638872364E-2</v>
      </c>
      <c r="L37" s="137">
        <f>INDEX('Master '!$S$2:S$65,MATCH(D37,'Master '!$D$2:$D$65,0))</f>
        <v>0</v>
      </c>
      <c r="M37" s="4">
        <f>INDEX('Master '!$W$2:W$65,MATCH(D37,'Master '!$D$2:$D$65,0))</f>
        <v>172.96753251423365</v>
      </c>
      <c r="N37" s="268">
        <f>SUMIF('Input 16.1_2018VOL-YTD'!$R:$R,$G37,'Input 16.1_2018VOL-YTD'!C:C)</f>
        <v>338452.84999999899</v>
      </c>
      <c r="O37" s="268">
        <f>SUMIF('Input 16.1_2018VOL-YTD'!$R:$R,$G37,'Input 16.1_2018VOL-YTD'!D:D)</f>
        <v>207294.10999999801</v>
      </c>
      <c r="P37" s="268">
        <f>SUMIF('Input 16.1_2018VOL-YTD'!$R:$R,$G37,'Input 16.1_2018VOL-YTD'!E:E)</f>
        <v>208908</v>
      </c>
      <c r="Q37" s="268">
        <f>SUMIF('Input 16.1_2018VOL-YTD'!$R:$R,$G37,'Input 16.1_2018VOL-YTD'!F:F)</f>
        <v>191418.94999999899</v>
      </c>
      <c r="R37" s="268">
        <f>SUMIF('Input 16.1_2018VOL-YTD'!$R:$R,$G37,'Input 16.1_2018VOL-YTD'!G:G)</f>
        <v>140960.830000004</v>
      </c>
      <c r="S37" s="268">
        <f>SUMIF('Input 16.1_2018VOL-YTD'!$R:$R,$G37,'Input 16.1_2018VOL-YTD'!H:H)</f>
        <v>138210.49000000299</v>
      </c>
      <c r="T37" s="268">
        <f>SUMIF('Input 16.1_2018VOL-YTD'!$R:$R,$G37,'Input 16.1_2018VOL-YTD'!I:I)</f>
        <v>117169</v>
      </c>
      <c r="U37" s="268">
        <f>SUMIF('Input 16.1_2018VOL-YTD'!$R:$R,$G37,'Input 16.1_2018VOL-YTD'!J:J)</f>
        <v>116864.11000000199</v>
      </c>
      <c r="V37" s="268">
        <f>SUMIF('Input 16.1_2018VOL-YTD'!$R:$R,$G37,'Input 16.1_2018VOL-YTD'!K:K)</f>
        <v>117899.130000003</v>
      </c>
      <c r="W37" s="268">
        <f>SUMIF('Input 16.1_2018VOL-YTD'!$R:$R,$G37,'Input 16.1_2018VOL-YTD'!L:L)</f>
        <v>109853.310000004</v>
      </c>
      <c r="X37" s="268">
        <f>SUMIF('Input 16.1_2018VOL-YTD'!$R:$R,$G37,'Input 16.1_2018VOL-YTD'!M:M)</f>
        <v>166200.01000000199</v>
      </c>
      <c r="Y37" s="268">
        <f>SUMIF('Input 16.1_2018VOL-YTD'!$R:$R,$G37,'Input 16.1_2018VOL-YTD'!N:N)</f>
        <v>241863.479999998</v>
      </c>
      <c r="Z37" s="268">
        <f>SUMIF('Input 3.1_2019VOL-YTD'!$R:$R,$G37,'Input 3.1_2019VOL-YTD'!C:C)</f>
        <v>269710.09000000003</v>
      </c>
      <c r="AA37" s="268">
        <f>SUMIF('Input 3.1_2019VOL-YTD'!$R:$R,$G37,'Input 3.1_2019VOL-YTD'!D:D)</f>
        <v>252803.94999999899</v>
      </c>
      <c r="AB37" s="268">
        <f>SUMIF('Input 3.1_2019VOL-YTD'!$R:$R,$G37,'Input 3.1_2019VOL-YTD'!E:E)</f>
        <v>199152.19000000501</v>
      </c>
      <c r="AC37" s="268">
        <f>SUMIF('Input 3.1_2019VOL-YTD'!$R:$R,$G37,'Input 3.1_2019VOL-YTD'!F:F)</f>
        <v>195438.47999999</v>
      </c>
      <c r="AD37" s="268">
        <f>SUMIF('Input 3.1_2019VOL-YTD'!$R:$R,$G37,'Input 3.1_2019VOL-YTD'!G:G)</f>
        <v>158302.43999999401</v>
      </c>
      <c r="AE37" s="268">
        <f>SUMIF('Input 3.1_2019VOL-YTD'!$R:$R,$G37,'Input 3.1_2019VOL-YTD'!H:H)</f>
        <v>133567.26000000301</v>
      </c>
      <c r="AF37" s="268">
        <f>SUMIF('Input 3.1_2019VOL-YTD'!$R:$R,$G37,'Input 3.1_2019VOL-YTD'!I:I)</f>
        <v>112512.620000001</v>
      </c>
      <c r="AG37" s="268">
        <f>SUMIF('Input 3.1_2019VOL-YTD'!$R:$R,$G37,'Input 3.1_2019VOL-YTD'!J:J)</f>
        <v>127141.840000001</v>
      </c>
      <c r="AH37" s="268">
        <f>SUMIF('Input 3.1_2019VOL-YTD'!$R:$R,$G37,'Input 3.1_2019VOL-YTD'!K:K)</f>
        <v>122288.75999999</v>
      </c>
      <c r="AI37" s="268">
        <f>SUMIF('Input 3.1_2019VOL-YTD'!$R:$R,$G37,'Input 3.1_2019VOL-YTD'!L:L)</f>
        <v>133142.790000001</v>
      </c>
      <c r="AJ37" s="268">
        <f>SUMIF('Input 3.1_2019VOL-YTD'!$R:$R,$G37,'Input 3.1_2019VOL-YTD'!M:M)</f>
        <v>171976.30999999799</v>
      </c>
      <c r="AK37" s="268">
        <f>SUMIF('Input 3.1_2019VOL-YTD'!$R:$R,$G37,'Input 3.1_2019VOL-YTD'!N:N)</f>
        <v>251700.88000000099</v>
      </c>
      <c r="AL37" s="268">
        <f>SUMIF('Input 4.1_2020VOL-YTD'!$R:$R,$G37,'Input 4.1_2020VOL-YTD'!C:C)</f>
        <v>282158.34000000003</v>
      </c>
      <c r="AM37" s="268">
        <f>SUMIF('Input 4.1_2020VOL-YTD'!$R:$R,$G37,'Input 4.1_2020VOL-YTD'!D:D)</f>
        <v>257382.34000000701</v>
      </c>
      <c r="AN37" s="268">
        <f>SUMIF('Input 4.1_2020VOL-YTD'!$R:$R,$G37,'Input 4.1_2020VOL-YTD'!E:E)</f>
        <v>248581.78000000701</v>
      </c>
      <c r="AO37" s="268">
        <f>SUMIF('Input 4.1_2020VOL-YTD'!$R:$R,$G37,'Input 4.1_2020VOL-YTD'!F:F)</f>
        <v>192277.800000007</v>
      </c>
      <c r="AP37" s="268">
        <f>SUMIF('Input 4.1_2020VOL-YTD'!$R:$R,$G37,'Input 4.1_2020VOL-YTD'!G:G)</f>
        <v>172694.88000000399</v>
      </c>
      <c r="AQ37" s="268">
        <f>SUMIF('Input 4.1_2020VOL-YTD'!$R:$R,$G37,'Input 4.1_2020VOL-YTD'!H:H)</f>
        <v>142423.02000000299</v>
      </c>
      <c r="AR37" s="268">
        <f>SUMIF('Input 4.1_2020VOL-YTD'!$R:$R,$G37,'Input 4.1_2020VOL-YTD'!I:I)</f>
        <v>145778.42000000499</v>
      </c>
      <c r="AS37" s="268">
        <f>SUMIF('Input 4.1_2020VOL-YTD'!$R:$R,$G37,'Input 4.1_2020VOL-YTD'!J:J)</f>
        <v>128228.06999999</v>
      </c>
      <c r="AT37" s="268">
        <f>SUMIF('Input 4.1_2020VOL-YTD'!$R:$R,$G37,'Input 4.1_2020VOL-YTD'!K:K)</f>
        <v>134306.989999994</v>
      </c>
      <c r="AU37" s="268">
        <f>SUMIF('Input 4.1_2020VOL-YTD'!$R:$R,$G37,'Input 4.1_2020VOL-YTD'!L:L)</f>
        <v>143261.790000004</v>
      </c>
      <c r="AV37" s="268">
        <f>SUMIF('Input 4.1_2020VOL-YTD'!$R:$R,$G37,'Input 4.1_2020VOL-YTD'!M:M)</f>
        <v>176786.36000001</v>
      </c>
      <c r="AW37" s="268">
        <f>SUMIF('Input 4.1_2020VOL-YTD'!$R:$R,$G37,'Input 4.1_2020VOL-YTD'!N:N)</f>
        <v>311585.450000012</v>
      </c>
      <c r="AX37" s="268">
        <f>SUMIF('Input 5.1_2021VOL-YTD'!$R:$R,$G37,'Input 5.1_2021VOL-YTD'!C:C)</f>
        <v>368937.42</v>
      </c>
      <c r="AY37" s="268">
        <f>SUMIF('Input 5.1_2021VOL-YTD'!$R:$R,$G37,'Input 5.1_2021VOL-YTD'!D:D)</f>
        <v>264626.39000000898</v>
      </c>
      <c r="AZ37" s="268">
        <f>SUMIF('Input 5.1_2021VOL-YTD'!$R:$R,$G37,'Input 5.1_2021VOL-YTD'!E:E)</f>
        <v>239012.90999999101</v>
      </c>
      <c r="BA37" s="268">
        <f>SUMIF('Input 5.1_2021VOL-YTD'!$R:$R,$G37,'Input 5.1_2021VOL-YTD'!F:F)</f>
        <v>257787.70000000499</v>
      </c>
      <c r="BB37" s="268">
        <f>SUMIF('Input 5.1_2021VOL-YTD'!$R:$R,$G37,'Input 5.1_2021VOL-YTD'!G:G)</f>
        <v>177782.920000015</v>
      </c>
      <c r="BC37" s="268">
        <f>SUMIF('Input 5.1_2021VOL-YTD'!$R:$R,$G37,'Input 5.1_2021VOL-YTD'!H:H)</f>
        <v>165720.29999999801</v>
      </c>
      <c r="BD37" s="268">
        <f>SUMIF('Input 5.1_2021VOL-YTD'!$R:$R,$G37,'Input 5.1_2021VOL-YTD'!I:I)</f>
        <v>160050.92999999801</v>
      </c>
      <c r="BE37" s="268">
        <f>SUMIF('Input 5.1_2021VOL-YTD'!$R:$R,$G37,'Input 5.1_2021VOL-YTD'!J:J)</f>
        <v>140242.14000000901</v>
      </c>
      <c r="BF37" s="268">
        <f>SUMIF('Input 5.1_2021VOL-YTD'!$R:$R,$G37,'Input 5.1_2021VOL-YTD'!K:K)</f>
        <v>148310.96999999401</v>
      </c>
      <c r="BG37" s="268">
        <f>SUMIF('Input 5.1_2021VOL-YTD'!$R:$R,$G37,'Input 5.1_2021VOL-YTD'!L:L)</f>
        <v>153985.19</v>
      </c>
      <c r="BH37" s="268">
        <f>SUMIF('Input 5.1_2021VOL-YTD'!$R:$R,$G37,'Input 5.1_2021VOL-YTD'!M:M)</f>
        <v>190140.60999999099</v>
      </c>
      <c r="BI37" s="268">
        <f>SUMIF('Input 5.1_2021VOL-YTD'!$R:$R,$G37,'Input 5.1_2021VOL-YTD'!N:N)</f>
        <v>297532.95999999798</v>
      </c>
      <c r="BJ37" s="483">
        <f>IFERROR(IF($J37="Historical Average",INDEX('Monthly UPC'!$CM$2:$DJ$65,MATCH($D37,'Monthly UPC'!$D$2:$D$65,0),MATCH(BJ$1,'Monthly UPC'!$CM$1:$DJ$1))*(INDEX('Monthly CUST'!$N$2:$CG$65,MATCH($D37,'Monthly CUST'!$D$2:$D$65,0),MATCH(BJ$1,'Monthly CUST'!$N$1:$CG$1,0))),IF($J37="UPC Growth Rate",((AX37/INDEX('Monthly CUST'!$N$2:$CG$65,MATCH($D37,'Monthly CUST'!$D$2:$D$65,0),MATCH(AX$1,'Monthly CUST'!$N$1:$CG$1,0)))*(1+$L37)*INDEX('Monthly CUST'!$N$2:$CG$65,MATCH($D37,'Monthly CUST'!$D$2:$D$65,0),MATCH(BJ$1,'Monthly CUST'!$N$1:$CG$1,0))),IF($J37="Modeled UPC",INDEX('Monthly CUST'!$N$2:$CG$65,MATCH($D37,'Monthly CUST'!$D$2:$D$65,0),MATCH(BJ$1,'Monthly CUST'!$N$1:$CG$1,0))/12*$M37,IF($J37="Base Period",AX37,IF($J37="Adjusted",SUMIF('Input 15_Fcst Inputs'!$A:$A,$D37,'Input 15_Fcst Inputs'!$G:$G)/12))))),0)</f>
        <v>381430.01242794842</v>
      </c>
      <c r="BK37" s="483">
        <f>IFERROR(IF($J37="Historical Average",INDEX('Monthly UPC'!$CM$2:$DJ$65,MATCH($D37,'Monthly UPC'!$D$2:$D$65,0),MATCH(BK$1,'Monthly UPC'!$CM$1:$DJ$1))*(INDEX('Monthly CUST'!$N$2:$CG$65,MATCH($D37,'Monthly CUST'!$D$2:$D$65,0),MATCH(BK$1,'Monthly CUST'!$N$1:$CG$1,0))),IF($J37="UPC Growth Rate",((AY37/INDEX('Monthly CUST'!$N$2:$CG$65,MATCH($D37,'Monthly CUST'!$D$2:$D$65,0),MATCH(AY$1,'Monthly CUST'!$N$1:$CG$1,0)))*(1+$L37)*INDEX('Monthly CUST'!$N$2:$CG$65,MATCH($D37,'Monthly CUST'!$D$2:$D$65,0),MATCH(BK$1,'Monthly CUST'!$N$1:$CG$1,0))),IF($J37="Modeled UPC",INDEX('Monthly CUST'!$N$2:$CG$65,MATCH($D37,'Monthly CUST'!$D$2:$D$65,0),MATCH(BK$1,'Monthly CUST'!$N$1:$CG$1,0))/12*$M37,IF($J37="Base Period",AY37,IF($J37="Adjusted",SUMIF('Input 15_Fcst Inputs'!$A:$A,$D37,'Input 15_Fcst Inputs'!$G:$G)/12))))),0)</f>
        <v>273586.90594862006</v>
      </c>
      <c r="BL37" s="483">
        <f>IFERROR(IF($J37="Historical Average",INDEX('Monthly UPC'!$CM$2:$DJ$65,MATCH($D37,'Monthly UPC'!$D$2:$D$65,0),MATCH(BL$1,'Monthly UPC'!$CM$1:$DJ$1))*(INDEX('Monthly CUST'!$N$2:$CG$65,MATCH($D37,'Monthly CUST'!$D$2:$D$65,0),MATCH(BL$1,'Monthly CUST'!$N$1:$CG$1,0))),IF($J37="UPC Growth Rate",((AZ37/INDEX('Monthly CUST'!$N$2:$CG$65,MATCH($D37,'Monthly CUST'!$D$2:$D$65,0),MATCH(AZ$1,'Monthly CUST'!$N$1:$CG$1,0)))*(1+$L37)*INDEX('Monthly CUST'!$N$2:$CG$65,MATCH($D37,'Monthly CUST'!$D$2:$D$65,0),MATCH(BL$1,'Monthly CUST'!$N$1:$CG$1,0))),IF($J37="Modeled UPC",INDEX('Monthly CUST'!$N$2:$CG$65,MATCH($D37,'Monthly CUST'!$D$2:$D$65,0),MATCH(BL$1,'Monthly CUST'!$N$1:$CG$1,0))/12*$M37,IF($J37="Base Period",AZ37,IF($J37="Adjusted",SUMIF('Input 15_Fcst Inputs'!$A:$A,$D37,'Input 15_Fcst Inputs'!$G:$G)/12))))),0)</f>
        <v>247106.12773227689</v>
      </c>
      <c r="BM37" s="483">
        <f>IFERROR(IF($J37="Historical Average",INDEX('Monthly UPC'!$CM$2:$DJ$65,MATCH($D37,'Monthly UPC'!$D$2:$D$65,0),MATCH(BM$1,'Monthly UPC'!$CM$1:$DJ$1))*(INDEX('Monthly CUST'!$N$2:$CG$65,MATCH($D37,'Monthly CUST'!$D$2:$D$65,0),MATCH(BM$1,'Monthly CUST'!$N$1:$CG$1,0))),IF($J37="UPC Growth Rate",((BA37/INDEX('Monthly CUST'!$N$2:$CG$65,MATCH($D37,'Monthly CUST'!$D$2:$D$65,0),MATCH(BA$1,'Monthly CUST'!$N$1:$CG$1,0)))*(1+$L37)*INDEX('Monthly CUST'!$N$2:$CG$65,MATCH($D37,'Monthly CUST'!$D$2:$D$65,0),MATCH(BM$1,'Monthly CUST'!$N$1:$CG$1,0))),IF($J37="Modeled UPC",INDEX('Monthly CUST'!$N$2:$CG$65,MATCH($D37,'Monthly CUST'!$D$2:$D$65,0),MATCH(BM$1,'Monthly CUST'!$N$1:$CG$1,0))/12*$M37,IF($J37="Base Period",BA37,IF($J37="Adjusted",SUMIF('Input 15_Fcst Inputs'!$A:$A,$D37,'Input 15_Fcst Inputs'!$G:$G)/12))))),0)</f>
        <v>266516.65102112474</v>
      </c>
      <c r="BN37" s="483">
        <f>IFERROR(IF($J37="Historical Average",INDEX('Monthly UPC'!$CM$2:$DJ$65,MATCH($D37,'Monthly UPC'!$D$2:$D$65,0),MATCH(BN$1,'Monthly UPC'!$CM$1:$DJ$1))*(INDEX('Monthly CUST'!$N$2:$CG$65,MATCH($D37,'Monthly CUST'!$D$2:$D$65,0),MATCH(BN$1,'Monthly CUST'!$N$1:$CG$1,0))),IF($J37="UPC Growth Rate",((BB37/INDEX('Monthly CUST'!$N$2:$CG$65,MATCH($D37,'Monthly CUST'!$D$2:$D$65,0),MATCH(BB$1,'Monthly CUST'!$N$1:$CG$1,0)))*(1+$L37)*INDEX('Monthly CUST'!$N$2:$CG$65,MATCH($D37,'Monthly CUST'!$D$2:$D$65,0),MATCH(BN$1,'Monthly CUST'!$N$1:$CG$1,0))),IF($J37="Modeled UPC",INDEX('Monthly CUST'!$N$2:$CG$65,MATCH($D37,'Monthly CUST'!$D$2:$D$65,0),MATCH(BN$1,'Monthly CUST'!$N$1:$CG$1,0))/12*$M37,IF($J37="Base Period",BB37,IF($J37="Adjusted",SUMIF('Input 15_Fcst Inputs'!$A:$A,$D37,'Input 15_Fcst Inputs'!$G:$G)/12))))),0)</f>
        <v>183802.82863441363</v>
      </c>
      <c r="BO37" s="483">
        <f>IFERROR(IF($J37="Historical Average",INDEX('Monthly UPC'!$CM$2:$DJ$65,MATCH($D37,'Monthly UPC'!$D$2:$D$65,0),MATCH(BO$1,'Monthly UPC'!$CM$1:$DJ$1))*(INDEX('Monthly CUST'!$N$2:$CG$65,MATCH($D37,'Monthly CUST'!$D$2:$D$65,0),MATCH(BO$1,'Monthly CUST'!$N$1:$CG$1,0))),IF($J37="UPC Growth Rate",((BC37/INDEX('Monthly CUST'!$N$2:$CG$65,MATCH($D37,'Monthly CUST'!$D$2:$D$65,0),MATCH(BC$1,'Monthly CUST'!$N$1:$CG$1,0)))*(1+$L37)*INDEX('Monthly CUST'!$N$2:$CG$65,MATCH($D37,'Monthly CUST'!$D$2:$D$65,0),MATCH(BO$1,'Monthly CUST'!$N$1:$CG$1,0))),IF($J37="Modeled UPC",INDEX('Monthly CUST'!$N$2:$CG$65,MATCH($D37,'Monthly CUST'!$D$2:$D$65,0),MATCH(BO$1,'Monthly CUST'!$N$1:$CG$1,0))/12*$M37,IF($J37="Base Period",BC37,IF($J37="Adjusted",SUMIF('Input 15_Fcst Inputs'!$A:$A,$D37,'Input 15_Fcst Inputs'!$G:$G)/12))))),0)</f>
        <v>171331.75617849384</v>
      </c>
      <c r="BP37" s="483">
        <f>IFERROR(IF($J37="Historical Average",INDEX('Monthly UPC'!$CM$2:$DJ$65,MATCH($D37,'Monthly UPC'!$D$2:$D$65,0),MATCH(BP$1,'Monthly UPC'!$CM$1:$DJ$1))*(INDEX('Monthly CUST'!$N$2:$CG$65,MATCH($D37,'Monthly CUST'!$D$2:$D$65,0),MATCH(BP$1,'Monthly CUST'!$N$1:$CG$1,0))),IF($J37="UPC Growth Rate",((BD37/INDEX('Monthly CUST'!$N$2:$CG$65,MATCH($D37,'Monthly CUST'!$D$2:$D$65,0),MATCH(BD$1,'Monthly CUST'!$N$1:$CG$1,0)))*(1+$L37)*INDEX('Monthly CUST'!$N$2:$CG$65,MATCH($D37,'Monthly CUST'!$D$2:$D$65,0),MATCH(BP$1,'Monthly CUST'!$N$1:$CG$1,0))),IF($J37="Modeled UPC",INDEX('Monthly CUST'!$N$2:$CG$65,MATCH($D37,'Monthly CUST'!$D$2:$D$65,0),MATCH(BP$1,'Monthly CUST'!$N$1:$CG$1,0))/12*$M37,IF($J37="Base Period",BD37,IF($J37="Adjusted",SUMIF('Input 15_Fcst Inputs'!$A:$A,$D37,'Input 15_Fcst Inputs'!$G:$G)/12))))),0)</f>
        <v>165470.41560328563</v>
      </c>
      <c r="BQ37" s="483">
        <f>IFERROR(IF($J37="Historical Average",INDEX('Monthly UPC'!$CM$2:$DJ$65,MATCH($D37,'Monthly UPC'!$D$2:$D$65,0),MATCH(BQ$1,'Monthly UPC'!$CM$1:$DJ$1))*(INDEX('Monthly CUST'!$N$2:$CG$65,MATCH($D37,'Monthly CUST'!$D$2:$D$65,0),MATCH(BQ$1,'Monthly CUST'!$N$1:$CG$1,0))),IF($J37="UPC Growth Rate",((BE37/INDEX('Monthly CUST'!$N$2:$CG$65,MATCH($D37,'Monthly CUST'!$D$2:$D$65,0),MATCH(BE$1,'Monthly CUST'!$N$1:$CG$1,0)))*(1+$L37)*INDEX('Monthly CUST'!$N$2:$CG$65,MATCH($D37,'Monthly CUST'!$D$2:$D$65,0),MATCH(BQ$1,'Monthly CUST'!$N$1:$CG$1,0))),IF($J37="Modeled UPC",INDEX('Monthly CUST'!$N$2:$CG$65,MATCH($D37,'Monthly CUST'!$D$2:$D$65,0),MATCH(BQ$1,'Monthly CUST'!$N$1:$CG$1,0))/12*$M37,IF($J37="Base Period",BE37,IF($J37="Adjusted",SUMIF('Input 15_Fcst Inputs'!$A:$A,$D37,'Input 15_Fcst Inputs'!$G:$G)/12))))),0)</f>
        <v>144990.88003359895</v>
      </c>
      <c r="BR37" s="483">
        <f>IFERROR(IF($J37="Historical Average",INDEX('Monthly UPC'!$CM$2:$DJ$65,MATCH($D37,'Monthly UPC'!$D$2:$D$65,0),MATCH(BR$1,'Monthly UPC'!$CM$1:$DJ$1))*(INDEX('Monthly CUST'!$N$2:$CG$65,MATCH($D37,'Monthly CUST'!$D$2:$D$65,0),MATCH(BR$1,'Monthly CUST'!$N$1:$CG$1,0))),IF($J37="UPC Growth Rate",((BF37/INDEX('Monthly CUST'!$N$2:$CG$65,MATCH($D37,'Monthly CUST'!$D$2:$D$65,0),MATCH(BF$1,'Monthly CUST'!$N$1:$CG$1,0)))*(1+$L37)*INDEX('Monthly CUST'!$N$2:$CG$65,MATCH($D37,'Monthly CUST'!$D$2:$D$65,0),MATCH(BR$1,'Monthly CUST'!$N$1:$CG$1,0))),IF($J37="Modeled UPC",INDEX('Monthly CUST'!$N$2:$CG$65,MATCH($D37,'Monthly CUST'!$D$2:$D$65,0),MATCH(BR$1,'Monthly CUST'!$N$1:$CG$1,0))/12*$M37,IF($J37="Base Period",BF37,IF($J37="Adjusted",SUMIF('Input 15_Fcst Inputs'!$A:$A,$D37,'Input 15_Fcst Inputs'!$G:$G)/12))))),0)</f>
        <v>153332.92873978138</v>
      </c>
      <c r="BS37" s="483">
        <f>IFERROR(IF($J37="Historical Average",INDEX('Monthly UPC'!$CM$2:$DJ$65,MATCH($D37,'Monthly UPC'!$D$2:$D$65,0),MATCH(BS$1,'Monthly UPC'!$CM$1:$DJ$1))*(INDEX('Monthly CUST'!$N$2:$CG$65,MATCH($D37,'Monthly CUST'!$D$2:$D$65,0),MATCH(BS$1,'Monthly CUST'!$N$1:$CG$1,0))),IF($J37="UPC Growth Rate",((BG37/INDEX('Monthly CUST'!$N$2:$CG$65,MATCH($D37,'Monthly CUST'!$D$2:$D$65,0),MATCH(BG$1,'Monthly CUST'!$N$1:$CG$1,0)))*(1+$L37)*INDEX('Monthly CUST'!$N$2:$CG$65,MATCH($D37,'Monthly CUST'!$D$2:$D$65,0),MATCH(BS$1,'Monthly CUST'!$N$1:$CG$1,0))),IF($J37="Modeled UPC",INDEX('Monthly CUST'!$N$2:$CG$65,MATCH($D37,'Monthly CUST'!$D$2:$D$65,0),MATCH(BS$1,'Monthly CUST'!$N$1:$CG$1,0))/12*$M37,IF($J37="Base Period",BG37,IF($J37="Adjusted",SUMIF('Input 15_Fcst Inputs'!$A:$A,$D37,'Input 15_Fcst Inputs'!$G:$G)/12))))),0)</f>
        <v>159199.28354087801</v>
      </c>
      <c r="BT37" s="483">
        <f>IFERROR(IF($J37="Historical Average",INDEX('Monthly UPC'!$CM$2:$DJ$65,MATCH($D37,'Monthly UPC'!$D$2:$D$65,0),MATCH(BT$1,'Monthly UPC'!$CM$1:$DJ$1))*(INDEX('Monthly CUST'!$N$2:$CG$65,MATCH($D37,'Monthly CUST'!$D$2:$D$65,0),MATCH(BT$1,'Monthly CUST'!$N$1:$CG$1,0))),IF($J37="UPC Growth Rate",((BH37/INDEX('Monthly CUST'!$N$2:$CG$65,MATCH($D37,'Monthly CUST'!$D$2:$D$65,0),MATCH(BH$1,'Monthly CUST'!$N$1:$CG$1,0)))*(1+$L37)*INDEX('Monthly CUST'!$N$2:$CG$65,MATCH($D37,'Monthly CUST'!$D$2:$D$65,0),MATCH(BT$1,'Monthly CUST'!$N$1:$CG$1,0))),IF($J37="Modeled UPC",INDEX('Monthly CUST'!$N$2:$CG$65,MATCH($D37,'Monthly CUST'!$D$2:$D$65,0),MATCH(BT$1,'Monthly CUST'!$N$1:$CG$1,0))/12*$M37,IF($J37="Base Period",BH37,IF($J37="Adjusted",SUMIF('Input 15_Fcst Inputs'!$A:$A,$D37,'Input 15_Fcst Inputs'!$G:$G)/12))))),0)</f>
        <v>196578.9624575199</v>
      </c>
      <c r="BU37" s="483">
        <f>IFERROR(IF($J37="Historical Average",INDEX('Monthly UPC'!$CM$2:$DJ$65,MATCH($D37,'Monthly UPC'!$D$2:$D$65,0),MATCH(BU$1,'Monthly UPC'!$CM$1:$DJ$1))*(INDEX('Monthly CUST'!$N$2:$CG$65,MATCH($D37,'Monthly CUST'!$D$2:$D$65,0),MATCH(BU$1,'Monthly CUST'!$N$1:$CG$1,0))),IF($J37="UPC Growth Rate",((BI37/INDEX('Monthly CUST'!$N$2:$CG$65,MATCH($D37,'Monthly CUST'!$D$2:$D$65,0),MATCH(BI$1,'Monthly CUST'!$N$1:$CG$1,0)))*(1+$L37)*INDEX('Monthly CUST'!$N$2:$CG$65,MATCH($D37,'Monthly CUST'!$D$2:$D$65,0),MATCH(BU$1,'Monthly CUST'!$N$1:$CG$1,0))),IF($J37="Modeled UPC",INDEX('Monthly CUST'!$N$2:$CG$65,MATCH($D37,'Monthly CUST'!$D$2:$D$65,0),MATCH(BU$1,'Monthly CUST'!$N$1:$CG$1,0))/12*$M37,IF($J37="Base Period",BI37,IF($J37="Adjusted",SUMIF('Input 15_Fcst Inputs'!$A:$A,$D37,'Input 15_Fcst Inputs'!$G:$G)/12))))),0)</f>
        <v>307607.72553384124</v>
      </c>
      <c r="BV37" s="483">
        <f>IFERROR(IF($J37="Historical Average",INDEX('Monthly UPC'!$CM$2:$DJ$65,MATCH($D37,'Monthly UPC'!$D$2:$D$65,0),MATCH(BV$1,'Monthly UPC'!$CM$1:$DJ$1))*(INDEX('Monthly CUST'!$N$2:$CG$65,MATCH($D37,'Monthly CUST'!$D$2:$D$65,0),MATCH(BV$1,'Monthly CUST'!$N$1:$CG$1,0))),IF($J37="UPC Growth Rate",((BJ37/INDEX('Monthly CUST'!$N$2:$CG$65,MATCH($D37,'Monthly CUST'!$D$2:$D$65,0),MATCH(BJ$1,'Monthly CUST'!$N$1:$CG$1,0)))*(1+$L37)*INDEX('Monthly CUST'!$N$2:$CG$65,MATCH($D37,'Monthly CUST'!$D$2:$D$65,0),MATCH(BV$1,'Monthly CUST'!$N$1:$CG$1,0))),IF($J37="Modeled UPC",INDEX('Monthly CUST'!$N$2:$CG$65,MATCH($D37,'Monthly CUST'!$D$2:$D$65,0),MATCH(BV$1,'Monthly CUST'!$N$1:$CG$1,0))/12*$M37,IF($J37="Base Period",BJ37,IF($J37="Adjusted",SUMIF('Input 15_Fcst Inputs'!$A:$A,$D37,'Input 15_Fcst Inputs'!$G:$G)/12))))),0)</f>
        <v>394345.6166110363</v>
      </c>
      <c r="BW37" s="483">
        <f>IFERROR(IF($J37="Historical Average",INDEX('Monthly UPC'!$CM$2:$DJ$65,MATCH($D37,'Monthly UPC'!$D$2:$D$65,0),MATCH(BW$1,'Monthly UPC'!$CM$1:$DJ$1))*(INDEX('Monthly CUST'!$N$2:$CG$65,MATCH($D37,'Monthly CUST'!$D$2:$D$65,0),MATCH(BW$1,'Monthly CUST'!$N$1:$CG$1,0))),IF($J37="UPC Growth Rate",((BK37/INDEX('Monthly CUST'!$N$2:$CG$65,MATCH($D37,'Monthly CUST'!$D$2:$D$65,0),MATCH(BK$1,'Monthly CUST'!$N$1:$CG$1,0)))*(1+$L37)*INDEX('Monthly CUST'!$N$2:$CG$65,MATCH($D37,'Monthly CUST'!$D$2:$D$65,0),MATCH(BW$1,'Monthly CUST'!$N$1:$CG$1,0))),IF($J37="Modeled UPC",INDEX('Monthly CUST'!$N$2:$CG$65,MATCH($D37,'Monthly CUST'!$D$2:$D$65,0),MATCH(BW$1,'Monthly CUST'!$N$1:$CG$1,0))/12*$M37,IF($J37="Base Period",BK37,IF($J37="Adjusted",SUMIF('Input 15_Fcst Inputs'!$A:$A,$D37,'Input 15_Fcst Inputs'!$G:$G)/12))))),0)</f>
        <v>282850.83398725482</v>
      </c>
      <c r="BX37" s="483">
        <f>IFERROR(IF($J37="Historical Average",INDEX('Monthly UPC'!$CM$2:$DJ$65,MATCH($D37,'Monthly UPC'!$D$2:$D$65,0),MATCH(BX$1,'Monthly UPC'!$CM$1:$DJ$1))*(INDEX('Monthly CUST'!$N$2:$CG$65,MATCH($D37,'Monthly CUST'!$D$2:$D$65,0),MATCH(BX$1,'Monthly CUST'!$N$1:$CG$1,0))),IF($J37="UPC Growth Rate",((BL37/INDEX('Monthly CUST'!$N$2:$CG$65,MATCH($D37,'Monthly CUST'!$D$2:$D$65,0),MATCH(BL$1,'Monthly CUST'!$N$1:$CG$1,0)))*(1+$L37)*INDEX('Monthly CUST'!$N$2:$CG$65,MATCH($D37,'Monthly CUST'!$D$2:$D$65,0),MATCH(BX$1,'Monthly CUST'!$N$1:$CG$1,0))),IF($J37="Modeled UPC",INDEX('Monthly CUST'!$N$2:$CG$65,MATCH($D37,'Monthly CUST'!$D$2:$D$65,0),MATCH(BX$1,'Monthly CUST'!$N$1:$CG$1,0))/12*$M37,IF($J37="Base Period",BL37,IF($J37="Adjusted",SUMIF('Input 15_Fcst Inputs'!$A:$A,$D37,'Input 15_Fcst Inputs'!$G:$G)/12))))),0)</f>
        <v>255473.38996392553</v>
      </c>
      <c r="BY37" s="483">
        <f>IFERROR(IF($J37="Historical Average",INDEX('Monthly UPC'!$CM$2:$DJ$65,MATCH($D37,'Monthly UPC'!$D$2:$D$65,0),MATCH(BY$1,'Monthly UPC'!$CM$1:$DJ$1))*(INDEX('Monthly CUST'!$N$2:$CG$65,MATCH($D37,'Monthly CUST'!$D$2:$D$65,0),MATCH(BY$1,'Monthly CUST'!$N$1:$CG$1,0))),IF($J37="UPC Growth Rate",((BM37/INDEX('Monthly CUST'!$N$2:$CG$65,MATCH($D37,'Monthly CUST'!$D$2:$D$65,0),MATCH(BM$1,'Monthly CUST'!$N$1:$CG$1,0)))*(1+$L37)*INDEX('Monthly CUST'!$N$2:$CG$65,MATCH($D37,'Monthly CUST'!$D$2:$D$65,0),MATCH(BY$1,'Monthly CUST'!$N$1:$CG$1,0))),IF($J37="Modeled UPC",INDEX('Monthly CUST'!$N$2:$CG$65,MATCH($D37,'Monthly CUST'!$D$2:$D$65,0),MATCH(BY$1,'Monthly CUST'!$N$1:$CG$1,0))/12*$M37,IF($J37="Base Period",BM37,IF($J37="Adjusted",SUMIF('Input 15_Fcst Inputs'!$A:$A,$D37,'Input 15_Fcst Inputs'!$G:$G)/12))))),0)</f>
        <v>275541.17311072105</v>
      </c>
      <c r="BZ37" s="483">
        <f>IFERROR(IF($J37="Historical Average",INDEX('Monthly UPC'!$CM$2:$DJ$65,MATCH($D37,'Monthly UPC'!$D$2:$D$65,0),MATCH(BZ$1,'Monthly UPC'!$CM$1:$DJ$1))*(INDEX('Monthly CUST'!$N$2:$CG$65,MATCH($D37,'Monthly CUST'!$D$2:$D$65,0),MATCH(BZ$1,'Monthly CUST'!$N$1:$CG$1,0))),IF($J37="UPC Growth Rate",((BN37/INDEX('Monthly CUST'!$N$2:$CG$65,MATCH($D37,'Monthly CUST'!$D$2:$D$65,0),MATCH(BN$1,'Monthly CUST'!$N$1:$CG$1,0)))*(1+$L37)*INDEX('Monthly CUST'!$N$2:$CG$65,MATCH($D37,'Monthly CUST'!$D$2:$D$65,0),MATCH(BZ$1,'Monthly CUST'!$N$1:$CG$1,0))),IF($J37="Modeled UPC",INDEX('Monthly CUST'!$N$2:$CG$65,MATCH($D37,'Monthly CUST'!$D$2:$D$65,0),MATCH(BZ$1,'Monthly CUST'!$N$1:$CG$1,0))/12*$M37,IF($J37="Base Period",BN37,IF($J37="Adjusted",SUMIF('Input 15_Fcst Inputs'!$A:$A,$D37,'Input 15_Fcst Inputs'!$G:$G)/12))))),0)</f>
        <v>190026.57743504702</v>
      </c>
      <c r="CA37" s="483">
        <f>IFERROR(IF($J37="Historical Average",INDEX('Monthly UPC'!$CM$2:$DJ$65,MATCH($D37,'Monthly UPC'!$D$2:$D$65,0),MATCH(CA$1,'Monthly UPC'!$CM$1:$DJ$1))*(INDEX('Monthly CUST'!$N$2:$CG$65,MATCH($D37,'Monthly CUST'!$D$2:$D$65,0),MATCH(CA$1,'Monthly CUST'!$N$1:$CG$1,0))),IF($J37="UPC Growth Rate",((BO37/INDEX('Monthly CUST'!$N$2:$CG$65,MATCH($D37,'Monthly CUST'!$D$2:$D$65,0),MATCH(BO$1,'Monthly CUST'!$N$1:$CG$1,0)))*(1+$L37)*INDEX('Monthly CUST'!$N$2:$CG$65,MATCH($D37,'Monthly CUST'!$D$2:$D$65,0),MATCH(CA$1,'Monthly CUST'!$N$1:$CG$1,0))),IF($J37="Modeled UPC",INDEX('Monthly CUST'!$N$2:$CG$65,MATCH($D37,'Monthly CUST'!$D$2:$D$65,0),MATCH(CA$1,'Monthly CUST'!$N$1:$CG$1,0))/12*$M37,IF($J37="Base Period",BO37,IF($J37="Adjusted",SUMIF('Input 15_Fcst Inputs'!$A:$A,$D37,'Input 15_Fcst Inputs'!$G:$G)/12))))),0)</f>
        <v>177133.22191190347</v>
      </c>
      <c r="CB37" s="483">
        <f>IFERROR(IF($J37="Historical Average",INDEX('Monthly UPC'!$CM$2:$DJ$65,MATCH($D37,'Monthly UPC'!$D$2:$D$65,0),MATCH(CB$1,'Monthly UPC'!$CM$1:$DJ$1))*(INDEX('Monthly CUST'!$N$2:$CG$65,MATCH($D37,'Monthly CUST'!$D$2:$D$65,0),MATCH(CB$1,'Monthly CUST'!$N$1:$CG$1,0))),IF($J37="UPC Growth Rate",((BP37/INDEX('Monthly CUST'!$N$2:$CG$65,MATCH($D37,'Monthly CUST'!$D$2:$D$65,0),MATCH(BP$1,'Monthly CUST'!$N$1:$CG$1,0)))*(1+$L37)*INDEX('Monthly CUST'!$N$2:$CG$65,MATCH($D37,'Monthly CUST'!$D$2:$D$65,0),MATCH(CB$1,'Monthly CUST'!$N$1:$CG$1,0))),IF($J37="Modeled UPC",INDEX('Monthly CUST'!$N$2:$CG$65,MATCH($D37,'Monthly CUST'!$D$2:$D$65,0),MATCH(CB$1,'Monthly CUST'!$N$1:$CG$1,0))/12*$M37,IF($J37="Base Period",BP37,IF($J37="Adjusted",SUMIF('Input 15_Fcst Inputs'!$A:$A,$D37,'Input 15_Fcst Inputs'!$G:$G)/12))))),0)</f>
        <v>171073.41044456544</v>
      </c>
      <c r="CC37" s="483">
        <f>IFERROR(IF($J37="Historical Average",INDEX('Monthly UPC'!$CM$2:$DJ$65,MATCH($D37,'Monthly UPC'!$D$2:$D$65,0),MATCH(CC$1,'Monthly UPC'!$CM$1:$DJ$1))*(INDEX('Monthly CUST'!$N$2:$CG$65,MATCH($D37,'Monthly CUST'!$D$2:$D$65,0),MATCH(CC$1,'Monthly CUST'!$N$1:$CG$1,0))),IF($J37="UPC Growth Rate",((BQ37/INDEX('Monthly CUST'!$N$2:$CG$65,MATCH($D37,'Monthly CUST'!$D$2:$D$65,0),MATCH(BQ$1,'Monthly CUST'!$N$1:$CG$1,0)))*(1+$L37)*INDEX('Monthly CUST'!$N$2:$CG$65,MATCH($D37,'Monthly CUST'!$D$2:$D$65,0),MATCH(CC$1,'Monthly CUST'!$N$1:$CG$1,0))),IF($J37="Modeled UPC",INDEX('Monthly CUST'!$N$2:$CG$65,MATCH($D37,'Monthly CUST'!$D$2:$D$65,0),MATCH(CC$1,'Monthly CUST'!$N$1:$CG$1,0))/12*$M37,IF($J37="Base Period",BQ37,IF($J37="Adjusted",SUMIF('Input 15_Fcst Inputs'!$A:$A,$D37,'Input 15_Fcst Inputs'!$G:$G)/12))))),0)</f>
        <v>149900.41718499258</v>
      </c>
      <c r="CD37" s="483">
        <f>IFERROR(IF($J37="Historical Average",INDEX('Monthly UPC'!$CM$2:$DJ$65,MATCH($D37,'Monthly UPC'!$D$2:$D$65,0),MATCH(CD$1,'Monthly UPC'!$CM$1:$DJ$1))*(INDEX('Monthly CUST'!$N$2:$CG$65,MATCH($D37,'Monthly CUST'!$D$2:$D$65,0),MATCH(CD$1,'Monthly CUST'!$N$1:$CG$1,0))),IF($J37="UPC Growth Rate",((BR37/INDEX('Monthly CUST'!$N$2:$CG$65,MATCH($D37,'Monthly CUST'!$D$2:$D$65,0),MATCH(BR$1,'Monthly CUST'!$N$1:$CG$1,0)))*(1+$L37)*INDEX('Monthly CUST'!$N$2:$CG$65,MATCH($D37,'Monthly CUST'!$D$2:$D$65,0),MATCH(CD$1,'Monthly CUST'!$N$1:$CG$1,0))),IF($J37="Modeled UPC",INDEX('Monthly CUST'!$N$2:$CG$65,MATCH($D37,'Monthly CUST'!$D$2:$D$65,0),MATCH(CD$1,'Monthly CUST'!$N$1:$CG$1,0))/12*$M37,IF($J37="Base Period",BR37,IF($J37="Adjusted",SUMIF('Input 15_Fcst Inputs'!$A:$A,$D37,'Input 15_Fcst Inputs'!$G:$G)/12))))),0)</f>
        <v>158524.93605779685</v>
      </c>
      <c r="CE37" s="483">
        <f>IFERROR(IF($J37="Historical Average",INDEX('Monthly UPC'!$CM$2:$DJ$65,MATCH($D37,'Monthly UPC'!$D$2:$D$65,0),MATCH(CE$1,'Monthly UPC'!$CM$1:$DJ$1))*(INDEX('Monthly CUST'!$N$2:$CG$65,MATCH($D37,'Monthly CUST'!$D$2:$D$65,0),MATCH(CE$1,'Monthly CUST'!$N$1:$CG$1,0))),IF($J37="UPC Growth Rate",((BS37/INDEX('Monthly CUST'!$N$2:$CG$65,MATCH($D37,'Monthly CUST'!$D$2:$D$65,0),MATCH(BS$1,'Monthly CUST'!$N$1:$CG$1,0)))*(1+$L37)*INDEX('Monthly CUST'!$N$2:$CG$65,MATCH($D37,'Monthly CUST'!$D$2:$D$65,0),MATCH(CE$1,'Monthly CUST'!$N$1:$CG$1,0))),IF($J37="Modeled UPC",INDEX('Monthly CUST'!$N$2:$CG$65,MATCH($D37,'Monthly CUST'!$D$2:$D$65,0),MATCH(CE$1,'Monthly CUST'!$N$1:$CG$1,0))/12*$M37,IF($J37="Base Period",BS37,IF($J37="Adjusted",SUMIF('Input 15_Fcst Inputs'!$A:$A,$D37,'Input 15_Fcst Inputs'!$G:$G)/12))))),0)</f>
        <v>164589.9315377594</v>
      </c>
      <c r="CF37" s="483">
        <f>IFERROR(IF($J37="Historical Average",INDEX('Monthly UPC'!$CM$2:$DJ$65,MATCH($D37,'Monthly UPC'!$D$2:$D$65,0),MATCH(CF$1,'Monthly UPC'!$CM$1:$DJ$1))*(INDEX('Monthly CUST'!$N$2:$CG$65,MATCH($D37,'Monthly CUST'!$D$2:$D$65,0),MATCH(CF$1,'Monthly CUST'!$N$1:$CG$1,0))),IF($J37="UPC Growth Rate",((BT37/INDEX('Monthly CUST'!$N$2:$CG$65,MATCH($D37,'Monthly CUST'!$D$2:$D$65,0),MATCH(BT$1,'Monthly CUST'!$N$1:$CG$1,0)))*(1+$L37)*INDEX('Monthly CUST'!$N$2:$CG$65,MATCH($D37,'Monthly CUST'!$D$2:$D$65,0),MATCH(CF$1,'Monthly CUST'!$N$1:$CG$1,0))),IF($J37="Modeled UPC",INDEX('Monthly CUST'!$N$2:$CG$65,MATCH($D37,'Monthly CUST'!$D$2:$D$65,0),MATCH(CF$1,'Monthly CUST'!$N$1:$CG$1,0))/12*$M37,IF($J37="Base Period",BT37,IF($J37="Adjusted",SUMIF('Input 15_Fcst Inputs'!$A:$A,$D37,'Input 15_Fcst Inputs'!$G:$G)/12))))),0)</f>
        <v>203235.32401035659</v>
      </c>
      <c r="CG37" s="483">
        <f>IFERROR(IF($J37="Historical Average",INDEX('Monthly UPC'!$CM$2:$DJ$65,MATCH($D37,'Monthly UPC'!$D$2:$D$65,0),MATCH(CG$1,'Monthly UPC'!$CM$1:$DJ$1))*(INDEX('Monthly CUST'!$N$2:$CG$65,MATCH($D37,'Monthly CUST'!$D$2:$D$65,0),MATCH(CG$1,'Monthly CUST'!$N$1:$CG$1,0))),IF($J37="UPC Growth Rate",((BU37/INDEX('Monthly CUST'!$N$2:$CG$65,MATCH($D37,'Monthly CUST'!$D$2:$D$65,0),MATCH(BU$1,'Monthly CUST'!$N$1:$CG$1,0)))*(1+$L37)*INDEX('Monthly CUST'!$N$2:$CG$65,MATCH($D37,'Monthly CUST'!$D$2:$D$65,0),MATCH(CG$1,'Monthly CUST'!$N$1:$CG$1,0))),IF($J37="Modeled UPC",INDEX('Monthly CUST'!$N$2:$CG$65,MATCH($D37,'Monthly CUST'!$D$2:$D$65,0),MATCH(CG$1,'Monthly CUST'!$N$1:$CG$1,0))/12*$M37,IF($J37="Base Period",BU37,IF($J37="Adjusted",SUMIF('Input 15_Fcst Inputs'!$A:$A,$D37,'Input 15_Fcst Inputs'!$G:$G)/12))))),0)</f>
        <v>318023.63277031103</v>
      </c>
      <c r="CH37" s="197"/>
      <c r="CI37" s="197">
        <f t="shared" si="8"/>
        <v>2095094.2700000121</v>
      </c>
      <c r="CJ37" s="197">
        <f t="shared" si="9"/>
        <v>2127737.6099999826</v>
      </c>
      <c r="CK37" s="197">
        <f t="shared" si="10"/>
        <v>2335465.2400000431</v>
      </c>
      <c r="CL37" s="197">
        <f t="shared" si="11"/>
        <v>2564130.4400000079</v>
      </c>
      <c r="CM37" s="197">
        <f t="shared" si="12"/>
        <v>2650954.4778517829</v>
      </c>
      <c r="CN37" s="197">
        <f t="shared" si="13"/>
        <v>2740718.4650256699</v>
      </c>
      <c r="CP37" s="4">
        <f>SUMIF('Master '!D:D,D37,'Master '!AH:AH)</f>
        <v>2650954.4778517825</v>
      </c>
      <c r="CQ37" s="4">
        <f>SUMIF('Master '!D:D,D37,'Master '!AI:AI)</f>
        <v>2740718.4650256699</v>
      </c>
      <c r="CR37" s="197">
        <f t="shared" si="14"/>
        <v>0</v>
      </c>
      <c r="CS37" s="197">
        <f t="shared" si="15"/>
        <v>0</v>
      </c>
      <c r="CT37" t="s">
        <v>287</v>
      </c>
      <c r="CV37" t="str">
        <f>VLOOKUP(G37,'Master '!G:CC,75,FALSE)</f>
        <v>FTS-1</v>
      </c>
    </row>
    <row r="38" spans="1:100">
      <c r="A38" s="53" t="s">
        <v>17</v>
      </c>
      <c r="B38" s="53" t="s">
        <v>993</v>
      </c>
      <c r="C38" s="53" t="s">
        <v>8</v>
      </c>
      <c r="D38" s="53" t="s">
        <v>1248</v>
      </c>
      <c r="E38" s="53" t="str">
        <f>VLOOKUP(D38,'Input 14_Ref Table'!C:D,2,FALSE)</f>
        <v>CR817</v>
      </c>
      <c r="F38" s="143" t="s">
        <v>1287</v>
      </c>
      <c r="G38" s="53" t="str">
        <f>VLOOKUP(D38,'Input 14_Ref Table'!C:I,7,FALSE)</f>
        <v>CFG - FTS-1 - Fixed R</v>
      </c>
      <c r="H38" s="53" t="str">
        <f>VLOOKUP(D38,'Input 14_Ref Table'!C:K,8,FALSE)</f>
        <v>FTS_1</v>
      </c>
      <c r="I38" s="53"/>
      <c r="J38" t="str">
        <f>INDEX('Master '!$AD$2:AD$65,MATCH(D38,'Master '!$D$2:$D$65,0))</f>
        <v>UPC Growth Rate</v>
      </c>
      <c r="K38" s="458">
        <f>INDEX('Master '!$N$2:N$65,MATCH(D38,'Master '!$D$2:$D$65,0))</f>
        <v>3.3861006638872364E-2</v>
      </c>
      <c r="L38" s="137">
        <f>INDEX('Master '!$S$2:S$65,MATCH(D38,'Master '!$D$2:$D$65,0))</f>
        <v>0</v>
      </c>
      <c r="M38" s="4">
        <f>INDEX('Master '!$W$2:W$65,MATCH(D38,'Master '!$D$2:$D$65,0))</f>
        <v>172.96753251423365</v>
      </c>
      <c r="N38" s="268">
        <f>SUMIF('Input 16.1_2018VOL-YTD'!$R:$R,$G38,'Input 16.1_2018VOL-YTD'!C:C)</f>
        <v>6225.76</v>
      </c>
      <c r="O38" s="268">
        <f>SUMIF('Input 16.1_2018VOL-YTD'!$R:$R,$G38,'Input 16.1_2018VOL-YTD'!D:D)</f>
        <v>3621</v>
      </c>
      <c r="P38" s="268">
        <f>SUMIF('Input 16.1_2018VOL-YTD'!$R:$R,$G38,'Input 16.1_2018VOL-YTD'!E:E)</f>
        <v>3340.95</v>
      </c>
      <c r="Q38" s="268">
        <f>SUMIF('Input 16.1_2018VOL-YTD'!$R:$R,$G38,'Input 16.1_2018VOL-YTD'!F:F)</f>
        <v>2850.03</v>
      </c>
      <c r="R38" s="268">
        <f>SUMIF('Input 16.1_2018VOL-YTD'!$R:$R,$G38,'Input 16.1_2018VOL-YTD'!G:G)</f>
        <v>2203.61</v>
      </c>
      <c r="S38" s="268">
        <f>SUMIF('Input 16.1_2018VOL-YTD'!$R:$R,$G38,'Input 16.1_2018VOL-YTD'!H:H)</f>
        <v>2136.9899999999998</v>
      </c>
      <c r="T38" s="268">
        <f>SUMIF('Input 16.1_2018VOL-YTD'!$R:$R,$G38,'Input 16.1_2018VOL-YTD'!I:I)</f>
        <v>1725</v>
      </c>
      <c r="U38" s="268">
        <f>SUMIF('Input 16.1_2018VOL-YTD'!$R:$R,$G38,'Input 16.1_2018VOL-YTD'!J:J)</f>
        <v>1734.57</v>
      </c>
      <c r="V38" s="268">
        <f>SUMIF('Input 16.1_2018VOL-YTD'!$R:$R,$G38,'Input 16.1_2018VOL-YTD'!K:K)</f>
        <v>1847.47</v>
      </c>
      <c r="W38" s="268">
        <f>SUMIF('Input 16.1_2018VOL-YTD'!$R:$R,$G38,'Input 16.1_2018VOL-YTD'!L:L)</f>
        <v>1624.69</v>
      </c>
      <c r="X38" s="268">
        <f>SUMIF('Input 16.1_2018VOL-YTD'!$R:$R,$G38,'Input 16.1_2018VOL-YTD'!M:M)</f>
        <v>2374.39</v>
      </c>
      <c r="Y38" s="268">
        <f>SUMIF('Input 16.1_2018VOL-YTD'!$R:$R,$G38,'Input 16.1_2018VOL-YTD'!N:N)</f>
        <v>3800.29</v>
      </c>
      <c r="Z38" s="268">
        <f>SUMIF('Input 3.1_2019VOL-YTD'!$R:$R,$G38,'Input 3.1_2019VOL-YTD'!C:C)</f>
        <v>4122.12</v>
      </c>
      <c r="AA38" s="268">
        <f>SUMIF('Input 3.1_2019VOL-YTD'!$R:$R,$G38,'Input 3.1_2019VOL-YTD'!D:D)</f>
        <v>3785.21</v>
      </c>
      <c r="AB38" s="268">
        <f>SUMIF('Input 3.1_2019VOL-YTD'!$R:$R,$G38,'Input 3.1_2019VOL-YTD'!E:E)</f>
        <v>2619.5300000000002</v>
      </c>
      <c r="AC38" s="268">
        <f>SUMIF('Input 3.1_2019VOL-YTD'!$R:$R,$G38,'Input 3.1_2019VOL-YTD'!F:F)</f>
        <v>2632.9</v>
      </c>
      <c r="AD38" s="268">
        <f>SUMIF('Input 3.1_2019VOL-YTD'!$R:$R,$G38,'Input 3.1_2019VOL-YTD'!G:G)</f>
        <v>2207.85</v>
      </c>
      <c r="AE38" s="268">
        <f>SUMIF('Input 3.1_2019VOL-YTD'!$R:$R,$G38,'Input 3.1_2019VOL-YTD'!H:H)</f>
        <v>2169.2600000000002</v>
      </c>
      <c r="AF38" s="268">
        <f>SUMIF('Input 3.1_2019VOL-YTD'!$R:$R,$G38,'Input 3.1_2019VOL-YTD'!I:I)</f>
        <v>1575.84</v>
      </c>
      <c r="AG38" s="268">
        <f>SUMIF('Input 3.1_2019VOL-YTD'!$R:$R,$G38,'Input 3.1_2019VOL-YTD'!J:J)</f>
        <v>1753.02</v>
      </c>
      <c r="AH38" s="268">
        <f>SUMIF('Input 3.1_2019VOL-YTD'!$R:$R,$G38,'Input 3.1_2019VOL-YTD'!K:K)</f>
        <v>1820.18</v>
      </c>
      <c r="AI38" s="268">
        <f>SUMIF('Input 3.1_2019VOL-YTD'!$R:$R,$G38,'Input 3.1_2019VOL-YTD'!L:L)</f>
        <v>1885.66</v>
      </c>
      <c r="AJ38" s="268">
        <f>SUMIF('Input 3.1_2019VOL-YTD'!$R:$R,$G38,'Input 3.1_2019VOL-YTD'!M:M)</f>
        <v>2480.88</v>
      </c>
      <c r="AK38" s="268">
        <f>SUMIF('Input 3.1_2019VOL-YTD'!$R:$R,$G38,'Input 3.1_2019VOL-YTD'!N:N)</f>
        <v>3483.45</v>
      </c>
      <c r="AL38" s="268">
        <f>SUMIF('Input 4.1_2020VOL-YTD'!$R:$R,$G38,'Input 4.1_2020VOL-YTD'!C:C)</f>
        <v>3786.61</v>
      </c>
      <c r="AM38" s="268">
        <f>SUMIF('Input 4.1_2020VOL-YTD'!$R:$R,$G38,'Input 4.1_2020VOL-YTD'!D:D)</f>
        <v>3369.33</v>
      </c>
      <c r="AN38" s="268">
        <f>SUMIF('Input 4.1_2020VOL-YTD'!$R:$R,$G38,'Input 4.1_2020VOL-YTD'!E:E)</f>
        <v>2894.43</v>
      </c>
      <c r="AO38" s="268">
        <f>SUMIF('Input 4.1_2020VOL-YTD'!$R:$R,$G38,'Input 4.1_2020VOL-YTD'!F:F)</f>
        <v>2683.18</v>
      </c>
      <c r="AP38" s="268">
        <f>SUMIF('Input 4.1_2020VOL-YTD'!$R:$R,$G38,'Input 4.1_2020VOL-YTD'!G:G)</f>
        <v>2376.4699999999998</v>
      </c>
      <c r="AQ38" s="268">
        <f>SUMIF('Input 4.1_2020VOL-YTD'!$R:$R,$G38,'Input 4.1_2020VOL-YTD'!H:H)</f>
        <v>2112.23</v>
      </c>
      <c r="AR38" s="268">
        <f>SUMIF('Input 4.1_2020VOL-YTD'!$R:$R,$G38,'Input 4.1_2020VOL-YTD'!I:I)</f>
        <v>2088.54</v>
      </c>
      <c r="AS38" s="268">
        <f>SUMIF('Input 4.1_2020VOL-YTD'!$R:$R,$G38,'Input 4.1_2020VOL-YTD'!J:J)</f>
        <v>1753.54</v>
      </c>
      <c r="AT38" s="268">
        <f>SUMIF('Input 4.1_2020VOL-YTD'!$R:$R,$G38,'Input 4.1_2020VOL-YTD'!K:K)</f>
        <v>1909.74</v>
      </c>
      <c r="AU38" s="268">
        <f>SUMIF('Input 4.1_2020VOL-YTD'!$R:$R,$G38,'Input 4.1_2020VOL-YTD'!L:L)</f>
        <v>1927.71</v>
      </c>
      <c r="AV38" s="268">
        <f>SUMIF('Input 4.1_2020VOL-YTD'!$R:$R,$G38,'Input 4.1_2020VOL-YTD'!M:M)</f>
        <v>2210.08</v>
      </c>
      <c r="AW38" s="268">
        <f>SUMIF('Input 4.1_2020VOL-YTD'!$R:$R,$G38,'Input 4.1_2020VOL-YTD'!N:N)</f>
        <v>4034.53</v>
      </c>
      <c r="AX38" s="268">
        <f>SUMIF('Input 5.1_2021VOL-YTD'!$R:$R,$G38,'Input 5.1_2021VOL-YTD'!C:C)</f>
        <v>4956.21</v>
      </c>
      <c r="AY38" s="268">
        <f>SUMIF('Input 5.1_2021VOL-YTD'!$R:$R,$G38,'Input 5.1_2021VOL-YTD'!D:D)</f>
        <v>3436.87</v>
      </c>
      <c r="AZ38" s="268">
        <f>SUMIF('Input 5.1_2021VOL-YTD'!$R:$R,$G38,'Input 5.1_2021VOL-YTD'!E:E)</f>
        <v>2914.21</v>
      </c>
      <c r="BA38" s="268">
        <f>SUMIF('Input 5.1_2021VOL-YTD'!$R:$R,$G38,'Input 5.1_2021VOL-YTD'!F:F)</f>
        <v>3660.63</v>
      </c>
      <c r="BB38" s="268">
        <f>SUMIF('Input 5.1_2021VOL-YTD'!$R:$R,$G38,'Input 5.1_2021VOL-YTD'!G:G)</f>
        <v>2175.98</v>
      </c>
      <c r="BC38" s="268">
        <f>SUMIF('Input 5.1_2021VOL-YTD'!$R:$R,$G38,'Input 5.1_2021VOL-YTD'!H:H)</f>
        <v>2044.95</v>
      </c>
      <c r="BD38" s="268">
        <f>SUMIF('Input 5.1_2021VOL-YTD'!$R:$R,$G38,'Input 5.1_2021VOL-YTD'!I:I)</f>
        <v>2047.63</v>
      </c>
      <c r="BE38" s="268">
        <f>SUMIF('Input 5.1_2021VOL-YTD'!$R:$R,$G38,'Input 5.1_2021VOL-YTD'!J:J)</f>
        <v>2015.84</v>
      </c>
      <c r="BF38" s="268">
        <f>SUMIF('Input 5.1_2021VOL-YTD'!$R:$R,$G38,'Input 5.1_2021VOL-YTD'!K:K)</f>
        <v>1811.26</v>
      </c>
      <c r="BG38" s="268">
        <f>SUMIF('Input 5.1_2021VOL-YTD'!$R:$R,$G38,'Input 5.1_2021VOL-YTD'!L:L)</f>
        <v>1859.14</v>
      </c>
      <c r="BH38" s="268">
        <f>SUMIF('Input 5.1_2021VOL-YTD'!$R:$R,$G38,'Input 5.1_2021VOL-YTD'!M:M)</f>
        <v>2864.22</v>
      </c>
      <c r="BI38" s="268">
        <f>SUMIF('Input 5.1_2021VOL-YTD'!$R:$R,$G38,'Input 5.1_2021VOL-YTD'!N:N)</f>
        <v>4027.78</v>
      </c>
      <c r="BJ38" s="483">
        <f>IFERROR(IF($J38="Historical Average",INDEX('Monthly UPC'!$CM$2:$DJ$65,MATCH($D38,'Monthly UPC'!$D$2:$D$65,0),MATCH(BJ$1,'Monthly UPC'!$CM$1:$DJ$1))*(INDEX('Monthly CUST'!$N$2:$CG$65,MATCH($D38,'Monthly CUST'!$D$2:$D$65,0),MATCH(BJ$1,'Monthly CUST'!$N$1:$CG$1,0))),IF($J38="UPC Growth Rate",((AX38/INDEX('Monthly CUST'!$N$2:$CG$65,MATCH($D38,'Monthly CUST'!$D$2:$D$65,0),MATCH(AX$1,'Monthly CUST'!$N$1:$CG$1,0)))*(1+$L38)*INDEX('Monthly CUST'!$N$2:$CG$65,MATCH($D38,'Monthly CUST'!$D$2:$D$65,0),MATCH(BJ$1,'Monthly CUST'!$N$1:$CG$1,0))),IF($J38="Modeled UPC",INDEX('Monthly CUST'!$N$2:$CG$65,MATCH($D38,'Monthly CUST'!$D$2:$D$65,0),MATCH(BJ$1,'Monthly CUST'!$N$1:$CG$1,0))/12*$M38,IF($J38="Base Period",AX38,IF($J38="Adjusted",SUMIF('Input 15_Fcst Inputs'!$A:$A,$D38,'Input 15_Fcst Inputs'!$G:$G)/12))))),0)</f>
        <v>5124.0322597136455</v>
      </c>
      <c r="BK38" s="483">
        <f>IFERROR(IF($J38="Historical Average",INDEX('Monthly UPC'!$CM$2:$DJ$65,MATCH($D38,'Monthly UPC'!$D$2:$D$65,0),MATCH(BK$1,'Monthly UPC'!$CM$1:$DJ$1))*(INDEX('Monthly CUST'!$N$2:$CG$65,MATCH($D38,'Monthly CUST'!$D$2:$D$65,0),MATCH(BK$1,'Monthly CUST'!$N$1:$CG$1,0))),IF($J38="UPC Growth Rate",((AY38/INDEX('Monthly CUST'!$N$2:$CG$65,MATCH($D38,'Monthly CUST'!$D$2:$D$65,0),MATCH(AY$1,'Monthly CUST'!$N$1:$CG$1,0)))*(1+$L38)*INDEX('Monthly CUST'!$N$2:$CG$65,MATCH($D38,'Monthly CUST'!$D$2:$D$65,0),MATCH(BK$1,'Monthly CUST'!$N$1:$CG$1,0))),IF($J38="Modeled UPC",INDEX('Monthly CUST'!$N$2:$CG$65,MATCH($D38,'Monthly CUST'!$D$2:$D$65,0),MATCH(BK$1,'Monthly CUST'!$N$1:$CG$1,0))/12*$M38,IF($J38="Base Period",AY38,IF($J38="Adjusted",SUMIF('Input 15_Fcst Inputs'!$A:$A,$D38,'Input 15_Fcst Inputs'!$G:$G)/12))))),0)</f>
        <v>3553.2458778869404</v>
      </c>
      <c r="BL38" s="483">
        <f>IFERROR(IF($J38="Historical Average",INDEX('Monthly UPC'!$CM$2:$DJ$65,MATCH($D38,'Monthly UPC'!$D$2:$D$65,0),MATCH(BL$1,'Monthly UPC'!$CM$1:$DJ$1))*(INDEX('Monthly CUST'!$N$2:$CG$65,MATCH($D38,'Monthly CUST'!$D$2:$D$65,0),MATCH(BL$1,'Monthly CUST'!$N$1:$CG$1,0))),IF($J38="UPC Growth Rate",((AZ38/INDEX('Monthly CUST'!$N$2:$CG$65,MATCH($D38,'Monthly CUST'!$D$2:$D$65,0),MATCH(AZ$1,'Monthly CUST'!$N$1:$CG$1,0)))*(1+$L38)*INDEX('Monthly CUST'!$N$2:$CG$65,MATCH($D38,'Monthly CUST'!$D$2:$D$65,0),MATCH(BL$1,'Monthly CUST'!$N$1:$CG$1,0))),IF($J38="Modeled UPC",INDEX('Monthly CUST'!$N$2:$CG$65,MATCH($D38,'Monthly CUST'!$D$2:$D$65,0),MATCH(BL$1,'Monthly CUST'!$N$1:$CG$1,0))/12*$M38,IF($J38="Base Period",AZ38,IF($J38="Adjusted",SUMIF('Input 15_Fcst Inputs'!$A:$A,$D38,'Input 15_Fcst Inputs'!$G:$G)/12))))),0)</f>
        <v>3012.8880841570681</v>
      </c>
      <c r="BM38" s="483">
        <f>IFERROR(IF($J38="Historical Average",INDEX('Monthly UPC'!$CM$2:$DJ$65,MATCH($D38,'Monthly UPC'!$D$2:$D$65,0),MATCH(BM$1,'Monthly UPC'!$CM$1:$DJ$1))*(INDEX('Monthly CUST'!$N$2:$CG$65,MATCH($D38,'Monthly CUST'!$D$2:$D$65,0),MATCH(BM$1,'Monthly CUST'!$N$1:$CG$1,0))),IF($J38="UPC Growth Rate",((BA38/INDEX('Monthly CUST'!$N$2:$CG$65,MATCH($D38,'Monthly CUST'!$D$2:$D$65,0),MATCH(BA$1,'Monthly CUST'!$N$1:$CG$1,0)))*(1+$L38)*INDEX('Monthly CUST'!$N$2:$CG$65,MATCH($D38,'Monthly CUST'!$D$2:$D$65,0),MATCH(BM$1,'Monthly CUST'!$N$1:$CG$1,0))),IF($J38="Modeled UPC",INDEX('Monthly CUST'!$N$2:$CG$65,MATCH($D38,'Monthly CUST'!$D$2:$D$65,0),MATCH(BM$1,'Monthly CUST'!$N$1:$CG$1,0))/12*$M38,IF($J38="Base Period",BA38,IF($J38="Adjusted",SUMIF('Input 15_Fcst Inputs'!$A:$A,$D38,'Input 15_Fcst Inputs'!$G:$G)/12))))),0)</f>
        <v>3784.5826167324553</v>
      </c>
      <c r="BN38" s="483">
        <f>IFERROR(IF($J38="Historical Average",INDEX('Monthly UPC'!$CM$2:$DJ$65,MATCH($D38,'Monthly UPC'!$D$2:$D$65,0),MATCH(BN$1,'Monthly UPC'!$CM$1:$DJ$1))*(INDEX('Monthly CUST'!$N$2:$CG$65,MATCH($D38,'Monthly CUST'!$D$2:$D$65,0),MATCH(BN$1,'Monthly CUST'!$N$1:$CG$1,0))),IF($J38="UPC Growth Rate",((BB38/INDEX('Monthly CUST'!$N$2:$CG$65,MATCH($D38,'Monthly CUST'!$D$2:$D$65,0),MATCH(BB$1,'Monthly CUST'!$N$1:$CG$1,0)))*(1+$L38)*INDEX('Monthly CUST'!$N$2:$CG$65,MATCH($D38,'Monthly CUST'!$D$2:$D$65,0),MATCH(BN$1,'Monthly CUST'!$N$1:$CG$1,0))),IF($J38="Modeled UPC",INDEX('Monthly CUST'!$N$2:$CG$65,MATCH($D38,'Monthly CUST'!$D$2:$D$65,0),MATCH(BN$1,'Monthly CUST'!$N$1:$CG$1,0))/12*$M38,IF($J38="Base Period",BB38,IF($J38="Adjusted",SUMIF('Input 15_Fcst Inputs'!$A:$A,$D38,'Input 15_Fcst Inputs'!$G:$G)/12))))),0)</f>
        <v>2249.6608732260534</v>
      </c>
      <c r="BO38" s="483">
        <f>IFERROR(IF($J38="Historical Average",INDEX('Monthly UPC'!$CM$2:$DJ$65,MATCH($D38,'Monthly UPC'!$D$2:$D$65,0),MATCH(BO$1,'Monthly UPC'!$CM$1:$DJ$1))*(INDEX('Monthly CUST'!$N$2:$CG$65,MATCH($D38,'Monthly CUST'!$D$2:$D$65,0),MATCH(BO$1,'Monthly CUST'!$N$1:$CG$1,0))),IF($J38="UPC Growth Rate",((BC38/INDEX('Monthly CUST'!$N$2:$CG$65,MATCH($D38,'Monthly CUST'!$D$2:$D$65,0),MATCH(BC$1,'Monthly CUST'!$N$1:$CG$1,0)))*(1+$L38)*INDEX('Monthly CUST'!$N$2:$CG$65,MATCH($D38,'Monthly CUST'!$D$2:$D$65,0),MATCH(BO$1,'Monthly CUST'!$N$1:$CG$1,0))),IF($J38="Modeled UPC",INDEX('Monthly CUST'!$N$2:$CG$65,MATCH($D38,'Monthly CUST'!$D$2:$D$65,0),MATCH(BO$1,'Monthly CUST'!$N$1:$CG$1,0))/12*$M38,IF($J38="Base Period",BC38,IF($J38="Adjusted",SUMIF('Input 15_Fcst Inputs'!$A:$A,$D38,'Input 15_Fcst Inputs'!$G:$G)/12))))),0)</f>
        <v>2114.1940655261619</v>
      </c>
      <c r="BP38" s="483">
        <f>IFERROR(IF($J38="Historical Average",INDEX('Monthly UPC'!$CM$2:$DJ$65,MATCH($D38,'Monthly UPC'!$D$2:$D$65,0),MATCH(BP$1,'Monthly UPC'!$CM$1:$DJ$1))*(INDEX('Monthly CUST'!$N$2:$CG$65,MATCH($D38,'Monthly CUST'!$D$2:$D$65,0),MATCH(BP$1,'Monthly CUST'!$N$1:$CG$1,0))),IF($J38="UPC Growth Rate",((BD38/INDEX('Monthly CUST'!$N$2:$CG$65,MATCH($D38,'Monthly CUST'!$D$2:$D$65,0),MATCH(BD$1,'Monthly CUST'!$N$1:$CG$1,0)))*(1+$L38)*INDEX('Monthly CUST'!$N$2:$CG$65,MATCH($D38,'Monthly CUST'!$D$2:$D$65,0),MATCH(BP$1,'Monthly CUST'!$N$1:$CG$1,0))),IF($J38="Modeled UPC",INDEX('Monthly CUST'!$N$2:$CG$65,MATCH($D38,'Monthly CUST'!$D$2:$D$65,0),MATCH(BP$1,'Monthly CUST'!$N$1:$CG$1,0))/12*$M38,IF($J38="Base Period",BD38,IF($J38="Adjusted",SUMIF('Input 15_Fcst Inputs'!$A:$A,$D38,'Input 15_Fcst Inputs'!$G:$G)/12))))),0)</f>
        <v>2116.9648130239543</v>
      </c>
      <c r="BQ38" s="483">
        <f>IFERROR(IF($J38="Historical Average",INDEX('Monthly UPC'!$CM$2:$DJ$65,MATCH($D38,'Monthly UPC'!$D$2:$D$65,0),MATCH(BQ$1,'Monthly UPC'!$CM$1:$DJ$1))*(INDEX('Monthly CUST'!$N$2:$CG$65,MATCH($D38,'Monthly CUST'!$D$2:$D$65,0),MATCH(BQ$1,'Monthly CUST'!$N$1:$CG$1,0))),IF($J38="UPC Growth Rate",((BE38/INDEX('Monthly CUST'!$N$2:$CG$65,MATCH($D38,'Monthly CUST'!$D$2:$D$65,0),MATCH(BE$1,'Monthly CUST'!$N$1:$CG$1,0)))*(1+$L38)*INDEX('Monthly CUST'!$N$2:$CG$65,MATCH($D38,'Monthly CUST'!$D$2:$D$65,0),MATCH(BQ$1,'Monthly CUST'!$N$1:$CG$1,0))),IF($J38="Modeled UPC",INDEX('Monthly CUST'!$N$2:$CG$65,MATCH($D38,'Monthly CUST'!$D$2:$D$65,0),MATCH(BQ$1,'Monthly CUST'!$N$1:$CG$1,0))/12*$M38,IF($J38="Base Period",BE38,IF($J38="Adjusted",SUMIF('Input 15_Fcst Inputs'!$A:$A,$D38,'Input 15_Fcst Inputs'!$G:$G)/12))))),0)</f>
        <v>2084.0983716229043</v>
      </c>
      <c r="BR38" s="483">
        <f>IFERROR(IF($J38="Historical Average",INDEX('Monthly UPC'!$CM$2:$DJ$65,MATCH($D38,'Monthly UPC'!$D$2:$D$65,0),MATCH(BR$1,'Monthly UPC'!$CM$1:$DJ$1))*(INDEX('Monthly CUST'!$N$2:$CG$65,MATCH($D38,'Monthly CUST'!$D$2:$D$65,0),MATCH(BR$1,'Monthly CUST'!$N$1:$CG$1,0))),IF($J38="UPC Growth Rate",((BF38/INDEX('Monthly CUST'!$N$2:$CG$65,MATCH($D38,'Monthly CUST'!$D$2:$D$65,0),MATCH(BF$1,'Monthly CUST'!$N$1:$CG$1,0)))*(1+$L38)*INDEX('Monthly CUST'!$N$2:$CG$65,MATCH($D38,'Monthly CUST'!$D$2:$D$65,0),MATCH(BR$1,'Monthly CUST'!$N$1:$CG$1,0))),IF($J38="Modeled UPC",INDEX('Monthly CUST'!$N$2:$CG$65,MATCH($D38,'Monthly CUST'!$D$2:$D$65,0),MATCH(BR$1,'Monthly CUST'!$N$1:$CG$1,0))/12*$M38,IF($J38="Base Period",BF38,IF($J38="Adjusted",SUMIF('Input 15_Fcst Inputs'!$A:$A,$D38,'Input 15_Fcst Inputs'!$G:$G)/12))))),0)</f>
        <v>1872.5910868847238</v>
      </c>
      <c r="BS38" s="483">
        <f>IFERROR(IF($J38="Historical Average",INDEX('Monthly UPC'!$CM$2:$DJ$65,MATCH($D38,'Monthly UPC'!$D$2:$D$65,0),MATCH(BS$1,'Monthly UPC'!$CM$1:$DJ$1))*(INDEX('Monthly CUST'!$N$2:$CG$65,MATCH($D38,'Monthly CUST'!$D$2:$D$65,0),MATCH(BS$1,'Monthly CUST'!$N$1:$CG$1,0))),IF($J38="UPC Growth Rate",((BG38/INDEX('Monthly CUST'!$N$2:$CG$65,MATCH($D38,'Monthly CUST'!$D$2:$D$65,0),MATCH(BG$1,'Monthly CUST'!$N$1:$CG$1,0)))*(1+$L38)*INDEX('Monthly CUST'!$N$2:$CG$65,MATCH($D38,'Monthly CUST'!$D$2:$D$65,0),MATCH(BS$1,'Monthly CUST'!$N$1:$CG$1,0))),IF($J38="Modeled UPC",INDEX('Monthly CUST'!$N$2:$CG$65,MATCH($D38,'Monthly CUST'!$D$2:$D$65,0),MATCH(BS$1,'Monthly CUST'!$N$1:$CG$1,0))/12*$M38,IF($J38="Base Period",BG38,IF($J38="Adjusted",SUMIF('Input 15_Fcst Inputs'!$A:$A,$D38,'Input 15_Fcst Inputs'!$G:$G)/12))))),0)</f>
        <v>1922.092351882593</v>
      </c>
      <c r="BT38" s="483">
        <f>IFERROR(IF($J38="Historical Average",INDEX('Monthly UPC'!$CM$2:$DJ$65,MATCH($D38,'Monthly UPC'!$D$2:$D$65,0),MATCH(BT$1,'Monthly UPC'!$CM$1:$DJ$1))*(INDEX('Monthly CUST'!$N$2:$CG$65,MATCH($D38,'Monthly CUST'!$D$2:$D$65,0),MATCH(BT$1,'Monthly CUST'!$N$1:$CG$1,0))),IF($J38="UPC Growth Rate",((BH38/INDEX('Monthly CUST'!$N$2:$CG$65,MATCH($D38,'Monthly CUST'!$D$2:$D$65,0),MATCH(BH$1,'Monthly CUST'!$N$1:$CG$1,0)))*(1+$L38)*INDEX('Monthly CUST'!$N$2:$CG$65,MATCH($D38,'Monthly CUST'!$D$2:$D$65,0),MATCH(BT$1,'Monthly CUST'!$N$1:$CG$1,0))),IF($J38="Modeled UPC",INDEX('Monthly CUST'!$N$2:$CG$65,MATCH($D38,'Monthly CUST'!$D$2:$D$65,0),MATCH(BT$1,'Monthly CUST'!$N$1:$CG$1,0))/12*$M38,IF($J38="Base Period",BH38,IF($J38="Adjusted",SUMIF('Input 15_Fcst Inputs'!$A:$A,$D38,'Input 15_Fcst Inputs'!$G:$G)/12))))),0)</f>
        <v>2961.2053724351899</v>
      </c>
      <c r="BU38" s="483">
        <f>IFERROR(IF($J38="Historical Average",INDEX('Monthly UPC'!$CM$2:$DJ$65,MATCH($D38,'Monthly UPC'!$D$2:$D$65,0),MATCH(BU$1,'Monthly UPC'!$CM$1:$DJ$1))*(INDEX('Monthly CUST'!$N$2:$CG$65,MATCH($D38,'Monthly CUST'!$D$2:$D$65,0),MATCH(BU$1,'Monthly CUST'!$N$1:$CG$1,0))),IF($J38="UPC Growth Rate",((BI38/INDEX('Monthly CUST'!$N$2:$CG$65,MATCH($D38,'Monthly CUST'!$D$2:$D$65,0),MATCH(BI$1,'Monthly CUST'!$N$1:$CG$1,0)))*(1+$L38)*INDEX('Monthly CUST'!$N$2:$CG$65,MATCH($D38,'Monthly CUST'!$D$2:$D$65,0),MATCH(BU$1,'Monthly CUST'!$N$1:$CG$1,0))),IF($J38="Modeled UPC",INDEX('Monthly CUST'!$N$2:$CG$65,MATCH($D38,'Monthly CUST'!$D$2:$D$65,0),MATCH(BU$1,'Monthly CUST'!$N$1:$CG$1,0))/12*$M38,IF($J38="Base Period",BI38,IF($J38="Adjusted",SUMIF('Input 15_Fcst Inputs'!$A:$A,$D38,'Input 15_Fcst Inputs'!$G:$G)/12))))),0)</f>
        <v>4164.1646853199172</v>
      </c>
      <c r="BV38" s="483">
        <f>IFERROR(IF($J38="Historical Average",INDEX('Monthly UPC'!$CM$2:$DJ$65,MATCH($D38,'Monthly UPC'!$D$2:$D$65,0),MATCH(BV$1,'Monthly UPC'!$CM$1:$DJ$1))*(INDEX('Monthly CUST'!$N$2:$CG$65,MATCH($D38,'Monthly CUST'!$D$2:$D$65,0),MATCH(BV$1,'Monthly CUST'!$N$1:$CG$1,0))),IF($J38="UPC Growth Rate",((BJ38/INDEX('Monthly CUST'!$N$2:$CG$65,MATCH($D38,'Monthly CUST'!$D$2:$D$65,0),MATCH(BJ$1,'Monthly CUST'!$N$1:$CG$1,0)))*(1+$L38)*INDEX('Monthly CUST'!$N$2:$CG$65,MATCH($D38,'Monthly CUST'!$D$2:$D$65,0),MATCH(BV$1,'Monthly CUST'!$N$1:$CG$1,0))),IF($J38="Modeled UPC",INDEX('Monthly CUST'!$N$2:$CG$65,MATCH($D38,'Monthly CUST'!$D$2:$D$65,0),MATCH(BV$1,'Monthly CUST'!$N$1:$CG$1,0))/12*$M38,IF($J38="Base Period",BJ38,IF($J38="Adjusted",SUMIF('Input 15_Fcst Inputs'!$A:$A,$D38,'Input 15_Fcst Inputs'!$G:$G)/12))))),0)</f>
        <v>5297.5371500776046</v>
      </c>
      <c r="BW38" s="483">
        <f>IFERROR(IF($J38="Historical Average",INDEX('Monthly UPC'!$CM$2:$DJ$65,MATCH($D38,'Monthly UPC'!$D$2:$D$65,0),MATCH(BW$1,'Monthly UPC'!$CM$1:$DJ$1))*(INDEX('Monthly CUST'!$N$2:$CG$65,MATCH($D38,'Monthly CUST'!$D$2:$D$65,0),MATCH(BW$1,'Monthly CUST'!$N$1:$CG$1,0))),IF($J38="UPC Growth Rate",((BK38/INDEX('Monthly CUST'!$N$2:$CG$65,MATCH($D38,'Monthly CUST'!$D$2:$D$65,0),MATCH(BK$1,'Monthly CUST'!$N$1:$CG$1,0)))*(1+$L38)*INDEX('Monthly CUST'!$N$2:$CG$65,MATCH($D38,'Monthly CUST'!$D$2:$D$65,0),MATCH(BW$1,'Monthly CUST'!$N$1:$CG$1,0))),IF($J38="Modeled UPC",INDEX('Monthly CUST'!$N$2:$CG$65,MATCH($D38,'Monthly CUST'!$D$2:$D$65,0),MATCH(BW$1,'Monthly CUST'!$N$1:$CG$1,0))/12*$M38,IF($J38="Base Period",BK38,IF($J38="Adjusted",SUMIF('Input 15_Fcst Inputs'!$A:$A,$D38,'Input 15_Fcst Inputs'!$G:$G)/12))))),0)</f>
        <v>3673.5623601476159</v>
      </c>
      <c r="BX38" s="483">
        <f>IFERROR(IF($J38="Historical Average",INDEX('Monthly UPC'!$CM$2:$DJ$65,MATCH($D38,'Monthly UPC'!$D$2:$D$65,0),MATCH(BX$1,'Monthly UPC'!$CM$1:$DJ$1))*(INDEX('Monthly CUST'!$N$2:$CG$65,MATCH($D38,'Monthly CUST'!$D$2:$D$65,0),MATCH(BX$1,'Monthly CUST'!$N$1:$CG$1,0))),IF($J38="UPC Growth Rate",((BL38/INDEX('Monthly CUST'!$N$2:$CG$65,MATCH($D38,'Monthly CUST'!$D$2:$D$65,0),MATCH(BL$1,'Monthly CUST'!$N$1:$CG$1,0)))*(1+$L38)*INDEX('Monthly CUST'!$N$2:$CG$65,MATCH($D38,'Monthly CUST'!$D$2:$D$65,0),MATCH(BX$1,'Monthly CUST'!$N$1:$CG$1,0))),IF($J38="Modeled UPC",INDEX('Monthly CUST'!$N$2:$CG$65,MATCH($D38,'Monthly CUST'!$D$2:$D$65,0),MATCH(BX$1,'Monthly CUST'!$N$1:$CG$1,0))/12*$M38,IF($J38="Base Period",BL38,IF($J38="Adjusted",SUMIF('Input 15_Fcst Inputs'!$A:$A,$D38,'Input 15_Fcst Inputs'!$G:$G)/12))))),0)</f>
        <v>3114.9075075768897</v>
      </c>
      <c r="BY38" s="483">
        <f>IFERROR(IF($J38="Historical Average",INDEX('Monthly UPC'!$CM$2:$DJ$65,MATCH($D38,'Monthly UPC'!$D$2:$D$65,0),MATCH(BY$1,'Monthly UPC'!$CM$1:$DJ$1))*(INDEX('Monthly CUST'!$N$2:$CG$65,MATCH($D38,'Monthly CUST'!$D$2:$D$65,0),MATCH(BY$1,'Monthly CUST'!$N$1:$CG$1,0))),IF($J38="UPC Growth Rate",((BM38/INDEX('Monthly CUST'!$N$2:$CG$65,MATCH($D38,'Monthly CUST'!$D$2:$D$65,0),MATCH(BM$1,'Monthly CUST'!$N$1:$CG$1,0)))*(1+$L38)*INDEX('Monthly CUST'!$N$2:$CG$65,MATCH($D38,'Monthly CUST'!$D$2:$D$65,0),MATCH(BY$1,'Monthly CUST'!$N$1:$CG$1,0))),IF($J38="Modeled UPC",INDEX('Monthly CUST'!$N$2:$CG$65,MATCH($D38,'Monthly CUST'!$D$2:$D$65,0),MATCH(BY$1,'Monthly CUST'!$N$1:$CG$1,0))/12*$M38,IF($J38="Base Period",BM38,IF($J38="Adjusted",SUMIF('Input 15_Fcst Inputs'!$A:$A,$D38,'Input 15_Fcst Inputs'!$G:$G)/12))))),0)</f>
        <v>3912.7323938429936</v>
      </c>
      <c r="BZ38" s="483">
        <f>IFERROR(IF($J38="Historical Average",INDEX('Monthly UPC'!$CM$2:$DJ$65,MATCH($D38,'Monthly UPC'!$D$2:$D$65,0),MATCH(BZ$1,'Monthly UPC'!$CM$1:$DJ$1))*(INDEX('Monthly CUST'!$N$2:$CG$65,MATCH($D38,'Monthly CUST'!$D$2:$D$65,0),MATCH(BZ$1,'Monthly CUST'!$N$1:$CG$1,0))),IF($J38="UPC Growth Rate",((BN38/INDEX('Monthly CUST'!$N$2:$CG$65,MATCH($D38,'Monthly CUST'!$D$2:$D$65,0),MATCH(BN$1,'Monthly CUST'!$N$1:$CG$1,0)))*(1+$L38)*INDEX('Monthly CUST'!$N$2:$CG$65,MATCH($D38,'Monthly CUST'!$D$2:$D$65,0),MATCH(BZ$1,'Monthly CUST'!$N$1:$CG$1,0))),IF($J38="Modeled UPC",INDEX('Monthly CUST'!$N$2:$CG$65,MATCH($D38,'Monthly CUST'!$D$2:$D$65,0),MATCH(BZ$1,'Monthly CUST'!$N$1:$CG$1,0))/12*$M38,IF($J38="Base Period",BN38,IF($J38="Adjusted",SUMIF('Input 15_Fcst Inputs'!$A:$A,$D38,'Input 15_Fcst Inputs'!$G:$G)/12))))),0)</f>
        <v>2325.8366549895718</v>
      </c>
      <c r="CA38" s="483">
        <f>IFERROR(IF($J38="Historical Average",INDEX('Monthly UPC'!$CM$2:$DJ$65,MATCH($D38,'Monthly UPC'!$D$2:$D$65,0),MATCH(CA$1,'Monthly UPC'!$CM$1:$DJ$1))*(INDEX('Monthly CUST'!$N$2:$CG$65,MATCH($D38,'Monthly CUST'!$D$2:$D$65,0),MATCH(CA$1,'Monthly CUST'!$N$1:$CG$1,0))),IF($J38="UPC Growth Rate",((BO38/INDEX('Monthly CUST'!$N$2:$CG$65,MATCH($D38,'Monthly CUST'!$D$2:$D$65,0),MATCH(BO$1,'Monthly CUST'!$N$1:$CG$1,0)))*(1+$L38)*INDEX('Monthly CUST'!$N$2:$CG$65,MATCH($D38,'Monthly CUST'!$D$2:$D$65,0),MATCH(CA$1,'Monthly CUST'!$N$1:$CG$1,0))),IF($J38="Modeled UPC",INDEX('Monthly CUST'!$N$2:$CG$65,MATCH($D38,'Monthly CUST'!$D$2:$D$65,0),MATCH(CA$1,'Monthly CUST'!$N$1:$CG$1,0))/12*$M38,IF($J38="Base Period",BO38,IF($J38="Adjusted",SUMIF('Input 15_Fcst Inputs'!$A:$A,$D38,'Input 15_Fcst Inputs'!$G:$G)/12))))),0)</f>
        <v>2185.7828048148076</v>
      </c>
      <c r="CB38" s="483">
        <f>IFERROR(IF($J38="Historical Average",INDEX('Monthly UPC'!$CM$2:$DJ$65,MATCH($D38,'Monthly UPC'!$D$2:$D$65,0),MATCH(CB$1,'Monthly UPC'!$CM$1:$DJ$1))*(INDEX('Monthly CUST'!$N$2:$CG$65,MATCH($D38,'Monthly CUST'!$D$2:$D$65,0),MATCH(CB$1,'Monthly CUST'!$N$1:$CG$1,0))),IF($J38="UPC Growth Rate",((BP38/INDEX('Monthly CUST'!$N$2:$CG$65,MATCH($D38,'Monthly CUST'!$D$2:$D$65,0),MATCH(BP$1,'Monthly CUST'!$N$1:$CG$1,0)))*(1+$L38)*INDEX('Monthly CUST'!$N$2:$CG$65,MATCH($D38,'Monthly CUST'!$D$2:$D$65,0),MATCH(CB$1,'Monthly CUST'!$N$1:$CG$1,0))),IF($J38="Modeled UPC",INDEX('Monthly CUST'!$N$2:$CG$65,MATCH($D38,'Monthly CUST'!$D$2:$D$65,0),MATCH(CB$1,'Monthly CUST'!$N$1:$CG$1,0))/12*$M38,IF($J38="Base Period",BP38,IF($J38="Adjusted",SUMIF('Input 15_Fcst Inputs'!$A:$A,$D38,'Input 15_Fcst Inputs'!$G:$G)/12))))),0)</f>
        <v>2188.6473726120175</v>
      </c>
      <c r="CC38" s="483">
        <f>IFERROR(IF($J38="Historical Average",INDEX('Monthly UPC'!$CM$2:$DJ$65,MATCH($D38,'Monthly UPC'!$D$2:$D$65,0),MATCH(CC$1,'Monthly UPC'!$CM$1:$DJ$1))*(INDEX('Monthly CUST'!$N$2:$CG$65,MATCH($D38,'Monthly CUST'!$D$2:$D$65,0),MATCH(CC$1,'Monthly CUST'!$N$1:$CG$1,0))),IF($J38="UPC Growth Rate",((BQ38/INDEX('Monthly CUST'!$N$2:$CG$65,MATCH($D38,'Monthly CUST'!$D$2:$D$65,0),MATCH(BQ$1,'Monthly CUST'!$N$1:$CG$1,0)))*(1+$L38)*INDEX('Monthly CUST'!$N$2:$CG$65,MATCH($D38,'Monthly CUST'!$D$2:$D$65,0),MATCH(CC$1,'Monthly CUST'!$N$1:$CG$1,0))),IF($J38="Modeled UPC",INDEX('Monthly CUST'!$N$2:$CG$65,MATCH($D38,'Monthly CUST'!$D$2:$D$65,0),MATCH(CC$1,'Monthly CUST'!$N$1:$CG$1,0))/12*$M38,IF($J38="Base Period",BQ38,IF($J38="Adjusted",SUMIF('Input 15_Fcst Inputs'!$A:$A,$D38,'Input 15_Fcst Inputs'!$G:$G)/12))))),0)</f>
        <v>2154.6680404204903</v>
      </c>
      <c r="CD38" s="483">
        <f>IFERROR(IF($J38="Historical Average",INDEX('Monthly UPC'!$CM$2:$DJ$65,MATCH($D38,'Monthly UPC'!$D$2:$D$65,0),MATCH(CD$1,'Monthly UPC'!$CM$1:$DJ$1))*(INDEX('Monthly CUST'!$N$2:$CG$65,MATCH($D38,'Monthly CUST'!$D$2:$D$65,0),MATCH(CD$1,'Monthly CUST'!$N$1:$CG$1,0))),IF($J38="UPC Growth Rate",((BR38/INDEX('Monthly CUST'!$N$2:$CG$65,MATCH($D38,'Monthly CUST'!$D$2:$D$65,0),MATCH(BR$1,'Monthly CUST'!$N$1:$CG$1,0)))*(1+$L38)*INDEX('Monthly CUST'!$N$2:$CG$65,MATCH($D38,'Monthly CUST'!$D$2:$D$65,0),MATCH(CD$1,'Monthly CUST'!$N$1:$CG$1,0))),IF($J38="Modeled UPC",INDEX('Monthly CUST'!$N$2:$CG$65,MATCH($D38,'Monthly CUST'!$D$2:$D$65,0),MATCH(CD$1,'Monthly CUST'!$N$1:$CG$1,0))/12*$M38,IF($J38="Base Period",BR38,IF($J38="Adjusted",SUMIF('Input 15_Fcst Inputs'!$A:$A,$D38,'Input 15_Fcst Inputs'!$G:$G)/12))))),0)</f>
        <v>1935.9989061096205</v>
      </c>
      <c r="CE38" s="483">
        <f>IFERROR(IF($J38="Historical Average",INDEX('Monthly UPC'!$CM$2:$DJ$65,MATCH($D38,'Monthly UPC'!$D$2:$D$65,0),MATCH(CE$1,'Monthly UPC'!$CM$1:$DJ$1))*(INDEX('Monthly CUST'!$N$2:$CG$65,MATCH($D38,'Monthly CUST'!$D$2:$D$65,0),MATCH(CE$1,'Monthly CUST'!$N$1:$CG$1,0))),IF($J38="UPC Growth Rate",((BS38/INDEX('Monthly CUST'!$N$2:$CG$65,MATCH($D38,'Monthly CUST'!$D$2:$D$65,0),MATCH(BS$1,'Monthly CUST'!$N$1:$CG$1,0)))*(1+$L38)*INDEX('Monthly CUST'!$N$2:$CG$65,MATCH($D38,'Monthly CUST'!$D$2:$D$65,0),MATCH(CE$1,'Monthly CUST'!$N$1:$CG$1,0))),IF($J38="Modeled UPC",INDEX('Monthly CUST'!$N$2:$CG$65,MATCH($D38,'Monthly CUST'!$D$2:$D$65,0),MATCH(CE$1,'Monthly CUST'!$N$1:$CG$1,0))/12*$M38,IF($J38="Base Period",BS38,IF($J38="Adjusted",SUMIF('Input 15_Fcst Inputs'!$A:$A,$D38,'Input 15_Fcst Inputs'!$G:$G)/12))))),0)</f>
        <v>1987.1763337702148</v>
      </c>
      <c r="CF38" s="483">
        <f>IFERROR(IF($J38="Historical Average",INDEX('Monthly UPC'!$CM$2:$DJ$65,MATCH($D38,'Monthly UPC'!$D$2:$D$65,0),MATCH(CF$1,'Monthly UPC'!$CM$1:$DJ$1))*(INDEX('Monthly CUST'!$N$2:$CG$65,MATCH($D38,'Monthly CUST'!$D$2:$D$65,0),MATCH(CF$1,'Monthly CUST'!$N$1:$CG$1,0))),IF($J38="UPC Growth Rate",((BT38/INDEX('Monthly CUST'!$N$2:$CG$65,MATCH($D38,'Monthly CUST'!$D$2:$D$65,0),MATCH(BT$1,'Monthly CUST'!$N$1:$CG$1,0)))*(1+$L38)*INDEX('Monthly CUST'!$N$2:$CG$65,MATCH($D38,'Monthly CUST'!$D$2:$D$65,0),MATCH(CF$1,'Monthly CUST'!$N$1:$CG$1,0))),IF($J38="Modeled UPC",INDEX('Monthly CUST'!$N$2:$CG$65,MATCH($D38,'Monthly CUST'!$D$2:$D$65,0),MATCH(CF$1,'Monthly CUST'!$N$1:$CG$1,0))/12*$M38,IF($J38="Base Period",BT38,IF($J38="Adjusted",SUMIF('Input 15_Fcst Inputs'!$A:$A,$D38,'Input 15_Fcst Inputs'!$G:$G)/12))))),0)</f>
        <v>3061.4747672102822</v>
      </c>
      <c r="CG38" s="483">
        <f>IFERROR(IF($J38="Historical Average",INDEX('Monthly UPC'!$CM$2:$DJ$65,MATCH($D38,'Monthly UPC'!$D$2:$D$65,0),MATCH(CG$1,'Monthly UPC'!$CM$1:$DJ$1))*(INDEX('Monthly CUST'!$N$2:$CG$65,MATCH($D38,'Monthly CUST'!$D$2:$D$65,0),MATCH(CG$1,'Monthly CUST'!$N$1:$CG$1,0))),IF($J38="UPC Growth Rate",((BU38/INDEX('Monthly CUST'!$N$2:$CG$65,MATCH($D38,'Monthly CUST'!$D$2:$D$65,0),MATCH(BU$1,'Monthly CUST'!$N$1:$CG$1,0)))*(1+$L38)*INDEX('Monthly CUST'!$N$2:$CG$65,MATCH($D38,'Monthly CUST'!$D$2:$D$65,0),MATCH(CG$1,'Monthly CUST'!$N$1:$CG$1,0))),IF($J38="Modeled UPC",INDEX('Monthly CUST'!$N$2:$CG$65,MATCH($D38,'Monthly CUST'!$D$2:$D$65,0),MATCH(CG$1,'Monthly CUST'!$N$1:$CG$1,0))/12*$M38,IF($J38="Base Period",BU38,IF($J38="Adjusted",SUMIF('Input 15_Fcst Inputs'!$A:$A,$D38,'Input 15_Fcst Inputs'!$G:$G)/12))))),0)</f>
        <v>4305.1674933748927</v>
      </c>
      <c r="CH38" s="197"/>
      <c r="CI38" s="197">
        <f t="shared" si="8"/>
        <v>33484.749999999993</v>
      </c>
      <c r="CJ38" s="197">
        <f t="shared" si="9"/>
        <v>30535.900000000005</v>
      </c>
      <c r="CK38" s="197">
        <f t="shared" si="10"/>
        <v>31146.39</v>
      </c>
      <c r="CL38" s="197">
        <f t="shared" si="11"/>
        <v>33814.720000000001</v>
      </c>
      <c r="CM38" s="197">
        <f t="shared" si="12"/>
        <v>34959.720458411604</v>
      </c>
      <c r="CN38" s="197">
        <f t="shared" si="13"/>
        <v>36143.491784947</v>
      </c>
      <c r="CP38" s="4">
        <f>SUMIF('Master '!D:D,D38,'Master '!AH:AH)</f>
        <v>34959.720458411604</v>
      </c>
      <c r="CQ38" s="4">
        <f>SUMIF('Master '!D:D,D38,'Master '!AI:AI)</f>
        <v>36143.491784947</v>
      </c>
      <c r="CR38" s="197">
        <f t="shared" si="14"/>
        <v>0</v>
      </c>
      <c r="CS38" s="197">
        <f t="shared" si="15"/>
        <v>0</v>
      </c>
      <c r="CT38" t="s">
        <v>287</v>
      </c>
      <c r="CV38" t="str">
        <f>VLOOKUP(G38,'Master '!G:CC,75,FALSE)</f>
        <v>FTS-1</v>
      </c>
    </row>
    <row r="39" spans="1:100">
      <c r="A39" s="53" t="s">
        <v>17</v>
      </c>
      <c r="B39" s="53" t="s">
        <v>993</v>
      </c>
      <c r="C39" s="53" t="s">
        <v>1245</v>
      </c>
      <c r="D39" s="53" t="s">
        <v>1249</v>
      </c>
      <c r="E39" s="53" t="str">
        <f>VLOOKUP(D39,'Input 14_Ref Table'!C:D,2,FALSE)</f>
        <v>CC807</v>
      </c>
      <c r="F39" s="143" t="s">
        <v>1286</v>
      </c>
      <c r="G39" s="53" t="str">
        <f>VLOOKUP(D39,'Input 14_Ref Table'!C:I,7,FALSE)</f>
        <v>CFG - FTS-1 NR</v>
      </c>
      <c r="H39" s="53" t="str">
        <f>VLOOKUP(D39,'Input 14_Ref Table'!C:K,8,FALSE)</f>
        <v>FTS1</v>
      </c>
      <c r="I39" s="53"/>
      <c r="J39" t="str">
        <f>INDEX('Master '!$AD$2:AD$65,MATCH(D39,'Master '!$D$2:$D$65,0))</f>
        <v>UPC Growth Rate</v>
      </c>
      <c r="K39" s="458">
        <f>INDEX('Master '!$N$2:N$65,MATCH(D39,'Master '!$D$2:$D$65,0))</f>
        <v>-4.9605598787378136E-2</v>
      </c>
      <c r="L39" s="137">
        <f>INDEX('Master '!$S$2:S$65,MATCH(D39,'Master '!$D$2:$D$65,0))</f>
        <v>-8.2102988836874169E-2</v>
      </c>
      <c r="M39" s="4">
        <f>INDEX('Master '!$W$2:W$65,MATCH(D39,'Master '!$D$2:$D$65,0))</f>
        <v>254.90000000000003</v>
      </c>
      <c r="N39" s="268">
        <f>SUMIF('Input 16.1_2018VOL-YTD'!$R:$R,$G39,'Input 16.1_2018VOL-YTD'!C:C)</f>
        <v>8269.15</v>
      </c>
      <c r="O39" s="268">
        <f>SUMIF('Input 16.1_2018VOL-YTD'!$R:$R,$G39,'Input 16.1_2018VOL-YTD'!D:D)</f>
        <v>6407.33</v>
      </c>
      <c r="P39" s="268">
        <f>SUMIF('Input 16.1_2018VOL-YTD'!$R:$R,$G39,'Input 16.1_2018VOL-YTD'!E:E)</f>
        <v>10082.290000000001</v>
      </c>
      <c r="Q39" s="268">
        <f>SUMIF('Input 16.1_2018VOL-YTD'!$R:$R,$G39,'Input 16.1_2018VOL-YTD'!F:F)</f>
        <v>4677.84</v>
      </c>
      <c r="R39" s="268">
        <f>SUMIF('Input 16.1_2018VOL-YTD'!$R:$R,$G39,'Input 16.1_2018VOL-YTD'!G:G)</f>
        <v>5867.21</v>
      </c>
      <c r="S39" s="268">
        <f>SUMIF('Input 16.1_2018VOL-YTD'!$R:$R,$G39,'Input 16.1_2018VOL-YTD'!H:H)</f>
        <v>4067.85</v>
      </c>
      <c r="T39" s="268">
        <f>SUMIF('Input 16.1_2018VOL-YTD'!$R:$R,$G39,'Input 16.1_2018VOL-YTD'!I:I)</f>
        <v>4768</v>
      </c>
      <c r="U39" s="268">
        <f>SUMIF('Input 16.1_2018VOL-YTD'!$R:$R,$G39,'Input 16.1_2018VOL-YTD'!J:J)</f>
        <v>2703.42</v>
      </c>
      <c r="V39" s="268">
        <f>SUMIF('Input 16.1_2018VOL-YTD'!$R:$R,$G39,'Input 16.1_2018VOL-YTD'!K:K)</f>
        <v>4171.58</v>
      </c>
      <c r="W39" s="268">
        <f>SUMIF('Input 16.1_2018VOL-YTD'!$R:$R,$G39,'Input 16.1_2018VOL-YTD'!L:L)</f>
        <v>3752.44</v>
      </c>
      <c r="X39" s="268">
        <f>SUMIF('Input 16.1_2018VOL-YTD'!$R:$R,$G39,'Input 16.1_2018VOL-YTD'!M:M)</f>
        <v>4096.91</v>
      </c>
      <c r="Y39" s="268">
        <f>SUMIF('Input 16.1_2018VOL-YTD'!$R:$R,$G39,'Input 16.1_2018VOL-YTD'!N:N)</f>
        <v>5513.33</v>
      </c>
      <c r="Z39" s="268">
        <f>SUMIF('Input 3.1_2019VOL-YTD'!$R:$R,$G39,'Input 3.1_2019VOL-YTD'!C:C)</f>
        <v>5095.8100000000104</v>
      </c>
      <c r="AA39" s="268">
        <f>SUMIF('Input 3.1_2019VOL-YTD'!$R:$R,$G39,'Input 3.1_2019VOL-YTD'!D:D)</f>
        <v>5370.57</v>
      </c>
      <c r="AB39" s="268">
        <f>SUMIF('Input 3.1_2019VOL-YTD'!$R:$R,$G39,'Input 3.1_2019VOL-YTD'!E:E)</f>
        <v>4272.12</v>
      </c>
      <c r="AC39" s="268">
        <f>SUMIF('Input 3.1_2019VOL-YTD'!$R:$R,$G39,'Input 3.1_2019VOL-YTD'!F:F)</f>
        <v>4797.32</v>
      </c>
      <c r="AD39" s="268">
        <f>SUMIF('Input 3.1_2019VOL-YTD'!$R:$R,$G39,'Input 3.1_2019VOL-YTD'!G:G)</f>
        <v>6098.04</v>
      </c>
      <c r="AE39" s="268">
        <f>SUMIF('Input 3.1_2019VOL-YTD'!$R:$R,$G39,'Input 3.1_2019VOL-YTD'!H:H)</f>
        <v>3878.36</v>
      </c>
      <c r="AF39" s="268">
        <f>SUMIF('Input 3.1_2019VOL-YTD'!$R:$R,$G39,'Input 3.1_2019VOL-YTD'!I:I)</f>
        <v>3261.01</v>
      </c>
      <c r="AG39" s="268">
        <f>SUMIF('Input 3.1_2019VOL-YTD'!$R:$R,$G39,'Input 3.1_2019VOL-YTD'!J:J)</f>
        <v>3872.4</v>
      </c>
      <c r="AH39" s="268">
        <f>SUMIF('Input 3.1_2019VOL-YTD'!$R:$R,$G39,'Input 3.1_2019VOL-YTD'!K:K)</f>
        <v>3747.55</v>
      </c>
      <c r="AI39" s="268">
        <f>SUMIF('Input 3.1_2019VOL-YTD'!$R:$R,$G39,'Input 3.1_2019VOL-YTD'!L:L)</f>
        <v>3512.4</v>
      </c>
      <c r="AJ39" s="268">
        <f>SUMIF('Input 3.1_2019VOL-YTD'!$R:$R,$G39,'Input 3.1_2019VOL-YTD'!M:M)</f>
        <v>4898.82</v>
      </c>
      <c r="AK39" s="268">
        <f>SUMIF('Input 3.1_2019VOL-YTD'!$R:$R,$G39,'Input 3.1_2019VOL-YTD'!N:N)</f>
        <v>5243.94</v>
      </c>
      <c r="AL39" s="268">
        <f>SUMIF('Input 4.1_2020VOL-YTD'!$R:$R,$G39,'Input 4.1_2020VOL-YTD'!C:C)</f>
        <v>5955.12</v>
      </c>
      <c r="AM39" s="268">
        <f>SUMIF('Input 4.1_2020VOL-YTD'!$R:$R,$G39,'Input 4.1_2020VOL-YTD'!D:D)</f>
        <v>4611.13</v>
      </c>
      <c r="AN39" s="268">
        <f>SUMIF('Input 4.1_2020VOL-YTD'!$R:$R,$G39,'Input 4.1_2020VOL-YTD'!E:E)</f>
        <v>5624.82</v>
      </c>
      <c r="AO39" s="268">
        <f>SUMIF('Input 4.1_2020VOL-YTD'!$R:$R,$G39,'Input 4.1_2020VOL-YTD'!F:F)</f>
        <v>3262.5</v>
      </c>
      <c r="AP39" s="268">
        <f>SUMIF('Input 4.1_2020VOL-YTD'!$R:$R,$G39,'Input 4.1_2020VOL-YTD'!G:G)</f>
        <v>4720.46</v>
      </c>
      <c r="AQ39" s="268">
        <f>SUMIF('Input 4.1_2020VOL-YTD'!$R:$R,$G39,'Input 4.1_2020VOL-YTD'!H:H)</f>
        <v>2813.71</v>
      </c>
      <c r="AR39" s="268">
        <f>SUMIF('Input 4.1_2020VOL-YTD'!$R:$R,$G39,'Input 4.1_2020VOL-YTD'!I:I)</f>
        <v>3777.09</v>
      </c>
      <c r="AS39" s="268">
        <f>SUMIF('Input 4.1_2020VOL-YTD'!$R:$R,$G39,'Input 4.1_2020VOL-YTD'!J:J)</f>
        <v>3014.1</v>
      </c>
      <c r="AT39" s="268">
        <f>SUMIF('Input 4.1_2020VOL-YTD'!$R:$R,$G39,'Input 4.1_2020VOL-YTD'!K:K)</f>
        <v>3023.23</v>
      </c>
      <c r="AU39" s="268">
        <f>SUMIF('Input 4.1_2020VOL-YTD'!$R:$R,$G39,'Input 4.1_2020VOL-YTD'!L:L)</f>
        <v>2970.45</v>
      </c>
      <c r="AV39" s="268">
        <f>SUMIF('Input 4.1_2020VOL-YTD'!$R:$R,$G39,'Input 4.1_2020VOL-YTD'!M:M)</f>
        <v>3365.09</v>
      </c>
      <c r="AW39" s="268">
        <f>SUMIF('Input 4.1_2020VOL-YTD'!$R:$R,$G39,'Input 4.1_2020VOL-YTD'!N:N)</f>
        <v>6565.8</v>
      </c>
      <c r="AX39" s="268">
        <f>SUMIF('Input 5.1_2021VOL-YTD'!$R:$R,$G39,'Input 5.1_2021VOL-YTD'!C:C)</f>
        <v>7310.68</v>
      </c>
      <c r="AY39" s="268">
        <f>SUMIF('Input 5.1_2021VOL-YTD'!$R:$R,$G39,'Input 5.1_2021VOL-YTD'!D:D)</f>
        <v>6553.14</v>
      </c>
      <c r="AZ39" s="268">
        <f>SUMIF('Input 5.1_2021VOL-YTD'!$R:$R,$G39,'Input 5.1_2021VOL-YTD'!E:E)</f>
        <v>5400.07</v>
      </c>
      <c r="BA39" s="268">
        <f>SUMIF('Input 5.1_2021VOL-YTD'!$R:$R,$G39,'Input 5.1_2021VOL-YTD'!F:F)</f>
        <v>5427.59</v>
      </c>
      <c r="BB39" s="268">
        <f>SUMIF('Input 5.1_2021VOL-YTD'!$R:$R,$G39,'Input 5.1_2021VOL-YTD'!G:G)</f>
        <v>3922.59</v>
      </c>
      <c r="BC39" s="268">
        <f>SUMIF('Input 5.1_2021VOL-YTD'!$R:$R,$G39,'Input 5.1_2021VOL-YTD'!H:H)</f>
        <v>3827.91</v>
      </c>
      <c r="BD39" s="268">
        <f>SUMIF('Input 5.1_2021VOL-YTD'!$R:$R,$G39,'Input 5.1_2021VOL-YTD'!I:I)</f>
        <v>3814.38</v>
      </c>
      <c r="BE39" s="268">
        <f>SUMIF('Input 5.1_2021VOL-YTD'!$R:$R,$G39,'Input 5.1_2021VOL-YTD'!J:J)</f>
        <v>3609.46</v>
      </c>
      <c r="BF39" s="268">
        <f>SUMIF('Input 5.1_2021VOL-YTD'!$R:$R,$G39,'Input 5.1_2021VOL-YTD'!K:K)</f>
        <v>3569.24</v>
      </c>
      <c r="BG39" s="268">
        <f>SUMIF('Input 5.1_2021VOL-YTD'!$R:$R,$G39,'Input 5.1_2021VOL-YTD'!L:L)</f>
        <v>4805.8999999999996</v>
      </c>
      <c r="BH39" s="268">
        <f>SUMIF('Input 5.1_2021VOL-YTD'!$R:$R,$G39,'Input 5.1_2021VOL-YTD'!M:M)</f>
        <v>4092.17</v>
      </c>
      <c r="BI39" s="268">
        <f>SUMIF('Input 5.1_2021VOL-YTD'!$R:$R,$G39,'Input 5.1_2021VOL-YTD'!N:N)</f>
        <v>6315.02</v>
      </c>
      <c r="BJ39" s="483">
        <f>IFERROR(IF($J39="Historical Average",INDEX('Monthly UPC'!$CM$2:$DJ$65,MATCH($D39,'Monthly UPC'!$D$2:$D$65,0),MATCH(BJ$1,'Monthly UPC'!$CM$1:$DJ$1))*(INDEX('Monthly CUST'!$N$2:$CG$65,MATCH($D39,'Monthly CUST'!$D$2:$D$65,0),MATCH(BJ$1,'Monthly CUST'!$N$1:$CG$1,0))),IF($J39="UPC Growth Rate",((AX39/INDEX('Monthly CUST'!$N$2:$CG$65,MATCH($D39,'Monthly CUST'!$D$2:$D$65,0),MATCH(AX$1,'Monthly CUST'!$N$1:$CG$1,0)))*(1+$L39)*INDEX('Monthly CUST'!$N$2:$CG$65,MATCH($D39,'Monthly CUST'!$D$2:$D$65,0),MATCH(BJ$1,'Monthly CUST'!$N$1:$CG$1,0))),IF($J39="Modeled UPC",INDEX('Monthly CUST'!$N$2:$CG$65,MATCH($D39,'Monthly CUST'!$D$2:$D$65,0),MATCH(BJ$1,'Monthly CUST'!$N$1:$CG$1,0))/12*$M39,IF($J39="Base Period",AX39,IF($J39="Adjusted",SUMIF('Input 15_Fcst Inputs'!$A:$A,$D39,'Input 15_Fcst Inputs'!$G:$G)/12))))),0)</f>
        <v>6377.5753656300067</v>
      </c>
      <c r="BK39" s="483">
        <f>IFERROR(IF($J39="Historical Average",INDEX('Monthly UPC'!$CM$2:$DJ$65,MATCH($D39,'Monthly UPC'!$D$2:$D$65,0),MATCH(BK$1,'Monthly UPC'!$CM$1:$DJ$1))*(INDEX('Monthly CUST'!$N$2:$CG$65,MATCH($D39,'Monthly CUST'!$D$2:$D$65,0),MATCH(BK$1,'Monthly CUST'!$N$1:$CG$1,0))),IF($J39="UPC Growth Rate",((AY39/INDEX('Monthly CUST'!$N$2:$CG$65,MATCH($D39,'Monthly CUST'!$D$2:$D$65,0),MATCH(AY$1,'Monthly CUST'!$N$1:$CG$1,0)))*(1+$L39)*INDEX('Monthly CUST'!$N$2:$CG$65,MATCH($D39,'Monthly CUST'!$D$2:$D$65,0),MATCH(BK$1,'Monthly CUST'!$N$1:$CG$1,0))),IF($J39="Modeled UPC",INDEX('Monthly CUST'!$N$2:$CG$65,MATCH($D39,'Monthly CUST'!$D$2:$D$65,0),MATCH(BK$1,'Monthly CUST'!$N$1:$CG$1,0))/12*$M39,IF($J39="Base Period",AY39,IF($J39="Adjusted",SUMIF('Input 15_Fcst Inputs'!$A:$A,$D39,'Input 15_Fcst Inputs'!$G:$G)/12))))),0)</f>
        <v>5716.724604486124</v>
      </c>
      <c r="BL39" s="483">
        <f>IFERROR(IF($J39="Historical Average",INDEX('Monthly UPC'!$CM$2:$DJ$65,MATCH($D39,'Monthly UPC'!$D$2:$D$65,0),MATCH(BL$1,'Monthly UPC'!$CM$1:$DJ$1))*(INDEX('Monthly CUST'!$N$2:$CG$65,MATCH($D39,'Monthly CUST'!$D$2:$D$65,0),MATCH(BL$1,'Monthly CUST'!$N$1:$CG$1,0))),IF($J39="UPC Growth Rate",((AZ39/INDEX('Monthly CUST'!$N$2:$CG$65,MATCH($D39,'Monthly CUST'!$D$2:$D$65,0),MATCH(AZ$1,'Monthly CUST'!$N$1:$CG$1,0)))*(1+$L39)*INDEX('Monthly CUST'!$N$2:$CG$65,MATCH($D39,'Monthly CUST'!$D$2:$D$65,0),MATCH(BL$1,'Monthly CUST'!$N$1:$CG$1,0))),IF($J39="Modeled UPC",INDEX('Monthly CUST'!$N$2:$CG$65,MATCH($D39,'Monthly CUST'!$D$2:$D$65,0),MATCH(BL$1,'Monthly CUST'!$N$1:$CG$1,0))/12*$M39,IF($J39="Base Period",AZ39,IF($J39="Adjusted",SUMIF('Input 15_Fcst Inputs'!$A:$A,$D39,'Input 15_Fcst Inputs'!$G:$G)/12))))),0)</f>
        <v>4710.8276391084855</v>
      </c>
      <c r="BM39" s="483">
        <f>IFERROR(IF($J39="Historical Average",INDEX('Monthly UPC'!$CM$2:$DJ$65,MATCH($D39,'Monthly UPC'!$D$2:$D$65,0),MATCH(BM$1,'Monthly UPC'!$CM$1:$DJ$1))*(INDEX('Monthly CUST'!$N$2:$CG$65,MATCH($D39,'Monthly CUST'!$D$2:$D$65,0),MATCH(BM$1,'Monthly CUST'!$N$1:$CG$1,0))),IF($J39="UPC Growth Rate",((BA39/INDEX('Monthly CUST'!$N$2:$CG$65,MATCH($D39,'Monthly CUST'!$D$2:$D$65,0),MATCH(BA$1,'Monthly CUST'!$N$1:$CG$1,0)))*(1+$L39)*INDEX('Monthly CUST'!$N$2:$CG$65,MATCH($D39,'Monthly CUST'!$D$2:$D$65,0),MATCH(BM$1,'Monthly CUST'!$N$1:$CG$1,0))),IF($J39="Modeled UPC",INDEX('Monthly CUST'!$N$2:$CG$65,MATCH($D39,'Monthly CUST'!$D$2:$D$65,0),MATCH(BM$1,'Monthly CUST'!$N$1:$CG$1,0))/12*$M39,IF($J39="Base Period",BA39,IF($J39="Adjusted",SUMIF('Input 15_Fcst Inputs'!$A:$A,$D39,'Input 15_Fcst Inputs'!$G:$G)/12))))),0)</f>
        <v>4734.8351013503207</v>
      </c>
      <c r="BN39" s="483">
        <f>IFERROR(IF($J39="Historical Average",INDEX('Monthly UPC'!$CM$2:$DJ$65,MATCH($D39,'Monthly UPC'!$D$2:$D$65,0),MATCH(BN$1,'Monthly UPC'!$CM$1:$DJ$1))*(INDEX('Monthly CUST'!$N$2:$CG$65,MATCH($D39,'Monthly CUST'!$D$2:$D$65,0),MATCH(BN$1,'Monthly CUST'!$N$1:$CG$1,0))),IF($J39="UPC Growth Rate",((BB39/INDEX('Monthly CUST'!$N$2:$CG$65,MATCH($D39,'Monthly CUST'!$D$2:$D$65,0),MATCH(BB$1,'Monthly CUST'!$N$1:$CG$1,0)))*(1+$L39)*INDEX('Monthly CUST'!$N$2:$CG$65,MATCH($D39,'Monthly CUST'!$D$2:$D$65,0),MATCH(BN$1,'Monthly CUST'!$N$1:$CG$1,0))),IF($J39="Modeled UPC",INDEX('Monthly CUST'!$N$2:$CG$65,MATCH($D39,'Monthly CUST'!$D$2:$D$65,0),MATCH(BN$1,'Monthly CUST'!$N$1:$CG$1,0))/12*$M39,IF($J39="Base Period",BB39,IF($J39="Adjusted",SUMIF('Input 15_Fcst Inputs'!$A:$A,$D39,'Input 15_Fcst Inputs'!$G:$G)/12))))),0)</f>
        <v>3421.9270099999731</v>
      </c>
      <c r="BO39" s="483">
        <f>IFERROR(IF($J39="Historical Average",INDEX('Monthly UPC'!$CM$2:$DJ$65,MATCH($D39,'Monthly UPC'!$D$2:$D$65,0),MATCH(BO$1,'Monthly UPC'!$CM$1:$DJ$1))*(INDEX('Monthly CUST'!$N$2:$CG$65,MATCH($D39,'Monthly CUST'!$D$2:$D$65,0),MATCH(BO$1,'Monthly CUST'!$N$1:$CG$1,0))),IF($J39="UPC Growth Rate",((BC39/INDEX('Monthly CUST'!$N$2:$CG$65,MATCH($D39,'Monthly CUST'!$D$2:$D$65,0),MATCH(BC$1,'Monthly CUST'!$N$1:$CG$1,0)))*(1+$L39)*INDEX('Monthly CUST'!$N$2:$CG$65,MATCH($D39,'Monthly CUST'!$D$2:$D$65,0),MATCH(BO$1,'Monthly CUST'!$N$1:$CG$1,0))),IF($J39="Modeled UPC",INDEX('Monthly CUST'!$N$2:$CG$65,MATCH($D39,'Monthly CUST'!$D$2:$D$65,0),MATCH(BO$1,'Monthly CUST'!$N$1:$CG$1,0))/12*$M39,IF($J39="Base Period",BC39,IF($J39="Adjusted",SUMIF('Input 15_Fcst Inputs'!$A:$A,$D39,'Input 15_Fcst Inputs'!$G:$G)/12))))),0)</f>
        <v>3339.3315694092416</v>
      </c>
      <c r="BP39" s="483">
        <f>IFERROR(IF($J39="Historical Average",INDEX('Monthly UPC'!$CM$2:$DJ$65,MATCH($D39,'Monthly UPC'!$D$2:$D$65,0),MATCH(BP$1,'Monthly UPC'!$CM$1:$DJ$1))*(INDEX('Monthly CUST'!$N$2:$CG$65,MATCH($D39,'Monthly CUST'!$D$2:$D$65,0),MATCH(BP$1,'Monthly CUST'!$N$1:$CG$1,0))),IF($J39="UPC Growth Rate",((BD39/INDEX('Monthly CUST'!$N$2:$CG$65,MATCH($D39,'Monthly CUST'!$D$2:$D$65,0),MATCH(BD$1,'Monthly CUST'!$N$1:$CG$1,0)))*(1+$L39)*INDEX('Monthly CUST'!$N$2:$CG$65,MATCH($D39,'Monthly CUST'!$D$2:$D$65,0),MATCH(BP$1,'Monthly CUST'!$N$1:$CG$1,0))),IF($J39="Modeled UPC",INDEX('Monthly CUST'!$N$2:$CG$65,MATCH($D39,'Monthly CUST'!$D$2:$D$65,0),MATCH(BP$1,'Monthly CUST'!$N$1:$CG$1,0))/12*$M39,IF($J39="Base Period",BD39,IF($J39="Adjusted",SUMIF('Input 15_Fcst Inputs'!$A:$A,$D39,'Input 15_Fcst Inputs'!$G:$G)/12))))),0)</f>
        <v>3327.5284820497932</v>
      </c>
      <c r="BQ39" s="483">
        <f>IFERROR(IF($J39="Historical Average",INDEX('Monthly UPC'!$CM$2:$DJ$65,MATCH($D39,'Monthly UPC'!$D$2:$D$65,0),MATCH(BQ$1,'Monthly UPC'!$CM$1:$DJ$1))*(INDEX('Monthly CUST'!$N$2:$CG$65,MATCH($D39,'Monthly CUST'!$D$2:$D$65,0),MATCH(BQ$1,'Monthly CUST'!$N$1:$CG$1,0))),IF($J39="UPC Growth Rate",((BE39/INDEX('Monthly CUST'!$N$2:$CG$65,MATCH($D39,'Monthly CUST'!$D$2:$D$65,0),MATCH(BE$1,'Monthly CUST'!$N$1:$CG$1,0)))*(1+$L39)*INDEX('Monthly CUST'!$N$2:$CG$65,MATCH($D39,'Monthly CUST'!$D$2:$D$65,0),MATCH(BQ$1,'Monthly CUST'!$N$1:$CG$1,0))),IF($J39="Modeled UPC",INDEX('Monthly CUST'!$N$2:$CG$65,MATCH($D39,'Monthly CUST'!$D$2:$D$65,0),MATCH(BQ$1,'Monthly CUST'!$N$1:$CG$1,0))/12*$M39,IF($J39="Base Period",BE39,IF($J39="Adjusted",SUMIF('Input 15_Fcst Inputs'!$A:$A,$D39,'Input 15_Fcst Inputs'!$G:$G)/12))))),0)</f>
        <v>3148.7636142228739</v>
      </c>
      <c r="BR39" s="483">
        <f>IFERROR(IF($J39="Historical Average",INDEX('Monthly UPC'!$CM$2:$DJ$65,MATCH($D39,'Monthly UPC'!$D$2:$D$65,0),MATCH(BR$1,'Monthly UPC'!$CM$1:$DJ$1))*(INDEX('Monthly CUST'!$N$2:$CG$65,MATCH($D39,'Monthly CUST'!$D$2:$D$65,0),MATCH(BR$1,'Monthly CUST'!$N$1:$CG$1,0))),IF($J39="UPC Growth Rate",((BF39/INDEX('Monthly CUST'!$N$2:$CG$65,MATCH($D39,'Monthly CUST'!$D$2:$D$65,0),MATCH(BF$1,'Monthly CUST'!$N$1:$CG$1,0)))*(1+$L39)*INDEX('Monthly CUST'!$N$2:$CG$65,MATCH($D39,'Monthly CUST'!$D$2:$D$65,0),MATCH(BR$1,'Monthly CUST'!$N$1:$CG$1,0))),IF($J39="Modeled UPC",INDEX('Monthly CUST'!$N$2:$CG$65,MATCH($D39,'Monthly CUST'!$D$2:$D$65,0),MATCH(BR$1,'Monthly CUST'!$N$1:$CG$1,0))/12*$M39,IF($J39="Base Period",BF39,IF($J39="Adjusted",SUMIF('Input 15_Fcst Inputs'!$A:$A,$D39,'Input 15_Fcst Inputs'!$G:$G)/12))))),0)</f>
        <v>3113.6771268912389</v>
      </c>
      <c r="BS39" s="483">
        <f>IFERROR(IF($J39="Historical Average",INDEX('Monthly UPC'!$CM$2:$DJ$65,MATCH($D39,'Monthly UPC'!$D$2:$D$65,0),MATCH(BS$1,'Monthly UPC'!$CM$1:$DJ$1))*(INDEX('Monthly CUST'!$N$2:$CG$65,MATCH($D39,'Monthly CUST'!$D$2:$D$65,0),MATCH(BS$1,'Monthly CUST'!$N$1:$CG$1,0))),IF($J39="UPC Growth Rate",((BG39/INDEX('Monthly CUST'!$N$2:$CG$65,MATCH($D39,'Monthly CUST'!$D$2:$D$65,0),MATCH(BG$1,'Monthly CUST'!$N$1:$CG$1,0)))*(1+$L39)*INDEX('Monthly CUST'!$N$2:$CG$65,MATCH($D39,'Monthly CUST'!$D$2:$D$65,0),MATCH(BS$1,'Monthly CUST'!$N$1:$CG$1,0))),IF($J39="Modeled UPC",INDEX('Monthly CUST'!$N$2:$CG$65,MATCH($D39,'Monthly CUST'!$D$2:$D$65,0),MATCH(BS$1,'Monthly CUST'!$N$1:$CG$1,0))/12*$M39,IF($J39="Base Period",BG39,IF($J39="Adjusted",SUMIF('Input 15_Fcst Inputs'!$A:$A,$D39,'Input 15_Fcst Inputs'!$G:$G)/12))))),0)</f>
        <v>4192.4950141000891</v>
      </c>
      <c r="BT39" s="483">
        <f>IFERROR(IF($J39="Historical Average",INDEX('Monthly UPC'!$CM$2:$DJ$65,MATCH($D39,'Monthly UPC'!$D$2:$D$65,0),MATCH(BT$1,'Monthly UPC'!$CM$1:$DJ$1))*(INDEX('Monthly CUST'!$N$2:$CG$65,MATCH($D39,'Monthly CUST'!$D$2:$D$65,0),MATCH(BT$1,'Monthly CUST'!$N$1:$CG$1,0))),IF($J39="UPC Growth Rate",((BH39/INDEX('Monthly CUST'!$N$2:$CG$65,MATCH($D39,'Monthly CUST'!$D$2:$D$65,0),MATCH(BH$1,'Monthly CUST'!$N$1:$CG$1,0)))*(1+$L39)*INDEX('Monthly CUST'!$N$2:$CG$65,MATCH($D39,'Monthly CUST'!$D$2:$D$65,0),MATCH(BT$1,'Monthly CUST'!$N$1:$CG$1,0))),IF($J39="Modeled UPC",INDEX('Monthly CUST'!$N$2:$CG$65,MATCH($D39,'Monthly CUST'!$D$2:$D$65,0),MATCH(BT$1,'Monthly CUST'!$N$1:$CG$1,0))/12*$M39,IF($J39="Base Period",BH39,IF($J39="Adjusted",SUMIF('Input 15_Fcst Inputs'!$A:$A,$D39,'Input 15_Fcst Inputs'!$G:$G)/12))))),0)</f>
        <v>3569.8625276951179</v>
      </c>
      <c r="BU39" s="483">
        <f>IFERROR(IF($J39="Historical Average",INDEX('Monthly UPC'!$CM$2:$DJ$65,MATCH($D39,'Monthly UPC'!$D$2:$D$65,0),MATCH(BU$1,'Monthly UPC'!$CM$1:$DJ$1))*(INDEX('Monthly CUST'!$N$2:$CG$65,MATCH($D39,'Monthly CUST'!$D$2:$D$65,0),MATCH(BU$1,'Monthly CUST'!$N$1:$CG$1,0))),IF($J39="UPC Growth Rate",((BI39/INDEX('Monthly CUST'!$N$2:$CG$65,MATCH($D39,'Monthly CUST'!$D$2:$D$65,0),MATCH(BI$1,'Monthly CUST'!$N$1:$CG$1,0)))*(1+$L39)*INDEX('Monthly CUST'!$N$2:$CG$65,MATCH($D39,'Monthly CUST'!$D$2:$D$65,0),MATCH(BU$1,'Monthly CUST'!$N$1:$CG$1,0))),IF($J39="Modeled UPC",INDEX('Monthly CUST'!$N$2:$CG$65,MATCH($D39,'Monthly CUST'!$D$2:$D$65,0),MATCH(BU$1,'Monthly CUST'!$N$1:$CG$1,0))/12*$M39,IF($J39="Base Period",BI39,IF($J39="Adjusted",SUMIF('Input 15_Fcst Inputs'!$A:$A,$D39,'Input 15_Fcst Inputs'!$G:$G)/12))))),0)</f>
        <v>5508.9972458732709</v>
      </c>
      <c r="BV39" s="483">
        <f>IFERROR(IF($J39="Historical Average",INDEX('Monthly UPC'!$CM$2:$DJ$65,MATCH($D39,'Monthly UPC'!$D$2:$D$65,0),MATCH(BV$1,'Monthly UPC'!$CM$1:$DJ$1))*(INDEX('Monthly CUST'!$N$2:$CG$65,MATCH($D39,'Monthly CUST'!$D$2:$D$65,0),MATCH(BV$1,'Monthly CUST'!$N$1:$CG$1,0))),IF($J39="UPC Growth Rate",((BJ39/INDEX('Monthly CUST'!$N$2:$CG$65,MATCH($D39,'Monthly CUST'!$D$2:$D$65,0),MATCH(BJ$1,'Monthly CUST'!$N$1:$CG$1,0)))*(1+$L39)*INDEX('Monthly CUST'!$N$2:$CG$65,MATCH($D39,'Monthly CUST'!$D$2:$D$65,0),MATCH(BV$1,'Monthly CUST'!$N$1:$CG$1,0))),IF($J39="Modeled UPC",INDEX('Monthly CUST'!$N$2:$CG$65,MATCH($D39,'Monthly CUST'!$D$2:$D$65,0),MATCH(BV$1,'Monthly CUST'!$N$1:$CG$1,0))/12*$M39,IF($J39="Base Period",BJ39,IF($J39="Adjusted",SUMIF('Input 15_Fcst Inputs'!$A:$A,$D39,'Input 15_Fcst Inputs'!$G:$G)/12))))),0)</f>
        <v>5563.5683061344098</v>
      </c>
      <c r="BW39" s="483">
        <f>IFERROR(IF($J39="Historical Average",INDEX('Monthly UPC'!$CM$2:$DJ$65,MATCH($D39,'Monthly UPC'!$D$2:$D$65,0),MATCH(BW$1,'Monthly UPC'!$CM$1:$DJ$1))*(INDEX('Monthly CUST'!$N$2:$CG$65,MATCH($D39,'Monthly CUST'!$D$2:$D$65,0),MATCH(BW$1,'Monthly CUST'!$N$1:$CG$1,0))),IF($J39="UPC Growth Rate",((BK39/INDEX('Monthly CUST'!$N$2:$CG$65,MATCH($D39,'Monthly CUST'!$D$2:$D$65,0),MATCH(BK$1,'Monthly CUST'!$N$1:$CG$1,0)))*(1+$L39)*INDEX('Monthly CUST'!$N$2:$CG$65,MATCH($D39,'Monthly CUST'!$D$2:$D$65,0),MATCH(BW$1,'Monthly CUST'!$N$1:$CG$1,0))),IF($J39="Modeled UPC",INDEX('Monthly CUST'!$N$2:$CG$65,MATCH($D39,'Monthly CUST'!$D$2:$D$65,0),MATCH(BW$1,'Monthly CUST'!$N$1:$CG$1,0))/12*$M39,IF($J39="Base Period",BK39,IF($J39="Adjusted",SUMIF('Input 15_Fcst Inputs'!$A:$A,$D39,'Input 15_Fcst Inputs'!$G:$G)/12))))),0)</f>
        <v>4987.0657735890018</v>
      </c>
      <c r="BX39" s="483">
        <f>IFERROR(IF($J39="Historical Average",INDEX('Monthly UPC'!$CM$2:$DJ$65,MATCH($D39,'Monthly UPC'!$D$2:$D$65,0),MATCH(BX$1,'Monthly UPC'!$CM$1:$DJ$1))*(INDEX('Monthly CUST'!$N$2:$CG$65,MATCH($D39,'Monthly CUST'!$D$2:$D$65,0),MATCH(BX$1,'Monthly CUST'!$N$1:$CG$1,0))),IF($J39="UPC Growth Rate",((BL39/INDEX('Monthly CUST'!$N$2:$CG$65,MATCH($D39,'Monthly CUST'!$D$2:$D$65,0),MATCH(BL$1,'Monthly CUST'!$N$1:$CG$1,0)))*(1+$L39)*INDEX('Monthly CUST'!$N$2:$CG$65,MATCH($D39,'Monthly CUST'!$D$2:$D$65,0),MATCH(BX$1,'Monthly CUST'!$N$1:$CG$1,0))),IF($J39="Modeled UPC",INDEX('Monthly CUST'!$N$2:$CG$65,MATCH($D39,'Monthly CUST'!$D$2:$D$65,0),MATCH(BX$1,'Monthly CUST'!$N$1:$CG$1,0))/12*$M39,IF($J39="Base Period",BL39,IF($J39="Adjusted",SUMIF('Input 15_Fcst Inputs'!$A:$A,$D39,'Input 15_Fcst Inputs'!$G:$G)/12))))),0)</f>
        <v>4109.5572919218512</v>
      </c>
      <c r="BY39" s="483">
        <f>IFERROR(IF($J39="Historical Average",INDEX('Monthly UPC'!$CM$2:$DJ$65,MATCH($D39,'Monthly UPC'!$D$2:$D$65,0),MATCH(BY$1,'Monthly UPC'!$CM$1:$DJ$1))*(INDEX('Monthly CUST'!$N$2:$CG$65,MATCH($D39,'Monthly CUST'!$D$2:$D$65,0),MATCH(BY$1,'Monthly CUST'!$N$1:$CG$1,0))),IF($J39="UPC Growth Rate",((BM39/INDEX('Monthly CUST'!$N$2:$CG$65,MATCH($D39,'Monthly CUST'!$D$2:$D$65,0),MATCH(BM$1,'Monthly CUST'!$N$1:$CG$1,0)))*(1+$L39)*INDEX('Monthly CUST'!$N$2:$CG$65,MATCH($D39,'Monthly CUST'!$D$2:$D$65,0),MATCH(BY$1,'Monthly CUST'!$N$1:$CG$1,0))),IF($J39="Modeled UPC",INDEX('Monthly CUST'!$N$2:$CG$65,MATCH($D39,'Monthly CUST'!$D$2:$D$65,0),MATCH(BY$1,'Monthly CUST'!$N$1:$CG$1,0))/12*$M39,IF($J39="Base Period",BM39,IF($J39="Adjusted",SUMIF('Input 15_Fcst Inputs'!$A:$A,$D39,'Input 15_Fcst Inputs'!$G:$G)/12))))),0)</f>
        <v>4130.5005420415146</v>
      </c>
      <c r="BZ39" s="483">
        <f>IFERROR(IF($J39="Historical Average",INDEX('Monthly UPC'!$CM$2:$DJ$65,MATCH($D39,'Monthly UPC'!$D$2:$D$65,0),MATCH(BZ$1,'Monthly UPC'!$CM$1:$DJ$1))*(INDEX('Monthly CUST'!$N$2:$CG$65,MATCH($D39,'Monthly CUST'!$D$2:$D$65,0),MATCH(BZ$1,'Monthly CUST'!$N$1:$CG$1,0))),IF($J39="UPC Growth Rate",((BN39/INDEX('Monthly CUST'!$N$2:$CG$65,MATCH($D39,'Monthly CUST'!$D$2:$D$65,0),MATCH(BN$1,'Monthly CUST'!$N$1:$CG$1,0)))*(1+$L39)*INDEX('Monthly CUST'!$N$2:$CG$65,MATCH($D39,'Monthly CUST'!$D$2:$D$65,0),MATCH(BZ$1,'Monthly CUST'!$N$1:$CG$1,0))),IF($J39="Modeled UPC",INDEX('Monthly CUST'!$N$2:$CG$65,MATCH($D39,'Monthly CUST'!$D$2:$D$65,0),MATCH(BZ$1,'Monthly CUST'!$N$1:$CG$1,0))/12*$M39,IF($J39="Base Period",BN39,IF($J39="Adjusted",SUMIF('Input 15_Fcst Inputs'!$A:$A,$D39,'Input 15_Fcst Inputs'!$G:$G)/12))))),0)</f>
        <v>2985.1665511224355</v>
      </c>
      <c r="CA39" s="483">
        <f>IFERROR(IF($J39="Historical Average",INDEX('Monthly UPC'!$CM$2:$DJ$65,MATCH($D39,'Monthly UPC'!$D$2:$D$65,0),MATCH(CA$1,'Monthly UPC'!$CM$1:$DJ$1))*(INDEX('Monthly CUST'!$N$2:$CG$65,MATCH($D39,'Monthly CUST'!$D$2:$D$65,0),MATCH(CA$1,'Monthly CUST'!$N$1:$CG$1,0))),IF($J39="UPC Growth Rate",((BO39/INDEX('Monthly CUST'!$N$2:$CG$65,MATCH($D39,'Monthly CUST'!$D$2:$D$65,0),MATCH(BO$1,'Monthly CUST'!$N$1:$CG$1,0)))*(1+$L39)*INDEX('Monthly CUST'!$N$2:$CG$65,MATCH($D39,'Monthly CUST'!$D$2:$D$65,0),MATCH(CA$1,'Monthly CUST'!$N$1:$CG$1,0))),IF($J39="Modeled UPC",INDEX('Monthly CUST'!$N$2:$CG$65,MATCH($D39,'Monthly CUST'!$D$2:$D$65,0),MATCH(CA$1,'Monthly CUST'!$N$1:$CG$1,0))/12*$M39,IF($J39="Base Period",BO39,IF($J39="Adjusted",SUMIF('Input 15_Fcst Inputs'!$A:$A,$D39,'Input 15_Fcst Inputs'!$G:$G)/12))))),0)</f>
        <v>2913.1132472950485</v>
      </c>
      <c r="CB39" s="483">
        <f>IFERROR(IF($J39="Historical Average",INDEX('Monthly UPC'!$CM$2:$DJ$65,MATCH($D39,'Monthly UPC'!$D$2:$D$65,0),MATCH(CB$1,'Monthly UPC'!$CM$1:$DJ$1))*(INDEX('Monthly CUST'!$N$2:$CG$65,MATCH($D39,'Monthly CUST'!$D$2:$D$65,0),MATCH(CB$1,'Monthly CUST'!$N$1:$CG$1,0))),IF($J39="UPC Growth Rate",((BP39/INDEX('Monthly CUST'!$N$2:$CG$65,MATCH($D39,'Monthly CUST'!$D$2:$D$65,0),MATCH(BP$1,'Monthly CUST'!$N$1:$CG$1,0)))*(1+$L39)*INDEX('Monthly CUST'!$N$2:$CG$65,MATCH($D39,'Monthly CUST'!$D$2:$D$65,0),MATCH(CB$1,'Monthly CUST'!$N$1:$CG$1,0))),IF($J39="Modeled UPC",INDEX('Monthly CUST'!$N$2:$CG$65,MATCH($D39,'Monthly CUST'!$D$2:$D$65,0),MATCH(CB$1,'Monthly CUST'!$N$1:$CG$1,0))/12*$M39,IF($J39="Base Period",BP39,IF($J39="Adjusted",SUMIF('Input 15_Fcst Inputs'!$A:$A,$D39,'Input 15_Fcst Inputs'!$G:$G)/12))))),0)</f>
        <v>2902.8166566657233</v>
      </c>
      <c r="CC39" s="483">
        <f>IFERROR(IF($J39="Historical Average",INDEX('Monthly UPC'!$CM$2:$DJ$65,MATCH($D39,'Monthly UPC'!$D$2:$D$65,0),MATCH(CC$1,'Monthly UPC'!$CM$1:$DJ$1))*(INDEX('Monthly CUST'!$N$2:$CG$65,MATCH($D39,'Monthly CUST'!$D$2:$D$65,0),MATCH(CC$1,'Monthly CUST'!$N$1:$CG$1,0))),IF($J39="UPC Growth Rate",((BQ39/INDEX('Monthly CUST'!$N$2:$CG$65,MATCH($D39,'Monthly CUST'!$D$2:$D$65,0),MATCH(BQ$1,'Monthly CUST'!$N$1:$CG$1,0)))*(1+$L39)*INDEX('Monthly CUST'!$N$2:$CG$65,MATCH($D39,'Monthly CUST'!$D$2:$D$65,0),MATCH(CC$1,'Monthly CUST'!$N$1:$CG$1,0))),IF($J39="Modeled UPC",INDEX('Monthly CUST'!$N$2:$CG$65,MATCH($D39,'Monthly CUST'!$D$2:$D$65,0),MATCH(CC$1,'Monthly CUST'!$N$1:$CG$1,0))/12*$M39,IF($J39="Base Period",BQ39,IF($J39="Adjusted",SUMIF('Input 15_Fcst Inputs'!$A:$A,$D39,'Input 15_Fcst Inputs'!$G:$G)/12))))),0)</f>
        <v>2746.868589277592</v>
      </c>
      <c r="CD39" s="483">
        <f>IFERROR(IF($J39="Historical Average",INDEX('Monthly UPC'!$CM$2:$DJ$65,MATCH($D39,'Monthly UPC'!$D$2:$D$65,0),MATCH(CD$1,'Monthly UPC'!$CM$1:$DJ$1))*(INDEX('Monthly CUST'!$N$2:$CG$65,MATCH($D39,'Monthly CUST'!$D$2:$D$65,0),MATCH(CD$1,'Monthly CUST'!$N$1:$CG$1,0))),IF($J39="UPC Growth Rate",((BR39/INDEX('Monthly CUST'!$N$2:$CG$65,MATCH($D39,'Monthly CUST'!$D$2:$D$65,0),MATCH(BR$1,'Monthly CUST'!$N$1:$CG$1,0)))*(1+$L39)*INDEX('Monthly CUST'!$N$2:$CG$65,MATCH($D39,'Monthly CUST'!$D$2:$D$65,0),MATCH(CD$1,'Monthly CUST'!$N$1:$CG$1,0))),IF($J39="Modeled UPC",INDEX('Monthly CUST'!$N$2:$CG$65,MATCH($D39,'Monthly CUST'!$D$2:$D$65,0),MATCH(CD$1,'Monthly CUST'!$N$1:$CG$1,0))/12*$M39,IF($J39="Base Period",BR39,IF($J39="Adjusted",SUMIF('Input 15_Fcst Inputs'!$A:$A,$D39,'Input 15_Fcst Inputs'!$G:$G)/12))))),0)</f>
        <v>2716.2603945169503</v>
      </c>
      <c r="CE39" s="483">
        <f>IFERROR(IF($J39="Historical Average",INDEX('Monthly UPC'!$CM$2:$DJ$65,MATCH($D39,'Monthly UPC'!$D$2:$D$65,0),MATCH(CE$1,'Monthly UPC'!$CM$1:$DJ$1))*(INDEX('Monthly CUST'!$N$2:$CG$65,MATCH($D39,'Monthly CUST'!$D$2:$D$65,0),MATCH(CE$1,'Monthly CUST'!$N$1:$CG$1,0))),IF($J39="UPC Growth Rate",((BS39/INDEX('Monthly CUST'!$N$2:$CG$65,MATCH($D39,'Monthly CUST'!$D$2:$D$65,0),MATCH(BS$1,'Monthly CUST'!$N$1:$CG$1,0)))*(1+$L39)*INDEX('Monthly CUST'!$N$2:$CG$65,MATCH($D39,'Monthly CUST'!$D$2:$D$65,0),MATCH(CE$1,'Monthly CUST'!$N$1:$CG$1,0))),IF($J39="Modeled UPC",INDEX('Monthly CUST'!$N$2:$CG$65,MATCH($D39,'Monthly CUST'!$D$2:$D$65,0),MATCH(CE$1,'Monthly CUST'!$N$1:$CG$1,0))/12*$M39,IF($J39="Base Period",BS39,IF($J39="Adjusted",SUMIF('Input 15_Fcst Inputs'!$A:$A,$D39,'Input 15_Fcst Inputs'!$G:$G)/12))))),0)</f>
        <v>3657.3824763840512</v>
      </c>
      <c r="CF39" s="483">
        <f>IFERROR(IF($J39="Historical Average",INDEX('Monthly UPC'!$CM$2:$DJ$65,MATCH($D39,'Monthly UPC'!$D$2:$D$65,0),MATCH(CF$1,'Monthly UPC'!$CM$1:$DJ$1))*(INDEX('Monthly CUST'!$N$2:$CG$65,MATCH($D39,'Monthly CUST'!$D$2:$D$65,0),MATCH(CF$1,'Monthly CUST'!$N$1:$CG$1,0))),IF($J39="UPC Growth Rate",((BT39/INDEX('Monthly CUST'!$N$2:$CG$65,MATCH($D39,'Monthly CUST'!$D$2:$D$65,0),MATCH(BT$1,'Monthly CUST'!$N$1:$CG$1,0)))*(1+$L39)*INDEX('Monthly CUST'!$N$2:$CG$65,MATCH($D39,'Monthly CUST'!$D$2:$D$65,0),MATCH(CF$1,'Monthly CUST'!$N$1:$CG$1,0))),IF($J39="Modeled UPC",INDEX('Monthly CUST'!$N$2:$CG$65,MATCH($D39,'Monthly CUST'!$D$2:$D$65,0),MATCH(CF$1,'Monthly CUST'!$N$1:$CG$1,0))/12*$M39,IF($J39="Base Period",BT39,IF($J39="Adjusted",SUMIF('Input 15_Fcst Inputs'!$A:$A,$D39,'Input 15_Fcst Inputs'!$G:$G)/12))))),0)</f>
        <v>3114.2201977537043</v>
      </c>
      <c r="CG39" s="483">
        <f>IFERROR(IF($J39="Historical Average",INDEX('Monthly UPC'!$CM$2:$DJ$65,MATCH($D39,'Monthly UPC'!$D$2:$D$65,0),MATCH(CG$1,'Monthly UPC'!$CM$1:$DJ$1))*(INDEX('Monthly CUST'!$N$2:$CG$65,MATCH($D39,'Monthly CUST'!$D$2:$D$65,0),MATCH(CG$1,'Monthly CUST'!$N$1:$CG$1,0))),IF($J39="UPC Growth Rate",((BU39/INDEX('Monthly CUST'!$N$2:$CG$65,MATCH($D39,'Monthly CUST'!$D$2:$D$65,0),MATCH(BU$1,'Monthly CUST'!$N$1:$CG$1,0)))*(1+$L39)*INDEX('Monthly CUST'!$N$2:$CG$65,MATCH($D39,'Monthly CUST'!$D$2:$D$65,0),MATCH(CG$1,'Monthly CUST'!$N$1:$CG$1,0))),IF($J39="Modeled UPC",INDEX('Monthly CUST'!$N$2:$CG$65,MATCH($D39,'Monthly CUST'!$D$2:$D$65,0),MATCH(CG$1,'Monthly CUST'!$N$1:$CG$1,0))/12*$M39,IF($J39="Base Period",BU39,IF($J39="Adjusted",SUMIF('Input 15_Fcst Inputs'!$A:$A,$D39,'Input 15_Fcst Inputs'!$G:$G)/12))))),0)</f>
        <v>4805.8518666669752</v>
      </c>
      <c r="CH39" s="197"/>
      <c r="CI39" s="197">
        <f t="shared" si="8"/>
        <v>64377.350000000006</v>
      </c>
      <c r="CJ39" s="197">
        <f t="shared" si="9"/>
        <v>54048.340000000018</v>
      </c>
      <c r="CK39" s="197">
        <f t="shared" si="10"/>
        <v>49703.5</v>
      </c>
      <c r="CL39" s="197">
        <f t="shared" si="11"/>
        <v>58648.149999999994</v>
      </c>
      <c r="CM39" s="197">
        <f t="shared" si="12"/>
        <v>51162.54530081655</v>
      </c>
      <c r="CN39" s="197">
        <f t="shared" si="13"/>
        <v>44632.371893369265</v>
      </c>
      <c r="CP39" s="4">
        <f>SUMIF('Master '!D:D,D39,'Master '!AH:AH)</f>
        <v>51162.545300816535</v>
      </c>
      <c r="CQ39" s="4">
        <f>SUMIF('Master '!D:D,D39,'Master '!AI:AI)</f>
        <v>44632.371893369251</v>
      </c>
      <c r="CR39" s="197">
        <f t="shared" si="14"/>
        <v>0</v>
      </c>
      <c r="CS39" s="197">
        <f t="shared" si="15"/>
        <v>0</v>
      </c>
      <c r="CT39" t="s">
        <v>287</v>
      </c>
      <c r="CV39" t="str">
        <f>VLOOKUP(G39,'Master '!G:CC,75,FALSE)</f>
        <v>FTS-1</v>
      </c>
    </row>
    <row r="40" spans="1:100">
      <c r="A40" s="53" t="s">
        <v>17</v>
      </c>
      <c r="B40" s="53" t="s">
        <v>993</v>
      </c>
      <c r="C40" s="53" t="s">
        <v>1245</v>
      </c>
      <c r="D40" s="53" t="s">
        <v>1305</v>
      </c>
      <c r="E40" s="53" t="str">
        <f>VLOOKUP(D40,'Input 14_Ref Table'!C:D,2,FALSE)</f>
        <v>CC812</v>
      </c>
      <c r="F40" s="143" t="s">
        <v>1287</v>
      </c>
      <c r="G40" s="53" t="str">
        <f>VLOOKUP(D40,'Input 14_Ref Table'!C:I,7,FALSE)</f>
        <v>CFG - FTS-1 - Fixed NR</v>
      </c>
      <c r="H40" s="53" t="str">
        <f>VLOOKUP(D40,'Input 14_Ref Table'!C:K,8,FALSE)</f>
        <v>FTS1</v>
      </c>
      <c r="I40" s="53"/>
      <c r="J40" t="str">
        <f>INDEX('Master '!$AD$2:AD$65,MATCH(D40,'Master '!$D$2:$D$65,0))</f>
        <v>UPC Growth Rate</v>
      </c>
      <c r="K40" s="458">
        <f>INDEX('Master '!$N$2:N$65,MATCH(D40,'Master '!$D$2:$D$65,0))</f>
        <v>-4.9605598787378136E-2</v>
      </c>
      <c r="L40" s="137">
        <f>INDEX('Master '!$S$2:S$65,MATCH(D40,'Master '!$D$2:$D$65,0))</f>
        <v>-8.2102988836874169E-2</v>
      </c>
      <c r="M40" s="4">
        <f>INDEX('Master '!$W$2:W$65,MATCH(D40,'Master '!$D$2:$D$65,0))</f>
        <v>254.90000000000003</v>
      </c>
      <c r="N40" s="268">
        <f>SUMIF('Input 16.1_2018VOL-YTD'!$R:$R,$G40,'Input 16.1_2018VOL-YTD'!C:C)</f>
        <v>389.46</v>
      </c>
      <c r="O40" s="268">
        <f>SUMIF('Input 16.1_2018VOL-YTD'!$R:$R,$G40,'Input 16.1_2018VOL-YTD'!D:D)</f>
        <v>159.34</v>
      </c>
      <c r="P40" s="268">
        <f>SUMIF('Input 16.1_2018VOL-YTD'!$R:$R,$G40,'Input 16.1_2018VOL-YTD'!E:E)</f>
        <v>165.08</v>
      </c>
      <c r="Q40" s="268">
        <f>SUMIF('Input 16.1_2018VOL-YTD'!$R:$R,$G40,'Input 16.1_2018VOL-YTD'!F:F)</f>
        <v>165.35</v>
      </c>
      <c r="R40" s="268">
        <f>SUMIF('Input 16.1_2018VOL-YTD'!$R:$R,$G40,'Input 16.1_2018VOL-YTD'!G:G)</f>
        <v>671.19</v>
      </c>
      <c r="S40" s="268">
        <f>SUMIF('Input 16.1_2018VOL-YTD'!$R:$R,$G40,'Input 16.1_2018VOL-YTD'!H:H)</f>
        <v>362.63</v>
      </c>
      <c r="T40" s="268">
        <f>SUMIF('Input 16.1_2018VOL-YTD'!$R:$R,$G40,'Input 16.1_2018VOL-YTD'!I:I)</f>
        <v>411</v>
      </c>
      <c r="U40" s="268">
        <f>SUMIF('Input 16.1_2018VOL-YTD'!$R:$R,$G40,'Input 16.1_2018VOL-YTD'!J:J)</f>
        <v>431.48</v>
      </c>
      <c r="V40" s="268">
        <f>SUMIF('Input 16.1_2018VOL-YTD'!$R:$R,$G40,'Input 16.1_2018VOL-YTD'!K:K)</f>
        <v>461</v>
      </c>
      <c r="W40" s="268">
        <f>SUMIF('Input 16.1_2018VOL-YTD'!$R:$R,$G40,'Input 16.1_2018VOL-YTD'!L:L)</f>
        <v>418.15</v>
      </c>
      <c r="X40" s="268">
        <f>SUMIF('Input 16.1_2018VOL-YTD'!$R:$R,$G40,'Input 16.1_2018VOL-YTD'!M:M)</f>
        <v>477.35</v>
      </c>
      <c r="Y40" s="268">
        <f>SUMIF('Input 16.1_2018VOL-YTD'!$R:$R,$G40,'Input 16.1_2018VOL-YTD'!N:N)</f>
        <v>606.78</v>
      </c>
      <c r="Z40" s="268">
        <f>SUMIF('Input 3.1_2019VOL-YTD'!$R:$R,$G40,'Input 3.1_2019VOL-YTD'!C:C)</f>
        <v>552</v>
      </c>
      <c r="AA40" s="268">
        <f>SUMIF('Input 3.1_2019VOL-YTD'!$R:$R,$G40,'Input 3.1_2019VOL-YTD'!D:D)</f>
        <v>4155.09</v>
      </c>
      <c r="AB40" s="268">
        <f>SUMIF('Input 3.1_2019VOL-YTD'!$R:$R,$G40,'Input 3.1_2019VOL-YTD'!E:E)</f>
        <v>-2979.33</v>
      </c>
      <c r="AC40" s="268">
        <f>SUMIF('Input 3.1_2019VOL-YTD'!$R:$R,$G40,'Input 3.1_2019VOL-YTD'!F:F)</f>
        <v>565.6</v>
      </c>
      <c r="AD40" s="268">
        <f>SUMIF('Input 3.1_2019VOL-YTD'!$R:$R,$G40,'Input 3.1_2019VOL-YTD'!G:G)</f>
        <v>504.44</v>
      </c>
      <c r="AE40" s="268">
        <f>SUMIF('Input 3.1_2019VOL-YTD'!$R:$R,$G40,'Input 3.1_2019VOL-YTD'!H:H)</f>
        <v>436.25</v>
      </c>
      <c r="AF40" s="268">
        <f>SUMIF('Input 3.1_2019VOL-YTD'!$R:$R,$G40,'Input 3.1_2019VOL-YTD'!I:I)</f>
        <v>366.2</v>
      </c>
      <c r="AG40" s="268">
        <f>SUMIF('Input 3.1_2019VOL-YTD'!$R:$R,$G40,'Input 3.1_2019VOL-YTD'!J:J)</f>
        <v>411.6</v>
      </c>
      <c r="AH40" s="268">
        <f>SUMIF('Input 3.1_2019VOL-YTD'!$R:$R,$G40,'Input 3.1_2019VOL-YTD'!K:K)</f>
        <v>401.16</v>
      </c>
      <c r="AI40" s="268">
        <f>SUMIF('Input 3.1_2019VOL-YTD'!$R:$R,$G40,'Input 3.1_2019VOL-YTD'!L:L)</f>
        <v>426.3</v>
      </c>
      <c r="AJ40" s="268">
        <f>SUMIF('Input 3.1_2019VOL-YTD'!$R:$R,$G40,'Input 3.1_2019VOL-YTD'!M:M)</f>
        <v>555</v>
      </c>
      <c r="AK40" s="268">
        <f>SUMIF('Input 3.1_2019VOL-YTD'!$R:$R,$G40,'Input 3.1_2019VOL-YTD'!N:N)</f>
        <v>589.16999999999996</v>
      </c>
      <c r="AL40" s="268">
        <f>SUMIF('Input 4.1_2020VOL-YTD'!$R:$R,$G40,'Input 4.1_2020VOL-YTD'!C:C)</f>
        <v>543.84</v>
      </c>
      <c r="AM40" s="268">
        <f>SUMIF('Input 4.1_2020VOL-YTD'!$R:$R,$G40,'Input 4.1_2020VOL-YTD'!D:D)</f>
        <v>493.86</v>
      </c>
      <c r="AN40" s="268">
        <f>SUMIF('Input 4.1_2020VOL-YTD'!$R:$R,$G40,'Input 4.1_2020VOL-YTD'!E:E)</f>
        <v>461.81</v>
      </c>
      <c r="AO40" s="268">
        <f>SUMIF('Input 4.1_2020VOL-YTD'!$R:$R,$G40,'Input 4.1_2020VOL-YTD'!F:F)</f>
        <v>322.88</v>
      </c>
      <c r="AP40" s="268">
        <f>SUMIF('Input 4.1_2020VOL-YTD'!$R:$R,$G40,'Input 4.1_2020VOL-YTD'!G:G)</f>
        <v>322.10000000000002</v>
      </c>
      <c r="AQ40" s="268">
        <f>SUMIF('Input 4.1_2020VOL-YTD'!$R:$R,$G40,'Input 4.1_2020VOL-YTD'!H:H)</f>
        <v>512.94000000000005</v>
      </c>
      <c r="AR40" s="268">
        <f>SUMIF('Input 4.1_2020VOL-YTD'!$R:$R,$G40,'Input 4.1_2020VOL-YTD'!I:I)</f>
        <v>542.54</v>
      </c>
      <c r="AS40" s="268">
        <f>SUMIF('Input 4.1_2020VOL-YTD'!$R:$R,$G40,'Input 4.1_2020VOL-YTD'!J:J)</f>
        <v>624.33000000000004</v>
      </c>
      <c r="AT40" s="268">
        <f>SUMIF('Input 4.1_2020VOL-YTD'!$R:$R,$G40,'Input 4.1_2020VOL-YTD'!K:K)</f>
        <v>574.72</v>
      </c>
      <c r="AU40" s="268">
        <f>SUMIF('Input 4.1_2020VOL-YTD'!$R:$R,$G40,'Input 4.1_2020VOL-YTD'!L:L)</f>
        <v>485.46</v>
      </c>
      <c r="AV40" s="268">
        <f>SUMIF('Input 4.1_2020VOL-YTD'!$R:$R,$G40,'Input 4.1_2020VOL-YTD'!M:M)</f>
        <v>559.62</v>
      </c>
      <c r="AW40" s="268">
        <f>SUMIF('Input 4.1_2020VOL-YTD'!$R:$R,$G40,'Input 4.1_2020VOL-YTD'!N:N)</f>
        <v>739.48</v>
      </c>
      <c r="AX40" s="268">
        <f>SUMIF('Input 5.1_2021VOL-YTD'!$R:$R,$G40,'Input 5.1_2021VOL-YTD'!C:C)</f>
        <v>672.54</v>
      </c>
      <c r="AY40" s="268">
        <f>SUMIF('Input 5.1_2021VOL-YTD'!$R:$R,$G40,'Input 5.1_2021VOL-YTD'!D:D)</f>
        <v>585.37</v>
      </c>
      <c r="AZ40" s="268">
        <f>SUMIF('Input 5.1_2021VOL-YTD'!$R:$R,$G40,'Input 5.1_2021VOL-YTD'!E:E)</f>
        <v>543.95000000000005</v>
      </c>
      <c r="BA40" s="268">
        <f>SUMIF('Input 5.1_2021VOL-YTD'!$R:$R,$G40,'Input 5.1_2021VOL-YTD'!F:F)</f>
        <v>660.44</v>
      </c>
      <c r="BB40" s="268">
        <f>SUMIF('Input 5.1_2021VOL-YTD'!$R:$R,$G40,'Input 5.1_2021VOL-YTD'!G:G)</f>
        <v>497.09</v>
      </c>
      <c r="BC40" s="268">
        <f>SUMIF('Input 5.1_2021VOL-YTD'!$R:$R,$G40,'Input 5.1_2021VOL-YTD'!H:H)</f>
        <v>538.77</v>
      </c>
      <c r="BD40" s="268">
        <f>SUMIF('Input 5.1_2021VOL-YTD'!$R:$R,$G40,'Input 5.1_2021VOL-YTD'!I:I)</f>
        <v>560.59</v>
      </c>
      <c r="BE40" s="268">
        <f>SUMIF('Input 5.1_2021VOL-YTD'!$R:$R,$G40,'Input 5.1_2021VOL-YTD'!J:J)</f>
        <v>592.87</v>
      </c>
      <c r="BF40" s="268">
        <f>SUMIF('Input 5.1_2021VOL-YTD'!$R:$R,$G40,'Input 5.1_2021VOL-YTD'!K:K)</f>
        <v>605.74</v>
      </c>
      <c r="BG40" s="268">
        <f>SUMIF('Input 5.1_2021VOL-YTD'!$R:$R,$G40,'Input 5.1_2021VOL-YTD'!L:L)</f>
        <v>533.71</v>
      </c>
      <c r="BH40" s="268">
        <f>SUMIF('Input 5.1_2021VOL-YTD'!$R:$R,$G40,'Input 5.1_2021VOL-YTD'!M:M)</f>
        <v>563.61</v>
      </c>
      <c r="BI40" s="268">
        <f>SUMIF('Input 5.1_2021VOL-YTD'!$R:$R,$G40,'Input 5.1_2021VOL-YTD'!N:N)</f>
        <v>824.48</v>
      </c>
      <c r="BJ40" s="483">
        <f>IFERROR(IF($J40="Historical Average",INDEX('Monthly UPC'!$CM$2:$DJ$65,MATCH($D40,'Monthly UPC'!$D$2:$D$65,0),MATCH(BJ$1,'Monthly UPC'!$CM$1:$DJ$1))*(INDEX('Monthly CUST'!$N$2:$CG$65,MATCH($D40,'Monthly CUST'!$D$2:$D$65,0),MATCH(BJ$1,'Monthly CUST'!$N$1:$CG$1,0))),IF($J40="UPC Growth Rate",((AX40/INDEX('Monthly CUST'!$N$2:$CG$65,MATCH($D40,'Monthly CUST'!$D$2:$D$65,0),MATCH(AX$1,'Monthly CUST'!$N$1:$CG$1,0)))*(1+$L40)*INDEX('Monthly CUST'!$N$2:$CG$65,MATCH($D40,'Monthly CUST'!$D$2:$D$65,0),MATCH(BJ$1,'Monthly CUST'!$N$1:$CG$1,0))),IF($J40="Modeled UPC",INDEX('Monthly CUST'!$N$2:$CG$65,MATCH($D40,'Monthly CUST'!$D$2:$D$65,0),MATCH(BJ$1,'Monthly CUST'!$N$1:$CG$1,0))/12*$M40,IF($J40="Base Period",AX40,IF($J40="Adjusted",SUMIF('Input 15_Fcst Inputs'!$A:$A,$D40,'Input 15_Fcst Inputs'!$G:$G)/12))))),0)</f>
        <v>586.69980581844698</v>
      </c>
      <c r="BK40" s="483">
        <f>IFERROR(IF($J40="Historical Average",INDEX('Monthly UPC'!$CM$2:$DJ$65,MATCH($D40,'Monthly UPC'!$D$2:$D$65,0),MATCH(BK$1,'Monthly UPC'!$CM$1:$DJ$1))*(INDEX('Monthly CUST'!$N$2:$CG$65,MATCH($D40,'Monthly CUST'!$D$2:$D$65,0),MATCH(BK$1,'Monthly CUST'!$N$1:$CG$1,0))),IF($J40="UPC Growth Rate",((AY40/INDEX('Monthly CUST'!$N$2:$CG$65,MATCH($D40,'Monthly CUST'!$D$2:$D$65,0),MATCH(AY$1,'Monthly CUST'!$N$1:$CG$1,0)))*(1+$L40)*INDEX('Monthly CUST'!$N$2:$CG$65,MATCH($D40,'Monthly CUST'!$D$2:$D$65,0),MATCH(BK$1,'Monthly CUST'!$N$1:$CG$1,0))),IF($J40="Modeled UPC",INDEX('Monthly CUST'!$N$2:$CG$65,MATCH($D40,'Monthly CUST'!$D$2:$D$65,0),MATCH(BK$1,'Monthly CUST'!$N$1:$CG$1,0))/12*$M40,IF($J40="Base Period",AY40,IF($J40="Adjusted",SUMIF('Input 15_Fcst Inputs'!$A:$A,$D40,'Input 15_Fcst Inputs'!$G:$G)/12))))),0)</f>
        <v>510.65582022176284</v>
      </c>
      <c r="BL40" s="483">
        <f>IFERROR(IF($J40="Historical Average",INDEX('Monthly UPC'!$CM$2:$DJ$65,MATCH($D40,'Monthly UPC'!$D$2:$D$65,0),MATCH(BL$1,'Monthly UPC'!$CM$1:$DJ$1))*(INDEX('Monthly CUST'!$N$2:$CG$65,MATCH($D40,'Monthly CUST'!$D$2:$D$65,0),MATCH(BL$1,'Monthly CUST'!$N$1:$CG$1,0))),IF($J40="UPC Growth Rate",((AZ40/INDEX('Monthly CUST'!$N$2:$CG$65,MATCH($D40,'Monthly CUST'!$D$2:$D$65,0),MATCH(AZ$1,'Monthly CUST'!$N$1:$CG$1,0)))*(1+$L40)*INDEX('Monthly CUST'!$N$2:$CG$65,MATCH($D40,'Monthly CUST'!$D$2:$D$65,0),MATCH(BL$1,'Monthly CUST'!$N$1:$CG$1,0))),IF($J40="Modeled UPC",INDEX('Monthly CUST'!$N$2:$CG$65,MATCH($D40,'Monthly CUST'!$D$2:$D$65,0),MATCH(BL$1,'Monthly CUST'!$N$1:$CG$1,0))/12*$M40,IF($J40="Base Period",AZ40,IF($J40="Adjusted",SUMIF('Input 15_Fcst Inputs'!$A:$A,$D40,'Input 15_Fcst Inputs'!$G:$G)/12))))),0)</f>
        <v>474.52249587376849</v>
      </c>
      <c r="BM40" s="483">
        <f>IFERROR(IF($J40="Historical Average",INDEX('Monthly UPC'!$CM$2:$DJ$65,MATCH($D40,'Monthly UPC'!$D$2:$D$65,0),MATCH(BM$1,'Monthly UPC'!$CM$1:$DJ$1))*(INDEX('Monthly CUST'!$N$2:$CG$65,MATCH($D40,'Monthly CUST'!$D$2:$D$65,0),MATCH(BM$1,'Monthly CUST'!$N$1:$CG$1,0))),IF($J40="UPC Growth Rate",((BA40/INDEX('Monthly CUST'!$N$2:$CG$65,MATCH($D40,'Monthly CUST'!$D$2:$D$65,0),MATCH(BA$1,'Monthly CUST'!$N$1:$CG$1,0)))*(1+$L40)*INDEX('Monthly CUST'!$N$2:$CG$65,MATCH($D40,'Monthly CUST'!$D$2:$D$65,0),MATCH(BM$1,'Monthly CUST'!$N$1:$CG$1,0))),IF($J40="Modeled UPC",INDEX('Monthly CUST'!$N$2:$CG$65,MATCH($D40,'Monthly CUST'!$D$2:$D$65,0),MATCH(BM$1,'Monthly CUST'!$N$1:$CG$1,0))/12*$M40,IF($J40="Base Period",BA40,IF($J40="Adjusted",SUMIF('Input 15_Fcst Inputs'!$A:$A,$D40,'Input 15_Fcst Inputs'!$G:$G)/12))))),0)</f>
        <v>576.14419923682624</v>
      </c>
      <c r="BN40" s="483">
        <f>IFERROR(IF($J40="Historical Average",INDEX('Monthly UPC'!$CM$2:$DJ$65,MATCH($D40,'Monthly UPC'!$D$2:$D$65,0),MATCH(BN$1,'Monthly UPC'!$CM$1:$DJ$1))*(INDEX('Monthly CUST'!$N$2:$CG$65,MATCH($D40,'Monthly CUST'!$D$2:$D$65,0),MATCH(BN$1,'Monthly CUST'!$N$1:$CG$1,0))),IF($J40="UPC Growth Rate",((BB40/INDEX('Monthly CUST'!$N$2:$CG$65,MATCH($D40,'Monthly CUST'!$D$2:$D$65,0),MATCH(BB$1,'Monthly CUST'!$N$1:$CG$1,0)))*(1+$L40)*INDEX('Monthly CUST'!$N$2:$CG$65,MATCH($D40,'Monthly CUST'!$D$2:$D$65,0),MATCH(BN$1,'Monthly CUST'!$N$1:$CG$1,0))),IF($J40="Modeled UPC",INDEX('Monthly CUST'!$N$2:$CG$65,MATCH($D40,'Monthly CUST'!$D$2:$D$65,0),MATCH(BN$1,'Monthly CUST'!$N$1:$CG$1,0))/12*$M40,IF($J40="Base Period",BB40,IF($J40="Adjusted",SUMIF('Input 15_Fcst Inputs'!$A:$A,$D40,'Input 15_Fcst Inputs'!$G:$G)/12))))),0)</f>
        <v>433.64351038494624</v>
      </c>
      <c r="BO40" s="483">
        <f>IFERROR(IF($J40="Historical Average",INDEX('Monthly UPC'!$CM$2:$DJ$65,MATCH($D40,'Monthly UPC'!$D$2:$D$65,0),MATCH(BO$1,'Monthly UPC'!$CM$1:$DJ$1))*(INDEX('Monthly CUST'!$N$2:$CG$65,MATCH($D40,'Monthly CUST'!$D$2:$D$65,0),MATCH(BO$1,'Monthly CUST'!$N$1:$CG$1,0))),IF($J40="UPC Growth Rate",((BC40/INDEX('Monthly CUST'!$N$2:$CG$65,MATCH($D40,'Monthly CUST'!$D$2:$D$65,0),MATCH(BC$1,'Monthly CUST'!$N$1:$CG$1,0)))*(1+$L40)*INDEX('Monthly CUST'!$N$2:$CG$65,MATCH($D40,'Monthly CUST'!$D$2:$D$65,0),MATCH(BO$1,'Monthly CUST'!$N$1:$CG$1,0))),IF($J40="Modeled UPC",INDEX('Monthly CUST'!$N$2:$CG$65,MATCH($D40,'Monthly CUST'!$D$2:$D$65,0),MATCH(BO$1,'Monthly CUST'!$N$1:$CG$1,0))/12*$M40,IF($J40="Base Period",BC40,IF($J40="Adjusted",SUMIF('Input 15_Fcst Inputs'!$A:$A,$D40,'Input 15_Fcst Inputs'!$G:$G)/12))))),0)</f>
        <v>470.00364941981837</v>
      </c>
      <c r="BP40" s="483">
        <f>IFERROR(IF($J40="Historical Average",INDEX('Monthly UPC'!$CM$2:$DJ$65,MATCH($D40,'Monthly UPC'!$D$2:$D$65,0),MATCH(BP$1,'Monthly UPC'!$CM$1:$DJ$1))*(INDEX('Monthly CUST'!$N$2:$CG$65,MATCH($D40,'Monthly CUST'!$D$2:$D$65,0),MATCH(BP$1,'Monthly CUST'!$N$1:$CG$1,0))),IF($J40="UPC Growth Rate",((BD40/INDEX('Monthly CUST'!$N$2:$CG$65,MATCH($D40,'Monthly CUST'!$D$2:$D$65,0),MATCH(BD$1,'Monthly CUST'!$N$1:$CG$1,0)))*(1+$L40)*INDEX('Monthly CUST'!$N$2:$CG$65,MATCH($D40,'Monthly CUST'!$D$2:$D$65,0),MATCH(BP$1,'Monthly CUST'!$N$1:$CG$1,0))),IF($J40="Modeled UPC",INDEX('Monthly CUST'!$N$2:$CG$65,MATCH($D40,'Monthly CUST'!$D$2:$D$65,0),MATCH(BP$1,'Monthly CUST'!$N$1:$CG$1,0))/12*$M40,IF($J40="Base Period",BD40,IF($J40="Adjusted",SUMIF('Input 15_Fcst Inputs'!$A:$A,$D40,'Input 15_Fcst Inputs'!$G:$G)/12))))),0)</f>
        <v>489.03863583394781</v>
      </c>
      <c r="BQ40" s="483">
        <f>IFERROR(IF($J40="Historical Average",INDEX('Monthly UPC'!$CM$2:$DJ$65,MATCH($D40,'Monthly UPC'!$D$2:$D$65,0),MATCH(BQ$1,'Monthly UPC'!$CM$1:$DJ$1))*(INDEX('Monthly CUST'!$N$2:$CG$65,MATCH($D40,'Monthly CUST'!$D$2:$D$65,0),MATCH(BQ$1,'Monthly CUST'!$N$1:$CG$1,0))),IF($J40="UPC Growth Rate",((BE40/INDEX('Monthly CUST'!$N$2:$CG$65,MATCH($D40,'Monthly CUST'!$D$2:$D$65,0),MATCH(BE$1,'Monthly CUST'!$N$1:$CG$1,0)))*(1+$L40)*INDEX('Monthly CUST'!$N$2:$CG$65,MATCH($D40,'Monthly CUST'!$D$2:$D$65,0),MATCH(BQ$1,'Monthly CUST'!$N$1:$CG$1,0))),IF($J40="Modeled UPC",INDEX('Monthly CUST'!$N$2:$CG$65,MATCH($D40,'Monthly CUST'!$D$2:$D$65,0),MATCH(BQ$1,'Monthly CUST'!$N$1:$CG$1,0))/12*$M40,IF($J40="Base Period",BE40,IF($J40="Adjusted",SUMIF('Input 15_Fcst Inputs'!$A:$A,$D40,'Input 15_Fcst Inputs'!$G:$G)/12))))),0)</f>
        <v>517.19855157400707</v>
      </c>
      <c r="BR40" s="483">
        <f>IFERROR(IF($J40="Historical Average",INDEX('Monthly UPC'!$CM$2:$DJ$65,MATCH($D40,'Monthly UPC'!$D$2:$D$65,0),MATCH(BR$1,'Monthly UPC'!$CM$1:$DJ$1))*(INDEX('Monthly CUST'!$N$2:$CG$65,MATCH($D40,'Monthly CUST'!$D$2:$D$65,0),MATCH(BR$1,'Monthly CUST'!$N$1:$CG$1,0))),IF($J40="UPC Growth Rate",((BF40/INDEX('Monthly CUST'!$N$2:$CG$65,MATCH($D40,'Monthly CUST'!$D$2:$D$65,0),MATCH(BF$1,'Monthly CUST'!$N$1:$CG$1,0)))*(1+$L40)*INDEX('Monthly CUST'!$N$2:$CG$65,MATCH($D40,'Monthly CUST'!$D$2:$D$65,0),MATCH(BR$1,'Monthly CUST'!$N$1:$CG$1,0))),IF($J40="Modeled UPC",INDEX('Monthly CUST'!$N$2:$CG$65,MATCH($D40,'Monthly CUST'!$D$2:$D$65,0),MATCH(BR$1,'Monthly CUST'!$N$1:$CG$1,0))/12*$M40,IF($J40="Base Period",BF40,IF($J40="Adjusted",SUMIF('Input 15_Fcst Inputs'!$A:$A,$D40,'Input 15_Fcst Inputs'!$G:$G)/12))))),0)</f>
        <v>528.42587857445812</v>
      </c>
      <c r="BS40" s="483">
        <f>IFERROR(IF($J40="Historical Average",INDEX('Monthly UPC'!$CM$2:$DJ$65,MATCH($D40,'Monthly UPC'!$D$2:$D$65,0),MATCH(BS$1,'Monthly UPC'!$CM$1:$DJ$1))*(INDEX('Monthly CUST'!$N$2:$CG$65,MATCH($D40,'Monthly CUST'!$D$2:$D$65,0),MATCH(BS$1,'Monthly CUST'!$N$1:$CG$1,0))),IF($J40="UPC Growth Rate",((BG40/INDEX('Monthly CUST'!$N$2:$CG$65,MATCH($D40,'Monthly CUST'!$D$2:$D$65,0),MATCH(BG$1,'Monthly CUST'!$N$1:$CG$1,0)))*(1+$L40)*INDEX('Monthly CUST'!$N$2:$CG$65,MATCH($D40,'Monthly CUST'!$D$2:$D$65,0),MATCH(BS$1,'Monthly CUST'!$N$1:$CG$1,0))),IF($J40="Modeled UPC",INDEX('Monthly CUST'!$N$2:$CG$65,MATCH($D40,'Monthly CUST'!$D$2:$D$65,0),MATCH(BS$1,'Monthly CUST'!$N$1:$CG$1,0))/12*$M40,IF($J40="Base Period",BG40,IF($J40="Adjusted",SUMIF('Input 15_Fcst Inputs'!$A:$A,$D40,'Input 15_Fcst Inputs'!$G:$G)/12))))),0)</f>
        <v>465.58948666750433</v>
      </c>
      <c r="BT40" s="483">
        <f>IFERROR(IF($J40="Historical Average",INDEX('Monthly UPC'!$CM$2:$DJ$65,MATCH($D40,'Monthly UPC'!$D$2:$D$65,0),MATCH(BT$1,'Monthly UPC'!$CM$1:$DJ$1))*(INDEX('Monthly CUST'!$N$2:$CG$65,MATCH($D40,'Monthly CUST'!$D$2:$D$65,0),MATCH(BT$1,'Monthly CUST'!$N$1:$CG$1,0))),IF($J40="UPC Growth Rate",((BH40/INDEX('Monthly CUST'!$N$2:$CG$65,MATCH($D40,'Monthly CUST'!$D$2:$D$65,0),MATCH(BH$1,'Monthly CUST'!$N$1:$CG$1,0)))*(1+$L40)*INDEX('Monthly CUST'!$N$2:$CG$65,MATCH($D40,'Monthly CUST'!$D$2:$D$65,0),MATCH(BT$1,'Monthly CUST'!$N$1:$CG$1,0))),IF($J40="Modeled UPC",INDEX('Monthly CUST'!$N$2:$CG$65,MATCH($D40,'Monthly CUST'!$D$2:$D$65,0),MATCH(BT$1,'Monthly CUST'!$N$1:$CG$1,0))/12*$M40,IF($J40="Base Period",BH40,IF($J40="Adjusted",SUMIF('Input 15_Fcst Inputs'!$A:$A,$D40,'Input 15_Fcst Inputs'!$G:$G)/12))))),0)</f>
        <v>491.67317565845144</v>
      </c>
      <c r="BU40" s="483">
        <f>IFERROR(IF($J40="Historical Average",INDEX('Monthly UPC'!$CM$2:$DJ$65,MATCH($D40,'Monthly UPC'!$D$2:$D$65,0),MATCH(BU$1,'Monthly UPC'!$CM$1:$DJ$1))*(INDEX('Monthly CUST'!$N$2:$CG$65,MATCH($D40,'Monthly CUST'!$D$2:$D$65,0),MATCH(BU$1,'Monthly CUST'!$N$1:$CG$1,0))),IF($J40="UPC Growth Rate",((BI40/INDEX('Monthly CUST'!$N$2:$CG$65,MATCH($D40,'Monthly CUST'!$D$2:$D$65,0),MATCH(BI$1,'Monthly CUST'!$N$1:$CG$1,0)))*(1+$L40)*INDEX('Monthly CUST'!$N$2:$CG$65,MATCH($D40,'Monthly CUST'!$D$2:$D$65,0),MATCH(BU$1,'Monthly CUST'!$N$1:$CG$1,0))),IF($J40="Modeled UPC",INDEX('Monthly CUST'!$N$2:$CG$65,MATCH($D40,'Monthly CUST'!$D$2:$D$65,0),MATCH(BU$1,'Monthly CUST'!$N$1:$CG$1,0))/12*$M40,IF($J40="Base Period",BI40,IF($J40="Adjusted",SUMIF('Input 15_Fcst Inputs'!$A:$A,$D40,'Input 15_Fcst Inputs'!$G:$G)/12))))),0)</f>
        <v>719.24681937311266</v>
      </c>
      <c r="BV40" s="483">
        <f>IFERROR(IF($J40="Historical Average",INDEX('Monthly UPC'!$CM$2:$DJ$65,MATCH($D40,'Monthly UPC'!$D$2:$D$65,0),MATCH(BV$1,'Monthly UPC'!$CM$1:$DJ$1))*(INDEX('Monthly CUST'!$N$2:$CG$65,MATCH($D40,'Monthly CUST'!$D$2:$D$65,0),MATCH(BV$1,'Monthly CUST'!$N$1:$CG$1,0))),IF($J40="UPC Growth Rate",((BJ40/INDEX('Monthly CUST'!$N$2:$CG$65,MATCH($D40,'Monthly CUST'!$D$2:$D$65,0),MATCH(BJ$1,'Monthly CUST'!$N$1:$CG$1,0)))*(1+$L40)*INDEX('Monthly CUST'!$N$2:$CG$65,MATCH($D40,'Monthly CUST'!$D$2:$D$65,0),MATCH(BV$1,'Monthly CUST'!$N$1:$CG$1,0))),IF($J40="Modeled UPC",INDEX('Monthly CUST'!$N$2:$CG$65,MATCH($D40,'Monthly CUST'!$D$2:$D$65,0),MATCH(BV$1,'Monthly CUST'!$N$1:$CG$1,0))/12*$M40,IF($J40="Base Period",BJ40,IF($J40="Adjusted",SUMIF('Input 15_Fcst Inputs'!$A:$A,$D40,'Input 15_Fcst Inputs'!$G:$G)/12))))),0)</f>
        <v>511.8158951845295</v>
      </c>
      <c r="BW40" s="483">
        <f>IFERROR(IF($J40="Historical Average",INDEX('Monthly UPC'!$CM$2:$DJ$65,MATCH($D40,'Monthly UPC'!$D$2:$D$65,0),MATCH(BW$1,'Monthly UPC'!$CM$1:$DJ$1))*(INDEX('Monthly CUST'!$N$2:$CG$65,MATCH($D40,'Monthly CUST'!$D$2:$D$65,0),MATCH(BW$1,'Monthly CUST'!$N$1:$CG$1,0))),IF($J40="UPC Growth Rate",((BK40/INDEX('Monthly CUST'!$N$2:$CG$65,MATCH($D40,'Monthly CUST'!$D$2:$D$65,0),MATCH(BK$1,'Monthly CUST'!$N$1:$CG$1,0)))*(1+$L40)*INDEX('Monthly CUST'!$N$2:$CG$65,MATCH($D40,'Monthly CUST'!$D$2:$D$65,0),MATCH(BW$1,'Monthly CUST'!$N$1:$CG$1,0))),IF($J40="Modeled UPC",INDEX('Monthly CUST'!$N$2:$CG$65,MATCH($D40,'Monthly CUST'!$D$2:$D$65,0),MATCH(BW$1,'Monthly CUST'!$N$1:$CG$1,0))/12*$M40,IF($J40="Base Period",BK40,IF($J40="Adjusted",SUMIF('Input 15_Fcst Inputs'!$A:$A,$D40,'Input 15_Fcst Inputs'!$G:$G)/12))))),0)</f>
        <v>445.47784602279131</v>
      </c>
      <c r="BX40" s="483">
        <f>IFERROR(IF($J40="Historical Average",INDEX('Monthly UPC'!$CM$2:$DJ$65,MATCH($D40,'Monthly UPC'!$D$2:$D$65,0),MATCH(BX$1,'Monthly UPC'!$CM$1:$DJ$1))*(INDEX('Monthly CUST'!$N$2:$CG$65,MATCH($D40,'Monthly CUST'!$D$2:$D$65,0),MATCH(BX$1,'Monthly CUST'!$N$1:$CG$1,0))),IF($J40="UPC Growth Rate",((BL40/INDEX('Monthly CUST'!$N$2:$CG$65,MATCH($D40,'Monthly CUST'!$D$2:$D$65,0),MATCH(BL$1,'Monthly CUST'!$N$1:$CG$1,0)))*(1+$L40)*INDEX('Monthly CUST'!$N$2:$CG$65,MATCH($D40,'Monthly CUST'!$D$2:$D$65,0),MATCH(BX$1,'Monthly CUST'!$N$1:$CG$1,0))),IF($J40="Modeled UPC",INDEX('Monthly CUST'!$N$2:$CG$65,MATCH($D40,'Monthly CUST'!$D$2:$D$65,0),MATCH(BX$1,'Monthly CUST'!$N$1:$CG$1,0))/12*$M40,IF($J40="Base Period",BL40,IF($J40="Adjusted",SUMIF('Input 15_Fcst Inputs'!$A:$A,$D40,'Input 15_Fcst Inputs'!$G:$G)/12))))),0)</f>
        <v>413.95642814646686</v>
      </c>
      <c r="BY40" s="483">
        <f>IFERROR(IF($J40="Historical Average",INDEX('Monthly UPC'!$CM$2:$DJ$65,MATCH($D40,'Monthly UPC'!$D$2:$D$65,0),MATCH(BY$1,'Monthly UPC'!$CM$1:$DJ$1))*(INDEX('Monthly CUST'!$N$2:$CG$65,MATCH($D40,'Monthly CUST'!$D$2:$D$65,0),MATCH(BY$1,'Monthly CUST'!$N$1:$CG$1,0))),IF($J40="UPC Growth Rate",((BM40/INDEX('Monthly CUST'!$N$2:$CG$65,MATCH($D40,'Monthly CUST'!$D$2:$D$65,0),MATCH(BM$1,'Monthly CUST'!$N$1:$CG$1,0)))*(1+$L40)*INDEX('Monthly CUST'!$N$2:$CG$65,MATCH($D40,'Monthly CUST'!$D$2:$D$65,0),MATCH(BY$1,'Monthly CUST'!$N$1:$CG$1,0))),IF($J40="Modeled UPC",INDEX('Monthly CUST'!$N$2:$CG$65,MATCH($D40,'Monthly CUST'!$D$2:$D$65,0),MATCH(BY$1,'Monthly CUST'!$N$1:$CG$1,0))/12*$M40,IF($J40="Base Period",BM40,IF($J40="Adjusted",SUMIF('Input 15_Fcst Inputs'!$A:$A,$D40,'Input 15_Fcst Inputs'!$G:$G)/12))))),0)</f>
        <v>502.60756210139272</v>
      </c>
      <c r="BZ40" s="483">
        <f>IFERROR(IF($J40="Historical Average",INDEX('Monthly UPC'!$CM$2:$DJ$65,MATCH($D40,'Monthly UPC'!$D$2:$D$65,0),MATCH(BZ$1,'Monthly UPC'!$CM$1:$DJ$1))*(INDEX('Monthly CUST'!$N$2:$CG$65,MATCH($D40,'Monthly CUST'!$D$2:$D$65,0),MATCH(BZ$1,'Monthly CUST'!$N$1:$CG$1,0))),IF($J40="UPC Growth Rate",((BN40/INDEX('Monthly CUST'!$N$2:$CG$65,MATCH($D40,'Monthly CUST'!$D$2:$D$65,0),MATCH(BN$1,'Monthly CUST'!$N$1:$CG$1,0)))*(1+$L40)*INDEX('Monthly CUST'!$N$2:$CG$65,MATCH($D40,'Monthly CUST'!$D$2:$D$65,0),MATCH(BZ$1,'Monthly CUST'!$N$1:$CG$1,0))),IF($J40="Modeled UPC",INDEX('Monthly CUST'!$N$2:$CG$65,MATCH($D40,'Monthly CUST'!$D$2:$D$65,0),MATCH(BZ$1,'Monthly CUST'!$N$1:$CG$1,0))/12*$M40,IF($J40="Base Period",BN40,IF($J40="Adjusted",SUMIF('Input 15_Fcst Inputs'!$A:$A,$D40,'Input 15_Fcst Inputs'!$G:$G)/12))))),0)</f>
        <v>378.29506547904612</v>
      </c>
      <c r="CA40" s="483">
        <f>IFERROR(IF($J40="Historical Average",INDEX('Monthly UPC'!$CM$2:$DJ$65,MATCH($D40,'Monthly UPC'!$D$2:$D$65,0),MATCH(CA$1,'Monthly UPC'!$CM$1:$DJ$1))*(INDEX('Monthly CUST'!$N$2:$CG$65,MATCH($D40,'Monthly CUST'!$D$2:$D$65,0),MATCH(CA$1,'Monthly CUST'!$N$1:$CG$1,0))),IF($J40="UPC Growth Rate",((BO40/INDEX('Monthly CUST'!$N$2:$CG$65,MATCH($D40,'Monthly CUST'!$D$2:$D$65,0),MATCH(BO$1,'Monthly CUST'!$N$1:$CG$1,0)))*(1+$L40)*INDEX('Monthly CUST'!$N$2:$CG$65,MATCH($D40,'Monthly CUST'!$D$2:$D$65,0),MATCH(CA$1,'Monthly CUST'!$N$1:$CG$1,0))),IF($J40="Modeled UPC",INDEX('Monthly CUST'!$N$2:$CG$65,MATCH($D40,'Monthly CUST'!$D$2:$D$65,0),MATCH(CA$1,'Monthly CUST'!$N$1:$CG$1,0))/12*$M40,IF($J40="Base Period",BO40,IF($J40="Adjusted",SUMIF('Input 15_Fcst Inputs'!$A:$A,$D40,'Input 15_Fcst Inputs'!$G:$G)/12))))),0)</f>
        <v>410.01434836376853</v>
      </c>
      <c r="CB40" s="483">
        <f>IFERROR(IF($J40="Historical Average",INDEX('Monthly UPC'!$CM$2:$DJ$65,MATCH($D40,'Monthly UPC'!$D$2:$D$65,0),MATCH(CB$1,'Monthly UPC'!$CM$1:$DJ$1))*(INDEX('Monthly CUST'!$N$2:$CG$65,MATCH($D40,'Monthly CUST'!$D$2:$D$65,0),MATCH(CB$1,'Monthly CUST'!$N$1:$CG$1,0))),IF($J40="UPC Growth Rate",((BP40/INDEX('Monthly CUST'!$N$2:$CG$65,MATCH($D40,'Monthly CUST'!$D$2:$D$65,0),MATCH(BP$1,'Monthly CUST'!$N$1:$CG$1,0)))*(1+$L40)*INDEX('Monthly CUST'!$N$2:$CG$65,MATCH($D40,'Monthly CUST'!$D$2:$D$65,0),MATCH(CB$1,'Monthly CUST'!$N$1:$CG$1,0))),IF($J40="Modeled UPC",INDEX('Monthly CUST'!$N$2:$CG$65,MATCH($D40,'Monthly CUST'!$D$2:$D$65,0),MATCH(CB$1,'Monthly CUST'!$N$1:$CG$1,0))/12*$M40,IF($J40="Base Period",BP40,IF($J40="Adjusted",SUMIF('Input 15_Fcst Inputs'!$A:$A,$D40,'Input 15_Fcst Inputs'!$G:$G)/12))))),0)</f>
        <v>426.61978868393766</v>
      </c>
      <c r="CC40" s="483">
        <f>IFERROR(IF($J40="Historical Average",INDEX('Monthly UPC'!$CM$2:$DJ$65,MATCH($D40,'Monthly UPC'!$D$2:$D$65,0),MATCH(CC$1,'Monthly UPC'!$CM$1:$DJ$1))*(INDEX('Monthly CUST'!$N$2:$CG$65,MATCH($D40,'Monthly CUST'!$D$2:$D$65,0),MATCH(CC$1,'Monthly CUST'!$N$1:$CG$1,0))),IF($J40="UPC Growth Rate",((BQ40/INDEX('Monthly CUST'!$N$2:$CG$65,MATCH($D40,'Monthly CUST'!$D$2:$D$65,0),MATCH(BQ$1,'Monthly CUST'!$N$1:$CG$1,0)))*(1+$L40)*INDEX('Monthly CUST'!$N$2:$CG$65,MATCH($D40,'Monthly CUST'!$D$2:$D$65,0),MATCH(CC$1,'Monthly CUST'!$N$1:$CG$1,0))),IF($J40="Modeled UPC",INDEX('Monthly CUST'!$N$2:$CG$65,MATCH($D40,'Monthly CUST'!$D$2:$D$65,0),MATCH(CC$1,'Monthly CUST'!$N$1:$CG$1,0))/12*$M40,IF($J40="Base Period",BQ40,IF($J40="Adjusted",SUMIF('Input 15_Fcst Inputs'!$A:$A,$D40,'Input 15_Fcst Inputs'!$G:$G)/12))))),0)</f>
        <v>451.18549049580986</v>
      </c>
      <c r="CD40" s="483">
        <f>IFERROR(IF($J40="Historical Average",INDEX('Monthly UPC'!$CM$2:$DJ$65,MATCH($D40,'Monthly UPC'!$D$2:$D$65,0),MATCH(CD$1,'Monthly UPC'!$CM$1:$DJ$1))*(INDEX('Monthly CUST'!$N$2:$CG$65,MATCH($D40,'Monthly CUST'!$D$2:$D$65,0),MATCH(CD$1,'Monthly CUST'!$N$1:$CG$1,0))),IF($J40="UPC Growth Rate",((BR40/INDEX('Monthly CUST'!$N$2:$CG$65,MATCH($D40,'Monthly CUST'!$D$2:$D$65,0),MATCH(BR$1,'Monthly CUST'!$N$1:$CG$1,0)))*(1+$L40)*INDEX('Monthly CUST'!$N$2:$CG$65,MATCH($D40,'Monthly CUST'!$D$2:$D$65,0),MATCH(CD$1,'Monthly CUST'!$N$1:$CG$1,0))),IF($J40="Modeled UPC",INDEX('Monthly CUST'!$N$2:$CG$65,MATCH($D40,'Monthly CUST'!$D$2:$D$65,0),MATCH(CD$1,'Monthly CUST'!$N$1:$CG$1,0))/12*$M40,IF($J40="Base Period",BR40,IF($J40="Adjusted",SUMIF('Input 15_Fcst Inputs'!$A:$A,$D40,'Input 15_Fcst Inputs'!$G:$G)/12))))),0)</f>
        <v>460.97980841150991</v>
      </c>
      <c r="CE40" s="483">
        <f>IFERROR(IF($J40="Historical Average",INDEX('Monthly UPC'!$CM$2:$DJ$65,MATCH($D40,'Monthly UPC'!$D$2:$D$65,0),MATCH(CE$1,'Monthly UPC'!$CM$1:$DJ$1))*(INDEX('Monthly CUST'!$N$2:$CG$65,MATCH($D40,'Monthly CUST'!$D$2:$D$65,0),MATCH(CE$1,'Monthly CUST'!$N$1:$CG$1,0))),IF($J40="UPC Growth Rate",((BS40/INDEX('Monthly CUST'!$N$2:$CG$65,MATCH($D40,'Monthly CUST'!$D$2:$D$65,0),MATCH(BS$1,'Monthly CUST'!$N$1:$CG$1,0)))*(1+$L40)*INDEX('Monthly CUST'!$N$2:$CG$65,MATCH($D40,'Monthly CUST'!$D$2:$D$65,0),MATCH(CE$1,'Monthly CUST'!$N$1:$CG$1,0))),IF($J40="Modeled UPC",INDEX('Monthly CUST'!$N$2:$CG$65,MATCH($D40,'Monthly CUST'!$D$2:$D$65,0),MATCH(CE$1,'Monthly CUST'!$N$1:$CG$1,0))/12*$M40,IF($J40="Base Period",BS40,IF($J40="Adjusted",SUMIF('Input 15_Fcst Inputs'!$A:$A,$D40,'Input 15_Fcst Inputs'!$G:$G)/12))))),0)</f>
        <v>406.16359089263869</v>
      </c>
      <c r="CF40" s="483">
        <f>IFERROR(IF($J40="Historical Average",INDEX('Monthly UPC'!$CM$2:$DJ$65,MATCH($D40,'Monthly UPC'!$D$2:$D$65,0),MATCH(CF$1,'Monthly UPC'!$CM$1:$DJ$1))*(INDEX('Monthly CUST'!$N$2:$CG$65,MATCH($D40,'Monthly CUST'!$D$2:$D$65,0),MATCH(CF$1,'Monthly CUST'!$N$1:$CG$1,0))),IF($J40="UPC Growth Rate",((BT40/INDEX('Monthly CUST'!$N$2:$CG$65,MATCH($D40,'Monthly CUST'!$D$2:$D$65,0),MATCH(BT$1,'Monthly CUST'!$N$1:$CG$1,0)))*(1+$L40)*INDEX('Monthly CUST'!$N$2:$CG$65,MATCH($D40,'Monthly CUST'!$D$2:$D$65,0),MATCH(CF$1,'Monthly CUST'!$N$1:$CG$1,0))),IF($J40="Modeled UPC",INDEX('Monthly CUST'!$N$2:$CG$65,MATCH($D40,'Monthly CUST'!$D$2:$D$65,0),MATCH(CF$1,'Monthly CUST'!$N$1:$CG$1,0))/12*$M40,IF($J40="Base Period",BT40,IF($J40="Adjusted",SUMIF('Input 15_Fcst Inputs'!$A:$A,$D40,'Input 15_Fcst Inputs'!$G:$G)/12))))),0)</f>
        <v>428.91806685840646</v>
      </c>
      <c r="CG40" s="483">
        <f>IFERROR(IF($J40="Historical Average",INDEX('Monthly UPC'!$CM$2:$DJ$65,MATCH($D40,'Monthly UPC'!$D$2:$D$65,0),MATCH(CG$1,'Monthly UPC'!$CM$1:$DJ$1))*(INDEX('Monthly CUST'!$N$2:$CG$65,MATCH($D40,'Monthly CUST'!$D$2:$D$65,0),MATCH(CG$1,'Monthly CUST'!$N$1:$CG$1,0))),IF($J40="UPC Growth Rate",((BU40/INDEX('Monthly CUST'!$N$2:$CG$65,MATCH($D40,'Monthly CUST'!$D$2:$D$65,0),MATCH(BU$1,'Monthly CUST'!$N$1:$CG$1,0)))*(1+$L40)*INDEX('Monthly CUST'!$N$2:$CG$65,MATCH($D40,'Monthly CUST'!$D$2:$D$65,0),MATCH(CG$1,'Monthly CUST'!$N$1:$CG$1,0))),IF($J40="Modeled UPC",INDEX('Monthly CUST'!$N$2:$CG$65,MATCH($D40,'Monthly CUST'!$D$2:$D$65,0),MATCH(CG$1,'Monthly CUST'!$N$1:$CG$1,0))/12*$M40,IF($J40="Base Period",BU40,IF($J40="Adjusted",SUMIF('Input 15_Fcst Inputs'!$A:$A,$D40,'Input 15_Fcst Inputs'!$G:$G)/12))))),0)</f>
        <v>627.44516201525687</v>
      </c>
      <c r="CH40" s="197"/>
      <c r="CI40" s="197">
        <f t="shared" si="8"/>
        <v>4718.8100000000004</v>
      </c>
      <c r="CJ40" s="197">
        <f t="shared" si="9"/>
        <v>5983.4800000000005</v>
      </c>
      <c r="CK40" s="197">
        <f t="shared" si="10"/>
        <v>6183.58</v>
      </c>
      <c r="CL40" s="197">
        <f t="shared" si="11"/>
        <v>7179.16</v>
      </c>
      <c r="CM40" s="197">
        <f t="shared" si="12"/>
        <v>6262.842028637051</v>
      </c>
      <c r="CN40" s="197">
        <f t="shared" si="13"/>
        <v>5463.4790526555544</v>
      </c>
      <c r="CP40" s="4">
        <f>SUMIF('Master '!D:D,D40,'Master '!AH:AH)</f>
        <v>6262.842028637051</v>
      </c>
      <c r="CQ40" s="4">
        <f>SUMIF('Master '!D:D,D40,'Master '!AI:AI)</f>
        <v>5463.4790526555544</v>
      </c>
      <c r="CR40" s="197">
        <f t="shared" si="14"/>
        <v>0</v>
      </c>
      <c r="CS40" s="197">
        <f t="shared" si="15"/>
        <v>0</v>
      </c>
      <c r="CT40" t="s">
        <v>287</v>
      </c>
      <c r="CV40" t="str">
        <f>VLOOKUP(G40,'Master '!G:CC,75,FALSE)</f>
        <v>FTS-1</v>
      </c>
    </row>
    <row r="41" spans="1:100">
      <c r="A41" s="53" t="s">
        <v>17</v>
      </c>
      <c r="B41" s="53" t="s">
        <v>993</v>
      </c>
      <c r="C41" s="53" t="s">
        <v>8</v>
      </c>
      <c r="D41" s="53" t="s">
        <v>1250</v>
      </c>
      <c r="E41" s="53" t="str">
        <f>VLOOKUP(D41,'Input 14_Ref Table'!C:D,2,FALSE)</f>
        <v>CR821</v>
      </c>
      <c r="F41" s="143" t="s">
        <v>1286</v>
      </c>
      <c r="G41" s="53" t="str">
        <f>VLOOKUP(D41,'Input 14_Ref Table'!C:I,7,FALSE)</f>
        <v>CFG - FTS-2 R</v>
      </c>
      <c r="H41" s="53" t="str">
        <f>VLOOKUP(D41,'Input 14_Ref Table'!C:K,8,FALSE)</f>
        <v>FTS_2</v>
      </c>
      <c r="I41" s="53"/>
      <c r="J41" t="str">
        <f>INDEX('Master '!$AD$2:AD$65,MATCH(D41,'Master '!$D$2:$D$65,0))</f>
        <v>UPC Growth Rate</v>
      </c>
      <c r="K41" s="458">
        <f>INDEX('Master '!$N$2:N$65,MATCH(D41,'Master '!$D$2:$D$65,0))</f>
        <v>6.1347398016349964E-3</v>
      </c>
      <c r="L41" s="137">
        <f>INDEX('Master '!$S$2:S$65,MATCH(D41,'Master '!$D$2:$D$65,0))</f>
        <v>0</v>
      </c>
      <c r="M41" s="4">
        <f>INDEX('Master '!$W$2:W$65,MATCH(D41,'Master '!$D$2:$D$65,0))</f>
        <v>597.30342792519559</v>
      </c>
      <c r="N41" s="268">
        <f>SUMIF('Input 16.1_2018VOL-YTD'!$R:$R,$G41,'Input 16.1_2018VOL-YTD'!C:C)</f>
        <v>86780.669999999896</v>
      </c>
      <c r="O41" s="268">
        <f>SUMIF('Input 16.1_2018VOL-YTD'!$R:$R,$G41,'Input 16.1_2018VOL-YTD'!D:D)</f>
        <v>60694.090000000098</v>
      </c>
      <c r="P41" s="268">
        <f>SUMIF('Input 16.1_2018VOL-YTD'!$R:$R,$G41,'Input 16.1_2018VOL-YTD'!E:E)</f>
        <v>71685</v>
      </c>
      <c r="Q41" s="268">
        <f>SUMIF('Input 16.1_2018VOL-YTD'!$R:$R,$G41,'Input 16.1_2018VOL-YTD'!F:F)</f>
        <v>72176.190000000104</v>
      </c>
      <c r="R41" s="268">
        <f>SUMIF('Input 16.1_2018VOL-YTD'!$R:$R,$G41,'Input 16.1_2018VOL-YTD'!G:G)</f>
        <v>34387.800000000003</v>
      </c>
      <c r="S41" s="268">
        <f>SUMIF('Input 16.1_2018VOL-YTD'!$R:$R,$G41,'Input 16.1_2018VOL-YTD'!H:H)</f>
        <v>23911.75</v>
      </c>
      <c r="T41" s="268">
        <f>SUMIF('Input 16.1_2018VOL-YTD'!$R:$R,$G41,'Input 16.1_2018VOL-YTD'!I:I)</f>
        <v>17738</v>
      </c>
      <c r="U41" s="268">
        <f>SUMIF('Input 16.1_2018VOL-YTD'!$R:$R,$G41,'Input 16.1_2018VOL-YTD'!J:J)</f>
        <v>16484.03</v>
      </c>
      <c r="V41" s="268">
        <f>SUMIF('Input 16.1_2018VOL-YTD'!$R:$R,$G41,'Input 16.1_2018VOL-YTD'!K:K)</f>
        <v>15238.51</v>
      </c>
      <c r="W41" s="268">
        <f>SUMIF('Input 16.1_2018VOL-YTD'!$R:$R,$G41,'Input 16.1_2018VOL-YTD'!L:L)</f>
        <v>18247.22</v>
      </c>
      <c r="X41" s="268">
        <f>SUMIF('Input 16.1_2018VOL-YTD'!$R:$R,$G41,'Input 16.1_2018VOL-YTD'!M:M)</f>
        <v>44473.53</v>
      </c>
      <c r="Y41" s="268">
        <f>SUMIF('Input 16.1_2018VOL-YTD'!$R:$R,$G41,'Input 16.1_2018VOL-YTD'!N:N)</f>
        <v>61316.56</v>
      </c>
      <c r="Z41" s="268">
        <f>SUMIF('Input 3.1_2019VOL-YTD'!$R:$R,$G41,'Input 3.1_2019VOL-YTD'!C:C)</f>
        <v>78576.679999999993</v>
      </c>
      <c r="AA41" s="268">
        <f>SUMIF('Input 3.1_2019VOL-YTD'!$R:$R,$G41,'Input 3.1_2019VOL-YTD'!D:D)</f>
        <v>67008.67</v>
      </c>
      <c r="AB41" s="268">
        <f>SUMIF('Input 3.1_2019VOL-YTD'!$R:$R,$G41,'Input 3.1_2019VOL-YTD'!E:E)</f>
        <v>65479.76</v>
      </c>
      <c r="AC41" s="268">
        <f>SUMIF('Input 3.1_2019VOL-YTD'!$R:$R,$G41,'Input 3.1_2019VOL-YTD'!F:F)</f>
        <v>62562.42</v>
      </c>
      <c r="AD41" s="268">
        <f>SUMIF('Input 3.1_2019VOL-YTD'!$R:$R,$G41,'Input 3.1_2019VOL-YTD'!G:G)</f>
        <v>33406.26</v>
      </c>
      <c r="AE41" s="268">
        <f>SUMIF('Input 3.1_2019VOL-YTD'!$R:$R,$G41,'Input 3.1_2019VOL-YTD'!H:H)</f>
        <v>18103.939999999999</v>
      </c>
      <c r="AF41" s="268">
        <f>SUMIF('Input 3.1_2019VOL-YTD'!$R:$R,$G41,'Input 3.1_2019VOL-YTD'!I:I)</f>
        <v>15051.75</v>
      </c>
      <c r="AG41" s="268">
        <f>SUMIF('Input 3.1_2019VOL-YTD'!$R:$R,$G41,'Input 3.1_2019VOL-YTD'!J:J)</f>
        <v>15654.4</v>
      </c>
      <c r="AH41" s="268">
        <f>SUMIF('Input 3.1_2019VOL-YTD'!$R:$R,$G41,'Input 3.1_2019VOL-YTD'!K:K)</f>
        <v>13904.81</v>
      </c>
      <c r="AI41" s="268">
        <f>SUMIF('Input 3.1_2019VOL-YTD'!$R:$R,$G41,'Input 3.1_2019VOL-YTD'!L:L)</f>
        <v>20371.57</v>
      </c>
      <c r="AJ41" s="268">
        <f>SUMIF('Input 3.1_2019VOL-YTD'!$R:$R,$G41,'Input 3.1_2019VOL-YTD'!M:M)</f>
        <v>37083.129999999997</v>
      </c>
      <c r="AK41" s="268">
        <f>SUMIF('Input 3.1_2019VOL-YTD'!$R:$R,$G41,'Input 3.1_2019VOL-YTD'!N:N)</f>
        <v>61065.72</v>
      </c>
      <c r="AL41" s="268">
        <f>SUMIF('Input 4.1_2020VOL-YTD'!$R:$R,$G41,'Input 4.1_2020VOL-YTD'!C:C)</f>
        <v>77820.039999999994</v>
      </c>
      <c r="AM41" s="268">
        <f>SUMIF('Input 4.1_2020VOL-YTD'!$R:$R,$G41,'Input 4.1_2020VOL-YTD'!D:D)</f>
        <v>69158.13</v>
      </c>
      <c r="AN41" s="268">
        <f>SUMIF('Input 4.1_2020VOL-YTD'!$R:$R,$G41,'Input 4.1_2020VOL-YTD'!E:E)</f>
        <v>72673.949999999895</v>
      </c>
      <c r="AO41" s="268">
        <f>SUMIF('Input 4.1_2020VOL-YTD'!$R:$R,$G41,'Input 4.1_2020VOL-YTD'!F:F)</f>
        <v>31794.07</v>
      </c>
      <c r="AP41" s="268">
        <f>SUMIF('Input 4.1_2020VOL-YTD'!$R:$R,$G41,'Input 4.1_2020VOL-YTD'!G:G)</f>
        <v>23663.41</v>
      </c>
      <c r="AQ41" s="268">
        <f>SUMIF('Input 4.1_2020VOL-YTD'!$R:$R,$G41,'Input 4.1_2020VOL-YTD'!H:H)</f>
        <v>15816.55</v>
      </c>
      <c r="AR41" s="268">
        <f>SUMIF('Input 4.1_2020VOL-YTD'!$R:$R,$G41,'Input 4.1_2020VOL-YTD'!I:I)</f>
        <v>15089.15</v>
      </c>
      <c r="AS41" s="268">
        <f>SUMIF('Input 4.1_2020VOL-YTD'!$R:$R,$G41,'Input 4.1_2020VOL-YTD'!J:J)</f>
        <v>12204.48</v>
      </c>
      <c r="AT41" s="268">
        <f>SUMIF('Input 4.1_2020VOL-YTD'!$R:$R,$G41,'Input 4.1_2020VOL-YTD'!K:K)</f>
        <v>12764.86</v>
      </c>
      <c r="AU41" s="268">
        <f>SUMIF('Input 4.1_2020VOL-YTD'!$R:$R,$G41,'Input 4.1_2020VOL-YTD'!L:L)</f>
        <v>16406.96</v>
      </c>
      <c r="AV41" s="268">
        <f>SUMIF('Input 4.1_2020VOL-YTD'!$R:$R,$G41,'Input 4.1_2020VOL-YTD'!M:M)</f>
        <v>24668.769999999899</v>
      </c>
      <c r="AW41" s="268">
        <f>SUMIF('Input 4.1_2020VOL-YTD'!$R:$R,$G41,'Input 4.1_2020VOL-YTD'!N:N)</f>
        <v>54357.43</v>
      </c>
      <c r="AX41" s="268">
        <f>SUMIF('Input 5.1_2021VOL-YTD'!$R:$R,$G41,'Input 5.1_2021VOL-YTD'!C:C)</f>
        <v>69236.750000000102</v>
      </c>
      <c r="AY41" s="268">
        <f>SUMIF('Input 5.1_2021VOL-YTD'!$R:$R,$G41,'Input 5.1_2021VOL-YTD'!D:D)</f>
        <v>50096.36</v>
      </c>
      <c r="AZ41" s="268">
        <f>SUMIF('Input 5.1_2021VOL-YTD'!$R:$R,$G41,'Input 5.1_2021VOL-YTD'!E:E)</f>
        <v>53394.99</v>
      </c>
      <c r="BA41" s="268">
        <f>SUMIF('Input 5.1_2021VOL-YTD'!$R:$R,$G41,'Input 5.1_2021VOL-YTD'!F:F)</f>
        <v>54751.520000000099</v>
      </c>
      <c r="BB41" s="268">
        <f>SUMIF('Input 5.1_2021VOL-YTD'!$R:$R,$G41,'Input 5.1_2021VOL-YTD'!G:G)</f>
        <v>27922.199999999899</v>
      </c>
      <c r="BC41" s="268">
        <f>SUMIF('Input 5.1_2021VOL-YTD'!$R:$R,$G41,'Input 5.1_2021VOL-YTD'!H:H)</f>
        <v>22236.34</v>
      </c>
      <c r="BD41" s="268">
        <f>SUMIF('Input 5.1_2021VOL-YTD'!$R:$R,$G41,'Input 5.1_2021VOL-YTD'!I:I)</f>
        <v>21402.58</v>
      </c>
      <c r="BE41" s="268">
        <f>SUMIF('Input 5.1_2021VOL-YTD'!$R:$R,$G41,'Input 5.1_2021VOL-YTD'!J:J)</f>
        <v>15262.82</v>
      </c>
      <c r="BF41" s="268">
        <f>SUMIF('Input 5.1_2021VOL-YTD'!$R:$R,$G41,'Input 5.1_2021VOL-YTD'!K:K)</f>
        <v>14455.59</v>
      </c>
      <c r="BG41" s="268">
        <f>SUMIF('Input 5.1_2021VOL-YTD'!$R:$R,$G41,'Input 5.1_2021VOL-YTD'!L:L)</f>
        <v>20638.91</v>
      </c>
      <c r="BH41" s="268">
        <f>SUMIF('Input 5.1_2021VOL-YTD'!$R:$R,$G41,'Input 5.1_2021VOL-YTD'!M:M)</f>
        <v>36193.699999999903</v>
      </c>
      <c r="BI41" s="268">
        <f>SUMIF('Input 5.1_2021VOL-YTD'!$R:$R,$G41,'Input 5.1_2021VOL-YTD'!N:N)</f>
        <v>67215.02</v>
      </c>
      <c r="BJ41" s="483">
        <f>IFERROR(IF($J41="Historical Average",INDEX('Monthly UPC'!$CM$2:$DJ$65,MATCH($D41,'Monthly UPC'!$D$2:$D$65,0),MATCH(BJ$1,'Monthly UPC'!$CM$1:$DJ$1))*(INDEX('Monthly CUST'!$N$2:$CG$65,MATCH($D41,'Monthly CUST'!$D$2:$D$65,0),MATCH(BJ$1,'Monthly CUST'!$N$1:$CG$1,0))),IF($J41="UPC Growth Rate",((AX41/INDEX('Monthly CUST'!$N$2:$CG$65,MATCH($D41,'Monthly CUST'!$D$2:$D$65,0),MATCH(AX$1,'Monthly CUST'!$N$1:$CG$1,0)))*(1+$L41)*INDEX('Monthly CUST'!$N$2:$CG$65,MATCH($D41,'Monthly CUST'!$D$2:$D$65,0),MATCH(BJ$1,'Monthly CUST'!$N$1:$CG$1,0))),IF($J41="Modeled UPC",INDEX('Monthly CUST'!$N$2:$CG$65,MATCH($D41,'Monthly CUST'!$D$2:$D$65,0),MATCH(BJ$1,'Monthly CUST'!$N$1:$CG$1,0))/12*$M41,IF($J41="Base Period",AX41,IF($J41="Adjusted",SUMIF('Input 15_Fcst Inputs'!$A:$A,$D41,'Input 15_Fcst Inputs'!$G:$G)/12))))),0)</f>
        <v>69661.499445960959</v>
      </c>
      <c r="BK41" s="483">
        <f>IFERROR(IF($J41="Historical Average",INDEX('Monthly UPC'!$CM$2:$DJ$65,MATCH($D41,'Monthly UPC'!$D$2:$D$65,0),MATCH(BK$1,'Monthly UPC'!$CM$1:$DJ$1))*(INDEX('Monthly CUST'!$N$2:$CG$65,MATCH($D41,'Monthly CUST'!$D$2:$D$65,0),MATCH(BK$1,'Monthly CUST'!$N$1:$CG$1,0))),IF($J41="UPC Growth Rate",((AY41/INDEX('Monthly CUST'!$N$2:$CG$65,MATCH($D41,'Monthly CUST'!$D$2:$D$65,0),MATCH(AY$1,'Monthly CUST'!$N$1:$CG$1,0)))*(1+$L41)*INDEX('Monthly CUST'!$N$2:$CG$65,MATCH($D41,'Monthly CUST'!$D$2:$D$65,0),MATCH(BK$1,'Monthly CUST'!$N$1:$CG$1,0))),IF($J41="Modeled UPC",INDEX('Monthly CUST'!$N$2:$CG$65,MATCH($D41,'Monthly CUST'!$D$2:$D$65,0),MATCH(BK$1,'Monthly CUST'!$N$1:$CG$1,0))/12*$M41,IF($J41="Base Period",AY41,IF($J41="Adjusted",SUMIF('Input 15_Fcst Inputs'!$A:$A,$D41,'Input 15_Fcst Inputs'!$G:$G)/12))))),0)</f>
        <v>50403.68813360903</v>
      </c>
      <c r="BL41" s="483">
        <f>IFERROR(IF($J41="Historical Average",INDEX('Monthly UPC'!$CM$2:$DJ$65,MATCH($D41,'Monthly UPC'!$D$2:$D$65,0),MATCH(BL$1,'Monthly UPC'!$CM$1:$DJ$1))*(INDEX('Monthly CUST'!$N$2:$CG$65,MATCH($D41,'Monthly CUST'!$D$2:$D$65,0),MATCH(BL$1,'Monthly CUST'!$N$1:$CG$1,0))),IF($J41="UPC Growth Rate",((AZ41/INDEX('Monthly CUST'!$N$2:$CG$65,MATCH($D41,'Monthly CUST'!$D$2:$D$65,0),MATCH(AZ$1,'Monthly CUST'!$N$1:$CG$1,0)))*(1+$L41)*INDEX('Monthly CUST'!$N$2:$CG$65,MATCH($D41,'Monthly CUST'!$D$2:$D$65,0),MATCH(BL$1,'Monthly CUST'!$N$1:$CG$1,0))),IF($J41="Modeled UPC",INDEX('Monthly CUST'!$N$2:$CG$65,MATCH($D41,'Monthly CUST'!$D$2:$D$65,0),MATCH(BL$1,'Monthly CUST'!$N$1:$CG$1,0))/12*$M41,IF($J41="Base Period",AZ41,IF($J41="Adjusted",SUMIF('Input 15_Fcst Inputs'!$A:$A,$D41,'Input 15_Fcst Inputs'!$G:$G)/12))))),0)</f>
        <v>53722.5543703609</v>
      </c>
      <c r="BM41" s="483">
        <f>IFERROR(IF($J41="Historical Average",INDEX('Monthly UPC'!$CM$2:$DJ$65,MATCH($D41,'Monthly UPC'!$D$2:$D$65,0),MATCH(BM$1,'Monthly UPC'!$CM$1:$DJ$1))*(INDEX('Monthly CUST'!$N$2:$CG$65,MATCH($D41,'Monthly CUST'!$D$2:$D$65,0),MATCH(BM$1,'Monthly CUST'!$N$1:$CG$1,0))),IF($J41="UPC Growth Rate",((BA41/INDEX('Monthly CUST'!$N$2:$CG$65,MATCH($D41,'Monthly CUST'!$D$2:$D$65,0),MATCH(BA$1,'Monthly CUST'!$N$1:$CG$1,0)))*(1+$L41)*INDEX('Monthly CUST'!$N$2:$CG$65,MATCH($D41,'Monthly CUST'!$D$2:$D$65,0),MATCH(BM$1,'Monthly CUST'!$N$1:$CG$1,0))),IF($J41="Modeled UPC",INDEX('Monthly CUST'!$N$2:$CG$65,MATCH($D41,'Monthly CUST'!$D$2:$D$65,0),MATCH(BM$1,'Monthly CUST'!$N$1:$CG$1,0))/12*$M41,IF($J41="Base Period",BA41,IF($J41="Adjusted",SUMIF('Input 15_Fcst Inputs'!$A:$A,$D41,'Input 15_Fcst Inputs'!$G:$G)/12))))),0)</f>
        <v>55087.406328944104</v>
      </c>
      <c r="BN41" s="483">
        <f>IFERROR(IF($J41="Historical Average",INDEX('Monthly UPC'!$CM$2:$DJ$65,MATCH($D41,'Monthly UPC'!$D$2:$D$65,0),MATCH(BN$1,'Monthly UPC'!$CM$1:$DJ$1))*(INDEX('Monthly CUST'!$N$2:$CG$65,MATCH($D41,'Monthly CUST'!$D$2:$D$65,0),MATCH(BN$1,'Monthly CUST'!$N$1:$CG$1,0))),IF($J41="UPC Growth Rate",((BB41/INDEX('Monthly CUST'!$N$2:$CG$65,MATCH($D41,'Monthly CUST'!$D$2:$D$65,0),MATCH(BB$1,'Monthly CUST'!$N$1:$CG$1,0)))*(1+$L41)*INDEX('Monthly CUST'!$N$2:$CG$65,MATCH($D41,'Monthly CUST'!$D$2:$D$65,0),MATCH(BN$1,'Monthly CUST'!$N$1:$CG$1,0))),IF($J41="Modeled UPC",INDEX('Monthly CUST'!$N$2:$CG$65,MATCH($D41,'Monthly CUST'!$D$2:$D$65,0),MATCH(BN$1,'Monthly CUST'!$N$1:$CG$1,0))/12*$M41,IF($J41="Base Period",BB41,IF($J41="Adjusted",SUMIF('Input 15_Fcst Inputs'!$A:$A,$D41,'Input 15_Fcst Inputs'!$G:$G)/12))))),0)</f>
        <v>28093.495431689109</v>
      </c>
      <c r="BO41" s="483">
        <f>IFERROR(IF($J41="Historical Average",INDEX('Monthly UPC'!$CM$2:$DJ$65,MATCH($D41,'Monthly UPC'!$D$2:$D$65,0),MATCH(BO$1,'Monthly UPC'!$CM$1:$DJ$1))*(INDEX('Monthly CUST'!$N$2:$CG$65,MATCH($D41,'Monthly CUST'!$D$2:$D$65,0),MATCH(BO$1,'Monthly CUST'!$N$1:$CG$1,0))),IF($J41="UPC Growth Rate",((BC41/INDEX('Monthly CUST'!$N$2:$CG$65,MATCH($D41,'Monthly CUST'!$D$2:$D$65,0),MATCH(BC$1,'Monthly CUST'!$N$1:$CG$1,0)))*(1+$L41)*INDEX('Monthly CUST'!$N$2:$CG$65,MATCH($D41,'Monthly CUST'!$D$2:$D$65,0),MATCH(BO$1,'Monthly CUST'!$N$1:$CG$1,0))),IF($J41="Modeled UPC",INDEX('Monthly CUST'!$N$2:$CG$65,MATCH($D41,'Monthly CUST'!$D$2:$D$65,0),MATCH(BO$1,'Monthly CUST'!$N$1:$CG$1,0))/12*$M41,IF($J41="Base Period",BC41,IF($J41="Adjusted",SUMIF('Input 15_Fcst Inputs'!$A:$A,$D41,'Input 15_Fcst Inputs'!$G:$G)/12))))),0)</f>
        <v>22372.754160040688</v>
      </c>
      <c r="BP41" s="483">
        <f>IFERROR(IF($J41="Historical Average",INDEX('Monthly UPC'!$CM$2:$DJ$65,MATCH($D41,'Monthly UPC'!$D$2:$D$65,0),MATCH(BP$1,'Monthly UPC'!$CM$1:$DJ$1))*(INDEX('Monthly CUST'!$N$2:$CG$65,MATCH($D41,'Monthly CUST'!$D$2:$D$65,0),MATCH(BP$1,'Monthly CUST'!$N$1:$CG$1,0))),IF($J41="UPC Growth Rate",((BD41/INDEX('Monthly CUST'!$N$2:$CG$65,MATCH($D41,'Monthly CUST'!$D$2:$D$65,0),MATCH(BD$1,'Monthly CUST'!$N$1:$CG$1,0)))*(1+$L41)*INDEX('Monthly CUST'!$N$2:$CG$65,MATCH($D41,'Monthly CUST'!$D$2:$D$65,0),MATCH(BP$1,'Monthly CUST'!$N$1:$CG$1,0))),IF($J41="Modeled UPC",INDEX('Monthly CUST'!$N$2:$CG$65,MATCH($D41,'Monthly CUST'!$D$2:$D$65,0),MATCH(BP$1,'Monthly CUST'!$N$1:$CG$1,0))/12*$M41,IF($J41="Base Period",BD41,IF($J41="Adjusted",SUMIF('Input 15_Fcst Inputs'!$A:$A,$D41,'Input 15_Fcst Inputs'!$G:$G)/12))))),0)</f>
        <v>21533.879259383677</v>
      </c>
      <c r="BQ41" s="483">
        <f>IFERROR(IF($J41="Historical Average",INDEX('Monthly UPC'!$CM$2:$DJ$65,MATCH($D41,'Monthly UPC'!$D$2:$D$65,0),MATCH(BQ$1,'Monthly UPC'!$CM$1:$DJ$1))*(INDEX('Monthly CUST'!$N$2:$CG$65,MATCH($D41,'Monthly CUST'!$D$2:$D$65,0),MATCH(BQ$1,'Monthly CUST'!$N$1:$CG$1,0))),IF($J41="UPC Growth Rate",((BE41/INDEX('Monthly CUST'!$N$2:$CG$65,MATCH($D41,'Monthly CUST'!$D$2:$D$65,0),MATCH(BE$1,'Monthly CUST'!$N$1:$CG$1,0)))*(1+$L41)*INDEX('Monthly CUST'!$N$2:$CG$65,MATCH($D41,'Monthly CUST'!$D$2:$D$65,0),MATCH(BQ$1,'Monthly CUST'!$N$1:$CG$1,0))),IF($J41="Modeled UPC",INDEX('Monthly CUST'!$N$2:$CG$65,MATCH($D41,'Monthly CUST'!$D$2:$D$65,0),MATCH(BQ$1,'Monthly CUST'!$N$1:$CG$1,0))/12*$M41,IF($J41="Base Period",BE41,IF($J41="Adjusted",SUMIF('Input 15_Fcst Inputs'!$A:$A,$D41,'Input 15_Fcst Inputs'!$G:$G)/12))))),0)</f>
        <v>15356.453429339188</v>
      </c>
      <c r="BR41" s="483">
        <f>IFERROR(IF($J41="Historical Average",INDEX('Monthly UPC'!$CM$2:$DJ$65,MATCH($D41,'Monthly UPC'!$D$2:$D$65,0),MATCH(BR$1,'Monthly UPC'!$CM$1:$DJ$1))*(INDEX('Monthly CUST'!$N$2:$CG$65,MATCH($D41,'Monthly CUST'!$D$2:$D$65,0),MATCH(BR$1,'Monthly CUST'!$N$1:$CG$1,0))),IF($J41="UPC Growth Rate",((BF41/INDEX('Monthly CUST'!$N$2:$CG$65,MATCH($D41,'Monthly CUST'!$D$2:$D$65,0),MATCH(BF$1,'Monthly CUST'!$N$1:$CG$1,0)))*(1+$L41)*INDEX('Monthly CUST'!$N$2:$CG$65,MATCH($D41,'Monthly CUST'!$D$2:$D$65,0),MATCH(BR$1,'Monthly CUST'!$N$1:$CG$1,0))),IF($J41="Modeled UPC",INDEX('Monthly CUST'!$N$2:$CG$65,MATCH($D41,'Monthly CUST'!$D$2:$D$65,0),MATCH(BR$1,'Monthly CUST'!$N$1:$CG$1,0))/12*$M41,IF($J41="Base Period",BF41,IF($J41="Adjusted",SUMIF('Input 15_Fcst Inputs'!$A:$A,$D41,'Input 15_Fcst Inputs'!$G:$G)/12))))),0)</f>
        <v>14544.271283329113</v>
      </c>
      <c r="BS41" s="483">
        <f>IFERROR(IF($J41="Historical Average",INDEX('Monthly UPC'!$CM$2:$DJ$65,MATCH($D41,'Monthly UPC'!$D$2:$D$65,0),MATCH(BS$1,'Monthly UPC'!$CM$1:$DJ$1))*(INDEX('Monthly CUST'!$N$2:$CG$65,MATCH($D41,'Monthly CUST'!$D$2:$D$65,0),MATCH(BS$1,'Monthly CUST'!$N$1:$CG$1,0))),IF($J41="UPC Growth Rate",((BG41/INDEX('Monthly CUST'!$N$2:$CG$65,MATCH($D41,'Monthly CUST'!$D$2:$D$65,0),MATCH(BG$1,'Monthly CUST'!$N$1:$CG$1,0)))*(1+$L41)*INDEX('Monthly CUST'!$N$2:$CG$65,MATCH($D41,'Monthly CUST'!$D$2:$D$65,0),MATCH(BS$1,'Monthly CUST'!$N$1:$CG$1,0))),IF($J41="Modeled UPC",INDEX('Monthly CUST'!$N$2:$CG$65,MATCH($D41,'Monthly CUST'!$D$2:$D$65,0),MATCH(BS$1,'Monthly CUST'!$N$1:$CG$1,0))/12*$M41,IF($J41="Base Period",BG41,IF($J41="Adjusted",SUMIF('Input 15_Fcst Inputs'!$A:$A,$D41,'Input 15_Fcst Inputs'!$G:$G)/12))))),0)</f>
        <v>20765.524342639361</v>
      </c>
      <c r="BT41" s="483">
        <f>IFERROR(IF($J41="Historical Average",INDEX('Monthly UPC'!$CM$2:$DJ$65,MATCH($D41,'Monthly UPC'!$D$2:$D$65,0),MATCH(BT$1,'Monthly UPC'!$CM$1:$DJ$1))*(INDEX('Monthly CUST'!$N$2:$CG$65,MATCH($D41,'Monthly CUST'!$D$2:$D$65,0),MATCH(BT$1,'Monthly CUST'!$N$1:$CG$1,0))),IF($J41="UPC Growth Rate",((BH41/INDEX('Monthly CUST'!$N$2:$CG$65,MATCH($D41,'Monthly CUST'!$D$2:$D$65,0),MATCH(BH$1,'Monthly CUST'!$N$1:$CG$1,0)))*(1+$L41)*INDEX('Monthly CUST'!$N$2:$CG$65,MATCH($D41,'Monthly CUST'!$D$2:$D$65,0),MATCH(BT$1,'Monthly CUST'!$N$1:$CG$1,0))),IF($J41="Modeled UPC",INDEX('Monthly CUST'!$N$2:$CG$65,MATCH($D41,'Monthly CUST'!$D$2:$D$65,0),MATCH(BT$1,'Monthly CUST'!$N$1:$CG$1,0))/12*$M41,IF($J41="Base Period",BH41,IF($J41="Adjusted",SUMIF('Input 15_Fcst Inputs'!$A:$A,$D41,'Input 15_Fcst Inputs'!$G:$G)/12))))),0)</f>
        <v>36415.738931958338</v>
      </c>
      <c r="BU41" s="483">
        <f>IFERROR(IF($J41="Historical Average",INDEX('Monthly UPC'!$CM$2:$DJ$65,MATCH($D41,'Monthly UPC'!$D$2:$D$65,0),MATCH(BU$1,'Monthly UPC'!$CM$1:$DJ$1))*(INDEX('Monthly CUST'!$N$2:$CG$65,MATCH($D41,'Monthly CUST'!$D$2:$D$65,0),MATCH(BU$1,'Monthly CUST'!$N$1:$CG$1,0))),IF($J41="UPC Growth Rate",((BI41/INDEX('Monthly CUST'!$N$2:$CG$65,MATCH($D41,'Monthly CUST'!$D$2:$D$65,0),MATCH(BI$1,'Monthly CUST'!$N$1:$CG$1,0)))*(1+$L41)*INDEX('Monthly CUST'!$N$2:$CG$65,MATCH($D41,'Monthly CUST'!$D$2:$D$65,0),MATCH(BU$1,'Monthly CUST'!$N$1:$CG$1,0))),IF($J41="Modeled UPC",INDEX('Monthly CUST'!$N$2:$CG$65,MATCH($D41,'Monthly CUST'!$D$2:$D$65,0),MATCH(BU$1,'Monthly CUST'!$N$1:$CG$1,0))/12*$M41,IF($J41="Base Period",BI41,IF($J41="Adjusted",SUMIF('Input 15_Fcst Inputs'!$A:$A,$D41,'Input 15_Fcst Inputs'!$G:$G)/12))))),0)</f>
        <v>67627.366658461702</v>
      </c>
      <c r="BV41" s="483">
        <f>IFERROR(IF($J41="Historical Average",INDEX('Monthly UPC'!$CM$2:$DJ$65,MATCH($D41,'Monthly UPC'!$D$2:$D$65,0),MATCH(BV$1,'Monthly UPC'!$CM$1:$DJ$1))*(INDEX('Monthly CUST'!$N$2:$CG$65,MATCH($D41,'Monthly CUST'!$D$2:$D$65,0),MATCH(BV$1,'Monthly CUST'!$N$1:$CG$1,0))),IF($J41="UPC Growth Rate",((BJ41/INDEX('Monthly CUST'!$N$2:$CG$65,MATCH($D41,'Monthly CUST'!$D$2:$D$65,0),MATCH(BJ$1,'Monthly CUST'!$N$1:$CG$1,0)))*(1+$L41)*INDEX('Monthly CUST'!$N$2:$CG$65,MATCH($D41,'Monthly CUST'!$D$2:$D$65,0),MATCH(BV$1,'Monthly CUST'!$N$1:$CG$1,0))),IF($J41="Modeled UPC",INDEX('Monthly CUST'!$N$2:$CG$65,MATCH($D41,'Monthly CUST'!$D$2:$D$65,0),MATCH(BV$1,'Monthly CUST'!$N$1:$CG$1,0))/12*$M41,IF($J41="Base Period",BJ41,IF($J41="Adjusted",SUMIF('Input 15_Fcst Inputs'!$A:$A,$D41,'Input 15_Fcst Inputs'!$G:$G)/12))))),0)</f>
        <v>70088.85461925366</v>
      </c>
      <c r="BW41" s="483">
        <f>IFERROR(IF($J41="Historical Average",INDEX('Monthly UPC'!$CM$2:$DJ$65,MATCH($D41,'Monthly UPC'!$D$2:$D$65,0),MATCH(BW$1,'Monthly UPC'!$CM$1:$DJ$1))*(INDEX('Monthly CUST'!$N$2:$CG$65,MATCH($D41,'Monthly CUST'!$D$2:$D$65,0),MATCH(BW$1,'Monthly CUST'!$N$1:$CG$1,0))),IF($J41="UPC Growth Rate",((BK41/INDEX('Monthly CUST'!$N$2:$CG$65,MATCH($D41,'Monthly CUST'!$D$2:$D$65,0),MATCH(BK$1,'Monthly CUST'!$N$1:$CG$1,0)))*(1+$L41)*INDEX('Monthly CUST'!$N$2:$CG$65,MATCH($D41,'Monthly CUST'!$D$2:$D$65,0),MATCH(BW$1,'Monthly CUST'!$N$1:$CG$1,0))),IF($J41="Modeled UPC",INDEX('Monthly CUST'!$N$2:$CG$65,MATCH($D41,'Monthly CUST'!$D$2:$D$65,0),MATCH(BW$1,'Monthly CUST'!$N$1:$CG$1,0))/12*$M41,IF($J41="Base Period",BK41,IF($J41="Adjusted",SUMIF('Input 15_Fcst Inputs'!$A:$A,$D41,'Input 15_Fcst Inputs'!$G:$G)/12))))),0)</f>
        <v>50712.901645351478</v>
      </c>
      <c r="BX41" s="483">
        <f>IFERROR(IF($J41="Historical Average",INDEX('Monthly UPC'!$CM$2:$DJ$65,MATCH($D41,'Monthly UPC'!$D$2:$D$65,0),MATCH(BX$1,'Monthly UPC'!$CM$1:$DJ$1))*(INDEX('Monthly CUST'!$N$2:$CG$65,MATCH($D41,'Monthly CUST'!$D$2:$D$65,0),MATCH(BX$1,'Monthly CUST'!$N$1:$CG$1,0))),IF($J41="UPC Growth Rate",((BL41/INDEX('Monthly CUST'!$N$2:$CG$65,MATCH($D41,'Monthly CUST'!$D$2:$D$65,0),MATCH(BL$1,'Monthly CUST'!$N$1:$CG$1,0)))*(1+$L41)*INDEX('Monthly CUST'!$N$2:$CG$65,MATCH($D41,'Monthly CUST'!$D$2:$D$65,0),MATCH(BX$1,'Monthly CUST'!$N$1:$CG$1,0))),IF($J41="Modeled UPC",INDEX('Monthly CUST'!$N$2:$CG$65,MATCH($D41,'Monthly CUST'!$D$2:$D$65,0),MATCH(BX$1,'Monthly CUST'!$N$1:$CG$1,0))/12*$M41,IF($J41="Base Period",BL41,IF($J41="Adjusted",SUMIF('Input 15_Fcst Inputs'!$A:$A,$D41,'Input 15_Fcst Inputs'!$G:$G)/12))))),0)</f>
        <v>54052.128262902246</v>
      </c>
      <c r="BY41" s="483">
        <f>IFERROR(IF($J41="Historical Average",INDEX('Monthly UPC'!$CM$2:$DJ$65,MATCH($D41,'Monthly UPC'!$D$2:$D$65,0),MATCH(BY$1,'Monthly UPC'!$CM$1:$DJ$1))*(INDEX('Monthly CUST'!$N$2:$CG$65,MATCH($D41,'Monthly CUST'!$D$2:$D$65,0),MATCH(BY$1,'Monthly CUST'!$N$1:$CG$1,0))),IF($J41="UPC Growth Rate",((BM41/INDEX('Monthly CUST'!$N$2:$CG$65,MATCH($D41,'Monthly CUST'!$D$2:$D$65,0),MATCH(BM$1,'Monthly CUST'!$N$1:$CG$1,0)))*(1+$L41)*INDEX('Monthly CUST'!$N$2:$CG$65,MATCH($D41,'Monthly CUST'!$D$2:$D$65,0),MATCH(BY$1,'Monthly CUST'!$N$1:$CG$1,0))),IF($J41="Modeled UPC",INDEX('Monthly CUST'!$N$2:$CG$65,MATCH($D41,'Monthly CUST'!$D$2:$D$65,0),MATCH(BY$1,'Monthly CUST'!$N$1:$CG$1,0))/12*$M41,IF($J41="Base Period",BM41,IF($J41="Adjusted",SUMIF('Input 15_Fcst Inputs'!$A:$A,$D41,'Input 15_Fcst Inputs'!$G:$G)/12))))),0)</f>
        <v>55425.353233119116</v>
      </c>
      <c r="BZ41" s="483">
        <f>IFERROR(IF($J41="Historical Average",INDEX('Monthly UPC'!$CM$2:$DJ$65,MATCH($D41,'Monthly UPC'!$D$2:$D$65,0),MATCH(BZ$1,'Monthly UPC'!$CM$1:$DJ$1))*(INDEX('Monthly CUST'!$N$2:$CG$65,MATCH($D41,'Monthly CUST'!$D$2:$D$65,0),MATCH(BZ$1,'Monthly CUST'!$N$1:$CG$1,0))),IF($J41="UPC Growth Rate",((BN41/INDEX('Monthly CUST'!$N$2:$CG$65,MATCH($D41,'Monthly CUST'!$D$2:$D$65,0),MATCH(BN$1,'Monthly CUST'!$N$1:$CG$1,0)))*(1+$L41)*INDEX('Monthly CUST'!$N$2:$CG$65,MATCH($D41,'Monthly CUST'!$D$2:$D$65,0),MATCH(BZ$1,'Monthly CUST'!$N$1:$CG$1,0))),IF($J41="Modeled UPC",INDEX('Monthly CUST'!$N$2:$CG$65,MATCH($D41,'Monthly CUST'!$D$2:$D$65,0),MATCH(BZ$1,'Monthly CUST'!$N$1:$CG$1,0))/12*$M41,IF($J41="Base Period",BN41,IF($J41="Adjusted",SUMIF('Input 15_Fcst Inputs'!$A:$A,$D41,'Input 15_Fcst Inputs'!$G:$G)/12))))),0)</f>
        <v>28265.841716280942</v>
      </c>
      <c r="CA41" s="483">
        <f>IFERROR(IF($J41="Historical Average",INDEX('Monthly UPC'!$CM$2:$DJ$65,MATCH($D41,'Monthly UPC'!$D$2:$D$65,0),MATCH(CA$1,'Monthly UPC'!$CM$1:$DJ$1))*(INDEX('Monthly CUST'!$N$2:$CG$65,MATCH($D41,'Monthly CUST'!$D$2:$D$65,0),MATCH(CA$1,'Monthly CUST'!$N$1:$CG$1,0))),IF($J41="UPC Growth Rate",((BO41/INDEX('Monthly CUST'!$N$2:$CG$65,MATCH($D41,'Monthly CUST'!$D$2:$D$65,0),MATCH(BO$1,'Monthly CUST'!$N$1:$CG$1,0)))*(1+$L41)*INDEX('Monthly CUST'!$N$2:$CG$65,MATCH($D41,'Monthly CUST'!$D$2:$D$65,0),MATCH(CA$1,'Monthly CUST'!$N$1:$CG$1,0))),IF($J41="Modeled UPC",INDEX('Monthly CUST'!$N$2:$CG$65,MATCH($D41,'Monthly CUST'!$D$2:$D$65,0),MATCH(CA$1,'Monthly CUST'!$N$1:$CG$1,0))/12*$M41,IF($J41="Base Period",BO41,IF($J41="Adjusted",SUMIF('Input 15_Fcst Inputs'!$A:$A,$D41,'Input 15_Fcst Inputs'!$G:$G)/12))))),0)</f>
        <v>22510.005185458485</v>
      </c>
      <c r="CB41" s="483">
        <f>IFERROR(IF($J41="Historical Average",INDEX('Monthly UPC'!$CM$2:$DJ$65,MATCH($D41,'Monthly UPC'!$D$2:$D$65,0),MATCH(CB$1,'Monthly UPC'!$CM$1:$DJ$1))*(INDEX('Monthly CUST'!$N$2:$CG$65,MATCH($D41,'Monthly CUST'!$D$2:$D$65,0),MATCH(CB$1,'Monthly CUST'!$N$1:$CG$1,0))),IF($J41="UPC Growth Rate",((BP41/INDEX('Monthly CUST'!$N$2:$CG$65,MATCH($D41,'Monthly CUST'!$D$2:$D$65,0),MATCH(BP$1,'Monthly CUST'!$N$1:$CG$1,0)))*(1+$L41)*INDEX('Monthly CUST'!$N$2:$CG$65,MATCH($D41,'Monthly CUST'!$D$2:$D$65,0),MATCH(CB$1,'Monthly CUST'!$N$1:$CG$1,0))),IF($J41="Modeled UPC",INDEX('Monthly CUST'!$N$2:$CG$65,MATCH($D41,'Monthly CUST'!$D$2:$D$65,0),MATCH(CB$1,'Monthly CUST'!$N$1:$CG$1,0))/12*$M41,IF($J41="Base Period",BP41,IF($J41="Adjusted",SUMIF('Input 15_Fcst Inputs'!$A:$A,$D41,'Input 15_Fcst Inputs'!$G:$G)/12))))),0)</f>
        <v>21665.984005559818</v>
      </c>
      <c r="CC41" s="483">
        <f>IFERROR(IF($J41="Historical Average",INDEX('Monthly UPC'!$CM$2:$DJ$65,MATCH($D41,'Monthly UPC'!$D$2:$D$65,0),MATCH(CC$1,'Monthly UPC'!$CM$1:$DJ$1))*(INDEX('Monthly CUST'!$N$2:$CG$65,MATCH($D41,'Monthly CUST'!$D$2:$D$65,0),MATCH(CC$1,'Monthly CUST'!$N$1:$CG$1,0))),IF($J41="UPC Growth Rate",((BQ41/INDEX('Monthly CUST'!$N$2:$CG$65,MATCH($D41,'Monthly CUST'!$D$2:$D$65,0),MATCH(BQ$1,'Monthly CUST'!$N$1:$CG$1,0)))*(1+$L41)*INDEX('Monthly CUST'!$N$2:$CG$65,MATCH($D41,'Monthly CUST'!$D$2:$D$65,0),MATCH(CC$1,'Monthly CUST'!$N$1:$CG$1,0))),IF($J41="Modeled UPC",INDEX('Monthly CUST'!$N$2:$CG$65,MATCH($D41,'Monthly CUST'!$D$2:$D$65,0),MATCH(CC$1,'Monthly CUST'!$N$1:$CG$1,0))/12*$M41,IF($J41="Base Period",BQ41,IF($J41="Adjusted",SUMIF('Input 15_Fcst Inputs'!$A:$A,$D41,'Input 15_Fcst Inputs'!$G:$G)/12))))),0)</f>
        <v>15450.661275404109</v>
      </c>
      <c r="CD41" s="483">
        <f>IFERROR(IF($J41="Historical Average",INDEX('Monthly UPC'!$CM$2:$DJ$65,MATCH($D41,'Monthly UPC'!$D$2:$D$65,0),MATCH(CD$1,'Monthly UPC'!$CM$1:$DJ$1))*(INDEX('Monthly CUST'!$N$2:$CG$65,MATCH($D41,'Monthly CUST'!$D$2:$D$65,0),MATCH(CD$1,'Monthly CUST'!$N$1:$CG$1,0))),IF($J41="UPC Growth Rate",((BR41/INDEX('Monthly CUST'!$N$2:$CG$65,MATCH($D41,'Monthly CUST'!$D$2:$D$65,0),MATCH(BR$1,'Monthly CUST'!$N$1:$CG$1,0)))*(1+$L41)*INDEX('Monthly CUST'!$N$2:$CG$65,MATCH($D41,'Monthly CUST'!$D$2:$D$65,0),MATCH(CD$1,'Monthly CUST'!$N$1:$CG$1,0))),IF($J41="Modeled UPC",INDEX('Monthly CUST'!$N$2:$CG$65,MATCH($D41,'Monthly CUST'!$D$2:$D$65,0),MATCH(CD$1,'Monthly CUST'!$N$1:$CG$1,0))/12*$M41,IF($J41="Base Period",BR41,IF($J41="Adjusted",SUMIF('Input 15_Fcst Inputs'!$A:$A,$D41,'Input 15_Fcst Inputs'!$G:$G)/12))))),0)</f>
        <v>14633.496603256728</v>
      </c>
      <c r="CE41" s="483">
        <f>IFERROR(IF($J41="Historical Average",INDEX('Monthly UPC'!$CM$2:$DJ$65,MATCH($D41,'Monthly UPC'!$D$2:$D$65,0),MATCH(CE$1,'Monthly UPC'!$CM$1:$DJ$1))*(INDEX('Monthly CUST'!$N$2:$CG$65,MATCH($D41,'Monthly CUST'!$D$2:$D$65,0),MATCH(CE$1,'Monthly CUST'!$N$1:$CG$1,0))),IF($J41="UPC Growth Rate",((BS41/INDEX('Monthly CUST'!$N$2:$CG$65,MATCH($D41,'Monthly CUST'!$D$2:$D$65,0),MATCH(BS$1,'Monthly CUST'!$N$1:$CG$1,0)))*(1+$L41)*INDEX('Monthly CUST'!$N$2:$CG$65,MATCH($D41,'Monthly CUST'!$D$2:$D$65,0),MATCH(CE$1,'Monthly CUST'!$N$1:$CG$1,0))),IF($J41="Modeled UPC",INDEX('Monthly CUST'!$N$2:$CG$65,MATCH($D41,'Monthly CUST'!$D$2:$D$65,0),MATCH(CE$1,'Monthly CUST'!$N$1:$CG$1,0))/12*$M41,IF($J41="Base Period",BS41,IF($J41="Adjusted",SUMIF('Input 15_Fcst Inputs'!$A:$A,$D41,'Input 15_Fcst Inputs'!$G:$G)/12))))),0)</f>
        <v>20892.915431325971</v>
      </c>
      <c r="CF41" s="483">
        <f>IFERROR(IF($J41="Historical Average",INDEX('Monthly UPC'!$CM$2:$DJ$65,MATCH($D41,'Monthly UPC'!$D$2:$D$65,0),MATCH(CF$1,'Monthly UPC'!$CM$1:$DJ$1))*(INDEX('Monthly CUST'!$N$2:$CG$65,MATCH($D41,'Monthly CUST'!$D$2:$D$65,0),MATCH(CF$1,'Monthly CUST'!$N$1:$CG$1,0))),IF($J41="UPC Growth Rate",((BT41/INDEX('Monthly CUST'!$N$2:$CG$65,MATCH($D41,'Monthly CUST'!$D$2:$D$65,0),MATCH(BT$1,'Monthly CUST'!$N$1:$CG$1,0)))*(1+$L41)*INDEX('Monthly CUST'!$N$2:$CG$65,MATCH($D41,'Monthly CUST'!$D$2:$D$65,0),MATCH(CF$1,'Monthly CUST'!$N$1:$CG$1,0))),IF($J41="Modeled UPC",INDEX('Monthly CUST'!$N$2:$CG$65,MATCH($D41,'Monthly CUST'!$D$2:$D$65,0),MATCH(CF$1,'Monthly CUST'!$N$1:$CG$1,0))/12*$M41,IF($J41="Base Period",BT41,IF($J41="Adjusted",SUMIF('Input 15_Fcst Inputs'!$A:$A,$D41,'Input 15_Fcst Inputs'!$G:$G)/12))))),0)</f>
        <v>36639.140014990167</v>
      </c>
      <c r="CG41" s="483">
        <f>IFERROR(IF($J41="Historical Average",INDEX('Monthly UPC'!$CM$2:$DJ$65,MATCH($D41,'Monthly UPC'!$D$2:$D$65,0),MATCH(CG$1,'Monthly UPC'!$CM$1:$DJ$1))*(INDEX('Monthly CUST'!$N$2:$CG$65,MATCH($D41,'Monthly CUST'!$D$2:$D$65,0),MATCH(CG$1,'Monthly CUST'!$N$1:$CG$1,0))),IF($J41="UPC Growth Rate",((BU41/INDEX('Monthly CUST'!$N$2:$CG$65,MATCH($D41,'Monthly CUST'!$D$2:$D$65,0),MATCH(BU$1,'Monthly CUST'!$N$1:$CG$1,0)))*(1+$L41)*INDEX('Monthly CUST'!$N$2:$CG$65,MATCH($D41,'Monthly CUST'!$D$2:$D$65,0),MATCH(CG$1,'Monthly CUST'!$N$1:$CG$1,0))),IF($J41="Modeled UPC",INDEX('Monthly CUST'!$N$2:$CG$65,MATCH($D41,'Monthly CUST'!$D$2:$D$65,0),MATCH(CG$1,'Monthly CUST'!$N$1:$CG$1,0))/12*$M41,IF($J41="Base Period",BU41,IF($J41="Adjusted",SUMIF('Input 15_Fcst Inputs'!$A:$A,$D41,'Input 15_Fcst Inputs'!$G:$G)/12))))),0)</f>
        <v>68042.242956381117</v>
      </c>
      <c r="CH41" s="197"/>
      <c r="CI41" s="197">
        <f t="shared" si="8"/>
        <v>523133.35000000015</v>
      </c>
      <c r="CJ41" s="197">
        <f t="shared" si="9"/>
        <v>488269.11</v>
      </c>
      <c r="CK41" s="197">
        <f t="shared" si="10"/>
        <v>426417.79999999976</v>
      </c>
      <c r="CL41" s="197">
        <f t="shared" si="11"/>
        <v>452806.78</v>
      </c>
      <c r="CM41" s="197">
        <f t="shared" si="12"/>
        <v>455584.63177571615</v>
      </c>
      <c r="CN41" s="197">
        <f t="shared" si="13"/>
        <v>458379.5249492838</v>
      </c>
      <c r="CP41" s="4">
        <f>SUMIF('Master '!D:D,D41,'Master '!AH:AH)</f>
        <v>455584.6317757162</v>
      </c>
      <c r="CQ41" s="4">
        <f>SUMIF('Master '!D:D,D41,'Master '!AI:AI)</f>
        <v>458379.52494928386</v>
      </c>
      <c r="CR41" s="197">
        <f t="shared" si="14"/>
        <v>0</v>
      </c>
      <c r="CS41" s="197">
        <f t="shared" si="15"/>
        <v>0</v>
      </c>
      <c r="CT41" t="s">
        <v>287</v>
      </c>
      <c r="CV41" t="str">
        <f>VLOOKUP(G41,'Master '!G:CC,75,FALSE)</f>
        <v>FTS-2</v>
      </c>
    </row>
    <row r="42" spans="1:100">
      <c r="A42" s="53" t="s">
        <v>17</v>
      </c>
      <c r="B42" s="53" t="s">
        <v>993</v>
      </c>
      <c r="C42" s="53" t="s">
        <v>8</v>
      </c>
      <c r="D42" s="53" t="s">
        <v>1251</v>
      </c>
      <c r="E42" s="53" t="str">
        <f>VLOOKUP(D42,'Input 14_Ref Table'!C:D,2,FALSE)</f>
        <v>CR839</v>
      </c>
      <c r="F42" s="143" t="s">
        <v>1287</v>
      </c>
      <c r="G42" s="53" t="str">
        <f>VLOOKUP(D42,'Input 14_Ref Table'!C:I,7,FALSE)</f>
        <v>CFG - FTS-2 - Fixed R</v>
      </c>
      <c r="H42" s="53" t="str">
        <f>VLOOKUP(D42,'Input 14_Ref Table'!C:K,8,FALSE)</f>
        <v>FTS_2</v>
      </c>
      <c r="I42" s="53"/>
      <c r="J42" t="str">
        <f>INDEX('Master '!$AD$2:AD$65,MATCH(D42,'Master '!$D$2:$D$65,0))</f>
        <v>UPC Growth Rate</v>
      </c>
      <c r="K42" s="458">
        <f>INDEX('Master '!$N$2:N$65,MATCH(D42,'Master '!$D$2:$D$65,0))</f>
        <v>6.1347398016349964E-3</v>
      </c>
      <c r="L42" s="137">
        <f>INDEX('Master '!$S$2:S$65,MATCH(D42,'Master '!$D$2:$D$65,0))</f>
        <v>0</v>
      </c>
      <c r="M42" s="4">
        <f>INDEX('Master '!$W$2:W$65,MATCH(D42,'Master '!$D$2:$D$65,0))</f>
        <v>597.30342792519559</v>
      </c>
      <c r="N42" s="268">
        <f>SUMIF('Input 16.1_2018VOL-YTD'!$R:$R,$G42,'Input 16.1_2018VOL-YTD'!C:C)</f>
        <v>1203.23</v>
      </c>
      <c r="O42" s="268">
        <f>SUMIF('Input 16.1_2018VOL-YTD'!$R:$R,$G42,'Input 16.1_2018VOL-YTD'!D:D)</f>
        <v>1082.8499999999999</v>
      </c>
      <c r="P42" s="268">
        <f>SUMIF('Input 16.1_2018VOL-YTD'!$R:$R,$G42,'Input 16.1_2018VOL-YTD'!E:E)</f>
        <v>1215.5899999999999</v>
      </c>
      <c r="Q42" s="268">
        <f>SUMIF('Input 16.1_2018VOL-YTD'!$R:$R,$G42,'Input 16.1_2018VOL-YTD'!F:F)</f>
        <v>1830.24</v>
      </c>
      <c r="R42" s="268">
        <f>SUMIF('Input 16.1_2018VOL-YTD'!$R:$R,$G42,'Input 16.1_2018VOL-YTD'!G:G)</f>
        <v>667.67</v>
      </c>
      <c r="S42" s="268">
        <f>SUMIF('Input 16.1_2018VOL-YTD'!$R:$R,$G42,'Input 16.1_2018VOL-YTD'!H:H)</f>
        <v>584.84</v>
      </c>
      <c r="T42" s="268">
        <f>SUMIF('Input 16.1_2018VOL-YTD'!$R:$R,$G42,'Input 16.1_2018VOL-YTD'!I:I)</f>
        <v>545</v>
      </c>
      <c r="U42" s="268">
        <f>SUMIF('Input 16.1_2018VOL-YTD'!$R:$R,$G42,'Input 16.1_2018VOL-YTD'!J:J)</f>
        <v>494.94</v>
      </c>
      <c r="V42" s="268">
        <f>SUMIF('Input 16.1_2018VOL-YTD'!$R:$R,$G42,'Input 16.1_2018VOL-YTD'!K:K)</f>
        <v>337.37</v>
      </c>
      <c r="W42" s="268">
        <f>SUMIF('Input 16.1_2018VOL-YTD'!$R:$R,$G42,'Input 16.1_2018VOL-YTD'!L:L)</f>
        <v>364.67</v>
      </c>
      <c r="X42" s="268">
        <f>SUMIF('Input 16.1_2018VOL-YTD'!$R:$R,$G42,'Input 16.1_2018VOL-YTD'!M:M)</f>
        <v>693.8</v>
      </c>
      <c r="Y42" s="268">
        <f>SUMIF('Input 16.1_2018VOL-YTD'!$R:$R,$G42,'Input 16.1_2018VOL-YTD'!N:N)</f>
        <v>1073.8</v>
      </c>
      <c r="Z42" s="268">
        <f>SUMIF('Input 3.1_2019VOL-YTD'!$R:$R,$G42,'Input 3.1_2019VOL-YTD'!C:C)</f>
        <v>1584.92</v>
      </c>
      <c r="AA42" s="268">
        <f>SUMIF('Input 3.1_2019VOL-YTD'!$R:$R,$G42,'Input 3.1_2019VOL-YTD'!D:D)</f>
        <v>1241.08</v>
      </c>
      <c r="AB42" s="268">
        <f>SUMIF('Input 3.1_2019VOL-YTD'!$R:$R,$G42,'Input 3.1_2019VOL-YTD'!E:E)</f>
        <v>1347.06</v>
      </c>
      <c r="AC42" s="268">
        <f>SUMIF('Input 3.1_2019VOL-YTD'!$R:$R,$G42,'Input 3.1_2019VOL-YTD'!F:F)</f>
        <v>1623.03</v>
      </c>
      <c r="AD42" s="268">
        <f>SUMIF('Input 3.1_2019VOL-YTD'!$R:$R,$G42,'Input 3.1_2019VOL-YTD'!G:G)</f>
        <v>662.53</v>
      </c>
      <c r="AE42" s="268">
        <f>SUMIF('Input 3.1_2019VOL-YTD'!$R:$R,$G42,'Input 3.1_2019VOL-YTD'!H:H)</f>
        <v>399.43</v>
      </c>
      <c r="AF42" s="268">
        <f>SUMIF('Input 3.1_2019VOL-YTD'!$R:$R,$G42,'Input 3.1_2019VOL-YTD'!I:I)</f>
        <v>322.98</v>
      </c>
      <c r="AG42" s="268">
        <f>SUMIF('Input 3.1_2019VOL-YTD'!$R:$R,$G42,'Input 3.1_2019VOL-YTD'!J:J)</f>
        <v>402.04</v>
      </c>
      <c r="AH42" s="268">
        <f>SUMIF('Input 3.1_2019VOL-YTD'!$R:$R,$G42,'Input 3.1_2019VOL-YTD'!K:K)</f>
        <v>301.51</v>
      </c>
      <c r="AI42" s="268">
        <f>SUMIF('Input 3.1_2019VOL-YTD'!$R:$R,$G42,'Input 3.1_2019VOL-YTD'!L:L)</f>
        <v>382.19</v>
      </c>
      <c r="AJ42" s="268">
        <f>SUMIF('Input 3.1_2019VOL-YTD'!$R:$R,$G42,'Input 3.1_2019VOL-YTD'!M:M)</f>
        <v>793.03</v>
      </c>
      <c r="AK42" s="268">
        <f>SUMIF('Input 3.1_2019VOL-YTD'!$R:$R,$G42,'Input 3.1_2019VOL-YTD'!N:N)</f>
        <v>1779.25</v>
      </c>
      <c r="AL42" s="268">
        <f>SUMIF('Input 4.1_2020VOL-YTD'!$R:$R,$G42,'Input 4.1_2020VOL-YTD'!C:C)</f>
        <v>1803.85</v>
      </c>
      <c r="AM42" s="268">
        <f>SUMIF('Input 4.1_2020VOL-YTD'!$R:$R,$G42,'Input 4.1_2020VOL-YTD'!D:D)</f>
        <v>1723.72</v>
      </c>
      <c r="AN42" s="268">
        <f>SUMIF('Input 4.1_2020VOL-YTD'!$R:$R,$G42,'Input 4.1_2020VOL-YTD'!E:E)</f>
        <v>1467.97</v>
      </c>
      <c r="AO42" s="268">
        <f>SUMIF('Input 4.1_2020VOL-YTD'!$R:$R,$G42,'Input 4.1_2020VOL-YTD'!F:F)</f>
        <v>768.6</v>
      </c>
      <c r="AP42" s="268">
        <f>SUMIF('Input 4.1_2020VOL-YTD'!$R:$R,$G42,'Input 4.1_2020VOL-YTD'!G:G)</f>
        <v>208.79</v>
      </c>
      <c r="AQ42" s="268">
        <f>SUMIF('Input 4.1_2020VOL-YTD'!$R:$R,$G42,'Input 4.1_2020VOL-YTD'!H:H)</f>
        <v>348.54</v>
      </c>
      <c r="AR42" s="268">
        <f>SUMIF('Input 4.1_2020VOL-YTD'!$R:$R,$G42,'Input 4.1_2020VOL-YTD'!I:I)</f>
        <v>403.78</v>
      </c>
      <c r="AS42" s="268">
        <f>SUMIF('Input 4.1_2020VOL-YTD'!$R:$R,$G42,'Input 4.1_2020VOL-YTD'!J:J)</f>
        <v>355.24</v>
      </c>
      <c r="AT42" s="268">
        <f>SUMIF('Input 4.1_2020VOL-YTD'!$R:$R,$G42,'Input 4.1_2020VOL-YTD'!K:K)</f>
        <v>392.47</v>
      </c>
      <c r="AU42" s="268">
        <f>SUMIF('Input 4.1_2020VOL-YTD'!$R:$R,$G42,'Input 4.1_2020VOL-YTD'!L:L)</f>
        <v>567.27</v>
      </c>
      <c r="AV42" s="268">
        <f>SUMIF('Input 4.1_2020VOL-YTD'!$R:$R,$G42,'Input 4.1_2020VOL-YTD'!M:M)</f>
        <v>809.62</v>
      </c>
      <c r="AW42" s="268">
        <f>SUMIF('Input 4.1_2020VOL-YTD'!$R:$R,$G42,'Input 4.1_2020VOL-YTD'!N:N)</f>
        <v>1411.52</v>
      </c>
      <c r="AX42" s="268">
        <f>SUMIF('Input 5.1_2021VOL-YTD'!$R:$R,$G42,'Input 5.1_2021VOL-YTD'!C:C)</f>
        <v>1371.88</v>
      </c>
      <c r="AY42" s="268">
        <f>SUMIF('Input 5.1_2021VOL-YTD'!$R:$R,$G42,'Input 5.1_2021VOL-YTD'!D:D)</f>
        <v>1049.9000000000001</v>
      </c>
      <c r="AZ42" s="268">
        <f>SUMIF('Input 5.1_2021VOL-YTD'!$R:$R,$G42,'Input 5.1_2021VOL-YTD'!E:E)</f>
        <v>1404.02</v>
      </c>
      <c r="BA42" s="268">
        <f>SUMIF('Input 5.1_2021VOL-YTD'!$R:$R,$G42,'Input 5.1_2021VOL-YTD'!F:F)</f>
        <v>1511.92</v>
      </c>
      <c r="BB42" s="268">
        <f>SUMIF('Input 5.1_2021VOL-YTD'!$R:$R,$G42,'Input 5.1_2021VOL-YTD'!G:G)</f>
        <v>797.82</v>
      </c>
      <c r="BC42" s="268">
        <f>SUMIF('Input 5.1_2021VOL-YTD'!$R:$R,$G42,'Input 5.1_2021VOL-YTD'!H:H)</f>
        <v>587.61</v>
      </c>
      <c r="BD42" s="268">
        <f>SUMIF('Input 5.1_2021VOL-YTD'!$R:$R,$G42,'Input 5.1_2021VOL-YTD'!I:I)</f>
        <v>465.33</v>
      </c>
      <c r="BE42" s="268">
        <f>SUMIF('Input 5.1_2021VOL-YTD'!$R:$R,$G42,'Input 5.1_2021VOL-YTD'!J:J)</f>
        <v>424.34</v>
      </c>
      <c r="BF42" s="268">
        <f>SUMIF('Input 5.1_2021VOL-YTD'!$R:$R,$G42,'Input 5.1_2021VOL-YTD'!K:K)</f>
        <v>403.11</v>
      </c>
      <c r="BG42" s="268">
        <f>SUMIF('Input 5.1_2021VOL-YTD'!$R:$R,$G42,'Input 5.1_2021VOL-YTD'!L:L)</f>
        <v>607.04</v>
      </c>
      <c r="BH42" s="268">
        <f>SUMIF('Input 5.1_2021VOL-YTD'!$R:$R,$G42,'Input 5.1_2021VOL-YTD'!M:M)</f>
        <v>993.6</v>
      </c>
      <c r="BI42" s="268">
        <f>SUMIF('Input 5.1_2021VOL-YTD'!$R:$R,$G42,'Input 5.1_2021VOL-YTD'!N:N)</f>
        <v>1398.99</v>
      </c>
      <c r="BJ42" s="483">
        <f>IFERROR(IF($J42="Historical Average",INDEX('Monthly UPC'!$CM$2:$DJ$65,MATCH($D42,'Monthly UPC'!$D$2:$D$65,0),MATCH(BJ$1,'Monthly UPC'!$CM$1:$DJ$1))*(INDEX('Monthly CUST'!$N$2:$CG$65,MATCH($D42,'Monthly CUST'!$D$2:$D$65,0),MATCH(BJ$1,'Monthly CUST'!$N$1:$CG$1,0))),IF($J42="UPC Growth Rate",((AX42/INDEX('Monthly CUST'!$N$2:$CG$65,MATCH($D42,'Monthly CUST'!$D$2:$D$65,0),MATCH(AX$1,'Monthly CUST'!$N$1:$CG$1,0)))*(1+$L42)*INDEX('Monthly CUST'!$N$2:$CG$65,MATCH($D42,'Monthly CUST'!$D$2:$D$65,0),MATCH(BJ$1,'Monthly CUST'!$N$1:$CG$1,0))),IF($J42="Modeled UPC",INDEX('Monthly CUST'!$N$2:$CG$65,MATCH($D42,'Monthly CUST'!$D$2:$D$65,0),MATCH(BJ$1,'Monthly CUST'!$N$1:$CG$1,0))/12*$M42,IF($J42="Base Period",AX42,IF($J42="Adjusted",SUMIF('Input 15_Fcst Inputs'!$A:$A,$D42,'Input 15_Fcst Inputs'!$G:$G)/12))))),0)</f>
        <v>1380.296126839067</v>
      </c>
      <c r="BK42" s="483">
        <f>IFERROR(IF($J42="Historical Average",INDEX('Monthly UPC'!$CM$2:$DJ$65,MATCH($D42,'Monthly UPC'!$D$2:$D$65,0),MATCH(BK$1,'Monthly UPC'!$CM$1:$DJ$1))*(INDEX('Monthly CUST'!$N$2:$CG$65,MATCH($D42,'Monthly CUST'!$D$2:$D$65,0),MATCH(BK$1,'Monthly CUST'!$N$1:$CG$1,0))),IF($J42="UPC Growth Rate",((AY42/INDEX('Monthly CUST'!$N$2:$CG$65,MATCH($D42,'Monthly CUST'!$D$2:$D$65,0),MATCH(AY$1,'Monthly CUST'!$N$1:$CG$1,0)))*(1+$L42)*INDEX('Monthly CUST'!$N$2:$CG$65,MATCH($D42,'Monthly CUST'!$D$2:$D$65,0),MATCH(BK$1,'Monthly CUST'!$N$1:$CG$1,0))),IF($J42="Modeled UPC",INDEX('Monthly CUST'!$N$2:$CG$65,MATCH($D42,'Monthly CUST'!$D$2:$D$65,0),MATCH(BK$1,'Monthly CUST'!$N$1:$CG$1,0))/12*$M42,IF($J42="Base Period",AY42,IF($J42="Adjusted",SUMIF('Input 15_Fcst Inputs'!$A:$A,$D42,'Input 15_Fcst Inputs'!$G:$G)/12))))),0)</f>
        <v>1056.3408633177364</v>
      </c>
      <c r="BL42" s="483">
        <f>IFERROR(IF($J42="Historical Average",INDEX('Monthly UPC'!$CM$2:$DJ$65,MATCH($D42,'Monthly UPC'!$D$2:$D$65,0),MATCH(BL$1,'Monthly UPC'!$CM$1:$DJ$1))*(INDEX('Monthly CUST'!$N$2:$CG$65,MATCH($D42,'Monthly CUST'!$D$2:$D$65,0),MATCH(BL$1,'Monthly CUST'!$N$1:$CG$1,0))),IF($J42="UPC Growth Rate",((AZ42/INDEX('Monthly CUST'!$N$2:$CG$65,MATCH($D42,'Monthly CUST'!$D$2:$D$65,0),MATCH(AZ$1,'Monthly CUST'!$N$1:$CG$1,0)))*(1+$L42)*INDEX('Monthly CUST'!$N$2:$CG$65,MATCH($D42,'Monthly CUST'!$D$2:$D$65,0),MATCH(BL$1,'Monthly CUST'!$N$1:$CG$1,0))),IF($J42="Modeled UPC",INDEX('Monthly CUST'!$N$2:$CG$65,MATCH($D42,'Monthly CUST'!$D$2:$D$65,0),MATCH(BL$1,'Monthly CUST'!$N$1:$CG$1,0))/12*$M42,IF($J42="Base Period",AZ42,IF($J42="Adjusted",SUMIF('Input 15_Fcst Inputs'!$A:$A,$D42,'Input 15_Fcst Inputs'!$G:$G)/12))))),0)</f>
        <v>1412.6332973762912</v>
      </c>
      <c r="BM42" s="483">
        <f>IFERROR(IF($J42="Historical Average",INDEX('Monthly UPC'!$CM$2:$DJ$65,MATCH($D42,'Monthly UPC'!$D$2:$D$65,0),MATCH(BM$1,'Monthly UPC'!$CM$1:$DJ$1))*(INDEX('Monthly CUST'!$N$2:$CG$65,MATCH($D42,'Monthly CUST'!$D$2:$D$65,0),MATCH(BM$1,'Monthly CUST'!$N$1:$CG$1,0))),IF($J42="UPC Growth Rate",((BA42/INDEX('Monthly CUST'!$N$2:$CG$65,MATCH($D42,'Monthly CUST'!$D$2:$D$65,0),MATCH(BA$1,'Monthly CUST'!$N$1:$CG$1,0)))*(1+$L42)*INDEX('Monthly CUST'!$N$2:$CG$65,MATCH($D42,'Monthly CUST'!$D$2:$D$65,0),MATCH(BM$1,'Monthly CUST'!$N$1:$CG$1,0))),IF($J42="Modeled UPC",INDEX('Monthly CUST'!$N$2:$CG$65,MATCH($D42,'Monthly CUST'!$D$2:$D$65,0),MATCH(BM$1,'Monthly CUST'!$N$1:$CG$1,0))/12*$M42,IF($J42="Base Period",BA42,IF($J42="Adjusted",SUMIF('Input 15_Fcst Inputs'!$A:$A,$D42,'Input 15_Fcst Inputs'!$G:$G)/12))))),0)</f>
        <v>1521.1952358008878</v>
      </c>
      <c r="BN42" s="483">
        <f>IFERROR(IF($J42="Historical Average",INDEX('Monthly UPC'!$CM$2:$DJ$65,MATCH($D42,'Monthly UPC'!$D$2:$D$65,0),MATCH(BN$1,'Monthly UPC'!$CM$1:$DJ$1))*(INDEX('Monthly CUST'!$N$2:$CG$65,MATCH($D42,'Monthly CUST'!$D$2:$D$65,0),MATCH(BN$1,'Monthly CUST'!$N$1:$CG$1,0))),IF($J42="UPC Growth Rate",((BB42/INDEX('Monthly CUST'!$N$2:$CG$65,MATCH($D42,'Monthly CUST'!$D$2:$D$65,0),MATCH(BB$1,'Monthly CUST'!$N$1:$CG$1,0)))*(1+$L42)*INDEX('Monthly CUST'!$N$2:$CG$65,MATCH($D42,'Monthly CUST'!$D$2:$D$65,0),MATCH(BN$1,'Monthly CUST'!$N$1:$CG$1,0))),IF($J42="Modeled UPC",INDEX('Monthly CUST'!$N$2:$CG$65,MATCH($D42,'Monthly CUST'!$D$2:$D$65,0),MATCH(BN$1,'Monthly CUST'!$N$1:$CG$1,0))/12*$M42,IF($J42="Base Period",BB42,IF($J42="Adjusted",SUMIF('Input 15_Fcst Inputs'!$A:$A,$D42,'Input 15_Fcst Inputs'!$G:$G)/12))))),0)</f>
        <v>802.71441810854037</v>
      </c>
      <c r="BO42" s="483">
        <f>IFERROR(IF($J42="Historical Average",INDEX('Monthly UPC'!$CM$2:$DJ$65,MATCH($D42,'Monthly UPC'!$D$2:$D$65,0),MATCH(BO$1,'Monthly UPC'!$CM$1:$DJ$1))*(INDEX('Monthly CUST'!$N$2:$CG$65,MATCH($D42,'Monthly CUST'!$D$2:$D$65,0),MATCH(BO$1,'Monthly CUST'!$N$1:$CG$1,0))),IF($J42="UPC Growth Rate",((BC42/INDEX('Monthly CUST'!$N$2:$CG$65,MATCH($D42,'Monthly CUST'!$D$2:$D$65,0),MATCH(BC$1,'Monthly CUST'!$N$1:$CG$1,0)))*(1+$L42)*INDEX('Monthly CUST'!$N$2:$CG$65,MATCH($D42,'Monthly CUST'!$D$2:$D$65,0),MATCH(BO$1,'Monthly CUST'!$N$1:$CG$1,0))),IF($J42="Modeled UPC",INDEX('Monthly CUST'!$N$2:$CG$65,MATCH($D42,'Monthly CUST'!$D$2:$D$65,0),MATCH(BO$1,'Monthly CUST'!$N$1:$CG$1,0))/12*$M42,IF($J42="Base Period",BC42,IF($J42="Adjusted",SUMIF('Input 15_Fcst Inputs'!$A:$A,$D42,'Input 15_Fcst Inputs'!$G:$G)/12))))),0)</f>
        <v>591.21483445483864</v>
      </c>
      <c r="BP42" s="483">
        <f>IFERROR(IF($J42="Historical Average",INDEX('Monthly UPC'!$CM$2:$DJ$65,MATCH($D42,'Monthly UPC'!$D$2:$D$65,0),MATCH(BP$1,'Monthly UPC'!$CM$1:$DJ$1))*(INDEX('Monthly CUST'!$N$2:$CG$65,MATCH($D42,'Monthly CUST'!$D$2:$D$65,0),MATCH(BP$1,'Monthly CUST'!$N$1:$CG$1,0))),IF($J42="UPC Growth Rate",((BD42/INDEX('Monthly CUST'!$N$2:$CG$65,MATCH($D42,'Monthly CUST'!$D$2:$D$65,0),MATCH(BD$1,'Monthly CUST'!$N$1:$CG$1,0)))*(1+$L42)*INDEX('Monthly CUST'!$N$2:$CG$65,MATCH($D42,'Monthly CUST'!$D$2:$D$65,0),MATCH(BP$1,'Monthly CUST'!$N$1:$CG$1,0))),IF($J42="Modeled UPC",INDEX('Monthly CUST'!$N$2:$CG$65,MATCH($D42,'Monthly CUST'!$D$2:$D$65,0),MATCH(BP$1,'Monthly CUST'!$N$1:$CG$1,0))/12*$M42,IF($J42="Base Period",BD42,IF($J42="Adjusted",SUMIF('Input 15_Fcst Inputs'!$A:$A,$D42,'Input 15_Fcst Inputs'!$G:$G)/12))))),0)</f>
        <v>468.18467847189476</v>
      </c>
      <c r="BQ42" s="483">
        <f>IFERROR(IF($J42="Historical Average",INDEX('Monthly UPC'!$CM$2:$DJ$65,MATCH($D42,'Monthly UPC'!$D$2:$D$65,0),MATCH(BQ$1,'Monthly UPC'!$CM$1:$DJ$1))*(INDEX('Monthly CUST'!$N$2:$CG$65,MATCH($D42,'Monthly CUST'!$D$2:$D$65,0),MATCH(BQ$1,'Monthly CUST'!$N$1:$CG$1,0))),IF($J42="UPC Growth Rate",((BE42/INDEX('Monthly CUST'!$N$2:$CG$65,MATCH($D42,'Monthly CUST'!$D$2:$D$65,0),MATCH(BE$1,'Monthly CUST'!$N$1:$CG$1,0)))*(1+$L42)*INDEX('Monthly CUST'!$N$2:$CG$65,MATCH($D42,'Monthly CUST'!$D$2:$D$65,0),MATCH(BQ$1,'Monthly CUST'!$N$1:$CG$1,0))),IF($J42="Modeled UPC",INDEX('Monthly CUST'!$N$2:$CG$65,MATCH($D42,'Monthly CUST'!$D$2:$D$65,0),MATCH(BQ$1,'Monthly CUST'!$N$1:$CG$1,0))/12*$M42,IF($J42="Base Period",BE42,IF($J42="Adjusted",SUMIF('Input 15_Fcst Inputs'!$A:$A,$D42,'Input 15_Fcst Inputs'!$G:$G)/12))))),0)</f>
        <v>426.94321548742573</v>
      </c>
      <c r="BR42" s="483">
        <f>IFERROR(IF($J42="Historical Average",INDEX('Monthly UPC'!$CM$2:$DJ$65,MATCH($D42,'Monthly UPC'!$D$2:$D$65,0),MATCH(BR$1,'Monthly UPC'!$CM$1:$DJ$1))*(INDEX('Monthly CUST'!$N$2:$CG$65,MATCH($D42,'Monthly CUST'!$D$2:$D$65,0),MATCH(BR$1,'Monthly CUST'!$N$1:$CG$1,0))),IF($J42="UPC Growth Rate",((BF42/INDEX('Monthly CUST'!$N$2:$CG$65,MATCH($D42,'Monthly CUST'!$D$2:$D$65,0),MATCH(BF$1,'Monthly CUST'!$N$1:$CG$1,0)))*(1+$L42)*INDEX('Monthly CUST'!$N$2:$CG$65,MATCH($D42,'Monthly CUST'!$D$2:$D$65,0),MATCH(BR$1,'Monthly CUST'!$N$1:$CG$1,0))),IF($J42="Modeled UPC",INDEX('Monthly CUST'!$N$2:$CG$65,MATCH($D42,'Monthly CUST'!$D$2:$D$65,0),MATCH(BR$1,'Monthly CUST'!$N$1:$CG$1,0))/12*$M42,IF($J42="Base Period",BF42,IF($J42="Adjusted",SUMIF('Input 15_Fcst Inputs'!$A:$A,$D42,'Input 15_Fcst Inputs'!$G:$G)/12))))),0)</f>
        <v>405.58297496143706</v>
      </c>
      <c r="BS42" s="483">
        <f>IFERROR(IF($J42="Historical Average",INDEX('Monthly UPC'!$CM$2:$DJ$65,MATCH($D42,'Monthly UPC'!$D$2:$D$65,0),MATCH(BS$1,'Monthly UPC'!$CM$1:$DJ$1))*(INDEX('Monthly CUST'!$N$2:$CG$65,MATCH($D42,'Monthly CUST'!$D$2:$D$65,0),MATCH(BS$1,'Monthly CUST'!$N$1:$CG$1,0))),IF($J42="UPC Growth Rate",((BG42/INDEX('Monthly CUST'!$N$2:$CG$65,MATCH($D42,'Monthly CUST'!$D$2:$D$65,0),MATCH(BG$1,'Monthly CUST'!$N$1:$CG$1,0)))*(1+$L42)*INDEX('Monthly CUST'!$N$2:$CG$65,MATCH($D42,'Monthly CUST'!$D$2:$D$65,0),MATCH(BS$1,'Monthly CUST'!$N$1:$CG$1,0))),IF($J42="Modeled UPC",INDEX('Monthly CUST'!$N$2:$CG$65,MATCH($D42,'Monthly CUST'!$D$2:$D$65,0),MATCH(BS$1,'Monthly CUST'!$N$1:$CG$1,0))/12*$M42,IF($J42="Base Period",BG42,IF($J42="Adjusted",SUMIF('Input 15_Fcst Inputs'!$A:$A,$D42,'Input 15_Fcst Inputs'!$G:$G)/12))))),0)</f>
        <v>610.76403244918436</v>
      </c>
      <c r="BT42" s="483">
        <f>IFERROR(IF($J42="Historical Average",INDEX('Monthly UPC'!$CM$2:$DJ$65,MATCH($D42,'Monthly UPC'!$D$2:$D$65,0),MATCH(BT$1,'Monthly UPC'!$CM$1:$DJ$1))*(INDEX('Monthly CUST'!$N$2:$CG$65,MATCH($D42,'Monthly CUST'!$D$2:$D$65,0),MATCH(BT$1,'Monthly CUST'!$N$1:$CG$1,0))),IF($J42="UPC Growth Rate",((BH42/INDEX('Monthly CUST'!$N$2:$CG$65,MATCH($D42,'Monthly CUST'!$D$2:$D$65,0),MATCH(BH$1,'Monthly CUST'!$N$1:$CG$1,0)))*(1+$L42)*INDEX('Monthly CUST'!$N$2:$CG$65,MATCH($D42,'Monthly CUST'!$D$2:$D$65,0),MATCH(BT$1,'Monthly CUST'!$N$1:$CG$1,0))),IF($J42="Modeled UPC",INDEX('Monthly CUST'!$N$2:$CG$65,MATCH($D42,'Monthly CUST'!$D$2:$D$65,0),MATCH(BT$1,'Monthly CUST'!$N$1:$CG$1,0))/12*$M42,IF($J42="Base Period",BH42,IF($J42="Adjusted",SUMIF('Input 15_Fcst Inputs'!$A:$A,$D42,'Input 15_Fcst Inputs'!$G:$G)/12))))),0)</f>
        <v>999.69547746690432</v>
      </c>
      <c r="BU42" s="483">
        <f>IFERROR(IF($J42="Historical Average",INDEX('Monthly UPC'!$CM$2:$DJ$65,MATCH($D42,'Monthly UPC'!$D$2:$D$65,0),MATCH(BU$1,'Monthly UPC'!$CM$1:$DJ$1))*(INDEX('Monthly CUST'!$N$2:$CG$65,MATCH($D42,'Monthly CUST'!$D$2:$D$65,0),MATCH(BU$1,'Monthly CUST'!$N$1:$CG$1,0))),IF($J42="UPC Growth Rate",((BI42/INDEX('Monthly CUST'!$N$2:$CG$65,MATCH($D42,'Monthly CUST'!$D$2:$D$65,0),MATCH(BI$1,'Monthly CUST'!$N$1:$CG$1,0)))*(1+$L42)*INDEX('Monthly CUST'!$N$2:$CG$65,MATCH($D42,'Monthly CUST'!$D$2:$D$65,0),MATCH(BU$1,'Monthly CUST'!$N$1:$CG$1,0))),IF($J42="Modeled UPC",INDEX('Monthly CUST'!$N$2:$CG$65,MATCH($D42,'Monthly CUST'!$D$2:$D$65,0),MATCH(BU$1,'Monthly CUST'!$N$1:$CG$1,0))/12*$M42,IF($J42="Base Period",BI42,IF($J42="Adjusted",SUMIF('Input 15_Fcst Inputs'!$A:$A,$D42,'Input 15_Fcst Inputs'!$G:$G)/12))))),0)</f>
        <v>1407.572439635089</v>
      </c>
      <c r="BV42" s="483">
        <f>IFERROR(IF($J42="Historical Average",INDEX('Monthly UPC'!$CM$2:$DJ$65,MATCH($D42,'Monthly UPC'!$D$2:$D$65,0),MATCH(BV$1,'Monthly UPC'!$CM$1:$DJ$1))*(INDEX('Monthly CUST'!$N$2:$CG$65,MATCH($D42,'Monthly CUST'!$D$2:$D$65,0),MATCH(BV$1,'Monthly CUST'!$N$1:$CG$1,0))),IF($J42="UPC Growth Rate",((BJ42/INDEX('Monthly CUST'!$N$2:$CG$65,MATCH($D42,'Monthly CUST'!$D$2:$D$65,0),MATCH(BJ$1,'Monthly CUST'!$N$1:$CG$1,0)))*(1+$L42)*INDEX('Monthly CUST'!$N$2:$CG$65,MATCH($D42,'Monthly CUST'!$D$2:$D$65,0),MATCH(BV$1,'Monthly CUST'!$N$1:$CG$1,0))),IF($J42="Modeled UPC",INDEX('Monthly CUST'!$N$2:$CG$65,MATCH($D42,'Monthly CUST'!$D$2:$D$65,0),MATCH(BV$1,'Monthly CUST'!$N$1:$CG$1,0))/12*$M42,IF($J42="Base Period",BJ42,IF($J42="Adjusted",SUMIF('Input 15_Fcst Inputs'!$A:$A,$D42,'Input 15_Fcst Inputs'!$G:$G)/12))))),0)</f>
        <v>1388.7638844264291</v>
      </c>
      <c r="BW42" s="483">
        <f>IFERROR(IF($J42="Historical Average",INDEX('Monthly UPC'!$CM$2:$DJ$65,MATCH($D42,'Monthly UPC'!$D$2:$D$65,0),MATCH(BW$1,'Monthly UPC'!$CM$1:$DJ$1))*(INDEX('Monthly CUST'!$N$2:$CG$65,MATCH($D42,'Monthly CUST'!$D$2:$D$65,0),MATCH(BW$1,'Monthly CUST'!$N$1:$CG$1,0))),IF($J42="UPC Growth Rate",((BK42/INDEX('Monthly CUST'!$N$2:$CG$65,MATCH($D42,'Monthly CUST'!$D$2:$D$65,0),MATCH(BK$1,'Monthly CUST'!$N$1:$CG$1,0)))*(1+$L42)*INDEX('Monthly CUST'!$N$2:$CG$65,MATCH($D42,'Monthly CUST'!$D$2:$D$65,0),MATCH(BW$1,'Monthly CUST'!$N$1:$CG$1,0))),IF($J42="Modeled UPC",INDEX('Monthly CUST'!$N$2:$CG$65,MATCH($D42,'Monthly CUST'!$D$2:$D$65,0),MATCH(BW$1,'Monthly CUST'!$N$1:$CG$1,0))/12*$M42,IF($J42="Base Period",BK42,IF($J42="Adjusted",SUMIF('Input 15_Fcst Inputs'!$A:$A,$D42,'Input 15_Fcst Inputs'!$G:$G)/12))))),0)</f>
        <v>1062.821239656025</v>
      </c>
      <c r="BX42" s="483">
        <f>IFERROR(IF($J42="Historical Average",INDEX('Monthly UPC'!$CM$2:$DJ$65,MATCH($D42,'Monthly UPC'!$D$2:$D$65,0),MATCH(BX$1,'Monthly UPC'!$CM$1:$DJ$1))*(INDEX('Monthly CUST'!$N$2:$CG$65,MATCH($D42,'Monthly CUST'!$D$2:$D$65,0),MATCH(BX$1,'Monthly CUST'!$N$1:$CG$1,0))),IF($J42="UPC Growth Rate",((BL42/INDEX('Monthly CUST'!$N$2:$CG$65,MATCH($D42,'Monthly CUST'!$D$2:$D$65,0),MATCH(BL$1,'Monthly CUST'!$N$1:$CG$1,0)))*(1+$L42)*INDEX('Monthly CUST'!$N$2:$CG$65,MATCH($D42,'Monthly CUST'!$D$2:$D$65,0),MATCH(BX$1,'Monthly CUST'!$N$1:$CG$1,0))),IF($J42="Modeled UPC",INDEX('Monthly CUST'!$N$2:$CG$65,MATCH($D42,'Monthly CUST'!$D$2:$D$65,0),MATCH(BX$1,'Monthly CUST'!$N$1:$CG$1,0))/12*$M42,IF($J42="Base Period",BL42,IF($J42="Adjusted",SUMIF('Input 15_Fcst Inputs'!$A:$A,$D42,'Input 15_Fcst Inputs'!$G:$G)/12))))),0)</f>
        <v>1421.2994350908202</v>
      </c>
      <c r="BY42" s="483">
        <f>IFERROR(IF($J42="Historical Average",INDEX('Monthly UPC'!$CM$2:$DJ$65,MATCH($D42,'Monthly UPC'!$D$2:$D$65,0),MATCH(BY$1,'Monthly UPC'!$CM$1:$DJ$1))*(INDEX('Monthly CUST'!$N$2:$CG$65,MATCH($D42,'Monthly CUST'!$D$2:$D$65,0),MATCH(BY$1,'Monthly CUST'!$N$1:$CG$1,0))),IF($J42="UPC Growth Rate",((BM42/INDEX('Monthly CUST'!$N$2:$CG$65,MATCH($D42,'Monthly CUST'!$D$2:$D$65,0),MATCH(BM$1,'Monthly CUST'!$N$1:$CG$1,0)))*(1+$L42)*INDEX('Monthly CUST'!$N$2:$CG$65,MATCH($D42,'Monthly CUST'!$D$2:$D$65,0),MATCH(BY$1,'Monthly CUST'!$N$1:$CG$1,0))),IF($J42="Modeled UPC",INDEX('Monthly CUST'!$N$2:$CG$65,MATCH($D42,'Monthly CUST'!$D$2:$D$65,0),MATCH(BY$1,'Monthly CUST'!$N$1:$CG$1,0))/12*$M42,IF($J42="Base Period",BM42,IF($J42="Adjusted",SUMIF('Input 15_Fcst Inputs'!$A:$A,$D42,'Input 15_Fcst Inputs'!$G:$G)/12))))),0)</f>
        <v>1530.5273727600129</v>
      </c>
      <c r="BZ42" s="483">
        <f>IFERROR(IF($J42="Historical Average",INDEX('Monthly UPC'!$CM$2:$DJ$65,MATCH($D42,'Monthly UPC'!$D$2:$D$65,0),MATCH(BZ$1,'Monthly UPC'!$CM$1:$DJ$1))*(INDEX('Monthly CUST'!$N$2:$CG$65,MATCH($D42,'Monthly CUST'!$D$2:$D$65,0),MATCH(BZ$1,'Monthly CUST'!$N$1:$CG$1,0))),IF($J42="UPC Growth Rate",((BN42/INDEX('Monthly CUST'!$N$2:$CG$65,MATCH($D42,'Monthly CUST'!$D$2:$D$65,0),MATCH(BN$1,'Monthly CUST'!$N$1:$CG$1,0)))*(1+$L42)*INDEX('Monthly CUST'!$N$2:$CG$65,MATCH($D42,'Monthly CUST'!$D$2:$D$65,0),MATCH(BZ$1,'Monthly CUST'!$N$1:$CG$1,0))),IF($J42="Modeled UPC",INDEX('Monthly CUST'!$N$2:$CG$65,MATCH($D42,'Monthly CUST'!$D$2:$D$65,0),MATCH(BZ$1,'Monthly CUST'!$N$1:$CG$1,0))/12*$M42,IF($J42="Base Period",BN42,IF($J42="Adjusted",SUMIF('Input 15_Fcst Inputs'!$A:$A,$D42,'Input 15_Fcst Inputs'!$G:$G)/12))))),0)</f>
        <v>807.63886219865708</v>
      </c>
      <c r="CA42" s="483">
        <f>IFERROR(IF($J42="Historical Average",INDEX('Monthly UPC'!$CM$2:$DJ$65,MATCH($D42,'Monthly UPC'!$D$2:$D$65,0),MATCH(CA$1,'Monthly UPC'!$CM$1:$DJ$1))*(INDEX('Monthly CUST'!$N$2:$CG$65,MATCH($D42,'Monthly CUST'!$D$2:$D$65,0),MATCH(CA$1,'Monthly CUST'!$N$1:$CG$1,0))),IF($J42="UPC Growth Rate",((BO42/INDEX('Monthly CUST'!$N$2:$CG$65,MATCH($D42,'Monthly CUST'!$D$2:$D$65,0),MATCH(BO$1,'Monthly CUST'!$N$1:$CG$1,0)))*(1+$L42)*INDEX('Monthly CUST'!$N$2:$CG$65,MATCH($D42,'Monthly CUST'!$D$2:$D$65,0),MATCH(CA$1,'Monthly CUST'!$N$1:$CG$1,0))),IF($J42="Modeled UPC",INDEX('Monthly CUST'!$N$2:$CG$65,MATCH($D42,'Monthly CUST'!$D$2:$D$65,0),MATCH(CA$1,'Monthly CUST'!$N$1:$CG$1,0))/12*$M42,IF($J42="Base Period",BO42,IF($J42="Adjusted",SUMIF('Input 15_Fcst Inputs'!$A:$A,$D42,'Input 15_Fcst Inputs'!$G:$G)/12))))),0)</f>
        <v>594.84178363108572</v>
      </c>
      <c r="CB42" s="483">
        <f>IFERROR(IF($J42="Historical Average",INDEX('Monthly UPC'!$CM$2:$DJ$65,MATCH($D42,'Monthly UPC'!$D$2:$D$65,0),MATCH(CB$1,'Monthly UPC'!$CM$1:$DJ$1))*(INDEX('Monthly CUST'!$N$2:$CG$65,MATCH($D42,'Monthly CUST'!$D$2:$D$65,0),MATCH(CB$1,'Monthly CUST'!$N$1:$CG$1,0))),IF($J42="UPC Growth Rate",((BP42/INDEX('Monthly CUST'!$N$2:$CG$65,MATCH($D42,'Monthly CUST'!$D$2:$D$65,0),MATCH(BP$1,'Monthly CUST'!$N$1:$CG$1,0)))*(1+$L42)*INDEX('Monthly CUST'!$N$2:$CG$65,MATCH($D42,'Monthly CUST'!$D$2:$D$65,0),MATCH(CB$1,'Monthly CUST'!$N$1:$CG$1,0))),IF($J42="Modeled UPC",INDEX('Monthly CUST'!$N$2:$CG$65,MATCH($D42,'Monthly CUST'!$D$2:$D$65,0),MATCH(CB$1,'Monthly CUST'!$N$1:$CG$1,0))/12*$M42,IF($J42="Base Period",BP42,IF($J42="Adjusted",SUMIF('Input 15_Fcst Inputs'!$A:$A,$D42,'Input 15_Fcst Inputs'!$G:$G)/12))))),0)</f>
        <v>471.05686965343187</v>
      </c>
      <c r="CC42" s="483">
        <f>IFERROR(IF($J42="Historical Average",INDEX('Monthly UPC'!$CM$2:$DJ$65,MATCH($D42,'Monthly UPC'!$D$2:$D$65,0),MATCH(CC$1,'Monthly UPC'!$CM$1:$DJ$1))*(INDEX('Monthly CUST'!$N$2:$CG$65,MATCH($D42,'Monthly CUST'!$D$2:$D$65,0),MATCH(CC$1,'Monthly CUST'!$N$1:$CG$1,0))),IF($J42="UPC Growth Rate",((BQ42/INDEX('Monthly CUST'!$N$2:$CG$65,MATCH($D42,'Monthly CUST'!$D$2:$D$65,0),MATCH(BQ$1,'Monthly CUST'!$N$1:$CG$1,0)))*(1+$L42)*INDEX('Monthly CUST'!$N$2:$CG$65,MATCH($D42,'Monthly CUST'!$D$2:$D$65,0),MATCH(CC$1,'Monthly CUST'!$N$1:$CG$1,0))),IF($J42="Modeled UPC",INDEX('Monthly CUST'!$N$2:$CG$65,MATCH($D42,'Monthly CUST'!$D$2:$D$65,0),MATCH(CC$1,'Monthly CUST'!$N$1:$CG$1,0))/12*$M42,IF($J42="Base Period",BQ42,IF($J42="Adjusted",SUMIF('Input 15_Fcst Inputs'!$A:$A,$D42,'Input 15_Fcst Inputs'!$G:$G)/12))))),0)</f>
        <v>429.56240102451443</v>
      </c>
      <c r="CD42" s="483">
        <f>IFERROR(IF($J42="Historical Average",INDEX('Monthly UPC'!$CM$2:$DJ$65,MATCH($D42,'Monthly UPC'!$D$2:$D$65,0),MATCH(CD$1,'Monthly UPC'!$CM$1:$DJ$1))*(INDEX('Monthly CUST'!$N$2:$CG$65,MATCH($D42,'Monthly CUST'!$D$2:$D$65,0),MATCH(CD$1,'Monthly CUST'!$N$1:$CG$1,0))),IF($J42="UPC Growth Rate",((BR42/INDEX('Monthly CUST'!$N$2:$CG$65,MATCH($D42,'Monthly CUST'!$D$2:$D$65,0),MATCH(BR$1,'Monthly CUST'!$N$1:$CG$1,0)))*(1+$L42)*INDEX('Monthly CUST'!$N$2:$CG$65,MATCH($D42,'Monthly CUST'!$D$2:$D$65,0),MATCH(CD$1,'Monthly CUST'!$N$1:$CG$1,0))),IF($J42="Modeled UPC",INDEX('Monthly CUST'!$N$2:$CG$65,MATCH($D42,'Monthly CUST'!$D$2:$D$65,0),MATCH(CD$1,'Monthly CUST'!$N$1:$CG$1,0))/12*$M42,IF($J42="Base Period",BR42,IF($J42="Adjusted",SUMIF('Input 15_Fcst Inputs'!$A:$A,$D42,'Input 15_Fcst Inputs'!$G:$G)/12))))),0)</f>
        <v>408.07112098079853</v>
      </c>
      <c r="CE42" s="483">
        <f>IFERROR(IF($J42="Historical Average",INDEX('Monthly UPC'!$CM$2:$DJ$65,MATCH($D42,'Monthly UPC'!$D$2:$D$65,0),MATCH(CE$1,'Monthly UPC'!$CM$1:$DJ$1))*(INDEX('Monthly CUST'!$N$2:$CG$65,MATCH($D42,'Monthly CUST'!$D$2:$D$65,0),MATCH(CE$1,'Monthly CUST'!$N$1:$CG$1,0))),IF($J42="UPC Growth Rate",((BS42/INDEX('Monthly CUST'!$N$2:$CG$65,MATCH($D42,'Monthly CUST'!$D$2:$D$65,0),MATCH(BS$1,'Monthly CUST'!$N$1:$CG$1,0)))*(1+$L42)*INDEX('Monthly CUST'!$N$2:$CG$65,MATCH($D42,'Monthly CUST'!$D$2:$D$65,0),MATCH(CE$1,'Monthly CUST'!$N$1:$CG$1,0))),IF($J42="Modeled UPC",INDEX('Monthly CUST'!$N$2:$CG$65,MATCH($D42,'Monthly CUST'!$D$2:$D$65,0),MATCH(CE$1,'Monthly CUST'!$N$1:$CG$1,0))/12*$M42,IF($J42="Base Period",BS42,IF($J42="Adjusted",SUMIF('Input 15_Fcst Inputs'!$A:$A,$D42,'Input 15_Fcst Inputs'!$G:$G)/12))))),0)</f>
        <v>614.51091086845747</v>
      </c>
      <c r="CF42" s="483">
        <f>IFERROR(IF($J42="Historical Average",INDEX('Monthly UPC'!$CM$2:$DJ$65,MATCH($D42,'Monthly UPC'!$D$2:$D$65,0),MATCH(CF$1,'Monthly UPC'!$CM$1:$DJ$1))*(INDEX('Monthly CUST'!$N$2:$CG$65,MATCH($D42,'Monthly CUST'!$D$2:$D$65,0),MATCH(CF$1,'Monthly CUST'!$N$1:$CG$1,0))),IF($J42="UPC Growth Rate",((BT42/INDEX('Monthly CUST'!$N$2:$CG$65,MATCH($D42,'Monthly CUST'!$D$2:$D$65,0),MATCH(BT$1,'Monthly CUST'!$N$1:$CG$1,0)))*(1+$L42)*INDEX('Monthly CUST'!$N$2:$CG$65,MATCH($D42,'Monthly CUST'!$D$2:$D$65,0),MATCH(CF$1,'Monthly CUST'!$N$1:$CG$1,0))),IF($J42="Modeled UPC",INDEX('Monthly CUST'!$N$2:$CG$65,MATCH($D42,'Monthly CUST'!$D$2:$D$65,0),MATCH(CF$1,'Monthly CUST'!$N$1:$CG$1,0))/12*$M42,IF($J42="Base Period",BT42,IF($J42="Adjusted",SUMIF('Input 15_Fcst Inputs'!$A:$A,$D42,'Input 15_Fcst Inputs'!$G:$G)/12))))),0)</f>
        <v>1005.828349102035</v>
      </c>
      <c r="CG42" s="483">
        <f>IFERROR(IF($J42="Historical Average",INDEX('Monthly UPC'!$CM$2:$DJ$65,MATCH($D42,'Monthly UPC'!$D$2:$D$65,0),MATCH(CG$1,'Monthly UPC'!$CM$1:$DJ$1))*(INDEX('Monthly CUST'!$N$2:$CG$65,MATCH($D42,'Monthly CUST'!$D$2:$D$65,0),MATCH(CG$1,'Monthly CUST'!$N$1:$CG$1,0))),IF($J42="UPC Growth Rate",((BU42/INDEX('Monthly CUST'!$N$2:$CG$65,MATCH($D42,'Monthly CUST'!$D$2:$D$65,0),MATCH(BU$1,'Monthly CUST'!$N$1:$CG$1,0)))*(1+$L42)*INDEX('Monthly CUST'!$N$2:$CG$65,MATCH($D42,'Monthly CUST'!$D$2:$D$65,0),MATCH(CG$1,'Monthly CUST'!$N$1:$CG$1,0))),IF($J42="Modeled UPC",INDEX('Monthly CUST'!$N$2:$CG$65,MATCH($D42,'Monthly CUST'!$D$2:$D$65,0),MATCH(CG$1,'Monthly CUST'!$N$1:$CG$1,0))/12*$M42,IF($J42="Base Period",BU42,IF($J42="Adjusted",SUMIF('Input 15_Fcst Inputs'!$A:$A,$D42,'Input 15_Fcst Inputs'!$G:$G)/12))))),0)</f>
        <v>1416.2075303042027</v>
      </c>
      <c r="CH42" s="197"/>
      <c r="CI42" s="197">
        <f t="shared" si="8"/>
        <v>10093.999999999998</v>
      </c>
      <c r="CJ42" s="197">
        <f t="shared" si="9"/>
        <v>10839.05</v>
      </c>
      <c r="CK42" s="197">
        <f t="shared" si="10"/>
        <v>10261.370000000001</v>
      </c>
      <c r="CL42" s="197">
        <f t="shared" si="11"/>
        <v>11015.56</v>
      </c>
      <c r="CM42" s="197">
        <f t="shared" si="12"/>
        <v>11083.137594369296</v>
      </c>
      <c r="CN42" s="197">
        <f t="shared" si="13"/>
        <v>11151.129759696471</v>
      </c>
      <c r="CP42" s="4">
        <f>SUMIF('Master '!D:D,D42,'Master '!AH:AH)</f>
        <v>11083.137594369296</v>
      </c>
      <c r="CQ42" s="4">
        <f>SUMIF('Master '!D:D,D42,'Master '!AI:AI)</f>
        <v>11151.129759696471</v>
      </c>
      <c r="CR42" s="197">
        <f t="shared" si="14"/>
        <v>0</v>
      </c>
      <c r="CS42" s="197">
        <f t="shared" si="15"/>
        <v>0</v>
      </c>
      <c r="CT42" t="s">
        <v>287</v>
      </c>
      <c r="CV42" t="str">
        <f>VLOOKUP(G42,'Master '!G:CC,75,FALSE)</f>
        <v>FTS-2</v>
      </c>
    </row>
    <row r="43" spans="1:100">
      <c r="A43" s="53" t="s">
        <v>17</v>
      </c>
      <c r="B43" s="53" t="s">
        <v>993</v>
      </c>
      <c r="C43" s="53" t="s">
        <v>1245</v>
      </c>
      <c r="D43" s="53" t="s">
        <v>1252</v>
      </c>
      <c r="E43" s="53" t="str">
        <f>VLOOKUP(D43,'Input 14_Ref Table'!C:D,2,FALSE)</f>
        <v>CC815</v>
      </c>
      <c r="F43" s="143" t="s">
        <v>1286</v>
      </c>
      <c r="G43" s="53" t="str">
        <f>VLOOKUP(D43,'Input 14_Ref Table'!C:I,7,FALSE)</f>
        <v>CFG - FTS-2 NR</v>
      </c>
      <c r="H43" s="53" t="str">
        <f>VLOOKUP(D43,'Input 14_Ref Table'!C:K,8,FALSE)</f>
        <v>FTS2</v>
      </c>
      <c r="I43" s="53"/>
      <c r="J43" t="str">
        <f>INDEX('Master '!$AD$2:AD$65,MATCH(D43,'Master '!$D$2:$D$65,0))</f>
        <v>UPC Growth Rate</v>
      </c>
      <c r="K43" s="458">
        <f>INDEX('Master '!$N$2:N$65,MATCH(D43,'Master '!$D$2:$D$65,0))</f>
        <v>5.7427510434033407E-2</v>
      </c>
      <c r="L43" s="137">
        <f>INDEX('Master '!$S$2:S$65,MATCH(D43,'Master '!$D$2:$D$65,0))</f>
        <v>-1.970443349753722E-2</v>
      </c>
      <c r="M43" s="4">
        <f>INDEX('Master '!$W$2:W$65,MATCH(D43,'Master '!$D$2:$D$65,0))</f>
        <v>636.79999999999995</v>
      </c>
      <c r="N43" s="268">
        <f>SUMIF('Input 16.1_2018VOL-YTD'!$R:$R,$G43,'Input 16.1_2018VOL-YTD'!C:C)</f>
        <v>10762.91</v>
      </c>
      <c r="O43" s="268">
        <f>SUMIF('Input 16.1_2018VOL-YTD'!$R:$R,$G43,'Input 16.1_2018VOL-YTD'!D:D)</f>
        <v>7886.77</v>
      </c>
      <c r="P43" s="268">
        <f>SUMIF('Input 16.1_2018VOL-YTD'!$R:$R,$G43,'Input 16.1_2018VOL-YTD'!E:E)</f>
        <v>7444.81</v>
      </c>
      <c r="Q43" s="268">
        <f>SUMIF('Input 16.1_2018VOL-YTD'!$R:$R,$G43,'Input 16.1_2018VOL-YTD'!F:F)</f>
        <v>6735.73</v>
      </c>
      <c r="R43" s="268">
        <f>SUMIF('Input 16.1_2018VOL-YTD'!$R:$R,$G43,'Input 16.1_2018VOL-YTD'!G:G)</f>
        <v>5650.34</v>
      </c>
      <c r="S43" s="268">
        <f>SUMIF('Input 16.1_2018VOL-YTD'!$R:$R,$G43,'Input 16.1_2018VOL-YTD'!H:H)</f>
        <v>5240.67</v>
      </c>
      <c r="T43" s="268">
        <f>SUMIF('Input 16.1_2018VOL-YTD'!$R:$R,$G43,'Input 16.1_2018VOL-YTD'!I:I)</f>
        <v>4780</v>
      </c>
      <c r="U43" s="268">
        <f>SUMIF('Input 16.1_2018VOL-YTD'!$R:$R,$G43,'Input 16.1_2018VOL-YTD'!J:J)</f>
        <v>5327.85</v>
      </c>
      <c r="V43" s="268">
        <f>SUMIF('Input 16.1_2018VOL-YTD'!$R:$R,$G43,'Input 16.1_2018VOL-YTD'!K:K)</f>
        <v>5520.16</v>
      </c>
      <c r="W43" s="268">
        <f>SUMIF('Input 16.1_2018VOL-YTD'!$R:$R,$G43,'Input 16.1_2018VOL-YTD'!L:L)</f>
        <v>4697.79</v>
      </c>
      <c r="X43" s="268">
        <f>SUMIF('Input 16.1_2018VOL-YTD'!$R:$R,$G43,'Input 16.1_2018VOL-YTD'!M:M)</f>
        <v>9856.0499999999993</v>
      </c>
      <c r="Y43" s="268">
        <f>SUMIF('Input 16.1_2018VOL-YTD'!$R:$R,$G43,'Input 16.1_2018VOL-YTD'!N:N)</f>
        <v>9366.79000000001</v>
      </c>
      <c r="Z43" s="268">
        <f>SUMIF('Input 3.1_2019VOL-YTD'!$R:$R,$G43,'Input 3.1_2019VOL-YTD'!C:C)</f>
        <v>8803.69</v>
      </c>
      <c r="AA43" s="268">
        <f>SUMIF('Input 3.1_2019VOL-YTD'!$R:$R,$G43,'Input 3.1_2019VOL-YTD'!D:D)</f>
        <v>8085.74</v>
      </c>
      <c r="AB43" s="268">
        <f>SUMIF('Input 3.1_2019VOL-YTD'!$R:$R,$G43,'Input 3.1_2019VOL-YTD'!E:E)</f>
        <v>7558.36</v>
      </c>
      <c r="AC43" s="268">
        <f>SUMIF('Input 3.1_2019VOL-YTD'!$R:$R,$G43,'Input 3.1_2019VOL-YTD'!F:F)</f>
        <v>6234.09</v>
      </c>
      <c r="AD43" s="268">
        <f>SUMIF('Input 3.1_2019VOL-YTD'!$R:$R,$G43,'Input 3.1_2019VOL-YTD'!G:G)</f>
        <v>5642.9</v>
      </c>
      <c r="AE43" s="268">
        <f>SUMIF('Input 3.1_2019VOL-YTD'!$R:$R,$G43,'Input 3.1_2019VOL-YTD'!H:H)</f>
        <v>5093.1000000000004</v>
      </c>
      <c r="AF43" s="268">
        <f>SUMIF('Input 3.1_2019VOL-YTD'!$R:$R,$G43,'Input 3.1_2019VOL-YTD'!I:I)</f>
        <v>3990.01</v>
      </c>
      <c r="AG43" s="268">
        <f>SUMIF('Input 3.1_2019VOL-YTD'!$R:$R,$G43,'Input 3.1_2019VOL-YTD'!J:J)</f>
        <v>4801.49</v>
      </c>
      <c r="AH43" s="268">
        <f>SUMIF('Input 3.1_2019VOL-YTD'!$R:$R,$G43,'Input 3.1_2019VOL-YTD'!K:K)</f>
        <v>4672.8900000000003</v>
      </c>
      <c r="AI43" s="268">
        <f>SUMIF('Input 3.1_2019VOL-YTD'!$R:$R,$G43,'Input 3.1_2019VOL-YTD'!L:L)</f>
        <v>5091.1899999999996</v>
      </c>
      <c r="AJ43" s="268">
        <f>SUMIF('Input 3.1_2019VOL-YTD'!$R:$R,$G43,'Input 3.1_2019VOL-YTD'!M:M)</f>
        <v>6517.27</v>
      </c>
      <c r="AK43" s="268">
        <f>SUMIF('Input 3.1_2019VOL-YTD'!$R:$R,$G43,'Input 3.1_2019VOL-YTD'!N:N)</f>
        <v>7838.91</v>
      </c>
      <c r="AL43" s="268">
        <f>SUMIF('Input 4.1_2020VOL-YTD'!$R:$R,$G43,'Input 4.1_2020VOL-YTD'!C:C)</f>
        <v>7434.17</v>
      </c>
      <c r="AM43" s="268">
        <f>SUMIF('Input 4.1_2020VOL-YTD'!$R:$R,$G43,'Input 4.1_2020VOL-YTD'!D:D)</f>
        <v>7691.49</v>
      </c>
      <c r="AN43" s="268">
        <f>SUMIF('Input 4.1_2020VOL-YTD'!$R:$R,$G43,'Input 4.1_2020VOL-YTD'!E:E)</f>
        <v>6862.13</v>
      </c>
      <c r="AO43" s="268">
        <f>SUMIF('Input 4.1_2020VOL-YTD'!$R:$R,$G43,'Input 4.1_2020VOL-YTD'!F:F)</f>
        <v>4437.5600000000004</v>
      </c>
      <c r="AP43" s="268">
        <f>SUMIF('Input 4.1_2020VOL-YTD'!$R:$R,$G43,'Input 4.1_2020VOL-YTD'!G:G)</f>
        <v>4203.76</v>
      </c>
      <c r="AQ43" s="268">
        <f>SUMIF('Input 4.1_2020VOL-YTD'!$R:$R,$G43,'Input 4.1_2020VOL-YTD'!H:H)</f>
        <v>4214.78</v>
      </c>
      <c r="AR43" s="268">
        <f>SUMIF('Input 4.1_2020VOL-YTD'!$R:$R,$G43,'Input 4.1_2020VOL-YTD'!I:I)</f>
        <v>4503.5200000000004</v>
      </c>
      <c r="AS43" s="268">
        <f>SUMIF('Input 4.1_2020VOL-YTD'!$R:$R,$G43,'Input 4.1_2020VOL-YTD'!J:J)</f>
        <v>4237.84</v>
      </c>
      <c r="AT43" s="268">
        <f>SUMIF('Input 4.1_2020VOL-YTD'!$R:$R,$G43,'Input 4.1_2020VOL-YTD'!K:K)</f>
        <v>4512.09</v>
      </c>
      <c r="AU43" s="268">
        <f>SUMIF('Input 4.1_2020VOL-YTD'!$R:$R,$G43,'Input 4.1_2020VOL-YTD'!L:L)</f>
        <v>4361.01</v>
      </c>
      <c r="AV43" s="268">
        <f>SUMIF('Input 4.1_2020VOL-YTD'!$R:$R,$G43,'Input 4.1_2020VOL-YTD'!M:M)</f>
        <v>4845.78</v>
      </c>
      <c r="AW43" s="268">
        <f>SUMIF('Input 4.1_2020VOL-YTD'!$R:$R,$G43,'Input 4.1_2020VOL-YTD'!N:N)</f>
        <v>6944.24</v>
      </c>
      <c r="AX43" s="268">
        <f>SUMIF('Input 5.1_2021VOL-YTD'!$R:$R,$G43,'Input 5.1_2021VOL-YTD'!C:C)</f>
        <v>8509.61</v>
      </c>
      <c r="AY43" s="268">
        <f>SUMIF('Input 5.1_2021VOL-YTD'!$R:$R,$G43,'Input 5.1_2021VOL-YTD'!D:D)</f>
        <v>7235</v>
      </c>
      <c r="AZ43" s="268">
        <f>SUMIF('Input 5.1_2021VOL-YTD'!$R:$R,$G43,'Input 5.1_2021VOL-YTD'!E:E)</f>
        <v>7136.74</v>
      </c>
      <c r="BA43" s="268">
        <f>SUMIF('Input 5.1_2021VOL-YTD'!$R:$R,$G43,'Input 5.1_2021VOL-YTD'!F:F)</f>
        <v>5995.85</v>
      </c>
      <c r="BB43" s="268">
        <f>SUMIF('Input 5.1_2021VOL-YTD'!$R:$R,$G43,'Input 5.1_2021VOL-YTD'!G:G)</f>
        <v>4873.74</v>
      </c>
      <c r="BC43" s="268">
        <f>SUMIF('Input 5.1_2021VOL-YTD'!$R:$R,$G43,'Input 5.1_2021VOL-YTD'!H:H)</f>
        <v>5216.45</v>
      </c>
      <c r="BD43" s="268">
        <f>SUMIF('Input 5.1_2021VOL-YTD'!$R:$R,$G43,'Input 5.1_2021VOL-YTD'!I:I)</f>
        <v>3263.31</v>
      </c>
      <c r="BE43" s="268">
        <f>SUMIF('Input 5.1_2021VOL-YTD'!$R:$R,$G43,'Input 5.1_2021VOL-YTD'!J:J)</f>
        <v>6413.31</v>
      </c>
      <c r="BF43" s="268">
        <f>SUMIF('Input 5.1_2021VOL-YTD'!$R:$R,$G43,'Input 5.1_2021VOL-YTD'!K:K)</f>
        <v>4966.5</v>
      </c>
      <c r="BG43" s="268">
        <f>SUMIF('Input 5.1_2021VOL-YTD'!$R:$R,$G43,'Input 5.1_2021VOL-YTD'!L:L)</f>
        <v>5089.32</v>
      </c>
      <c r="BH43" s="268">
        <f>SUMIF('Input 5.1_2021VOL-YTD'!$R:$R,$G43,'Input 5.1_2021VOL-YTD'!M:M)</f>
        <v>3278.88</v>
      </c>
      <c r="BI43" s="268">
        <f>SUMIF('Input 5.1_2021VOL-YTD'!$R:$R,$G43,'Input 5.1_2021VOL-YTD'!N:N)</f>
        <v>6042.89</v>
      </c>
      <c r="BJ43" s="483">
        <f>IFERROR(IF($J43="Historical Average",INDEX('Monthly UPC'!$CM$2:$DJ$65,MATCH($D43,'Monthly UPC'!$D$2:$D$65,0),MATCH(BJ$1,'Monthly UPC'!$CM$1:$DJ$1))*(INDEX('Monthly CUST'!$N$2:$CG$65,MATCH($D43,'Monthly CUST'!$D$2:$D$65,0),MATCH(BJ$1,'Monthly CUST'!$N$1:$CG$1,0))),IF($J43="UPC Growth Rate",((AX43/INDEX('Monthly CUST'!$N$2:$CG$65,MATCH($D43,'Monthly CUST'!$D$2:$D$65,0),MATCH(AX$1,'Monthly CUST'!$N$1:$CG$1,0)))*(1+$L43)*INDEX('Monthly CUST'!$N$2:$CG$65,MATCH($D43,'Monthly CUST'!$D$2:$D$65,0),MATCH(BJ$1,'Monthly CUST'!$N$1:$CG$1,0))),IF($J43="Modeled UPC",INDEX('Monthly CUST'!$N$2:$CG$65,MATCH($D43,'Monthly CUST'!$D$2:$D$65,0),MATCH(BJ$1,'Monthly CUST'!$N$1:$CG$1,0))/12*$M43,IF($J43="Base Period",AX43,IF($J43="Adjusted",SUMIF('Input 15_Fcst Inputs'!$A:$A,$D43,'Input 15_Fcst Inputs'!$G:$G)/12))))),0)</f>
        <v>8820.9893975164832</v>
      </c>
      <c r="BK43" s="483">
        <f>IFERROR(IF($J43="Historical Average",INDEX('Monthly UPC'!$CM$2:$DJ$65,MATCH($D43,'Monthly UPC'!$D$2:$D$65,0),MATCH(BK$1,'Monthly UPC'!$CM$1:$DJ$1))*(INDEX('Monthly CUST'!$N$2:$CG$65,MATCH($D43,'Monthly CUST'!$D$2:$D$65,0),MATCH(BK$1,'Monthly CUST'!$N$1:$CG$1,0))),IF($J43="UPC Growth Rate",((AY43/INDEX('Monthly CUST'!$N$2:$CG$65,MATCH($D43,'Monthly CUST'!$D$2:$D$65,0),MATCH(AY$1,'Monthly CUST'!$N$1:$CG$1,0)))*(1+$L43)*INDEX('Monthly CUST'!$N$2:$CG$65,MATCH($D43,'Monthly CUST'!$D$2:$D$65,0),MATCH(BK$1,'Monthly CUST'!$N$1:$CG$1,0))),IF($J43="Modeled UPC",INDEX('Monthly CUST'!$N$2:$CG$65,MATCH($D43,'Monthly CUST'!$D$2:$D$65,0),MATCH(BK$1,'Monthly CUST'!$N$1:$CG$1,0))/12*$M43,IF($J43="Base Period",AY43,IF($J43="Adjusted",SUMIF('Input 15_Fcst Inputs'!$A:$A,$D43,'Input 15_Fcst Inputs'!$G:$G)/12))))),0)</f>
        <v>7499.739505221949</v>
      </c>
      <c r="BL43" s="483">
        <f>IFERROR(IF($J43="Historical Average",INDEX('Monthly UPC'!$CM$2:$DJ$65,MATCH($D43,'Monthly UPC'!$D$2:$D$65,0),MATCH(BL$1,'Monthly UPC'!$CM$1:$DJ$1))*(INDEX('Monthly CUST'!$N$2:$CG$65,MATCH($D43,'Monthly CUST'!$D$2:$D$65,0),MATCH(BL$1,'Monthly CUST'!$N$1:$CG$1,0))),IF($J43="UPC Growth Rate",((AZ43/INDEX('Monthly CUST'!$N$2:$CG$65,MATCH($D43,'Monthly CUST'!$D$2:$D$65,0),MATCH(AZ$1,'Monthly CUST'!$N$1:$CG$1,0)))*(1+$L43)*INDEX('Monthly CUST'!$N$2:$CG$65,MATCH($D43,'Monthly CUST'!$D$2:$D$65,0),MATCH(BL$1,'Monthly CUST'!$N$1:$CG$1,0))),IF($J43="Modeled UPC",INDEX('Monthly CUST'!$N$2:$CG$65,MATCH($D43,'Monthly CUST'!$D$2:$D$65,0),MATCH(BL$1,'Monthly CUST'!$N$1:$CG$1,0))/12*$M43,IF($J43="Base Period",AZ43,IF($J43="Adjusted",SUMIF('Input 15_Fcst Inputs'!$A:$A,$D43,'Input 15_Fcst Inputs'!$G:$G)/12))))),0)</f>
        <v>7397.8840243949817</v>
      </c>
      <c r="BM43" s="483">
        <f>IFERROR(IF($J43="Historical Average",INDEX('Monthly UPC'!$CM$2:$DJ$65,MATCH($D43,'Monthly UPC'!$D$2:$D$65,0),MATCH(BM$1,'Monthly UPC'!$CM$1:$DJ$1))*(INDEX('Monthly CUST'!$N$2:$CG$65,MATCH($D43,'Monthly CUST'!$D$2:$D$65,0),MATCH(BM$1,'Monthly CUST'!$N$1:$CG$1,0))),IF($J43="UPC Growth Rate",((BA43/INDEX('Monthly CUST'!$N$2:$CG$65,MATCH($D43,'Monthly CUST'!$D$2:$D$65,0),MATCH(BA$1,'Monthly CUST'!$N$1:$CG$1,0)))*(1+$L43)*INDEX('Monthly CUST'!$N$2:$CG$65,MATCH($D43,'Monthly CUST'!$D$2:$D$65,0),MATCH(BM$1,'Monthly CUST'!$N$1:$CG$1,0))),IF($J43="Modeled UPC",INDEX('Monthly CUST'!$N$2:$CG$65,MATCH($D43,'Monthly CUST'!$D$2:$D$65,0),MATCH(BM$1,'Monthly CUST'!$N$1:$CG$1,0))/12*$M43,IF($J43="Base Period",BA43,IF($J43="Adjusted",SUMIF('Input 15_Fcst Inputs'!$A:$A,$D43,'Input 15_Fcst Inputs'!$G:$G)/12))))),0)</f>
        <v>6215.2471475307566</v>
      </c>
      <c r="BN43" s="483">
        <f>IFERROR(IF($J43="Historical Average",INDEX('Monthly UPC'!$CM$2:$DJ$65,MATCH($D43,'Monthly UPC'!$D$2:$D$65,0),MATCH(BN$1,'Monthly UPC'!$CM$1:$DJ$1))*(INDEX('Monthly CUST'!$N$2:$CG$65,MATCH($D43,'Monthly CUST'!$D$2:$D$65,0),MATCH(BN$1,'Monthly CUST'!$N$1:$CG$1,0))),IF($J43="UPC Growth Rate",((BB43/INDEX('Monthly CUST'!$N$2:$CG$65,MATCH($D43,'Monthly CUST'!$D$2:$D$65,0),MATCH(BB$1,'Monthly CUST'!$N$1:$CG$1,0)))*(1+$L43)*INDEX('Monthly CUST'!$N$2:$CG$65,MATCH($D43,'Monthly CUST'!$D$2:$D$65,0),MATCH(BN$1,'Monthly CUST'!$N$1:$CG$1,0))),IF($J43="Modeled UPC",INDEX('Monthly CUST'!$N$2:$CG$65,MATCH($D43,'Monthly CUST'!$D$2:$D$65,0),MATCH(BN$1,'Monthly CUST'!$N$1:$CG$1,0))/12*$M43,IF($J43="Base Period",BB43,IF($J43="Adjusted",SUMIF('Input 15_Fcst Inputs'!$A:$A,$D43,'Input 15_Fcst Inputs'!$G:$G)/12))))),0)</f>
        <v>5052.0774590435967</v>
      </c>
      <c r="BO43" s="483">
        <f>IFERROR(IF($J43="Historical Average",INDEX('Monthly UPC'!$CM$2:$DJ$65,MATCH($D43,'Monthly UPC'!$D$2:$D$65,0),MATCH(BO$1,'Monthly UPC'!$CM$1:$DJ$1))*(INDEX('Monthly CUST'!$N$2:$CG$65,MATCH($D43,'Monthly CUST'!$D$2:$D$65,0),MATCH(BO$1,'Monthly CUST'!$N$1:$CG$1,0))),IF($J43="UPC Growth Rate",((BC43/INDEX('Monthly CUST'!$N$2:$CG$65,MATCH($D43,'Monthly CUST'!$D$2:$D$65,0),MATCH(BC$1,'Monthly CUST'!$N$1:$CG$1,0)))*(1+$L43)*INDEX('Monthly CUST'!$N$2:$CG$65,MATCH($D43,'Monthly CUST'!$D$2:$D$65,0),MATCH(BO$1,'Monthly CUST'!$N$1:$CG$1,0))),IF($J43="Modeled UPC",INDEX('Monthly CUST'!$N$2:$CG$65,MATCH($D43,'Monthly CUST'!$D$2:$D$65,0),MATCH(BO$1,'Monthly CUST'!$N$1:$CG$1,0))/12*$M43,IF($J43="Base Period",BC43,IF($J43="Adjusted",SUMIF('Input 15_Fcst Inputs'!$A:$A,$D43,'Input 15_Fcst Inputs'!$G:$G)/12))))),0)</f>
        <v>5407.3277321375299</v>
      </c>
      <c r="BP43" s="483">
        <f>IFERROR(IF($J43="Historical Average",INDEX('Monthly UPC'!$CM$2:$DJ$65,MATCH($D43,'Monthly UPC'!$D$2:$D$65,0),MATCH(BP$1,'Monthly UPC'!$CM$1:$DJ$1))*(INDEX('Monthly CUST'!$N$2:$CG$65,MATCH($D43,'Monthly CUST'!$D$2:$D$65,0),MATCH(BP$1,'Monthly CUST'!$N$1:$CG$1,0))),IF($J43="UPC Growth Rate",((BD43/INDEX('Monthly CUST'!$N$2:$CG$65,MATCH($D43,'Monthly CUST'!$D$2:$D$65,0),MATCH(BD$1,'Monthly CUST'!$N$1:$CG$1,0)))*(1+$L43)*INDEX('Monthly CUST'!$N$2:$CG$65,MATCH($D43,'Monthly CUST'!$D$2:$D$65,0),MATCH(BP$1,'Monthly CUST'!$N$1:$CG$1,0))),IF($J43="Modeled UPC",INDEX('Monthly CUST'!$N$2:$CG$65,MATCH($D43,'Monthly CUST'!$D$2:$D$65,0),MATCH(BP$1,'Monthly CUST'!$N$1:$CG$1,0))/12*$M43,IF($J43="Base Period",BD43,IF($J43="Adjusted",SUMIF('Input 15_Fcst Inputs'!$A:$A,$D43,'Input 15_Fcst Inputs'!$G:$G)/12))))),0)</f>
        <v>3382.7194090927214</v>
      </c>
      <c r="BQ43" s="483">
        <f>IFERROR(IF($J43="Historical Average",INDEX('Monthly UPC'!$CM$2:$DJ$65,MATCH($D43,'Monthly UPC'!$D$2:$D$65,0),MATCH(BQ$1,'Monthly UPC'!$CM$1:$DJ$1))*(INDEX('Monthly CUST'!$N$2:$CG$65,MATCH($D43,'Monthly CUST'!$D$2:$D$65,0),MATCH(BQ$1,'Monthly CUST'!$N$1:$CG$1,0))),IF($J43="UPC Growth Rate",((BE43/INDEX('Monthly CUST'!$N$2:$CG$65,MATCH($D43,'Monthly CUST'!$D$2:$D$65,0),MATCH(BE$1,'Monthly CUST'!$N$1:$CG$1,0)))*(1+$L43)*INDEX('Monthly CUST'!$N$2:$CG$65,MATCH($D43,'Monthly CUST'!$D$2:$D$65,0),MATCH(BQ$1,'Monthly CUST'!$N$1:$CG$1,0))),IF($J43="Modeled UPC",INDEX('Monthly CUST'!$N$2:$CG$65,MATCH($D43,'Monthly CUST'!$D$2:$D$65,0),MATCH(BQ$1,'Monthly CUST'!$N$1:$CG$1,0))/12*$M43,IF($J43="Base Period",BE43,IF($J43="Adjusted",SUMIF('Input 15_Fcst Inputs'!$A:$A,$D43,'Input 15_Fcst Inputs'!$G:$G)/12))))),0)</f>
        <v>6647.9826352778136</v>
      </c>
      <c r="BR43" s="483">
        <f>IFERROR(IF($J43="Historical Average",INDEX('Monthly UPC'!$CM$2:$DJ$65,MATCH($D43,'Monthly UPC'!$D$2:$D$65,0),MATCH(BR$1,'Monthly UPC'!$CM$1:$DJ$1))*(INDEX('Monthly CUST'!$N$2:$CG$65,MATCH($D43,'Monthly CUST'!$D$2:$D$65,0),MATCH(BR$1,'Monthly CUST'!$N$1:$CG$1,0))),IF($J43="UPC Growth Rate",((BF43/INDEX('Monthly CUST'!$N$2:$CG$65,MATCH($D43,'Monthly CUST'!$D$2:$D$65,0),MATCH(BF$1,'Monthly CUST'!$N$1:$CG$1,0)))*(1+$L43)*INDEX('Monthly CUST'!$N$2:$CG$65,MATCH($D43,'Monthly CUST'!$D$2:$D$65,0),MATCH(BR$1,'Monthly CUST'!$N$1:$CG$1,0))),IF($J43="Modeled UPC",INDEX('Monthly CUST'!$N$2:$CG$65,MATCH($D43,'Monthly CUST'!$D$2:$D$65,0),MATCH(BR$1,'Monthly CUST'!$N$1:$CG$1,0))/12*$M43,IF($J43="Base Period",BF43,IF($J43="Adjusted",SUMIF('Input 15_Fcst Inputs'!$A:$A,$D43,'Input 15_Fcst Inputs'!$G:$G)/12))))),0)</f>
        <v>5148.2316866184947</v>
      </c>
      <c r="BS43" s="483">
        <f>IFERROR(IF($J43="Historical Average",INDEX('Monthly UPC'!$CM$2:$DJ$65,MATCH($D43,'Monthly UPC'!$D$2:$D$65,0),MATCH(BS$1,'Monthly UPC'!$CM$1:$DJ$1))*(INDEX('Monthly CUST'!$N$2:$CG$65,MATCH($D43,'Monthly CUST'!$D$2:$D$65,0),MATCH(BS$1,'Monthly CUST'!$N$1:$CG$1,0))),IF($J43="UPC Growth Rate",((BG43/INDEX('Monthly CUST'!$N$2:$CG$65,MATCH($D43,'Monthly CUST'!$D$2:$D$65,0),MATCH(BG$1,'Monthly CUST'!$N$1:$CG$1,0)))*(1+$L43)*INDEX('Monthly CUST'!$N$2:$CG$65,MATCH($D43,'Monthly CUST'!$D$2:$D$65,0),MATCH(BS$1,'Monthly CUST'!$N$1:$CG$1,0))),IF($J43="Modeled UPC",INDEX('Monthly CUST'!$N$2:$CG$65,MATCH($D43,'Monthly CUST'!$D$2:$D$65,0),MATCH(BS$1,'Monthly CUST'!$N$1:$CG$1,0))/12*$M43,IF($J43="Base Period",BG43,IF($J43="Adjusted",SUMIF('Input 15_Fcst Inputs'!$A:$A,$D43,'Input 15_Fcst Inputs'!$G:$G)/12))))),0)</f>
        <v>5275.5458546947011</v>
      </c>
      <c r="BT43" s="483">
        <f>IFERROR(IF($J43="Historical Average",INDEX('Monthly UPC'!$CM$2:$DJ$65,MATCH($D43,'Monthly UPC'!$D$2:$D$65,0),MATCH(BT$1,'Monthly UPC'!$CM$1:$DJ$1))*(INDEX('Monthly CUST'!$N$2:$CG$65,MATCH($D43,'Monthly CUST'!$D$2:$D$65,0),MATCH(BT$1,'Monthly CUST'!$N$1:$CG$1,0))),IF($J43="UPC Growth Rate",((BH43/INDEX('Monthly CUST'!$N$2:$CG$65,MATCH($D43,'Monthly CUST'!$D$2:$D$65,0),MATCH(BH$1,'Monthly CUST'!$N$1:$CG$1,0)))*(1+$L43)*INDEX('Monthly CUST'!$N$2:$CG$65,MATCH($D43,'Monthly CUST'!$D$2:$D$65,0),MATCH(BT$1,'Monthly CUST'!$N$1:$CG$1,0))),IF($J43="Modeled UPC",INDEX('Monthly CUST'!$N$2:$CG$65,MATCH($D43,'Monthly CUST'!$D$2:$D$65,0),MATCH(BT$1,'Monthly CUST'!$N$1:$CG$1,0))/12*$M43,IF($J43="Base Period",BH43,IF($J43="Adjusted",SUMIF('Input 15_Fcst Inputs'!$A:$A,$D43,'Input 15_Fcst Inputs'!$G:$G)/12))))),0)</f>
        <v>3398.8591387535789</v>
      </c>
      <c r="BU43" s="483">
        <f>IFERROR(IF($J43="Historical Average",INDEX('Monthly UPC'!$CM$2:$DJ$65,MATCH($D43,'Monthly UPC'!$D$2:$D$65,0),MATCH(BU$1,'Monthly UPC'!$CM$1:$DJ$1))*(INDEX('Monthly CUST'!$N$2:$CG$65,MATCH($D43,'Monthly CUST'!$D$2:$D$65,0),MATCH(BU$1,'Monthly CUST'!$N$1:$CG$1,0))),IF($J43="UPC Growth Rate",((BI43/INDEX('Monthly CUST'!$N$2:$CG$65,MATCH($D43,'Monthly CUST'!$D$2:$D$65,0),MATCH(BI$1,'Monthly CUST'!$N$1:$CG$1,0)))*(1+$L43)*INDEX('Monthly CUST'!$N$2:$CG$65,MATCH($D43,'Monthly CUST'!$D$2:$D$65,0),MATCH(BU$1,'Monthly CUST'!$N$1:$CG$1,0))),IF($J43="Modeled UPC",INDEX('Monthly CUST'!$N$2:$CG$65,MATCH($D43,'Monthly CUST'!$D$2:$D$65,0),MATCH(BU$1,'Monthly CUST'!$N$1:$CG$1,0))/12*$M43,IF($J43="Base Period",BI43,IF($J43="Adjusted",SUMIF('Input 15_Fcst Inputs'!$A:$A,$D43,'Input 15_Fcst Inputs'!$G:$G)/12))))),0)</f>
        <v>6264.0084117084543</v>
      </c>
      <c r="BV43" s="483">
        <f>IFERROR(IF($J43="Historical Average",INDEX('Monthly UPC'!$CM$2:$DJ$65,MATCH($D43,'Monthly UPC'!$D$2:$D$65,0),MATCH(BV$1,'Monthly UPC'!$CM$1:$DJ$1))*(INDEX('Monthly CUST'!$N$2:$CG$65,MATCH($D43,'Monthly CUST'!$D$2:$D$65,0),MATCH(BV$1,'Monthly CUST'!$N$1:$CG$1,0))),IF($J43="UPC Growth Rate",((BJ43/INDEX('Monthly CUST'!$N$2:$CG$65,MATCH($D43,'Monthly CUST'!$D$2:$D$65,0),MATCH(BJ$1,'Monthly CUST'!$N$1:$CG$1,0)))*(1+$L43)*INDEX('Monthly CUST'!$N$2:$CG$65,MATCH($D43,'Monthly CUST'!$D$2:$D$65,0),MATCH(BV$1,'Monthly CUST'!$N$1:$CG$1,0))),IF($J43="Modeled UPC",INDEX('Monthly CUST'!$N$2:$CG$65,MATCH($D43,'Monthly CUST'!$D$2:$D$65,0),MATCH(BV$1,'Monthly CUST'!$N$1:$CG$1,0))/12*$M43,IF($J43="Base Period",BJ43,IF($J43="Adjusted",SUMIF('Input 15_Fcst Inputs'!$A:$A,$D43,'Input 15_Fcst Inputs'!$G:$G)/12))))),0)</f>
        <v>9143.7626343743359</v>
      </c>
      <c r="BW43" s="483">
        <f>IFERROR(IF($J43="Historical Average",INDEX('Monthly UPC'!$CM$2:$DJ$65,MATCH($D43,'Monthly UPC'!$D$2:$D$65,0),MATCH(BW$1,'Monthly UPC'!$CM$1:$DJ$1))*(INDEX('Monthly CUST'!$N$2:$CG$65,MATCH($D43,'Monthly CUST'!$D$2:$D$65,0),MATCH(BW$1,'Monthly CUST'!$N$1:$CG$1,0))),IF($J43="UPC Growth Rate",((BK43/INDEX('Monthly CUST'!$N$2:$CG$65,MATCH($D43,'Monthly CUST'!$D$2:$D$65,0),MATCH(BK$1,'Monthly CUST'!$N$1:$CG$1,0)))*(1+$L43)*INDEX('Monthly CUST'!$N$2:$CG$65,MATCH($D43,'Monthly CUST'!$D$2:$D$65,0),MATCH(BW$1,'Monthly CUST'!$N$1:$CG$1,0))),IF($J43="Modeled UPC",INDEX('Monthly CUST'!$N$2:$CG$65,MATCH($D43,'Monthly CUST'!$D$2:$D$65,0),MATCH(BW$1,'Monthly CUST'!$N$1:$CG$1,0))/12*$M43,IF($J43="Base Period",BK43,IF($J43="Adjusted",SUMIF('Input 15_Fcst Inputs'!$A:$A,$D43,'Input 15_Fcst Inputs'!$G:$G)/12))))),0)</f>
        <v>7774.1662261488264</v>
      </c>
      <c r="BX43" s="483">
        <f>IFERROR(IF($J43="Historical Average",INDEX('Monthly UPC'!$CM$2:$DJ$65,MATCH($D43,'Monthly UPC'!$D$2:$D$65,0),MATCH(BX$1,'Monthly UPC'!$CM$1:$DJ$1))*(INDEX('Monthly CUST'!$N$2:$CG$65,MATCH($D43,'Monthly CUST'!$D$2:$D$65,0),MATCH(BX$1,'Monthly CUST'!$N$1:$CG$1,0))),IF($J43="UPC Growth Rate",((BL43/INDEX('Monthly CUST'!$N$2:$CG$65,MATCH($D43,'Monthly CUST'!$D$2:$D$65,0),MATCH(BL$1,'Monthly CUST'!$N$1:$CG$1,0)))*(1+$L43)*INDEX('Monthly CUST'!$N$2:$CG$65,MATCH($D43,'Monthly CUST'!$D$2:$D$65,0),MATCH(BX$1,'Monthly CUST'!$N$1:$CG$1,0))),IF($J43="Modeled UPC",INDEX('Monthly CUST'!$N$2:$CG$65,MATCH($D43,'Monthly CUST'!$D$2:$D$65,0),MATCH(BX$1,'Monthly CUST'!$N$1:$CG$1,0))/12*$M43,IF($J43="Base Period",BL43,IF($J43="Adjusted",SUMIF('Input 15_Fcst Inputs'!$A:$A,$D43,'Input 15_Fcst Inputs'!$G:$G)/12))))),0)</f>
        <v>7668.5837004568602</v>
      </c>
      <c r="BY43" s="483">
        <f>IFERROR(IF($J43="Historical Average",INDEX('Monthly UPC'!$CM$2:$DJ$65,MATCH($D43,'Monthly UPC'!$D$2:$D$65,0),MATCH(BY$1,'Monthly UPC'!$CM$1:$DJ$1))*(INDEX('Monthly CUST'!$N$2:$CG$65,MATCH($D43,'Monthly CUST'!$D$2:$D$65,0),MATCH(BY$1,'Monthly CUST'!$N$1:$CG$1,0))),IF($J43="UPC Growth Rate",((BM43/INDEX('Monthly CUST'!$N$2:$CG$65,MATCH($D43,'Monthly CUST'!$D$2:$D$65,0),MATCH(BM$1,'Monthly CUST'!$N$1:$CG$1,0)))*(1+$L43)*INDEX('Monthly CUST'!$N$2:$CG$65,MATCH($D43,'Monthly CUST'!$D$2:$D$65,0),MATCH(BY$1,'Monthly CUST'!$N$1:$CG$1,0))),IF($J43="Modeled UPC",INDEX('Monthly CUST'!$N$2:$CG$65,MATCH($D43,'Monthly CUST'!$D$2:$D$65,0),MATCH(BY$1,'Monthly CUST'!$N$1:$CG$1,0))/12*$M43,IF($J43="Base Period",BM43,IF($J43="Adjusted",SUMIF('Input 15_Fcst Inputs'!$A:$A,$D43,'Input 15_Fcst Inputs'!$G:$G)/12))))),0)</f>
        <v>6442.6723658679266</v>
      </c>
      <c r="BZ43" s="483">
        <f>IFERROR(IF($J43="Historical Average",INDEX('Monthly UPC'!$CM$2:$DJ$65,MATCH($D43,'Monthly UPC'!$D$2:$D$65,0),MATCH(BZ$1,'Monthly UPC'!$CM$1:$DJ$1))*(INDEX('Monthly CUST'!$N$2:$CG$65,MATCH($D43,'Monthly CUST'!$D$2:$D$65,0),MATCH(BZ$1,'Monthly CUST'!$N$1:$CG$1,0))),IF($J43="UPC Growth Rate",((BN43/INDEX('Monthly CUST'!$N$2:$CG$65,MATCH($D43,'Monthly CUST'!$D$2:$D$65,0),MATCH(BN$1,'Monthly CUST'!$N$1:$CG$1,0)))*(1+$L43)*INDEX('Monthly CUST'!$N$2:$CG$65,MATCH($D43,'Monthly CUST'!$D$2:$D$65,0),MATCH(BZ$1,'Monthly CUST'!$N$1:$CG$1,0))),IF($J43="Modeled UPC",INDEX('Monthly CUST'!$N$2:$CG$65,MATCH($D43,'Monthly CUST'!$D$2:$D$65,0),MATCH(BZ$1,'Monthly CUST'!$N$1:$CG$1,0))/12*$M43,IF($J43="Base Period",BN43,IF($J43="Adjusted",SUMIF('Input 15_Fcst Inputs'!$A:$A,$D43,'Input 15_Fcst Inputs'!$G:$G)/12))))),0)</f>
        <v>5236.9405532868805</v>
      </c>
      <c r="CA43" s="483">
        <f>IFERROR(IF($J43="Historical Average",INDEX('Monthly UPC'!$CM$2:$DJ$65,MATCH($D43,'Monthly UPC'!$D$2:$D$65,0),MATCH(CA$1,'Monthly UPC'!$CM$1:$DJ$1))*(INDEX('Monthly CUST'!$N$2:$CG$65,MATCH($D43,'Monthly CUST'!$D$2:$D$65,0),MATCH(CA$1,'Monthly CUST'!$N$1:$CG$1,0))),IF($J43="UPC Growth Rate",((BO43/INDEX('Monthly CUST'!$N$2:$CG$65,MATCH($D43,'Monthly CUST'!$D$2:$D$65,0),MATCH(BO$1,'Monthly CUST'!$N$1:$CG$1,0)))*(1+$L43)*INDEX('Monthly CUST'!$N$2:$CG$65,MATCH($D43,'Monthly CUST'!$D$2:$D$65,0),MATCH(CA$1,'Monthly CUST'!$N$1:$CG$1,0))),IF($J43="Modeled UPC",INDEX('Monthly CUST'!$N$2:$CG$65,MATCH($D43,'Monthly CUST'!$D$2:$D$65,0),MATCH(CA$1,'Monthly CUST'!$N$1:$CG$1,0))/12*$M43,IF($J43="Base Period",BO43,IF($J43="Adjusted",SUMIF('Input 15_Fcst Inputs'!$A:$A,$D43,'Input 15_Fcst Inputs'!$G:$G)/12))))),0)</f>
        <v>5605.1899668823826</v>
      </c>
      <c r="CB43" s="483">
        <f>IFERROR(IF($J43="Historical Average",INDEX('Monthly UPC'!$CM$2:$DJ$65,MATCH($D43,'Monthly UPC'!$D$2:$D$65,0),MATCH(CB$1,'Monthly UPC'!$CM$1:$DJ$1))*(INDEX('Monthly CUST'!$N$2:$CG$65,MATCH($D43,'Monthly CUST'!$D$2:$D$65,0),MATCH(CB$1,'Monthly CUST'!$N$1:$CG$1,0))),IF($J43="UPC Growth Rate",((BP43/INDEX('Monthly CUST'!$N$2:$CG$65,MATCH($D43,'Monthly CUST'!$D$2:$D$65,0),MATCH(BP$1,'Monthly CUST'!$N$1:$CG$1,0)))*(1+$L43)*INDEX('Monthly CUST'!$N$2:$CG$65,MATCH($D43,'Monthly CUST'!$D$2:$D$65,0),MATCH(CB$1,'Monthly CUST'!$N$1:$CG$1,0))),IF($J43="Modeled UPC",INDEX('Monthly CUST'!$N$2:$CG$65,MATCH($D43,'Monthly CUST'!$D$2:$D$65,0),MATCH(CB$1,'Monthly CUST'!$N$1:$CG$1,0))/12*$M43,IF($J43="Base Period",BP43,IF($J43="Adjusted",SUMIF('Input 15_Fcst Inputs'!$A:$A,$D43,'Input 15_Fcst Inputs'!$G:$G)/12))))),0)</f>
        <v>3506.4981876231832</v>
      </c>
      <c r="CC43" s="483">
        <f>IFERROR(IF($J43="Historical Average",INDEX('Monthly UPC'!$CM$2:$DJ$65,MATCH($D43,'Monthly UPC'!$D$2:$D$65,0),MATCH(CC$1,'Monthly UPC'!$CM$1:$DJ$1))*(INDEX('Monthly CUST'!$N$2:$CG$65,MATCH($D43,'Monthly CUST'!$D$2:$D$65,0),MATCH(CC$1,'Monthly CUST'!$N$1:$CG$1,0))),IF($J43="UPC Growth Rate",((BQ43/INDEX('Monthly CUST'!$N$2:$CG$65,MATCH($D43,'Monthly CUST'!$D$2:$D$65,0),MATCH(BQ$1,'Monthly CUST'!$N$1:$CG$1,0)))*(1+$L43)*INDEX('Monthly CUST'!$N$2:$CG$65,MATCH($D43,'Monthly CUST'!$D$2:$D$65,0),MATCH(CC$1,'Monthly CUST'!$N$1:$CG$1,0))),IF($J43="Modeled UPC",INDEX('Monthly CUST'!$N$2:$CG$65,MATCH($D43,'Monthly CUST'!$D$2:$D$65,0),MATCH(CC$1,'Monthly CUST'!$N$1:$CG$1,0))/12*$M43,IF($J43="Base Period",BQ43,IF($J43="Adjusted",SUMIF('Input 15_Fcst Inputs'!$A:$A,$D43,'Input 15_Fcst Inputs'!$G:$G)/12))))),0)</f>
        <v>6891.2422943776837</v>
      </c>
      <c r="CD43" s="483">
        <f>IFERROR(IF($J43="Historical Average",INDEX('Monthly UPC'!$CM$2:$DJ$65,MATCH($D43,'Monthly UPC'!$D$2:$D$65,0),MATCH(CD$1,'Monthly UPC'!$CM$1:$DJ$1))*(INDEX('Monthly CUST'!$N$2:$CG$65,MATCH($D43,'Monthly CUST'!$D$2:$D$65,0),MATCH(CD$1,'Monthly CUST'!$N$1:$CG$1,0))),IF($J43="UPC Growth Rate",((BR43/INDEX('Monthly CUST'!$N$2:$CG$65,MATCH($D43,'Monthly CUST'!$D$2:$D$65,0),MATCH(BR$1,'Monthly CUST'!$N$1:$CG$1,0)))*(1+$L43)*INDEX('Monthly CUST'!$N$2:$CG$65,MATCH($D43,'Monthly CUST'!$D$2:$D$65,0),MATCH(CD$1,'Monthly CUST'!$N$1:$CG$1,0))),IF($J43="Modeled UPC",INDEX('Monthly CUST'!$N$2:$CG$65,MATCH($D43,'Monthly CUST'!$D$2:$D$65,0),MATCH(CD$1,'Monthly CUST'!$N$1:$CG$1,0))/12*$M43,IF($J43="Base Period",BR43,IF($J43="Adjusted",SUMIF('Input 15_Fcst Inputs'!$A:$A,$D43,'Input 15_Fcst Inputs'!$G:$G)/12))))),0)</f>
        <v>5336.6132083162611</v>
      </c>
      <c r="CE43" s="483">
        <f>IFERROR(IF($J43="Historical Average",INDEX('Monthly UPC'!$CM$2:$DJ$65,MATCH($D43,'Monthly UPC'!$D$2:$D$65,0),MATCH(CE$1,'Monthly UPC'!$CM$1:$DJ$1))*(INDEX('Monthly CUST'!$N$2:$CG$65,MATCH($D43,'Monthly CUST'!$D$2:$D$65,0),MATCH(CE$1,'Monthly CUST'!$N$1:$CG$1,0))),IF($J43="UPC Growth Rate",((BS43/INDEX('Monthly CUST'!$N$2:$CG$65,MATCH($D43,'Monthly CUST'!$D$2:$D$65,0),MATCH(BS$1,'Monthly CUST'!$N$1:$CG$1,0)))*(1+$L43)*INDEX('Monthly CUST'!$N$2:$CG$65,MATCH($D43,'Monthly CUST'!$D$2:$D$65,0),MATCH(CE$1,'Monthly CUST'!$N$1:$CG$1,0))),IF($J43="Modeled UPC",INDEX('Monthly CUST'!$N$2:$CG$65,MATCH($D43,'Monthly CUST'!$D$2:$D$65,0),MATCH(CE$1,'Monthly CUST'!$N$1:$CG$1,0))/12*$M43,IF($J43="Base Period",BS43,IF($J43="Adjusted",SUMIF('Input 15_Fcst Inputs'!$A:$A,$D43,'Input 15_Fcst Inputs'!$G:$G)/12))))),0)</f>
        <v>5468.5859928215259</v>
      </c>
      <c r="CF43" s="483">
        <f>IFERROR(IF($J43="Historical Average",INDEX('Monthly UPC'!$CM$2:$DJ$65,MATCH($D43,'Monthly UPC'!$D$2:$D$65,0),MATCH(CF$1,'Monthly UPC'!$CM$1:$DJ$1))*(INDEX('Monthly CUST'!$N$2:$CG$65,MATCH($D43,'Monthly CUST'!$D$2:$D$65,0),MATCH(CF$1,'Monthly CUST'!$N$1:$CG$1,0))),IF($J43="UPC Growth Rate",((BT43/INDEX('Monthly CUST'!$N$2:$CG$65,MATCH($D43,'Monthly CUST'!$D$2:$D$65,0),MATCH(BT$1,'Monthly CUST'!$N$1:$CG$1,0)))*(1+$L43)*INDEX('Monthly CUST'!$N$2:$CG$65,MATCH($D43,'Monthly CUST'!$D$2:$D$65,0),MATCH(CF$1,'Monthly CUST'!$N$1:$CG$1,0))),IF($J43="Modeled UPC",INDEX('Monthly CUST'!$N$2:$CG$65,MATCH($D43,'Monthly CUST'!$D$2:$D$65,0),MATCH(CF$1,'Monthly CUST'!$N$1:$CG$1,0))/12*$M43,IF($J43="Base Period",BT43,IF($J43="Adjusted",SUMIF('Input 15_Fcst Inputs'!$A:$A,$D43,'Input 15_Fcst Inputs'!$G:$G)/12))))),0)</f>
        <v>3523.2284942079987</v>
      </c>
      <c r="CG43" s="483">
        <f>IFERROR(IF($J43="Historical Average",INDEX('Monthly UPC'!$CM$2:$DJ$65,MATCH($D43,'Monthly UPC'!$D$2:$D$65,0),MATCH(CG$1,'Monthly UPC'!$CM$1:$DJ$1))*(INDEX('Monthly CUST'!$N$2:$CG$65,MATCH($D43,'Monthly CUST'!$D$2:$D$65,0),MATCH(CG$1,'Monthly CUST'!$N$1:$CG$1,0))),IF($J43="UPC Growth Rate",((BU43/INDEX('Monthly CUST'!$N$2:$CG$65,MATCH($D43,'Monthly CUST'!$D$2:$D$65,0),MATCH(BU$1,'Monthly CUST'!$N$1:$CG$1,0)))*(1+$L43)*INDEX('Monthly CUST'!$N$2:$CG$65,MATCH($D43,'Monthly CUST'!$D$2:$D$65,0),MATCH(CG$1,'Monthly CUST'!$N$1:$CG$1,0))),IF($J43="Modeled UPC",INDEX('Monthly CUST'!$N$2:$CG$65,MATCH($D43,'Monthly CUST'!$D$2:$D$65,0),MATCH(CG$1,'Monthly CUST'!$N$1:$CG$1,0))/12*$M43,IF($J43="Base Period",BU43,IF($J43="Adjusted",SUMIF('Input 15_Fcst Inputs'!$A:$A,$D43,'Input 15_Fcst Inputs'!$G:$G)/12))))),0)</f>
        <v>6493.2178778621274</v>
      </c>
      <c r="CH43" s="197"/>
      <c r="CI43" s="197">
        <f t="shared" si="8"/>
        <v>83269.87</v>
      </c>
      <c r="CJ43" s="197">
        <f t="shared" si="9"/>
        <v>74329.64</v>
      </c>
      <c r="CK43" s="197">
        <f t="shared" si="10"/>
        <v>64248.369999999995</v>
      </c>
      <c r="CL43" s="197">
        <f t="shared" si="11"/>
        <v>68021.599999999991</v>
      </c>
      <c r="CM43" s="197">
        <f t="shared" si="12"/>
        <v>70510.612401991049</v>
      </c>
      <c r="CN43" s="197">
        <f t="shared" si="13"/>
        <v>73090.701502225987</v>
      </c>
      <c r="CP43" s="4">
        <f>SUMIF('Master '!D:D,D43,'Master '!AH:AH)</f>
        <v>70510.612401991049</v>
      </c>
      <c r="CQ43" s="4">
        <f>SUMIF('Master '!D:D,D43,'Master '!AI:AI)</f>
        <v>73090.701502225973</v>
      </c>
      <c r="CR43" s="197">
        <f t="shared" si="14"/>
        <v>0</v>
      </c>
      <c r="CS43" s="197">
        <f t="shared" si="15"/>
        <v>0</v>
      </c>
      <c r="CT43" t="s">
        <v>287</v>
      </c>
      <c r="CV43" t="str">
        <f>VLOOKUP(G43,'Master '!G:CC,75,FALSE)</f>
        <v>FTS-2</v>
      </c>
    </row>
    <row r="44" spans="1:100">
      <c r="A44" s="53" t="s">
        <v>17</v>
      </c>
      <c r="B44" s="53" t="s">
        <v>993</v>
      </c>
      <c r="C44" s="53" t="s">
        <v>1245</v>
      </c>
      <c r="D44" s="53" t="s">
        <v>1253</v>
      </c>
      <c r="E44" s="53" t="str">
        <f>VLOOKUP(D44,'Input 14_Ref Table'!C:D,2,FALSE)</f>
        <v>CC820</v>
      </c>
      <c r="F44" s="143" t="s">
        <v>1287</v>
      </c>
      <c r="G44" s="53" t="str">
        <f>VLOOKUP(D44,'Input 14_Ref Table'!C:I,7,FALSE)</f>
        <v>CFG - FTS-2 - Fixed NR</v>
      </c>
      <c r="H44" s="53" t="str">
        <f>VLOOKUP(D44,'Input 14_Ref Table'!C:K,8,FALSE)</f>
        <v>FTS2</v>
      </c>
      <c r="I44" s="53"/>
      <c r="J44" t="str">
        <f>INDEX('Master '!$AD$2:AD$65,MATCH(D44,'Master '!$D$2:$D$65,0))</f>
        <v>UPC Growth Rate</v>
      </c>
      <c r="K44" s="458">
        <f>INDEX('Master '!$N$2:N$65,MATCH(D44,'Master '!$D$2:$D$65,0))</f>
        <v>5.7427510434033407E-2</v>
      </c>
      <c r="L44" s="137">
        <f>INDEX('Master '!$S$2:S$65,MATCH(D44,'Master '!$D$2:$D$65,0))</f>
        <v>-1.970443349753722E-2</v>
      </c>
      <c r="M44" s="4">
        <f>INDEX('Master '!$W$2:W$65,MATCH(D44,'Master '!$D$2:$D$65,0))</f>
        <v>636.79999999999995</v>
      </c>
      <c r="N44" s="268">
        <f>SUMIF('Input 16.1_2018VOL-YTD'!$R:$R,$G44,'Input 16.1_2018VOL-YTD'!C:C)</f>
        <v>241.44</v>
      </c>
      <c r="O44" s="268">
        <f>SUMIF('Input 16.1_2018VOL-YTD'!$R:$R,$G44,'Input 16.1_2018VOL-YTD'!D:D)</f>
        <v>258.19</v>
      </c>
      <c r="P44" s="268">
        <f>SUMIF('Input 16.1_2018VOL-YTD'!$R:$R,$G44,'Input 16.1_2018VOL-YTD'!E:E)</f>
        <v>254.05</v>
      </c>
      <c r="Q44" s="268">
        <f>SUMIF('Input 16.1_2018VOL-YTD'!$R:$R,$G44,'Input 16.1_2018VOL-YTD'!F:F)</f>
        <v>210.85</v>
      </c>
      <c r="R44" s="268">
        <f>SUMIF('Input 16.1_2018VOL-YTD'!$R:$R,$G44,'Input 16.1_2018VOL-YTD'!G:G)</f>
        <v>187.54</v>
      </c>
      <c r="S44" s="268">
        <f>SUMIF('Input 16.1_2018VOL-YTD'!$R:$R,$G44,'Input 16.1_2018VOL-YTD'!H:H)</f>
        <v>200.06</v>
      </c>
      <c r="T44" s="268">
        <f>SUMIF('Input 16.1_2018VOL-YTD'!$R:$R,$G44,'Input 16.1_2018VOL-YTD'!I:I)</f>
        <v>181</v>
      </c>
      <c r="U44" s="268">
        <f>SUMIF('Input 16.1_2018VOL-YTD'!$R:$R,$G44,'Input 16.1_2018VOL-YTD'!J:J)</f>
        <v>178.12</v>
      </c>
      <c r="V44" s="268">
        <f>SUMIF('Input 16.1_2018VOL-YTD'!$R:$R,$G44,'Input 16.1_2018VOL-YTD'!K:K)</f>
        <v>426</v>
      </c>
      <c r="W44" s="268">
        <f>SUMIF('Input 16.1_2018VOL-YTD'!$R:$R,$G44,'Input 16.1_2018VOL-YTD'!L:L)</f>
        <v>347.61</v>
      </c>
      <c r="X44" s="268">
        <f>SUMIF('Input 16.1_2018VOL-YTD'!$R:$R,$G44,'Input 16.1_2018VOL-YTD'!M:M)</f>
        <v>336.47</v>
      </c>
      <c r="Y44" s="268">
        <f>SUMIF('Input 16.1_2018VOL-YTD'!$R:$R,$G44,'Input 16.1_2018VOL-YTD'!N:N)</f>
        <v>425.2</v>
      </c>
      <c r="Z44" s="268">
        <f>SUMIF('Input 3.1_2019VOL-YTD'!$R:$R,$G44,'Input 3.1_2019VOL-YTD'!C:C)</f>
        <v>568.79</v>
      </c>
      <c r="AA44" s="268">
        <f>SUMIF('Input 3.1_2019VOL-YTD'!$R:$R,$G44,'Input 3.1_2019VOL-YTD'!D:D)</f>
        <v>461.55</v>
      </c>
      <c r="AB44" s="268">
        <f>SUMIF('Input 3.1_2019VOL-YTD'!$R:$R,$G44,'Input 3.1_2019VOL-YTD'!E:E)</f>
        <v>193.72</v>
      </c>
      <c r="AC44" s="268">
        <f>SUMIF('Input 3.1_2019VOL-YTD'!$R:$R,$G44,'Input 3.1_2019VOL-YTD'!F:F)</f>
        <v>555.21</v>
      </c>
      <c r="AD44" s="268">
        <f>SUMIF('Input 3.1_2019VOL-YTD'!$R:$R,$G44,'Input 3.1_2019VOL-YTD'!G:G)</f>
        <v>193.65</v>
      </c>
      <c r="AE44" s="268">
        <f>SUMIF('Input 3.1_2019VOL-YTD'!$R:$R,$G44,'Input 3.1_2019VOL-YTD'!H:H)</f>
        <v>674.21</v>
      </c>
      <c r="AF44" s="268">
        <f>SUMIF('Input 3.1_2019VOL-YTD'!$R:$R,$G44,'Input 3.1_2019VOL-YTD'!I:I)</f>
        <v>492.06</v>
      </c>
      <c r="AG44" s="268">
        <f>SUMIF('Input 3.1_2019VOL-YTD'!$R:$R,$G44,'Input 3.1_2019VOL-YTD'!J:J)</f>
        <v>425.89</v>
      </c>
      <c r="AH44" s="268">
        <f>SUMIF('Input 3.1_2019VOL-YTD'!$R:$R,$G44,'Input 3.1_2019VOL-YTD'!K:K)</f>
        <v>211.87</v>
      </c>
      <c r="AI44" s="268">
        <f>SUMIF('Input 3.1_2019VOL-YTD'!$R:$R,$G44,'Input 3.1_2019VOL-YTD'!L:L)</f>
        <v>220.77</v>
      </c>
      <c r="AJ44" s="268">
        <f>SUMIF('Input 3.1_2019VOL-YTD'!$R:$R,$G44,'Input 3.1_2019VOL-YTD'!M:M)</f>
        <v>225.85</v>
      </c>
      <c r="AK44" s="268">
        <f>SUMIF('Input 3.1_2019VOL-YTD'!$R:$R,$G44,'Input 3.1_2019VOL-YTD'!N:N)</f>
        <v>228.53</v>
      </c>
      <c r="AL44" s="268">
        <f>SUMIF('Input 4.1_2020VOL-YTD'!$R:$R,$G44,'Input 4.1_2020VOL-YTD'!C:C)</f>
        <v>237.97</v>
      </c>
      <c r="AM44" s="268">
        <f>SUMIF('Input 4.1_2020VOL-YTD'!$R:$R,$G44,'Input 4.1_2020VOL-YTD'!D:D)</f>
        <v>218.61</v>
      </c>
      <c r="AN44" s="268">
        <f>SUMIF('Input 4.1_2020VOL-YTD'!$R:$R,$G44,'Input 4.1_2020VOL-YTD'!E:E)</f>
        <v>187.94</v>
      </c>
      <c r="AO44" s="268">
        <f>SUMIF('Input 4.1_2020VOL-YTD'!$R:$R,$G44,'Input 4.1_2020VOL-YTD'!F:F)</f>
        <v>472.1</v>
      </c>
      <c r="AP44" s="268">
        <f>SUMIF('Input 4.1_2020VOL-YTD'!$R:$R,$G44,'Input 4.1_2020VOL-YTD'!G:G)</f>
        <v>137.96</v>
      </c>
      <c r="AQ44" s="268">
        <f>SUMIF('Input 4.1_2020VOL-YTD'!$R:$R,$G44,'Input 4.1_2020VOL-YTD'!H:H)</f>
        <v>-112.03</v>
      </c>
      <c r="AR44" s="268">
        <f>SUMIF('Input 4.1_2020VOL-YTD'!$R:$R,$G44,'Input 4.1_2020VOL-YTD'!I:I)</f>
        <v>276.92</v>
      </c>
      <c r="AS44" s="268">
        <f>SUMIF('Input 4.1_2020VOL-YTD'!$R:$R,$G44,'Input 4.1_2020VOL-YTD'!J:J)</f>
        <v>204.54</v>
      </c>
      <c r="AT44" s="268">
        <f>SUMIF('Input 4.1_2020VOL-YTD'!$R:$R,$G44,'Input 4.1_2020VOL-YTD'!K:K)</f>
        <v>177.56</v>
      </c>
      <c r="AU44" s="268">
        <f>SUMIF('Input 4.1_2020VOL-YTD'!$R:$R,$G44,'Input 4.1_2020VOL-YTD'!L:L)</f>
        <v>176.09</v>
      </c>
      <c r="AV44" s="268">
        <f>SUMIF('Input 4.1_2020VOL-YTD'!$R:$R,$G44,'Input 4.1_2020VOL-YTD'!M:M)</f>
        <v>201.93</v>
      </c>
      <c r="AW44" s="268">
        <f>SUMIF('Input 4.1_2020VOL-YTD'!$R:$R,$G44,'Input 4.1_2020VOL-YTD'!N:N)</f>
        <v>210.25</v>
      </c>
      <c r="AX44" s="268">
        <f>SUMIF('Input 5.1_2021VOL-YTD'!$R:$R,$G44,'Input 5.1_2021VOL-YTD'!C:C)</f>
        <v>226.34</v>
      </c>
      <c r="AY44" s="268">
        <f>SUMIF('Input 5.1_2021VOL-YTD'!$R:$R,$G44,'Input 5.1_2021VOL-YTD'!D:D)</f>
        <v>188.16</v>
      </c>
      <c r="AZ44" s="268">
        <f>SUMIF('Input 5.1_2021VOL-YTD'!$R:$R,$G44,'Input 5.1_2021VOL-YTD'!E:E)</f>
        <v>198.76</v>
      </c>
      <c r="BA44" s="268">
        <f>SUMIF('Input 5.1_2021VOL-YTD'!$R:$R,$G44,'Input 5.1_2021VOL-YTD'!F:F)</f>
        <v>252.76</v>
      </c>
      <c r="BB44" s="268">
        <f>SUMIF('Input 5.1_2021VOL-YTD'!$R:$R,$G44,'Input 5.1_2021VOL-YTD'!G:G)</f>
        <v>210.07</v>
      </c>
      <c r="BC44" s="268">
        <f>SUMIF('Input 5.1_2021VOL-YTD'!$R:$R,$G44,'Input 5.1_2021VOL-YTD'!H:H)</f>
        <v>233.59</v>
      </c>
      <c r="BD44" s="268">
        <f>SUMIF('Input 5.1_2021VOL-YTD'!$R:$R,$G44,'Input 5.1_2021VOL-YTD'!I:I)</f>
        <v>965.55</v>
      </c>
      <c r="BE44" s="268">
        <f>SUMIF('Input 5.1_2021VOL-YTD'!$R:$R,$G44,'Input 5.1_2021VOL-YTD'!J:J)</f>
        <v>191.37</v>
      </c>
      <c r="BF44" s="268">
        <f>SUMIF('Input 5.1_2021VOL-YTD'!$R:$R,$G44,'Input 5.1_2021VOL-YTD'!K:K)</f>
        <v>185.76</v>
      </c>
      <c r="BG44" s="268">
        <f>SUMIF('Input 5.1_2021VOL-YTD'!$R:$R,$G44,'Input 5.1_2021VOL-YTD'!L:L)</f>
        <v>194.25</v>
      </c>
      <c r="BH44" s="268">
        <f>SUMIF('Input 5.1_2021VOL-YTD'!$R:$R,$G44,'Input 5.1_2021VOL-YTD'!M:M)</f>
        <v>186.94</v>
      </c>
      <c r="BI44" s="268">
        <f>SUMIF('Input 5.1_2021VOL-YTD'!$R:$R,$G44,'Input 5.1_2021VOL-YTD'!N:N)</f>
        <v>247.95</v>
      </c>
      <c r="BJ44" s="483">
        <f>IFERROR(IF($J44="Historical Average",INDEX('Monthly UPC'!$CM$2:$DJ$65,MATCH($D44,'Monthly UPC'!$D$2:$D$65,0),MATCH(BJ$1,'Monthly UPC'!$CM$1:$DJ$1))*(INDEX('Monthly CUST'!$N$2:$CG$65,MATCH($D44,'Monthly CUST'!$D$2:$D$65,0),MATCH(BJ$1,'Monthly CUST'!$N$1:$CG$1,0))),IF($J44="UPC Growth Rate",((AX44/INDEX('Monthly CUST'!$N$2:$CG$65,MATCH($D44,'Monthly CUST'!$D$2:$D$65,0),MATCH(AX$1,'Monthly CUST'!$N$1:$CG$1,0)))*(1+$L44)*INDEX('Monthly CUST'!$N$2:$CG$65,MATCH($D44,'Monthly CUST'!$D$2:$D$65,0),MATCH(BJ$1,'Monthly CUST'!$N$1:$CG$1,0))),IF($J44="Modeled UPC",INDEX('Monthly CUST'!$N$2:$CG$65,MATCH($D44,'Monthly CUST'!$D$2:$D$65,0),MATCH(BJ$1,'Monthly CUST'!$N$1:$CG$1,0))/12*$M44,IF($J44="Base Period",AX44,IF($J44="Adjusted",SUMIF('Input 15_Fcst Inputs'!$A:$A,$D44,'Input 15_Fcst Inputs'!$G:$G)/12))))),0)</f>
        <v>234.62212019515354</v>
      </c>
      <c r="BK44" s="483">
        <f>IFERROR(IF($J44="Historical Average",INDEX('Monthly UPC'!$CM$2:$DJ$65,MATCH($D44,'Monthly UPC'!$D$2:$D$65,0),MATCH(BK$1,'Monthly UPC'!$CM$1:$DJ$1))*(INDEX('Monthly CUST'!$N$2:$CG$65,MATCH($D44,'Monthly CUST'!$D$2:$D$65,0),MATCH(BK$1,'Monthly CUST'!$N$1:$CG$1,0))),IF($J44="UPC Growth Rate",((AY44/INDEX('Monthly CUST'!$N$2:$CG$65,MATCH($D44,'Monthly CUST'!$D$2:$D$65,0),MATCH(AY$1,'Monthly CUST'!$N$1:$CG$1,0)))*(1+$L44)*INDEX('Monthly CUST'!$N$2:$CG$65,MATCH($D44,'Monthly CUST'!$D$2:$D$65,0),MATCH(BK$1,'Monthly CUST'!$N$1:$CG$1,0))),IF($J44="Modeled UPC",INDEX('Monthly CUST'!$N$2:$CG$65,MATCH($D44,'Monthly CUST'!$D$2:$D$65,0),MATCH(BK$1,'Monthly CUST'!$N$1:$CG$1,0))/12*$M44,IF($J44="Base Period",AY44,IF($J44="Adjusted",SUMIF('Input 15_Fcst Inputs'!$A:$A,$D44,'Input 15_Fcst Inputs'!$G:$G)/12))))),0)</f>
        <v>195.04505671078948</v>
      </c>
      <c r="BL44" s="483">
        <f>IFERROR(IF($J44="Historical Average",INDEX('Monthly UPC'!$CM$2:$DJ$65,MATCH($D44,'Monthly UPC'!$D$2:$D$65,0),MATCH(BL$1,'Monthly UPC'!$CM$1:$DJ$1))*(INDEX('Monthly CUST'!$N$2:$CG$65,MATCH($D44,'Monthly CUST'!$D$2:$D$65,0),MATCH(BL$1,'Monthly CUST'!$N$1:$CG$1,0))),IF($J44="UPC Growth Rate",((AZ44/INDEX('Monthly CUST'!$N$2:$CG$65,MATCH($D44,'Monthly CUST'!$D$2:$D$65,0),MATCH(AZ$1,'Monthly CUST'!$N$1:$CG$1,0)))*(1+$L44)*INDEX('Monthly CUST'!$N$2:$CG$65,MATCH($D44,'Monthly CUST'!$D$2:$D$65,0),MATCH(BL$1,'Monthly CUST'!$N$1:$CG$1,0))),IF($J44="Modeled UPC",INDEX('Monthly CUST'!$N$2:$CG$65,MATCH($D44,'Monthly CUST'!$D$2:$D$65,0),MATCH(BL$1,'Monthly CUST'!$N$1:$CG$1,0))/12*$M44,IF($J44="Base Period",AZ44,IF($J44="Adjusted",SUMIF('Input 15_Fcst Inputs'!$A:$A,$D44,'Input 15_Fcst Inputs'!$G:$G)/12))))),0)</f>
        <v>206.03292661477738</v>
      </c>
      <c r="BM44" s="483">
        <f>IFERROR(IF($J44="Historical Average",INDEX('Monthly UPC'!$CM$2:$DJ$65,MATCH($D44,'Monthly UPC'!$D$2:$D$65,0),MATCH(BM$1,'Monthly UPC'!$CM$1:$DJ$1))*(INDEX('Monthly CUST'!$N$2:$CG$65,MATCH($D44,'Monthly CUST'!$D$2:$D$65,0),MATCH(BM$1,'Monthly CUST'!$N$1:$CG$1,0))),IF($J44="UPC Growth Rate",((BA44/INDEX('Monthly CUST'!$N$2:$CG$65,MATCH($D44,'Monthly CUST'!$D$2:$D$65,0),MATCH(BA$1,'Monthly CUST'!$N$1:$CG$1,0)))*(1+$L44)*INDEX('Monthly CUST'!$N$2:$CG$65,MATCH($D44,'Monthly CUST'!$D$2:$D$65,0),MATCH(BM$1,'Monthly CUST'!$N$1:$CG$1,0))),IF($J44="Modeled UPC",INDEX('Monthly CUST'!$N$2:$CG$65,MATCH($D44,'Monthly CUST'!$D$2:$D$65,0),MATCH(BM$1,'Monthly CUST'!$N$1:$CG$1,0))/12*$M44,IF($J44="Base Period",BA44,IF($J44="Adjusted",SUMIF('Input 15_Fcst Inputs'!$A:$A,$D44,'Input 15_Fcst Inputs'!$G:$G)/12))))),0)</f>
        <v>262.00886763509322</v>
      </c>
      <c r="BN44" s="483">
        <f>IFERROR(IF($J44="Historical Average",INDEX('Monthly UPC'!$CM$2:$DJ$65,MATCH($D44,'Monthly UPC'!$D$2:$D$65,0),MATCH(BN$1,'Monthly UPC'!$CM$1:$DJ$1))*(INDEX('Monthly CUST'!$N$2:$CG$65,MATCH($D44,'Monthly CUST'!$D$2:$D$65,0),MATCH(BN$1,'Monthly CUST'!$N$1:$CG$1,0))),IF($J44="UPC Growth Rate",((BB44/INDEX('Monthly CUST'!$N$2:$CG$65,MATCH($D44,'Monthly CUST'!$D$2:$D$65,0),MATCH(BB$1,'Monthly CUST'!$N$1:$CG$1,0)))*(1+$L44)*INDEX('Monthly CUST'!$N$2:$CG$65,MATCH($D44,'Monthly CUST'!$D$2:$D$65,0),MATCH(BN$1,'Monthly CUST'!$N$1:$CG$1,0))),IF($J44="Modeled UPC",INDEX('Monthly CUST'!$N$2:$CG$65,MATCH($D44,'Monthly CUST'!$D$2:$D$65,0),MATCH(BN$1,'Monthly CUST'!$N$1:$CG$1,0))/12*$M44,IF($J44="Base Period",BB44,IF($J44="Adjusted",SUMIF('Input 15_Fcst Inputs'!$A:$A,$D44,'Input 15_Fcst Inputs'!$G:$G)/12))))),0)</f>
        <v>217.75677648403246</v>
      </c>
      <c r="BO44" s="483">
        <f>IFERROR(IF($J44="Historical Average",INDEX('Monthly UPC'!$CM$2:$DJ$65,MATCH($D44,'Monthly UPC'!$D$2:$D$65,0),MATCH(BO$1,'Monthly UPC'!$CM$1:$DJ$1))*(INDEX('Monthly CUST'!$N$2:$CG$65,MATCH($D44,'Monthly CUST'!$D$2:$D$65,0),MATCH(BO$1,'Monthly CUST'!$N$1:$CG$1,0))),IF($J44="UPC Growth Rate",((BC44/INDEX('Monthly CUST'!$N$2:$CG$65,MATCH($D44,'Monthly CUST'!$D$2:$D$65,0),MATCH(BC$1,'Monthly CUST'!$N$1:$CG$1,0)))*(1+$L44)*INDEX('Monthly CUST'!$N$2:$CG$65,MATCH($D44,'Monthly CUST'!$D$2:$D$65,0),MATCH(BO$1,'Monthly CUST'!$N$1:$CG$1,0))),IF($J44="Modeled UPC",INDEX('Monthly CUST'!$N$2:$CG$65,MATCH($D44,'Monthly CUST'!$D$2:$D$65,0),MATCH(BO$1,'Monthly CUST'!$N$1:$CG$1,0))/12*$M44,IF($J44="Base Period",BC44,IF($J44="Adjusted",SUMIF('Input 15_Fcst Inputs'!$A:$A,$D44,'Input 15_Fcst Inputs'!$G:$G)/12))))),0)</f>
        <v>242.1374085728811</v>
      </c>
      <c r="BP44" s="483">
        <f>IFERROR(IF($J44="Historical Average",INDEX('Monthly UPC'!$CM$2:$DJ$65,MATCH($D44,'Monthly UPC'!$D$2:$D$65,0),MATCH(BP$1,'Monthly UPC'!$CM$1:$DJ$1))*(INDEX('Monthly CUST'!$N$2:$CG$65,MATCH($D44,'Monthly CUST'!$D$2:$D$65,0),MATCH(BP$1,'Monthly CUST'!$N$1:$CG$1,0))),IF($J44="UPC Growth Rate",((BD44/INDEX('Monthly CUST'!$N$2:$CG$65,MATCH($D44,'Monthly CUST'!$D$2:$D$65,0),MATCH(BD$1,'Monthly CUST'!$N$1:$CG$1,0)))*(1+$L44)*INDEX('Monthly CUST'!$N$2:$CG$65,MATCH($D44,'Monthly CUST'!$D$2:$D$65,0),MATCH(BP$1,'Monthly CUST'!$N$1:$CG$1,0))),IF($J44="Modeled UPC",INDEX('Monthly CUST'!$N$2:$CG$65,MATCH($D44,'Monthly CUST'!$D$2:$D$65,0),MATCH(BP$1,'Monthly CUST'!$N$1:$CG$1,0))/12*$M44,IF($J44="Base Period",BD44,IF($J44="Adjusted",SUMIF('Input 15_Fcst Inputs'!$A:$A,$D44,'Input 15_Fcst Inputs'!$G:$G)/12))))),0)</f>
        <v>1000.8809231882587</v>
      </c>
      <c r="BQ44" s="483">
        <f>IFERROR(IF($J44="Historical Average",INDEX('Monthly UPC'!$CM$2:$DJ$65,MATCH($D44,'Monthly UPC'!$D$2:$D$65,0),MATCH(BQ$1,'Monthly UPC'!$CM$1:$DJ$1))*(INDEX('Monthly CUST'!$N$2:$CG$65,MATCH($D44,'Monthly CUST'!$D$2:$D$65,0),MATCH(BQ$1,'Monthly CUST'!$N$1:$CG$1,0))),IF($J44="UPC Growth Rate",((BE44/INDEX('Monthly CUST'!$N$2:$CG$65,MATCH($D44,'Monthly CUST'!$D$2:$D$65,0),MATCH(BE$1,'Monthly CUST'!$N$1:$CG$1,0)))*(1+$L44)*INDEX('Monthly CUST'!$N$2:$CG$65,MATCH($D44,'Monthly CUST'!$D$2:$D$65,0),MATCH(BQ$1,'Monthly CUST'!$N$1:$CG$1,0))),IF($J44="Modeled UPC",INDEX('Monthly CUST'!$N$2:$CG$65,MATCH($D44,'Monthly CUST'!$D$2:$D$65,0),MATCH(BQ$1,'Monthly CUST'!$N$1:$CG$1,0))/12*$M44,IF($J44="Base Period",BE44,IF($J44="Adjusted",SUMIF('Input 15_Fcst Inputs'!$A:$A,$D44,'Input 15_Fcst Inputs'!$G:$G)/12))))),0)</f>
        <v>198.37251542699715</v>
      </c>
      <c r="BR44" s="483">
        <f>IFERROR(IF($J44="Historical Average",INDEX('Monthly UPC'!$CM$2:$DJ$65,MATCH($D44,'Monthly UPC'!$D$2:$D$65,0),MATCH(BR$1,'Monthly UPC'!$CM$1:$DJ$1))*(INDEX('Monthly CUST'!$N$2:$CG$65,MATCH($D44,'Monthly CUST'!$D$2:$D$65,0),MATCH(BR$1,'Monthly CUST'!$N$1:$CG$1,0))),IF($J44="UPC Growth Rate",((BF44/INDEX('Monthly CUST'!$N$2:$CG$65,MATCH($D44,'Monthly CUST'!$D$2:$D$65,0),MATCH(BF$1,'Monthly CUST'!$N$1:$CG$1,0)))*(1+$L44)*INDEX('Monthly CUST'!$N$2:$CG$65,MATCH($D44,'Monthly CUST'!$D$2:$D$65,0),MATCH(BR$1,'Monthly CUST'!$N$1:$CG$1,0))),IF($J44="Modeled UPC",INDEX('Monthly CUST'!$N$2:$CG$65,MATCH($D44,'Monthly CUST'!$D$2:$D$65,0),MATCH(BR$1,'Monthly CUST'!$N$1:$CG$1,0))/12*$M44,IF($J44="Base Period",BF44,IF($J44="Adjusted",SUMIF('Input 15_Fcst Inputs'!$A:$A,$D44,'Input 15_Fcst Inputs'!$G:$G)/12))))),0)</f>
        <v>192.55723710988659</v>
      </c>
      <c r="BS44" s="483">
        <f>IFERROR(IF($J44="Historical Average",INDEX('Monthly UPC'!$CM$2:$DJ$65,MATCH($D44,'Monthly UPC'!$D$2:$D$65,0),MATCH(BS$1,'Monthly UPC'!$CM$1:$DJ$1))*(INDEX('Monthly CUST'!$N$2:$CG$65,MATCH($D44,'Monthly CUST'!$D$2:$D$65,0),MATCH(BS$1,'Monthly CUST'!$N$1:$CG$1,0))),IF($J44="UPC Growth Rate",((BG44/INDEX('Monthly CUST'!$N$2:$CG$65,MATCH($D44,'Monthly CUST'!$D$2:$D$65,0),MATCH(BG$1,'Monthly CUST'!$N$1:$CG$1,0)))*(1+$L44)*INDEX('Monthly CUST'!$N$2:$CG$65,MATCH($D44,'Monthly CUST'!$D$2:$D$65,0),MATCH(BS$1,'Monthly CUST'!$N$1:$CG$1,0))),IF($J44="Modeled UPC",INDEX('Monthly CUST'!$N$2:$CG$65,MATCH($D44,'Monthly CUST'!$D$2:$D$65,0),MATCH(BS$1,'Monthly CUST'!$N$1:$CG$1,0))/12*$M44,IF($J44="Base Period",BG44,IF($J44="Adjusted",SUMIF('Input 15_Fcst Inputs'!$A:$A,$D44,'Input 15_Fcst Inputs'!$G:$G)/12))))),0)</f>
        <v>201.35789894808067</v>
      </c>
      <c r="BT44" s="483">
        <f>IFERROR(IF($J44="Historical Average",INDEX('Monthly UPC'!$CM$2:$DJ$65,MATCH($D44,'Monthly UPC'!$D$2:$D$65,0),MATCH(BT$1,'Monthly UPC'!$CM$1:$DJ$1))*(INDEX('Monthly CUST'!$N$2:$CG$65,MATCH($D44,'Monthly CUST'!$D$2:$D$65,0),MATCH(BT$1,'Monthly CUST'!$N$1:$CG$1,0))),IF($J44="UPC Growth Rate",((BH44/INDEX('Monthly CUST'!$N$2:$CG$65,MATCH($D44,'Monthly CUST'!$D$2:$D$65,0),MATCH(BH$1,'Monthly CUST'!$N$1:$CG$1,0)))*(1+$L44)*INDEX('Monthly CUST'!$N$2:$CG$65,MATCH($D44,'Monthly CUST'!$D$2:$D$65,0),MATCH(BT$1,'Monthly CUST'!$N$1:$CG$1,0))),IF($J44="Modeled UPC",INDEX('Monthly CUST'!$N$2:$CG$65,MATCH($D44,'Monthly CUST'!$D$2:$D$65,0),MATCH(BT$1,'Monthly CUST'!$N$1:$CG$1,0))/12*$M44,IF($J44="Base Period",BH44,IF($J44="Adjusted",SUMIF('Input 15_Fcst Inputs'!$A:$A,$D44,'Input 15_Fcst Inputs'!$G:$G)/12))))),0)</f>
        <v>193.78041508033047</v>
      </c>
      <c r="BU44" s="483">
        <f>IFERROR(IF($J44="Historical Average",INDEX('Monthly UPC'!$CM$2:$DJ$65,MATCH($D44,'Monthly UPC'!$D$2:$D$65,0),MATCH(BU$1,'Monthly UPC'!$CM$1:$DJ$1))*(INDEX('Monthly CUST'!$N$2:$CG$65,MATCH($D44,'Monthly CUST'!$D$2:$D$65,0),MATCH(BU$1,'Monthly CUST'!$N$1:$CG$1,0))),IF($J44="UPC Growth Rate",((BI44/INDEX('Monthly CUST'!$N$2:$CG$65,MATCH($D44,'Monthly CUST'!$D$2:$D$65,0),MATCH(BI$1,'Monthly CUST'!$N$1:$CG$1,0)))*(1+$L44)*INDEX('Monthly CUST'!$N$2:$CG$65,MATCH($D44,'Monthly CUST'!$D$2:$D$65,0),MATCH(BU$1,'Monthly CUST'!$N$1:$CG$1,0))),IF($J44="Modeled UPC",INDEX('Monthly CUST'!$N$2:$CG$65,MATCH($D44,'Monthly CUST'!$D$2:$D$65,0),MATCH(BU$1,'Monthly CUST'!$N$1:$CG$1,0))/12*$M44,IF($J44="Base Period",BI44,IF($J44="Adjusted",SUMIF('Input 15_Fcst Inputs'!$A:$A,$D44,'Input 15_Fcst Inputs'!$G:$G)/12))))),0)</f>
        <v>257.0228625182836</v>
      </c>
      <c r="BV44" s="483">
        <f>IFERROR(IF($J44="Historical Average",INDEX('Monthly UPC'!$CM$2:$DJ$65,MATCH($D44,'Monthly UPC'!$D$2:$D$65,0),MATCH(BV$1,'Monthly UPC'!$CM$1:$DJ$1))*(INDEX('Monthly CUST'!$N$2:$CG$65,MATCH($D44,'Monthly CUST'!$D$2:$D$65,0),MATCH(BV$1,'Monthly CUST'!$N$1:$CG$1,0))),IF($J44="UPC Growth Rate",((BJ44/INDEX('Monthly CUST'!$N$2:$CG$65,MATCH($D44,'Monthly CUST'!$D$2:$D$65,0),MATCH(BJ$1,'Monthly CUST'!$N$1:$CG$1,0)))*(1+$L44)*INDEX('Monthly CUST'!$N$2:$CG$65,MATCH($D44,'Monthly CUST'!$D$2:$D$65,0),MATCH(BV$1,'Monthly CUST'!$N$1:$CG$1,0))),IF($J44="Modeled UPC",INDEX('Monthly CUST'!$N$2:$CG$65,MATCH($D44,'Monthly CUST'!$D$2:$D$65,0),MATCH(BV$1,'Monthly CUST'!$N$1:$CG$1,0))/12*$M44,IF($J44="Base Period",BJ44,IF($J44="Adjusted",SUMIF('Input 15_Fcst Inputs'!$A:$A,$D44,'Input 15_Fcst Inputs'!$G:$G)/12))))),0)</f>
        <v>243.20729559454395</v>
      </c>
      <c r="BW44" s="483">
        <f>IFERROR(IF($J44="Historical Average",INDEX('Monthly UPC'!$CM$2:$DJ$65,MATCH($D44,'Monthly UPC'!$D$2:$D$65,0),MATCH(BW$1,'Monthly UPC'!$CM$1:$DJ$1))*(INDEX('Monthly CUST'!$N$2:$CG$65,MATCH($D44,'Monthly CUST'!$D$2:$D$65,0),MATCH(BW$1,'Monthly CUST'!$N$1:$CG$1,0))),IF($J44="UPC Growth Rate",((BK44/INDEX('Monthly CUST'!$N$2:$CG$65,MATCH($D44,'Monthly CUST'!$D$2:$D$65,0),MATCH(BK$1,'Monthly CUST'!$N$1:$CG$1,0)))*(1+$L44)*INDEX('Monthly CUST'!$N$2:$CG$65,MATCH($D44,'Monthly CUST'!$D$2:$D$65,0),MATCH(BW$1,'Monthly CUST'!$N$1:$CG$1,0))),IF($J44="Modeled UPC",INDEX('Monthly CUST'!$N$2:$CG$65,MATCH($D44,'Monthly CUST'!$D$2:$D$65,0),MATCH(BW$1,'Monthly CUST'!$N$1:$CG$1,0))/12*$M44,IF($J44="Base Period",BK44,IF($J44="Adjusted",SUMIF('Input 15_Fcst Inputs'!$A:$A,$D44,'Input 15_Fcst Inputs'!$G:$G)/12))))),0)</f>
        <v>202.18204797680212</v>
      </c>
      <c r="BX44" s="483">
        <f>IFERROR(IF($J44="Historical Average",INDEX('Monthly UPC'!$CM$2:$DJ$65,MATCH($D44,'Monthly UPC'!$D$2:$D$65,0),MATCH(BX$1,'Monthly UPC'!$CM$1:$DJ$1))*(INDEX('Monthly CUST'!$N$2:$CG$65,MATCH($D44,'Monthly CUST'!$D$2:$D$65,0),MATCH(BX$1,'Monthly CUST'!$N$1:$CG$1,0))),IF($J44="UPC Growth Rate",((BL44/INDEX('Monthly CUST'!$N$2:$CG$65,MATCH($D44,'Monthly CUST'!$D$2:$D$65,0),MATCH(BL$1,'Monthly CUST'!$N$1:$CG$1,0)))*(1+$L44)*INDEX('Monthly CUST'!$N$2:$CG$65,MATCH($D44,'Monthly CUST'!$D$2:$D$65,0),MATCH(BX$1,'Monthly CUST'!$N$1:$CG$1,0))),IF($J44="Modeled UPC",INDEX('Monthly CUST'!$N$2:$CG$65,MATCH($D44,'Monthly CUST'!$D$2:$D$65,0),MATCH(BX$1,'Monthly CUST'!$N$1:$CG$1,0))/12*$M44,IF($J44="Base Period",BL44,IF($J44="Adjusted",SUMIF('Input 15_Fcst Inputs'!$A:$A,$D44,'Input 15_Fcst Inputs'!$G:$G)/12))))),0)</f>
        <v>213.57198052651566</v>
      </c>
      <c r="BY44" s="483">
        <f>IFERROR(IF($J44="Historical Average",INDEX('Monthly UPC'!$CM$2:$DJ$65,MATCH($D44,'Monthly UPC'!$D$2:$D$65,0),MATCH(BY$1,'Monthly UPC'!$CM$1:$DJ$1))*(INDEX('Monthly CUST'!$N$2:$CG$65,MATCH($D44,'Monthly CUST'!$D$2:$D$65,0),MATCH(BY$1,'Monthly CUST'!$N$1:$CG$1,0))),IF($J44="UPC Growth Rate",((BM44/INDEX('Monthly CUST'!$N$2:$CG$65,MATCH($D44,'Monthly CUST'!$D$2:$D$65,0),MATCH(BM$1,'Monthly CUST'!$N$1:$CG$1,0)))*(1+$L44)*INDEX('Monthly CUST'!$N$2:$CG$65,MATCH($D44,'Monthly CUST'!$D$2:$D$65,0),MATCH(BY$1,'Monthly CUST'!$N$1:$CG$1,0))),IF($J44="Modeled UPC",INDEX('Monthly CUST'!$N$2:$CG$65,MATCH($D44,'Monthly CUST'!$D$2:$D$65,0),MATCH(BY$1,'Monthly CUST'!$N$1:$CG$1,0))/12*$M44,IF($J44="Base Period",BM44,IF($J44="Adjusted",SUMIF('Input 15_Fcst Inputs'!$A:$A,$D44,'Input 15_Fcst Inputs'!$G:$G)/12))))),0)</f>
        <v>271.59616521373567</v>
      </c>
      <c r="BZ44" s="483">
        <f>IFERROR(IF($J44="Historical Average",INDEX('Monthly UPC'!$CM$2:$DJ$65,MATCH($D44,'Monthly UPC'!$D$2:$D$65,0),MATCH(BZ$1,'Monthly UPC'!$CM$1:$DJ$1))*(INDEX('Monthly CUST'!$N$2:$CG$65,MATCH($D44,'Monthly CUST'!$D$2:$D$65,0),MATCH(BZ$1,'Monthly CUST'!$N$1:$CG$1,0))),IF($J44="UPC Growth Rate",((BN44/INDEX('Monthly CUST'!$N$2:$CG$65,MATCH($D44,'Monthly CUST'!$D$2:$D$65,0),MATCH(BN$1,'Monthly CUST'!$N$1:$CG$1,0)))*(1+$L44)*INDEX('Monthly CUST'!$N$2:$CG$65,MATCH($D44,'Monthly CUST'!$D$2:$D$65,0),MATCH(BZ$1,'Monthly CUST'!$N$1:$CG$1,0))),IF($J44="Modeled UPC",INDEX('Monthly CUST'!$N$2:$CG$65,MATCH($D44,'Monthly CUST'!$D$2:$D$65,0),MATCH(BZ$1,'Monthly CUST'!$N$1:$CG$1,0))/12*$M44,IF($J44="Base Period",BN44,IF($J44="Adjusted",SUMIF('Input 15_Fcst Inputs'!$A:$A,$D44,'Input 15_Fcst Inputs'!$G:$G)/12))))),0)</f>
        <v>225.72482365267231</v>
      </c>
      <c r="CA44" s="483">
        <f>IFERROR(IF($J44="Historical Average",INDEX('Monthly UPC'!$CM$2:$DJ$65,MATCH($D44,'Monthly UPC'!$D$2:$D$65,0),MATCH(CA$1,'Monthly UPC'!$CM$1:$DJ$1))*(INDEX('Monthly CUST'!$N$2:$CG$65,MATCH($D44,'Monthly CUST'!$D$2:$D$65,0),MATCH(CA$1,'Monthly CUST'!$N$1:$CG$1,0))),IF($J44="UPC Growth Rate",((BO44/INDEX('Monthly CUST'!$N$2:$CG$65,MATCH($D44,'Monthly CUST'!$D$2:$D$65,0),MATCH(BO$1,'Monthly CUST'!$N$1:$CG$1,0)))*(1+$L44)*INDEX('Monthly CUST'!$N$2:$CG$65,MATCH($D44,'Monthly CUST'!$D$2:$D$65,0),MATCH(CA$1,'Monthly CUST'!$N$1:$CG$1,0))),IF($J44="Modeled UPC",INDEX('Monthly CUST'!$N$2:$CG$65,MATCH($D44,'Monthly CUST'!$D$2:$D$65,0),MATCH(CA$1,'Monthly CUST'!$N$1:$CG$1,0))/12*$M44,IF($J44="Base Period",BO44,IF($J44="Adjusted",SUMIF('Input 15_Fcst Inputs'!$A:$A,$D44,'Input 15_Fcst Inputs'!$G:$G)/12))))),0)</f>
        <v>250.99757964977252</v>
      </c>
      <c r="CB44" s="483">
        <f>IFERROR(IF($J44="Historical Average",INDEX('Monthly UPC'!$CM$2:$DJ$65,MATCH($D44,'Monthly UPC'!$D$2:$D$65,0),MATCH(CB$1,'Monthly UPC'!$CM$1:$DJ$1))*(INDEX('Monthly CUST'!$N$2:$CG$65,MATCH($D44,'Monthly CUST'!$D$2:$D$65,0),MATCH(CB$1,'Monthly CUST'!$N$1:$CG$1,0))),IF($J44="UPC Growth Rate",((BP44/INDEX('Monthly CUST'!$N$2:$CG$65,MATCH($D44,'Monthly CUST'!$D$2:$D$65,0),MATCH(BP$1,'Monthly CUST'!$N$1:$CG$1,0)))*(1+$L44)*INDEX('Monthly CUST'!$N$2:$CG$65,MATCH($D44,'Monthly CUST'!$D$2:$D$65,0),MATCH(CB$1,'Monthly CUST'!$N$1:$CG$1,0))),IF($J44="Modeled UPC",INDEX('Monthly CUST'!$N$2:$CG$65,MATCH($D44,'Monthly CUST'!$D$2:$D$65,0),MATCH(CB$1,'Monthly CUST'!$N$1:$CG$1,0))/12*$M44,IF($J44="Base Period",BP44,IF($J44="Adjusted",SUMIF('Input 15_Fcst Inputs'!$A:$A,$D44,'Input 15_Fcst Inputs'!$G:$G)/12))))),0)</f>
        <v>1037.5046578656531</v>
      </c>
      <c r="CC44" s="483">
        <f>IFERROR(IF($J44="Historical Average",INDEX('Monthly UPC'!$CM$2:$DJ$65,MATCH($D44,'Monthly UPC'!$D$2:$D$65,0),MATCH(CC$1,'Monthly UPC'!$CM$1:$DJ$1))*(INDEX('Monthly CUST'!$N$2:$CG$65,MATCH($D44,'Monthly CUST'!$D$2:$D$65,0),MATCH(CC$1,'Monthly CUST'!$N$1:$CG$1,0))),IF($J44="UPC Growth Rate",((BQ44/INDEX('Monthly CUST'!$N$2:$CG$65,MATCH($D44,'Monthly CUST'!$D$2:$D$65,0),MATCH(BQ$1,'Monthly CUST'!$N$1:$CG$1,0)))*(1+$L44)*INDEX('Monthly CUST'!$N$2:$CG$65,MATCH($D44,'Monthly CUST'!$D$2:$D$65,0),MATCH(CC$1,'Monthly CUST'!$N$1:$CG$1,0))),IF($J44="Modeled UPC",INDEX('Monthly CUST'!$N$2:$CG$65,MATCH($D44,'Monthly CUST'!$D$2:$D$65,0),MATCH(CC$1,'Monthly CUST'!$N$1:$CG$1,0))/12*$M44,IF($J44="Base Period",BQ44,IF($J44="Adjusted",SUMIF('Input 15_Fcst Inputs'!$A:$A,$D44,'Input 15_Fcst Inputs'!$G:$G)/12))))),0)</f>
        <v>205.63126339987573</v>
      </c>
      <c r="CD44" s="483">
        <f>IFERROR(IF($J44="Historical Average",INDEX('Monthly UPC'!$CM$2:$DJ$65,MATCH($D44,'Monthly UPC'!$D$2:$D$65,0),MATCH(CD$1,'Monthly UPC'!$CM$1:$DJ$1))*(INDEX('Monthly CUST'!$N$2:$CG$65,MATCH($D44,'Monthly CUST'!$D$2:$D$65,0),MATCH(CD$1,'Monthly CUST'!$N$1:$CG$1,0))),IF($J44="UPC Growth Rate",((BR44/INDEX('Monthly CUST'!$N$2:$CG$65,MATCH($D44,'Monthly CUST'!$D$2:$D$65,0),MATCH(BR$1,'Monthly CUST'!$N$1:$CG$1,0)))*(1+$L44)*INDEX('Monthly CUST'!$N$2:$CG$65,MATCH($D44,'Monthly CUST'!$D$2:$D$65,0),MATCH(CD$1,'Monthly CUST'!$N$1:$CG$1,0))),IF($J44="Modeled UPC",INDEX('Monthly CUST'!$N$2:$CG$65,MATCH($D44,'Monthly CUST'!$D$2:$D$65,0),MATCH(CD$1,'Monthly CUST'!$N$1:$CG$1,0))/12*$M44,IF($J44="Base Period",BR44,IF($J44="Adjusted",SUMIF('Input 15_Fcst Inputs'!$A:$A,$D44,'Input 15_Fcst Inputs'!$G:$G)/12))))),0)</f>
        <v>199.60319532403676</v>
      </c>
      <c r="CE44" s="483">
        <f>IFERROR(IF($J44="Historical Average",INDEX('Monthly UPC'!$CM$2:$DJ$65,MATCH($D44,'Monthly UPC'!$D$2:$D$65,0),MATCH(CE$1,'Monthly UPC'!$CM$1:$DJ$1))*(INDEX('Monthly CUST'!$N$2:$CG$65,MATCH($D44,'Monthly CUST'!$D$2:$D$65,0),MATCH(CE$1,'Monthly CUST'!$N$1:$CG$1,0))),IF($J44="UPC Growth Rate",((BS44/INDEX('Monthly CUST'!$N$2:$CG$65,MATCH($D44,'Monthly CUST'!$D$2:$D$65,0),MATCH(BS$1,'Monthly CUST'!$N$1:$CG$1,0)))*(1+$L44)*INDEX('Monthly CUST'!$N$2:$CG$65,MATCH($D44,'Monthly CUST'!$D$2:$D$65,0),MATCH(CE$1,'Monthly CUST'!$N$1:$CG$1,0))),IF($J44="Modeled UPC",INDEX('Monthly CUST'!$N$2:$CG$65,MATCH($D44,'Monthly CUST'!$D$2:$D$65,0),MATCH(CE$1,'Monthly CUST'!$N$1:$CG$1,0))/12*$M44,IF($J44="Base Period",BS44,IF($J44="Adjusted",SUMIF('Input 15_Fcst Inputs'!$A:$A,$D44,'Input 15_Fcst Inputs'!$G:$G)/12))))),0)</f>
        <v>208.72588658319413</v>
      </c>
      <c r="CF44" s="483">
        <f>IFERROR(IF($J44="Historical Average",INDEX('Monthly UPC'!$CM$2:$DJ$65,MATCH($D44,'Monthly UPC'!$D$2:$D$65,0),MATCH(CF$1,'Monthly UPC'!$CM$1:$DJ$1))*(INDEX('Monthly CUST'!$N$2:$CG$65,MATCH($D44,'Monthly CUST'!$D$2:$D$65,0),MATCH(CF$1,'Monthly CUST'!$N$1:$CG$1,0))),IF($J44="UPC Growth Rate",((BT44/INDEX('Monthly CUST'!$N$2:$CG$65,MATCH($D44,'Monthly CUST'!$D$2:$D$65,0),MATCH(BT$1,'Monthly CUST'!$N$1:$CG$1,0)))*(1+$L44)*INDEX('Monthly CUST'!$N$2:$CG$65,MATCH($D44,'Monthly CUST'!$D$2:$D$65,0),MATCH(CF$1,'Monthly CUST'!$N$1:$CG$1,0))),IF($J44="Modeled UPC",INDEX('Monthly CUST'!$N$2:$CG$65,MATCH($D44,'Monthly CUST'!$D$2:$D$65,0),MATCH(CF$1,'Monthly CUST'!$N$1:$CG$1,0))/12*$M44,IF($J44="Base Period",BT44,IF($J44="Adjusted",SUMIF('Input 15_Fcst Inputs'!$A:$A,$D44,'Input 15_Fcst Inputs'!$G:$G)/12))))),0)</f>
        <v>200.87113121164637</v>
      </c>
      <c r="CG44" s="483">
        <f>IFERROR(IF($J44="Historical Average",INDEX('Monthly UPC'!$CM$2:$DJ$65,MATCH($D44,'Monthly UPC'!$D$2:$D$65,0),MATCH(CG$1,'Monthly UPC'!$CM$1:$DJ$1))*(INDEX('Monthly CUST'!$N$2:$CG$65,MATCH($D44,'Monthly CUST'!$D$2:$D$65,0),MATCH(CG$1,'Monthly CUST'!$N$1:$CG$1,0))),IF($J44="UPC Growth Rate",((BU44/INDEX('Monthly CUST'!$N$2:$CG$65,MATCH($D44,'Monthly CUST'!$D$2:$D$65,0),MATCH(BU$1,'Monthly CUST'!$N$1:$CG$1,0)))*(1+$L44)*INDEX('Monthly CUST'!$N$2:$CG$65,MATCH($D44,'Monthly CUST'!$D$2:$D$65,0),MATCH(CG$1,'Monthly CUST'!$N$1:$CG$1,0))),IF($J44="Modeled UPC",INDEX('Monthly CUST'!$N$2:$CG$65,MATCH($D44,'Monthly CUST'!$D$2:$D$65,0),MATCH(CG$1,'Monthly CUST'!$N$1:$CG$1,0))/12*$M44,IF($J44="Base Period",BU44,IF($J44="Adjusted",SUMIF('Input 15_Fcst Inputs'!$A:$A,$D44,'Input 15_Fcst Inputs'!$G:$G)/12))))),0)</f>
        <v>266.42771468881836</v>
      </c>
      <c r="CH44" s="197"/>
      <c r="CI44" s="197">
        <f t="shared" si="8"/>
        <v>3246.5299999999997</v>
      </c>
      <c r="CJ44" s="197">
        <f t="shared" si="9"/>
        <v>4452.0999999999995</v>
      </c>
      <c r="CK44" s="197">
        <f t="shared" si="10"/>
        <v>2389.8399999999997</v>
      </c>
      <c r="CL44" s="197">
        <f t="shared" si="11"/>
        <v>3281.4999999999995</v>
      </c>
      <c r="CM44" s="197">
        <f t="shared" si="12"/>
        <v>3401.5750084845645</v>
      </c>
      <c r="CN44" s="197">
        <f t="shared" si="13"/>
        <v>3526.0437416872669</v>
      </c>
      <c r="CP44" s="4">
        <f>SUMIF('Master '!D:D,D44,'Master '!AH:AH)</f>
        <v>3401.575008484564</v>
      </c>
      <c r="CQ44" s="4">
        <f>SUMIF('Master '!D:D,D44,'Master '!AI:AI)</f>
        <v>3526.0437416872664</v>
      </c>
      <c r="CR44" s="197">
        <f t="shared" si="14"/>
        <v>0</v>
      </c>
      <c r="CS44" s="197">
        <f t="shared" si="15"/>
        <v>0</v>
      </c>
      <c r="CT44" t="s">
        <v>287</v>
      </c>
      <c r="CV44" t="str">
        <f>VLOOKUP(G44,'Master '!G:CC,75,FALSE)</f>
        <v>FTS-2</v>
      </c>
    </row>
    <row r="45" spans="1:100">
      <c r="A45" s="53" t="s">
        <v>17</v>
      </c>
      <c r="B45" s="53" t="s">
        <v>993</v>
      </c>
      <c r="C45" s="53" t="s">
        <v>8</v>
      </c>
      <c r="D45" s="53" t="s">
        <v>1254</v>
      </c>
      <c r="E45" s="53" t="str">
        <f>VLOOKUP(D45,'Input 14_Ref Table'!C:D,2,FALSE)</f>
        <v>CR825</v>
      </c>
      <c r="F45" s="143" t="s">
        <v>1286</v>
      </c>
      <c r="G45" s="53" t="str">
        <f>VLOOKUP(D45,'Input 14_Ref Table'!C:I,7,FALSE)</f>
        <v>CFG - FTS-2.1 R</v>
      </c>
      <c r="H45" s="53" t="str">
        <f>VLOOKUP(D45,'Input 14_Ref Table'!C:K,8,FALSE)</f>
        <v>FTS_2.1</v>
      </c>
      <c r="I45" s="53"/>
      <c r="J45" t="str">
        <f>INDEX('Master '!$AD$2:AD$65,MATCH(D45,'Master '!$D$2:$D$65,0))</f>
        <v>UPC Growth Rate</v>
      </c>
      <c r="K45" s="458">
        <f>INDEX('Master '!$N$2:N$65,MATCH(D45,'Master '!$D$2:$D$65,0))</f>
        <v>-2.0400907354704373E-2</v>
      </c>
      <c r="L45" s="137">
        <f>INDEX('Master '!$S$2:S$65,MATCH(D45,'Master '!$D$2:$D$65,0))</f>
        <v>-4.2673976859106559E-2</v>
      </c>
      <c r="M45" s="4">
        <f>INDEX('Master '!$W$2:W$65,MATCH(D45,'Master '!$D$2:$D$65,0))</f>
        <v>871.59467421763247</v>
      </c>
      <c r="N45" s="268">
        <f>SUMIF('Input 16.1_2018VOL-YTD'!$R:$R,$G45,'Input 16.1_2018VOL-YTD'!C:C)</f>
        <v>105553.07</v>
      </c>
      <c r="O45" s="268">
        <f>SUMIF('Input 16.1_2018VOL-YTD'!$R:$R,$G45,'Input 16.1_2018VOL-YTD'!D:D)</f>
        <v>73688.44</v>
      </c>
      <c r="P45" s="268">
        <f>SUMIF('Input 16.1_2018VOL-YTD'!$R:$R,$G45,'Input 16.1_2018VOL-YTD'!E:E)</f>
        <v>88105.15</v>
      </c>
      <c r="Q45" s="268">
        <f>SUMIF('Input 16.1_2018VOL-YTD'!$R:$R,$G45,'Input 16.1_2018VOL-YTD'!F:F)</f>
        <v>80766.690000000104</v>
      </c>
      <c r="R45" s="268">
        <f>SUMIF('Input 16.1_2018VOL-YTD'!$R:$R,$G45,'Input 16.1_2018VOL-YTD'!G:G)</f>
        <v>37682</v>
      </c>
      <c r="S45" s="268">
        <f>SUMIF('Input 16.1_2018VOL-YTD'!$R:$R,$G45,'Input 16.1_2018VOL-YTD'!H:H)</f>
        <v>23055.08</v>
      </c>
      <c r="T45" s="268">
        <f>SUMIF('Input 16.1_2018VOL-YTD'!$R:$R,$G45,'Input 16.1_2018VOL-YTD'!I:I)</f>
        <v>16327</v>
      </c>
      <c r="U45" s="268">
        <f>SUMIF('Input 16.1_2018VOL-YTD'!$R:$R,$G45,'Input 16.1_2018VOL-YTD'!J:J)</f>
        <v>13901.46</v>
      </c>
      <c r="V45" s="268">
        <f>SUMIF('Input 16.1_2018VOL-YTD'!$R:$R,$G45,'Input 16.1_2018VOL-YTD'!K:K)</f>
        <v>14362.68</v>
      </c>
      <c r="W45" s="268">
        <f>SUMIF('Input 16.1_2018VOL-YTD'!$R:$R,$G45,'Input 16.1_2018VOL-YTD'!L:L)</f>
        <v>19010.95</v>
      </c>
      <c r="X45" s="268">
        <f>SUMIF('Input 16.1_2018VOL-YTD'!$R:$R,$G45,'Input 16.1_2018VOL-YTD'!M:M)</f>
        <v>51023.01</v>
      </c>
      <c r="Y45" s="268">
        <f>SUMIF('Input 16.1_2018VOL-YTD'!$R:$R,$G45,'Input 16.1_2018VOL-YTD'!N:N)</f>
        <v>69697.330000000104</v>
      </c>
      <c r="Z45" s="268">
        <f>SUMIF('Input 3.1_2019VOL-YTD'!$R:$R,$G45,'Input 3.1_2019VOL-YTD'!C:C)</f>
        <v>86443.66</v>
      </c>
      <c r="AA45" s="268">
        <f>SUMIF('Input 3.1_2019VOL-YTD'!$R:$R,$G45,'Input 3.1_2019VOL-YTD'!D:D)</f>
        <v>79997.03</v>
      </c>
      <c r="AB45" s="268">
        <f>SUMIF('Input 3.1_2019VOL-YTD'!$R:$R,$G45,'Input 3.1_2019VOL-YTD'!E:E)</f>
        <v>74972.45</v>
      </c>
      <c r="AC45" s="268">
        <f>SUMIF('Input 3.1_2019VOL-YTD'!$R:$R,$G45,'Input 3.1_2019VOL-YTD'!F:F)</f>
        <v>71962.469999999899</v>
      </c>
      <c r="AD45" s="268">
        <f>SUMIF('Input 3.1_2019VOL-YTD'!$R:$R,$G45,'Input 3.1_2019VOL-YTD'!G:G)</f>
        <v>36251.82</v>
      </c>
      <c r="AE45" s="268">
        <f>SUMIF('Input 3.1_2019VOL-YTD'!$R:$R,$G45,'Input 3.1_2019VOL-YTD'!H:H)</f>
        <v>17080.919999999998</v>
      </c>
      <c r="AF45" s="268">
        <f>SUMIF('Input 3.1_2019VOL-YTD'!$R:$R,$G45,'Input 3.1_2019VOL-YTD'!I:I)</f>
        <v>12942.77</v>
      </c>
      <c r="AG45" s="268">
        <f>SUMIF('Input 3.1_2019VOL-YTD'!$R:$R,$G45,'Input 3.1_2019VOL-YTD'!J:J)</f>
        <v>14299.47</v>
      </c>
      <c r="AH45" s="268">
        <f>SUMIF('Input 3.1_2019VOL-YTD'!$R:$R,$G45,'Input 3.1_2019VOL-YTD'!K:K)</f>
        <v>11473.6</v>
      </c>
      <c r="AI45" s="268">
        <f>SUMIF('Input 3.1_2019VOL-YTD'!$R:$R,$G45,'Input 3.1_2019VOL-YTD'!L:L)</f>
        <v>20845.349999999999</v>
      </c>
      <c r="AJ45" s="268">
        <f>SUMIF('Input 3.1_2019VOL-YTD'!$R:$R,$G45,'Input 3.1_2019VOL-YTD'!M:M)</f>
        <v>40054.9</v>
      </c>
      <c r="AK45" s="268">
        <f>SUMIF('Input 3.1_2019VOL-YTD'!$R:$R,$G45,'Input 3.1_2019VOL-YTD'!N:N)</f>
        <v>67812.390000000101</v>
      </c>
      <c r="AL45" s="268">
        <f>SUMIF('Input 4.1_2020VOL-YTD'!$R:$R,$G45,'Input 4.1_2020VOL-YTD'!C:C)</f>
        <v>83012.129999999903</v>
      </c>
      <c r="AM45" s="268">
        <f>SUMIF('Input 4.1_2020VOL-YTD'!$R:$R,$G45,'Input 4.1_2020VOL-YTD'!D:D)</f>
        <v>77089.73</v>
      </c>
      <c r="AN45" s="268">
        <f>SUMIF('Input 4.1_2020VOL-YTD'!$R:$R,$G45,'Input 4.1_2020VOL-YTD'!E:E)</f>
        <v>71926.5799999999</v>
      </c>
      <c r="AO45" s="268">
        <f>SUMIF('Input 4.1_2020VOL-YTD'!$R:$R,$G45,'Input 4.1_2020VOL-YTD'!F:F)</f>
        <v>23127.64</v>
      </c>
      <c r="AP45" s="268">
        <f>SUMIF('Input 4.1_2020VOL-YTD'!$R:$R,$G45,'Input 4.1_2020VOL-YTD'!G:G)</f>
        <v>15532.69</v>
      </c>
      <c r="AQ45" s="268">
        <f>SUMIF('Input 4.1_2020VOL-YTD'!$R:$R,$G45,'Input 4.1_2020VOL-YTD'!H:H)</f>
        <v>11880.63</v>
      </c>
      <c r="AR45" s="268">
        <f>SUMIF('Input 4.1_2020VOL-YTD'!$R:$R,$G45,'Input 4.1_2020VOL-YTD'!I:I)</f>
        <v>12433.83</v>
      </c>
      <c r="AS45" s="268">
        <f>SUMIF('Input 4.1_2020VOL-YTD'!$R:$R,$G45,'Input 4.1_2020VOL-YTD'!J:J)</f>
        <v>9476.7800000000097</v>
      </c>
      <c r="AT45" s="268">
        <f>SUMIF('Input 4.1_2020VOL-YTD'!$R:$R,$G45,'Input 4.1_2020VOL-YTD'!K:K)</f>
        <v>8691.9</v>
      </c>
      <c r="AU45" s="268">
        <f>SUMIF('Input 4.1_2020VOL-YTD'!$R:$R,$G45,'Input 4.1_2020VOL-YTD'!L:L)</f>
        <v>13416.31</v>
      </c>
      <c r="AV45" s="268">
        <f>SUMIF('Input 4.1_2020VOL-YTD'!$R:$R,$G45,'Input 4.1_2020VOL-YTD'!M:M)</f>
        <v>23512.93</v>
      </c>
      <c r="AW45" s="268">
        <f>SUMIF('Input 4.1_2020VOL-YTD'!$R:$R,$G45,'Input 4.1_2020VOL-YTD'!N:N)</f>
        <v>59335.03</v>
      </c>
      <c r="AX45" s="268">
        <f>SUMIF('Input 5.1_2021VOL-YTD'!$R:$R,$G45,'Input 5.1_2021VOL-YTD'!C:C)</f>
        <v>76185.350000000006</v>
      </c>
      <c r="AY45" s="268">
        <f>SUMIF('Input 5.1_2021VOL-YTD'!$R:$R,$G45,'Input 5.1_2021VOL-YTD'!D:D)</f>
        <v>56214.03</v>
      </c>
      <c r="AZ45" s="268">
        <f>SUMIF('Input 5.1_2021VOL-YTD'!$R:$R,$G45,'Input 5.1_2021VOL-YTD'!E:E)</f>
        <v>60855.35</v>
      </c>
      <c r="BA45" s="268">
        <f>SUMIF('Input 5.1_2021VOL-YTD'!$R:$R,$G45,'Input 5.1_2021VOL-YTD'!F:F)</f>
        <v>58452.99</v>
      </c>
      <c r="BB45" s="268">
        <f>SUMIF('Input 5.1_2021VOL-YTD'!$R:$R,$G45,'Input 5.1_2021VOL-YTD'!G:G)</f>
        <v>25803.34</v>
      </c>
      <c r="BC45" s="268">
        <f>SUMIF('Input 5.1_2021VOL-YTD'!$R:$R,$G45,'Input 5.1_2021VOL-YTD'!H:H)</f>
        <v>21460.03</v>
      </c>
      <c r="BD45" s="268">
        <f>SUMIF('Input 5.1_2021VOL-YTD'!$R:$R,$G45,'Input 5.1_2021VOL-YTD'!I:I)</f>
        <v>20096.099999999999</v>
      </c>
      <c r="BE45" s="268">
        <f>SUMIF('Input 5.1_2021VOL-YTD'!$R:$R,$G45,'Input 5.1_2021VOL-YTD'!J:J)</f>
        <v>16457.759999999998</v>
      </c>
      <c r="BF45" s="268">
        <f>SUMIF('Input 5.1_2021VOL-YTD'!$R:$R,$G45,'Input 5.1_2021VOL-YTD'!K:K)</f>
        <v>11747.21</v>
      </c>
      <c r="BG45" s="268">
        <f>SUMIF('Input 5.1_2021VOL-YTD'!$R:$R,$G45,'Input 5.1_2021VOL-YTD'!L:L)</f>
        <v>19821.29</v>
      </c>
      <c r="BH45" s="268">
        <f>SUMIF('Input 5.1_2021VOL-YTD'!$R:$R,$G45,'Input 5.1_2021VOL-YTD'!M:M)</f>
        <v>37219.26</v>
      </c>
      <c r="BI45" s="268">
        <f>SUMIF('Input 5.1_2021VOL-YTD'!$R:$R,$G45,'Input 5.1_2021VOL-YTD'!N:N)</f>
        <v>73275.679999999993</v>
      </c>
      <c r="BJ45" s="483">
        <f>IFERROR(IF($J45="Historical Average",INDEX('Monthly UPC'!$CM$2:$DJ$65,MATCH($D45,'Monthly UPC'!$D$2:$D$65,0),MATCH(BJ$1,'Monthly UPC'!$CM$1:$DJ$1))*(INDEX('Monthly CUST'!$N$2:$CG$65,MATCH($D45,'Monthly CUST'!$D$2:$D$65,0),MATCH(BJ$1,'Monthly CUST'!$N$1:$CG$1,0))),IF($J45="UPC Growth Rate",((AX45/INDEX('Monthly CUST'!$N$2:$CG$65,MATCH($D45,'Monthly CUST'!$D$2:$D$65,0),MATCH(AX$1,'Monthly CUST'!$N$1:$CG$1,0)))*(1+$L45)*INDEX('Monthly CUST'!$N$2:$CG$65,MATCH($D45,'Monthly CUST'!$D$2:$D$65,0),MATCH(BJ$1,'Monthly CUST'!$N$1:$CG$1,0))),IF($J45="Modeled UPC",INDEX('Monthly CUST'!$N$2:$CG$65,MATCH($D45,'Monthly CUST'!$D$2:$D$65,0),MATCH(BJ$1,'Monthly CUST'!$N$1:$CG$1,0))/12*$M45,IF($J45="Base Period",AX45,IF($J45="Adjusted",SUMIF('Input 15_Fcst Inputs'!$A:$A,$D45,'Input 15_Fcst Inputs'!$G:$G)/12))))),0)</f>
        <v>71446.293909894346</v>
      </c>
      <c r="BK45" s="483">
        <f>IFERROR(IF($J45="Historical Average",INDEX('Monthly UPC'!$CM$2:$DJ$65,MATCH($D45,'Monthly UPC'!$D$2:$D$65,0),MATCH(BK$1,'Monthly UPC'!$CM$1:$DJ$1))*(INDEX('Monthly CUST'!$N$2:$CG$65,MATCH($D45,'Monthly CUST'!$D$2:$D$65,0),MATCH(BK$1,'Monthly CUST'!$N$1:$CG$1,0))),IF($J45="UPC Growth Rate",((AY45/INDEX('Monthly CUST'!$N$2:$CG$65,MATCH($D45,'Monthly CUST'!$D$2:$D$65,0),MATCH(AY$1,'Monthly CUST'!$N$1:$CG$1,0)))*(1+$L45)*INDEX('Monthly CUST'!$N$2:$CG$65,MATCH($D45,'Monthly CUST'!$D$2:$D$65,0),MATCH(BK$1,'Monthly CUST'!$N$1:$CG$1,0))),IF($J45="Modeled UPC",INDEX('Monthly CUST'!$N$2:$CG$65,MATCH($D45,'Monthly CUST'!$D$2:$D$65,0),MATCH(BK$1,'Monthly CUST'!$N$1:$CG$1,0))/12*$M45,IF($J45="Base Period",AY45,IF($J45="Adjusted",SUMIF('Input 15_Fcst Inputs'!$A:$A,$D45,'Input 15_Fcst Inputs'!$G:$G)/12))))),0)</f>
        <v>52717.275817983616</v>
      </c>
      <c r="BL45" s="483">
        <f>IFERROR(IF($J45="Historical Average",INDEX('Monthly UPC'!$CM$2:$DJ$65,MATCH($D45,'Monthly UPC'!$D$2:$D$65,0),MATCH(BL$1,'Monthly UPC'!$CM$1:$DJ$1))*(INDEX('Monthly CUST'!$N$2:$CG$65,MATCH($D45,'Monthly CUST'!$D$2:$D$65,0),MATCH(BL$1,'Monthly CUST'!$N$1:$CG$1,0))),IF($J45="UPC Growth Rate",((AZ45/INDEX('Monthly CUST'!$N$2:$CG$65,MATCH($D45,'Monthly CUST'!$D$2:$D$65,0),MATCH(AZ$1,'Monthly CUST'!$N$1:$CG$1,0)))*(1+$L45)*INDEX('Monthly CUST'!$N$2:$CG$65,MATCH($D45,'Monthly CUST'!$D$2:$D$65,0),MATCH(BL$1,'Monthly CUST'!$N$1:$CG$1,0))),IF($J45="Modeled UPC",INDEX('Monthly CUST'!$N$2:$CG$65,MATCH($D45,'Monthly CUST'!$D$2:$D$65,0),MATCH(BL$1,'Monthly CUST'!$N$1:$CG$1,0))/12*$M45,IF($J45="Base Period",AZ45,IF($J45="Adjusted",SUMIF('Input 15_Fcst Inputs'!$A:$A,$D45,'Input 15_Fcst Inputs'!$G:$G)/12))))),0)</f>
        <v>57069.88577317672</v>
      </c>
      <c r="BM45" s="483">
        <f>IFERROR(IF($J45="Historical Average",INDEX('Monthly UPC'!$CM$2:$DJ$65,MATCH($D45,'Monthly UPC'!$D$2:$D$65,0),MATCH(BM$1,'Monthly UPC'!$CM$1:$DJ$1))*(INDEX('Monthly CUST'!$N$2:$CG$65,MATCH($D45,'Monthly CUST'!$D$2:$D$65,0),MATCH(BM$1,'Monthly CUST'!$N$1:$CG$1,0))),IF($J45="UPC Growth Rate",((BA45/INDEX('Monthly CUST'!$N$2:$CG$65,MATCH($D45,'Monthly CUST'!$D$2:$D$65,0),MATCH(BA$1,'Monthly CUST'!$N$1:$CG$1,0)))*(1+$L45)*INDEX('Monthly CUST'!$N$2:$CG$65,MATCH($D45,'Monthly CUST'!$D$2:$D$65,0),MATCH(BM$1,'Monthly CUST'!$N$1:$CG$1,0))),IF($J45="Modeled UPC",INDEX('Monthly CUST'!$N$2:$CG$65,MATCH($D45,'Monthly CUST'!$D$2:$D$65,0),MATCH(BM$1,'Monthly CUST'!$N$1:$CG$1,0))/12*$M45,IF($J45="Base Period",BA45,IF($J45="Adjusted",SUMIF('Input 15_Fcst Inputs'!$A:$A,$D45,'Input 15_Fcst Inputs'!$G:$G)/12))))),0)</f>
        <v>54816.962886593225</v>
      </c>
      <c r="BN45" s="483">
        <f>IFERROR(IF($J45="Historical Average",INDEX('Monthly UPC'!$CM$2:$DJ$65,MATCH($D45,'Monthly UPC'!$D$2:$D$65,0),MATCH(BN$1,'Monthly UPC'!$CM$1:$DJ$1))*(INDEX('Monthly CUST'!$N$2:$CG$65,MATCH($D45,'Monthly CUST'!$D$2:$D$65,0),MATCH(BN$1,'Monthly CUST'!$N$1:$CG$1,0))),IF($J45="UPC Growth Rate",((BB45/INDEX('Monthly CUST'!$N$2:$CG$65,MATCH($D45,'Monthly CUST'!$D$2:$D$65,0),MATCH(BB$1,'Monthly CUST'!$N$1:$CG$1,0)))*(1+$L45)*INDEX('Monthly CUST'!$N$2:$CG$65,MATCH($D45,'Monthly CUST'!$D$2:$D$65,0),MATCH(BN$1,'Monthly CUST'!$N$1:$CG$1,0))),IF($J45="Modeled UPC",INDEX('Monthly CUST'!$N$2:$CG$65,MATCH($D45,'Monthly CUST'!$D$2:$D$65,0),MATCH(BN$1,'Monthly CUST'!$N$1:$CG$1,0))/12*$M45,IF($J45="Base Period",BB45,IF($J45="Adjusted",SUMIF('Input 15_Fcst Inputs'!$A:$A,$D45,'Input 15_Fcst Inputs'!$G:$G)/12))))),0)</f>
        <v>24198.261391421489</v>
      </c>
      <c r="BO45" s="483">
        <f>IFERROR(IF($J45="Historical Average",INDEX('Monthly UPC'!$CM$2:$DJ$65,MATCH($D45,'Monthly UPC'!$D$2:$D$65,0),MATCH(BO$1,'Monthly UPC'!$CM$1:$DJ$1))*(INDEX('Monthly CUST'!$N$2:$CG$65,MATCH($D45,'Monthly CUST'!$D$2:$D$65,0),MATCH(BO$1,'Monthly CUST'!$N$1:$CG$1,0))),IF($J45="UPC Growth Rate",((BC45/INDEX('Monthly CUST'!$N$2:$CG$65,MATCH($D45,'Monthly CUST'!$D$2:$D$65,0),MATCH(BC$1,'Monthly CUST'!$N$1:$CG$1,0)))*(1+$L45)*INDEX('Monthly CUST'!$N$2:$CG$65,MATCH($D45,'Monthly CUST'!$D$2:$D$65,0),MATCH(BO$1,'Monthly CUST'!$N$1:$CG$1,0))),IF($J45="Modeled UPC",INDEX('Monthly CUST'!$N$2:$CG$65,MATCH($D45,'Monthly CUST'!$D$2:$D$65,0),MATCH(BO$1,'Monthly CUST'!$N$1:$CG$1,0))/12*$M45,IF($J45="Base Period",BC45,IF($J45="Adjusted",SUMIF('Input 15_Fcst Inputs'!$A:$A,$D45,'Input 15_Fcst Inputs'!$G:$G)/12))))),0)</f>
        <v>20125.123933868519</v>
      </c>
      <c r="BP45" s="483">
        <f>IFERROR(IF($J45="Historical Average",INDEX('Monthly UPC'!$CM$2:$DJ$65,MATCH($D45,'Monthly UPC'!$D$2:$D$65,0),MATCH(BP$1,'Monthly UPC'!$CM$1:$DJ$1))*(INDEX('Monthly CUST'!$N$2:$CG$65,MATCH($D45,'Monthly CUST'!$D$2:$D$65,0),MATCH(BP$1,'Monthly CUST'!$N$1:$CG$1,0))),IF($J45="UPC Growth Rate",((BD45/INDEX('Monthly CUST'!$N$2:$CG$65,MATCH($D45,'Monthly CUST'!$D$2:$D$65,0),MATCH(BD$1,'Monthly CUST'!$N$1:$CG$1,0)))*(1+$L45)*INDEX('Monthly CUST'!$N$2:$CG$65,MATCH($D45,'Monthly CUST'!$D$2:$D$65,0),MATCH(BP$1,'Monthly CUST'!$N$1:$CG$1,0))),IF($J45="Modeled UPC",INDEX('Monthly CUST'!$N$2:$CG$65,MATCH($D45,'Monthly CUST'!$D$2:$D$65,0),MATCH(BP$1,'Monthly CUST'!$N$1:$CG$1,0))/12*$M45,IF($J45="Base Period",BD45,IF($J45="Adjusted",SUMIF('Input 15_Fcst Inputs'!$A:$A,$D45,'Input 15_Fcst Inputs'!$G:$G)/12))))),0)</f>
        <v>18846.036239810248</v>
      </c>
      <c r="BQ45" s="483">
        <f>IFERROR(IF($J45="Historical Average",INDEX('Monthly UPC'!$CM$2:$DJ$65,MATCH($D45,'Monthly UPC'!$D$2:$D$65,0),MATCH(BQ$1,'Monthly UPC'!$CM$1:$DJ$1))*(INDEX('Monthly CUST'!$N$2:$CG$65,MATCH($D45,'Monthly CUST'!$D$2:$D$65,0),MATCH(BQ$1,'Monthly CUST'!$N$1:$CG$1,0))),IF($J45="UPC Growth Rate",((BE45/INDEX('Monthly CUST'!$N$2:$CG$65,MATCH($D45,'Monthly CUST'!$D$2:$D$65,0),MATCH(BE$1,'Monthly CUST'!$N$1:$CG$1,0)))*(1+$L45)*INDEX('Monthly CUST'!$N$2:$CG$65,MATCH($D45,'Monthly CUST'!$D$2:$D$65,0),MATCH(BQ$1,'Monthly CUST'!$N$1:$CG$1,0))),IF($J45="Modeled UPC",INDEX('Monthly CUST'!$N$2:$CG$65,MATCH($D45,'Monthly CUST'!$D$2:$D$65,0),MATCH(BQ$1,'Monthly CUST'!$N$1:$CG$1,0))/12*$M45,IF($J45="Base Period",BE45,IF($J45="Adjusted",SUMIF('Input 15_Fcst Inputs'!$A:$A,$D45,'Input 15_Fcst Inputs'!$G:$G)/12))))),0)</f>
        <v>15434.016619448528</v>
      </c>
      <c r="BR45" s="483">
        <f>IFERROR(IF($J45="Historical Average",INDEX('Monthly UPC'!$CM$2:$DJ$65,MATCH($D45,'Monthly UPC'!$D$2:$D$65,0),MATCH(BR$1,'Monthly UPC'!$CM$1:$DJ$1))*(INDEX('Monthly CUST'!$N$2:$CG$65,MATCH($D45,'Monthly CUST'!$D$2:$D$65,0),MATCH(BR$1,'Monthly CUST'!$N$1:$CG$1,0))),IF($J45="UPC Growth Rate",((BF45/INDEX('Monthly CUST'!$N$2:$CG$65,MATCH($D45,'Monthly CUST'!$D$2:$D$65,0),MATCH(BF$1,'Monthly CUST'!$N$1:$CG$1,0)))*(1+$L45)*INDEX('Monthly CUST'!$N$2:$CG$65,MATCH($D45,'Monthly CUST'!$D$2:$D$65,0),MATCH(BR$1,'Monthly CUST'!$N$1:$CG$1,0))),IF($J45="Modeled UPC",INDEX('Monthly CUST'!$N$2:$CG$65,MATCH($D45,'Monthly CUST'!$D$2:$D$65,0),MATCH(BR$1,'Monthly CUST'!$N$1:$CG$1,0))/12*$M45,IF($J45="Base Period",BF45,IF($J45="Adjusted",SUMIF('Input 15_Fcst Inputs'!$A:$A,$D45,'Input 15_Fcst Inputs'!$G:$G)/12))))),0)</f>
        <v>11016.483067692803</v>
      </c>
      <c r="BS45" s="483">
        <f>IFERROR(IF($J45="Historical Average",INDEX('Monthly UPC'!$CM$2:$DJ$65,MATCH($D45,'Monthly UPC'!$D$2:$D$65,0),MATCH(BS$1,'Monthly UPC'!$CM$1:$DJ$1))*(INDEX('Monthly CUST'!$N$2:$CG$65,MATCH($D45,'Monthly CUST'!$D$2:$D$65,0),MATCH(BS$1,'Monthly CUST'!$N$1:$CG$1,0))),IF($J45="UPC Growth Rate",((BG45/INDEX('Monthly CUST'!$N$2:$CG$65,MATCH($D45,'Monthly CUST'!$D$2:$D$65,0),MATCH(BG$1,'Monthly CUST'!$N$1:$CG$1,0)))*(1+$L45)*INDEX('Monthly CUST'!$N$2:$CG$65,MATCH($D45,'Monthly CUST'!$D$2:$D$65,0),MATCH(BS$1,'Monthly CUST'!$N$1:$CG$1,0))),IF($J45="Modeled UPC",INDEX('Monthly CUST'!$N$2:$CG$65,MATCH($D45,'Monthly CUST'!$D$2:$D$65,0),MATCH(BS$1,'Monthly CUST'!$N$1:$CG$1,0))/12*$M45,IF($J45="Base Period",BG45,IF($J45="Adjusted",SUMIF('Input 15_Fcst Inputs'!$A:$A,$D45,'Input 15_Fcst Inputs'!$G:$G)/12))))),0)</f>
        <v>18588.320602494437</v>
      </c>
      <c r="BT45" s="483">
        <f>IFERROR(IF($J45="Historical Average",INDEX('Monthly UPC'!$CM$2:$DJ$65,MATCH($D45,'Monthly UPC'!$D$2:$D$65,0),MATCH(BT$1,'Monthly UPC'!$CM$1:$DJ$1))*(INDEX('Monthly CUST'!$N$2:$CG$65,MATCH($D45,'Monthly CUST'!$D$2:$D$65,0),MATCH(BT$1,'Monthly CUST'!$N$1:$CG$1,0))),IF($J45="UPC Growth Rate",((BH45/INDEX('Monthly CUST'!$N$2:$CG$65,MATCH($D45,'Monthly CUST'!$D$2:$D$65,0),MATCH(BH$1,'Monthly CUST'!$N$1:$CG$1,0)))*(1+$L45)*INDEX('Monthly CUST'!$N$2:$CG$65,MATCH($D45,'Monthly CUST'!$D$2:$D$65,0),MATCH(BT$1,'Monthly CUST'!$N$1:$CG$1,0))),IF($J45="Modeled UPC",INDEX('Monthly CUST'!$N$2:$CG$65,MATCH($D45,'Monthly CUST'!$D$2:$D$65,0),MATCH(BT$1,'Monthly CUST'!$N$1:$CG$1,0))/12*$M45,IF($J45="Base Period",BH45,IF($J45="Adjusted",SUMIF('Input 15_Fcst Inputs'!$A:$A,$D45,'Input 15_Fcst Inputs'!$G:$G)/12))))),0)</f>
        <v>34904.062120457216</v>
      </c>
      <c r="BU45" s="483">
        <f>IFERROR(IF($J45="Historical Average",INDEX('Monthly UPC'!$CM$2:$DJ$65,MATCH($D45,'Monthly UPC'!$D$2:$D$65,0),MATCH(BU$1,'Monthly UPC'!$CM$1:$DJ$1))*(INDEX('Monthly CUST'!$N$2:$CG$65,MATCH($D45,'Monthly CUST'!$D$2:$D$65,0),MATCH(BU$1,'Monthly CUST'!$N$1:$CG$1,0))),IF($J45="UPC Growth Rate",((BI45/INDEX('Monthly CUST'!$N$2:$CG$65,MATCH($D45,'Monthly CUST'!$D$2:$D$65,0),MATCH(BI$1,'Monthly CUST'!$N$1:$CG$1,0)))*(1+$L45)*INDEX('Monthly CUST'!$N$2:$CG$65,MATCH($D45,'Monthly CUST'!$D$2:$D$65,0),MATCH(BU$1,'Monthly CUST'!$N$1:$CG$1,0))),IF($J45="Modeled UPC",INDEX('Monthly CUST'!$N$2:$CG$65,MATCH($D45,'Monthly CUST'!$D$2:$D$65,0),MATCH(BU$1,'Monthly CUST'!$N$1:$CG$1,0))/12*$M45,IF($J45="Base Period",BI45,IF($J45="Adjusted",SUMIF('Input 15_Fcst Inputs'!$A:$A,$D45,'Input 15_Fcst Inputs'!$G:$G)/12))))),0)</f>
        <v>68717.617884899999</v>
      </c>
      <c r="BV45" s="483">
        <f>IFERROR(IF($J45="Historical Average",INDEX('Monthly UPC'!$CM$2:$DJ$65,MATCH($D45,'Monthly UPC'!$D$2:$D$65,0),MATCH(BV$1,'Monthly UPC'!$CM$1:$DJ$1))*(INDEX('Monthly CUST'!$N$2:$CG$65,MATCH($D45,'Monthly CUST'!$D$2:$D$65,0),MATCH(BV$1,'Monthly CUST'!$N$1:$CG$1,0))),IF($J45="UPC Growth Rate",((BJ45/INDEX('Monthly CUST'!$N$2:$CG$65,MATCH($D45,'Monthly CUST'!$D$2:$D$65,0),MATCH(BJ$1,'Monthly CUST'!$N$1:$CG$1,0)))*(1+$L45)*INDEX('Monthly CUST'!$N$2:$CG$65,MATCH($D45,'Monthly CUST'!$D$2:$D$65,0),MATCH(BV$1,'Monthly CUST'!$N$1:$CG$1,0))),IF($J45="Modeled UPC",INDEX('Monthly CUST'!$N$2:$CG$65,MATCH($D45,'Monthly CUST'!$D$2:$D$65,0),MATCH(BV$1,'Monthly CUST'!$N$1:$CG$1,0))/12*$M45,IF($J45="Base Period",BJ45,IF($J45="Adjusted",SUMIF('Input 15_Fcst Inputs'!$A:$A,$D45,'Input 15_Fcst Inputs'!$G:$G)/12))))),0)</f>
        <v>67002.027469310138</v>
      </c>
      <c r="BW45" s="483">
        <f>IFERROR(IF($J45="Historical Average",INDEX('Monthly UPC'!$CM$2:$DJ$65,MATCH($D45,'Monthly UPC'!$D$2:$D$65,0),MATCH(BW$1,'Monthly UPC'!$CM$1:$DJ$1))*(INDEX('Monthly CUST'!$N$2:$CG$65,MATCH($D45,'Monthly CUST'!$D$2:$D$65,0),MATCH(BW$1,'Monthly CUST'!$N$1:$CG$1,0))),IF($J45="UPC Growth Rate",((BK45/INDEX('Monthly CUST'!$N$2:$CG$65,MATCH($D45,'Monthly CUST'!$D$2:$D$65,0),MATCH(BK$1,'Monthly CUST'!$N$1:$CG$1,0)))*(1+$L45)*INDEX('Monthly CUST'!$N$2:$CG$65,MATCH($D45,'Monthly CUST'!$D$2:$D$65,0),MATCH(BW$1,'Monthly CUST'!$N$1:$CG$1,0))),IF($J45="Modeled UPC",INDEX('Monthly CUST'!$N$2:$CG$65,MATCH($D45,'Monthly CUST'!$D$2:$D$65,0),MATCH(BW$1,'Monthly CUST'!$N$1:$CG$1,0))/12*$M45,IF($J45="Base Period",BK45,IF($J45="Adjusted",SUMIF('Input 15_Fcst Inputs'!$A:$A,$D45,'Input 15_Fcst Inputs'!$G:$G)/12))))),0)</f>
        <v>49438.034769422513</v>
      </c>
      <c r="BX45" s="483">
        <f>IFERROR(IF($J45="Historical Average",INDEX('Monthly UPC'!$CM$2:$DJ$65,MATCH($D45,'Monthly UPC'!$D$2:$D$65,0),MATCH(BX$1,'Monthly UPC'!$CM$1:$DJ$1))*(INDEX('Monthly CUST'!$N$2:$CG$65,MATCH($D45,'Monthly CUST'!$D$2:$D$65,0),MATCH(BX$1,'Monthly CUST'!$N$1:$CG$1,0))),IF($J45="UPC Growth Rate",((BL45/INDEX('Monthly CUST'!$N$2:$CG$65,MATCH($D45,'Monthly CUST'!$D$2:$D$65,0),MATCH(BL$1,'Monthly CUST'!$N$1:$CG$1,0)))*(1+$L45)*INDEX('Monthly CUST'!$N$2:$CG$65,MATCH($D45,'Monthly CUST'!$D$2:$D$65,0),MATCH(BX$1,'Monthly CUST'!$N$1:$CG$1,0))),IF($J45="Modeled UPC",INDEX('Monthly CUST'!$N$2:$CG$65,MATCH($D45,'Monthly CUST'!$D$2:$D$65,0),MATCH(BX$1,'Monthly CUST'!$N$1:$CG$1,0))/12*$M45,IF($J45="Base Period",BL45,IF($J45="Adjusted",SUMIF('Input 15_Fcst Inputs'!$A:$A,$D45,'Input 15_Fcst Inputs'!$G:$G)/12))))),0)</f>
        <v>53519.893684999573</v>
      </c>
      <c r="BY45" s="483">
        <f>IFERROR(IF($J45="Historical Average",INDEX('Monthly UPC'!$CM$2:$DJ$65,MATCH($D45,'Monthly UPC'!$D$2:$D$65,0),MATCH(BY$1,'Monthly UPC'!$CM$1:$DJ$1))*(INDEX('Monthly CUST'!$N$2:$CG$65,MATCH($D45,'Monthly CUST'!$D$2:$D$65,0),MATCH(BY$1,'Monthly CUST'!$N$1:$CG$1,0))),IF($J45="UPC Growth Rate",((BM45/INDEX('Monthly CUST'!$N$2:$CG$65,MATCH($D45,'Monthly CUST'!$D$2:$D$65,0),MATCH(BM$1,'Monthly CUST'!$N$1:$CG$1,0)))*(1+$L45)*INDEX('Monthly CUST'!$N$2:$CG$65,MATCH($D45,'Monthly CUST'!$D$2:$D$65,0),MATCH(BY$1,'Monthly CUST'!$N$1:$CG$1,0))),IF($J45="Modeled UPC",INDEX('Monthly CUST'!$N$2:$CG$65,MATCH($D45,'Monthly CUST'!$D$2:$D$65,0),MATCH(BY$1,'Monthly CUST'!$N$1:$CG$1,0))/12*$M45,IF($J45="Base Period",BM45,IF($J45="Adjusted",SUMIF('Input 15_Fcst Inputs'!$A:$A,$D45,'Input 15_Fcst Inputs'!$G:$G)/12))))),0)</f>
        <v>51407.112281341622</v>
      </c>
      <c r="BZ45" s="483">
        <f>IFERROR(IF($J45="Historical Average",INDEX('Monthly UPC'!$CM$2:$DJ$65,MATCH($D45,'Monthly UPC'!$D$2:$D$65,0),MATCH(BZ$1,'Monthly UPC'!$CM$1:$DJ$1))*(INDEX('Monthly CUST'!$N$2:$CG$65,MATCH($D45,'Monthly CUST'!$D$2:$D$65,0),MATCH(BZ$1,'Monthly CUST'!$N$1:$CG$1,0))),IF($J45="UPC Growth Rate",((BN45/INDEX('Monthly CUST'!$N$2:$CG$65,MATCH($D45,'Monthly CUST'!$D$2:$D$65,0),MATCH(BN$1,'Monthly CUST'!$N$1:$CG$1,0)))*(1+$L45)*INDEX('Monthly CUST'!$N$2:$CG$65,MATCH($D45,'Monthly CUST'!$D$2:$D$65,0),MATCH(BZ$1,'Monthly CUST'!$N$1:$CG$1,0))),IF($J45="Modeled UPC",INDEX('Monthly CUST'!$N$2:$CG$65,MATCH($D45,'Monthly CUST'!$D$2:$D$65,0),MATCH(BZ$1,'Monthly CUST'!$N$1:$CG$1,0))/12*$M45,IF($J45="Base Period",BN45,IF($J45="Adjusted",SUMIF('Input 15_Fcst Inputs'!$A:$A,$D45,'Input 15_Fcst Inputs'!$G:$G)/12))))),0)</f>
        <v>22693.025568300847</v>
      </c>
      <c r="CA45" s="483">
        <f>IFERROR(IF($J45="Historical Average",INDEX('Monthly UPC'!$CM$2:$DJ$65,MATCH($D45,'Monthly UPC'!$D$2:$D$65,0),MATCH(CA$1,'Monthly UPC'!$CM$1:$DJ$1))*(INDEX('Monthly CUST'!$N$2:$CG$65,MATCH($D45,'Monthly CUST'!$D$2:$D$65,0),MATCH(CA$1,'Monthly CUST'!$N$1:$CG$1,0))),IF($J45="UPC Growth Rate",((BO45/INDEX('Monthly CUST'!$N$2:$CG$65,MATCH($D45,'Monthly CUST'!$D$2:$D$65,0),MATCH(BO$1,'Monthly CUST'!$N$1:$CG$1,0)))*(1+$L45)*INDEX('Monthly CUST'!$N$2:$CG$65,MATCH($D45,'Monthly CUST'!$D$2:$D$65,0),MATCH(CA$1,'Monthly CUST'!$N$1:$CG$1,0))),IF($J45="Modeled UPC",INDEX('Monthly CUST'!$N$2:$CG$65,MATCH($D45,'Monthly CUST'!$D$2:$D$65,0),MATCH(CA$1,'Monthly CUST'!$N$1:$CG$1,0))/12*$M45,IF($J45="Base Period",BO45,IF($J45="Adjusted",SUMIF('Input 15_Fcst Inputs'!$A:$A,$D45,'Input 15_Fcst Inputs'!$G:$G)/12))))),0)</f>
        <v>18873.25476029472</v>
      </c>
      <c r="CB45" s="483">
        <f>IFERROR(IF($J45="Historical Average",INDEX('Monthly UPC'!$CM$2:$DJ$65,MATCH($D45,'Monthly UPC'!$D$2:$D$65,0),MATCH(CB$1,'Monthly UPC'!$CM$1:$DJ$1))*(INDEX('Monthly CUST'!$N$2:$CG$65,MATCH($D45,'Monthly CUST'!$D$2:$D$65,0),MATCH(CB$1,'Monthly CUST'!$N$1:$CG$1,0))),IF($J45="UPC Growth Rate",((BP45/INDEX('Monthly CUST'!$N$2:$CG$65,MATCH($D45,'Monthly CUST'!$D$2:$D$65,0),MATCH(BP$1,'Monthly CUST'!$N$1:$CG$1,0)))*(1+$L45)*INDEX('Monthly CUST'!$N$2:$CG$65,MATCH($D45,'Monthly CUST'!$D$2:$D$65,0),MATCH(CB$1,'Monthly CUST'!$N$1:$CG$1,0))),IF($J45="Modeled UPC",INDEX('Monthly CUST'!$N$2:$CG$65,MATCH($D45,'Monthly CUST'!$D$2:$D$65,0),MATCH(CB$1,'Monthly CUST'!$N$1:$CG$1,0))/12*$M45,IF($J45="Base Period",BP45,IF($J45="Adjusted",SUMIF('Input 15_Fcst Inputs'!$A:$A,$D45,'Input 15_Fcst Inputs'!$G:$G)/12))))),0)</f>
        <v>17673.731816235053</v>
      </c>
      <c r="CC45" s="483">
        <f>IFERROR(IF($J45="Historical Average",INDEX('Monthly UPC'!$CM$2:$DJ$65,MATCH($D45,'Monthly UPC'!$D$2:$D$65,0),MATCH(CC$1,'Monthly UPC'!$CM$1:$DJ$1))*(INDEX('Monthly CUST'!$N$2:$CG$65,MATCH($D45,'Monthly CUST'!$D$2:$D$65,0),MATCH(CC$1,'Monthly CUST'!$N$1:$CG$1,0))),IF($J45="UPC Growth Rate",((BQ45/INDEX('Monthly CUST'!$N$2:$CG$65,MATCH($D45,'Monthly CUST'!$D$2:$D$65,0),MATCH(BQ$1,'Monthly CUST'!$N$1:$CG$1,0)))*(1+$L45)*INDEX('Monthly CUST'!$N$2:$CG$65,MATCH($D45,'Monthly CUST'!$D$2:$D$65,0),MATCH(CC$1,'Monthly CUST'!$N$1:$CG$1,0))),IF($J45="Modeled UPC",INDEX('Monthly CUST'!$N$2:$CG$65,MATCH($D45,'Monthly CUST'!$D$2:$D$65,0),MATCH(CC$1,'Monthly CUST'!$N$1:$CG$1,0))/12*$M45,IF($J45="Base Period",BQ45,IF($J45="Adjusted",SUMIF('Input 15_Fcst Inputs'!$A:$A,$D45,'Input 15_Fcst Inputs'!$G:$G)/12))))),0)</f>
        <v>14473.954475543049</v>
      </c>
      <c r="CD45" s="483">
        <f>IFERROR(IF($J45="Historical Average",INDEX('Monthly UPC'!$CM$2:$DJ$65,MATCH($D45,'Monthly UPC'!$D$2:$D$65,0),MATCH(CD$1,'Monthly UPC'!$CM$1:$DJ$1))*(INDEX('Monthly CUST'!$N$2:$CG$65,MATCH($D45,'Monthly CUST'!$D$2:$D$65,0),MATCH(CD$1,'Monthly CUST'!$N$1:$CG$1,0))),IF($J45="UPC Growth Rate",((BR45/INDEX('Monthly CUST'!$N$2:$CG$65,MATCH($D45,'Monthly CUST'!$D$2:$D$65,0),MATCH(BR$1,'Monthly CUST'!$N$1:$CG$1,0)))*(1+$L45)*INDEX('Monthly CUST'!$N$2:$CG$65,MATCH($D45,'Monthly CUST'!$D$2:$D$65,0),MATCH(CD$1,'Monthly CUST'!$N$1:$CG$1,0))),IF($J45="Modeled UPC",INDEX('Monthly CUST'!$N$2:$CG$65,MATCH($D45,'Monthly CUST'!$D$2:$D$65,0),MATCH(CD$1,'Monthly CUST'!$N$1:$CG$1,0))/12*$M45,IF($J45="Base Period",BR45,IF($J45="Adjusted",SUMIF('Input 15_Fcst Inputs'!$A:$A,$D45,'Input 15_Fcst Inputs'!$G:$G)/12))))),0)</f>
        <v>10331.210490045061</v>
      </c>
      <c r="CE45" s="483">
        <f>IFERROR(IF($J45="Historical Average",INDEX('Monthly UPC'!$CM$2:$DJ$65,MATCH($D45,'Monthly UPC'!$D$2:$D$65,0),MATCH(CE$1,'Monthly UPC'!$CM$1:$DJ$1))*(INDEX('Monthly CUST'!$N$2:$CG$65,MATCH($D45,'Monthly CUST'!$D$2:$D$65,0),MATCH(CE$1,'Monthly CUST'!$N$1:$CG$1,0))),IF($J45="UPC Growth Rate",((BS45/INDEX('Monthly CUST'!$N$2:$CG$65,MATCH($D45,'Monthly CUST'!$D$2:$D$65,0),MATCH(BS$1,'Monthly CUST'!$N$1:$CG$1,0)))*(1+$L45)*INDEX('Monthly CUST'!$N$2:$CG$65,MATCH($D45,'Monthly CUST'!$D$2:$D$65,0),MATCH(CE$1,'Monthly CUST'!$N$1:$CG$1,0))),IF($J45="Modeled UPC",INDEX('Monthly CUST'!$N$2:$CG$65,MATCH($D45,'Monthly CUST'!$D$2:$D$65,0),MATCH(CE$1,'Monthly CUST'!$N$1:$CG$1,0))/12*$M45,IF($J45="Base Period",BS45,IF($J45="Adjusted",SUMIF('Input 15_Fcst Inputs'!$A:$A,$D45,'Input 15_Fcst Inputs'!$G:$G)/12))))),0)</f>
        <v>17432.047198800847</v>
      </c>
      <c r="CF45" s="483">
        <f>IFERROR(IF($J45="Historical Average",INDEX('Monthly UPC'!$CM$2:$DJ$65,MATCH($D45,'Monthly UPC'!$D$2:$D$65,0),MATCH(CF$1,'Monthly UPC'!$CM$1:$DJ$1))*(INDEX('Monthly CUST'!$N$2:$CG$65,MATCH($D45,'Monthly CUST'!$D$2:$D$65,0),MATCH(CF$1,'Monthly CUST'!$N$1:$CG$1,0))),IF($J45="UPC Growth Rate",((BT45/INDEX('Monthly CUST'!$N$2:$CG$65,MATCH($D45,'Monthly CUST'!$D$2:$D$65,0),MATCH(BT$1,'Monthly CUST'!$N$1:$CG$1,0)))*(1+$L45)*INDEX('Monthly CUST'!$N$2:$CG$65,MATCH($D45,'Monthly CUST'!$D$2:$D$65,0),MATCH(CF$1,'Monthly CUST'!$N$1:$CG$1,0))),IF($J45="Modeled UPC",INDEX('Monthly CUST'!$N$2:$CG$65,MATCH($D45,'Monthly CUST'!$D$2:$D$65,0),MATCH(CF$1,'Monthly CUST'!$N$1:$CG$1,0))/12*$M45,IF($J45="Base Period",BT45,IF($J45="Adjusted",SUMIF('Input 15_Fcst Inputs'!$A:$A,$D45,'Input 15_Fcst Inputs'!$G:$G)/12))))),0)</f>
        <v>32732.879495958165</v>
      </c>
      <c r="CG45" s="483">
        <f>IFERROR(IF($J45="Historical Average",INDEX('Monthly UPC'!$CM$2:$DJ$65,MATCH($D45,'Monthly UPC'!$D$2:$D$65,0),MATCH(CG$1,'Monthly UPC'!$CM$1:$DJ$1))*(INDEX('Monthly CUST'!$N$2:$CG$65,MATCH($D45,'Monthly CUST'!$D$2:$D$65,0),MATCH(CG$1,'Monthly CUST'!$N$1:$CG$1,0))),IF($J45="UPC Growth Rate",((BU45/INDEX('Monthly CUST'!$N$2:$CG$65,MATCH($D45,'Monthly CUST'!$D$2:$D$65,0),MATCH(BU$1,'Monthly CUST'!$N$1:$CG$1,0)))*(1+$L45)*INDEX('Monthly CUST'!$N$2:$CG$65,MATCH($D45,'Monthly CUST'!$D$2:$D$65,0),MATCH(CG$1,'Monthly CUST'!$N$1:$CG$1,0))),IF($J45="Modeled UPC",INDEX('Monthly CUST'!$N$2:$CG$65,MATCH($D45,'Monthly CUST'!$D$2:$D$65,0),MATCH(CG$1,'Monthly CUST'!$N$1:$CG$1,0))/12*$M45,IF($J45="Base Period",BU45,IF($J45="Adjusted",SUMIF('Input 15_Fcst Inputs'!$A:$A,$D45,'Input 15_Fcst Inputs'!$G:$G)/12))))),0)</f>
        <v>64443.086816459829</v>
      </c>
      <c r="CH45" s="197"/>
      <c r="CI45" s="197">
        <f t="shared" si="8"/>
        <v>593172.86000000034</v>
      </c>
      <c r="CJ45" s="197">
        <f t="shared" si="9"/>
        <v>534136.82999999996</v>
      </c>
      <c r="CK45" s="197">
        <f t="shared" si="10"/>
        <v>409436.17999999982</v>
      </c>
      <c r="CL45" s="197">
        <f t="shared" si="11"/>
        <v>477588.38999999996</v>
      </c>
      <c r="CM45" s="197">
        <f t="shared" si="12"/>
        <v>447880.3402477412</v>
      </c>
      <c r="CN45" s="197">
        <f t="shared" si="13"/>
        <v>420020.25882671145</v>
      </c>
      <c r="CP45" s="4">
        <f>SUMIF('Master '!D:D,D45,'Master '!AH:AH)</f>
        <v>447880.3402477412</v>
      </c>
      <c r="CQ45" s="4">
        <f>SUMIF('Master '!D:D,D45,'Master '!AI:AI)</f>
        <v>420020.25882671145</v>
      </c>
      <c r="CR45" s="197">
        <f t="shared" si="14"/>
        <v>0</v>
      </c>
      <c r="CS45" s="197">
        <f t="shared" si="15"/>
        <v>0</v>
      </c>
      <c r="CT45" t="s">
        <v>287</v>
      </c>
      <c r="CV45" t="str">
        <f>VLOOKUP(G45,'Master '!G:CC,75,FALSE)</f>
        <v>FTS-2.1</v>
      </c>
    </row>
    <row r="46" spans="1:100">
      <c r="A46" s="53" t="s">
        <v>17</v>
      </c>
      <c r="B46" s="53" t="s">
        <v>993</v>
      </c>
      <c r="C46" s="53" t="s">
        <v>8</v>
      </c>
      <c r="D46" s="53" t="s">
        <v>1255</v>
      </c>
      <c r="E46" s="53" t="str">
        <f>VLOOKUP(D46,'Input 14_Ref Table'!C:D,2,FALSE)</f>
        <v>CR827</v>
      </c>
      <c r="F46" s="143" t="s">
        <v>1287</v>
      </c>
      <c r="G46" s="53" t="str">
        <f>VLOOKUP(D46,'Input 14_Ref Table'!C:I,7,FALSE)</f>
        <v>CFG - FTS-2.1 - Fixed R</v>
      </c>
      <c r="H46" s="53" t="str">
        <f>VLOOKUP(D46,'Input 14_Ref Table'!C:K,8,FALSE)</f>
        <v>FTS_2.1</v>
      </c>
      <c r="I46" s="53"/>
      <c r="J46" t="str">
        <f>INDEX('Master '!$AD$2:AD$65,MATCH(D46,'Master '!$D$2:$D$65,0))</f>
        <v>UPC Growth Rate</v>
      </c>
      <c r="K46" s="458">
        <f>INDEX('Master '!$N$2:N$65,MATCH(D46,'Master '!$D$2:$D$65,0))</f>
        <v>-2.0400907354704373E-2</v>
      </c>
      <c r="L46" s="137">
        <f>INDEX('Master '!$S$2:S$65,MATCH(D46,'Master '!$D$2:$D$65,0))</f>
        <v>-4.2673976859106559E-2</v>
      </c>
      <c r="M46" s="4">
        <f>INDEX('Master '!$W$2:W$65,MATCH(D46,'Master '!$D$2:$D$65,0))</f>
        <v>871.59467421763247</v>
      </c>
      <c r="N46" s="268">
        <f>SUMIF('Input 16.1_2018VOL-YTD'!$R:$R,$G46,'Input 16.1_2018VOL-YTD'!C:C)</f>
        <v>2027.18</v>
      </c>
      <c r="O46" s="268">
        <f>SUMIF('Input 16.1_2018VOL-YTD'!$R:$R,$G46,'Input 16.1_2018VOL-YTD'!D:D)</f>
        <v>1424.07</v>
      </c>
      <c r="P46" s="268">
        <f>SUMIF('Input 16.1_2018VOL-YTD'!$R:$R,$G46,'Input 16.1_2018VOL-YTD'!E:E)</f>
        <v>1600.19</v>
      </c>
      <c r="Q46" s="268">
        <f>SUMIF('Input 16.1_2018VOL-YTD'!$R:$R,$G46,'Input 16.1_2018VOL-YTD'!F:F)</f>
        <v>1638.73</v>
      </c>
      <c r="R46" s="268">
        <f>SUMIF('Input 16.1_2018VOL-YTD'!$R:$R,$G46,'Input 16.1_2018VOL-YTD'!G:G)</f>
        <v>1069.22</v>
      </c>
      <c r="S46" s="268">
        <f>SUMIF('Input 16.1_2018VOL-YTD'!$R:$R,$G46,'Input 16.1_2018VOL-YTD'!H:H)</f>
        <v>409.05</v>
      </c>
      <c r="T46" s="268">
        <f>SUMIF('Input 16.1_2018VOL-YTD'!$R:$R,$G46,'Input 16.1_2018VOL-YTD'!I:I)</f>
        <v>353</v>
      </c>
      <c r="U46" s="268">
        <f>SUMIF('Input 16.1_2018VOL-YTD'!$R:$R,$G46,'Input 16.1_2018VOL-YTD'!J:J)</f>
        <v>178.61</v>
      </c>
      <c r="V46" s="268">
        <f>SUMIF('Input 16.1_2018VOL-YTD'!$R:$R,$G46,'Input 16.1_2018VOL-YTD'!K:K)</f>
        <v>322.64999999999998</v>
      </c>
      <c r="W46" s="268">
        <f>SUMIF('Input 16.1_2018VOL-YTD'!$R:$R,$G46,'Input 16.1_2018VOL-YTD'!L:L)</f>
        <v>165.27</v>
      </c>
      <c r="X46" s="268">
        <f>SUMIF('Input 16.1_2018VOL-YTD'!$R:$R,$G46,'Input 16.1_2018VOL-YTD'!M:M)</f>
        <v>949.58</v>
      </c>
      <c r="Y46" s="268">
        <f>SUMIF('Input 16.1_2018VOL-YTD'!$R:$R,$G46,'Input 16.1_2018VOL-YTD'!N:N)</f>
        <v>1268.47</v>
      </c>
      <c r="Z46" s="268">
        <f>SUMIF('Input 3.1_2019VOL-YTD'!$R:$R,$G46,'Input 3.1_2019VOL-YTD'!C:C)</f>
        <v>1739.96</v>
      </c>
      <c r="AA46" s="268">
        <f>SUMIF('Input 3.1_2019VOL-YTD'!$R:$R,$G46,'Input 3.1_2019VOL-YTD'!D:D)</f>
        <v>1237.33</v>
      </c>
      <c r="AB46" s="268">
        <f>SUMIF('Input 3.1_2019VOL-YTD'!$R:$R,$G46,'Input 3.1_2019VOL-YTD'!E:E)</f>
        <v>1143.5899999999999</v>
      </c>
      <c r="AC46" s="268">
        <f>SUMIF('Input 3.1_2019VOL-YTD'!$R:$R,$G46,'Input 3.1_2019VOL-YTD'!F:F)</f>
        <v>1105.96</v>
      </c>
      <c r="AD46" s="268">
        <f>SUMIF('Input 3.1_2019VOL-YTD'!$R:$R,$G46,'Input 3.1_2019VOL-YTD'!G:G)</f>
        <v>510.27</v>
      </c>
      <c r="AE46" s="268">
        <f>SUMIF('Input 3.1_2019VOL-YTD'!$R:$R,$G46,'Input 3.1_2019VOL-YTD'!H:H)</f>
        <v>247.02</v>
      </c>
      <c r="AF46" s="268">
        <f>SUMIF('Input 3.1_2019VOL-YTD'!$R:$R,$G46,'Input 3.1_2019VOL-YTD'!I:I)</f>
        <v>173.62</v>
      </c>
      <c r="AG46" s="268">
        <f>SUMIF('Input 3.1_2019VOL-YTD'!$R:$R,$G46,'Input 3.1_2019VOL-YTD'!J:J)</f>
        <v>199.71</v>
      </c>
      <c r="AH46" s="268">
        <f>SUMIF('Input 3.1_2019VOL-YTD'!$R:$R,$G46,'Input 3.1_2019VOL-YTD'!K:K)</f>
        <v>103.25</v>
      </c>
      <c r="AI46" s="268">
        <f>SUMIF('Input 3.1_2019VOL-YTD'!$R:$R,$G46,'Input 3.1_2019VOL-YTD'!L:L)</f>
        <v>353</v>
      </c>
      <c r="AJ46" s="268">
        <f>SUMIF('Input 3.1_2019VOL-YTD'!$R:$R,$G46,'Input 3.1_2019VOL-YTD'!M:M)</f>
        <v>1122.79</v>
      </c>
      <c r="AK46" s="268">
        <f>SUMIF('Input 3.1_2019VOL-YTD'!$R:$R,$G46,'Input 3.1_2019VOL-YTD'!N:N)</f>
        <v>1784.14</v>
      </c>
      <c r="AL46" s="268">
        <f>SUMIF('Input 4.1_2020VOL-YTD'!$R:$R,$G46,'Input 4.1_2020VOL-YTD'!C:C)</f>
        <v>1705.72</v>
      </c>
      <c r="AM46" s="268">
        <f>SUMIF('Input 4.1_2020VOL-YTD'!$R:$R,$G46,'Input 4.1_2020VOL-YTD'!D:D)</f>
        <v>1764.35</v>
      </c>
      <c r="AN46" s="268">
        <f>SUMIF('Input 4.1_2020VOL-YTD'!$R:$R,$G46,'Input 4.1_2020VOL-YTD'!E:E)</f>
        <v>1451.82</v>
      </c>
      <c r="AO46" s="268">
        <f>SUMIF('Input 4.1_2020VOL-YTD'!$R:$R,$G46,'Input 4.1_2020VOL-YTD'!F:F)</f>
        <v>548.66</v>
      </c>
      <c r="AP46" s="268">
        <f>SUMIF('Input 4.1_2020VOL-YTD'!$R:$R,$G46,'Input 4.1_2020VOL-YTD'!G:G)</f>
        <v>371.44</v>
      </c>
      <c r="AQ46" s="268">
        <f>SUMIF('Input 4.1_2020VOL-YTD'!$R:$R,$G46,'Input 4.1_2020VOL-YTD'!H:H)</f>
        <v>141.84</v>
      </c>
      <c r="AR46" s="268">
        <f>SUMIF('Input 4.1_2020VOL-YTD'!$R:$R,$G46,'Input 4.1_2020VOL-YTD'!I:I)</f>
        <v>164.1</v>
      </c>
      <c r="AS46" s="268">
        <f>SUMIF('Input 4.1_2020VOL-YTD'!$R:$R,$G46,'Input 4.1_2020VOL-YTD'!J:J)</f>
        <v>104.56</v>
      </c>
      <c r="AT46" s="268">
        <f>SUMIF('Input 4.1_2020VOL-YTD'!$R:$R,$G46,'Input 4.1_2020VOL-YTD'!K:K)</f>
        <v>148.08000000000001</v>
      </c>
      <c r="AU46" s="268">
        <f>SUMIF('Input 4.1_2020VOL-YTD'!$R:$R,$G46,'Input 4.1_2020VOL-YTD'!L:L)</f>
        <v>54.49</v>
      </c>
      <c r="AV46" s="268">
        <f>SUMIF('Input 4.1_2020VOL-YTD'!$R:$R,$G46,'Input 4.1_2020VOL-YTD'!M:M)</f>
        <v>345.47</v>
      </c>
      <c r="AW46" s="268">
        <f>SUMIF('Input 4.1_2020VOL-YTD'!$R:$R,$G46,'Input 4.1_2020VOL-YTD'!N:N)</f>
        <v>1096.78</v>
      </c>
      <c r="AX46" s="268">
        <f>SUMIF('Input 5.1_2021VOL-YTD'!$R:$R,$G46,'Input 5.1_2021VOL-YTD'!C:C)</f>
        <v>1532.26</v>
      </c>
      <c r="AY46" s="268">
        <f>SUMIF('Input 5.1_2021VOL-YTD'!$R:$R,$G46,'Input 5.1_2021VOL-YTD'!D:D)</f>
        <v>1124.7</v>
      </c>
      <c r="AZ46" s="268">
        <f>SUMIF('Input 5.1_2021VOL-YTD'!$R:$R,$G46,'Input 5.1_2021VOL-YTD'!E:E)</f>
        <v>1507</v>
      </c>
      <c r="BA46" s="268">
        <f>SUMIF('Input 5.1_2021VOL-YTD'!$R:$R,$G46,'Input 5.1_2021VOL-YTD'!F:F)</f>
        <v>1136.25</v>
      </c>
      <c r="BB46" s="268">
        <f>SUMIF('Input 5.1_2021VOL-YTD'!$R:$R,$G46,'Input 5.1_2021VOL-YTD'!G:G)</f>
        <v>513.04</v>
      </c>
      <c r="BC46" s="268">
        <f>SUMIF('Input 5.1_2021VOL-YTD'!$R:$R,$G46,'Input 5.1_2021VOL-YTD'!H:H)</f>
        <v>361.08</v>
      </c>
      <c r="BD46" s="268">
        <f>SUMIF('Input 5.1_2021VOL-YTD'!$R:$R,$G46,'Input 5.1_2021VOL-YTD'!I:I)</f>
        <v>312.56</v>
      </c>
      <c r="BE46" s="268">
        <f>SUMIF('Input 5.1_2021VOL-YTD'!$R:$R,$G46,'Input 5.1_2021VOL-YTD'!J:J)</f>
        <v>176.72</v>
      </c>
      <c r="BF46" s="268">
        <f>SUMIF('Input 5.1_2021VOL-YTD'!$R:$R,$G46,'Input 5.1_2021VOL-YTD'!K:K)</f>
        <v>248.83</v>
      </c>
      <c r="BG46" s="268">
        <f>SUMIF('Input 5.1_2021VOL-YTD'!$R:$R,$G46,'Input 5.1_2021VOL-YTD'!L:L)</f>
        <v>286.51</v>
      </c>
      <c r="BH46" s="268">
        <f>SUMIF('Input 5.1_2021VOL-YTD'!$R:$R,$G46,'Input 5.1_2021VOL-YTD'!M:M)</f>
        <v>747.12</v>
      </c>
      <c r="BI46" s="268">
        <f>SUMIF('Input 5.1_2021VOL-YTD'!$R:$R,$G46,'Input 5.1_2021VOL-YTD'!N:N)</f>
        <v>1558.09</v>
      </c>
      <c r="BJ46" s="483">
        <f>IFERROR(IF($J46="Historical Average",INDEX('Monthly UPC'!$CM$2:$DJ$65,MATCH($D46,'Monthly UPC'!$D$2:$D$65,0),MATCH(BJ$1,'Monthly UPC'!$CM$1:$DJ$1))*(INDEX('Monthly CUST'!$N$2:$CG$65,MATCH($D46,'Monthly CUST'!$D$2:$D$65,0),MATCH(BJ$1,'Monthly CUST'!$N$1:$CG$1,0))),IF($J46="UPC Growth Rate",((AX46/INDEX('Monthly CUST'!$N$2:$CG$65,MATCH($D46,'Monthly CUST'!$D$2:$D$65,0),MATCH(AX$1,'Monthly CUST'!$N$1:$CG$1,0)))*(1+$L46)*INDEX('Monthly CUST'!$N$2:$CG$65,MATCH($D46,'Monthly CUST'!$D$2:$D$65,0),MATCH(BJ$1,'Monthly CUST'!$N$1:$CG$1,0))),IF($J46="Modeled UPC",INDEX('Monthly CUST'!$N$2:$CG$65,MATCH($D46,'Monthly CUST'!$D$2:$D$65,0),MATCH(BJ$1,'Monthly CUST'!$N$1:$CG$1,0))/12*$M46,IF($J46="Base Period",AX46,IF($J46="Adjusted",SUMIF('Input 15_Fcst Inputs'!$A:$A,$D46,'Input 15_Fcst Inputs'!$G:$G)/12))))),0)</f>
        <v>1436.9468448510731</v>
      </c>
      <c r="BK46" s="483">
        <f>IFERROR(IF($J46="Historical Average",INDEX('Monthly UPC'!$CM$2:$DJ$65,MATCH($D46,'Monthly UPC'!$D$2:$D$65,0),MATCH(BK$1,'Monthly UPC'!$CM$1:$DJ$1))*(INDEX('Monthly CUST'!$N$2:$CG$65,MATCH($D46,'Monthly CUST'!$D$2:$D$65,0),MATCH(BK$1,'Monthly CUST'!$N$1:$CG$1,0))),IF($J46="UPC Growth Rate",((AY46/INDEX('Monthly CUST'!$N$2:$CG$65,MATCH($D46,'Monthly CUST'!$D$2:$D$65,0),MATCH(AY$1,'Monthly CUST'!$N$1:$CG$1,0)))*(1+$L46)*INDEX('Monthly CUST'!$N$2:$CG$65,MATCH($D46,'Monthly CUST'!$D$2:$D$65,0),MATCH(BK$1,'Monthly CUST'!$N$1:$CG$1,0))),IF($J46="Modeled UPC",INDEX('Monthly CUST'!$N$2:$CG$65,MATCH($D46,'Monthly CUST'!$D$2:$D$65,0),MATCH(BK$1,'Monthly CUST'!$N$1:$CG$1,0))/12*$M46,IF($J46="Base Period",AY46,IF($J46="Adjusted",SUMIF('Input 15_Fcst Inputs'!$A:$A,$D46,'Input 15_Fcst Inputs'!$G:$G)/12))))),0)</f>
        <v>1054.7388278777769</v>
      </c>
      <c r="BL46" s="483">
        <f>IFERROR(IF($J46="Historical Average",INDEX('Monthly UPC'!$CM$2:$DJ$65,MATCH($D46,'Monthly UPC'!$D$2:$D$65,0),MATCH(BL$1,'Monthly UPC'!$CM$1:$DJ$1))*(INDEX('Monthly CUST'!$N$2:$CG$65,MATCH($D46,'Monthly CUST'!$D$2:$D$65,0),MATCH(BL$1,'Monthly CUST'!$N$1:$CG$1,0))),IF($J46="UPC Growth Rate",((AZ46/INDEX('Monthly CUST'!$N$2:$CG$65,MATCH($D46,'Monthly CUST'!$D$2:$D$65,0),MATCH(AZ$1,'Monthly CUST'!$N$1:$CG$1,0)))*(1+$L46)*INDEX('Monthly CUST'!$N$2:$CG$65,MATCH($D46,'Monthly CUST'!$D$2:$D$65,0),MATCH(BL$1,'Monthly CUST'!$N$1:$CG$1,0))),IF($J46="Modeled UPC",INDEX('Monthly CUST'!$N$2:$CG$65,MATCH($D46,'Monthly CUST'!$D$2:$D$65,0),MATCH(BL$1,'Monthly CUST'!$N$1:$CG$1,0))/12*$M46,IF($J46="Base Period",AZ46,IF($J46="Adjusted",SUMIF('Input 15_Fcst Inputs'!$A:$A,$D46,'Input 15_Fcst Inputs'!$G:$G)/12))))),0)</f>
        <v>1413.2581253772646</v>
      </c>
      <c r="BM46" s="483">
        <f>IFERROR(IF($J46="Historical Average",INDEX('Monthly UPC'!$CM$2:$DJ$65,MATCH($D46,'Monthly UPC'!$D$2:$D$65,0),MATCH(BM$1,'Monthly UPC'!$CM$1:$DJ$1))*(INDEX('Monthly CUST'!$N$2:$CG$65,MATCH($D46,'Monthly CUST'!$D$2:$D$65,0),MATCH(BM$1,'Monthly CUST'!$N$1:$CG$1,0))),IF($J46="UPC Growth Rate",((BA46/INDEX('Monthly CUST'!$N$2:$CG$65,MATCH($D46,'Monthly CUST'!$D$2:$D$65,0),MATCH(BA$1,'Monthly CUST'!$N$1:$CG$1,0)))*(1+$L46)*INDEX('Monthly CUST'!$N$2:$CG$65,MATCH($D46,'Monthly CUST'!$D$2:$D$65,0),MATCH(BM$1,'Monthly CUST'!$N$1:$CG$1,0))),IF($J46="Modeled UPC",INDEX('Monthly CUST'!$N$2:$CG$65,MATCH($D46,'Monthly CUST'!$D$2:$D$65,0),MATCH(BM$1,'Monthly CUST'!$N$1:$CG$1,0))/12*$M46,IF($J46="Base Period",BA46,IF($J46="Adjusted",SUMIF('Input 15_Fcst Inputs'!$A:$A,$D46,'Input 15_Fcst Inputs'!$G:$G)/12))))),0)</f>
        <v>1065.5703682547557</v>
      </c>
      <c r="BN46" s="483">
        <f>IFERROR(IF($J46="Historical Average",INDEX('Monthly UPC'!$CM$2:$DJ$65,MATCH($D46,'Monthly UPC'!$D$2:$D$65,0),MATCH(BN$1,'Monthly UPC'!$CM$1:$DJ$1))*(INDEX('Monthly CUST'!$N$2:$CG$65,MATCH($D46,'Monthly CUST'!$D$2:$D$65,0),MATCH(BN$1,'Monthly CUST'!$N$1:$CG$1,0))),IF($J46="UPC Growth Rate",((BB46/INDEX('Monthly CUST'!$N$2:$CG$65,MATCH($D46,'Monthly CUST'!$D$2:$D$65,0),MATCH(BB$1,'Monthly CUST'!$N$1:$CG$1,0)))*(1+$L46)*INDEX('Monthly CUST'!$N$2:$CG$65,MATCH($D46,'Monthly CUST'!$D$2:$D$65,0),MATCH(BN$1,'Monthly CUST'!$N$1:$CG$1,0))),IF($J46="Modeled UPC",INDEX('Monthly CUST'!$N$2:$CG$65,MATCH($D46,'Monthly CUST'!$D$2:$D$65,0),MATCH(BN$1,'Monthly CUST'!$N$1:$CG$1,0))/12*$M46,IF($J46="Base Period",BB46,IF($J46="Adjusted",SUMIF('Input 15_Fcst Inputs'!$A:$A,$D46,'Input 15_Fcst Inputs'!$G:$G)/12))))),0)</f>
        <v>481.12670779266881</v>
      </c>
      <c r="BO46" s="483">
        <f>IFERROR(IF($J46="Historical Average",INDEX('Monthly UPC'!$CM$2:$DJ$65,MATCH($D46,'Monthly UPC'!$D$2:$D$65,0),MATCH(BO$1,'Monthly UPC'!$CM$1:$DJ$1))*(INDEX('Monthly CUST'!$N$2:$CG$65,MATCH($D46,'Monthly CUST'!$D$2:$D$65,0),MATCH(BO$1,'Monthly CUST'!$N$1:$CG$1,0))),IF($J46="UPC Growth Rate",((BC46/INDEX('Monthly CUST'!$N$2:$CG$65,MATCH($D46,'Monthly CUST'!$D$2:$D$65,0),MATCH(BC$1,'Monthly CUST'!$N$1:$CG$1,0)))*(1+$L46)*INDEX('Monthly CUST'!$N$2:$CG$65,MATCH($D46,'Monthly CUST'!$D$2:$D$65,0),MATCH(BO$1,'Monthly CUST'!$N$1:$CG$1,0))),IF($J46="Modeled UPC",INDEX('Monthly CUST'!$N$2:$CG$65,MATCH($D46,'Monthly CUST'!$D$2:$D$65,0),MATCH(BO$1,'Monthly CUST'!$N$1:$CG$1,0))/12*$M46,IF($J46="Base Period",BC46,IF($J46="Adjusted",SUMIF('Input 15_Fcst Inputs'!$A:$A,$D46,'Input 15_Fcst Inputs'!$G:$G)/12))))),0)</f>
        <v>338.61927266836278</v>
      </c>
      <c r="BP46" s="483">
        <f>IFERROR(IF($J46="Historical Average",INDEX('Monthly UPC'!$CM$2:$DJ$65,MATCH($D46,'Monthly UPC'!$D$2:$D$65,0),MATCH(BP$1,'Monthly UPC'!$CM$1:$DJ$1))*(INDEX('Monthly CUST'!$N$2:$CG$65,MATCH($D46,'Monthly CUST'!$D$2:$D$65,0),MATCH(BP$1,'Monthly CUST'!$N$1:$CG$1,0))),IF($J46="UPC Growth Rate",((BD46/INDEX('Monthly CUST'!$N$2:$CG$65,MATCH($D46,'Monthly CUST'!$D$2:$D$65,0),MATCH(BD$1,'Monthly CUST'!$N$1:$CG$1,0)))*(1+$L46)*INDEX('Monthly CUST'!$N$2:$CG$65,MATCH($D46,'Monthly CUST'!$D$2:$D$65,0),MATCH(BP$1,'Monthly CUST'!$N$1:$CG$1,0))),IF($J46="Modeled UPC",INDEX('Monthly CUST'!$N$2:$CG$65,MATCH($D46,'Monthly CUST'!$D$2:$D$65,0),MATCH(BP$1,'Monthly CUST'!$N$1:$CG$1,0))/12*$M46,IF($J46="Base Period",BD46,IF($J46="Adjusted",SUMIF('Input 15_Fcst Inputs'!$A:$A,$D46,'Input 15_Fcst Inputs'!$G:$G)/12))))),0)</f>
        <v>293.11742512801453</v>
      </c>
      <c r="BQ46" s="483">
        <f>IFERROR(IF($J46="Historical Average",INDEX('Monthly UPC'!$CM$2:$DJ$65,MATCH($D46,'Monthly UPC'!$D$2:$D$65,0),MATCH(BQ$1,'Monthly UPC'!$CM$1:$DJ$1))*(INDEX('Monthly CUST'!$N$2:$CG$65,MATCH($D46,'Monthly CUST'!$D$2:$D$65,0),MATCH(BQ$1,'Monthly CUST'!$N$1:$CG$1,0))),IF($J46="UPC Growth Rate",((BE46/INDEX('Monthly CUST'!$N$2:$CG$65,MATCH($D46,'Monthly CUST'!$D$2:$D$65,0),MATCH(BE$1,'Monthly CUST'!$N$1:$CG$1,0)))*(1+$L46)*INDEX('Monthly CUST'!$N$2:$CG$65,MATCH($D46,'Monthly CUST'!$D$2:$D$65,0),MATCH(BQ$1,'Monthly CUST'!$N$1:$CG$1,0))),IF($J46="Modeled UPC",INDEX('Monthly CUST'!$N$2:$CG$65,MATCH($D46,'Monthly CUST'!$D$2:$D$65,0),MATCH(BQ$1,'Monthly CUST'!$N$1:$CG$1,0))/12*$M46,IF($J46="Base Period",BE46,IF($J46="Adjusted",SUMIF('Input 15_Fcst Inputs'!$A:$A,$D46,'Input 15_Fcst Inputs'!$G:$G)/12))))),0)</f>
        <v>165.72725674629743</v>
      </c>
      <c r="BR46" s="483">
        <f>IFERROR(IF($J46="Historical Average",INDEX('Monthly UPC'!$CM$2:$DJ$65,MATCH($D46,'Monthly UPC'!$D$2:$D$65,0),MATCH(BR$1,'Monthly UPC'!$CM$1:$DJ$1))*(INDEX('Monthly CUST'!$N$2:$CG$65,MATCH($D46,'Monthly CUST'!$D$2:$D$65,0),MATCH(BR$1,'Monthly CUST'!$N$1:$CG$1,0))),IF($J46="UPC Growth Rate",((BF46/INDEX('Monthly CUST'!$N$2:$CG$65,MATCH($D46,'Monthly CUST'!$D$2:$D$65,0),MATCH(BF$1,'Monthly CUST'!$N$1:$CG$1,0)))*(1+$L46)*INDEX('Monthly CUST'!$N$2:$CG$65,MATCH($D46,'Monthly CUST'!$D$2:$D$65,0),MATCH(BR$1,'Monthly CUST'!$N$1:$CG$1,0))),IF($J46="Modeled UPC",INDEX('Monthly CUST'!$N$2:$CG$65,MATCH($D46,'Monthly CUST'!$D$2:$D$65,0),MATCH(BR$1,'Monthly CUST'!$N$1:$CG$1,0))/12*$M46,IF($J46="Base Period",BF46,IF($J46="Adjusted",SUMIF('Input 15_Fcst Inputs'!$A:$A,$D46,'Input 15_Fcst Inputs'!$G:$G)/12))))),0)</f>
        <v>233.35170493538476</v>
      </c>
      <c r="BS46" s="483">
        <f>IFERROR(IF($J46="Historical Average",INDEX('Monthly UPC'!$CM$2:$DJ$65,MATCH($D46,'Monthly UPC'!$D$2:$D$65,0),MATCH(BS$1,'Monthly UPC'!$CM$1:$DJ$1))*(INDEX('Monthly CUST'!$N$2:$CG$65,MATCH($D46,'Monthly CUST'!$D$2:$D$65,0),MATCH(BS$1,'Monthly CUST'!$N$1:$CG$1,0))),IF($J46="UPC Growth Rate",((BG46/INDEX('Monthly CUST'!$N$2:$CG$65,MATCH($D46,'Monthly CUST'!$D$2:$D$65,0),MATCH(BG$1,'Monthly CUST'!$N$1:$CG$1,0)))*(1+$L46)*INDEX('Monthly CUST'!$N$2:$CG$65,MATCH($D46,'Monthly CUST'!$D$2:$D$65,0),MATCH(BS$1,'Monthly CUST'!$N$1:$CG$1,0))),IF($J46="Modeled UPC",INDEX('Monthly CUST'!$N$2:$CG$65,MATCH($D46,'Monthly CUST'!$D$2:$D$65,0),MATCH(BS$1,'Monthly CUST'!$N$1:$CG$1,0))/12*$M46,IF($J46="Base Period",BG46,IF($J46="Adjusted",SUMIF('Input 15_Fcst Inputs'!$A:$A,$D46,'Input 15_Fcst Inputs'!$G:$G)/12))))),0)</f>
        <v>268.6878470483345</v>
      </c>
      <c r="BT46" s="483">
        <f>IFERROR(IF($J46="Historical Average",INDEX('Monthly UPC'!$CM$2:$DJ$65,MATCH($D46,'Monthly UPC'!$D$2:$D$65,0),MATCH(BT$1,'Monthly UPC'!$CM$1:$DJ$1))*(INDEX('Monthly CUST'!$N$2:$CG$65,MATCH($D46,'Monthly CUST'!$D$2:$D$65,0),MATCH(BT$1,'Monthly CUST'!$N$1:$CG$1,0))),IF($J46="UPC Growth Rate",((BH46/INDEX('Monthly CUST'!$N$2:$CG$65,MATCH($D46,'Monthly CUST'!$D$2:$D$65,0),MATCH(BH$1,'Monthly CUST'!$N$1:$CG$1,0)))*(1+$L46)*INDEX('Monthly CUST'!$N$2:$CG$65,MATCH($D46,'Monthly CUST'!$D$2:$D$65,0),MATCH(BT$1,'Monthly CUST'!$N$1:$CG$1,0))),IF($J46="Modeled UPC",INDEX('Monthly CUST'!$N$2:$CG$65,MATCH($D46,'Monthly CUST'!$D$2:$D$65,0),MATCH(BT$1,'Monthly CUST'!$N$1:$CG$1,0))/12*$M46,IF($J46="Base Period",BH46,IF($J46="Adjusted",SUMIF('Input 15_Fcst Inputs'!$A:$A,$D46,'Input 15_Fcst Inputs'!$G:$G)/12))))),0)</f>
        <v>700.64592609944395</v>
      </c>
      <c r="BU46" s="483">
        <f>IFERROR(IF($J46="Historical Average",INDEX('Monthly UPC'!$CM$2:$DJ$65,MATCH($D46,'Monthly UPC'!$D$2:$D$65,0),MATCH(BU$1,'Monthly UPC'!$CM$1:$DJ$1))*(INDEX('Monthly CUST'!$N$2:$CG$65,MATCH($D46,'Monthly CUST'!$D$2:$D$65,0),MATCH(BU$1,'Monthly CUST'!$N$1:$CG$1,0))),IF($J46="UPC Growth Rate",((BI46/INDEX('Monthly CUST'!$N$2:$CG$65,MATCH($D46,'Monthly CUST'!$D$2:$D$65,0),MATCH(BI$1,'Monthly CUST'!$N$1:$CG$1,0)))*(1+$L46)*INDEX('Monthly CUST'!$N$2:$CG$65,MATCH($D46,'Monthly CUST'!$D$2:$D$65,0),MATCH(BU$1,'Monthly CUST'!$N$1:$CG$1,0))),IF($J46="Modeled UPC",INDEX('Monthly CUST'!$N$2:$CG$65,MATCH($D46,'Monthly CUST'!$D$2:$D$65,0),MATCH(BU$1,'Monthly CUST'!$N$1:$CG$1,0))/12*$M46,IF($J46="Base Period",BI46,IF($J46="Adjusted",SUMIF('Input 15_Fcst Inputs'!$A:$A,$D46,'Input 15_Fcst Inputs'!$G:$G)/12))))),0)</f>
        <v>1461.1701078759538</v>
      </c>
      <c r="BV46" s="483">
        <f>IFERROR(IF($J46="Historical Average",INDEX('Monthly UPC'!$CM$2:$DJ$65,MATCH($D46,'Monthly UPC'!$D$2:$D$65,0),MATCH(BV$1,'Monthly UPC'!$CM$1:$DJ$1))*(INDEX('Monthly CUST'!$N$2:$CG$65,MATCH($D46,'Monthly CUST'!$D$2:$D$65,0),MATCH(BV$1,'Monthly CUST'!$N$1:$CG$1,0))),IF($J46="UPC Growth Rate",((BJ46/INDEX('Monthly CUST'!$N$2:$CG$65,MATCH($D46,'Monthly CUST'!$D$2:$D$65,0),MATCH(BJ$1,'Monthly CUST'!$N$1:$CG$1,0)))*(1+$L46)*INDEX('Monthly CUST'!$N$2:$CG$65,MATCH($D46,'Monthly CUST'!$D$2:$D$65,0),MATCH(BV$1,'Monthly CUST'!$N$1:$CG$1,0))),IF($J46="Modeled UPC",INDEX('Monthly CUST'!$N$2:$CG$65,MATCH($D46,'Monthly CUST'!$D$2:$D$65,0),MATCH(BV$1,'Monthly CUST'!$N$1:$CG$1,0))/12*$M46,IF($J46="Base Period",BJ46,IF($J46="Adjusted",SUMIF('Input 15_Fcst Inputs'!$A:$A,$D46,'Input 15_Fcst Inputs'!$G:$G)/12))))),0)</f>
        <v>1347.5625774525565</v>
      </c>
      <c r="BW46" s="483">
        <f>IFERROR(IF($J46="Historical Average",INDEX('Monthly UPC'!$CM$2:$DJ$65,MATCH($D46,'Monthly UPC'!$D$2:$D$65,0),MATCH(BW$1,'Monthly UPC'!$CM$1:$DJ$1))*(INDEX('Monthly CUST'!$N$2:$CG$65,MATCH($D46,'Monthly CUST'!$D$2:$D$65,0),MATCH(BW$1,'Monthly CUST'!$N$1:$CG$1,0))),IF($J46="UPC Growth Rate",((BK46/INDEX('Monthly CUST'!$N$2:$CG$65,MATCH($D46,'Monthly CUST'!$D$2:$D$65,0),MATCH(BK$1,'Monthly CUST'!$N$1:$CG$1,0)))*(1+$L46)*INDEX('Monthly CUST'!$N$2:$CG$65,MATCH($D46,'Monthly CUST'!$D$2:$D$65,0),MATCH(BW$1,'Monthly CUST'!$N$1:$CG$1,0))),IF($J46="Modeled UPC",INDEX('Monthly CUST'!$N$2:$CG$65,MATCH($D46,'Monthly CUST'!$D$2:$D$65,0),MATCH(BW$1,'Monthly CUST'!$N$1:$CG$1,0))/12*$M46,IF($J46="Base Period",BK46,IF($J46="Adjusted",SUMIF('Input 15_Fcst Inputs'!$A:$A,$D46,'Input 15_Fcst Inputs'!$G:$G)/12))))),0)</f>
        <v>989.12954124031876</v>
      </c>
      <c r="BX46" s="483">
        <f>IFERROR(IF($J46="Historical Average",INDEX('Monthly UPC'!$CM$2:$DJ$65,MATCH($D46,'Monthly UPC'!$D$2:$D$65,0),MATCH(BX$1,'Monthly UPC'!$CM$1:$DJ$1))*(INDEX('Monthly CUST'!$N$2:$CG$65,MATCH($D46,'Monthly CUST'!$D$2:$D$65,0),MATCH(BX$1,'Monthly CUST'!$N$1:$CG$1,0))),IF($J46="UPC Growth Rate",((BL46/INDEX('Monthly CUST'!$N$2:$CG$65,MATCH($D46,'Monthly CUST'!$D$2:$D$65,0),MATCH(BL$1,'Monthly CUST'!$N$1:$CG$1,0)))*(1+$L46)*INDEX('Monthly CUST'!$N$2:$CG$65,MATCH($D46,'Monthly CUST'!$D$2:$D$65,0),MATCH(BX$1,'Monthly CUST'!$N$1:$CG$1,0))),IF($J46="Modeled UPC",INDEX('Monthly CUST'!$N$2:$CG$65,MATCH($D46,'Monthly CUST'!$D$2:$D$65,0),MATCH(BX$1,'Monthly CUST'!$N$1:$CG$1,0))/12*$M46,IF($J46="Base Period",BL46,IF($J46="Adjusted",SUMIF('Input 15_Fcst Inputs'!$A:$A,$D46,'Input 15_Fcst Inputs'!$G:$G)/12))))),0)</f>
        <v>1325.3473981054149</v>
      </c>
      <c r="BY46" s="483">
        <f>IFERROR(IF($J46="Historical Average",INDEX('Monthly UPC'!$CM$2:$DJ$65,MATCH($D46,'Monthly UPC'!$D$2:$D$65,0),MATCH(BY$1,'Monthly UPC'!$CM$1:$DJ$1))*(INDEX('Monthly CUST'!$N$2:$CG$65,MATCH($D46,'Monthly CUST'!$D$2:$D$65,0),MATCH(BY$1,'Monthly CUST'!$N$1:$CG$1,0))),IF($J46="UPC Growth Rate",((BM46/INDEX('Monthly CUST'!$N$2:$CG$65,MATCH($D46,'Monthly CUST'!$D$2:$D$65,0),MATCH(BM$1,'Monthly CUST'!$N$1:$CG$1,0)))*(1+$L46)*INDEX('Monthly CUST'!$N$2:$CG$65,MATCH($D46,'Monthly CUST'!$D$2:$D$65,0),MATCH(BY$1,'Monthly CUST'!$N$1:$CG$1,0))),IF($J46="Modeled UPC",INDEX('Monthly CUST'!$N$2:$CG$65,MATCH($D46,'Monthly CUST'!$D$2:$D$65,0),MATCH(BY$1,'Monthly CUST'!$N$1:$CG$1,0))/12*$M46,IF($J46="Base Period",BM46,IF($J46="Adjusted",SUMIF('Input 15_Fcst Inputs'!$A:$A,$D46,'Input 15_Fcst Inputs'!$G:$G)/12))))),0)</f>
        <v>999.28731326959348</v>
      </c>
      <c r="BZ46" s="483">
        <f>IFERROR(IF($J46="Historical Average",INDEX('Monthly UPC'!$CM$2:$DJ$65,MATCH($D46,'Monthly UPC'!$D$2:$D$65,0),MATCH(BZ$1,'Monthly UPC'!$CM$1:$DJ$1))*(INDEX('Monthly CUST'!$N$2:$CG$65,MATCH($D46,'Monthly CUST'!$D$2:$D$65,0),MATCH(BZ$1,'Monthly CUST'!$N$1:$CG$1,0))),IF($J46="UPC Growth Rate",((BN46/INDEX('Monthly CUST'!$N$2:$CG$65,MATCH($D46,'Monthly CUST'!$D$2:$D$65,0),MATCH(BN$1,'Monthly CUST'!$N$1:$CG$1,0)))*(1+$L46)*INDEX('Monthly CUST'!$N$2:$CG$65,MATCH($D46,'Monthly CUST'!$D$2:$D$65,0),MATCH(BZ$1,'Monthly CUST'!$N$1:$CG$1,0))),IF($J46="Modeled UPC",INDEX('Monthly CUST'!$N$2:$CG$65,MATCH($D46,'Monthly CUST'!$D$2:$D$65,0),MATCH(BZ$1,'Monthly CUST'!$N$1:$CG$1,0))/12*$M46,IF($J46="Base Period",BN46,IF($J46="Adjusted",SUMIF('Input 15_Fcst Inputs'!$A:$A,$D46,'Input 15_Fcst Inputs'!$G:$G)/12))))),0)</f>
        <v>451.19855947179968</v>
      </c>
      <c r="CA46" s="483">
        <f>IFERROR(IF($J46="Historical Average",INDEX('Monthly UPC'!$CM$2:$DJ$65,MATCH($D46,'Monthly UPC'!$D$2:$D$65,0),MATCH(CA$1,'Monthly UPC'!$CM$1:$DJ$1))*(INDEX('Monthly CUST'!$N$2:$CG$65,MATCH($D46,'Monthly CUST'!$D$2:$D$65,0),MATCH(CA$1,'Monthly CUST'!$N$1:$CG$1,0))),IF($J46="UPC Growth Rate",((BO46/INDEX('Monthly CUST'!$N$2:$CG$65,MATCH($D46,'Monthly CUST'!$D$2:$D$65,0),MATCH(BO$1,'Monthly CUST'!$N$1:$CG$1,0)))*(1+$L46)*INDEX('Monthly CUST'!$N$2:$CG$65,MATCH($D46,'Monthly CUST'!$D$2:$D$65,0),MATCH(CA$1,'Monthly CUST'!$N$1:$CG$1,0))),IF($J46="Modeled UPC",INDEX('Monthly CUST'!$N$2:$CG$65,MATCH($D46,'Monthly CUST'!$D$2:$D$65,0),MATCH(CA$1,'Monthly CUST'!$N$1:$CG$1,0))/12*$M46,IF($J46="Base Period",BO46,IF($J46="Adjusted",SUMIF('Input 15_Fcst Inputs'!$A:$A,$D46,'Input 15_Fcst Inputs'!$G:$G)/12))))),0)</f>
        <v>317.5556990762463</v>
      </c>
      <c r="CB46" s="483">
        <f>IFERROR(IF($J46="Historical Average",INDEX('Monthly UPC'!$CM$2:$DJ$65,MATCH($D46,'Monthly UPC'!$D$2:$D$65,0),MATCH(CB$1,'Monthly UPC'!$CM$1:$DJ$1))*(INDEX('Monthly CUST'!$N$2:$CG$65,MATCH($D46,'Monthly CUST'!$D$2:$D$65,0),MATCH(CB$1,'Monthly CUST'!$N$1:$CG$1,0))),IF($J46="UPC Growth Rate",((BP46/INDEX('Monthly CUST'!$N$2:$CG$65,MATCH($D46,'Monthly CUST'!$D$2:$D$65,0),MATCH(BP$1,'Monthly CUST'!$N$1:$CG$1,0)))*(1+$L46)*INDEX('Monthly CUST'!$N$2:$CG$65,MATCH($D46,'Monthly CUST'!$D$2:$D$65,0),MATCH(CB$1,'Monthly CUST'!$N$1:$CG$1,0))),IF($J46="Modeled UPC",INDEX('Monthly CUST'!$N$2:$CG$65,MATCH($D46,'Monthly CUST'!$D$2:$D$65,0),MATCH(CB$1,'Monthly CUST'!$N$1:$CG$1,0))/12*$M46,IF($J46="Base Period",BP46,IF($J46="Adjusted",SUMIF('Input 15_Fcst Inputs'!$A:$A,$D46,'Input 15_Fcst Inputs'!$G:$G)/12))))),0)</f>
        <v>274.88426194547344</v>
      </c>
      <c r="CC46" s="483">
        <f>IFERROR(IF($J46="Historical Average",INDEX('Monthly UPC'!$CM$2:$DJ$65,MATCH($D46,'Monthly UPC'!$D$2:$D$65,0),MATCH(CC$1,'Monthly UPC'!$CM$1:$DJ$1))*(INDEX('Monthly CUST'!$N$2:$CG$65,MATCH($D46,'Monthly CUST'!$D$2:$D$65,0),MATCH(CC$1,'Monthly CUST'!$N$1:$CG$1,0))),IF($J46="UPC Growth Rate",((BQ46/INDEX('Monthly CUST'!$N$2:$CG$65,MATCH($D46,'Monthly CUST'!$D$2:$D$65,0),MATCH(BQ$1,'Monthly CUST'!$N$1:$CG$1,0)))*(1+$L46)*INDEX('Monthly CUST'!$N$2:$CG$65,MATCH($D46,'Monthly CUST'!$D$2:$D$65,0),MATCH(CC$1,'Monthly CUST'!$N$1:$CG$1,0))),IF($J46="Modeled UPC",INDEX('Monthly CUST'!$N$2:$CG$65,MATCH($D46,'Monthly CUST'!$D$2:$D$65,0),MATCH(CC$1,'Monthly CUST'!$N$1:$CG$1,0))/12*$M46,IF($J46="Base Period",BQ46,IF($J46="Adjusted",SUMIF('Input 15_Fcst Inputs'!$A:$A,$D46,'Input 15_Fcst Inputs'!$G:$G)/12))))),0)</f>
        <v>155.41830935181744</v>
      </c>
      <c r="CD46" s="483">
        <f>IFERROR(IF($J46="Historical Average",INDEX('Monthly UPC'!$CM$2:$DJ$65,MATCH($D46,'Monthly UPC'!$D$2:$D$65,0),MATCH(CD$1,'Monthly UPC'!$CM$1:$DJ$1))*(INDEX('Monthly CUST'!$N$2:$CG$65,MATCH($D46,'Monthly CUST'!$D$2:$D$65,0),MATCH(CD$1,'Monthly CUST'!$N$1:$CG$1,0))),IF($J46="UPC Growth Rate",((BR46/INDEX('Monthly CUST'!$N$2:$CG$65,MATCH($D46,'Monthly CUST'!$D$2:$D$65,0),MATCH(BR$1,'Monthly CUST'!$N$1:$CG$1,0)))*(1+$L46)*INDEX('Monthly CUST'!$N$2:$CG$65,MATCH($D46,'Monthly CUST'!$D$2:$D$65,0),MATCH(CD$1,'Monthly CUST'!$N$1:$CG$1,0))),IF($J46="Modeled UPC",INDEX('Monthly CUST'!$N$2:$CG$65,MATCH($D46,'Monthly CUST'!$D$2:$D$65,0),MATCH(CD$1,'Monthly CUST'!$N$1:$CG$1,0))/12*$M46,IF($J46="Base Period",BR46,IF($J46="Adjusted",SUMIF('Input 15_Fcst Inputs'!$A:$A,$D46,'Input 15_Fcst Inputs'!$G:$G)/12))))),0)</f>
        <v>218.83622632420068</v>
      </c>
      <c r="CE46" s="483">
        <f>IFERROR(IF($J46="Historical Average",INDEX('Monthly UPC'!$CM$2:$DJ$65,MATCH($D46,'Monthly UPC'!$D$2:$D$65,0),MATCH(CE$1,'Monthly UPC'!$CM$1:$DJ$1))*(INDEX('Monthly CUST'!$N$2:$CG$65,MATCH($D46,'Monthly CUST'!$D$2:$D$65,0),MATCH(CE$1,'Monthly CUST'!$N$1:$CG$1,0))),IF($J46="UPC Growth Rate",((BS46/INDEX('Monthly CUST'!$N$2:$CG$65,MATCH($D46,'Monthly CUST'!$D$2:$D$65,0),MATCH(BS$1,'Monthly CUST'!$N$1:$CG$1,0)))*(1+$L46)*INDEX('Monthly CUST'!$N$2:$CG$65,MATCH($D46,'Monthly CUST'!$D$2:$D$65,0),MATCH(CE$1,'Monthly CUST'!$N$1:$CG$1,0))),IF($J46="Modeled UPC",INDEX('Monthly CUST'!$N$2:$CG$65,MATCH($D46,'Monthly CUST'!$D$2:$D$65,0),MATCH(CE$1,'Monthly CUST'!$N$1:$CG$1,0))/12*$M46,IF($J46="Base Period",BS46,IF($J46="Adjusted",SUMIF('Input 15_Fcst Inputs'!$A:$A,$D46,'Input 15_Fcst Inputs'!$G:$G)/12))))),0)</f>
        <v>251.9743085807448</v>
      </c>
      <c r="CF46" s="483">
        <f>IFERROR(IF($J46="Historical Average",INDEX('Monthly UPC'!$CM$2:$DJ$65,MATCH($D46,'Monthly UPC'!$D$2:$D$65,0),MATCH(CF$1,'Monthly UPC'!$CM$1:$DJ$1))*(INDEX('Monthly CUST'!$N$2:$CG$65,MATCH($D46,'Monthly CUST'!$D$2:$D$65,0),MATCH(CF$1,'Monthly CUST'!$N$1:$CG$1,0))),IF($J46="UPC Growth Rate",((BT46/INDEX('Monthly CUST'!$N$2:$CG$65,MATCH($D46,'Monthly CUST'!$D$2:$D$65,0),MATCH(BT$1,'Monthly CUST'!$N$1:$CG$1,0)))*(1+$L46)*INDEX('Monthly CUST'!$N$2:$CG$65,MATCH($D46,'Monthly CUST'!$D$2:$D$65,0),MATCH(CF$1,'Monthly CUST'!$N$1:$CG$1,0))),IF($J46="Modeled UPC",INDEX('Monthly CUST'!$N$2:$CG$65,MATCH($D46,'Monthly CUST'!$D$2:$D$65,0),MATCH(CF$1,'Monthly CUST'!$N$1:$CG$1,0))/12*$M46,IF($J46="Base Period",BT46,IF($J46="Adjusted",SUMIF('Input 15_Fcst Inputs'!$A:$A,$D46,'Input 15_Fcst Inputs'!$G:$G)/12))))),0)</f>
        <v>657.06273926510789</v>
      </c>
      <c r="CG46" s="483">
        <f>IFERROR(IF($J46="Historical Average",INDEX('Monthly UPC'!$CM$2:$DJ$65,MATCH($D46,'Monthly UPC'!$D$2:$D$65,0),MATCH(CG$1,'Monthly UPC'!$CM$1:$DJ$1))*(INDEX('Monthly CUST'!$N$2:$CG$65,MATCH($D46,'Monthly CUST'!$D$2:$D$65,0),MATCH(CG$1,'Monthly CUST'!$N$1:$CG$1,0))),IF($J46="UPC Growth Rate",((BU46/INDEX('Monthly CUST'!$N$2:$CG$65,MATCH($D46,'Monthly CUST'!$D$2:$D$65,0),MATCH(BU$1,'Monthly CUST'!$N$1:$CG$1,0)))*(1+$L46)*INDEX('Monthly CUST'!$N$2:$CG$65,MATCH($D46,'Monthly CUST'!$D$2:$D$65,0),MATCH(CG$1,'Monthly CUST'!$N$1:$CG$1,0))),IF($J46="Modeled UPC",INDEX('Monthly CUST'!$N$2:$CG$65,MATCH($D46,'Monthly CUST'!$D$2:$D$65,0),MATCH(CG$1,'Monthly CUST'!$N$1:$CG$1,0))/12*$M46,IF($J46="Base Period",BU46,IF($J46="Adjusted",SUMIF('Input 15_Fcst Inputs'!$A:$A,$D46,'Input 15_Fcst Inputs'!$G:$G)/12))))),0)</f>
        <v>1370.2790494452991</v>
      </c>
      <c r="CH46" s="197"/>
      <c r="CI46" s="197">
        <f t="shared" si="8"/>
        <v>11406.02</v>
      </c>
      <c r="CJ46" s="197">
        <f t="shared" si="9"/>
        <v>9720.6400000000012</v>
      </c>
      <c r="CK46" s="197">
        <f t="shared" si="10"/>
        <v>7897.3099999999995</v>
      </c>
      <c r="CL46" s="197">
        <f t="shared" si="11"/>
        <v>9504.16</v>
      </c>
      <c r="CM46" s="197">
        <f t="shared" si="12"/>
        <v>8912.960414655332</v>
      </c>
      <c r="CN46" s="197">
        <f t="shared" si="13"/>
        <v>8358.5359835285726</v>
      </c>
      <c r="CP46" s="4">
        <f>SUMIF('Master '!D:D,D46,'Master '!AH:AH)</f>
        <v>8912.9604146553302</v>
      </c>
      <c r="CQ46" s="4">
        <f>SUMIF('Master '!D:D,D46,'Master '!AI:AI)</f>
        <v>8358.5359835285726</v>
      </c>
      <c r="CR46" s="197">
        <f t="shared" si="14"/>
        <v>0</v>
      </c>
      <c r="CS46" s="197">
        <f t="shared" si="15"/>
        <v>0</v>
      </c>
      <c r="CT46" t="s">
        <v>287</v>
      </c>
      <c r="CV46" t="str">
        <f>VLOOKUP(G46,'Master '!G:CC,75,FALSE)</f>
        <v>FTS-2.1</v>
      </c>
    </row>
    <row r="47" spans="1:100">
      <c r="A47" s="53" t="s">
        <v>17</v>
      </c>
      <c r="B47" s="53" t="s">
        <v>993</v>
      </c>
      <c r="C47" s="53" t="s">
        <v>1245</v>
      </c>
      <c r="D47" s="53" t="s">
        <v>1256</v>
      </c>
      <c r="E47" s="53" t="str">
        <f>VLOOKUP(D47,'Input 14_Ref Table'!C:D,2,FALSE)</f>
        <v>CC816</v>
      </c>
      <c r="F47" s="143" t="s">
        <v>1286</v>
      </c>
      <c r="G47" s="53" t="str">
        <f>VLOOKUP(D47,'Input 14_Ref Table'!C:I,7,FALSE)</f>
        <v>CFG - FTS-2.1 NR</v>
      </c>
      <c r="H47" s="53" t="str">
        <f>VLOOKUP(D47,'Input 14_Ref Table'!C:K,8,FALSE)</f>
        <v>FTS2.1</v>
      </c>
      <c r="I47" s="53"/>
      <c r="J47" t="str">
        <f>INDEX('Master '!$AD$2:AD$65,MATCH(D47,'Master '!$D$2:$D$65,0))</f>
        <v>UPC Growth Rate</v>
      </c>
      <c r="K47" s="458">
        <f>INDEX('Master '!$N$2:N$65,MATCH(D47,'Master '!$D$2:$D$65,0))</f>
        <v>2.748906551832106E-2</v>
      </c>
      <c r="L47" s="137">
        <f>INDEX('Master '!$S$2:S$65,MATCH(D47,'Master '!$D$2:$D$65,0))</f>
        <v>-1.8059022170019087E-2</v>
      </c>
      <c r="M47" s="4">
        <f>INDEX('Master '!$W$2:W$65,MATCH(D47,'Master '!$D$2:$D$65,0))</f>
        <v>1672</v>
      </c>
      <c r="N47" s="268">
        <f>SUMIF('Input 16.1_2018VOL-YTD'!$R:$R,$G47,'Input 16.1_2018VOL-YTD'!C:C)</f>
        <v>51814.99</v>
      </c>
      <c r="O47" s="268">
        <f>SUMIF('Input 16.1_2018VOL-YTD'!$R:$R,$G47,'Input 16.1_2018VOL-YTD'!D:D)</f>
        <v>44807.96</v>
      </c>
      <c r="P47" s="268">
        <f>SUMIF('Input 16.1_2018VOL-YTD'!$R:$R,$G47,'Input 16.1_2018VOL-YTD'!E:E)</f>
        <v>43319</v>
      </c>
      <c r="Q47" s="268">
        <f>SUMIF('Input 16.1_2018VOL-YTD'!$R:$R,$G47,'Input 16.1_2018VOL-YTD'!F:F)</f>
        <v>32291.19</v>
      </c>
      <c r="R47" s="268">
        <f>SUMIF('Input 16.1_2018VOL-YTD'!$R:$R,$G47,'Input 16.1_2018VOL-YTD'!G:G)</f>
        <v>28555.68</v>
      </c>
      <c r="S47" s="268">
        <f>SUMIF('Input 16.1_2018VOL-YTD'!$R:$R,$G47,'Input 16.1_2018VOL-YTD'!H:H)</f>
        <v>26023.95</v>
      </c>
      <c r="T47" s="268">
        <f>SUMIF('Input 16.1_2018VOL-YTD'!$R:$R,$G47,'Input 16.1_2018VOL-YTD'!I:I)</f>
        <v>22880</v>
      </c>
      <c r="U47" s="268">
        <f>SUMIF('Input 16.1_2018VOL-YTD'!$R:$R,$G47,'Input 16.1_2018VOL-YTD'!J:J)</f>
        <v>25342.76</v>
      </c>
      <c r="V47" s="268">
        <f>SUMIF('Input 16.1_2018VOL-YTD'!$R:$R,$G47,'Input 16.1_2018VOL-YTD'!K:K)</f>
        <v>28310.21</v>
      </c>
      <c r="W47" s="268">
        <f>SUMIF('Input 16.1_2018VOL-YTD'!$R:$R,$G47,'Input 16.1_2018VOL-YTD'!L:L)</f>
        <v>27304.54</v>
      </c>
      <c r="X47" s="268">
        <f>SUMIF('Input 16.1_2018VOL-YTD'!$R:$R,$G47,'Input 16.1_2018VOL-YTD'!M:M)</f>
        <v>30584.5</v>
      </c>
      <c r="Y47" s="268">
        <f>SUMIF('Input 16.1_2018VOL-YTD'!$R:$R,$G47,'Input 16.1_2018VOL-YTD'!N:N)</f>
        <v>37168.730000000003</v>
      </c>
      <c r="Z47" s="268">
        <f>SUMIF('Input 3.1_2019VOL-YTD'!$R:$R,$G47,'Input 3.1_2019VOL-YTD'!C:C)</f>
        <v>36791.160000000003</v>
      </c>
      <c r="AA47" s="268">
        <f>SUMIF('Input 3.1_2019VOL-YTD'!$R:$R,$G47,'Input 3.1_2019VOL-YTD'!D:D)</f>
        <v>36394.25</v>
      </c>
      <c r="AB47" s="268">
        <f>SUMIF('Input 3.1_2019VOL-YTD'!$R:$R,$G47,'Input 3.1_2019VOL-YTD'!E:E)</f>
        <v>35747.49</v>
      </c>
      <c r="AC47" s="268">
        <f>SUMIF('Input 3.1_2019VOL-YTD'!$R:$R,$G47,'Input 3.1_2019VOL-YTD'!F:F)</f>
        <v>28696.35</v>
      </c>
      <c r="AD47" s="268">
        <f>SUMIF('Input 3.1_2019VOL-YTD'!$R:$R,$G47,'Input 3.1_2019VOL-YTD'!G:G)</f>
        <v>32983.85</v>
      </c>
      <c r="AE47" s="268">
        <f>SUMIF('Input 3.1_2019VOL-YTD'!$R:$R,$G47,'Input 3.1_2019VOL-YTD'!H:H)</f>
        <v>28355.39</v>
      </c>
      <c r="AF47" s="268">
        <f>SUMIF('Input 3.1_2019VOL-YTD'!$R:$R,$G47,'Input 3.1_2019VOL-YTD'!I:I)</f>
        <v>23829.27</v>
      </c>
      <c r="AG47" s="268">
        <f>SUMIF('Input 3.1_2019VOL-YTD'!$R:$R,$G47,'Input 3.1_2019VOL-YTD'!J:J)</f>
        <v>27101.06</v>
      </c>
      <c r="AH47" s="268">
        <f>SUMIF('Input 3.1_2019VOL-YTD'!$R:$R,$G47,'Input 3.1_2019VOL-YTD'!K:K)</f>
        <v>29564.67</v>
      </c>
      <c r="AI47" s="268">
        <f>SUMIF('Input 3.1_2019VOL-YTD'!$R:$R,$G47,'Input 3.1_2019VOL-YTD'!L:L)</f>
        <v>29540.52</v>
      </c>
      <c r="AJ47" s="268">
        <f>SUMIF('Input 3.1_2019VOL-YTD'!$R:$R,$G47,'Input 3.1_2019VOL-YTD'!M:M)</f>
        <v>32114.38</v>
      </c>
      <c r="AK47" s="268">
        <f>SUMIF('Input 3.1_2019VOL-YTD'!$R:$R,$G47,'Input 3.1_2019VOL-YTD'!N:N)</f>
        <v>37212.589999999997</v>
      </c>
      <c r="AL47" s="268">
        <f>SUMIF('Input 4.1_2020VOL-YTD'!$R:$R,$G47,'Input 4.1_2020VOL-YTD'!C:C)</f>
        <v>36956.980000000003</v>
      </c>
      <c r="AM47" s="268">
        <f>SUMIF('Input 4.1_2020VOL-YTD'!$R:$R,$G47,'Input 4.1_2020VOL-YTD'!D:D)</f>
        <v>36464.339999999997</v>
      </c>
      <c r="AN47" s="268">
        <f>SUMIF('Input 4.1_2020VOL-YTD'!$R:$R,$G47,'Input 4.1_2020VOL-YTD'!E:E)</f>
        <v>32532.69</v>
      </c>
      <c r="AO47" s="268">
        <f>SUMIF('Input 4.1_2020VOL-YTD'!$R:$R,$G47,'Input 4.1_2020VOL-YTD'!F:F)</f>
        <v>25008.84</v>
      </c>
      <c r="AP47" s="268">
        <f>SUMIF('Input 4.1_2020VOL-YTD'!$R:$R,$G47,'Input 4.1_2020VOL-YTD'!G:G)</f>
        <v>27917.360000000001</v>
      </c>
      <c r="AQ47" s="268">
        <f>SUMIF('Input 4.1_2020VOL-YTD'!$R:$R,$G47,'Input 4.1_2020VOL-YTD'!H:H)</f>
        <v>27467.05</v>
      </c>
      <c r="AR47" s="268">
        <f>SUMIF('Input 4.1_2020VOL-YTD'!$R:$R,$G47,'Input 4.1_2020VOL-YTD'!I:I)</f>
        <v>28227.9</v>
      </c>
      <c r="AS47" s="268">
        <f>SUMIF('Input 4.1_2020VOL-YTD'!$R:$R,$G47,'Input 4.1_2020VOL-YTD'!J:J)</f>
        <v>25631.05</v>
      </c>
      <c r="AT47" s="268">
        <f>SUMIF('Input 4.1_2020VOL-YTD'!$R:$R,$G47,'Input 4.1_2020VOL-YTD'!K:K)</f>
        <v>32964.129999999997</v>
      </c>
      <c r="AU47" s="268">
        <f>SUMIF('Input 4.1_2020VOL-YTD'!$R:$R,$G47,'Input 4.1_2020VOL-YTD'!L:L)</f>
        <v>32162.05</v>
      </c>
      <c r="AV47" s="268">
        <f>SUMIF('Input 4.1_2020VOL-YTD'!$R:$R,$G47,'Input 4.1_2020VOL-YTD'!M:M)</f>
        <v>30654.14</v>
      </c>
      <c r="AW47" s="268">
        <f>SUMIF('Input 4.1_2020VOL-YTD'!$R:$R,$G47,'Input 4.1_2020VOL-YTD'!N:N)</f>
        <v>39269.379999999997</v>
      </c>
      <c r="AX47" s="268">
        <f>SUMIF('Input 5.1_2021VOL-YTD'!$R:$R,$G47,'Input 5.1_2021VOL-YTD'!C:C)</f>
        <v>41904.959999999999</v>
      </c>
      <c r="AY47" s="268">
        <f>SUMIF('Input 5.1_2021VOL-YTD'!$R:$R,$G47,'Input 5.1_2021VOL-YTD'!D:D)</f>
        <v>36380.699999999997</v>
      </c>
      <c r="AZ47" s="268">
        <f>SUMIF('Input 5.1_2021VOL-YTD'!$R:$R,$G47,'Input 5.1_2021VOL-YTD'!E:E)</f>
        <v>34376.660000000003</v>
      </c>
      <c r="BA47" s="268">
        <f>SUMIF('Input 5.1_2021VOL-YTD'!$R:$R,$G47,'Input 5.1_2021VOL-YTD'!F:F)</f>
        <v>38181.82</v>
      </c>
      <c r="BB47" s="268">
        <f>SUMIF('Input 5.1_2021VOL-YTD'!$R:$R,$G47,'Input 5.1_2021VOL-YTD'!G:G)</f>
        <v>30331.119999999999</v>
      </c>
      <c r="BC47" s="268">
        <f>SUMIF('Input 5.1_2021VOL-YTD'!$R:$R,$G47,'Input 5.1_2021VOL-YTD'!H:H)</f>
        <v>28602.59</v>
      </c>
      <c r="BD47" s="268">
        <f>SUMIF('Input 5.1_2021VOL-YTD'!$R:$R,$G47,'Input 5.1_2021VOL-YTD'!I:I)</f>
        <v>28899.439999999999</v>
      </c>
      <c r="BE47" s="268">
        <f>SUMIF('Input 5.1_2021VOL-YTD'!$R:$R,$G47,'Input 5.1_2021VOL-YTD'!J:J)</f>
        <v>29251.77</v>
      </c>
      <c r="BF47" s="268">
        <f>SUMIF('Input 5.1_2021VOL-YTD'!$R:$R,$G47,'Input 5.1_2021VOL-YTD'!K:K)</f>
        <v>30368.86</v>
      </c>
      <c r="BG47" s="268">
        <f>SUMIF('Input 5.1_2021VOL-YTD'!$R:$R,$G47,'Input 5.1_2021VOL-YTD'!L:L)</f>
        <v>29735.84</v>
      </c>
      <c r="BH47" s="268">
        <f>SUMIF('Input 5.1_2021VOL-YTD'!$R:$R,$G47,'Input 5.1_2021VOL-YTD'!M:M)</f>
        <v>29613.919999999998</v>
      </c>
      <c r="BI47" s="268">
        <f>SUMIF('Input 5.1_2021VOL-YTD'!$R:$R,$G47,'Input 5.1_2021VOL-YTD'!N:N)</f>
        <v>40241.300000000003</v>
      </c>
      <c r="BJ47" s="483">
        <f>IFERROR(IF($J47="Historical Average",INDEX('Monthly UPC'!$CM$2:$DJ$65,MATCH($D47,'Monthly UPC'!$D$2:$D$65,0),MATCH(BJ$1,'Monthly UPC'!$CM$1:$DJ$1))*(INDEX('Monthly CUST'!$N$2:$CG$65,MATCH($D47,'Monthly CUST'!$D$2:$D$65,0),MATCH(BJ$1,'Monthly CUST'!$N$1:$CG$1,0))),IF($J47="UPC Growth Rate",((AX47/INDEX('Monthly CUST'!$N$2:$CG$65,MATCH($D47,'Monthly CUST'!$D$2:$D$65,0),MATCH(AX$1,'Monthly CUST'!$N$1:$CG$1,0)))*(1+$L47)*INDEX('Monthly CUST'!$N$2:$CG$65,MATCH($D47,'Monthly CUST'!$D$2:$D$65,0),MATCH(BJ$1,'Monthly CUST'!$N$1:$CG$1,0))),IF($J47="Modeled UPC",INDEX('Monthly CUST'!$N$2:$CG$65,MATCH($D47,'Monthly CUST'!$D$2:$D$65,0),MATCH(BJ$1,'Monthly CUST'!$N$1:$CG$1,0))/12*$M47,IF($J47="Base Period",AX47,IF($J47="Adjusted",SUMIF('Input 15_Fcst Inputs'!$A:$A,$D47,'Input 15_Fcst Inputs'!$G:$G)/12))))),0)</f>
        <v>42279.322892569631</v>
      </c>
      <c r="BK47" s="483">
        <f>IFERROR(IF($J47="Historical Average",INDEX('Monthly UPC'!$CM$2:$DJ$65,MATCH($D47,'Monthly UPC'!$D$2:$D$65,0),MATCH(BK$1,'Monthly UPC'!$CM$1:$DJ$1))*(INDEX('Monthly CUST'!$N$2:$CG$65,MATCH($D47,'Monthly CUST'!$D$2:$D$65,0),MATCH(BK$1,'Monthly CUST'!$N$1:$CG$1,0))),IF($J47="UPC Growth Rate",((AY47/INDEX('Monthly CUST'!$N$2:$CG$65,MATCH($D47,'Monthly CUST'!$D$2:$D$65,0),MATCH(AY$1,'Monthly CUST'!$N$1:$CG$1,0)))*(1+$L47)*INDEX('Monthly CUST'!$N$2:$CG$65,MATCH($D47,'Monthly CUST'!$D$2:$D$65,0),MATCH(BK$1,'Monthly CUST'!$N$1:$CG$1,0))),IF($J47="Modeled UPC",INDEX('Monthly CUST'!$N$2:$CG$65,MATCH($D47,'Monthly CUST'!$D$2:$D$65,0),MATCH(BK$1,'Monthly CUST'!$N$1:$CG$1,0))/12*$M47,IF($J47="Base Period",AY47,IF($J47="Adjusted",SUMIF('Input 15_Fcst Inputs'!$A:$A,$D47,'Input 15_Fcst Inputs'!$G:$G)/12))))),0)</f>
        <v>36705.711265628415</v>
      </c>
      <c r="BL47" s="483">
        <f>IFERROR(IF($J47="Historical Average",INDEX('Monthly UPC'!$CM$2:$DJ$65,MATCH($D47,'Monthly UPC'!$D$2:$D$65,0),MATCH(BL$1,'Monthly UPC'!$CM$1:$DJ$1))*(INDEX('Monthly CUST'!$N$2:$CG$65,MATCH($D47,'Monthly CUST'!$D$2:$D$65,0),MATCH(BL$1,'Monthly CUST'!$N$1:$CG$1,0))),IF($J47="UPC Growth Rate",((AZ47/INDEX('Monthly CUST'!$N$2:$CG$65,MATCH($D47,'Monthly CUST'!$D$2:$D$65,0),MATCH(AZ$1,'Monthly CUST'!$N$1:$CG$1,0)))*(1+$L47)*INDEX('Monthly CUST'!$N$2:$CG$65,MATCH($D47,'Monthly CUST'!$D$2:$D$65,0),MATCH(BL$1,'Monthly CUST'!$N$1:$CG$1,0))),IF($J47="Modeled UPC",INDEX('Monthly CUST'!$N$2:$CG$65,MATCH($D47,'Monthly CUST'!$D$2:$D$65,0),MATCH(BL$1,'Monthly CUST'!$N$1:$CG$1,0))/12*$M47,IF($J47="Base Period",AZ47,IF($J47="Adjusted",SUMIF('Input 15_Fcst Inputs'!$A:$A,$D47,'Input 15_Fcst Inputs'!$G:$G)/12))))),0)</f>
        <v>34683.767938403544</v>
      </c>
      <c r="BM47" s="483">
        <f>IFERROR(IF($J47="Historical Average",INDEX('Monthly UPC'!$CM$2:$DJ$65,MATCH($D47,'Monthly UPC'!$D$2:$D$65,0),MATCH(BM$1,'Monthly UPC'!$CM$1:$DJ$1))*(INDEX('Monthly CUST'!$N$2:$CG$65,MATCH($D47,'Monthly CUST'!$D$2:$D$65,0),MATCH(BM$1,'Monthly CUST'!$N$1:$CG$1,0))),IF($J47="UPC Growth Rate",((BA47/INDEX('Monthly CUST'!$N$2:$CG$65,MATCH($D47,'Monthly CUST'!$D$2:$D$65,0),MATCH(BA$1,'Monthly CUST'!$N$1:$CG$1,0)))*(1+$L47)*INDEX('Monthly CUST'!$N$2:$CG$65,MATCH($D47,'Monthly CUST'!$D$2:$D$65,0),MATCH(BM$1,'Monthly CUST'!$N$1:$CG$1,0))),IF($J47="Modeled UPC",INDEX('Monthly CUST'!$N$2:$CG$65,MATCH($D47,'Monthly CUST'!$D$2:$D$65,0),MATCH(BM$1,'Monthly CUST'!$N$1:$CG$1,0))/12*$M47,IF($J47="Base Period",BA47,IF($J47="Adjusted",SUMIF('Input 15_Fcst Inputs'!$A:$A,$D47,'Input 15_Fcst Inputs'!$G:$G)/12))))),0)</f>
        <v>38522.921783148653</v>
      </c>
      <c r="BN47" s="483">
        <f>IFERROR(IF($J47="Historical Average",INDEX('Monthly UPC'!$CM$2:$DJ$65,MATCH($D47,'Monthly UPC'!$D$2:$D$65,0),MATCH(BN$1,'Monthly UPC'!$CM$1:$DJ$1))*(INDEX('Monthly CUST'!$N$2:$CG$65,MATCH($D47,'Monthly CUST'!$D$2:$D$65,0),MATCH(BN$1,'Monthly CUST'!$N$1:$CG$1,0))),IF($J47="UPC Growth Rate",((BB47/INDEX('Monthly CUST'!$N$2:$CG$65,MATCH($D47,'Monthly CUST'!$D$2:$D$65,0),MATCH(BB$1,'Monthly CUST'!$N$1:$CG$1,0)))*(1+$L47)*INDEX('Monthly CUST'!$N$2:$CG$65,MATCH($D47,'Monthly CUST'!$D$2:$D$65,0),MATCH(BN$1,'Monthly CUST'!$N$1:$CG$1,0))),IF($J47="Modeled UPC",INDEX('Monthly CUST'!$N$2:$CG$65,MATCH($D47,'Monthly CUST'!$D$2:$D$65,0),MATCH(BN$1,'Monthly CUST'!$N$1:$CG$1,0))/12*$M47,IF($J47="Base Period",BB47,IF($J47="Adjusted",SUMIF('Input 15_Fcst Inputs'!$A:$A,$D47,'Input 15_Fcst Inputs'!$G:$G)/12))))),0)</f>
        <v>30602.086630634578</v>
      </c>
      <c r="BO47" s="483">
        <f>IFERROR(IF($J47="Historical Average",INDEX('Monthly UPC'!$CM$2:$DJ$65,MATCH($D47,'Monthly UPC'!$D$2:$D$65,0),MATCH(BO$1,'Monthly UPC'!$CM$1:$DJ$1))*(INDEX('Monthly CUST'!$N$2:$CG$65,MATCH($D47,'Monthly CUST'!$D$2:$D$65,0),MATCH(BO$1,'Monthly CUST'!$N$1:$CG$1,0))),IF($J47="UPC Growth Rate",((BC47/INDEX('Monthly CUST'!$N$2:$CG$65,MATCH($D47,'Monthly CUST'!$D$2:$D$65,0),MATCH(BC$1,'Monthly CUST'!$N$1:$CG$1,0)))*(1+$L47)*INDEX('Monthly CUST'!$N$2:$CG$65,MATCH($D47,'Monthly CUST'!$D$2:$D$65,0),MATCH(BO$1,'Monthly CUST'!$N$1:$CG$1,0))),IF($J47="Modeled UPC",INDEX('Monthly CUST'!$N$2:$CG$65,MATCH($D47,'Monthly CUST'!$D$2:$D$65,0),MATCH(BO$1,'Monthly CUST'!$N$1:$CG$1,0))/12*$M47,IF($J47="Base Period",BC47,IF($J47="Adjusted",SUMIF('Input 15_Fcst Inputs'!$A:$A,$D47,'Input 15_Fcst Inputs'!$G:$G)/12))))),0)</f>
        <v>28858.114604423517</v>
      </c>
      <c r="BP47" s="483">
        <f>IFERROR(IF($J47="Historical Average",INDEX('Monthly UPC'!$CM$2:$DJ$65,MATCH($D47,'Monthly UPC'!$D$2:$D$65,0),MATCH(BP$1,'Monthly UPC'!$CM$1:$DJ$1))*(INDEX('Monthly CUST'!$N$2:$CG$65,MATCH($D47,'Monthly CUST'!$D$2:$D$65,0),MATCH(BP$1,'Monthly CUST'!$N$1:$CG$1,0))),IF($J47="UPC Growth Rate",((BD47/INDEX('Monthly CUST'!$N$2:$CG$65,MATCH($D47,'Monthly CUST'!$D$2:$D$65,0),MATCH(BD$1,'Monthly CUST'!$N$1:$CG$1,0)))*(1+$L47)*INDEX('Monthly CUST'!$N$2:$CG$65,MATCH($D47,'Monthly CUST'!$D$2:$D$65,0),MATCH(BP$1,'Monthly CUST'!$N$1:$CG$1,0))),IF($J47="Modeled UPC",INDEX('Monthly CUST'!$N$2:$CG$65,MATCH($D47,'Monthly CUST'!$D$2:$D$65,0),MATCH(BP$1,'Monthly CUST'!$N$1:$CG$1,0))/12*$M47,IF($J47="Base Period",BD47,IF($J47="Adjusted",SUMIF('Input 15_Fcst Inputs'!$A:$A,$D47,'Input 15_Fcst Inputs'!$G:$G)/12))))),0)</f>
        <v>29157.616548839149</v>
      </c>
      <c r="BQ47" s="483">
        <f>IFERROR(IF($J47="Historical Average",INDEX('Monthly UPC'!$CM$2:$DJ$65,MATCH($D47,'Monthly UPC'!$D$2:$D$65,0),MATCH(BQ$1,'Monthly UPC'!$CM$1:$DJ$1))*(INDEX('Monthly CUST'!$N$2:$CG$65,MATCH($D47,'Monthly CUST'!$D$2:$D$65,0),MATCH(BQ$1,'Monthly CUST'!$N$1:$CG$1,0))),IF($J47="UPC Growth Rate",((BE47/INDEX('Monthly CUST'!$N$2:$CG$65,MATCH($D47,'Monthly CUST'!$D$2:$D$65,0),MATCH(BE$1,'Monthly CUST'!$N$1:$CG$1,0)))*(1+$L47)*INDEX('Monthly CUST'!$N$2:$CG$65,MATCH($D47,'Monthly CUST'!$D$2:$D$65,0),MATCH(BQ$1,'Monthly CUST'!$N$1:$CG$1,0))),IF($J47="Modeled UPC",INDEX('Monthly CUST'!$N$2:$CG$65,MATCH($D47,'Monthly CUST'!$D$2:$D$65,0),MATCH(BQ$1,'Monthly CUST'!$N$1:$CG$1,0))/12*$M47,IF($J47="Base Period",BE47,IF($J47="Adjusted",SUMIF('Input 15_Fcst Inputs'!$A:$A,$D47,'Input 15_Fcst Inputs'!$G:$G)/12))))),0)</f>
        <v>29513.09413036504</v>
      </c>
      <c r="BR47" s="483">
        <f>IFERROR(IF($J47="Historical Average",INDEX('Monthly UPC'!$CM$2:$DJ$65,MATCH($D47,'Monthly UPC'!$D$2:$D$65,0),MATCH(BR$1,'Monthly UPC'!$CM$1:$DJ$1))*(INDEX('Monthly CUST'!$N$2:$CG$65,MATCH($D47,'Monthly CUST'!$D$2:$D$65,0),MATCH(BR$1,'Monthly CUST'!$N$1:$CG$1,0))),IF($J47="UPC Growth Rate",((BF47/INDEX('Monthly CUST'!$N$2:$CG$65,MATCH($D47,'Monthly CUST'!$D$2:$D$65,0),MATCH(BF$1,'Monthly CUST'!$N$1:$CG$1,0)))*(1+$L47)*INDEX('Monthly CUST'!$N$2:$CG$65,MATCH($D47,'Monthly CUST'!$D$2:$D$65,0),MATCH(BR$1,'Monthly CUST'!$N$1:$CG$1,0))),IF($J47="Modeled UPC",INDEX('Monthly CUST'!$N$2:$CG$65,MATCH($D47,'Monthly CUST'!$D$2:$D$65,0),MATCH(BR$1,'Monthly CUST'!$N$1:$CG$1,0))/12*$M47,IF($J47="Base Period",BF47,IF($J47="Adjusted",SUMIF('Input 15_Fcst Inputs'!$A:$A,$D47,'Input 15_Fcst Inputs'!$G:$G)/12))))),0)</f>
        <v>30640.163785366753</v>
      </c>
      <c r="BS47" s="483">
        <f>IFERROR(IF($J47="Historical Average",INDEX('Monthly UPC'!$CM$2:$DJ$65,MATCH($D47,'Monthly UPC'!$D$2:$D$65,0),MATCH(BS$1,'Monthly UPC'!$CM$1:$DJ$1))*(INDEX('Monthly CUST'!$N$2:$CG$65,MATCH($D47,'Monthly CUST'!$D$2:$D$65,0),MATCH(BS$1,'Monthly CUST'!$N$1:$CG$1,0))),IF($J47="UPC Growth Rate",((BG47/INDEX('Monthly CUST'!$N$2:$CG$65,MATCH($D47,'Monthly CUST'!$D$2:$D$65,0),MATCH(BG$1,'Monthly CUST'!$N$1:$CG$1,0)))*(1+$L47)*INDEX('Monthly CUST'!$N$2:$CG$65,MATCH($D47,'Monthly CUST'!$D$2:$D$65,0),MATCH(BS$1,'Monthly CUST'!$N$1:$CG$1,0))),IF($J47="Modeled UPC",INDEX('Monthly CUST'!$N$2:$CG$65,MATCH($D47,'Monthly CUST'!$D$2:$D$65,0),MATCH(BS$1,'Monthly CUST'!$N$1:$CG$1,0))/12*$M47,IF($J47="Base Period",BG47,IF($J47="Adjusted",SUMIF('Input 15_Fcst Inputs'!$A:$A,$D47,'Input 15_Fcst Inputs'!$G:$G)/12))))),0)</f>
        <v>30001.48862668734</v>
      </c>
      <c r="BT47" s="483">
        <f>IFERROR(IF($J47="Historical Average",INDEX('Monthly UPC'!$CM$2:$DJ$65,MATCH($D47,'Monthly UPC'!$D$2:$D$65,0),MATCH(BT$1,'Monthly UPC'!$CM$1:$DJ$1))*(INDEX('Monthly CUST'!$N$2:$CG$65,MATCH($D47,'Monthly CUST'!$D$2:$D$65,0),MATCH(BT$1,'Monthly CUST'!$N$1:$CG$1,0))),IF($J47="UPC Growth Rate",((BH47/INDEX('Monthly CUST'!$N$2:$CG$65,MATCH($D47,'Monthly CUST'!$D$2:$D$65,0),MATCH(BH$1,'Monthly CUST'!$N$1:$CG$1,0)))*(1+$L47)*INDEX('Monthly CUST'!$N$2:$CG$65,MATCH($D47,'Monthly CUST'!$D$2:$D$65,0),MATCH(BT$1,'Monthly CUST'!$N$1:$CG$1,0))),IF($J47="Modeled UPC",INDEX('Monthly CUST'!$N$2:$CG$65,MATCH($D47,'Monthly CUST'!$D$2:$D$65,0),MATCH(BT$1,'Monthly CUST'!$N$1:$CG$1,0))/12*$M47,IF($J47="Base Period",BH47,IF($J47="Adjusted",SUMIF('Input 15_Fcst Inputs'!$A:$A,$D47,'Input 15_Fcst Inputs'!$G:$G)/12))))),0)</f>
        <v>29878.479440016785</v>
      </c>
      <c r="BU47" s="483">
        <f>IFERROR(IF($J47="Historical Average",INDEX('Monthly UPC'!$CM$2:$DJ$65,MATCH($D47,'Monthly UPC'!$D$2:$D$65,0),MATCH(BU$1,'Monthly UPC'!$CM$1:$DJ$1))*(INDEX('Monthly CUST'!$N$2:$CG$65,MATCH($D47,'Monthly CUST'!$D$2:$D$65,0),MATCH(BU$1,'Monthly CUST'!$N$1:$CG$1,0))),IF($J47="UPC Growth Rate",((BI47/INDEX('Monthly CUST'!$N$2:$CG$65,MATCH($D47,'Monthly CUST'!$D$2:$D$65,0),MATCH(BI$1,'Monthly CUST'!$N$1:$CG$1,0)))*(1+$L47)*INDEX('Monthly CUST'!$N$2:$CG$65,MATCH($D47,'Monthly CUST'!$D$2:$D$65,0),MATCH(BU$1,'Monthly CUST'!$N$1:$CG$1,0))),IF($J47="Modeled UPC",INDEX('Monthly CUST'!$N$2:$CG$65,MATCH($D47,'Monthly CUST'!$D$2:$D$65,0),MATCH(BU$1,'Monthly CUST'!$N$1:$CG$1,0))/12*$M47,IF($J47="Base Period",BI47,IF($J47="Adjusted",SUMIF('Input 15_Fcst Inputs'!$A:$A,$D47,'Input 15_Fcst Inputs'!$G:$G)/12))))),0)</f>
        <v>40600.800390139084</v>
      </c>
      <c r="BV47" s="483">
        <f>IFERROR(IF($J47="Historical Average",INDEX('Monthly UPC'!$CM$2:$DJ$65,MATCH($D47,'Monthly UPC'!$D$2:$D$65,0),MATCH(BV$1,'Monthly UPC'!$CM$1:$DJ$1))*(INDEX('Monthly CUST'!$N$2:$CG$65,MATCH($D47,'Monthly CUST'!$D$2:$D$65,0),MATCH(BV$1,'Monthly CUST'!$N$1:$CG$1,0))),IF($J47="UPC Growth Rate",((BJ47/INDEX('Monthly CUST'!$N$2:$CG$65,MATCH($D47,'Monthly CUST'!$D$2:$D$65,0),MATCH(BJ$1,'Monthly CUST'!$N$1:$CG$1,0)))*(1+$L47)*INDEX('Monthly CUST'!$N$2:$CG$65,MATCH($D47,'Monthly CUST'!$D$2:$D$65,0),MATCH(BV$1,'Monthly CUST'!$N$1:$CG$1,0))),IF($J47="Modeled UPC",INDEX('Monthly CUST'!$N$2:$CG$65,MATCH($D47,'Monthly CUST'!$D$2:$D$65,0),MATCH(BV$1,'Monthly CUST'!$N$1:$CG$1,0))/12*$M47,IF($J47="Base Period",BJ47,IF($J47="Adjusted",SUMIF('Input 15_Fcst Inputs'!$A:$A,$D47,'Input 15_Fcst Inputs'!$G:$G)/12))))),0)</f>
        <v>42657.030200104302</v>
      </c>
      <c r="BW47" s="483">
        <f>IFERROR(IF($J47="Historical Average",INDEX('Monthly UPC'!$CM$2:$DJ$65,MATCH($D47,'Monthly UPC'!$D$2:$D$65,0),MATCH(BW$1,'Monthly UPC'!$CM$1:$DJ$1))*(INDEX('Monthly CUST'!$N$2:$CG$65,MATCH($D47,'Monthly CUST'!$D$2:$D$65,0),MATCH(BW$1,'Monthly CUST'!$N$1:$CG$1,0))),IF($J47="UPC Growth Rate",((BK47/INDEX('Monthly CUST'!$N$2:$CG$65,MATCH($D47,'Monthly CUST'!$D$2:$D$65,0),MATCH(BK$1,'Monthly CUST'!$N$1:$CG$1,0)))*(1+$L47)*INDEX('Monthly CUST'!$N$2:$CG$65,MATCH($D47,'Monthly CUST'!$D$2:$D$65,0),MATCH(BW$1,'Monthly CUST'!$N$1:$CG$1,0))),IF($J47="Modeled UPC",INDEX('Monthly CUST'!$N$2:$CG$65,MATCH($D47,'Monthly CUST'!$D$2:$D$65,0),MATCH(BW$1,'Monthly CUST'!$N$1:$CG$1,0))/12*$M47,IF($J47="Base Period",BK47,IF($J47="Adjusted",SUMIF('Input 15_Fcst Inputs'!$A:$A,$D47,'Input 15_Fcst Inputs'!$G:$G)/12))))),0)</f>
        <v>37033.626057653673</v>
      </c>
      <c r="BX47" s="483">
        <f>IFERROR(IF($J47="Historical Average",INDEX('Monthly UPC'!$CM$2:$DJ$65,MATCH($D47,'Monthly UPC'!$D$2:$D$65,0),MATCH(BX$1,'Monthly UPC'!$CM$1:$DJ$1))*(INDEX('Monthly CUST'!$N$2:$CG$65,MATCH($D47,'Monthly CUST'!$D$2:$D$65,0),MATCH(BX$1,'Monthly CUST'!$N$1:$CG$1,0))),IF($J47="UPC Growth Rate",((BL47/INDEX('Monthly CUST'!$N$2:$CG$65,MATCH($D47,'Monthly CUST'!$D$2:$D$65,0),MATCH(BL$1,'Monthly CUST'!$N$1:$CG$1,0)))*(1+$L47)*INDEX('Monthly CUST'!$N$2:$CG$65,MATCH($D47,'Monthly CUST'!$D$2:$D$65,0),MATCH(BX$1,'Monthly CUST'!$N$1:$CG$1,0))),IF($J47="Modeled UPC",INDEX('Monthly CUST'!$N$2:$CG$65,MATCH($D47,'Monthly CUST'!$D$2:$D$65,0),MATCH(BX$1,'Monthly CUST'!$N$1:$CG$1,0))/12*$M47,IF($J47="Base Period",BL47,IF($J47="Adjusted",SUMIF('Input 15_Fcst Inputs'!$A:$A,$D47,'Input 15_Fcst Inputs'!$G:$G)/12))))),0)</f>
        <v>34993.619461722854</v>
      </c>
      <c r="BY47" s="483">
        <f>IFERROR(IF($J47="Historical Average",INDEX('Monthly UPC'!$CM$2:$DJ$65,MATCH($D47,'Monthly UPC'!$D$2:$D$65,0),MATCH(BY$1,'Monthly UPC'!$CM$1:$DJ$1))*(INDEX('Monthly CUST'!$N$2:$CG$65,MATCH($D47,'Monthly CUST'!$D$2:$D$65,0),MATCH(BY$1,'Monthly CUST'!$N$1:$CG$1,0))),IF($J47="UPC Growth Rate",((BM47/INDEX('Monthly CUST'!$N$2:$CG$65,MATCH($D47,'Monthly CUST'!$D$2:$D$65,0),MATCH(BM$1,'Monthly CUST'!$N$1:$CG$1,0)))*(1+$L47)*INDEX('Monthly CUST'!$N$2:$CG$65,MATCH($D47,'Monthly CUST'!$D$2:$D$65,0),MATCH(BY$1,'Monthly CUST'!$N$1:$CG$1,0))),IF($J47="Modeled UPC",INDEX('Monthly CUST'!$N$2:$CG$65,MATCH($D47,'Monthly CUST'!$D$2:$D$65,0),MATCH(BY$1,'Monthly CUST'!$N$1:$CG$1,0))/12*$M47,IF($J47="Base Period",BM47,IF($J47="Adjusted",SUMIF('Input 15_Fcst Inputs'!$A:$A,$D47,'Input 15_Fcst Inputs'!$G:$G)/12))))),0)</f>
        <v>38867.07083922634</v>
      </c>
      <c r="BZ47" s="483">
        <f>IFERROR(IF($J47="Historical Average",INDEX('Monthly UPC'!$CM$2:$DJ$65,MATCH($D47,'Monthly UPC'!$D$2:$D$65,0),MATCH(BZ$1,'Monthly UPC'!$CM$1:$DJ$1))*(INDEX('Monthly CUST'!$N$2:$CG$65,MATCH($D47,'Monthly CUST'!$D$2:$D$65,0),MATCH(BZ$1,'Monthly CUST'!$N$1:$CG$1,0))),IF($J47="UPC Growth Rate",((BN47/INDEX('Monthly CUST'!$N$2:$CG$65,MATCH($D47,'Monthly CUST'!$D$2:$D$65,0),MATCH(BN$1,'Monthly CUST'!$N$1:$CG$1,0)))*(1+$L47)*INDEX('Monthly CUST'!$N$2:$CG$65,MATCH($D47,'Monthly CUST'!$D$2:$D$65,0),MATCH(BZ$1,'Monthly CUST'!$N$1:$CG$1,0))),IF($J47="Modeled UPC",INDEX('Monthly CUST'!$N$2:$CG$65,MATCH($D47,'Monthly CUST'!$D$2:$D$65,0),MATCH(BZ$1,'Monthly CUST'!$N$1:$CG$1,0))/12*$M47,IF($J47="Base Period",BN47,IF($J47="Adjusted",SUMIF('Input 15_Fcst Inputs'!$A:$A,$D47,'Input 15_Fcst Inputs'!$G:$G)/12))))),0)</f>
        <v>30875.473973557968</v>
      </c>
      <c r="CA47" s="483">
        <f>IFERROR(IF($J47="Historical Average",INDEX('Monthly UPC'!$CM$2:$DJ$65,MATCH($D47,'Monthly UPC'!$D$2:$D$65,0),MATCH(CA$1,'Monthly UPC'!$CM$1:$DJ$1))*(INDEX('Monthly CUST'!$N$2:$CG$65,MATCH($D47,'Monthly CUST'!$D$2:$D$65,0),MATCH(CA$1,'Monthly CUST'!$N$1:$CG$1,0))),IF($J47="UPC Growth Rate",((BO47/INDEX('Monthly CUST'!$N$2:$CG$65,MATCH($D47,'Monthly CUST'!$D$2:$D$65,0),MATCH(BO$1,'Monthly CUST'!$N$1:$CG$1,0)))*(1+$L47)*INDEX('Monthly CUST'!$N$2:$CG$65,MATCH($D47,'Monthly CUST'!$D$2:$D$65,0),MATCH(CA$1,'Monthly CUST'!$N$1:$CG$1,0))),IF($J47="Modeled UPC",INDEX('Monthly CUST'!$N$2:$CG$65,MATCH($D47,'Monthly CUST'!$D$2:$D$65,0),MATCH(CA$1,'Monthly CUST'!$N$1:$CG$1,0))/12*$M47,IF($J47="Base Period",BO47,IF($J47="Adjusted",SUMIF('Input 15_Fcst Inputs'!$A:$A,$D47,'Input 15_Fcst Inputs'!$G:$G)/12))))),0)</f>
        <v>29115.921967977094</v>
      </c>
      <c r="CB47" s="483">
        <f>IFERROR(IF($J47="Historical Average",INDEX('Monthly UPC'!$CM$2:$DJ$65,MATCH($D47,'Monthly UPC'!$D$2:$D$65,0),MATCH(CB$1,'Monthly UPC'!$CM$1:$DJ$1))*(INDEX('Monthly CUST'!$N$2:$CG$65,MATCH($D47,'Monthly CUST'!$D$2:$D$65,0),MATCH(CB$1,'Monthly CUST'!$N$1:$CG$1,0))),IF($J47="UPC Growth Rate",((BP47/INDEX('Monthly CUST'!$N$2:$CG$65,MATCH($D47,'Monthly CUST'!$D$2:$D$65,0),MATCH(BP$1,'Monthly CUST'!$N$1:$CG$1,0)))*(1+$L47)*INDEX('Monthly CUST'!$N$2:$CG$65,MATCH($D47,'Monthly CUST'!$D$2:$D$65,0),MATCH(CB$1,'Monthly CUST'!$N$1:$CG$1,0))),IF($J47="Modeled UPC",INDEX('Monthly CUST'!$N$2:$CG$65,MATCH($D47,'Monthly CUST'!$D$2:$D$65,0),MATCH(CB$1,'Monthly CUST'!$N$1:$CG$1,0))/12*$M47,IF($J47="Base Period",BP47,IF($J47="Adjusted",SUMIF('Input 15_Fcst Inputs'!$A:$A,$D47,'Input 15_Fcst Inputs'!$G:$G)/12))))),0)</f>
        <v>29418.099548265938</v>
      </c>
      <c r="CC47" s="483">
        <f>IFERROR(IF($J47="Historical Average",INDEX('Monthly UPC'!$CM$2:$DJ$65,MATCH($D47,'Monthly UPC'!$D$2:$D$65,0),MATCH(CC$1,'Monthly UPC'!$CM$1:$DJ$1))*(INDEX('Monthly CUST'!$N$2:$CG$65,MATCH($D47,'Monthly CUST'!$D$2:$D$65,0),MATCH(CC$1,'Monthly CUST'!$N$1:$CG$1,0))),IF($J47="UPC Growth Rate",((BQ47/INDEX('Monthly CUST'!$N$2:$CG$65,MATCH($D47,'Monthly CUST'!$D$2:$D$65,0),MATCH(BQ$1,'Monthly CUST'!$N$1:$CG$1,0)))*(1+$L47)*INDEX('Monthly CUST'!$N$2:$CG$65,MATCH($D47,'Monthly CUST'!$D$2:$D$65,0),MATCH(CC$1,'Monthly CUST'!$N$1:$CG$1,0))),IF($J47="Modeled UPC",INDEX('Monthly CUST'!$N$2:$CG$65,MATCH($D47,'Monthly CUST'!$D$2:$D$65,0),MATCH(CC$1,'Monthly CUST'!$N$1:$CG$1,0))/12*$M47,IF($J47="Base Period",BQ47,IF($J47="Adjusted",SUMIF('Input 15_Fcst Inputs'!$A:$A,$D47,'Input 15_Fcst Inputs'!$G:$G)/12))))),0)</f>
        <v>29776.752830607766</v>
      </c>
      <c r="CD47" s="483">
        <f>IFERROR(IF($J47="Historical Average",INDEX('Monthly UPC'!$CM$2:$DJ$65,MATCH($D47,'Monthly UPC'!$D$2:$D$65,0),MATCH(CD$1,'Monthly UPC'!$CM$1:$DJ$1))*(INDEX('Monthly CUST'!$N$2:$CG$65,MATCH($D47,'Monthly CUST'!$D$2:$D$65,0),MATCH(CD$1,'Monthly CUST'!$N$1:$CG$1,0))),IF($J47="UPC Growth Rate",((BR47/INDEX('Monthly CUST'!$N$2:$CG$65,MATCH($D47,'Monthly CUST'!$D$2:$D$65,0),MATCH(BR$1,'Monthly CUST'!$N$1:$CG$1,0)))*(1+$L47)*INDEX('Monthly CUST'!$N$2:$CG$65,MATCH($D47,'Monthly CUST'!$D$2:$D$65,0),MATCH(CD$1,'Monthly CUST'!$N$1:$CG$1,0))),IF($J47="Modeled UPC",INDEX('Monthly CUST'!$N$2:$CG$65,MATCH($D47,'Monthly CUST'!$D$2:$D$65,0),MATCH(CD$1,'Monthly CUST'!$N$1:$CG$1,0))/12*$M47,IF($J47="Base Period",BR47,IF($J47="Adjusted",SUMIF('Input 15_Fcst Inputs'!$A:$A,$D47,'Input 15_Fcst Inputs'!$G:$G)/12))))),0)</f>
        <v>30913.891295033802</v>
      </c>
      <c r="CE47" s="483">
        <f>IFERROR(IF($J47="Historical Average",INDEX('Monthly UPC'!$CM$2:$DJ$65,MATCH($D47,'Monthly UPC'!$D$2:$D$65,0),MATCH(CE$1,'Monthly UPC'!$CM$1:$DJ$1))*(INDEX('Monthly CUST'!$N$2:$CG$65,MATCH($D47,'Monthly CUST'!$D$2:$D$65,0),MATCH(CE$1,'Monthly CUST'!$N$1:$CG$1,0))),IF($J47="UPC Growth Rate",((BS47/INDEX('Monthly CUST'!$N$2:$CG$65,MATCH($D47,'Monthly CUST'!$D$2:$D$65,0),MATCH(BS$1,'Monthly CUST'!$N$1:$CG$1,0)))*(1+$L47)*INDEX('Monthly CUST'!$N$2:$CG$65,MATCH($D47,'Monthly CUST'!$D$2:$D$65,0),MATCH(CE$1,'Monthly CUST'!$N$1:$CG$1,0))),IF($J47="Modeled UPC",INDEX('Monthly CUST'!$N$2:$CG$65,MATCH($D47,'Monthly CUST'!$D$2:$D$65,0),MATCH(CE$1,'Monthly CUST'!$N$1:$CG$1,0))/12*$M47,IF($J47="Base Period",BS47,IF($J47="Adjusted",SUMIF('Input 15_Fcst Inputs'!$A:$A,$D47,'Input 15_Fcst Inputs'!$G:$G)/12))))),0)</f>
        <v>30269.510456649274</v>
      </c>
      <c r="CF47" s="483">
        <f>IFERROR(IF($J47="Historical Average",INDEX('Monthly UPC'!$CM$2:$DJ$65,MATCH($D47,'Monthly UPC'!$D$2:$D$65,0),MATCH(CF$1,'Monthly UPC'!$CM$1:$DJ$1))*(INDEX('Monthly CUST'!$N$2:$CG$65,MATCH($D47,'Monthly CUST'!$D$2:$D$65,0),MATCH(CF$1,'Monthly CUST'!$N$1:$CG$1,0))),IF($J47="UPC Growth Rate",((BT47/INDEX('Monthly CUST'!$N$2:$CG$65,MATCH($D47,'Monthly CUST'!$D$2:$D$65,0),MATCH(BT$1,'Monthly CUST'!$N$1:$CG$1,0)))*(1+$L47)*INDEX('Monthly CUST'!$N$2:$CG$65,MATCH($D47,'Monthly CUST'!$D$2:$D$65,0),MATCH(CF$1,'Monthly CUST'!$N$1:$CG$1,0))),IF($J47="Modeled UPC",INDEX('Monthly CUST'!$N$2:$CG$65,MATCH($D47,'Monthly CUST'!$D$2:$D$65,0),MATCH(CF$1,'Monthly CUST'!$N$1:$CG$1,0))/12*$M47,IF($J47="Base Period",BT47,IF($J47="Adjusted",SUMIF('Input 15_Fcst Inputs'!$A:$A,$D47,'Input 15_Fcst Inputs'!$G:$G)/12))))),0)</f>
        <v>30145.402352930843</v>
      </c>
      <c r="CG47" s="483">
        <f>IFERROR(IF($J47="Historical Average",INDEX('Monthly UPC'!$CM$2:$DJ$65,MATCH($D47,'Monthly UPC'!$D$2:$D$65,0),MATCH(CG$1,'Monthly UPC'!$CM$1:$DJ$1))*(INDEX('Monthly CUST'!$N$2:$CG$65,MATCH($D47,'Monthly CUST'!$D$2:$D$65,0),MATCH(CG$1,'Monthly CUST'!$N$1:$CG$1,0))),IF($J47="UPC Growth Rate",((BU47/INDEX('Monthly CUST'!$N$2:$CG$65,MATCH($D47,'Monthly CUST'!$D$2:$D$65,0),MATCH(BU$1,'Monthly CUST'!$N$1:$CG$1,0)))*(1+$L47)*INDEX('Monthly CUST'!$N$2:$CG$65,MATCH($D47,'Monthly CUST'!$D$2:$D$65,0),MATCH(CG$1,'Monthly CUST'!$N$1:$CG$1,0))),IF($J47="Modeled UPC",INDEX('Monthly CUST'!$N$2:$CG$65,MATCH($D47,'Monthly CUST'!$D$2:$D$65,0),MATCH(CG$1,'Monthly CUST'!$N$1:$CG$1,0))/12*$M47,IF($J47="Base Period",BU47,IF($J47="Adjusted",SUMIF('Input 15_Fcst Inputs'!$A:$A,$D47,'Input 15_Fcst Inputs'!$G:$G)/12))))),0)</f>
        <v>40963.512419328348</v>
      </c>
      <c r="CH47" s="197"/>
      <c r="CI47" s="197">
        <f t="shared" si="8"/>
        <v>398403.51</v>
      </c>
      <c r="CJ47" s="197">
        <f t="shared" si="9"/>
        <v>378330.98</v>
      </c>
      <c r="CK47" s="197">
        <f t="shared" si="10"/>
        <v>375255.91</v>
      </c>
      <c r="CL47" s="197">
        <f t="shared" si="11"/>
        <v>397888.98</v>
      </c>
      <c r="CM47" s="197">
        <f t="shared" si="12"/>
        <v>401443.56803622248</v>
      </c>
      <c r="CN47" s="197">
        <f t="shared" si="13"/>
        <v>405029.91140305821</v>
      </c>
      <c r="CP47" s="4">
        <f>SUMIF('Master '!D:D,D47,'Master '!AH:AH)</f>
        <v>401443.56803622254</v>
      </c>
      <c r="CQ47" s="4">
        <f>SUMIF('Master '!D:D,D47,'Master '!AI:AI)</f>
        <v>405029.91140305815</v>
      </c>
      <c r="CR47" s="197">
        <f t="shared" si="14"/>
        <v>0</v>
      </c>
      <c r="CS47" s="197">
        <f t="shared" si="15"/>
        <v>0</v>
      </c>
      <c r="CT47" t="s">
        <v>287</v>
      </c>
      <c r="CV47" t="str">
        <f>VLOOKUP(G47,'Master '!G:CC,75,FALSE)</f>
        <v>FTS-2.1</v>
      </c>
    </row>
    <row r="48" spans="1:100">
      <c r="A48" s="53" t="s">
        <v>17</v>
      </c>
      <c r="B48" s="53" t="s">
        <v>993</v>
      </c>
      <c r="C48" s="53" t="s">
        <v>1245</v>
      </c>
      <c r="D48" s="53" t="s">
        <v>1257</v>
      </c>
      <c r="E48" s="53" t="str">
        <f>VLOOKUP(D48,'Input 14_Ref Table'!C:D,2,FALSE)</f>
        <v>CC827</v>
      </c>
      <c r="F48" s="143" t="s">
        <v>1287</v>
      </c>
      <c r="G48" s="53" t="str">
        <f>VLOOKUP(D48,'Input 14_Ref Table'!C:I,7,FALSE)</f>
        <v>CFG - FTS-2.1 - Fixed NR</v>
      </c>
      <c r="H48" s="53" t="str">
        <f>VLOOKUP(D48,'Input 14_Ref Table'!C:K,8,FALSE)</f>
        <v>FTS2.1</v>
      </c>
      <c r="I48" s="53"/>
      <c r="J48" t="str">
        <f>INDEX('Master '!$AD$2:AD$65,MATCH(D48,'Master '!$D$2:$D$65,0))</f>
        <v>UPC Growth Rate</v>
      </c>
      <c r="K48" s="458">
        <f>INDEX('Master '!$N$2:N$65,MATCH(D48,'Master '!$D$2:$D$65,0))</f>
        <v>2.748906551832106E-2</v>
      </c>
      <c r="L48" s="137">
        <f>INDEX('Master '!$S$2:S$65,MATCH(D48,'Master '!$D$2:$D$65,0))</f>
        <v>-1.8059022170019087E-2</v>
      </c>
      <c r="M48" s="4">
        <f>INDEX('Master '!$W$2:W$65,MATCH(D48,'Master '!$D$2:$D$65,0))</f>
        <v>1672</v>
      </c>
      <c r="N48" s="268">
        <f>SUMIF('Input 16.1_2018VOL-YTD'!$R:$R,$G48,'Input 16.1_2018VOL-YTD'!C:C)</f>
        <v>1180.19</v>
      </c>
      <c r="O48" s="268">
        <f>SUMIF('Input 16.1_2018VOL-YTD'!$R:$R,$G48,'Input 16.1_2018VOL-YTD'!D:D)</f>
        <v>1381.8</v>
      </c>
      <c r="P48" s="268">
        <f>SUMIF('Input 16.1_2018VOL-YTD'!$R:$R,$G48,'Input 16.1_2018VOL-YTD'!E:E)</f>
        <v>1226.8499999999999</v>
      </c>
      <c r="Q48" s="268">
        <f>SUMIF('Input 16.1_2018VOL-YTD'!$R:$R,$G48,'Input 16.1_2018VOL-YTD'!F:F)</f>
        <v>1567.82</v>
      </c>
      <c r="R48" s="268">
        <f>SUMIF('Input 16.1_2018VOL-YTD'!$R:$R,$G48,'Input 16.1_2018VOL-YTD'!G:G)</f>
        <v>1193.8</v>
      </c>
      <c r="S48" s="268">
        <f>SUMIF('Input 16.1_2018VOL-YTD'!$R:$R,$G48,'Input 16.1_2018VOL-YTD'!H:H)</f>
        <v>1190.4100000000001</v>
      </c>
      <c r="T48" s="268">
        <f>SUMIF('Input 16.1_2018VOL-YTD'!$R:$R,$G48,'Input 16.1_2018VOL-YTD'!I:I)</f>
        <v>1103</v>
      </c>
      <c r="U48" s="268">
        <f>SUMIF('Input 16.1_2018VOL-YTD'!$R:$R,$G48,'Input 16.1_2018VOL-YTD'!J:J)</f>
        <v>1191.71</v>
      </c>
      <c r="V48" s="268">
        <f>SUMIF('Input 16.1_2018VOL-YTD'!$R:$R,$G48,'Input 16.1_2018VOL-YTD'!K:K)</f>
        <v>1234</v>
      </c>
      <c r="W48" s="268">
        <f>SUMIF('Input 16.1_2018VOL-YTD'!$R:$R,$G48,'Input 16.1_2018VOL-YTD'!L:L)</f>
        <v>1197.97</v>
      </c>
      <c r="X48" s="268">
        <f>SUMIF('Input 16.1_2018VOL-YTD'!$R:$R,$G48,'Input 16.1_2018VOL-YTD'!M:M)</f>
        <v>1808.47</v>
      </c>
      <c r="Y48" s="268">
        <f>SUMIF('Input 16.1_2018VOL-YTD'!$R:$R,$G48,'Input 16.1_2018VOL-YTD'!N:N)</f>
        <v>1709.8</v>
      </c>
      <c r="Z48" s="268">
        <f>SUMIF('Input 3.1_2019VOL-YTD'!$R:$R,$G48,'Input 3.1_2019VOL-YTD'!C:C)</f>
        <v>1856.49</v>
      </c>
      <c r="AA48" s="268">
        <f>SUMIF('Input 3.1_2019VOL-YTD'!$R:$R,$G48,'Input 3.1_2019VOL-YTD'!D:D)</f>
        <v>1888.86</v>
      </c>
      <c r="AB48" s="268">
        <f>SUMIF('Input 3.1_2019VOL-YTD'!$R:$R,$G48,'Input 3.1_2019VOL-YTD'!E:E)</f>
        <v>1630.9</v>
      </c>
      <c r="AC48" s="268">
        <f>SUMIF('Input 3.1_2019VOL-YTD'!$R:$R,$G48,'Input 3.1_2019VOL-YTD'!F:F)</f>
        <v>1681.54</v>
      </c>
      <c r="AD48" s="268">
        <f>SUMIF('Input 3.1_2019VOL-YTD'!$R:$R,$G48,'Input 3.1_2019VOL-YTD'!G:G)</f>
        <v>1616.98</v>
      </c>
      <c r="AE48" s="268">
        <f>SUMIF('Input 3.1_2019VOL-YTD'!$R:$R,$G48,'Input 3.1_2019VOL-YTD'!H:H)</f>
        <v>1486.73</v>
      </c>
      <c r="AF48" s="268">
        <f>SUMIF('Input 3.1_2019VOL-YTD'!$R:$R,$G48,'Input 3.1_2019VOL-YTD'!I:I)</f>
        <v>1205.9000000000001</v>
      </c>
      <c r="AG48" s="268">
        <f>SUMIF('Input 3.1_2019VOL-YTD'!$R:$R,$G48,'Input 3.1_2019VOL-YTD'!J:J)</f>
        <v>1391.78</v>
      </c>
      <c r="AH48" s="268">
        <f>SUMIF('Input 3.1_2019VOL-YTD'!$R:$R,$G48,'Input 3.1_2019VOL-YTD'!K:K)</f>
        <v>1416.03</v>
      </c>
      <c r="AI48" s="268">
        <f>SUMIF('Input 3.1_2019VOL-YTD'!$R:$R,$G48,'Input 3.1_2019VOL-YTD'!L:L)</f>
        <v>1387.19</v>
      </c>
      <c r="AJ48" s="268">
        <f>SUMIF('Input 3.1_2019VOL-YTD'!$R:$R,$G48,'Input 3.1_2019VOL-YTD'!M:M)</f>
        <v>1439.8</v>
      </c>
      <c r="AK48" s="268">
        <f>SUMIF('Input 3.1_2019VOL-YTD'!$R:$R,$G48,'Input 3.1_2019VOL-YTD'!N:N)</f>
        <v>1483.19</v>
      </c>
      <c r="AL48" s="268">
        <f>SUMIF('Input 4.1_2020VOL-YTD'!$R:$R,$G48,'Input 4.1_2020VOL-YTD'!C:C)</f>
        <v>1454.24</v>
      </c>
      <c r="AM48" s="268">
        <f>SUMIF('Input 4.1_2020VOL-YTD'!$R:$R,$G48,'Input 4.1_2020VOL-YTD'!D:D)</f>
        <v>1468.02</v>
      </c>
      <c r="AN48" s="268">
        <f>SUMIF('Input 4.1_2020VOL-YTD'!$R:$R,$G48,'Input 4.1_2020VOL-YTD'!E:E)</f>
        <v>1416.31</v>
      </c>
      <c r="AO48" s="268">
        <f>SUMIF('Input 4.1_2020VOL-YTD'!$R:$R,$G48,'Input 4.1_2020VOL-YTD'!F:F)</f>
        <v>868.39</v>
      </c>
      <c r="AP48" s="268">
        <f>SUMIF('Input 4.1_2020VOL-YTD'!$R:$R,$G48,'Input 4.1_2020VOL-YTD'!G:G)</f>
        <v>867.23</v>
      </c>
      <c r="AQ48" s="268">
        <f>SUMIF('Input 4.1_2020VOL-YTD'!$R:$R,$G48,'Input 4.1_2020VOL-YTD'!H:H)</f>
        <v>1167.31</v>
      </c>
      <c r="AR48" s="268">
        <f>SUMIF('Input 4.1_2020VOL-YTD'!$R:$R,$G48,'Input 4.1_2020VOL-YTD'!I:I)</f>
        <v>1167.04</v>
      </c>
      <c r="AS48" s="268">
        <f>SUMIF('Input 4.1_2020VOL-YTD'!$R:$R,$G48,'Input 4.1_2020VOL-YTD'!J:J)</f>
        <v>1160.98</v>
      </c>
      <c r="AT48" s="268">
        <f>SUMIF('Input 4.1_2020VOL-YTD'!$R:$R,$G48,'Input 4.1_2020VOL-YTD'!K:K)</f>
        <v>999.97</v>
      </c>
      <c r="AU48" s="268">
        <f>SUMIF('Input 4.1_2020VOL-YTD'!$R:$R,$G48,'Input 4.1_2020VOL-YTD'!L:L)</f>
        <v>915.86</v>
      </c>
      <c r="AV48" s="268">
        <f>SUMIF('Input 4.1_2020VOL-YTD'!$R:$R,$G48,'Input 4.1_2020VOL-YTD'!M:M)</f>
        <v>1109.25</v>
      </c>
      <c r="AW48" s="268">
        <f>SUMIF('Input 4.1_2020VOL-YTD'!$R:$R,$G48,'Input 4.1_2020VOL-YTD'!N:N)</f>
        <v>1251.6500000000001</v>
      </c>
      <c r="AX48" s="268">
        <f>SUMIF('Input 5.1_2021VOL-YTD'!$R:$R,$G48,'Input 5.1_2021VOL-YTD'!C:C)</f>
        <v>1724.12</v>
      </c>
      <c r="AY48" s="268">
        <f>SUMIF('Input 5.1_2021VOL-YTD'!$R:$R,$G48,'Input 5.1_2021VOL-YTD'!D:D)</f>
        <v>1600.9</v>
      </c>
      <c r="AZ48" s="268">
        <f>SUMIF('Input 5.1_2021VOL-YTD'!$R:$R,$G48,'Input 5.1_2021VOL-YTD'!E:E)</f>
        <v>1595.07</v>
      </c>
      <c r="BA48" s="268">
        <f>SUMIF('Input 5.1_2021VOL-YTD'!$R:$R,$G48,'Input 5.1_2021VOL-YTD'!F:F)</f>
        <v>2059.5100000000002</v>
      </c>
      <c r="BB48" s="268">
        <f>SUMIF('Input 5.1_2021VOL-YTD'!$R:$R,$G48,'Input 5.1_2021VOL-YTD'!G:G)</f>
        <v>1726.39</v>
      </c>
      <c r="BC48" s="268">
        <f>SUMIF('Input 5.1_2021VOL-YTD'!$R:$R,$G48,'Input 5.1_2021VOL-YTD'!H:H)</f>
        <v>1535.63</v>
      </c>
      <c r="BD48" s="268">
        <f>SUMIF('Input 5.1_2021VOL-YTD'!$R:$R,$G48,'Input 5.1_2021VOL-YTD'!I:I)</f>
        <v>1424.14</v>
      </c>
      <c r="BE48" s="268">
        <f>SUMIF('Input 5.1_2021VOL-YTD'!$R:$R,$G48,'Input 5.1_2021VOL-YTD'!J:J)</f>
        <v>1430.3</v>
      </c>
      <c r="BF48" s="268">
        <f>SUMIF('Input 5.1_2021VOL-YTD'!$R:$R,$G48,'Input 5.1_2021VOL-YTD'!K:K)</f>
        <v>1335.95</v>
      </c>
      <c r="BG48" s="268">
        <f>SUMIF('Input 5.1_2021VOL-YTD'!$R:$R,$G48,'Input 5.1_2021VOL-YTD'!L:L)</f>
        <v>1166.99</v>
      </c>
      <c r="BH48" s="268">
        <f>SUMIF('Input 5.1_2021VOL-YTD'!$R:$R,$G48,'Input 5.1_2021VOL-YTD'!M:M)</f>
        <v>1040.3</v>
      </c>
      <c r="BI48" s="268">
        <f>SUMIF('Input 5.1_2021VOL-YTD'!$R:$R,$G48,'Input 5.1_2021VOL-YTD'!N:N)</f>
        <v>1314.67</v>
      </c>
      <c r="BJ48" s="483">
        <f>IFERROR(IF($J48="Historical Average",INDEX('Monthly UPC'!$CM$2:$DJ$65,MATCH($D48,'Monthly UPC'!$D$2:$D$65,0),MATCH(BJ$1,'Monthly UPC'!$CM$1:$DJ$1))*(INDEX('Monthly CUST'!$N$2:$CG$65,MATCH($D48,'Monthly CUST'!$D$2:$D$65,0),MATCH(BJ$1,'Monthly CUST'!$N$1:$CG$1,0))),IF($J48="UPC Growth Rate",((AX48/INDEX('Monthly CUST'!$N$2:$CG$65,MATCH($D48,'Monthly CUST'!$D$2:$D$65,0),MATCH(AX$1,'Monthly CUST'!$N$1:$CG$1,0)))*(1+$L48)*INDEX('Monthly CUST'!$N$2:$CG$65,MATCH($D48,'Monthly CUST'!$D$2:$D$65,0),MATCH(BJ$1,'Monthly CUST'!$N$1:$CG$1,0))),IF($J48="Modeled UPC",INDEX('Monthly CUST'!$N$2:$CG$65,MATCH($D48,'Monthly CUST'!$D$2:$D$65,0),MATCH(BJ$1,'Monthly CUST'!$N$1:$CG$1,0))/12*$M48,IF($J48="Base Period",AX48,IF($J48="Adjusted",SUMIF('Input 15_Fcst Inputs'!$A:$A,$D48,'Input 15_Fcst Inputs'!$G:$G)/12))))),0)</f>
        <v>1739.5226289569814</v>
      </c>
      <c r="BK48" s="483">
        <f>IFERROR(IF($J48="Historical Average",INDEX('Monthly UPC'!$CM$2:$DJ$65,MATCH($D48,'Monthly UPC'!$D$2:$D$65,0),MATCH(BK$1,'Monthly UPC'!$CM$1:$DJ$1))*(INDEX('Monthly CUST'!$N$2:$CG$65,MATCH($D48,'Monthly CUST'!$D$2:$D$65,0),MATCH(BK$1,'Monthly CUST'!$N$1:$CG$1,0))),IF($J48="UPC Growth Rate",((AY48/INDEX('Monthly CUST'!$N$2:$CG$65,MATCH($D48,'Monthly CUST'!$D$2:$D$65,0),MATCH(AY$1,'Monthly CUST'!$N$1:$CG$1,0)))*(1+$L48)*INDEX('Monthly CUST'!$N$2:$CG$65,MATCH($D48,'Monthly CUST'!$D$2:$D$65,0),MATCH(BK$1,'Monthly CUST'!$N$1:$CG$1,0))),IF($J48="Modeled UPC",INDEX('Monthly CUST'!$N$2:$CG$65,MATCH($D48,'Monthly CUST'!$D$2:$D$65,0),MATCH(BK$1,'Monthly CUST'!$N$1:$CG$1,0))/12*$M48,IF($J48="Base Period",AY48,IF($J48="Adjusted",SUMIF('Input 15_Fcst Inputs'!$A:$A,$D48,'Input 15_Fcst Inputs'!$G:$G)/12))))),0)</f>
        <v>1615.2018285834117</v>
      </c>
      <c r="BL48" s="483">
        <f>IFERROR(IF($J48="Historical Average",INDEX('Monthly UPC'!$CM$2:$DJ$65,MATCH($D48,'Monthly UPC'!$D$2:$D$65,0),MATCH(BL$1,'Monthly UPC'!$CM$1:$DJ$1))*(INDEX('Monthly CUST'!$N$2:$CG$65,MATCH($D48,'Monthly CUST'!$D$2:$D$65,0),MATCH(BL$1,'Monthly CUST'!$N$1:$CG$1,0))),IF($J48="UPC Growth Rate",((AZ48/INDEX('Monthly CUST'!$N$2:$CG$65,MATCH($D48,'Monthly CUST'!$D$2:$D$65,0),MATCH(AZ$1,'Monthly CUST'!$N$1:$CG$1,0)))*(1+$L48)*INDEX('Monthly CUST'!$N$2:$CG$65,MATCH($D48,'Monthly CUST'!$D$2:$D$65,0),MATCH(BL$1,'Monthly CUST'!$N$1:$CG$1,0))),IF($J48="Modeled UPC",INDEX('Monthly CUST'!$N$2:$CG$65,MATCH($D48,'Monthly CUST'!$D$2:$D$65,0),MATCH(BL$1,'Monthly CUST'!$N$1:$CG$1,0))/12*$M48,IF($J48="Base Period",AZ48,IF($J48="Adjusted",SUMIF('Input 15_Fcst Inputs'!$A:$A,$D48,'Input 15_Fcst Inputs'!$G:$G)/12))))),0)</f>
        <v>1609.3197455921936</v>
      </c>
      <c r="BM48" s="483">
        <f>IFERROR(IF($J48="Historical Average",INDEX('Monthly UPC'!$CM$2:$DJ$65,MATCH($D48,'Monthly UPC'!$D$2:$D$65,0),MATCH(BM$1,'Monthly UPC'!$CM$1:$DJ$1))*(INDEX('Monthly CUST'!$N$2:$CG$65,MATCH($D48,'Monthly CUST'!$D$2:$D$65,0),MATCH(BM$1,'Monthly CUST'!$N$1:$CG$1,0))),IF($J48="UPC Growth Rate",((BA48/INDEX('Monthly CUST'!$N$2:$CG$65,MATCH($D48,'Monthly CUST'!$D$2:$D$65,0),MATCH(BA$1,'Monthly CUST'!$N$1:$CG$1,0)))*(1+$L48)*INDEX('Monthly CUST'!$N$2:$CG$65,MATCH($D48,'Monthly CUST'!$D$2:$D$65,0),MATCH(BM$1,'Monthly CUST'!$N$1:$CG$1,0))),IF($J48="Modeled UPC",INDEX('Monthly CUST'!$N$2:$CG$65,MATCH($D48,'Monthly CUST'!$D$2:$D$65,0),MATCH(BM$1,'Monthly CUST'!$N$1:$CG$1,0))/12*$M48,IF($J48="Base Period",BA48,IF($J48="Adjusted",SUMIF('Input 15_Fcst Inputs'!$A:$A,$D48,'Input 15_Fcst Inputs'!$G:$G)/12))))),0)</f>
        <v>2077.9088749989523</v>
      </c>
      <c r="BN48" s="483">
        <f>IFERROR(IF($J48="Historical Average",INDEX('Monthly UPC'!$CM$2:$DJ$65,MATCH($D48,'Monthly UPC'!$D$2:$D$65,0),MATCH(BN$1,'Monthly UPC'!$CM$1:$DJ$1))*(INDEX('Monthly CUST'!$N$2:$CG$65,MATCH($D48,'Monthly CUST'!$D$2:$D$65,0),MATCH(BN$1,'Monthly CUST'!$N$1:$CG$1,0))),IF($J48="UPC Growth Rate",((BB48/INDEX('Monthly CUST'!$N$2:$CG$65,MATCH($D48,'Monthly CUST'!$D$2:$D$65,0),MATCH(BB$1,'Monthly CUST'!$N$1:$CG$1,0)))*(1+$L48)*INDEX('Monthly CUST'!$N$2:$CG$65,MATCH($D48,'Monthly CUST'!$D$2:$D$65,0),MATCH(BN$1,'Monthly CUST'!$N$1:$CG$1,0))),IF($J48="Modeled UPC",INDEX('Monthly CUST'!$N$2:$CG$65,MATCH($D48,'Monthly CUST'!$D$2:$D$65,0),MATCH(BN$1,'Monthly CUST'!$N$1:$CG$1,0))/12*$M48,IF($J48="Base Period",BB48,IF($J48="Adjusted",SUMIF('Input 15_Fcst Inputs'!$A:$A,$D48,'Input 15_Fcst Inputs'!$G:$G)/12))))),0)</f>
        <v>1741.8129082691714</v>
      </c>
      <c r="BO48" s="483">
        <f>IFERROR(IF($J48="Historical Average",INDEX('Monthly UPC'!$CM$2:$DJ$65,MATCH($D48,'Monthly UPC'!$D$2:$D$65,0),MATCH(BO$1,'Monthly UPC'!$CM$1:$DJ$1))*(INDEX('Monthly CUST'!$N$2:$CG$65,MATCH($D48,'Monthly CUST'!$D$2:$D$65,0),MATCH(BO$1,'Monthly CUST'!$N$1:$CG$1,0))),IF($J48="UPC Growth Rate",((BC48/INDEX('Monthly CUST'!$N$2:$CG$65,MATCH($D48,'Monthly CUST'!$D$2:$D$65,0),MATCH(BC$1,'Monthly CUST'!$N$1:$CG$1,0)))*(1+$L48)*INDEX('Monthly CUST'!$N$2:$CG$65,MATCH($D48,'Monthly CUST'!$D$2:$D$65,0),MATCH(BO$1,'Monthly CUST'!$N$1:$CG$1,0))),IF($J48="Modeled UPC",INDEX('Monthly CUST'!$N$2:$CG$65,MATCH($D48,'Monthly CUST'!$D$2:$D$65,0),MATCH(BO$1,'Monthly CUST'!$N$1:$CG$1,0))/12*$M48,IF($J48="Base Period",BC48,IF($J48="Adjusted",SUMIF('Input 15_Fcst Inputs'!$A:$A,$D48,'Input 15_Fcst Inputs'!$G:$G)/12))))),0)</f>
        <v>1549.348731355828</v>
      </c>
      <c r="BP48" s="483">
        <f>IFERROR(IF($J48="Historical Average",INDEX('Monthly UPC'!$CM$2:$DJ$65,MATCH($D48,'Monthly UPC'!$D$2:$D$65,0),MATCH(BP$1,'Monthly UPC'!$CM$1:$DJ$1))*(INDEX('Monthly CUST'!$N$2:$CG$65,MATCH($D48,'Monthly CUST'!$D$2:$D$65,0),MATCH(BP$1,'Monthly CUST'!$N$1:$CG$1,0))),IF($J48="UPC Growth Rate",((BD48/INDEX('Monthly CUST'!$N$2:$CG$65,MATCH($D48,'Monthly CUST'!$D$2:$D$65,0),MATCH(BD$1,'Monthly CUST'!$N$1:$CG$1,0)))*(1+$L48)*INDEX('Monthly CUST'!$N$2:$CG$65,MATCH($D48,'Monthly CUST'!$D$2:$D$65,0),MATCH(BP$1,'Monthly CUST'!$N$1:$CG$1,0))),IF($J48="Modeled UPC",INDEX('Monthly CUST'!$N$2:$CG$65,MATCH($D48,'Monthly CUST'!$D$2:$D$65,0),MATCH(BP$1,'Monthly CUST'!$N$1:$CG$1,0))/12*$M48,IF($J48="Base Period",BD48,IF($J48="Adjusted",SUMIF('Input 15_Fcst Inputs'!$A:$A,$D48,'Input 15_Fcst Inputs'!$G:$G)/12))))),0)</f>
        <v>1436.8627223179337</v>
      </c>
      <c r="BQ48" s="483">
        <f>IFERROR(IF($J48="Historical Average",INDEX('Monthly UPC'!$CM$2:$DJ$65,MATCH($D48,'Monthly UPC'!$D$2:$D$65,0),MATCH(BQ$1,'Monthly UPC'!$CM$1:$DJ$1))*(INDEX('Monthly CUST'!$N$2:$CG$65,MATCH($D48,'Monthly CUST'!$D$2:$D$65,0),MATCH(BQ$1,'Monthly CUST'!$N$1:$CG$1,0))),IF($J48="UPC Growth Rate",((BE48/INDEX('Monthly CUST'!$N$2:$CG$65,MATCH($D48,'Monthly CUST'!$D$2:$D$65,0),MATCH(BE$1,'Monthly CUST'!$N$1:$CG$1,0)))*(1+$L48)*INDEX('Monthly CUST'!$N$2:$CG$65,MATCH($D48,'Monthly CUST'!$D$2:$D$65,0),MATCH(BQ$1,'Monthly CUST'!$N$1:$CG$1,0))),IF($J48="Modeled UPC",INDEX('Monthly CUST'!$N$2:$CG$65,MATCH($D48,'Monthly CUST'!$D$2:$D$65,0),MATCH(BQ$1,'Monthly CUST'!$N$1:$CG$1,0))/12*$M48,IF($J48="Base Period",BE48,IF($J48="Adjusted",SUMIF('Input 15_Fcst Inputs'!$A:$A,$D48,'Input 15_Fcst Inputs'!$G:$G)/12))))),0)</f>
        <v>1443.0777534029946</v>
      </c>
      <c r="BR48" s="483">
        <f>IFERROR(IF($J48="Historical Average",INDEX('Monthly UPC'!$CM$2:$DJ$65,MATCH($D48,'Monthly UPC'!$D$2:$D$65,0),MATCH(BR$1,'Monthly UPC'!$CM$1:$DJ$1))*(INDEX('Monthly CUST'!$N$2:$CG$65,MATCH($D48,'Monthly CUST'!$D$2:$D$65,0),MATCH(BR$1,'Monthly CUST'!$N$1:$CG$1,0))),IF($J48="UPC Growth Rate",((BF48/INDEX('Monthly CUST'!$N$2:$CG$65,MATCH($D48,'Monthly CUST'!$D$2:$D$65,0),MATCH(BF$1,'Monthly CUST'!$N$1:$CG$1,0)))*(1+$L48)*INDEX('Monthly CUST'!$N$2:$CG$65,MATCH($D48,'Monthly CUST'!$D$2:$D$65,0),MATCH(BR$1,'Monthly CUST'!$N$1:$CG$1,0))),IF($J48="Modeled UPC",INDEX('Monthly CUST'!$N$2:$CG$65,MATCH($D48,'Monthly CUST'!$D$2:$D$65,0),MATCH(BR$1,'Monthly CUST'!$N$1:$CG$1,0))/12*$M48,IF($J48="Base Period",BF48,IF($J48="Adjusted",SUMIF('Input 15_Fcst Inputs'!$A:$A,$D48,'Input 15_Fcst Inputs'!$G:$G)/12))))),0)</f>
        <v>1347.8848665725584</v>
      </c>
      <c r="BS48" s="483">
        <f>IFERROR(IF($J48="Historical Average",INDEX('Monthly UPC'!$CM$2:$DJ$65,MATCH($D48,'Monthly UPC'!$D$2:$D$65,0),MATCH(BS$1,'Monthly UPC'!$CM$1:$DJ$1))*(INDEX('Monthly CUST'!$N$2:$CG$65,MATCH($D48,'Monthly CUST'!$D$2:$D$65,0),MATCH(BS$1,'Monthly CUST'!$N$1:$CG$1,0))),IF($J48="UPC Growth Rate",((BG48/INDEX('Monthly CUST'!$N$2:$CG$65,MATCH($D48,'Monthly CUST'!$D$2:$D$65,0),MATCH(BG$1,'Monthly CUST'!$N$1:$CG$1,0)))*(1+$L48)*INDEX('Monthly CUST'!$N$2:$CG$65,MATCH($D48,'Monthly CUST'!$D$2:$D$65,0),MATCH(BS$1,'Monthly CUST'!$N$1:$CG$1,0))),IF($J48="Modeled UPC",INDEX('Monthly CUST'!$N$2:$CG$65,MATCH($D48,'Monthly CUST'!$D$2:$D$65,0),MATCH(BS$1,'Monthly CUST'!$N$1:$CG$1,0))/12*$M48,IF($J48="Base Period",BG48,IF($J48="Adjusted",SUMIF('Input 15_Fcst Inputs'!$A:$A,$D48,'Input 15_Fcst Inputs'!$G:$G)/12))))),0)</f>
        <v>1177.4154425251768</v>
      </c>
      <c r="BT48" s="483">
        <f>IFERROR(IF($J48="Historical Average",INDEX('Monthly UPC'!$CM$2:$DJ$65,MATCH($D48,'Monthly UPC'!$D$2:$D$65,0),MATCH(BT$1,'Monthly UPC'!$CM$1:$DJ$1))*(INDEX('Monthly CUST'!$N$2:$CG$65,MATCH($D48,'Monthly CUST'!$D$2:$D$65,0),MATCH(BT$1,'Monthly CUST'!$N$1:$CG$1,0))),IF($J48="UPC Growth Rate",((BH48/INDEX('Monthly CUST'!$N$2:$CG$65,MATCH($D48,'Monthly CUST'!$D$2:$D$65,0),MATCH(BH$1,'Monthly CUST'!$N$1:$CG$1,0)))*(1+$L48)*INDEX('Monthly CUST'!$N$2:$CG$65,MATCH($D48,'Monthly CUST'!$D$2:$D$65,0),MATCH(BT$1,'Monthly CUST'!$N$1:$CG$1,0))),IF($J48="Modeled UPC",INDEX('Monthly CUST'!$N$2:$CG$65,MATCH($D48,'Monthly CUST'!$D$2:$D$65,0),MATCH(BT$1,'Monthly CUST'!$N$1:$CG$1,0))/12*$M48,IF($J48="Base Period",BH48,IF($J48="Adjusted",SUMIF('Input 15_Fcst Inputs'!$A:$A,$D48,'Input 15_Fcst Inputs'!$G:$G)/12))))),0)</f>
        <v>1049.5936424981719</v>
      </c>
      <c r="BU48" s="483">
        <f>IFERROR(IF($J48="Historical Average",INDEX('Monthly UPC'!$CM$2:$DJ$65,MATCH($D48,'Monthly UPC'!$D$2:$D$65,0),MATCH(BU$1,'Monthly UPC'!$CM$1:$DJ$1))*(INDEX('Monthly CUST'!$N$2:$CG$65,MATCH($D48,'Monthly CUST'!$D$2:$D$65,0),MATCH(BU$1,'Monthly CUST'!$N$1:$CG$1,0))),IF($J48="UPC Growth Rate",((BI48/INDEX('Monthly CUST'!$N$2:$CG$65,MATCH($D48,'Monthly CUST'!$D$2:$D$65,0),MATCH(BI$1,'Monthly CUST'!$N$1:$CG$1,0)))*(1+$L48)*INDEX('Monthly CUST'!$N$2:$CG$65,MATCH($D48,'Monthly CUST'!$D$2:$D$65,0),MATCH(BU$1,'Monthly CUST'!$N$1:$CG$1,0))),IF($J48="Modeled UPC",INDEX('Monthly CUST'!$N$2:$CG$65,MATCH($D48,'Monthly CUST'!$D$2:$D$65,0),MATCH(BU$1,'Monthly CUST'!$N$1:$CG$1,0))/12*$M48,IF($J48="Base Period",BI48,IF($J48="Adjusted",SUMIF('Input 15_Fcst Inputs'!$A:$A,$D48,'Input 15_Fcst Inputs'!$G:$G)/12))))),0)</f>
        <v>1326.4147591878034</v>
      </c>
      <c r="BV48" s="483">
        <f>IFERROR(IF($J48="Historical Average",INDEX('Monthly UPC'!$CM$2:$DJ$65,MATCH($D48,'Monthly UPC'!$D$2:$D$65,0),MATCH(BV$1,'Monthly UPC'!$CM$1:$DJ$1))*(INDEX('Monthly CUST'!$N$2:$CG$65,MATCH($D48,'Monthly CUST'!$D$2:$D$65,0),MATCH(BV$1,'Monthly CUST'!$N$1:$CG$1,0))),IF($J48="UPC Growth Rate",((BJ48/INDEX('Monthly CUST'!$N$2:$CG$65,MATCH($D48,'Monthly CUST'!$D$2:$D$65,0),MATCH(BJ$1,'Monthly CUST'!$N$1:$CG$1,0)))*(1+$L48)*INDEX('Monthly CUST'!$N$2:$CG$65,MATCH($D48,'Monthly CUST'!$D$2:$D$65,0),MATCH(BV$1,'Monthly CUST'!$N$1:$CG$1,0))),IF($J48="Modeled UPC",INDEX('Monthly CUST'!$N$2:$CG$65,MATCH($D48,'Monthly CUST'!$D$2:$D$65,0),MATCH(BV$1,'Monthly CUST'!$N$1:$CG$1,0))/12*$M48,IF($J48="Base Period",BJ48,IF($J48="Adjusted",SUMIF('Input 15_Fcst Inputs'!$A:$A,$D48,'Input 15_Fcst Inputs'!$G:$G)/12))))),0)</f>
        <v>1755.0628591127115</v>
      </c>
      <c r="BW48" s="483">
        <f>IFERROR(IF($J48="Historical Average",INDEX('Monthly UPC'!$CM$2:$DJ$65,MATCH($D48,'Monthly UPC'!$D$2:$D$65,0),MATCH(BW$1,'Monthly UPC'!$CM$1:$DJ$1))*(INDEX('Monthly CUST'!$N$2:$CG$65,MATCH($D48,'Monthly CUST'!$D$2:$D$65,0),MATCH(BW$1,'Monthly CUST'!$N$1:$CG$1,0))),IF($J48="UPC Growth Rate",((BK48/INDEX('Monthly CUST'!$N$2:$CG$65,MATCH($D48,'Monthly CUST'!$D$2:$D$65,0),MATCH(BK$1,'Monthly CUST'!$N$1:$CG$1,0)))*(1+$L48)*INDEX('Monthly CUST'!$N$2:$CG$65,MATCH($D48,'Monthly CUST'!$D$2:$D$65,0),MATCH(BW$1,'Monthly CUST'!$N$1:$CG$1,0))),IF($J48="Modeled UPC",INDEX('Monthly CUST'!$N$2:$CG$65,MATCH($D48,'Monthly CUST'!$D$2:$D$65,0),MATCH(BW$1,'Monthly CUST'!$N$1:$CG$1,0))/12*$M48,IF($J48="Base Period",BK48,IF($J48="Adjusted",SUMIF('Input 15_Fcst Inputs'!$A:$A,$D48,'Input 15_Fcst Inputs'!$G:$G)/12))))),0)</f>
        <v>1629.6314242358658</v>
      </c>
      <c r="BX48" s="483">
        <f>IFERROR(IF($J48="Historical Average",INDEX('Monthly UPC'!$CM$2:$DJ$65,MATCH($D48,'Monthly UPC'!$D$2:$D$65,0),MATCH(BX$1,'Monthly UPC'!$CM$1:$DJ$1))*(INDEX('Monthly CUST'!$N$2:$CG$65,MATCH($D48,'Monthly CUST'!$D$2:$D$65,0),MATCH(BX$1,'Monthly CUST'!$N$1:$CG$1,0))),IF($J48="UPC Growth Rate",((BL48/INDEX('Monthly CUST'!$N$2:$CG$65,MATCH($D48,'Monthly CUST'!$D$2:$D$65,0),MATCH(BL$1,'Monthly CUST'!$N$1:$CG$1,0)))*(1+$L48)*INDEX('Monthly CUST'!$N$2:$CG$65,MATCH($D48,'Monthly CUST'!$D$2:$D$65,0),MATCH(BX$1,'Monthly CUST'!$N$1:$CG$1,0))),IF($J48="Modeled UPC",INDEX('Monthly CUST'!$N$2:$CG$65,MATCH($D48,'Monthly CUST'!$D$2:$D$65,0),MATCH(BX$1,'Monthly CUST'!$N$1:$CG$1,0))/12*$M48,IF($J48="Base Period",BL48,IF($J48="Adjusted",SUMIF('Input 15_Fcst Inputs'!$A:$A,$D48,'Input 15_Fcst Inputs'!$G:$G)/12))))),0)</f>
        <v>1623.6967929638965</v>
      </c>
      <c r="BY48" s="483">
        <f>IFERROR(IF($J48="Historical Average",INDEX('Monthly UPC'!$CM$2:$DJ$65,MATCH($D48,'Monthly UPC'!$D$2:$D$65,0),MATCH(BY$1,'Monthly UPC'!$CM$1:$DJ$1))*(INDEX('Monthly CUST'!$N$2:$CG$65,MATCH($D48,'Monthly CUST'!$D$2:$D$65,0),MATCH(BY$1,'Monthly CUST'!$N$1:$CG$1,0))),IF($J48="UPC Growth Rate",((BM48/INDEX('Monthly CUST'!$N$2:$CG$65,MATCH($D48,'Monthly CUST'!$D$2:$D$65,0),MATCH(BM$1,'Monthly CUST'!$N$1:$CG$1,0)))*(1+$L48)*INDEX('Monthly CUST'!$N$2:$CG$65,MATCH($D48,'Monthly CUST'!$D$2:$D$65,0),MATCH(BY$1,'Monthly CUST'!$N$1:$CG$1,0))),IF($J48="Modeled UPC",INDEX('Monthly CUST'!$N$2:$CG$65,MATCH($D48,'Monthly CUST'!$D$2:$D$65,0),MATCH(BY$1,'Monthly CUST'!$N$1:$CG$1,0))/12*$M48,IF($J48="Base Period",BM48,IF($J48="Adjusted",SUMIF('Input 15_Fcst Inputs'!$A:$A,$D48,'Input 15_Fcst Inputs'!$G:$G)/12))))),0)</f>
        <v>2096.4721185133412</v>
      </c>
      <c r="BZ48" s="483">
        <f>IFERROR(IF($J48="Historical Average",INDEX('Monthly UPC'!$CM$2:$DJ$65,MATCH($D48,'Monthly UPC'!$D$2:$D$65,0),MATCH(BZ$1,'Monthly UPC'!$CM$1:$DJ$1))*(INDEX('Monthly CUST'!$N$2:$CG$65,MATCH($D48,'Monthly CUST'!$D$2:$D$65,0),MATCH(BZ$1,'Monthly CUST'!$N$1:$CG$1,0))),IF($J48="UPC Growth Rate",((BN48/INDEX('Monthly CUST'!$N$2:$CG$65,MATCH($D48,'Monthly CUST'!$D$2:$D$65,0),MATCH(BN$1,'Monthly CUST'!$N$1:$CG$1,0)))*(1+$L48)*INDEX('Monthly CUST'!$N$2:$CG$65,MATCH($D48,'Monthly CUST'!$D$2:$D$65,0),MATCH(BZ$1,'Monthly CUST'!$N$1:$CG$1,0))),IF($J48="Modeled UPC",INDEX('Monthly CUST'!$N$2:$CG$65,MATCH($D48,'Monthly CUST'!$D$2:$D$65,0),MATCH(BZ$1,'Monthly CUST'!$N$1:$CG$1,0))/12*$M48,IF($J48="Base Period",BN48,IF($J48="Adjusted",SUMIF('Input 15_Fcst Inputs'!$A:$A,$D48,'Input 15_Fcst Inputs'!$G:$G)/12))))),0)</f>
        <v>1757.3735989047136</v>
      </c>
      <c r="CA48" s="483">
        <f>IFERROR(IF($J48="Historical Average",INDEX('Monthly UPC'!$CM$2:$DJ$65,MATCH($D48,'Monthly UPC'!$D$2:$D$65,0),MATCH(CA$1,'Monthly UPC'!$CM$1:$DJ$1))*(INDEX('Monthly CUST'!$N$2:$CG$65,MATCH($D48,'Monthly CUST'!$D$2:$D$65,0),MATCH(CA$1,'Monthly CUST'!$N$1:$CG$1,0))),IF($J48="UPC Growth Rate",((BO48/INDEX('Monthly CUST'!$N$2:$CG$65,MATCH($D48,'Monthly CUST'!$D$2:$D$65,0),MATCH(BO$1,'Monthly CUST'!$N$1:$CG$1,0)))*(1+$L48)*INDEX('Monthly CUST'!$N$2:$CG$65,MATCH($D48,'Monthly CUST'!$D$2:$D$65,0),MATCH(CA$1,'Monthly CUST'!$N$1:$CG$1,0))),IF($J48="Modeled UPC",INDEX('Monthly CUST'!$N$2:$CG$65,MATCH($D48,'Monthly CUST'!$D$2:$D$65,0),MATCH(CA$1,'Monthly CUST'!$N$1:$CG$1,0))/12*$M48,IF($J48="Base Period",BO48,IF($J48="Adjusted",SUMIF('Input 15_Fcst Inputs'!$A:$A,$D48,'Input 15_Fcst Inputs'!$G:$G)/12))))),0)</f>
        <v>1563.1900206129819</v>
      </c>
      <c r="CB48" s="483">
        <f>IFERROR(IF($J48="Historical Average",INDEX('Monthly UPC'!$CM$2:$DJ$65,MATCH($D48,'Monthly UPC'!$D$2:$D$65,0),MATCH(CB$1,'Monthly UPC'!$CM$1:$DJ$1))*(INDEX('Monthly CUST'!$N$2:$CG$65,MATCH($D48,'Monthly CUST'!$D$2:$D$65,0),MATCH(CB$1,'Monthly CUST'!$N$1:$CG$1,0))),IF($J48="UPC Growth Rate",((BP48/INDEX('Monthly CUST'!$N$2:$CG$65,MATCH($D48,'Monthly CUST'!$D$2:$D$65,0),MATCH(BP$1,'Monthly CUST'!$N$1:$CG$1,0)))*(1+$L48)*INDEX('Monthly CUST'!$N$2:$CG$65,MATCH($D48,'Monthly CUST'!$D$2:$D$65,0),MATCH(CB$1,'Monthly CUST'!$N$1:$CG$1,0))),IF($J48="Modeled UPC",INDEX('Monthly CUST'!$N$2:$CG$65,MATCH($D48,'Monthly CUST'!$D$2:$D$65,0),MATCH(CB$1,'Monthly CUST'!$N$1:$CG$1,0))/12*$M48,IF($J48="Base Period",BP48,IF($J48="Adjusted",SUMIF('Input 15_Fcst Inputs'!$A:$A,$D48,'Input 15_Fcst Inputs'!$G:$G)/12))))),0)</f>
        <v>1449.6991045732186</v>
      </c>
      <c r="CC48" s="483">
        <f>IFERROR(IF($J48="Historical Average",INDEX('Monthly UPC'!$CM$2:$DJ$65,MATCH($D48,'Monthly UPC'!$D$2:$D$65,0),MATCH(CC$1,'Monthly UPC'!$CM$1:$DJ$1))*(INDEX('Monthly CUST'!$N$2:$CG$65,MATCH($D48,'Monthly CUST'!$D$2:$D$65,0),MATCH(CC$1,'Monthly CUST'!$N$1:$CG$1,0))),IF($J48="UPC Growth Rate",((BQ48/INDEX('Monthly CUST'!$N$2:$CG$65,MATCH($D48,'Monthly CUST'!$D$2:$D$65,0),MATCH(BQ$1,'Monthly CUST'!$N$1:$CG$1,0)))*(1+$L48)*INDEX('Monthly CUST'!$N$2:$CG$65,MATCH($D48,'Monthly CUST'!$D$2:$D$65,0),MATCH(CC$1,'Monthly CUST'!$N$1:$CG$1,0))),IF($J48="Modeled UPC",INDEX('Monthly CUST'!$N$2:$CG$65,MATCH($D48,'Monthly CUST'!$D$2:$D$65,0),MATCH(CC$1,'Monthly CUST'!$N$1:$CG$1,0))/12*$M48,IF($J48="Base Period",BQ48,IF($J48="Adjusted",SUMIF('Input 15_Fcst Inputs'!$A:$A,$D48,'Input 15_Fcst Inputs'!$G:$G)/12))))),0)</f>
        <v>1455.9696583700161</v>
      </c>
      <c r="CD48" s="483">
        <f>IFERROR(IF($J48="Historical Average",INDEX('Monthly UPC'!$CM$2:$DJ$65,MATCH($D48,'Monthly UPC'!$D$2:$D$65,0),MATCH(CD$1,'Monthly UPC'!$CM$1:$DJ$1))*(INDEX('Monthly CUST'!$N$2:$CG$65,MATCH($D48,'Monthly CUST'!$D$2:$D$65,0),MATCH(CD$1,'Monthly CUST'!$N$1:$CG$1,0))),IF($J48="UPC Growth Rate",((BR48/INDEX('Monthly CUST'!$N$2:$CG$65,MATCH($D48,'Monthly CUST'!$D$2:$D$65,0),MATCH(BR$1,'Monthly CUST'!$N$1:$CG$1,0)))*(1+$L48)*INDEX('Monthly CUST'!$N$2:$CG$65,MATCH($D48,'Monthly CUST'!$D$2:$D$65,0),MATCH(CD$1,'Monthly CUST'!$N$1:$CG$1,0))),IF($J48="Modeled UPC",INDEX('Monthly CUST'!$N$2:$CG$65,MATCH($D48,'Monthly CUST'!$D$2:$D$65,0),MATCH(CD$1,'Monthly CUST'!$N$1:$CG$1,0))/12*$M48,IF($J48="Base Period",BR48,IF($J48="Adjusted",SUMIF('Input 15_Fcst Inputs'!$A:$A,$D48,'Input 15_Fcst Inputs'!$G:$G)/12))))),0)</f>
        <v>1359.9263546804327</v>
      </c>
      <c r="CE48" s="483">
        <f>IFERROR(IF($J48="Historical Average",INDEX('Monthly UPC'!$CM$2:$DJ$65,MATCH($D48,'Monthly UPC'!$D$2:$D$65,0),MATCH(CE$1,'Monthly UPC'!$CM$1:$DJ$1))*(INDEX('Monthly CUST'!$N$2:$CG$65,MATCH($D48,'Monthly CUST'!$D$2:$D$65,0),MATCH(CE$1,'Monthly CUST'!$N$1:$CG$1,0))),IF($J48="UPC Growth Rate",((BS48/INDEX('Monthly CUST'!$N$2:$CG$65,MATCH($D48,'Monthly CUST'!$D$2:$D$65,0),MATCH(BS$1,'Monthly CUST'!$N$1:$CG$1,0)))*(1+$L48)*INDEX('Monthly CUST'!$N$2:$CG$65,MATCH($D48,'Monthly CUST'!$D$2:$D$65,0),MATCH(CE$1,'Monthly CUST'!$N$1:$CG$1,0))),IF($J48="Modeled UPC",INDEX('Monthly CUST'!$N$2:$CG$65,MATCH($D48,'Monthly CUST'!$D$2:$D$65,0),MATCH(CE$1,'Monthly CUST'!$N$1:$CG$1,0))/12*$M48,IF($J48="Base Period",BS48,IF($J48="Adjusted",SUMIF('Input 15_Fcst Inputs'!$A:$A,$D48,'Input 15_Fcst Inputs'!$G:$G)/12))))),0)</f>
        <v>1187.9340219682756</v>
      </c>
      <c r="CF48" s="483">
        <f>IFERROR(IF($J48="Historical Average",INDEX('Monthly UPC'!$CM$2:$DJ$65,MATCH($D48,'Monthly UPC'!$D$2:$D$65,0),MATCH(CF$1,'Monthly UPC'!$CM$1:$DJ$1))*(INDEX('Monthly CUST'!$N$2:$CG$65,MATCH($D48,'Monthly CUST'!$D$2:$D$65,0),MATCH(CF$1,'Monthly CUST'!$N$1:$CG$1,0))),IF($J48="UPC Growth Rate",((BT48/INDEX('Monthly CUST'!$N$2:$CG$65,MATCH($D48,'Monthly CUST'!$D$2:$D$65,0),MATCH(BT$1,'Monthly CUST'!$N$1:$CG$1,0)))*(1+$L48)*INDEX('Monthly CUST'!$N$2:$CG$65,MATCH($D48,'Monthly CUST'!$D$2:$D$65,0),MATCH(CF$1,'Monthly CUST'!$N$1:$CG$1,0))),IF($J48="Modeled UPC",INDEX('Monthly CUST'!$N$2:$CG$65,MATCH($D48,'Monthly CUST'!$D$2:$D$65,0),MATCH(CF$1,'Monthly CUST'!$N$1:$CG$1,0))/12*$M48,IF($J48="Base Period",BT48,IF($J48="Adjusted",SUMIF('Input 15_Fcst Inputs'!$A:$A,$D48,'Input 15_Fcst Inputs'!$G:$G)/12))))),0)</f>
        <v>1058.9703108455062</v>
      </c>
      <c r="CG48" s="483">
        <f>IFERROR(IF($J48="Historical Average",INDEX('Monthly UPC'!$CM$2:$DJ$65,MATCH($D48,'Monthly UPC'!$D$2:$D$65,0),MATCH(CG$1,'Monthly UPC'!$CM$1:$DJ$1))*(INDEX('Monthly CUST'!$N$2:$CG$65,MATCH($D48,'Monthly CUST'!$D$2:$D$65,0),MATCH(CG$1,'Monthly CUST'!$N$1:$CG$1,0))),IF($J48="UPC Growth Rate",((BU48/INDEX('Monthly CUST'!$N$2:$CG$65,MATCH($D48,'Monthly CUST'!$D$2:$D$65,0),MATCH(BU$1,'Monthly CUST'!$N$1:$CG$1,0)))*(1+$L48)*INDEX('Monthly CUST'!$N$2:$CG$65,MATCH($D48,'Monthly CUST'!$D$2:$D$65,0),MATCH(CG$1,'Monthly CUST'!$N$1:$CG$1,0))),IF($J48="Modeled UPC",INDEX('Monthly CUST'!$N$2:$CG$65,MATCH($D48,'Monthly CUST'!$D$2:$D$65,0),MATCH(CG$1,'Monthly CUST'!$N$1:$CG$1,0))/12*$M48,IF($J48="Base Period",BU48,IF($J48="Adjusted",SUMIF('Input 15_Fcst Inputs'!$A:$A,$D48,'Input 15_Fcst Inputs'!$G:$G)/12))))),0)</f>
        <v>1338.2644415642237</v>
      </c>
      <c r="CH48" s="197"/>
      <c r="CI48" s="197">
        <f t="shared" si="8"/>
        <v>15985.819999999996</v>
      </c>
      <c r="CJ48" s="197">
        <f t="shared" si="9"/>
        <v>18485.39</v>
      </c>
      <c r="CK48" s="197">
        <f t="shared" si="10"/>
        <v>13846.25</v>
      </c>
      <c r="CL48" s="197">
        <f t="shared" si="11"/>
        <v>17953.97</v>
      </c>
      <c r="CM48" s="197">
        <f t="shared" si="12"/>
        <v>18114.363904261179</v>
      </c>
      <c r="CN48" s="197">
        <f t="shared" si="13"/>
        <v>18276.190706345184</v>
      </c>
      <c r="CP48" s="4">
        <f>SUMIF('Master '!D:D,D48,'Master '!AH:AH)</f>
        <v>18114.363904261179</v>
      </c>
      <c r="CQ48" s="4">
        <f>SUMIF('Master '!D:D,D48,'Master '!AI:AI)</f>
        <v>18276.190706345187</v>
      </c>
      <c r="CR48" s="197">
        <f t="shared" si="14"/>
        <v>0</v>
      </c>
      <c r="CS48" s="197">
        <f t="shared" si="15"/>
        <v>0</v>
      </c>
      <c r="CT48" t="s">
        <v>287</v>
      </c>
      <c r="CV48" t="str">
        <f>VLOOKUP(G48,'Master '!G:CC,75,FALSE)</f>
        <v>FTS-2.1</v>
      </c>
    </row>
    <row r="49" spans="1:100">
      <c r="A49" s="53" t="s">
        <v>17</v>
      </c>
      <c r="B49" s="53" t="s">
        <v>993</v>
      </c>
      <c r="C49" s="53" t="s">
        <v>8</v>
      </c>
      <c r="D49" s="53" t="s">
        <v>1291</v>
      </c>
      <c r="E49" s="53" t="str">
        <f>VLOOKUP(D49,'Input 14_Ref Table'!C:D,2,FALSE)</f>
        <v>CR245</v>
      </c>
      <c r="F49" s="143" t="s">
        <v>1286</v>
      </c>
      <c r="G49" s="53" t="str">
        <f>VLOOKUP(D49,'Input 14_Ref Table'!C:I,7,FALSE)</f>
        <v>CFG - FTS-3 R</v>
      </c>
      <c r="H49" s="53" t="str">
        <f>VLOOKUP(D49,'Input 14_Ref Table'!C:K,8,FALSE)</f>
        <v>FTS3</v>
      </c>
      <c r="I49" s="53"/>
      <c r="J49" t="str">
        <f>INDEX('Master '!$AD$2:AD$65,MATCH(D49,'Master '!$D$2:$D$65,0))</f>
        <v>UPC Growth Rate</v>
      </c>
      <c r="K49" s="458">
        <f>INDEX('Master '!$N$2:N$65,MATCH(D49,'Master '!$D$2:$D$65,0))</f>
        <v>2.6784283829125063E-2</v>
      </c>
      <c r="L49" s="137">
        <f>INDEX('Master '!$S$2:S$65,MATCH(D49,'Master '!$D$2:$D$65,0))</f>
        <v>1.22672019627513E-3</v>
      </c>
      <c r="M49" s="4">
        <f>INDEX('Master '!$W$2:W$65,MATCH(D49,'Master '!$D$2:$D$65,0))</f>
        <v>3591.2</v>
      </c>
      <c r="N49" s="268">
        <f>SUMIF('Input 16.1_2018VOL-YTD'!$R:$R,$G49,'Input 16.1_2018VOL-YTD'!C:C)</f>
        <v>4693.4399999999996</v>
      </c>
      <c r="O49" s="268">
        <f>SUMIF('Input 16.1_2018VOL-YTD'!$R:$R,$G49,'Input 16.1_2018VOL-YTD'!D:D)</f>
        <v>3724.09</v>
      </c>
      <c r="P49" s="268">
        <f>SUMIF('Input 16.1_2018VOL-YTD'!$R:$R,$G49,'Input 16.1_2018VOL-YTD'!E:E)</f>
        <v>4899.3100000000004</v>
      </c>
      <c r="Q49" s="268">
        <f>SUMIF('Input 16.1_2018VOL-YTD'!$R:$R,$G49,'Input 16.1_2018VOL-YTD'!F:F)</f>
        <v>4619.28</v>
      </c>
      <c r="R49" s="268">
        <f>SUMIF('Input 16.1_2018VOL-YTD'!$R:$R,$G49,'Input 16.1_2018VOL-YTD'!G:G)</f>
        <v>2937.46</v>
      </c>
      <c r="S49" s="268">
        <f>SUMIF('Input 16.1_2018VOL-YTD'!$R:$R,$G49,'Input 16.1_2018VOL-YTD'!H:H)</f>
        <v>1421.24</v>
      </c>
      <c r="T49" s="268">
        <f>SUMIF('Input 16.1_2018VOL-YTD'!$R:$R,$G49,'Input 16.1_2018VOL-YTD'!I:I)</f>
        <v>687</v>
      </c>
      <c r="U49" s="268">
        <f>SUMIF('Input 16.1_2018VOL-YTD'!$R:$R,$G49,'Input 16.1_2018VOL-YTD'!J:J)</f>
        <v>430.95</v>
      </c>
      <c r="V49" s="268">
        <f>SUMIF('Input 16.1_2018VOL-YTD'!$R:$R,$G49,'Input 16.1_2018VOL-YTD'!K:K)</f>
        <v>553.47</v>
      </c>
      <c r="W49" s="268">
        <f>SUMIF('Input 16.1_2018VOL-YTD'!$R:$R,$G49,'Input 16.1_2018VOL-YTD'!L:L)</f>
        <v>1028.95</v>
      </c>
      <c r="X49" s="268">
        <f>SUMIF('Input 16.1_2018VOL-YTD'!$R:$R,$G49,'Input 16.1_2018VOL-YTD'!M:M)</f>
        <v>3661.17</v>
      </c>
      <c r="Y49" s="268">
        <f>SUMIF('Input 16.1_2018VOL-YTD'!$R:$R,$G49,'Input 16.1_2018VOL-YTD'!N:N)</f>
        <v>5576.51</v>
      </c>
      <c r="Z49" s="268">
        <f>SUMIF('Input 3.1_2019VOL-YTD'!$R:$R,$G49,'Input 3.1_2019VOL-YTD'!C:C)</f>
        <v>6751.84</v>
      </c>
      <c r="AA49" s="268">
        <f>SUMIF('Input 3.1_2019VOL-YTD'!$R:$R,$G49,'Input 3.1_2019VOL-YTD'!D:D)</f>
        <v>4803.74</v>
      </c>
      <c r="AB49" s="268">
        <f>SUMIF('Input 3.1_2019VOL-YTD'!$R:$R,$G49,'Input 3.1_2019VOL-YTD'!E:E)</f>
        <v>4747.24</v>
      </c>
      <c r="AC49" s="268">
        <f>SUMIF('Input 3.1_2019VOL-YTD'!$R:$R,$G49,'Input 3.1_2019VOL-YTD'!F:F)</f>
        <v>3848.67</v>
      </c>
      <c r="AD49" s="268">
        <f>SUMIF('Input 3.1_2019VOL-YTD'!$R:$R,$G49,'Input 3.1_2019VOL-YTD'!G:G)</f>
        <v>2056.2800000000002</v>
      </c>
      <c r="AE49" s="268">
        <f>SUMIF('Input 3.1_2019VOL-YTD'!$R:$R,$G49,'Input 3.1_2019VOL-YTD'!H:H)</f>
        <v>1060.4000000000001</v>
      </c>
      <c r="AF49" s="268">
        <f>SUMIF('Input 3.1_2019VOL-YTD'!$R:$R,$G49,'Input 3.1_2019VOL-YTD'!I:I)</f>
        <v>535.37</v>
      </c>
      <c r="AG49" s="268">
        <f>SUMIF('Input 3.1_2019VOL-YTD'!$R:$R,$G49,'Input 3.1_2019VOL-YTD'!J:J)</f>
        <v>591.44000000000005</v>
      </c>
      <c r="AH49" s="268">
        <f>SUMIF('Input 3.1_2019VOL-YTD'!$R:$R,$G49,'Input 3.1_2019VOL-YTD'!K:K)</f>
        <v>577.42999999999995</v>
      </c>
      <c r="AI49" s="268">
        <f>SUMIF('Input 3.1_2019VOL-YTD'!$R:$R,$G49,'Input 3.1_2019VOL-YTD'!L:L)</f>
        <v>1496.72</v>
      </c>
      <c r="AJ49" s="268">
        <f>SUMIF('Input 3.1_2019VOL-YTD'!$R:$R,$G49,'Input 3.1_2019VOL-YTD'!M:M)</f>
        <v>3834.19</v>
      </c>
      <c r="AK49" s="268">
        <f>SUMIF('Input 3.1_2019VOL-YTD'!$R:$R,$G49,'Input 3.1_2019VOL-YTD'!N:N)</f>
        <v>6613.83</v>
      </c>
      <c r="AL49" s="268">
        <f>SUMIF('Input 4.1_2020VOL-YTD'!$R:$R,$G49,'Input 4.1_2020VOL-YTD'!C:C)</f>
        <v>6290.37</v>
      </c>
      <c r="AM49" s="268">
        <f>SUMIF('Input 4.1_2020VOL-YTD'!$R:$R,$G49,'Input 4.1_2020VOL-YTD'!D:D)</f>
        <v>5042.5200000000004</v>
      </c>
      <c r="AN49" s="268">
        <f>SUMIF('Input 4.1_2020VOL-YTD'!$R:$R,$G49,'Input 4.1_2020VOL-YTD'!E:E)</f>
        <v>4505.2</v>
      </c>
      <c r="AO49" s="268">
        <f>SUMIF('Input 4.1_2020VOL-YTD'!$R:$R,$G49,'Input 4.1_2020VOL-YTD'!F:F)</f>
        <v>1465.73</v>
      </c>
      <c r="AP49" s="268">
        <f>SUMIF('Input 4.1_2020VOL-YTD'!$R:$R,$G49,'Input 4.1_2020VOL-YTD'!G:G)</f>
        <v>1415</v>
      </c>
      <c r="AQ49" s="268">
        <f>SUMIF('Input 4.1_2020VOL-YTD'!$R:$R,$G49,'Input 4.1_2020VOL-YTD'!H:H)</f>
        <v>1065.32</v>
      </c>
      <c r="AR49" s="268">
        <f>SUMIF('Input 4.1_2020VOL-YTD'!$R:$R,$G49,'Input 4.1_2020VOL-YTD'!I:I)</f>
        <v>788.93</v>
      </c>
      <c r="AS49" s="268">
        <f>SUMIF('Input 4.1_2020VOL-YTD'!$R:$R,$G49,'Input 4.1_2020VOL-YTD'!J:J)</f>
        <v>394.32</v>
      </c>
      <c r="AT49" s="268">
        <f>SUMIF('Input 4.1_2020VOL-YTD'!$R:$R,$G49,'Input 4.1_2020VOL-YTD'!K:K)</f>
        <v>684.14</v>
      </c>
      <c r="AU49" s="268">
        <f>SUMIF('Input 4.1_2020VOL-YTD'!$R:$R,$G49,'Input 4.1_2020VOL-YTD'!L:L)</f>
        <v>1342.83</v>
      </c>
      <c r="AV49" s="268">
        <f>SUMIF('Input 4.1_2020VOL-YTD'!$R:$R,$G49,'Input 4.1_2020VOL-YTD'!M:M)</f>
        <v>2395.58</v>
      </c>
      <c r="AW49" s="268">
        <f>SUMIF('Input 4.1_2020VOL-YTD'!$R:$R,$G49,'Input 4.1_2020VOL-YTD'!N:N)</f>
        <v>7058.65</v>
      </c>
      <c r="AX49" s="268">
        <f>SUMIF('Input 5.1_2021VOL-YTD'!$R:$R,$G49,'Input 5.1_2021VOL-YTD'!C:C)</f>
        <v>7784.91</v>
      </c>
      <c r="AY49" s="268">
        <f>SUMIF('Input 5.1_2021VOL-YTD'!$R:$R,$G49,'Input 5.1_2021VOL-YTD'!D:D)</f>
        <v>5350.02</v>
      </c>
      <c r="AZ49" s="268">
        <f>SUMIF('Input 5.1_2021VOL-YTD'!$R:$R,$G49,'Input 5.1_2021VOL-YTD'!E:E)</f>
        <v>4190.9799999999996</v>
      </c>
      <c r="BA49" s="268">
        <f>SUMIF('Input 5.1_2021VOL-YTD'!$R:$R,$G49,'Input 5.1_2021VOL-YTD'!F:F)</f>
        <v>3568.34</v>
      </c>
      <c r="BB49" s="268">
        <f>SUMIF('Input 5.1_2021VOL-YTD'!$R:$R,$G49,'Input 5.1_2021VOL-YTD'!G:G)</f>
        <v>1416.87</v>
      </c>
      <c r="BC49" s="268">
        <f>SUMIF('Input 5.1_2021VOL-YTD'!$R:$R,$G49,'Input 5.1_2021VOL-YTD'!H:H)</f>
        <v>1175.3800000000001</v>
      </c>
      <c r="BD49" s="268">
        <f>SUMIF('Input 5.1_2021VOL-YTD'!$R:$R,$G49,'Input 5.1_2021VOL-YTD'!I:I)</f>
        <v>1014.55</v>
      </c>
      <c r="BE49" s="268">
        <f>SUMIF('Input 5.1_2021VOL-YTD'!$R:$R,$G49,'Input 5.1_2021VOL-YTD'!J:J)</f>
        <v>655.84</v>
      </c>
      <c r="BF49" s="268">
        <f>SUMIF('Input 5.1_2021VOL-YTD'!$R:$R,$G49,'Input 5.1_2021VOL-YTD'!K:K)</f>
        <v>566.65</v>
      </c>
      <c r="BG49" s="268">
        <f>SUMIF('Input 5.1_2021VOL-YTD'!$R:$R,$G49,'Input 5.1_2021VOL-YTD'!L:L)</f>
        <v>1249.69</v>
      </c>
      <c r="BH49" s="268">
        <f>SUMIF('Input 5.1_2021VOL-YTD'!$R:$R,$G49,'Input 5.1_2021VOL-YTD'!M:M)</f>
        <v>2970.2</v>
      </c>
      <c r="BI49" s="268">
        <f>SUMIF('Input 5.1_2021VOL-YTD'!$R:$R,$G49,'Input 5.1_2021VOL-YTD'!N:N)</f>
        <v>4357.7299999999996</v>
      </c>
      <c r="BJ49" s="483">
        <f>IFERROR(IF($J49="Historical Average",INDEX('Monthly UPC'!$CM$2:$DJ$65,MATCH($D49,'Monthly UPC'!$D$2:$D$65,0),MATCH(BJ$1,'Monthly UPC'!$CM$1:$DJ$1))*(INDEX('Monthly CUST'!$N$2:$CG$65,MATCH($D49,'Monthly CUST'!$D$2:$D$65,0),MATCH(BJ$1,'Monthly CUST'!$N$1:$CG$1,0))),IF($J49="UPC Growth Rate",((AX49/INDEX('Monthly CUST'!$N$2:$CG$65,MATCH($D49,'Monthly CUST'!$D$2:$D$65,0),MATCH(AX$1,'Monthly CUST'!$N$1:$CG$1,0)))*(1+$L49)*INDEX('Monthly CUST'!$N$2:$CG$65,MATCH($D49,'Monthly CUST'!$D$2:$D$65,0),MATCH(BJ$1,'Monthly CUST'!$N$1:$CG$1,0))),IF($J49="Modeled UPC",INDEX('Monthly CUST'!$N$2:$CG$65,MATCH($D49,'Monthly CUST'!$D$2:$D$65,0),MATCH(BJ$1,'Monthly CUST'!$N$1:$CG$1,0))/12*$M49,IF($J49="Base Period",AX49,IF($J49="Adjusted",SUMIF('Input 15_Fcst Inputs'!$A:$A,$D49,'Input 15_Fcst Inputs'!$G:$G)/12))))),0)</f>
        <v>8003.2289327488797</v>
      </c>
      <c r="BK49" s="483">
        <f>IFERROR(IF($J49="Historical Average",INDEX('Monthly UPC'!$CM$2:$DJ$65,MATCH($D49,'Monthly UPC'!$D$2:$D$65,0),MATCH(BK$1,'Monthly UPC'!$CM$1:$DJ$1))*(INDEX('Monthly CUST'!$N$2:$CG$65,MATCH($D49,'Monthly CUST'!$D$2:$D$65,0),MATCH(BK$1,'Monthly CUST'!$N$1:$CG$1,0))),IF($J49="UPC Growth Rate",((AY49/INDEX('Monthly CUST'!$N$2:$CG$65,MATCH($D49,'Monthly CUST'!$D$2:$D$65,0),MATCH(AY$1,'Monthly CUST'!$N$1:$CG$1,0)))*(1+$L49)*INDEX('Monthly CUST'!$N$2:$CG$65,MATCH($D49,'Monthly CUST'!$D$2:$D$65,0),MATCH(BK$1,'Monthly CUST'!$N$1:$CG$1,0))),IF($J49="Modeled UPC",INDEX('Monthly CUST'!$N$2:$CG$65,MATCH($D49,'Monthly CUST'!$D$2:$D$65,0),MATCH(BK$1,'Monthly CUST'!$N$1:$CG$1,0))/12*$M49,IF($J49="Base Period",AY49,IF($J49="Adjusted",SUMIF('Input 15_Fcst Inputs'!$A:$A,$D49,'Input 15_Fcst Inputs'!$G:$G)/12))))),0)</f>
        <v>5500.0552164103592</v>
      </c>
      <c r="BL49" s="483">
        <f>IFERROR(IF($J49="Historical Average",INDEX('Monthly UPC'!$CM$2:$DJ$65,MATCH($D49,'Monthly UPC'!$D$2:$D$65,0),MATCH(BL$1,'Monthly UPC'!$CM$1:$DJ$1))*(INDEX('Monthly CUST'!$N$2:$CG$65,MATCH($D49,'Monthly CUST'!$D$2:$D$65,0),MATCH(BL$1,'Monthly CUST'!$N$1:$CG$1,0))),IF($J49="UPC Growth Rate",((AZ49/INDEX('Monthly CUST'!$N$2:$CG$65,MATCH($D49,'Monthly CUST'!$D$2:$D$65,0),MATCH(AZ$1,'Monthly CUST'!$N$1:$CG$1,0)))*(1+$L49)*INDEX('Monthly CUST'!$N$2:$CG$65,MATCH($D49,'Monthly CUST'!$D$2:$D$65,0),MATCH(BL$1,'Monthly CUST'!$N$1:$CG$1,0))),IF($J49="Modeled UPC",INDEX('Monthly CUST'!$N$2:$CG$65,MATCH($D49,'Monthly CUST'!$D$2:$D$65,0),MATCH(BL$1,'Monthly CUST'!$N$1:$CG$1,0))/12*$M49,IF($J49="Base Period",AZ49,IF($J49="Adjusted",SUMIF('Input 15_Fcst Inputs'!$A:$A,$D49,'Input 15_Fcst Inputs'!$G:$G)/12))))),0)</f>
        <v>4308.5112599338854</v>
      </c>
      <c r="BM49" s="483">
        <f>IFERROR(IF($J49="Historical Average",INDEX('Monthly UPC'!$CM$2:$DJ$65,MATCH($D49,'Monthly UPC'!$D$2:$D$65,0),MATCH(BM$1,'Monthly UPC'!$CM$1:$DJ$1))*(INDEX('Monthly CUST'!$N$2:$CG$65,MATCH($D49,'Monthly CUST'!$D$2:$D$65,0),MATCH(BM$1,'Monthly CUST'!$N$1:$CG$1,0))),IF($J49="UPC Growth Rate",((BA49/INDEX('Monthly CUST'!$N$2:$CG$65,MATCH($D49,'Monthly CUST'!$D$2:$D$65,0),MATCH(BA$1,'Monthly CUST'!$N$1:$CG$1,0)))*(1+$L49)*INDEX('Monthly CUST'!$N$2:$CG$65,MATCH($D49,'Monthly CUST'!$D$2:$D$65,0),MATCH(BM$1,'Monthly CUST'!$N$1:$CG$1,0))),IF($J49="Modeled UPC",INDEX('Monthly CUST'!$N$2:$CG$65,MATCH($D49,'Monthly CUST'!$D$2:$D$65,0),MATCH(BM$1,'Monthly CUST'!$N$1:$CG$1,0))/12*$M49,IF($J49="Base Period",BA49,IF($J49="Adjusted",SUMIF('Input 15_Fcst Inputs'!$A:$A,$D49,'Input 15_Fcst Inputs'!$G:$G)/12))))),0)</f>
        <v>3668.4100304159128</v>
      </c>
      <c r="BN49" s="483">
        <f>IFERROR(IF($J49="Historical Average",INDEX('Monthly UPC'!$CM$2:$DJ$65,MATCH($D49,'Monthly UPC'!$D$2:$D$65,0),MATCH(BN$1,'Monthly UPC'!$CM$1:$DJ$1))*(INDEX('Monthly CUST'!$N$2:$CG$65,MATCH($D49,'Monthly CUST'!$D$2:$D$65,0),MATCH(BN$1,'Monthly CUST'!$N$1:$CG$1,0))),IF($J49="UPC Growth Rate",((BB49/INDEX('Monthly CUST'!$N$2:$CG$65,MATCH($D49,'Monthly CUST'!$D$2:$D$65,0),MATCH(BB$1,'Monthly CUST'!$N$1:$CG$1,0)))*(1+$L49)*INDEX('Monthly CUST'!$N$2:$CG$65,MATCH($D49,'Monthly CUST'!$D$2:$D$65,0),MATCH(BN$1,'Monthly CUST'!$N$1:$CG$1,0))),IF($J49="Modeled UPC",INDEX('Monthly CUST'!$N$2:$CG$65,MATCH($D49,'Monthly CUST'!$D$2:$D$65,0),MATCH(BN$1,'Monthly CUST'!$N$1:$CG$1,0))/12*$M49,IF($J49="Base Period",BB49,IF($J49="Adjusted",SUMIF('Input 15_Fcst Inputs'!$A:$A,$D49,'Input 15_Fcst Inputs'!$G:$G)/12))))),0)</f>
        <v>1456.6045051187371</v>
      </c>
      <c r="BO49" s="483">
        <f>IFERROR(IF($J49="Historical Average",INDEX('Monthly UPC'!$CM$2:$DJ$65,MATCH($D49,'Monthly UPC'!$D$2:$D$65,0),MATCH(BO$1,'Monthly UPC'!$CM$1:$DJ$1))*(INDEX('Monthly CUST'!$N$2:$CG$65,MATCH($D49,'Monthly CUST'!$D$2:$D$65,0),MATCH(BO$1,'Monthly CUST'!$N$1:$CG$1,0))),IF($J49="UPC Growth Rate",((BC49/INDEX('Monthly CUST'!$N$2:$CG$65,MATCH($D49,'Monthly CUST'!$D$2:$D$65,0),MATCH(BC$1,'Monthly CUST'!$N$1:$CG$1,0)))*(1+$L49)*INDEX('Monthly CUST'!$N$2:$CG$65,MATCH($D49,'Monthly CUST'!$D$2:$D$65,0),MATCH(BO$1,'Monthly CUST'!$N$1:$CG$1,0))),IF($J49="Modeled UPC",INDEX('Monthly CUST'!$N$2:$CG$65,MATCH($D49,'Monthly CUST'!$D$2:$D$65,0),MATCH(BO$1,'Monthly CUST'!$N$1:$CG$1,0))/12*$M49,IF($J49="Base Period",BC49,IF($J49="Adjusted",SUMIF('Input 15_Fcst Inputs'!$A:$A,$D49,'Input 15_Fcst Inputs'!$G:$G)/12))))),0)</f>
        <v>1208.3421931627186</v>
      </c>
      <c r="BP49" s="483">
        <f>IFERROR(IF($J49="Historical Average",INDEX('Monthly UPC'!$CM$2:$DJ$65,MATCH($D49,'Monthly UPC'!$D$2:$D$65,0),MATCH(BP$1,'Monthly UPC'!$CM$1:$DJ$1))*(INDEX('Monthly CUST'!$N$2:$CG$65,MATCH($D49,'Monthly CUST'!$D$2:$D$65,0),MATCH(BP$1,'Monthly CUST'!$N$1:$CG$1,0))),IF($J49="UPC Growth Rate",((BD49/INDEX('Monthly CUST'!$N$2:$CG$65,MATCH($D49,'Monthly CUST'!$D$2:$D$65,0),MATCH(BD$1,'Monthly CUST'!$N$1:$CG$1,0)))*(1+$L49)*INDEX('Monthly CUST'!$N$2:$CG$65,MATCH($D49,'Monthly CUST'!$D$2:$D$65,0),MATCH(BP$1,'Monthly CUST'!$N$1:$CG$1,0))),IF($J49="Modeled UPC",INDEX('Monthly CUST'!$N$2:$CG$65,MATCH($D49,'Monthly CUST'!$D$2:$D$65,0),MATCH(BP$1,'Monthly CUST'!$N$1:$CG$1,0))/12*$M49,IF($J49="Base Period",BD49,IF($J49="Adjusted",SUMIF('Input 15_Fcst Inputs'!$A:$A,$D49,'Input 15_Fcst Inputs'!$G:$G)/12))))),0)</f>
        <v>1043.0018990226447</v>
      </c>
      <c r="BQ49" s="483">
        <f>IFERROR(IF($J49="Historical Average",INDEX('Monthly UPC'!$CM$2:$DJ$65,MATCH($D49,'Monthly UPC'!$D$2:$D$65,0),MATCH(BQ$1,'Monthly UPC'!$CM$1:$DJ$1))*(INDEX('Monthly CUST'!$N$2:$CG$65,MATCH($D49,'Monthly CUST'!$D$2:$D$65,0),MATCH(BQ$1,'Monthly CUST'!$N$1:$CG$1,0))),IF($J49="UPC Growth Rate",((BE49/INDEX('Monthly CUST'!$N$2:$CG$65,MATCH($D49,'Monthly CUST'!$D$2:$D$65,0),MATCH(BE$1,'Monthly CUST'!$N$1:$CG$1,0)))*(1+$L49)*INDEX('Monthly CUST'!$N$2:$CG$65,MATCH($D49,'Monthly CUST'!$D$2:$D$65,0),MATCH(BQ$1,'Monthly CUST'!$N$1:$CG$1,0))),IF($J49="Modeled UPC",INDEX('Monthly CUST'!$N$2:$CG$65,MATCH($D49,'Monthly CUST'!$D$2:$D$65,0),MATCH(BQ$1,'Monthly CUST'!$N$1:$CG$1,0))/12*$M49,IF($J49="Base Period",BE49,IF($J49="Adjusted",SUMIF('Input 15_Fcst Inputs'!$A:$A,$D49,'Input 15_Fcst Inputs'!$G:$G)/12))))),0)</f>
        <v>674.23228569810385</v>
      </c>
      <c r="BR49" s="483">
        <f>IFERROR(IF($J49="Historical Average",INDEX('Monthly UPC'!$CM$2:$DJ$65,MATCH($D49,'Monthly UPC'!$D$2:$D$65,0),MATCH(BR$1,'Monthly UPC'!$CM$1:$DJ$1))*(INDEX('Monthly CUST'!$N$2:$CG$65,MATCH($D49,'Monthly CUST'!$D$2:$D$65,0),MATCH(BR$1,'Monthly CUST'!$N$1:$CG$1,0))),IF($J49="UPC Growth Rate",((BF49/INDEX('Monthly CUST'!$N$2:$CG$65,MATCH($D49,'Monthly CUST'!$D$2:$D$65,0),MATCH(BF$1,'Monthly CUST'!$N$1:$CG$1,0)))*(1+$L49)*INDEX('Monthly CUST'!$N$2:$CG$65,MATCH($D49,'Monthly CUST'!$D$2:$D$65,0),MATCH(BR$1,'Monthly CUST'!$N$1:$CG$1,0))),IF($J49="Modeled UPC",INDEX('Monthly CUST'!$N$2:$CG$65,MATCH($D49,'Monthly CUST'!$D$2:$D$65,0),MATCH(BR$1,'Monthly CUST'!$N$1:$CG$1,0))/12*$M49,IF($J49="Base Period",BF49,IF($J49="Adjusted",SUMIF('Input 15_Fcst Inputs'!$A:$A,$D49,'Input 15_Fcst Inputs'!$G:$G)/12))))),0)</f>
        <v>582.54105374913172</v>
      </c>
      <c r="BS49" s="483">
        <f>IFERROR(IF($J49="Historical Average",INDEX('Monthly UPC'!$CM$2:$DJ$65,MATCH($D49,'Monthly UPC'!$D$2:$D$65,0),MATCH(BS$1,'Monthly UPC'!$CM$1:$DJ$1))*(INDEX('Monthly CUST'!$N$2:$CG$65,MATCH($D49,'Monthly CUST'!$D$2:$D$65,0),MATCH(BS$1,'Monthly CUST'!$N$1:$CG$1,0))),IF($J49="UPC Growth Rate",((BG49/INDEX('Monthly CUST'!$N$2:$CG$65,MATCH($D49,'Monthly CUST'!$D$2:$D$65,0),MATCH(BG$1,'Monthly CUST'!$N$1:$CG$1,0)))*(1+$L49)*INDEX('Monthly CUST'!$N$2:$CG$65,MATCH($D49,'Monthly CUST'!$D$2:$D$65,0),MATCH(BS$1,'Monthly CUST'!$N$1:$CG$1,0))),IF($J49="Modeled UPC",INDEX('Monthly CUST'!$N$2:$CG$65,MATCH($D49,'Monthly CUST'!$D$2:$D$65,0),MATCH(BS$1,'Monthly CUST'!$N$1:$CG$1,0))/12*$M49,IF($J49="Base Period",BG49,IF($J49="Adjusted",SUMIF('Input 15_Fcst Inputs'!$A:$A,$D49,'Input 15_Fcst Inputs'!$G:$G)/12))))),0)</f>
        <v>1284.7361324622827</v>
      </c>
      <c r="BT49" s="483">
        <f>IFERROR(IF($J49="Historical Average",INDEX('Monthly UPC'!$CM$2:$DJ$65,MATCH($D49,'Monthly UPC'!$D$2:$D$65,0),MATCH(BT$1,'Monthly UPC'!$CM$1:$DJ$1))*(INDEX('Monthly CUST'!$N$2:$CG$65,MATCH($D49,'Monthly CUST'!$D$2:$D$65,0),MATCH(BT$1,'Monthly CUST'!$N$1:$CG$1,0))),IF($J49="UPC Growth Rate",((BH49/INDEX('Monthly CUST'!$N$2:$CG$65,MATCH($D49,'Monthly CUST'!$D$2:$D$65,0),MATCH(BH$1,'Monthly CUST'!$N$1:$CG$1,0)))*(1+$L49)*INDEX('Monthly CUST'!$N$2:$CG$65,MATCH($D49,'Monthly CUST'!$D$2:$D$65,0),MATCH(BT$1,'Monthly CUST'!$N$1:$CG$1,0))),IF($J49="Modeled UPC",INDEX('Monthly CUST'!$N$2:$CG$65,MATCH($D49,'Monthly CUST'!$D$2:$D$65,0),MATCH(BT$1,'Monthly CUST'!$N$1:$CG$1,0))/12*$M49,IF($J49="Base Period",BH49,IF($J49="Adjusted",SUMIF('Input 15_Fcst Inputs'!$A:$A,$D49,'Input 15_Fcst Inputs'!$G:$G)/12))))),0)</f>
        <v>3053.4958754886984</v>
      </c>
      <c r="BU49" s="483">
        <f>IFERROR(IF($J49="Historical Average",INDEX('Monthly UPC'!$CM$2:$DJ$65,MATCH($D49,'Monthly UPC'!$D$2:$D$65,0),MATCH(BU$1,'Monthly UPC'!$CM$1:$DJ$1))*(INDEX('Monthly CUST'!$N$2:$CG$65,MATCH($D49,'Monthly CUST'!$D$2:$D$65,0),MATCH(BU$1,'Monthly CUST'!$N$1:$CG$1,0))),IF($J49="UPC Growth Rate",((BI49/INDEX('Monthly CUST'!$N$2:$CG$65,MATCH($D49,'Monthly CUST'!$D$2:$D$65,0),MATCH(BI$1,'Monthly CUST'!$N$1:$CG$1,0)))*(1+$L49)*INDEX('Monthly CUST'!$N$2:$CG$65,MATCH($D49,'Monthly CUST'!$D$2:$D$65,0),MATCH(BU$1,'Monthly CUST'!$N$1:$CG$1,0))),IF($J49="Modeled UPC",INDEX('Monthly CUST'!$N$2:$CG$65,MATCH($D49,'Monthly CUST'!$D$2:$D$65,0),MATCH(BU$1,'Monthly CUST'!$N$1:$CG$1,0))/12*$M49,IF($J49="Base Period",BI49,IF($J49="Adjusted",SUMIF('Input 15_Fcst Inputs'!$A:$A,$D49,'Input 15_Fcst Inputs'!$G:$G)/12))))),0)</f>
        <v>4479.9375737301752</v>
      </c>
      <c r="BV49" s="483">
        <f>IFERROR(IF($J49="Historical Average",INDEX('Monthly UPC'!$CM$2:$DJ$65,MATCH($D49,'Monthly UPC'!$D$2:$D$65,0),MATCH(BV$1,'Monthly UPC'!$CM$1:$DJ$1))*(INDEX('Monthly CUST'!$N$2:$CG$65,MATCH($D49,'Monthly CUST'!$D$2:$D$65,0),MATCH(BV$1,'Monthly CUST'!$N$1:$CG$1,0))),IF($J49="UPC Growth Rate",((BJ49/INDEX('Monthly CUST'!$N$2:$CG$65,MATCH($D49,'Monthly CUST'!$D$2:$D$65,0),MATCH(BJ$1,'Monthly CUST'!$N$1:$CG$1,0)))*(1+$L49)*INDEX('Monthly CUST'!$N$2:$CG$65,MATCH($D49,'Monthly CUST'!$D$2:$D$65,0),MATCH(BV$1,'Monthly CUST'!$N$1:$CG$1,0))),IF($J49="Modeled UPC",INDEX('Monthly CUST'!$N$2:$CG$65,MATCH($D49,'Monthly CUST'!$D$2:$D$65,0),MATCH(BV$1,'Monthly CUST'!$N$1:$CG$1,0))/12*$M49,IF($J49="Base Period",BJ49,IF($J49="Adjusted",SUMIF('Input 15_Fcst Inputs'!$A:$A,$D49,'Input 15_Fcst Inputs'!$G:$G)/12))))),0)</f>
        <v>8227.6703712681028</v>
      </c>
      <c r="BW49" s="483">
        <f>IFERROR(IF($J49="Historical Average",INDEX('Monthly UPC'!$CM$2:$DJ$65,MATCH($D49,'Monthly UPC'!$D$2:$D$65,0),MATCH(BW$1,'Monthly UPC'!$CM$1:$DJ$1))*(INDEX('Monthly CUST'!$N$2:$CG$65,MATCH($D49,'Monthly CUST'!$D$2:$D$65,0),MATCH(BW$1,'Monthly CUST'!$N$1:$CG$1,0))),IF($J49="UPC Growth Rate",((BK49/INDEX('Monthly CUST'!$N$2:$CG$65,MATCH($D49,'Monthly CUST'!$D$2:$D$65,0),MATCH(BK$1,'Monthly CUST'!$N$1:$CG$1,0)))*(1+$L49)*INDEX('Monthly CUST'!$N$2:$CG$65,MATCH($D49,'Monthly CUST'!$D$2:$D$65,0),MATCH(BW$1,'Monthly CUST'!$N$1:$CG$1,0))),IF($J49="Modeled UPC",INDEX('Monthly CUST'!$N$2:$CG$65,MATCH($D49,'Monthly CUST'!$D$2:$D$65,0),MATCH(BW$1,'Monthly CUST'!$N$1:$CG$1,0))/12*$M49,IF($J49="Base Period",BK49,IF($J49="Adjusted",SUMIF('Input 15_Fcst Inputs'!$A:$A,$D49,'Input 15_Fcst Inputs'!$G:$G)/12))))),0)</f>
        <v>5654.2979995519263</v>
      </c>
      <c r="BX49" s="483">
        <f>IFERROR(IF($J49="Historical Average",INDEX('Monthly UPC'!$CM$2:$DJ$65,MATCH($D49,'Monthly UPC'!$D$2:$D$65,0),MATCH(BX$1,'Monthly UPC'!$CM$1:$DJ$1))*(INDEX('Monthly CUST'!$N$2:$CG$65,MATCH($D49,'Monthly CUST'!$D$2:$D$65,0),MATCH(BX$1,'Monthly CUST'!$N$1:$CG$1,0))),IF($J49="UPC Growth Rate",((BL49/INDEX('Monthly CUST'!$N$2:$CG$65,MATCH($D49,'Monthly CUST'!$D$2:$D$65,0),MATCH(BL$1,'Monthly CUST'!$N$1:$CG$1,0)))*(1+$L49)*INDEX('Monthly CUST'!$N$2:$CG$65,MATCH($D49,'Monthly CUST'!$D$2:$D$65,0),MATCH(BX$1,'Monthly CUST'!$N$1:$CG$1,0))),IF($J49="Modeled UPC",INDEX('Monthly CUST'!$N$2:$CG$65,MATCH($D49,'Monthly CUST'!$D$2:$D$65,0),MATCH(BX$1,'Monthly CUST'!$N$1:$CG$1,0))/12*$M49,IF($J49="Base Period",BL49,IF($J49="Adjusted",SUMIF('Input 15_Fcst Inputs'!$A:$A,$D49,'Input 15_Fcst Inputs'!$G:$G)/12))))),0)</f>
        <v>4429.3385501665662</v>
      </c>
      <c r="BY49" s="483">
        <f>IFERROR(IF($J49="Historical Average",INDEX('Monthly UPC'!$CM$2:$DJ$65,MATCH($D49,'Monthly UPC'!$D$2:$D$65,0),MATCH(BY$1,'Monthly UPC'!$CM$1:$DJ$1))*(INDEX('Monthly CUST'!$N$2:$CG$65,MATCH($D49,'Monthly CUST'!$D$2:$D$65,0),MATCH(BY$1,'Monthly CUST'!$N$1:$CG$1,0))),IF($J49="UPC Growth Rate",((BM49/INDEX('Monthly CUST'!$N$2:$CG$65,MATCH($D49,'Monthly CUST'!$D$2:$D$65,0),MATCH(BM$1,'Monthly CUST'!$N$1:$CG$1,0)))*(1+$L49)*INDEX('Monthly CUST'!$N$2:$CG$65,MATCH($D49,'Monthly CUST'!$D$2:$D$65,0),MATCH(BY$1,'Monthly CUST'!$N$1:$CG$1,0))),IF($J49="Modeled UPC",INDEX('Monthly CUST'!$N$2:$CG$65,MATCH($D49,'Monthly CUST'!$D$2:$D$65,0),MATCH(BY$1,'Monthly CUST'!$N$1:$CG$1,0))/12*$M49,IF($J49="Base Period",BM49,IF($J49="Adjusted",SUMIF('Input 15_Fcst Inputs'!$A:$A,$D49,'Input 15_Fcst Inputs'!$G:$G)/12))))),0)</f>
        <v>3771.2864108397948</v>
      </c>
      <c r="BZ49" s="483">
        <f>IFERROR(IF($J49="Historical Average",INDEX('Monthly UPC'!$CM$2:$DJ$65,MATCH($D49,'Monthly UPC'!$D$2:$D$65,0),MATCH(BZ$1,'Monthly UPC'!$CM$1:$DJ$1))*(INDEX('Monthly CUST'!$N$2:$CG$65,MATCH($D49,'Monthly CUST'!$D$2:$D$65,0),MATCH(BZ$1,'Monthly CUST'!$N$1:$CG$1,0))),IF($J49="UPC Growth Rate",((BN49/INDEX('Monthly CUST'!$N$2:$CG$65,MATCH($D49,'Monthly CUST'!$D$2:$D$65,0),MATCH(BN$1,'Monthly CUST'!$N$1:$CG$1,0)))*(1+$L49)*INDEX('Monthly CUST'!$N$2:$CG$65,MATCH($D49,'Monthly CUST'!$D$2:$D$65,0),MATCH(BZ$1,'Monthly CUST'!$N$1:$CG$1,0))),IF($J49="Modeled UPC",INDEX('Monthly CUST'!$N$2:$CG$65,MATCH($D49,'Monthly CUST'!$D$2:$D$65,0),MATCH(BZ$1,'Monthly CUST'!$N$1:$CG$1,0))/12*$M49,IF($J49="Base Period",BN49,IF($J49="Adjusted",SUMIF('Input 15_Fcst Inputs'!$A:$A,$D49,'Input 15_Fcst Inputs'!$G:$G)/12))))),0)</f>
        <v>1497.4533191698608</v>
      </c>
      <c r="CA49" s="483">
        <f>IFERROR(IF($J49="Historical Average",INDEX('Monthly UPC'!$CM$2:$DJ$65,MATCH($D49,'Monthly UPC'!$D$2:$D$65,0),MATCH(CA$1,'Monthly UPC'!$CM$1:$DJ$1))*(INDEX('Monthly CUST'!$N$2:$CG$65,MATCH($D49,'Monthly CUST'!$D$2:$D$65,0),MATCH(CA$1,'Monthly CUST'!$N$1:$CG$1,0))),IF($J49="UPC Growth Rate",((BO49/INDEX('Monthly CUST'!$N$2:$CG$65,MATCH($D49,'Monthly CUST'!$D$2:$D$65,0),MATCH(BO$1,'Monthly CUST'!$N$1:$CG$1,0)))*(1+$L49)*INDEX('Monthly CUST'!$N$2:$CG$65,MATCH($D49,'Monthly CUST'!$D$2:$D$65,0),MATCH(CA$1,'Monthly CUST'!$N$1:$CG$1,0))),IF($J49="Modeled UPC",INDEX('Monthly CUST'!$N$2:$CG$65,MATCH($D49,'Monthly CUST'!$D$2:$D$65,0),MATCH(CA$1,'Monthly CUST'!$N$1:$CG$1,0))/12*$M49,IF($J49="Base Period",BO49,IF($J49="Adjusted",SUMIF('Input 15_Fcst Inputs'!$A:$A,$D49,'Input 15_Fcst Inputs'!$G:$G)/12))))),0)</f>
        <v>1242.2287734837148</v>
      </c>
      <c r="CB49" s="483">
        <f>IFERROR(IF($J49="Historical Average",INDEX('Monthly UPC'!$CM$2:$DJ$65,MATCH($D49,'Monthly UPC'!$D$2:$D$65,0),MATCH(CB$1,'Monthly UPC'!$CM$1:$DJ$1))*(INDEX('Monthly CUST'!$N$2:$CG$65,MATCH($D49,'Monthly CUST'!$D$2:$D$65,0),MATCH(CB$1,'Monthly CUST'!$N$1:$CG$1,0))),IF($J49="UPC Growth Rate",((BP49/INDEX('Monthly CUST'!$N$2:$CG$65,MATCH($D49,'Monthly CUST'!$D$2:$D$65,0),MATCH(BP$1,'Monthly CUST'!$N$1:$CG$1,0)))*(1+$L49)*INDEX('Monthly CUST'!$N$2:$CG$65,MATCH($D49,'Monthly CUST'!$D$2:$D$65,0),MATCH(CB$1,'Monthly CUST'!$N$1:$CG$1,0))),IF($J49="Modeled UPC",INDEX('Monthly CUST'!$N$2:$CG$65,MATCH($D49,'Monthly CUST'!$D$2:$D$65,0),MATCH(CB$1,'Monthly CUST'!$N$1:$CG$1,0))/12*$M49,IF($J49="Base Period",BP49,IF($J49="Adjusted",SUMIF('Input 15_Fcst Inputs'!$A:$A,$D49,'Input 15_Fcst Inputs'!$G:$G)/12))))),0)</f>
        <v>1072.2516991423222</v>
      </c>
      <c r="CC49" s="483">
        <f>IFERROR(IF($J49="Historical Average",INDEX('Monthly UPC'!$CM$2:$DJ$65,MATCH($D49,'Monthly UPC'!$D$2:$D$65,0),MATCH(CC$1,'Monthly UPC'!$CM$1:$DJ$1))*(INDEX('Monthly CUST'!$N$2:$CG$65,MATCH($D49,'Monthly CUST'!$D$2:$D$65,0),MATCH(CC$1,'Monthly CUST'!$N$1:$CG$1,0))),IF($J49="UPC Growth Rate",((BQ49/INDEX('Monthly CUST'!$N$2:$CG$65,MATCH($D49,'Monthly CUST'!$D$2:$D$65,0),MATCH(BQ$1,'Monthly CUST'!$N$1:$CG$1,0)))*(1+$L49)*INDEX('Monthly CUST'!$N$2:$CG$65,MATCH($D49,'Monthly CUST'!$D$2:$D$65,0),MATCH(CC$1,'Monthly CUST'!$N$1:$CG$1,0))),IF($J49="Modeled UPC",INDEX('Monthly CUST'!$N$2:$CG$65,MATCH($D49,'Monthly CUST'!$D$2:$D$65,0),MATCH(CC$1,'Monthly CUST'!$N$1:$CG$1,0))/12*$M49,IF($J49="Base Period",BQ49,IF($J49="Adjusted",SUMIF('Input 15_Fcst Inputs'!$A:$A,$D49,'Input 15_Fcst Inputs'!$G:$G)/12))))),0)</f>
        <v>693.14036209698941</v>
      </c>
      <c r="CD49" s="483">
        <f>IFERROR(IF($J49="Historical Average",INDEX('Monthly UPC'!$CM$2:$DJ$65,MATCH($D49,'Monthly UPC'!$D$2:$D$65,0),MATCH(CD$1,'Monthly UPC'!$CM$1:$DJ$1))*(INDEX('Monthly CUST'!$N$2:$CG$65,MATCH($D49,'Monthly CUST'!$D$2:$D$65,0),MATCH(CD$1,'Monthly CUST'!$N$1:$CG$1,0))),IF($J49="UPC Growth Rate",((BR49/INDEX('Monthly CUST'!$N$2:$CG$65,MATCH($D49,'Monthly CUST'!$D$2:$D$65,0),MATCH(BR$1,'Monthly CUST'!$N$1:$CG$1,0)))*(1+$L49)*INDEX('Monthly CUST'!$N$2:$CG$65,MATCH($D49,'Monthly CUST'!$D$2:$D$65,0),MATCH(CD$1,'Monthly CUST'!$N$1:$CG$1,0))),IF($J49="Modeled UPC",INDEX('Monthly CUST'!$N$2:$CG$65,MATCH($D49,'Monthly CUST'!$D$2:$D$65,0),MATCH(CD$1,'Monthly CUST'!$N$1:$CG$1,0))/12*$M49,IF($J49="Base Period",BR49,IF($J49="Adjusted",SUMIF('Input 15_Fcst Inputs'!$A:$A,$D49,'Input 15_Fcst Inputs'!$G:$G)/12))))),0)</f>
        <v>598.87775399832128</v>
      </c>
      <c r="CE49" s="483">
        <f>IFERROR(IF($J49="Historical Average",INDEX('Monthly UPC'!$CM$2:$DJ$65,MATCH($D49,'Monthly UPC'!$D$2:$D$65,0),MATCH(CE$1,'Monthly UPC'!$CM$1:$DJ$1))*(INDEX('Monthly CUST'!$N$2:$CG$65,MATCH($D49,'Monthly CUST'!$D$2:$D$65,0),MATCH(CE$1,'Monthly CUST'!$N$1:$CG$1,0))),IF($J49="UPC Growth Rate",((BS49/INDEX('Monthly CUST'!$N$2:$CG$65,MATCH($D49,'Monthly CUST'!$D$2:$D$65,0),MATCH(BS$1,'Monthly CUST'!$N$1:$CG$1,0)))*(1+$L49)*INDEX('Monthly CUST'!$N$2:$CG$65,MATCH($D49,'Monthly CUST'!$D$2:$D$65,0),MATCH(CE$1,'Monthly CUST'!$N$1:$CG$1,0))),IF($J49="Modeled UPC",INDEX('Monthly CUST'!$N$2:$CG$65,MATCH($D49,'Monthly CUST'!$D$2:$D$65,0),MATCH(CE$1,'Monthly CUST'!$N$1:$CG$1,0))/12*$M49,IF($J49="Base Period",BS49,IF($J49="Adjusted",SUMIF('Input 15_Fcst Inputs'!$A:$A,$D49,'Input 15_Fcst Inputs'!$G:$G)/12))))),0)</f>
        <v>1320.765093786574</v>
      </c>
      <c r="CF49" s="483">
        <f>IFERROR(IF($J49="Historical Average",INDEX('Monthly UPC'!$CM$2:$DJ$65,MATCH($D49,'Monthly UPC'!$D$2:$D$65,0),MATCH(CF$1,'Monthly UPC'!$CM$1:$DJ$1))*(INDEX('Monthly CUST'!$N$2:$CG$65,MATCH($D49,'Monthly CUST'!$D$2:$D$65,0),MATCH(CF$1,'Monthly CUST'!$N$1:$CG$1,0))),IF($J49="UPC Growth Rate",((BT49/INDEX('Monthly CUST'!$N$2:$CG$65,MATCH($D49,'Monthly CUST'!$D$2:$D$65,0),MATCH(BT$1,'Monthly CUST'!$N$1:$CG$1,0)))*(1+$L49)*INDEX('Monthly CUST'!$N$2:$CG$65,MATCH($D49,'Monthly CUST'!$D$2:$D$65,0),MATCH(CF$1,'Monthly CUST'!$N$1:$CG$1,0))),IF($J49="Modeled UPC",INDEX('Monthly CUST'!$N$2:$CG$65,MATCH($D49,'Monthly CUST'!$D$2:$D$65,0),MATCH(CF$1,'Monthly CUST'!$N$1:$CG$1,0))/12*$M49,IF($J49="Base Period",BT49,IF($J49="Adjusted",SUMIF('Input 15_Fcst Inputs'!$A:$A,$D49,'Input 15_Fcst Inputs'!$G:$G)/12))))),0)</f>
        <v>3139.1276889187575</v>
      </c>
      <c r="CG49" s="483">
        <f>IFERROR(IF($J49="Historical Average",INDEX('Monthly UPC'!$CM$2:$DJ$65,MATCH($D49,'Monthly UPC'!$D$2:$D$65,0),MATCH(CG$1,'Monthly UPC'!$CM$1:$DJ$1))*(INDEX('Monthly CUST'!$N$2:$CG$65,MATCH($D49,'Monthly CUST'!$D$2:$D$65,0),MATCH(CG$1,'Monthly CUST'!$N$1:$CG$1,0))),IF($J49="UPC Growth Rate",((BU49/INDEX('Monthly CUST'!$N$2:$CG$65,MATCH($D49,'Monthly CUST'!$D$2:$D$65,0),MATCH(BU$1,'Monthly CUST'!$N$1:$CG$1,0)))*(1+$L49)*INDEX('Monthly CUST'!$N$2:$CG$65,MATCH($D49,'Monthly CUST'!$D$2:$D$65,0),MATCH(CG$1,'Monthly CUST'!$N$1:$CG$1,0))),IF($J49="Modeled UPC",INDEX('Monthly CUST'!$N$2:$CG$65,MATCH($D49,'Monthly CUST'!$D$2:$D$65,0),MATCH(CG$1,'Monthly CUST'!$N$1:$CG$1,0))/12*$M49,IF($J49="Base Period",BU49,IF($J49="Adjusted",SUMIF('Input 15_Fcst Inputs'!$A:$A,$D49,'Input 15_Fcst Inputs'!$G:$G)/12))))),0)</f>
        <v>4605.5723196525269</v>
      </c>
      <c r="CH49" s="197"/>
      <c r="CI49" s="197">
        <f t="shared" si="8"/>
        <v>34232.870000000003</v>
      </c>
      <c r="CJ49" s="197">
        <f t="shared" si="9"/>
        <v>36917.149999999994</v>
      </c>
      <c r="CK49" s="197">
        <f t="shared" si="10"/>
        <v>32448.590000000004</v>
      </c>
      <c r="CL49" s="197">
        <f t="shared" si="11"/>
        <v>34301.160000000003</v>
      </c>
      <c r="CM49" s="197">
        <f t="shared" si="12"/>
        <v>35263.096957941532</v>
      </c>
      <c r="CN49" s="197">
        <f t="shared" si="13"/>
        <v>36252.010342075453</v>
      </c>
      <c r="CP49" s="4">
        <f>SUMIF('Master '!D:D,D49,'Master '!AH:AH)</f>
        <v>35263.096957941532</v>
      </c>
      <c r="CQ49" s="4">
        <f>SUMIF('Master '!D:D,D49,'Master '!AI:AI)</f>
        <v>36252.01034207546</v>
      </c>
      <c r="CR49" s="197">
        <f t="shared" si="14"/>
        <v>0</v>
      </c>
      <c r="CS49" s="197">
        <f t="shared" si="15"/>
        <v>0</v>
      </c>
      <c r="CT49" t="s">
        <v>287</v>
      </c>
      <c r="CV49" t="str">
        <f>VLOOKUP(G49,'Master '!G:CC,75,FALSE)</f>
        <v>FTS-3</v>
      </c>
    </row>
    <row r="50" spans="1:100">
      <c r="A50" s="53" t="s">
        <v>17</v>
      </c>
      <c r="B50" s="53" t="s">
        <v>993</v>
      </c>
      <c r="C50" s="53" t="s">
        <v>8</v>
      </c>
      <c r="D50" s="53" t="s">
        <v>1292</v>
      </c>
      <c r="E50" s="53" t="str">
        <f>VLOOKUP(D50,'Input 14_Ref Table'!C:D,2,FALSE)</f>
        <v>CR828</v>
      </c>
      <c r="F50" s="143" t="s">
        <v>1287</v>
      </c>
      <c r="G50" s="53" t="str">
        <f>VLOOKUP(D50,'Input 14_Ref Table'!C:I,7,FALSE)</f>
        <v>CFG - FTS-3 - Fixed R</v>
      </c>
      <c r="H50" s="53" t="str">
        <f>VLOOKUP(D50,'Input 14_Ref Table'!C:K,8,FALSE)</f>
        <v>FTS3</v>
      </c>
      <c r="I50" s="53"/>
      <c r="J50" t="str">
        <f>INDEX('Master '!$AD$2:AD$65,MATCH(D50,'Master '!$D$2:$D$65,0))</f>
        <v>UPC Growth Rate</v>
      </c>
      <c r="K50" s="458">
        <f>INDEX('Master '!$N$2:N$65,MATCH(D50,'Master '!$D$2:$D$65,0))</f>
        <v>2.6784283829125063E-2</v>
      </c>
      <c r="L50" s="137">
        <f>INDEX('Master '!$S$2:S$65,MATCH(D50,'Master '!$D$2:$D$65,0))</f>
        <v>1.22672019627513E-3</v>
      </c>
      <c r="M50" s="4">
        <f>INDEX('Master '!$W$2:W$65,MATCH(D50,'Master '!$D$2:$D$65,0))</f>
        <v>3591.2</v>
      </c>
      <c r="N50" s="268">
        <f>SUMIF('Input 16.1_2018VOL-YTD'!$R:$R,$G50,'Input 16.1_2018VOL-YTD'!C:C)</f>
        <v>0</v>
      </c>
      <c r="O50" s="268">
        <f>SUMIF('Input 16.1_2018VOL-YTD'!$R:$R,$G50,'Input 16.1_2018VOL-YTD'!D:D)</f>
        <v>0</v>
      </c>
      <c r="P50" s="268">
        <f>SUMIF('Input 16.1_2018VOL-YTD'!$R:$R,$G50,'Input 16.1_2018VOL-YTD'!E:E)</f>
        <v>0</v>
      </c>
      <c r="Q50" s="268">
        <f>SUMIF('Input 16.1_2018VOL-YTD'!$R:$R,$G50,'Input 16.1_2018VOL-YTD'!F:F)</f>
        <v>0</v>
      </c>
      <c r="R50" s="268">
        <f>SUMIF('Input 16.1_2018VOL-YTD'!$R:$R,$G50,'Input 16.1_2018VOL-YTD'!G:G)</f>
        <v>0</v>
      </c>
      <c r="S50" s="268">
        <f>SUMIF('Input 16.1_2018VOL-YTD'!$R:$R,$G50,'Input 16.1_2018VOL-YTD'!H:H)</f>
        <v>0</v>
      </c>
      <c r="T50" s="268">
        <f>SUMIF('Input 16.1_2018VOL-YTD'!$R:$R,$G50,'Input 16.1_2018VOL-YTD'!I:I)</f>
        <v>0</v>
      </c>
      <c r="U50" s="268">
        <f>SUMIF('Input 16.1_2018VOL-YTD'!$R:$R,$G50,'Input 16.1_2018VOL-YTD'!J:J)</f>
        <v>0</v>
      </c>
      <c r="V50" s="268">
        <f>SUMIF('Input 16.1_2018VOL-YTD'!$R:$R,$G50,'Input 16.1_2018VOL-YTD'!K:K)</f>
        <v>0</v>
      </c>
      <c r="W50" s="268">
        <f>SUMIF('Input 16.1_2018VOL-YTD'!$R:$R,$G50,'Input 16.1_2018VOL-YTD'!L:L)</f>
        <v>0</v>
      </c>
      <c r="X50" s="268">
        <f>SUMIF('Input 16.1_2018VOL-YTD'!$R:$R,$G50,'Input 16.1_2018VOL-YTD'!M:M)</f>
        <v>0</v>
      </c>
      <c r="Y50" s="268">
        <f>SUMIF('Input 16.1_2018VOL-YTD'!$R:$R,$G50,'Input 16.1_2018VOL-YTD'!N:N)</f>
        <v>0</v>
      </c>
      <c r="Z50" s="268">
        <f>SUMIF('Input 3.1_2019VOL-YTD'!$R:$R,$G50,'Input 3.1_2019VOL-YTD'!C:C)</f>
        <v>0</v>
      </c>
      <c r="AA50" s="268">
        <f>SUMIF('Input 3.1_2019VOL-YTD'!$R:$R,$G50,'Input 3.1_2019VOL-YTD'!D:D)</f>
        <v>0</v>
      </c>
      <c r="AB50" s="268">
        <f>SUMIF('Input 3.1_2019VOL-YTD'!$R:$R,$G50,'Input 3.1_2019VOL-YTD'!E:E)</f>
        <v>0</v>
      </c>
      <c r="AC50" s="268">
        <f>SUMIF('Input 3.1_2019VOL-YTD'!$R:$R,$G50,'Input 3.1_2019VOL-YTD'!F:F)</f>
        <v>0</v>
      </c>
      <c r="AD50" s="268">
        <f>SUMIF('Input 3.1_2019VOL-YTD'!$R:$R,$G50,'Input 3.1_2019VOL-YTD'!G:G)</f>
        <v>0</v>
      </c>
      <c r="AE50" s="268">
        <f>SUMIF('Input 3.1_2019VOL-YTD'!$R:$R,$G50,'Input 3.1_2019VOL-YTD'!H:H)</f>
        <v>0</v>
      </c>
      <c r="AF50" s="268">
        <f>SUMIF('Input 3.1_2019VOL-YTD'!$R:$R,$G50,'Input 3.1_2019VOL-YTD'!I:I)</f>
        <v>0</v>
      </c>
      <c r="AG50" s="268">
        <f>SUMIF('Input 3.1_2019VOL-YTD'!$R:$R,$G50,'Input 3.1_2019VOL-YTD'!J:J)</f>
        <v>0</v>
      </c>
      <c r="AH50" s="268">
        <f>SUMIF('Input 3.1_2019VOL-YTD'!$R:$R,$G50,'Input 3.1_2019VOL-YTD'!K:K)</f>
        <v>0</v>
      </c>
      <c r="AI50" s="268">
        <f>SUMIF('Input 3.1_2019VOL-YTD'!$R:$R,$G50,'Input 3.1_2019VOL-YTD'!L:L)</f>
        <v>0</v>
      </c>
      <c r="AJ50" s="268">
        <f>SUMIF('Input 3.1_2019VOL-YTD'!$R:$R,$G50,'Input 3.1_2019VOL-YTD'!M:M)</f>
        <v>0</v>
      </c>
      <c r="AK50" s="268">
        <f>SUMIF('Input 3.1_2019VOL-YTD'!$R:$R,$G50,'Input 3.1_2019VOL-YTD'!N:N)</f>
        <v>0</v>
      </c>
      <c r="AL50" s="268">
        <f>SUMIF('Input 4.1_2020VOL-YTD'!$R:$R,$G50,'Input 4.1_2020VOL-YTD'!C:C)</f>
        <v>0</v>
      </c>
      <c r="AM50" s="268">
        <f>SUMIF('Input 4.1_2020VOL-YTD'!$R:$R,$G50,'Input 4.1_2020VOL-YTD'!D:D)</f>
        <v>0</v>
      </c>
      <c r="AN50" s="268">
        <f>SUMIF('Input 4.1_2020VOL-YTD'!$R:$R,$G50,'Input 4.1_2020VOL-YTD'!E:E)</f>
        <v>0</v>
      </c>
      <c r="AO50" s="268">
        <f>SUMIF('Input 4.1_2020VOL-YTD'!$R:$R,$G50,'Input 4.1_2020VOL-YTD'!F:F)</f>
        <v>0</v>
      </c>
      <c r="AP50" s="268">
        <f>SUMIF('Input 4.1_2020VOL-YTD'!$R:$R,$G50,'Input 4.1_2020VOL-YTD'!G:G)</f>
        <v>0</v>
      </c>
      <c r="AQ50" s="268">
        <f>SUMIF('Input 4.1_2020VOL-YTD'!$R:$R,$G50,'Input 4.1_2020VOL-YTD'!H:H)</f>
        <v>0</v>
      </c>
      <c r="AR50" s="268">
        <f>SUMIF('Input 4.1_2020VOL-YTD'!$R:$R,$G50,'Input 4.1_2020VOL-YTD'!I:I)</f>
        <v>0</v>
      </c>
      <c r="AS50" s="268">
        <f>SUMIF('Input 4.1_2020VOL-YTD'!$R:$R,$G50,'Input 4.1_2020VOL-YTD'!J:J)</f>
        <v>0</v>
      </c>
      <c r="AT50" s="268">
        <f>SUMIF('Input 4.1_2020VOL-YTD'!$R:$R,$G50,'Input 4.1_2020VOL-YTD'!K:K)</f>
        <v>0</v>
      </c>
      <c r="AU50" s="268">
        <f>SUMIF('Input 4.1_2020VOL-YTD'!$R:$R,$G50,'Input 4.1_2020VOL-YTD'!L:L)</f>
        <v>0</v>
      </c>
      <c r="AV50" s="268">
        <f>SUMIF('Input 4.1_2020VOL-YTD'!$R:$R,$G50,'Input 4.1_2020VOL-YTD'!M:M)</f>
        <v>0</v>
      </c>
      <c r="AW50" s="268">
        <f>SUMIF('Input 4.1_2020VOL-YTD'!$R:$R,$G50,'Input 4.1_2020VOL-YTD'!N:N)</f>
        <v>0</v>
      </c>
      <c r="AX50" s="268">
        <f>SUMIF('Input 5.1_2021VOL-YTD'!$R:$R,$G50,'Input 5.1_2021VOL-YTD'!C:C)</f>
        <v>0</v>
      </c>
      <c r="AY50" s="268">
        <f>SUMIF('Input 5.1_2021VOL-YTD'!$R:$R,$G50,'Input 5.1_2021VOL-YTD'!D:D)</f>
        <v>0</v>
      </c>
      <c r="AZ50" s="268">
        <f>SUMIF('Input 5.1_2021VOL-YTD'!$R:$R,$G50,'Input 5.1_2021VOL-YTD'!E:E)</f>
        <v>0</v>
      </c>
      <c r="BA50" s="268">
        <f>SUMIF('Input 5.1_2021VOL-YTD'!$R:$R,$G50,'Input 5.1_2021VOL-YTD'!F:F)</f>
        <v>0</v>
      </c>
      <c r="BB50" s="268">
        <f>SUMIF('Input 5.1_2021VOL-YTD'!$R:$R,$G50,'Input 5.1_2021VOL-YTD'!G:G)</f>
        <v>0</v>
      </c>
      <c r="BC50" s="268">
        <f>SUMIF('Input 5.1_2021VOL-YTD'!$R:$R,$G50,'Input 5.1_2021VOL-YTD'!H:H)</f>
        <v>0</v>
      </c>
      <c r="BD50" s="268">
        <f>SUMIF('Input 5.1_2021VOL-YTD'!$R:$R,$G50,'Input 5.1_2021VOL-YTD'!I:I)</f>
        <v>0</v>
      </c>
      <c r="BE50" s="268">
        <f>SUMIF('Input 5.1_2021VOL-YTD'!$R:$R,$G50,'Input 5.1_2021VOL-YTD'!J:J)</f>
        <v>0</v>
      </c>
      <c r="BF50" s="268">
        <f>SUMIF('Input 5.1_2021VOL-YTD'!$R:$R,$G50,'Input 5.1_2021VOL-YTD'!K:K)</f>
        <v>0</v>
      </c>
      <c r="BG50" s="268">
        <f>SUMIF('Input 5.1_2021VOL-YTD'!$R:$R,$G50,'Input 5.1_2021VOL-YTD'!L:L)</f>
        <v>0</v>
      </c>
      <c r="BH50" s="268">
        <f>SUMIF('Input 5.1_2021VOL-YTD'!$R:$R,$G50,'Input 5.1_2021VOL-YTD'!M:M)</f>
        <v>0</v>
      </c>
      <c r="BI50" s="268">
        <f>SUMIF('Input 5.1_2021VOL-YTD'!$R:$R,$G50,'Input 5.1_2021VOL-YTD'!N:N)</f>
        <v>0</v>
      </c>
      <c r="BJ50" s="483">
        <f>IFERROR(IF($J50="Historical Average",INDEX('Monthly UPC'!$CM$2:$DJ$65,MATCH($D50,'Monthly UPC'!$D$2:$D$65,0),MATCH(BJ$1,'Monthly UPC'!$CM$1:$DJ$1))*(INDEX('Monthly CUST'!$N$2:$CG$65,MATCH($D50,'Monthly CUST'!$D$2:$D$65,0),MATCH(BJ$1,'Monthly CUST'!$N$1:$CG$1,0))),IF($J50="UPC Growth Rate",((AX50/INDEX('Monthly CUST'!$N$2:$CG$65,MATCH($D50,'Monthly CUST'!$D$2:$D$65,0),MATCH(AX$1,'Monthly CUST'!$N$1:$CG$1,0)))*(1+$L50)*INDEX('Monthly CUST'!$N$2:$CG$65,MATCH($D50,'Monthly CUST'!$D$2:$D$65,0),MATCH(BJ$1,'Monthly CUST'!$N$1:$CG$1,0))),IF($J50="Modeled UPC",INDEX('Monthly CUST'!$N$2:$CG$65,MATCH($D50,'Monthly CUST'!$D$2:$D$65,0),MATCH(BJ$1,'Monthly CUST'!$N$1:$CG$1,0))/12*$M50,IF($J50="Base Period",AX50,IF($J50="Adjusted",SUMIF('Input 15_Fcst Inputs'!$A:$A,$D50,'Input 15_Fcst Inputs'!$G:$G)/12))))),0)</f>
        <v>0</v>
      </c>
      <c r="BK50" s="483">
        <f>IFERROR(IF($J50="Historical Average",INDEX('Monthly UPC'!$CM$2:$DJ$65,MATCH($D50,'Monthly UPC'!$D$2:$D$65,0),MATCH(BK$1,'Monthly UPC'!$CM$1:$DJ$1))*(INDEX('Monthly CUST'!$N$2:$CG$65,MATCH($D50,'Monthly CUST'!$D$2:$D$65,0),MATCH(BK$1,'Monthly CUST'!$N$1:$CG$1,0))),IF($J50="UPC Growth Rate",((AY50/INDEX('Monthly CUST'!$N$2:$CG$65,MATCH($D50,'Monthly CUST'!$D$2:$D$65,0),MATCH(AY$1,'Monthly CUST'!$N$1:$CG$1,0)))*(1+$L50)*INDEX('Monthly CUST'!$N$2:$CG$65,MATCH($D50,'Monthly CUST'!$D$2:$D$65,0),MATCH(BK$1,'Monthly CUST'!$N$1:$CG$1,0))),IF($J50="Modeled UPC",INDEX('Monthly CUST'!$N$2:$CG$65,MATCH($D50,'Monthly CUST'!$D$2:$D$65,0),MATCH(BK$1,'Monthly CUST'!$N$1:$CG$1,0))/12*$M50,IF($J50="Base Period",AY50,IF($J50="Adjusted",SUMIF('Input 15_Fcst Inputs'!$A:$A,$D50,'Input 15_Fcst Inputs'!$G:$G)/12))))),0)</f>
        <v>0</v>
      </c>
      <c r="BL50" s="483">
        <f>IFERROR(IF($J50="Historical Average",INDEX('Monthly UPC'!$CM$2:$DJ$65,MATCH($D50,'Monthly UPC'!$D$2:$D$65,0),MATCH(BL$1,'Monthly UPC'!$CM$1:$DJ$1))*(INDEX('Monthly CUST'!$N$2:$CG$65,MATCH($D50,'Monthly CUST'!$D$2:$D$65,0),MATCH(BL$1,'Monthly CUST'!$N$1:$CG$1,0))),IF($J50="UPC Growth Rate",((AZ50/INDEX('Monthly CUST'!$N$2:$CG$65,MATCH($D50,'Monthly CUST'!$D$2:$D$65,0),MATCH(AZ$1,'Monthly CUST'!$N$1:$CG$1,0)))*(1+$L50)*INDEX('Monthly CUST'!$N$2:$CG$65,MATCH($D50,'Monthly CUST'!$D$2:$D$65,0),MATCH(BL$1,'Monthly CUST'!$N$1:$CG$1,0))),IF($J50="Modeled UPC",INDEX('Monthly CUST'!$N$2:$CG$65,MATCH($D50,'Monthly CUST'!$D$2:$D$65,0),MATCH(BL$1,'Monthly CUST'!$N$1:$CG$1,0))/12*$M50,IF($J50="Base Period",AZ50,IF($J50="Adjusted",SUMIF('Input 15_Fcst Inputs'!$A:$A,$D50,'Input 15_Fcst Inputs'!$G:$G)/12))))),0)</f>
        <v>0</v>
      </c>
      <c r="BM50" s="483">
        <f>IFERROR(IF($J50="Historical Average",INDEX('Monthly UPC'!$CM$2:$DJ$65,MATCH($D50,'Monthly UPC'!$D$2:$D$65,0),MATCH(BM$1,'Monthly UPC'!$CM$1:$DJ$1))*(INDEX('Monthly CUST'!$N$2:$CG$65,MATCH($D50,'Monthly CUST'!$D$2:$D$65,0),MATCH(BM$1,'Monthly CUST'!$N$1:$CG$1,0))),IF($J50="UPC Growth Rate",((BA50/INDEX('Monthly CUST'!$N$2:$CG$65,MATCH($D50,'Monthly CUST'!$D$2:$D$65,0),MATCH(BA$1,'Monthly CUST'!$N$1:$CG$1,0)))*(1+$L50)*INDEX('Monthly CUST'!$N$2:$CG$65,MATCH($D50,'Monthly CUST'!$D$2:$D$65,0),MATCH(BM$1,'Monthly CUST'!$N$1:$CG$1,0))),IF($J50="Modeled UPC",INDEX('Monthly CUST'!$N$2:$CG$65,MATCH($D50,'Monthly CUST'!$D$2:$D$65,0),MATCH(BM$1,'Monthly CUST'!$N$1:$CG$1,0))/12*$M50,IF($J50="Base Period",BA50,IF($J50="Adjusted",SUMIF('Input 15_Fcst Inputs'!$A:$A,$D50,'Input 15_Fcst Inputs'!$G:$G)/12))))),0)</f>
        <v>0</v>
      </c>
      <c r="BN50" s="483">
        <f>IFERROR(IF($J50="Historical Average",INDEX('Monthly UPC'!$CM$2:$DJ$65,MATCH($D50,'Monthly UPC'!$D$2:$D$65,0),MATCH(BN$1,'Monthly UPC'!$CM$1:$DJ$1))*(INDEX('Monthly CUST'!$N$2:$CG$65,MATCH($D50,'Monthly CUST'!$D$2:$D$65,0),MATCH(BN$1,'Monthly CUST'!$N$1:$CG$1,0))),IF($J50="UPC Growth Rate",((BB50/INDEX('Monthly CUST'!$N$2:$CG$65,MATCH($D50,'Monthly CUST'!$D$2:$D$65,0),MATCH(BB$1,'Monthly CUST'!$N$1:$CG$1,0)))*(1+$L50)*INDEX('Monthly CUST'!$N$2:$CG$65,MATCH($D50,'Monthly CUST'!$D$2:$D$65,0),MATCH(BN$1,'Monthly CUST'!$N$1:$CG$1,0))),IF($J50="Modeled UPC",INDEX('Monthly CUST'!$N$2:$CG$65,MATCH($D50,'Monthly CUST'!$D$2:$D$65,0),MATCH(BN$1,'Monthly CUST'!$N$1:$CG$1,0))/12*$M50,IF($J50="Base Period",BB50,IF($J50="Adjusted",SUMIF('Input 15_Fcst Inputs'!$A:$A,$D50,'Input 15_Fcst Inputs'!$G:$G)/12))))),0)</f>
        <v>0</v>
      </c>
      <c r="BO50" s="483">
        <f>IFERROR(IF($J50="Historical Average",INDEX('Monthly UPC'!$CM$2:$DJ$65,MATCH($D50,'Monthly UPC'!$D$2:$D$65,0),MATCH(BO$1,'Monthly UPC'!$CM$1:$DJ$1))*(INDEX('Monthly CUST'!$N$2:$CG$65,MATCH($D50,'Monthly CUST'!$D$2:$D$65,0),MATCH(BO$1,'Monthly CUST'!$N$1:$CG$1,0))),IF($J50="UPC Growth Rate",((BC50/INDEX('Monthly CUST'!$N$2:$CG$65,MATCH($D50,'Monthly CUST'!$D$2:$D$65,0),MATCH(BC$1,'Monthly CUST'!$N$1:$CG$1,0)))*(1+$L50)*INDEX('Monthly CUST'!$N$2:$CG$65,MATCH($D50,'Monthly CUST'!$D$2:$D$65,0),MATCH(BO$1,'Monthly CUST'!$N$1:$CG$1,0))),IF($J50="Modeled UPC",INDEX('Monthly CUST'!$N$2:$CG$65,MATCH($D50,'Monthly CUST'!$D$2:$D$65,0),MATCH(BO$1,'Monthly CUST'!$N$1:$CG$1,0))/12*$M50,IF($J50="Base Period",BC50,IF($J50="Adjusted",SUMIF('Input 15_Fcst Inputs'!$A:$A,$D50,'Input 15_Fcst Inputs'!$G:$G)/12))))),0)</f>
        <v>0</v>
      </c>
      <c r="BP50" s="483">
        <f>IFERROR(IF($J50="Historical Average",INDEX('Monthly UPC'!$CM$2:$DJ$65,MATCH($D50,'Monthly UPC'!$D$2:$D$65,0),MATCH(BP$1,'Monthly UPC'!$CM$1:$DJ$1))*(INDEX('Monthly CUST'!$N$2:$CG$65,MATCH($D50,'Monthly CUST'!$D$2:$D$65,0),MATCH(BP$1,'Monthly CUST'!$N$1:$CG$1,0))),IF($J50="UPC Growth Rate",((BD50/INDEX('Monthly CUST'!$N$2:$CG$65,MATCH($D50,'Monthly CUST'!$D$2:$D$65,0),MATCH(BD$1,'Monthly CUST'!$N$1:$CG$1,0)))*(1+$L50)*INDEX('Monthly CUST'!$N$2:$CG$65,MATCH($D50,'Monthly CUST'!$D$2:$D$65,0),MATCH(BP$1,'Monthly CUST'!$N$1:$CG$1,0))),IF($J50="Modeled UPC",INDEX('Monthly CUST'!$N$2:$CG$65,MATCH($D50,'Monthly CUST'!$D$2:$D$65,0),MATCH(BP$1,'Monthly CUST'!$N$1:$CG$1,0))/12*$M50,IF($J50="Base Period",BD50,IF($J50="Adjusted",SUMIF('Input 15_Fcst Inputs'!$A:$A,$D50,'Input 15_Fcst Inputs'!$G:$G)/12))))),0)</f>
        <v>0</v>
      </c>
      <c r="BQ50" s="483">
        <f>IFERROR(IF($J50="Historical Average",INDEX('Monthly UPC'!$CM$2:$DJ$65,MATCH($D50,'Monthly UPC'!$D$2:$D$65,0),MATCH(BQ$1,'Monthly UPC'!$CM$1:$DJ$1))*(INDEX('Monthly CUST'!$N$2:$CG$65,MATCH($D50,'Monthly CUST'!$D$2:$D$65,0),MATCH(BQ$1,'Monthly CUST'!$N$1:$CG$1,0))),IF($J50="UPC Growth Rate",((BE50/INDEX('Monthly CUST'!$N$2:$CG$65,MATCH($D50,'Monthly CUST'!$D$2:$D$65,0),MATCH(BE$1,'Monthly CUST'!$N$1:$CG$1,0)))*(1+$L50)*INDEX('Monthly CUST'!$N$2:$CG$65,MATCH($D50,'Monthly CUST'!$D$2:$D$65,0),MATCH(BQ$1,'Monthly CUST'!$N$1:$CG$1,0))),IF($J50="Modeled UPC",INDEX('Monthly CUST'!$N$2:$CG$65,MATCH($D50,'Monthly CUST'!$D$2:$D$65,0),MATCH(BQ$1,'Monthly CUST'!$N$1:$CG$1,0))/12*$M50,IF($J50="Base Period",BE50,IF($J50="Adjusted",SUMIF('Input 15_Fcst Inputs'!$A:$A,$D50,'Input 15_Fcst Inputs'!$G:$G)/12))))),0)</f>
        <v>0</v>
      </c>
      <c r="BR50" s="483">
        <f>IFERROR(IF($J50="Historical Average",INDEX('Monthly UPC'!$CM$2:$DJ$65,MATCH($D50,'Monthly UPC'!$D$2:$D$65,0),MATCH(BR$1,'Monthly UPC'!$CM$1:$DJ$1))*(INDEX('Monthly CUST'!$N$2:$CG$65,MATCH($D50,'Monthly CUST'!$D$2:$D$65,0),MATCH(BR$1,'Monthly CUST'!$N$1:$CG$1,0))),IF($J50="UPC Growth Rate",((BF50/INDEX('Monthly CUST'!$N$2:$CG$65,MATCH($D50,'Monthly CUST'!$D$2:$D$65,0),MATCH(BF$1,'Monthly CUST'!$N$1:$CG$1,0)))*(1+$L50)*INDEX('Monthly CUST'!$N$2:$CG$65,MATCH($D50,'Monthly CUST'!$D$2:$D$65,0),MATCH(BR$1,'Monthly CUST'!$N$1:$CG$1,0))),IF($J50="Modeled UPC",INDEX('Monthly CUST'!$N$2:$CG$65,MATCH($D50,'Monthly CUST'!$D$2:$D$65,0),MATCH(BR$1,'Monthly CUST'!$N$1:$CG$1,0))/12*$M50,IF($J50="Base Period",BF50,IF($J50="Adjusted",SUMIF('Input 15_Fcst Inputs'!$A:$A,$D50,'Input 15_Fcst Inputs'!$G:$G)/12))))),0)</f>
        <v>0</v>
      </c>
      <c r="BS50" s="483">
        <f>IFERROR(IF($J50="Historical Average",INDEX('Monthly UPC'!$CM$2:$DJ$65,MATCH($D50,'Monthly UPC'!$D$2:$D$65,0),MATCH(BS$1,'Monthly UPC'!$CM$1:$DJ$1))*(INDEX('Monthly CUST'!$N$2:$CG$65,MATCH($D50,'Monthly CUST'!$D$2:$D$65,0),MATCH(BS$1,'Monthly CUST'!$N$1:$CG$1,0))),IF($J50="UPC Growth Rate",((BG50/INDEX('Monthly CUST'!$N$2:$CG$65,MATCH($D50,'Monthly CUST'!$D$2:$D$65,0),MATCH(BG$1,'Monthly CUST'!$N$1:$CG$1,0)))*(1+$L50)*INDEX('Monthly CUST'!$N$2:$CG$65,MATCH($D50,'Monthly CUST'!$D$2:$D$65,0),MATCH(BS$1,'Monthly CUST'!$N$1:$CG$1,0))),IF($J50="Modeled UPC",INDEX('Monthly CUST'!$N$2:$CG$65,MATCH($D50,'Monthly CUST'!$D$2:$D$65,0),MATCH(BS$1,'Monthly CUST'!$N$1:$CG$1,0))/12*$M50,IF($J50="Base Period",BG50,IF($J50="Adjusted",SUMIF('Input 15_Fcst Inputs'!$A:$A,$D50,'Input 15_Fcst Inputs'!$G:$G)/12))))),0)</f>
        <v>0</v>
      </c>
      <c r="BT50" s="483">
        <f>IFERROR(IF($J50="Historical Average",INDEX('Monthly UPC'!$CM$2:$DJ$65,MATCH($D50,'Monthly UPC'!$D$2:$D$65,0),MATCH(BT$1,'Monthly UPC'!$CM$1:$DJ$1))*(INDEX('Monthly CUST'!$N$2:$CG$65,MATCH($D50,'Monthly CUST'!$D$2:$D$65,0),MATCH(BT$1,'Monthly CUST'!$N$1:$CG$1,0))),IF($J50="UPC Growth Rate",((BH50/INDEX('Monthly CUST'!$N$2:$CG$65,MATCH($D50,'Monthly CUST'!$D$2:$D$65,0),MATCH(BH$1,'Monthly CUST'!$N$1:$CG$1,0)))*(1+$L50)*INDEX('Monthly CUST'!$N$2:$CG$65,MATCH($D50,'Monthly CUST'!$D$2:$D$65,0),MATCH(BT$1,'Monthly CUST'!$N$1:$CG$1,0))),IF($J50="Modeled UPC",INDEX('Monthly CUST'!$N$2:$CG$65,MATCH($D50,'Monthly CUST'!$D$2:$D$65,0),MATCH(BT$1,'Monthly CUST'!$N$1:$CG$1,0))/12*$M50,IF($J50="Base Period",BH50,IF($J50="Adjusted",SUMIF('Input 15_Fcst Inputs'!$A:$A,$D50,'Input 15_Fcst Inputs'!$G:$G)/12))))),0)</f>
        <v>0</v>
      </c>
      <c r="BU50" s="483">
        <f>IFERROR(IF($J50="Historical Average",INDEX('Monthly UPC'!$CM$2:$DJ$65,MATCH($D50,'Monthly UPC'!$D$2:$D$65,0),MATCH(BU$1,'Monthly UPC'!$CM$1:$DJ$1))*(INDEX('Monthly CUST'!$N$2:$CG$65,MATCH($D50,'Monthly CUST'!$D$2:$D$65,0),MATCH(BU$1,'Monthly CUST'!$N$1:$CG$1,0))),IF($J50="UPC Growth Rate",((BI50/INDEX('Monthly CUST'!$N$2:$CG$65,MATCH($D50,'Monthly CUST'!$D$2:$D$65,0),MATCH(BI$1,'Monthly CUST'!$N$1:$CG$1,0)))*(1+$L50)*INDEX('Monthly CUST'!$N$2:$CG$65,MATCH($D50,'Monthly CUST'!$D$2:$D$65,0),MATCH(BU$1,'Monthly CUST'!$N$1:$CG$1,0))),IF($J50="Modeled UPC",INDEX('Monthly CUST'!$N$2:$CG$65,MATCH($D50,'Monthly CUST'!$D$2:$D$65,0),MATCH(BU$1,'Monthly CUST'!$N$1:$CG$1,0))/12*$M50,IF($J50="Base Period",BI50,IF($J50="Adjusted",SUMIF('Input 15_Fcst Inputs'!$A:$A,$D50,'Input 15_Fcst Inputs'!$G:$G)/12))))),0)</f>
        <v>0</v>
      </c>
      <c r="BV50" s="483">
        <f>IFERROR(IF($J50="Historical Average",INDEX('Monthly UPC'!$CM$2:$DJ$65,MATCH($D50,'Monthly UPC'!$D$2:$D$65,0),MATCH(BV$1,'Monthly UPC'!$CM$1:$DJ$1))*(INDEX('Monthly CUST'!$N$2:$CG$65,MATCH($D50,'Monthly CUST'!$D$2:$D$65,0),MATCH(BV$1,'Monthly CUST'!$N$1:$CG$1,0))),IF($J50="UPC Growth Rate",((BJ50/INDEX('Monthly CUST'!$N$2:$CG$65,MATCH($D50,'Monthly CUST'!$D$2:$D$65,0),MATCH(BJ$1,'Monthly CUST'!$N$1:$CG$1,0)))*(1+$L50)*INDEX('Monthly CUST'!$N$2:$CG$65,MATCH($D50,'Monthly CUST'!$D$2:$D$65,0),MATCH(BV$1,'Monthly CUST'!$N$1:$CG$1,0))),IF($J50="Modeled UPC",INDEX('Monthly CUST'!$N$2:$CG$65,MATCH($D50,'Monthly CUST'!$D$2:$D$65,0),MATCH(BV$1,'Monthly CUST'!$N$1:$CG$1,0))/12*$M50,IF($J50="Base Period",BJ50,IF($J50="Adjusted",SUMIF('Input 15_Fcst Inputs'!$A:$A,$D50,'Input 15_Fcst Inputs'!$G:$G)/12))))),0)</f>
        <v>0</v>
      </c>
      <c r="BW50" s="483">
        <f>IFERROR(IF($J50="Historical Average",INDEX('Monthly UPC'!$CM$2:$DJ$65,MATCH($D50,'Monthly UPC'!$D$2:$D$65,0),MATCH(BW$1,'Monthly UPC'!$CM$1:$DJ$1))*(INDEX('Monthly CUST'!$N$2:$CG$65,MATCH($D50,'Monthly CUST'!$D$2:$D$65,0),MATCH(BW$1,'Monthly CUST'!$N$1:$CG$1,0))),IF($J50="UPC Growth Rate",((BK50/INDEX('Monthly CUST'!$N$2:$CG$65,MATCH($D50,'Monthly CUST'!$D$2:$D$65,0),MATCH(BK$1,'Monthly CUST'!$N$1:$CG$1,0)))*(1+$L50)*INDEX('Monthly CUST'!$N$2:$CG$65,MATCH($D50,'Monthly CUST'!$D$2:$D$65,0),MATCH(BW$1,'Monthly CUST'!$N$1:$CG$1,0))),IF($J50="Modeled UPC",INDEX('Monthly CUST'!$N$2:$CG$65,MATCH($D50,'Monthly CUST'!$D$2:$D$65,0),MATCH(BW$1,'Monthly CUST'!$N$1:$CG$1,0))/12*$M50,IF($J50="Base Period",BK50,IF($J50="Adjusted",SUMIF('Input 15_Fcst Inputs'!$A:$A,$D50,'Input 15_Fcst Inputs'!$G:$G)/12))))),0)</f>
        <v>0</v>
      </c>
      <c r="BX50" s="483">
        <f>IFERROR(IF($J50="Historical Average",INDEX('Monthly UPC'!$CM$2:$DJ$65,MATCH($D50,'Monthly UPC'!$D$2:$D$65,0),MATCH(BX$1,'Monthly UPC'!$CM$1:$DJ$1))*(INDEX('Monthly CUST'!$N$2:$CG$65,MATCH($D50,'Monthly CUST'!$D$2:$D$65,0),MATCH(BX$1,'Monthly CUST'!$N$1:$CG$1,0))),IF($J50="UPC Growth Rate",((BL50/INDEX('Monthly CUST'!$N$2:$CG$65,MATCH($D50,'Monthly CUST'!$D$2:$D$65,0),MATCH(BL$1,'Monthly CUST'!$N$1:$CG$1,0)))*(1+$L50)*INDEX('Monthly CUST'!$N$2:$CG$65,MATCH($D50,'Monthly CUST'!$D$2:$D$65,0),MATCH(BX$1,'Monthly CUST'!$N$1:$CG$1,0))),IF($J50="Modeled UPC",INDEX('Monthly CUST'!$N$2:$CG$65,MATCH($D50,'Monthly CUST'!$D$2:$D$65,0),MATCH(BX$1,'Monthly CUST'!$N$1:$CG$1,0))/12*$M50,IF($J50="Base Period",BL50,IF($J50="Adjusted",SUMIF('Input 15_Fcst Inputs'!$A:$A,$D50,'Input 15_Fcst Inputs'!$G:$G)/12))))),0)</f>
        <v>0</v>
      </c>
      <c r="BY50" s="483">
        <f>IFERROR(IF($J50="Historical Average",INDEX('Monthly UPC'!$CM$2:$DJ$65,MATCH($D50,'Monthly UPC'!$D$2:$D$65,0),MATCH(BY$1,'Monthly UPC'!$CM$1:$DJ$1))*(INDEX('Monthly CUST'!$N$2:$CG$65,MATCH($D50,'Monthly CUST'!$D$2:$D$65,0),MATCH(BY$1,'Monthly CUST'!$N$1:$CG$1,0))),IF($J50="UPC Growth Rate",((BM50/INDEX('Monthly CUST'!$N$2:$CG$65,MATCH($D50,'Monthly CUST'!$D$2:$D$65,0),MATCH(BM$1,'Monthly CUST'!$N$1:$CG$1,0)))*(1+$L50)*INDEX('Monthly CUST'!$N$2:$CG$65,MATCH($D50,'Monthly CUST'!$D$2:$D$65,0),MATCH(BY$1,'Monthly CUST'!$N$1:$CG$1,0))),IF($J50="Modeled UPC",INDEX('Monthly CUST'!$N$2:$CG$65,MATCH($D50,'Monthly CUST'!$D$2:$D$65,0),MATCH(BY$1,'Monthly CUST'!$N$1:$CG$1,0))/12*$M50,IF($J50="Base Period",BM50,IF($J50="Adjusted",SUMIF('Input 15_Fcst Inputs'!$A:$A,$D50,'Input 15_Fcst Inputs'!$G:$G)/12))))),0)</f>
        <v>0</v>
      </c>
      <c r="BZ50" s="483">
        <f>IFERROR(IF($J50="Historical Average",INDEX('Monthly UPC'!$CM$2:$DJ$65,MATCH($D50,'Monthly UPC'!$D$2:$D$65,0),MATCH(BZ$1,'Monthly UPC'!$CM$1:$DJ$1))*(INDEX('Monthly CUST'!$N$2:$CG$65,MATCH($D50,'Monthly CUST'!$D$2:$D$65,0),MATCH(BZ$1,'Monthly CUST'!$N$1:$CG$1,0))),IF($J50="UPC Growth Rate",((BN50/INDEX('Monthly CUST'!$N$2:$CG$65,MATCH($D50,'Monthly CUST'!$D$2:$D$65,0),MATCH(BN$1,'Monthly CUST'!$N$1:$CG$1,0)))*(1+$L50)*INDEX('Monthly CUST'!$N$2:$CG$65,MATCH($D50,'Monthly CUST'!$D$2:$D$65,0),MATCH(BZ$1,'Monthly CUST'!$N$1:$CG$1,0))),IF($J50="Modeled UPC",INDEX('Monthly CUST'!$N$2:$CG$65,MATCH($D50,'Monthly CUST'!$D$2:$D$65,0),MATCH(BZ$1,'Monthly CUST'!$N$1:$CG$1,0))/12*$M50,IF($J50="Base Period",BN50,IF($J50="Adjusted",SUMIF('Input 15_Fcst Inputs'!$A:$A,$D50,'Input 15_Fcst Inputs'!$G:$G)/12))))),0)</f>
        <v>0</v>
      </c>
      <c r="CA50" s="483">
        <f>IFERROR(IF($J50="Historical Average",INDEX('Monthly UPC'!$CM$2:$DJ$65,MATCH($D50,'Monthly UPC'!$D$2:$D$65,0),MATCH(CA$1,'Monthly UPC'!$CM$1:$DJ$1))*(INDEX('Monthly CUST'!$N$2:$CG$65,MATCH($D50,'Monthly CUST'!$D$2:$D$65,0),MATCH(CA$1,'Monthly CUST'!$N$1:$CG$1,0))),IF($J50="UPC Growth Rate",((BO50/INDEX('Monthly CUST'!$N$2:$CG$65,MATCH($D50,'Monthly CUST'!$D$2:$D$65,0),MATCH(BO$1,'Monthly CUST'!$N$1:$CG$1,0)))*(1+$L50)*INDEX('Monthly CUST'!$N$2:$CG$65,MATCH($D50,'Monthly CUST'!$D$2:$D$65,0),MATCH(CA$1,'Monthly CUST'!$N$1:$CG$1,0))),IF($J50="Modeled UPC",INDEX('Monthly CUST'!$N$2:$CG$65,MATCH($D50,'Monthly CUST'!$D$2:$D$65,0),MATCH(CA$1,'Monthly CUST'!$N$1:$CG$1,0))/12*$M50,IF($J50="Base Period",BO50,IF($J50="Adjusted",SUMIF('Input 15_Fcst Inputs'!$A:$A,$D50,'Input 15_Fcst Inputs'!$G:$G)/12))))),0)</f>
        <v>0</v>
      </c>
      <c r="CB50" s="483">
        <f>IFERROR(IF($J50="Historical Average",INDEX('Monthly UPC'!$CM$2:$DJ$65,MATCH($D50,'Monthly UPC'!$D$2:$D$65,0),MATCH(CB$1,'Monthly UPC'!$CM$1:$DJ$1))*(INDEX('Monthly CUST'!$N$2:$CG$65,MATCH($D50,'Monthly CUST'!$D$2:$D$65,0),MATCH(CB$1,'Monthly CUST'!$N$1:$CG$1,0))),IF($J50="UPC Growth Rate",((BP50/INDEX('Monthly CUST'!$N$2:$CG$65,MATCH($D50,'Monthly CUST'!$D$2:$D$65,0),MATCH(BP$1,'Monthly CUST'!$N$1:$CG$1,0)))*(1+$L50)*INDEX('Monthly CUST'!$N$2:$CG$65,MATCH($D50,'Monthly CUST'!$D$2:$D$65,0),MATCH(CB$1,'Monthly CUST'!$N$1:$CG$1,0))),IF($J50="Modeled UPC",INDEX('Monthly CUST'!$N$2:$CG$65,MATCH($D50,'Monthly CUST'!$D$2:$D$65,0),MATCH(CB$1,'Monthly CUST'!$N$1:$CG$1,0))/12*$M50,IF($J50="Base Period",BP50,IF($J50="Adjusted",SUMIF('Input 15_Fcst Inputs'!$A:$A,$D50,'Input 15_Fcst Inputs'!$G:$G)/12))))),0)</f>
        <v>0</v>
      </c>
      <c r="CC50" s="483">
        <f>IFERROR(IF($J50="Historical Average",INDEX('Monthly UPC'!$CM$2:$DJ$65,MATCH($D50,'Monthly UPC'!$D$2:$D$65,0),MATCH(CC$1,'Monthly UPC'!$CM$1:$DJ$1))*(INDEX('Monthly CUST'!$N$2:$CG$65,MATCH($D50,'Monthly CUST'!$D$2:$D$65,0),MATCH(CC$1,'Monthly CUST'!$N$1:$CG$1,0))),IF($J50="UPC Growth Rate",((BQ50/INDEX('Monthly CUST'!$N$2:$CG$65,MATCH($D50,'Monthly CUST'!$D$2:$D$65,0),MATCH(BQ$1,'Monthly CUST'!$N$1:$CG$1,0)))*(1+$L50)*INDEX('Monthly CUST'!$N$2:$CG$65,MATCH($D50,'Monthly CUST'!$D$2:$D$65,0),MATCH(CC$1,'Monthly CUST'!$N$1:$CG$1,0))),IF($J50="Modeled UPC",INDEX('Monthly CUST'!$N$2:$CG$65,MATCH($D50,'Monthly CUST'!$D$2:$D$65,0),MATCH(CC$1,'Monthly CUST'!$N$1:$CG$1,0))/12*$M50,IF($J50="Base Period",BQ50,IF($J50="Adjusted",SUMIF('Input 15_Fcst Inputs'!$A:$A,$D50,'Input 15_Fcst Inputs'!$G:$G)/12))))),0)</f>
        <v>0</v>
      </c>
      <c r="CD50" s="483">
        <f>IFERROR(IF($J50="Historical Average",INDEX('Monthly UPC'!$CM$2:$DJ$65,MATCH($D50,'Monthly UPC'!$D$2:$D$65,0),MATCH(CD$1,'Monthly UPC'!$CM$1:$DJ$1))*(INDEX('Monthly CUST'!$N$2:$CG$65,MATCH($D50,'Monthly CUST'!$D$2:$D$65,0),MATCH(CD$1,'Monthly CUST'!$N$1:$CG$1,0))),IF($J50="UPC Growth Rate",((BR50/INDEX('Monthly CUST'!$N$2:$CG$65,MATCH($D50,'Monthly CUST'!$D$2:$D$65,0),MATCH(BR$1,'Monthly CUST'!$N$1:$CG$1,0)))*(1+$L50)*INDEX('Monthly CUST'!$N$2:$CG$65,MATCH($D50,'Monthly CUST'!$D$2:$D$65,0),MATCH(CD$1,'Monthly CUST'!$N$1:$CG$1,0))),IF($J50="Modeled UPC",INDEX('Monthly CUST'!$N$2:$CG$65,MATCH($D50,'Monthly CUST'!$D$2:$D$65,0),MATCH(CD$1,'Monthly CUST'!$N$1:$CG$1,0))/12*$M50,IF($J50="Base Period",BR50,IF($J50="Adjusted",SUMIF('Input 15_Fcst Inputs'!$A:$A,$D50,'Input 15_Fcst Inputs'!$G:$G)/12))))),0)</f>
        <v>0</v>
      </c>
      <c r="CE50" s="483">
        <f>IFERROR(IF($J50="Historical Average",INDEX('Monthly UPC'!$CM$2:$DJ$65,MATCH($D50,'Monthly UPC'!$D$2:$D$65,0),MATCH(CE$1,'Monthly UPC'!$CM$1:$DJ$1))*(INDEX('Monthly CUST'!$N$2:$CG$65,MATCH($D50,'Monthly CUST'!$D$2:$D$65,0),MATCH(CE$1,'Monthly CUST'!$N$1:$CG$1,0))),IF($J50="UPC Growth Rate",((BS50/INDEX('Monthly CUST'!$N$2:$CG$65,MATCH($D50,'Monthly CUST'!$D$2:$D$65,0),MATCH(BS$1,'Monthly CUST'!$N$1:$CG$1,0)))*(1+$L50)*INDEX('Monthly CUST'!$N$2:$CG$65,MATCH($D50,'Monthly CUST'!$D$2:$D$65,0),MATCH(CE$1,'Monthly CUST'!$N$1:$CG$1,0))),IF($J50="Modeled UPC",INDEX('Monthly CUST'!$N$2:$CG$65,MATCH($D50,'Monthly CUST'!$D$2:$D$65,0),MATCH(CE$1,'Monthly CUST'!$N$1:$CG$1,0))/12*$M50,IF($J50="Base Period",BS50,IF($J50="Adjusted",SUMIF('Input 15_Fcst Inputs'!$A:$A,$D50,'Input 15_Fcst Inputs'!$G:$G)/12))))),0)</f>
        <v>0</v>
      </c>
      <c r="CF50" s="483">
        <f>IFERROR(IF($J50="Historical Average",INDEX('Monthly UPC'!$CM$2:$DJ$65,MATCH($D50,'Monthly UPC'!$D$2:$D$65,0),MATCH(CF$1,'Monthly UPC'!$CM$1:$DJ$1))*(INDEX('Monthly CUST'!$N$2:$CG$65,MATCH($D50,'Monthly CUST'!$D$2:$D$65,0),MATCH(CF$1,'Monthly CUST'!$N$1:$CG$1,0))),IF($J50="UPC Growth Rate",((BT50/INDEX('Monthly CUST'!$N$2:$CG$65,MATCH($D50,'Monthly CUST'!$D$2:$D$65,0),MATCH(BT$1,'Monthly CUST'!$N$1:$CG$1,0)))*(1+$L50)*INDEX('Monthly CUST'!$N$2:$CG$65,MATCH($D50,'Monthly CUST'!$D$2:$D$65,0),MATCH(CF$1,'Monthly CUST'!$N$1:$CG$1,0))),IF($J50="Modeled UPC",INDEX('Monthly CUST'!$N$2:$CG$65,MATCH($D50,'Monthly CUST'!$D$2:$D$65,0),MATCH(CF$1,'Monthly CUST'!$N$1:$CG$1,0))/12*$M50,IF($J50="Base Period",BT50,IF($J50="Adjusted",SUMIF('Input 15_Fcst Inputs'!$A:$A,$D50,'Input 15_Fcst Inputs'!$G:$G)/12))))),0)</f>
        <v>0</v>
      </c>
      <c r="CG50" s="483">
        <f>IFERROR(IF($J50="Historical Average",INDEX('Monthly UPC'!$CM$2:$DJ$65,MATCH($D50,'Monthly UPC'!$D$2:$D$65,0),MATCH(CG$1,'Monthly UPC'!$CM$1:$DJ$1))*(INDEX('Monthly CUST'!$N$2:$CG$65,MATCH($D50,'Monthly CUST'!$D$2:$D$65,0),MATCH(CG$1,'Monthly CUST'!$N$1:$CG$1,0))),IF($J50="UPC Growth Rate",((BU50/INDEX('Monthly CUST'!$N$2:$CG$65,MATCH($D50,'Monthly CUST'!$D$2:$D$65,0),MATCH(BU$1,'Monthly CUST'!$N$1:$CG$1,0)))*(1+$L50)*INDEX('Monthly CUST'!$N$2:$CG$65,MATCH($D50,'Monthly CUST'!$D$2:$D$65,0),MATCH(CG$1,'Monthly CUST'!$N$1:$CG$1,0))),IF($J50="Modeled UPC",INDEX('Monthly CUST'!$N$2:$CG$65,MATCH($D50,'Monthly CUST'!$D$2:$D$65,0),MATCH(CG$1,'Monthly CUST'!$N$1:$CG$1,0))/12*$M50,IF($J50="Base Period",BU50,IF($J50="Adjusted",SUMIF('Input 15_Fcst Inputs'!$A:$A,$D50,'Input 15_Fcst Inputs'!$G:$G)/12))))),0)</f>
        <v>0</v>
      </c>
      <c r="CH50" s="197"/>
      <c r="CI50" s="197">
        <f t="shared" si="8"/>
        <v>0</v>
      </c>
      <c r="CJ50" s="197">
        <f t="shared" si="9"/>
        <v>0</v>
      </c>
      <c r="CK50" s="197">
        <f t="shared" si="10"/>
        <v>0</v>
      </c>
      <c r="CL50" s="197">
        <f t="shared" si="11"/>
        <v>0</v>
      </c>
      <c r="CM50" s="197">
        <f t="shared" si="12"/>
        <v>0</v>
      </c>
      <c r="CN50" s="197">
        <f t="shared" si="13"/>
        <v>0</v>
      </c>
      <c r="CP50" s="4">
        <f>SUMIF('Master '!D:D,D50,'Master '!AH:AH)</f>
        <v>0</v>
      </c>
      <c r="CQ50" s="4">
        <f>SUMIF('Master '!D:D,D50,'Master '!AI:AI)</f>
        <v>0</v>
      </c>
      <c r="CR50" s="197">
        <f t="shared" si="14"/>
        <v>0</v>
      </c>
      <c r="CS50" s="197">
        <f t="shared" si="15"/>
        <v>0</v>
      </c>
      <c r="CT50" t="s">
        <v>287</v>
      </c>
      <c r="CV50" t="str">
        <f>VLOOKUP(G50,'Master '!G:CC,75,FALSE)</f>
        <v>FTS-3</v>
      </c>
    </row>
    <row r="51" spans="1:100">
      <c r="A51" s="53" t="s">
        <v>17</v>
      </c>
      <c r="B51" s="53" t="s">
        <v>993</v>
      </c>
      <c r="C51" s="53" t="s">
        <v>1245</v>
      </c>
      <c r="D51" s="53" t="s">
        <v>1299</v>
      </c>
      <c r="E51" s="53" t="str">
        <f>VLOOKUP(D51,'Input 14_Ref Table'!C:D,2,FALSE)</f>
        <v>CC245</v>
      </c>
      <c r="F51" s="143" t="s">
        <v>1286</v>
      </c>
      <c r="G51" s="53" t="str">
        <f>VLOOKUP(D51,'Input 14_Ref Table'!C:I,7,FALSE)</f>
        <v>CFG - FTS-3 NR</v>
      </c>
      <c r="H51" s="53" t="str">
        <f>VLOOKUP(D51,'Input 14_Ref Table'!C:K,8,FALSE)</f>
        <v>FTS3</v>
      </c>
      <c r="I51" s="53"/>
      <c r="J51" t="str">
        <f>INDEX('Master '!$AD$2:AD$65,MATCH(D51,'Master '!$D$2:$D$65,0))</f>
        <v>UPC Growth Rate</v>
      </c>
      <c r="K51" s="458">
        <f>INDEX('Master '!$N$2:N$65,MATCH(D51,'Master '!$D$2:$D$65,0))</f>
        <v>2.6784283829125063E-2</v>
      </c>
      <c r="L51" s="137">
        <f>INDEX('Master '!$S$2:S$65,MATCH(D51,'Master '!$D$2:$D$65,0))</f>
        <v>1.22672019627513E-3</v>
      </c>
      <c r="M51" s="4">
        <f>INDEX('Master '!$W$2:W$65,MATCH(D51,'Master '!$D$2:$D$65,0))</f>
        <v>3591.2</v>
      </c>
      <c r="N51" s="268">
        <f>SUMIF('Input 16.1_2018VOL-YTD'!$R:$R,$G51,'Input 16.1_2018VOL-YTD'!C:C)</f>
        <v>99280.320000000007</v>
      </c>
      <c r="O51" s="268">
        <f>SUMIF('Input 16.1_2018VOL-YTD'!$R:$R,$G51,'Input 16.1_2018VOL-YTD'!D:D)</f>
        <v>90316.03</v>
      </c>
      <c r="P51" s="268">
        <f>SUMIF('Input 16.1_2018VOL-YTD'!$R:$R,$G51,'Input 16.1_2018VOL-YTD'!E:E)</f>
        <v>90957</v>
      </c>
      <c r="Q51" s="268">
        <f>SUMIF('Input 16.1_2018VOL-YTD'!$R:$R,$G51,'Input 16.1_2018VOL-YTD'!F:F)</f>
        <v>89052.11</v>
      </c>
      <c r="R51" s="268">
        <f>SUMIF('Input 16.1_2018VOL-YTD'!$R:$R,$G51,'Input 16.1_2018VOL-YTD'!G:G)</f>
        <v>81373.949999999895</v>
      </c>
      <c r="S51" s="268">
        <f>SUMIF('Input 16.1_2018VOL-YTD'!$R:$R,$G51,'Input 16.1_2018VOL-YTD'!H:H)</f>
        <v>79861.850000000006</v>
      </c>
      <c r="T51" s="268">
        <f>SUMIF('Input 16.1_2018VOL-YTD'!$R:$R,$G51,'Input 16.1_2018VOL-YTD'!I:I)</f>
        <v>70777</v>
      </c>
      <c r="U51" s="268">
        <f>SUMIF('Input 16.1_2018VOL-YTD'!$R:$R,$G51,'Input 16.1_2018VOL-YTD'!J:J)</f>
        <v>74191.89</v>
      </c>
      <c r="V51" s="268">
        <f>SUMIF('Input 16.1_2018VOL-YTD'!$R:$R,$G51,'Input 16.1_2018VOL-YTD'!K:K)</f>
        <v>81566.8100000001</v>
      </c>
      <c r="W51" s="268">
        <f>SUMIF('Input 16.1_2018VOL-YTD'!$R:$R,$G51,'Input 16.1_2018VOL-YTD'!L:L)</f>
        <v>75165.940000000104</v>
      </c>
      <c r="X51" s="268">
        <f>SUMIF('Input 16.1_2018VOL-YTD'!$R:$R,$G51,'Input 16.1_2018VOL-YTD'!M:M)</f>
        <v>90266.48</v>
      </c>
      <c r="Y51" s="268">
        <f>SUMIF('Input 16.1_2018VOL-YTD'!$R:$R,$G51,'Input 16.1_2018VOL-YTD'!N:N)</f>
        <v>92252.51</v>
      </c>
      <c r="Z51" s="268">
        <f>SUMIF('Input 3.1_2019VOL-YTD'!$R:$R,$G51,'Input 3.1_2019VOL-YTD'!C:C)</f>
        <v>92323.3100000001</v>
      </c>
      <c r="AA51" s="268">
        <f>SUMIF('Input 3.1_2019VOL-YTD'!$R:$R,$G51,'Input 3.1_2019VOL-YTD'!D:D)</f>
        <v>95412.460000000094</v>
      </c>
      <c r="AB51" s="268">
        <f>SUMIF('Input 3.1_2019VOL-YTD'!$R:$R,$G51,'Input 3.1_2019VOL-YTD'!E:E)</f>
        <v>86516.43</v>
      </c>
      <c r="AC51" s="268">
        <f>SUMIF('Input 3.1_2019VOL-YTD'!$R:$R,$G51,'Input 3.1_2019VOL-YTD'!F:F)</f>
        <v>91622.42</v>
      </c>
      <c r="AD51" s="268">
        <f>SUMIF('Input 3.1_2019VOL-YTD'!$R:$R,$G51,'Input 3.1_2019VOL-YTD'!G:G)</f>
        <v>87001.26</v>
      </c>
      <c r="AE51" s="268">
        <f>SUMIF('Input 3.1_2019VOL-YTD'!$R:$R,$G51,'Input 3.1_2019VOL-YTD'!H:H)</f>
        <v>81679.890000000101</v>
      </c>
      <c r="AF51" s="268">
        <f>SUMIF('Input 3.1_2019VOL-YTD'!$R:$R,$G51,'Input 3.1_2019VOL-YTD'!I:I)</f>
        <v>71437.019999999902</v>
      </c>
      <c r="AG51" s="268">
        <f>SUMIF('Input 3.1_2019VOL-YTD'!$R:$R,$G51,'Input 3.1_2019VOL-YTD'!J:J)</f>
        <v>77438.600000000093</v>
      </c>
      <c r="AH51" s="268">
        <f>SUMIF('Input 3.1_2019VOL-YTD'!$R:$R,$G51,'Input 3.1_2019VOL-YTD'!K:K)</f>
        <v>83782.87</v>
      </c>
      <c r="AI51" s="268">
        <f>SUMIF('Input 3.1_2019VOL-YTD'!$R:$R,$G51,'Input 3.1_2019VOL-YTD'!L:L)</f>
        <v>84475.06</v>
      </c>
      <c r="AJ51" s="268">
        <f>SUMIF('Input 3.1_2019VOL-YTD'!$R:$R,$G51,'Input 3.1_2019VOL-YTD'!M:M)</f>
        <v>94499.8</v>
      </c>
      <c r="AK51" s="268">
        <f>SUMIF('Input 3.1_2019VOL-YTD'!$R:$R,$G51,'Input 3.1_2019VOL-YTD'!N:N)</f>
        <v>100025.68</v>
      </c>
      <c r="AL51" s="268">
        <f>SUMIF('Input 4.1_2020VOL-YTD'!$R:$R,$G51,'Input 4.1_2020VOL-YTD'!C:C)</f>
        <v>97935.47</v>
      </c>
      <c r="AM51" s="268">
        <f>SUMIF('Input 4.1_2020VOL-YTD'!$R:$R,$G51,'Input 4.1_2020VOL-YTD'!D:D)</f>
        <v>96505.71</v>
      </c>
      <c r="AN51" s="268">
        <f>SUMIF('Input 4.1_2020VOL-YTD'!$R:$R,$G51,'Input 4.1_2020VOL-YTD'!E:E)</f>
        <v>91085.510000000198</v>
      </c>
      <c r="AO51" s="268">
        <f>SUMIF('Input 4.1_2020VOL-YTD'!$R:$R,$G51,'Input 4.1_2020VOL-YTD'!F:F)</f>
        <v>69821.440000000002</v>
      </c>
      <c r="AP51" s="268">
        <f>SUMIF('Input 4.1_2020VOL-YTD'!$R:$R,$G51,'Input 4.1_2020VOL-YTD'!G:G)</f>
        <v>72826.179999999993</v>
      </c>
      <c r="AQ51" s="268">
        <f>SUMIF('Input 4.1_2020VOL-YTD'!$R:$R,$G51,'Input 4.1_2020VOL-YTD'!H:H)</f>
        <v>71864.009999999995</v>
      </c>
      <c r="AR51" s="268">
        <f>SUMIF('Input 4.1_2020VOL-YTD'!$R:$R,$G51,'Input 4.1_2020VOL-YTD'!I:I)</f>
        <v>78960.38</v>
      </c>
      <c r="AS51" s="268">
        <f>SUMIF('Input 4.1_2020VOL-YTD'!$R:$R,$G51,'Input 4.1_2020VOL-YTD'!J:J)</f>
        <v>73982.350000000006</v>
      </c>
      <c r="AT51" s="268">
        <f>SUMIF('Input 4.1_2020VOL-YTD'!$R:$R,$G51,'Input 4.1_2020VOL-YTD'!K:K)</f>
        <v>78372.52</v>
      </c>
      <c r="AU51" s="268">
        <f>SUMIF('Input 4.1_2020VOL-YTD'!$R:$R,$G51,'Input 4.1_2020VOL-YTD'!L:L)</f>
        <v>79356</v>
      </c>
      <c r="AV51" s="268">
        <f>SUMIF('Input 4.1_2020VOL-YTD'!$R:$R,$G51,'Input 4.1_2020VOL-YTD'!M:M)</f>
        <v>87965.29</v>
      </c>
      <c r="AW51" s="268">
        <f>SUMIF('Input 4.1_2020VOL-YTD'!$R:$R,$G51,'Input 4.1_2020VOL-YTD'!N:N)</f>
        <v>95958.31</v>
      </c>
      <c r="AX51" s="268">
        <f>SUMIF('Input 5.1_2021VOL-YTD'!$R:$R,$G51,'Input 5.1_2021VOL-YTD'!C:C)</f>
        <v>101068.8</v>
      </c>
      <c r="AY51" s="268">
        <f>SUMIF('Input 5.1_2021VOL-YTD'!$R:$R,$G51,'Input 5.1_2021VOL-YTD'!D:D)</f>
        <v>89227.900000000096</v>
      </c>
      <c r="AZ51" s="268">
        <f>SUMIF('Input 5.1_2021VOL-YTD'!$R:$R,$G51,'Input 5.1_2021VOL-YTD'!E:E)</f>
        <v>90797.34</v>
      </c>
      <c r="BA51" s="268">
        <f>SUMIF('Input 5.1_2021VOL-YTD'!$R:$R,$G51,'Input 5.1_2021VOL-YTD'!F:F)</f>
        <v>103066.6</v>
      </c>
      <c r="BB51" s="268">
        <f>SUMIF('Input 5.1_2021VOL-YTD'!$R:$R,$G51,'Input 5.1_2021VOL-YTD'!G:G)</f>
        <v>86936.66</v>
      </c>
      <c r="BC51" s="268">
        <f>SUMIF('Input 5.1_2021VOL-YTD'!$R:$R,$G51,'Input 5.1_2021VOL-YTD'!H:H)</f>
        <v>84413.639999999898</v>
      </c>
      <c r="BD51" s="268">
        <f>SUMIF('Input 5.1_2021VOL-YTD'!$R:$R,$G51,'Input 5.1_2021VOL-YTD'!I:I)</f>
        <v>83854.950000000099</v>
      </c>
      <c r="BE51" s="268">
        <f>SUMIF('Input 5.1_2021VOL-YTD'!$R:$R,$G51,'Input 5.1_2021VOL-YTD'!J:J)</f>
        <v>81179.37</v>
      </c>
      <c r="BF51" s="268">
        <f>SUMIF('Input 5.1_2021VOL-YTD'!$R:$R,$G51,'Input 5.1_2021VOL-YTD'!K:K)</f>
        <v>90870.52</v>
      </c>
      <c r="BG51" s="268">
        <f>SUMIF('Input 5.1_2021VOL-YTD'!$R:$R,$G51,'Input 5.1_2021VOL-YTD'!L:L)</f>
        <v>87446.32</v>
      </c>
      <c r="BH51" s="268">
        <f>SUMIF('Input 5.1_2021VOL-YTD'!$R:$R,$G51,'Input 5.1_2021VOL-YTD'!M:M)</f>
        <v>85454.140000000101</v>
      </c>
      <c r="BI51" s="268">
        <f>SUMIF('Input 5.1_2021VOL-YTD'!$R:$R,$G51,'Input 5.1_2021VOL-YTD'!N:N)</f>
        <v>112614.11</v>
      </c>
      <c r="BJ51" s="483">
        <f>IFERROR(IF($J51="Historical Average",INDEX('Monthly UPC'!$CM$2:$DJ$65,MATCH($D51,'Monthly UPC'!$D$2:$D$65,0),MATCH(BJ$1,'Monthly UPC'!$CM$1:$DJ$1))*(INDEX('Monthly CUST'!$N$2:$CG$65,MATCH($D51,'Monthly CUST'!$D$2:$D$65,0),MATCH(BJ$1,'Monthly CUST'!$N$1:$CG$1,0))),IF($J51="UPC Growth Rate",((AX51/INDEX('Monthly CUST'!$N$2:$CG$65,MATCH($D51,'Monthly CUST'!$D$2:$D$65,0),MATCH(AX$1,'Monthly CUST'!$N$1:$CG$1,0)))*(1+$L51)*INDEX('Monthly CUST'!$N$2:$CG$65,MATCH($D51,'Monthly CUST'!$D$2:$D$65,0),MATCH(BJ$1,'Monthly CUST'!$N$1:$CG$1,0))),IF($J51="Modeled UPC",INDEX('Monthly CUST'!$N$2:$CG$65,MATCH($D51,'Monthly CUST'!$D$2:$D$65,0),MATCH(BJ$1,'Monthly CUST'!$N$1:$CG$1,0))/12*$M51,IF($J51="Base Period",AX51,IF($J51="Adjusted",SUMIF('Input 15_Fcst Inputs'!$A:$A,$D51,'Input 15_Fcst Inputs'!$G:$G)/12))))),0)</f>
        <v>103903.15936320524</v>
      </c>
      <c r="BK51" s="483">
        <f>IFERROR(IF($J51="Historical Average",INDEX('Monthly UPC'!$CM$2:$DJ$65,MATCH($D51,'Monthly UPC'!$D$2:$D$65,0),MATCH(BK$1,'Monthly UPC'!$CM$1:$DJ$1))*(INDEX('Monthly CUST'!$N$2:$CG$65,MATCH($D51,'Monthly CUST'!$D$2:$D$65,0),MATCH(BK$1,'Monthly CUST'!$N$1:$CG$1,0))),IF($J51="UPC Growth Rate",((AY51/INDEX('Monthly CUST'!$N$2:$CG$65,MATCH($D51,'Monthly CUST'!$D$2:$D$65,0),MATCH(AY$1,'Monthly CUST'!$N$1:$CG$1,0)))*(1+$L51)*INDEX('Monthly CUST'!$N$2:$CG$65,MATCH($D51,'Monthly CUST'!$D$2:$D$65,0),MATCH(BK$1,'Monthly CUST'!$N$1:$CG$1,0))),IF($J51="Modeled UPC",INDEX('Monthly CUST'!$N$2:$CG$65,MATCH($D51,'Monthly CUST'!$D$2:$D$65,0),MATCH(BK$1,'Monthly CUST'!$N$1:$CG$1,0))/12*$M51,IF($J51="Base Period",AY51,IF($J51="Adjusted",SUMIF('Input 15_Fcst Inputs'!$A:$A,$D51,'Input 15_Fcst Inputs'!$G:$G)/12))))),0)</f>
        <v>91730.194811298352</v>
      </c>
      <c r="BL51" s="483">
        <f>IFERROR(IF($J51="Historical Average",INDEX('Monthly UPC'!$CM$2:$DJ$65,MATCH($D51,'Monthly UPC'!$D$2:$D$65,0),MATCH(BL$1,'Monthly UPC'!$CM$1:$DJ$1))*(INDEX('Monthly CUST'!$N$2:$CG$65,MATCH($D51,'Monthly CUST'!$D$2:$D$65,0),MATCH(BL$1,'Monthly CUST'!$N$1:$CG$1,0))),IF($J51="UPC Growth Rate",((AZ51/INDEX('Monthly CUST'!$N$2:$CG$65,MATCH($D51,'Monthly CUST'!$D$2:$D$65,0),MATCH(AZ$1,'Monthly CUST'!$N$1:$CG$1,0)))*(1+$L51)*INDEX('Monthly CUST'!$N$2:$CG$65,MATCH($D51,'Monthly CUST'!$D$2:$D$65,0),MATCH(BL$1,'Monthly CUST'!$N$1:$CG$1,0))),IF($J51="Modeled UPC",INDEX('Monthly CUST'!$N$2:$CG$65,MATCH($D51,'Monthly CUST'!$D$2:$D$65,0),MATCH(BL$1,'Monthly CUST'!$N$1:$CG$1,0))/12*$M51,IF($J51="Base Period",AZ51,IF($J51="Adjusted",SUMIF('Input 15_Fcst Inputs'!$A:$A,$D51,'Input 15_Fcst Inputs'!$G:$G)/12))))),0)</f>
        <v>93343.64796826645</v>
      </c>
      <c r="BM51" s="483">
        <f>IFERROR(IF($J51="Historical Average",INDEX('Monthly UPC'!$CM$2:$DJ$65,MATCH($D51,'Monthly UPC'!$D$2:$D$65,0),MATCH(BM$1,'Monthly UPC'!$CM$1:$DJ$1))*(INDEX('Monthly CUST'!$N$2:$CG$65,MATCH($D51,'Monthly CUST'!$D$2:$D$65,0),MATCH(BM$1,'Monthly CUST'!$N$1:$CG$1,0))),IF($J51="UPC Growth Rate",((BA51/INDEX('Monthly CUST'!$N$2:$CG$65,MATCH($D51,'Monthly CUST'!$D$2:$D$65,0),MATCH(BA$1,'Monthly CUST'!$N$1:$CG$1,0)))*(1+$L51)*INDEX('Monthly CUST'!$N$2:$CG$65,MATCH($D51,'Monthly CUST'!$D$2:$D$65,0),MATCH(BM$1,'Monthly CUST'!$N$1:$CG$1,0))),IF($J51="Modeled UPC",INDEX('Monthly CUST'!$N$2:$CG$65,MATCH($D51,'Monthly CUST'!$D$2:$D$65,0),MATCH(BM$1,'Monthly CUST'!$N$1:$CG$1,0))/12*$M51,IF($J51="Base Period",BA51,IF($J51="Adjusted",SUMIF('Input 15_Fcst Inputs'!$A:$A,$D51,'Input 15_Fcst Inputs'!$G:$G)/12))))),0)</f>
        <v>105956.98538840601</v>
      </c>
      <c r="BN51" s="483">
        <f>IFERROR(IF($J51="Historical Average",INDEX('Monthly UPC'!$CM$2:$DJ$65,MATCH($D51,'Monthly UPC'!$D$2:$D$65,0),MATCH(BN$1,'Monthly UPC'!$CM$1:$DJ$1))*(INDEX('Monthly CUST'!$N$2:$CG$65,MATCH($D51,'Monthly CUST'!$D$2:$D$65,0),MATCH(BN$1,'Monthly CUST'!$N$1:$CG$1,0))),IF($J51="UPC Growth Rate",((BB51/INDEX('Monthly CUST'!$N$2:$CG$65,MATCH($D51,'Monthly CUST'!$D$2:$D$65,0),MATCH(BB$1,'Monthly CUST'!$N$1:$CG$1,0)))*(1+$L51)*INDEX('Monthly CUST'!$N$2:$CG$65,MATCH($D51,'Monthly CUST'!$D$2:$D$65,0),MATCH(BN$1,'Monthly CUST'!$N$1:$CG$1,0))),IF($J51="Modeled UPC",INDEX('Monthly CUST'!$N$2:$CG$65,MATCH($D51,'Monthly CUST'!$D$2:$D$65,0),MATCH(BN$1,'Monthly CUST'!$N$1:$CG$1,0))/12*$M51,IF($J51="Base Period",BB51,IF($J51="Adjusted",SUMIF('Input 15_Fcst Inputs'!$A:$A,$D51,'Input 15_Fcst Inputs'!$G:$G)/12))))),0)</f>
        <v>89374.699595570433</v>
      </c>
      <c r="BO51" s="483">
        <f>IFERROR(IF($J51="Historical Average",INDEX('Monthly UPC'!$CM$2:$DJ$65,MATCH($D51,'Monthly UPC'!$D$2:$D$65,0),MATCH(BO$1,'Monthly UPC'!$CM$1:$DJ$1))*(INDEX('Monthly CUST'!$N$2:$CG$65,MATCH($D51,'Monthly CUST'!$D$2:$D$65,0),MATCH(BO$1,'Monthly CUST'!$N$1:$CG$1,0))),IF($J51="UPC Growth Rate",((BC51/INDEX('Monthly CUST'!$N$2:$CG$65,MATCH($D51,'Monthly CUST'!$D$2:$D$65,0),MATCH(BC$1,'Monthly CUST'!$N$1:$CG$1,0)))*(1+$L51)*INDEX('Monthly CUST'!$N$2:$CG$65,MATCH($D51,'Monthly CUST'!$D$2:$D$65,0),MATCH(BO$1,'Monthly CUST'!$N$1:$CG$1,0))),IF($J51="Modeled UPC",INDEX('Monthly CUST'!$N$2:$CG$65,MATCH($D51,'Monthly CUST'!$D$2:$D$65,0),MATCH(BO$1,'Monthly CUST'!$N$1:$CG$1,0))/12*$M51,IF($J51="Base Period",BC51,IF($J51="Adjusted",SUMIF('Input 15_Fcst Inputs'!$A:$A,$D51,'Input 15_Fcst Inputs'!$G:$G)/12))))),0)</f>
        <v>86780.924373775357</v>
      </c>
      <c r="BP51" s="483">
        <f>IFERROR(IF($J51="Historical Average",INDEX('Monthly UPC'!$CM$2:$DJ$65,MATCH($D51,'Monthly UPC'!$D$2:$D$65,0),MATCH(BP$1,'Monthly UPC'!$CM$1:$DJ$1))*(INDEX('Monthly CUST'!$N$2:$CG$65,MATCH($D51,'Monthly CUST'!$D$2:$D$65,0),MATCH(BP$1,'Monthly CUST'!$N$1:$CG$1,0))),IF($J51="UPC Growth Rate",((BD51/INDEX('Monthly CUST'!$N$2:$CG$65,MATCH($D51,'Monthly CUST'!$D$2:$D$65,0),MATCH(BD$1,'Monthly CUST'!$N$1:$CG$1,0)))*(1+$L51)*INDEX('Monthly CUST'!$N$2:$CG$65,MATCH($D51,'Monthly CUST'!$D$2:$D$65,0),MATCH(BP$1,'Monthly CUST'!$N$1:$CG$1,0))),IF($J51="Modeled UPC",INDEX('Monthly CUST'!$N$2:$CG$65,MATCH($D51,'Monthly CUST'!$D$2:$D$65,0),MATCH(BP$1,'Monthly CUST'!$N$1:$CG$1,0))/12*$M51,IF($J51="Base Period",BD51,IF($J51="Adjusted",SUMIF('Input 15_Fcst Inputs'!$A:$A,$D51,'Input 15_Fcst Inputs'!$G:$G)/12))))),0)</f>
        <v>86206.566549158757</v>
      </c>
      <c r="BQ51" s="483">
        <f>IFERROR(IF($J51="Historical Average",INDEX('Monthly UPC'!$CM$2:$DJ$65,MATCH($D51,'Monthly UPC'!$D$2:$D$65,0),MATCH(BQ$1,'Monthly UPC'!$CM$1:$DJ$1))*(INDEX('Monthly CUST'!$N$2:$CG$65,MATCH($D51,'Monthly CUST'!$D$2:$D$65,0),MATCH(BQ$1,'Monthly CUST'!$N$1:$CG$1,0))),IF($J51="UPC Growth Rate",((BE51/INDEX('Monthly CUST'!$N$2:$CG$65,MATCH($D51,'Monthly CUST'!$D$2:$D$65,0),MATCH(BE$1,'Monthly CUST'!$N$1:$CG$1,0)))*(1+$L51)*INDEX('Monthly CUST'!$N$2:$CG$65,MATCH($D51,'Monthly CUST'!$D$2:$D$65,0),MATCH(BQ$1,'Monthly CUST'!$N$1:$CG$1,0))),IF($J51="Modeled UPC",INDEX('Monthly CUST'!$N$2:$CG$65,MATCH($D51,'Monthly CUST'!$D$2:$D$65,0),MATCH(BQ$1,'Monthly CUST'!$N$1:$CG$1,0))/12*$M51,IF($J51="Base Period",BE51,IF($J51="Adjusted",SUMIF('Input 15_Fcst Inputs'!$A:$A,$D51,'Input 15_Fcst Inputs'!$G:$G)/12))))),0)</f>
        <v>83455.952955952773</v>
      </c>
      <c r="BR51" s="483">
        <f>IFERROR(IF($J51="Historical Average",INDEX('Monthly UPC'!$CM$2:$DJ$65,MATCH($D51,'Monthly UPC'!$D$2:$D$65,0),MATCH(BR$1,'Monthly UPC'!$CM$1:$DJ$1))*(INDEX('Monthly CUST'!$N$2:$CG$65,MATCH($D51,'Monthly CUST'!$D$2:$D$65,0),MATCH(BR$1,'Monthly CUST'!$N$1:$CG$1,0))),IF($J51="UPC Growth Rate",((BF51/INDEX('Monthly CUST'!$N$2:$CG$65,MATCH($D51,'Monthly CUST'!$D$2:$D$65,0),MATCH(BF$1,'Monthly CUST'!$N$1:$CG$1,0)))*(1+$L51)*INDEX('Monthly CUST'!$N$2:$CG$65,MATCH($D51,'Monthly CUST'!$D$2:$D$65,0),MATCH(BR$1,'Monthly CUST'!$N$1:$CG$1,0))),IF($J51="Modeled UPC",INDEX('Monthly CUST'!$N$2:$CG$65,MATCH($D51,'Monthly CUST'!$D$2:$D$65,0),MATCH(BR$1,'Monthly CUST'!$N$1:$CG$1,0))/12*$M51,IF($J51="Base Period",BF51,IF($J51="Adjusted",SUMIF('Input 15_Fcst Inputs'!$A:$A,$D51,'Input 15_Fcst Inputs'!$G:$G)/12))))),0)</f>
        <v>93418.880218003265</v>
      </c>
      <c r="BS51" s="483">
        <f>IFERROR(IF($J51="Historical Average",INDEX('Monthly UPC'!$CM$2:$DJ$65,MATCH($D51,'Monthly UPC'!$D$2:$D$65,0),MATCH(BS$1,'Monthly UPC'!$CM$1:$DJ$1))*(INDEX('Monthly CUST'!$N$2:$CG$65,MATCH($D51,'Monthly CUST'!$D$2:$D$65,0),MATCH(BS$1,'Monthly CUST'!$N$1:$CG$1,0))),IF($J51="UPC Growth Rate",((BG51/INDEX('Monthly CUST'!$N$2:$CG$65,MATCH($D51,'Monthly CUST'!$D$2:$D$65,0),MATCH(BG$1,'Monthly CUST'!$N$1:$CG$1,0)))*(1+$L51)*INDEX('Monthly CUST'!$N$2:$CG$65,MATCH($D51,'Monthly CUST'!$D$2:$D$65,0),MATCH(BS$1,'Monthly CUST'!$N$1:$CG$1,0))),IF($J51="Modeled UPC",INDEX('Monthly CUST'!$N$2:$CG$65,MATCH($D51,'Monthly CUST'!$D$2:$D$65,0),MATCH(BS$1,'Monthly CUST'!$N$1:$CG$1,0))/12*$M51,IF($J51="Base Period",BG51,IF($J51="Adjusted",SUMIF('Input 15_Fcst Inputs'!$A:$A,$D51,'Input 15_Fcst Inputs'!$G:$G)/12))))),0)</f>
        <v>89898.652429689886</v>
      </c>
      <c r="BT51" s="483">
        <f>IFERROR(IF($J51="Historical Average",INDEX('Monthly UPC'!$CM$2:$DJ$65,MATCH($D51,'Monthly UPC'!$D$2:$D$65,0),MATCH(BT$1,'Monthly UPC'!$CM$1:$DJ$1))*(INDEX('Monthly CUST'!$N$2:$CG$65,MATCH($D51,'Monthly CUST'!$D$2:$D$65,0),MATCH(BT$1,'Monthly CUST'!$N$1:$CG$1,0))),IF($J51="UPC Growth Rate",((BH51/INDEX('Monthly CUST'!$N$2:$CG$65,MATCH($D51,'Monthly CUST'!$D$2:$D$65,0),MATCH(BH$1,'Monthly CUST'!$N$1:$CG$1,0)))*(1+$L51)*INDEX('Monthly CUST'!$N$2:$CG$65,MATCH($D51,'Monthly CUST'!$D$2:$D$65,0),MATCH(BT$1,'Monthly CUST'!$N$1:$CG$1,0))),IF($J51="Modeled UPC",INDEX('Monthly CUST'!$N$2:$CG$65,MATCH($D51,'Monthly CUST'!$D$2:$D$65,0),MATCH(BT$1,'Monthly CUST'!$N$1:$CG$1,0))/12*$M51,IF($J51="Base Period",BH51,IF($J51="Adjusted",SUMIF('Input 15_Fcst Inputs'!$A:$A,$D51,'Input 15_Fcst Inputs'!$G:$G)/12))))),0)</f>
        <v>87850.604010987183</v>
      </c>
      <c r="BU51" s="483">
        <f>IFERROR(IF($J51="Historical Average",INDEX('Monthly UPC'!$CM$2:$DJ$65,MATCH($D51,'Monthly UPC'!$D$2:$D$65,0),MATCH(BU$1,'Monthly UPC'!$CM$1:$DJ$1))*(INDEX('Monthly CUST'!$N$2:$CG$65,MATCH($D51,'Monthly CUST'!$D$2:$D$65,0),MATCH(BU$1,'Monthly CUST'!$N$1:$CG$1,0))),IF($J51="UPC Growth Rate",((BI51/INDEX('Monthly CUST'!$N$2:$CG$65,MATCH($D51,'Monthly CUST'!$D$2:$D$65,0),MATCH(BI$1,'Monthly CUST'!$N$1:$CG$1,0)))*(1+$L51)*INDEX('Monthly CUST'!$N$2:$CG$65,MATCH($D51,'Monthly CUST'!$D$2:$D$65,0),MATCH(BU$1,'Monthly CUST'!$N$1:$CG$1,0))),IF($J51="Modeled UPC",INDEX('Monthly CUST'!$N$2:$CG$65,MATCH($D51,'Monthly CUST'!$D$2:$D$65,0),MATCH(BU$1,'Monthly CUST'!$N$1:$CG$1,0))/12*$M51,IF($J51="Base Period",BI51,IF($J51="Adjusted",SUMIF('Input 15_Fcst Inputs'!$A:$A,$D51,'Input 15_Fcst Inputs'!$G:$G)/12))))),0)</f>
        <v>115772.24443028435</v>
      </c>
      <c r="BV51" s="483">
        <f>IFERROR(IF($J51="Historical Average",INDEX('Monthly UPC'!$CM$2:$DJ$65,MATCH($D51,'Monthly UPC'!$D$2:$D$65,0),MATCH(BV$1,'Monthly UPC'!$CM$1:$DJ$1))*(INDEX('Monthly CUST'!$N$2:$CG$65,MATCH($D51,'Monthly CUST'!$D$2:$D$65,0),MATCH(BV$1,'Monthly CUST'!$N$1:$CG$1,0))),IF($J51="UPC Growth Rate",((BJ51/INDEX('Monthly CUST'!$N$2:$CG$65,MATCH($D51,'Monthly CUST'!$D$2:$D$65,0),MATCH(BJ$1,'Monthly CUST'!$N$1:$CG$1,0)))*(1+$L51)*INDEX('Monthly CUST'!$N$2:$CG$65,MATCH($D51,'Monthly CUST'!$D$2:$D$65,0),MATCH(BV$1,'Monthly CUST'!$N$1:$CG$1,0))),IF($J51="Modeled UPC",INDEX('Monthly CUST'!$N$2:$CG$65,MATCH($D51,'Monthly CUST'!$D$2:$D$65,0),MATCH(BV$1,'Monthly CUST'!$N$1:$CG$1,0))/12*$M51,IF($J51="Base Period",BJ51,IF($J51="Adjusted",SUMIF('Input 15_Fcst Inputs'!$A:$A,$D51,'Input 15_Fcst Inputs'!$G:$G)/12))))),0)</f>
        <v>106817.0051059835</v>
      </c>
      <c r="BW51" s="483">
        <f>IFERROR(IF($J51="Historical Average",INDEX('Monthly UPC'!$CM$2:$DJ$65,MATCH($D51,'Monthly UPC'!$D$2:$D$65,0),MATCH(BW$1,'Monthly UPC'!$CM$1:$DJ$1))*(INDEX('Monthly CUST'!$N$2:$CG$65,MATCH($D51,'Monthly CUST'!$D$2:$D$65,0),MATCH(BW$1,'Monthly CUST'!$N$1:$CG$1,0))),IF($J51="UPC Growth Rate",((BK51/INDEX('Monthly CUST'!$N$2:$CG$65,MATCH($D51,'Monthly CUST'!$D$2:$D$65,0),MATCH(BK$1,'Monthly CUST'!$N$1:$CG$1,0)))*(1+$L51)*INDEX('Monthly CUST'!$N$2:$CG$65,MATCH($D51,'Monthly CUST'!$D$2:$D$65,0),MATCH(BW$1,'Monthly CUST'!$N$1:$CG$1,0))),IF($J51="Modeled UPC",INDEX('Monthly CUST'!$N$2:$CG$65,MATCH($D51,'Monthly CUST'!$D$2:$D$65,0),MATCH(BW$1,'Monthly CUST'!$N$1:$CG$1,0))/12*$M51,IF($J51="Base Period",BK51,IF($J51="Adjusted",SUMIF('Input 15_Fcst Inputs'!$A:$A,$D51,'Input 15_Fcst Inputs'!$G:$G)/12))))),0)</f>
        <v>94302.663630083596</v>
      </c>
      <c r="BX51" s="483">
        <f>IFERROR(IF($J51="Historical Average",INDEX('Monthly UPC'!$CM$2:$DJ$65,MATCH($D51,'Monthly UPC'!$D$2:$D$65,0),MATCH(BX$1,'Monthly UPC'!$CM$1:$DJ$1))*(INDEX('Monthly CUST'!$N$2:$CG$65,MATCH($D51,'Monthly CUST'!$D$2:$D$65,0),MATCH(BX$1,'Monthly CUST'!$N$1:$CG$1,0))),IF($J51="UPC Growth Rate",((BL51/INDEX('Monthly CUST'!$N$2:$CG$65,MATCH($D51,'Monthly CUST'!$D$2:$D$65,0),MATCH(BL$1,'Monthly CUST'!$N$1:$CG$1,0)))*(1+$L51)*INDEX('Monthly CUST'!$N$2:$CG$65,MATCH($D51,'Monthly CUST'!$D$2:$D$65,0),MATCH(BX$1,'Monthly CUST'!$N$1:$CG$1,0))),IF($J51="Modeled UPC",INDEX('Monthly CUST'!$N$2:$CG$65,MATCH($D51,'Monthly CUST'!$D$2:$D$65,0),MATCH(BX$1,'Monthly CUST'!$N$1:$CG$1,0))/12*$M51,IF($J51="Base Period",BL51,IF($J51="Adjusted",SUMIF('Input 15_Fcst Inputs'!$A:$A,$D51,'Input 15_Fcst Inputs'!$G:$G)/12))))),0)</f>
        <v>95961.364242869386</v>
      </c>
      <c r="BY51" s="483">
        <f>IFERROR(IF($J51="Historical Average",INDEX('Monthly UPC'!$CM$2:$DJ$65,MATCH($D51,'Monthly UPC'!$D$2:$D$65,0),MATCH(BY$1,'Monthly UPC'!$CM$1:$DJ$1))*(INDEX('Monthly CUST'!$N$2:$CG$65,MATCH($D51,'Monthly CUST'!$D$2:$D$65,0),MATCH(BY$1,'Monthly CUST'!$N$1:$CG$1,0))),IF($J51="UPC Growth Rate",((BM51/INDEX('Monthly CUST'!$N$2:$CG$65,MATCH($D51,'Monthly CUST'!$D$2:$D$65,0),MATCH(BM$1,'Monthly CUST'!$N$1:$CG$1,0)))*(1+$L51)*INDEX('Monthly CUST'!$N$2:$CG$65,MATCH($D51,'Monthly CUST'!$D$2:$D$65,0),MATCH(BY$1,'Monthly CUST'!$N$1:$CG$1,0))),IF($J51="Modeled UPC",INDEX('Monthly CUST'!$N$2:$CG$65,MATCH($D51,'Monthly CUST'!$D$2:$D$65,0),MATCH(BY$1,'Monthly CUST'!$N$1:$CG$1,0))/12*$M51,IF($J51="Base Period",BM51,IF($J51="Adjusted",SUMIF('Input 15_Fcst Inputs'!$A:$A,$D51,'Input 15_Fcst Inputs'!$G:$G)/12))))),0)</f>
        <v>108928.42834243958</v>
      </c>
      <c r="BZ51" s="483">
        <f>IFERROR(IF($J51="Historical Average",INDEX('Monthly UPC'!$CM$2:$DJ$65,MATCH($D51,'Monthly UPC'!$D$2:$D$65,0),MATCH(BZ$1,'Monthly UPC'!$CM$1:$DJ$1))*(INDEX('Monthly CUST'!$N$2:$CG$65,MATCH($D51,'Monthly CUST'!$D$2:$D$65,0),MATCH(BZ$1,'Monthly CUST'!$N$1:$CG$1,0))),IF($J51="UPC Growth Rate",((BN51/INDEX('Monthly CUST'!$N$2:$CG$65,MATCH($D51,'Monthly CUST'!$D$2:$D$65,0),MATCH(BN$1,'Monthly CUST'!$N$1:$CG$1,0)))*(1+$L51)*INDEX('Monthly CUST'!$N$2:$CG$65,MATCH($D51,'Monthly CUST'!$D$2:$D$65,0),MATCH(BZ$1,'Monthly CUST'!$N$1:$CG$1,0))),IF($J51="Modeled UPC",INDEX('Monthly CUST'!$N$2:$CG$65,MATCH($D51,'Monthly CUST'!$D$2:$D$65,0),MATCH(BZ$1,'Monthly CUST'!$N$1:$CG$1,0))/12*$M51,IF($J51="Base Period",BN51,IF($J51="Adjusted",SUMIF('Input 15_Fcst Inputs'!$A:$A,$D51,'Input 15_Fcst Inputs'!$G:$G)/12))))),0)</f>
        <v>91881.111234299315</v>
      </c>
      <c r="CA51" s="483">
        <f>IFERROR(IF($J51="Historical Average",INDEX('Monthly UPC'!$CM$2:$DJ$65,MATCH($D51,'Monthly UPC'!$D$2:$D$65,0),MATCH(CA$1,'Monthly UPC'!$CM$1:$DJ$1))*(INDEX('Monthly CUST'!$N$2:$CG$65,MATCH($D51,'Monthly CUST'!$D$2:$D$65,0),MATCH(CA$1,'Monthly CUST'!$N$1:$CG$1,0))),IF($J51="UPC Growth Rate",((BO51/INDEX('Monthly CUST'!$N$2:$CG$65,MATCH($D51,'Monthly CUST'!$D$2:$D$65,0),MATCH(BO$1,'Monthly CUST'!$N$1:$CG$1,0)))*(1+$L51)*INDEX('Monthly CUST'!$N$2:$CG$65,MATCH($D51,'Monthly CUST'!$D$2:$D$65,0),MATCH(CA$1,'Monthly CUST'!$N$1:$CG$1,0))),IF($J51="Modeled UPC",INDEX('Monthly CUST'!$N$2:$CG$65,MATCH($D51,'Monthly CUST'!$D$2:$D$65,0),MATCH(CA$1,'Monthly CUST'!$N$1:$CG$1,0))/12*$M51,IF($J51="Base Period",BO51,IF($J51="Adjusted",SUMIF('Input 15_Fcst Inputs'!$A:$A,$D51,'Input 15_Fcst Inputs'!$G:$G)/12))))),0)</f>
        <v>89214.596541114981</v>
      </c>
      <c r="CB51" s="483">
        <f>IFERROR(IF($J51="Historical Average",INDEX('Monthly UPC'!$CM$2:$DJ$65,MATCH($D51,'Monthly UPC'!$D$2:$D$65,0),MATCH(CB$1,'Monthly UPC'!$CM$1:$DJ$1))*(INDEX('Monthly CUST'!$N$2:$CG$65,MATCH($D51,'Monthly CUST'!$D$2:$D$65,0),MATCH(CB$1,'Monthly CUST'!$N$1:$CG$1,0))),IF($J51="UPC Growth Rate",((BP51/INDEX('Monthly CUST'!$N$2:$CG$65,MATCH($D51,'Monthly CUST'!$D$2:$D$65,0),MATCH(BP$1,'Monthly CUST'!$N$1:$CG$1,0)))*(1+$L51)*INDEX('Monthly CUST'!$N$2:$CG$65,MATCH($D51,'Monthly CUST'!$D$2:$D$65,0),MATCH(CB$1,'Monthly CUST'!$N$1:$CG$1,0))),IF($J51="Modeled UPC",INDEX('Monthly CUST'!$N$2:$CG$65,MATCH($D51,'Monthly CUST'!$D$2:$D$65,0),MATCH(CB$1,'Monthly CUST'!$N$1:$CG$1,0))/12*$M51,IF($J51="Base Period",BP51,IF($J51="Adjusted",SUMIF('Input 15_Fcst Inputs'!$A:$A,$D51,'Input 15_Fcst Inputs'!$G:$G)/12))))),0)</f>
        <v>88624.131505588273</v>
      </c>
      <c r="CC51" s="483">
        <f>IFERROR(IF($J51="Historical Average",INDEX('Monthly UPC'!$CM$2:$DJ$65,MATCH($D51,'Monthly UPC'!$D$2:$D$65,0),MATCH(CC$1,'Monthly UPC'!$CM$1:$DJ$1))*(INDEX('Monthly CUST'!$N$2:$CG$65,MATCH($D51,'Monthly CUST'!$D$2:$D$65,0),MATCH(CC$1,'Monthly CUST'!$N$1:$CG$1,0))),IF($J51="UPC Growth Rate",((BQ51/INDEX('Monthly CUST'!$N$2:$CG$65,MATCH($D51,'Monthly CUST'!$D$2:$D$65,0),MATCH(BQ$1,'Monthly CUST'!$N$1:$CG$1,0)))*(1+$L51)*INDEX('Monthly CUST'!$N$2:$CG$65,MATCH($D51,'Monthly CUST'!$D$2:$D$65,0),MATCH(CC$1,'Monthly CUST'!$N$1:$CG$1,0))),IF($J51="Modeled UPC",INDEX('Monthly CUST'!$N$2:$CG$65,MATCH($D51,'Monthly CUST'!$D$2:$D$65,0),MATCH(CC$1,'Monthly CUST'!$N$1:$CG$1,0))/12*$M51,IF($J51="Base Period",BQ51,IF($J51="Adjusted",SUMIF('Input 15_Fcst Inputs'!$A:$A,$D51,'Input 15_Fcst Inputs'!$G:$G)/12))))),0)</f>
        <v>85796.380087529673</v>
      </c>
      <c r="CD51" s="483">
        <f>IFERROR(IF($J51="Historical Average",INDEX('Monthly UPC'!$CM$2:$DJ$65,MATCH($D51,'Monthly UPC'!$D$2:$D$65,0),MATCH(CD$1,'Monthly UPC'!$CM$1:$DJ$1))*(INDEX('Monthly CUST'!$N$2:$CG$65,MATCH($D51,'Monthly CUST'!$D$2:$D$65,0),MATCH(CD$1,'Monthly CUST'!$N$1:$CG$1,0))),IF($J51="UPC Growth Rate",((BR51/INDEX('Monthly CUST'!$N$2:$CG$65,MATCH($D51,'Monthly CUST'!$D$2:$D$65,0),MATCH(BR$1,'Monthly CUST'!$N$1:$CG$1,0)))*(1+$L51)*INDEX('Monthly CUST'!$N$2:$CG$65,MATCH($D51,'Monthly CUST'!$D$2:$D$65,0),MATCH(CD$1,'Monthly CUST'!$N$1:$CG$1,0))),IF($J51="Modeled UPC",INDEX('Monthly CUST'!$N$2:$CG$65,MATCH($D51,'Monthly CUST'!$D$2:$D$65,0),MATCH(CD$1,'Monthly CUST'!$N$1:$CG$1,0))/12*$M51,IF($J51="Base Period",BR51,IF($J51="Adjusted",SUMIF('Input 15_Fcst Inputs'!$A:$A,$D51,'Input 15_Fcst Inputs'!$G:$G)/12))))),0)</f>
        <v>96038.706295349053</v>
      </c>
      <c r="CE51" s="483">
        <f>IFERROR(IF($J51="Historical Average",INDEX('Monthly UPC'!$CM$2:$DJ$65,MATCH($D51,'Monthly UPC'!$D$2:$D$65,0),MATCH(CE$1,'Monthly UPC'!$CM$1:$DJ$1))*(INDEX('Monthly CUST'!$N$2:$CG$65,MATCH($D51,'Monthly CUST'!$D$2:$D$65,0),MATCH(CE$1,'Monthly CUST'!$N$1:$CG$1,0))),IF($J51="UPC Growth Rate",((BS51/INDEX('Monthly CUST'!$N$2:$CG$65,MATCH($D51,'Monthly CUST'!$D$2:$D$65,0),MATCH(BS$1,'Monthly CUST'!$N$1:$CG$1,0)))*(1+$L51)*INDEX('Monthly CUST'!$N$2:$CG$65,MATCH($D51,'Monthly CUST'!$D$2:$D$65,0),MATCH(CE$1,'Monthly CUST'!$N$1:$CG$1,0))),IF($J51="Modeled UPC",INDEX('Monthly CUST'!$N$2:$CG$65,MATCH($D51,'Monthly CUST'!$D$2:$D$65,0),MATCH(CE$1,'Monthly CUST'!$N$1:$CG$1,0))/12*$M51,IF($J51="Base Period",BS51,IF($J51="Adjusted",SUMIF('Input 15_Fcst Inputs'!$A:$A,$D51,'Input 15_Fcst Inputs'!$G:$G)/12))))),0)</f>
        <v>92419.757728789366</v>
      </c>
      <c r="CF51" s="483">
        <f>IFERROR(IF($J51="Historical Average",INDEX('Monthly UPC'!$CM$2:$DJ$65,MATCH($D51,'Monthly UPC'!$D$2:$D$65,0),MATCH(CF$1,'Monthly UPC'!$CM$1:$DJ$1))*(INDEX('Monthly CUST'!$N$2:$CG$65,MATCH($D51,'Monthly CUST'!$D$2:$D$65,0),MATCH(CF$1,'Monthly CUST'!$N$1:$CG$1,0))),IF($J51="UPC Growth Rate",((BT51/INDEX('Monthly CUST'!$N$2:$CG$65,MATCH($D51,'Monthly CUST'!$D$2:$D$65,0),MATCH(BT$1,'Monthly CUST'!$N$1:$CG$1,0)))*(1+$L51)*INDEX('Monthly CUST'!$N$2:$CG$65,MATCH($D51,'Monthly CUST'!$D$2:$D$65,0),MATCH(CF$1,'Monthly CUST'!$N$1:$CG$1,0))),IF($J51="Modeled UPC",INDEX('Monthly CUST'!$N$2:$CG$65,MATCH($D51,'Monthly CUST'!$D$2:$D$65,0),MATCH(CF$1,'Monthly CUST'!$N$1:$CG$1,0))/12*$M51,IF($J51="Base Period",BT51,IF($J51="Adjusted",SUMIF('Input 15_Fcst Inputs'!$A:$A,$D51,'Input 15_Fcst Inputs'!$G:$G)/12))))),0)</f>
        <v>90314.274125223979</v>
      </c>
      <c r="CG51" s="483">
        <f>IFERROR(IF($J51="Historical Average",INDEX('Monthly UPC'!$CM$2:$DJ$65,MATCH($D51,'Monthly UPC'!$D$2:$D$65,0),MATCH(CG$1,'Monthly UPC'!$CM$1:$DJ$1))*(INDEX('Monthly CUST'!$N$2:$CG$65,MATCH($D51,'Monthly CUST'!$D$2:$D$65,0),MATCH(CG$1,'Monthly CUST'!$N$1:$CG$1,0))),IF($J51="UPC Growth Rate",((BU51/INDEX('Monthly CUST'!$N$2:$CG$65,MATCH($D51,'Monthly CUST'!$D$2:$D$65,0),MATCH(BU$1,'Monthly CUST'!$N$1:$CG$1,0)))*(1+$L51)*INDEX('Monthly CUST'!$N$2:$CG$65,MATCH($D51,'Monthly CUST'!$D$2:$D$65,0),MATCH(CG$1,'Monthly CUST'!$N$1:$CG$1,0))),IF($J51="Modeled UPC",INDEX('Monthly CUST'!$N$2:$CG$65,MATCH($D51,'Monthly CUST'!$D$2:$D$65,0),MATCH(CG$1,'Monthly CUST'!$N$1:$CG$1,0))/12*$M51,IF($J51="Base Period",BU51,IF($J51="Adjusted",SUMIF('Input 15_Fcst Inputs'!$A:$A,$D51,'Input 15_Fcst Inputs'!$G:$G)/12))))),0)</f>
        <v>119018.94514306872</v>
      </c>
      <c r="CH51" s="197"/>
      <c r="CI51" s="197">
        <f t="shared" si="8"/>
        <v>1015061.89</v>
      </c>
      <c r="CJ51" s="197">
        <f t="shared" si="9"/>
        <v>1046214.8000000003</v>
      </c>
      <c r="CK51" s="197">
        <f t="shared" si="10"/>
        <v>994633.17000000016</v>
      </c>
      <c r="CL51" s="197">
        <f t="shared" si="11"/>
        <v>1096930.3500000003</v>
      </c>
      <c r="CM51" s="197">
        <f t="shared" si="12"/>
        <v>1127692.512094598</v>
      </c>
      <c r="CN51" s="197">
        <f t="shared" si="13"/>
        <v>1159317.3639823394</v>
      </c>
      <c r="CP51" s="4">
        <f>SUMIF('Master '!D:D,D51,'Master '!AH:AH)</f>
        <v>1127692.5120945983</v>
      </c>
      <c r="CQ51" s="4">
        <f>SUMIF('Master '!D:D,D51,'Master '!AI:AI)</f>
        <v>1159317.3639823396</v>
      </c>
      <c r="CR51" s="197">
        <f t="shared" si="14"/>
        <v>0</v>
      </c>
      <c r="CS51" s="197">
        <f t="shared" si="15"/>
        <v>0</v>
      </c>
      <c r="CT51" t="s">
        <v>287</v>
      </c>
      <c r="CV51" t="str">
        <f>VLOOKUP(G51,'Master '!G:CC,75,FALSE)</f>
        <v>FTS-3</v>
      </c>
    </row>
    <row r="52" spans="1:100">
      <c r="A52" s="53" t="s">
        <v>17</v>
      </c>
      <c r="B52" s="53" t="s">
        <v>993</v>
      </c>
      <c r="C52" s="53" t="s">
        <v>1245</v>
      </c>
      <c r="D52" s="53" t="s">
        <v>1300</v>
      </c>
      <c r="E52" s="53" t="str">
        <f>VLOOKUP(D52,'Input 14_Ref Table'!C:D,2,FALSE)</f>
        <v>CC828</v>
      </c>
      <c r="F52" s="143" t="s">
        <v>1287</v>
      </c>
      <c r="G52" s="53" t="str">
        <f>VLOOKUP(D52,'Input 14_Ref Table'!C:I,7,FALSE)</f>
        <v>CFG - FTS-3 - Fixed NR</v>
      </c>
      <c r="H52" s="53" t="str">
        <f>VLOOKUP(D52,'Input 14_Ref Table'!C:K,8,FALSE)</f>
        <v>FTS3</v>
      </c>
      <c r="I52" s="53"/>
      <c r="J52" t="str">
        <f>INDEX('Master '!$AD$2:AD$65,MATCH(D52,'Master '!$D$2:$D$65,0))</f>
        <v>UPC Growth Rate</v>
      </c>
      <c r="K52" s="458">
        <f>INDEX('Master '!$N$2:N$65,MATCH(D52,'Master '!$D$2:$D$65,0))</f>
        <v>2.6784283829125063E-2</v>
      </c>
      <c r="L52" s="137">
        <f>INDEX('Master '!$S$2:S$65,MATCH(D52,'Master '!$D$2:$D$65,0))</f>
        <v>1.22672019627513E-3</v>
      </c>
      <c r="M52" s="4">
        <f>INDEX('Master '!$W$2:W$65,MATCH(D52,'Master '!$D$2:$D$65,0))</f>
        <v>3591.2</v>
      </c>
      <c r="N52" s="268">
        <f>SUMIF('Input 16.1_2018VOL-YTD'!$R:$R,$G52,'Input 16.1_2018VOL-YTD'!C:C)</f>
        <v>4420.2299999999996</v>
      </c>
      <c r="O52" s="268">
        <f>SUMIF('Input 16.1_2018VOL-YTD'!$R:$R,$G52,'Input 16.1_2018VOL-YTD'!D:D)</f>
        <v>4456.3100000000004</v>
      </c>
      <c r="P52" s="268">
        <f>SUMIF('Input 16.1_2018VOL-YTD'!$R:$R,$G52,'Input 16.1_2018VOL-YTD'!E:E)</f>
        <v>4373.3100000000004</v>
      </c>
      <c r="Q52" s="268">
        <f>SUMIF('Input 16.1_2018VOL-YTD'!$R:$R,$G52,'Input 16.1_2018VOL-YTD'!F:F)</f>
        <v>5529.18</v>
      </c>
      <c r="R52" s="268">
        <f>SUMIF('Input 16.1_2018VOL-YTD'!$R:$R,$G52,'Input 16.1_2018VOL-YTD'!G:G)</f>
        <v>4593.29</v>
      </c>
      <c r="S52" s="268">
        <f>SUMIF('Input 16.1_2018VOL-YTD'!$R:$R,$G52,'Input 16.1_2018VOL-YTD'!H:H)</f>
        <v>5031.75</v>
      </c>
      <c r="T52" s="268">
        <f>SUMIF('Input 16.1_2018VOL-YTD'!$R:$R,$G52,'Input 16.1_2018VOL-YTD'!I:I)</f>
        <v>4598</v>
      </c>
      <c r="U52" s="268">
        <f>SUMIF('Input 16.1_2018VOL-YTD'!$R:$R,$G52,'Input 16.1_2018VOL-YTD'!J:J)</f>
        <v>4926.3500000000004</v>
      </c>
      <c r="V52" s="268">
        <f>SUMIF('Input 16.1_2018VOL-YTD'!$R:$R,$G52,'Input 16.1_2018VOL-YTD'!K:K)</f>
        <v>4846</v>
      </c>
      <c r="W52" s="268">
        <f>SUMIF('Input 16.1_2018VOL-YTD'!$R:$R,$G52,'Input 16.1_2018VOL-YTD'!L:L)</f>
        <v>4353.8599999999997</v>
      </c>
      <c r="X52" s="268">
        <f>SUMIF('Input 16.1_2018VOL-YTD'!$R:$R,$G52,'Input 16.1_2018VOL-YTD'!M:M)</f>
        <v>5359.51</v>
      </c>
      <c r="Y52" s="268">
        <f>SUMIF('Input 16.1_2018VOL-YTD'!$R:$R,$G52,'Input 16.1_2018VOL-YTD'!N:N)</f>
        <v>4342.03</v>
      </c>
      <c r="Z52" s="268">
        <f>SUMIF('Input 3.1_2019VOL-YTD'!$R:$R,$G52,'Input 3.1_2019VOL-YTD'!C:C)</f>
        <v>4501.04</v>
      </c>
      <c r="AA52" s="268">
        <f>SUMIF('Input 3.1_2019VOL-YTD'!$R:$R,$G52,'Input 3.1_2019VOL-YTD'!D:D)</f>
        <v>4897.71</v>
      </c>
      <c r="AB52" s="268">
        <f>SUMIF('Input 3.1_2019VOL-YTD'!$R:$R,$G52,'Input 3.1_2019VOL-YTD'!E:E)</f>
        <v>5190.58</v>
      </c>
      <c r="AC52" s="268">
        <f>SUMIF('Input 3.1_2019VOL-YTD'!$R:$R,$G52,'Input 3.1_2019VOL-YTD'!F:F)</f>
        <v>5201.55</v>
      </c>
      <c r="AD52" s="268">
        <f>SUMIF('Input 3.1_2019VOL-YTD'!$R:$R,$G52,'Input 3.1_2019VOL-YTD'!G:G)</f>
        <v>5362.8</v>
      </c>
      <c r="AE52" s="268">
        <f>SUMIF('Input 3.1_2019VOL-YTD'!$R:$R,$G52,'Input 3.1_2019VOL-YTD'!H:H)</f>
        <v>5299.07</v>
      </c>
      <c r="AF52" s="268">
        <f>SUMIF('Input 3.1_2019VOL-YTD'!$R:$R,$G52,'Input 3.1_2019VOL-YTD'!I:I)</f>
        <v>4787.38</v>
      </c>
      <c r="AG52" s="268">
        <f>SUMIF('Input 3.1_2019VOL-YTD'!$R:$R,$G52,'Input 3.1_2019VOL-YTD'!J:J)</f>
        <v>5418.97</v>
      </c>
      <c r="AH52" s="268">
        <f>SUMIF('Input 3.1_2019VOL-YTD'!$R:$R,$G52,'Input 3.1_2019VOL-YTD'!K:K)</f>
        <v>5698.75</v>
      </c>
      <c r="AI52" s="268">
        <f>SUMIF('Input 3.1_2019VOL-YTD'!$R:$R,$G52,'Input 3.1_2019VOL-YTD'!L:L)</f>
        <v>5481.3</v>
      </c>
      <c r="AJ52" s="268">
        <f>SUMIF('Input 3.1_2019VOL-YTD'!$R:$R,$G52,'Input 3.1_2019VOL-YTD'!M:M)</f>
        <v>6219.03</v>
      </c>
      <c r="AK52" s="268">
        <f>SUMIF('Input 3.1_2019VOL-YTD'!$R:$R,$G52,'Input 3.1_2019VOL-YTD'!N:N)</f>
        <v>5792.72</v>
      </c>
      <c r="AL52" s="268">
        <f>SUMIF('Input 4.1_2020VOL-YTD'!$R:$R,$G52,'Input 4.1_2020VOL-YTD'!C:C)</f>
        <v>5663.76</v>
      </c>
      <c r="AM52" s="268">
        <f>SUMIF('Input 4.1_2020VOL-YTD'!$R:$R,$G52,'Input 4.1_2020VOL-YTD'!D:D)</f>
        <v>5166.3599999999997</v>
      </c>
      <c r="AN52" s="268">
        <f>SUMIF('Input 4.1_2020VOL-YTD'!$R:$R,$G52,'Input 4.1_2020VOL-YTD'!E:E)</f>
        <v>4824.9399999999996</v>
      </c>
      <c r="AO52" s="268">
        <f>SUMIF('Input 4.1_2020VOL-YTD'!$R:$R,$G52,'Input 4.1_2020VOL-YTD'!F:F)</f>
        <v>3423.22</v>
      </c>
      <c r="AP52" s="268">
        <f>SUMIF('Input 4.1_2020VOL-YTD'!$R:$R,$G52,'Input 4.1_2020VOL-YTD'!G:G)</f>
        <v>4076.46</v>
      </c>
      <c r="AQ52" s="268">
        <f>SUMIF('Input 4.1_2020VOL-YTD'!$R:$R,$G52,'Input 4.1_2020VOL-YTD'!H:H)</f>
        <v>4550.55</v>
      </c>
      <c r="AR52" s="268">
        <f>SUMIF('Input 4.1_2020VOL-YTD'!$R:$R,$G52,'Input 4.1_2020VOL-YTD'!I:I)</f>
        <v>4833.03</v>
      </c>
      <c r="AS52" s="268">
        <f>SUMIF('Input 4.1_2020VOL-YTD'!$R:$R,$G52,'Input 4.1_2020VOL-YTD'!J:J)</f>
        <v>4642.59</v>
      </c>
      <c r="AT52" s="268">
        <f>SUMIF('Input 4.1_2020VOL-YTD'!$R:$R,$G52,'Input 4.1_2020VOL-YTD'!K:K)</f>
        <v>4571.9399999999996</v>
      </c>
      <c r="AU52" s="268">
        <f>SUMIF('Input 4.1_2020VOL-YTD'!$R:$R,$G52,'Input 4.1_2020VOL-YTD'!L:L)</f>
        <v>4510.8</v>
      </c>
      <c r="AV52" s="268">
        <f>SUMIF('Input 4.1_2020VOL-YTD'!$R:$R,$G52,'Input 4.1_2020VOL-YTD'!M:M)</f>
        <v>5018.07</v>
      </c>
      <c r="AW52" s="268">
        <f>SUMIF('Input 4.1_2020VOL-YTD'!$R:$R,$G52,'Input 4.1_2020VOL-YTD'!N:N)</f>
        <v>5091.1000000000004</v>
      </c>
      <c r="AX52" s="268">
        <f>SUMIF('Input 5.1_2021VOL-YTD'!$R:$R,$G52,'Input 5.1_2021VOL-YTD'!C:C)</f>
        <v>5107.8999999999996</v>
      </c>
      <c r="AY52" s="268">
        <f>SUMIF('Input 5.1_2021VOL-YTD'!$R:$R,$G52,'Input 5.1_2021VOL-YTD'!D:D)</f>
        <v>4444.54</v>
      </c>
      <c r="AZ52" s="268">
        <f>SUMIF('Input 5.1_2021VOL-YTD'!$R:$R,$G52,'Input 5.1_2021VOL-YTD'!E:E)</f>
        <v>4630.54</v>
      </c>
      <c r="BA52" s="268">
        <f>SUMIF('Input 5.1_2021VOL-YTD'!$R:$R,$G52,'Input 5.1_2021VOL-YTD'!F:F)</f>
        <v>5541.51</v>
      </c>
      <c r="BB52" s="268">
        <f>SUMIF('Input 5.1_2021VOL-YTD'!$R:$R,$G52,'Input 5.1_2021VOL-YTD'!G:G)</f>
        <v>4779.2</v>
      </c>
      <c r="BC52" s="268">
        <f>SUMIF('Input 5.1_2021VOL-YTD'!$R:$R,$G52,'Input 5.1_2021VOL-YTD'!H:H)</f>
        <v>4867.28</v>
      </c>
      <c r="BD52" s="268">
        <f>SUMIF('Input 5.1_2021VOL-YTD'!$R:$R,$G52,'Input 5.1_2021VOL-YTD'!I:I)</f>
        <v>4919.43</v>
      </c>
      <c r="BE52" s="268">
        <f>SUMIF('Input 5.1_2021VOL-YTD'!$R:$R,$G52,'Input 5.1_2021VOL-YTD'!J:J)</f>
        <v>4812.09</v>
      </c>
      <c r="BF52" s="268">
        <f>SUMIF('Input 5.1_2021VOL-YTD'!$R:$R,$G52,'Input 5.1_2021VOL-YTD'!K:K)</f>
        <v>4864.22</v>
      </c>
      <c r="BG52" s="268">
        <f>SUMIF('Input 5.1_2021VOL-YTD'!$R:$R,$G52,'Input 5.1_2021VOL-YTD'!L:L)</f>
        <v>4949.08</v>
      </c>
      <c r="BH52" s="268">
        <f>SUMIF('Input 5.1_2021VOL-YTD'!$R:$R,$G52,'Input 5.1_2021VOL-YTD'!M:M)</f>
        <v>4663.97</v>
      </c>
      <c r="BI52" s="268">
        <f>SUMIF('Input 5.1_2021VOL-YTD'!$R:$R,$G52,'Input 5.1_2021VOL-YTD'!N:N)</f>
        <v>5933.09</v>
      </c>
      <c r="BJ52" s="483">
        <f>IFERROR(IF($J52="Historical Average",INDEX('Monthly UPC'!$CM$2:$DJ$65,MATCH($D52,'Monthly UPC'!$D$2:$D$65,0),MATCH(BJ$1,'Monthly UPC'!$CM$1:$DJ$1))*(INDEX('Monthly CUST'!$N$2:$CG$65,MATCH($D52,'Monthly CUST'!$D$2:$D$65,0),MATCH(BJ$1,'Monthly CUST'!$N$1:$CG$1,0))),IF($J52="UPC Growth Rate",((AX52/INDEX('Monthly CUST'!$N$2:$CG$65,MATCH($D52,'Monthly CUST'!$D$2:$D$65,0),MATCH(AX$1,'Monthly CUST'!$N$1:$CG$1,0)))*(1+$L52)*INDEX('Monthly CUST'!$N$2:$CG$65,MATCH($D52,'Monthly CUST'!$D$2:$D$65,0),MATCH(BJ$1,'Monthly CUST'!$N$1:$CG$1,0))),IF($J52="Modeled UPC",INDEX('Monthly CUST'!$N$2:$CG$65,MATCH($D52,'Monthly CUST'!$D$2:$D$65,0),MATCH(BJ$1,'Monthly CUST'!$N$1:$CG$1,0))/12*$M52,IF($J52="Base Period",AX52,IF($J52="Adjusted",SUMIF('Input 15_Fcst Inputs'!$A:$A,$D52,'Input 15_Fcst Inputs'!$G:$G)/12))))),0)</f>
        <v>5251.1452368220071</v>
      </c>
      <c r="BK52" s="483">
        <f>IFERROR(IF($J52="Historical Average",INDEX('Monthly UPC'!$CM$2:$DJ$65,MATCH($D52,'Monthly UPC'!$D$2:$D$65,0),MATCH(BK$1,'Monthly UPC'!$CM$1:$DJ$1))*(INDEX('Monthly CUST'!$N$2:$CG$65,MATCH($D52,'Monthly CUST'!$D$2:$D$65,0),MATCH(BK$1,'Monthly CUST'!$N$1:$CG$1,0))),IF($J52="UPC Growth Rate",((AY52/INDEX('Monthly CUST'!$N$2:$CG$65,MATCH($D52,'Monthly CUST'!$D$2:$D$65,0),MATCH(AY$1,'Monthly CUST'!$N$1:$CG$1,0)))*(1+$L52)*INDEX('Monthly CUST'!$N$2:$CG$65,MATCH($D52,'Monthly CUST'!$D$2:$D$65,0),MATCH(BK$1,'Monthly CUST'!$N$1:$CG$1,0))),IF($J52="Modeled UPC",INDEX('Monthly CUST'!$N$2:$CG$65,MATCH($D52,'Monthly CUST'!$D$2:$D$65,0),MATCH(BK$1,'Monthly CUST'!$N$1:$CG$1,0))/12*$M52,IF($J52="Base Period",AY52,IF($J52="Adjusted",SUMIF('Input 15_Fcst Inputs'!$A:$A,$D52,'Input 15_Fcst Inputs'!$G:$G)/12))))),0)</f>
        <v>4569.1820612903311</v>
      </c>
      <c r="BL52" s="483">
        <f>IFERROR(IF($J52="Historical Average",INDEX('Monthly UPC'!$CM$2:$DJ$65,MATCH($D52,'Monthly UPC'!$D$2:$D$65,0),MATCH(BL$1,'Monthly UPC'!$CM$1:$DJ$1))*(INDEX('Monthly CUST'!$N$2:$CG$65,MATCH($D52,'Monthly CUST'!$D$2:$D$65,0),MATCH(BL$1,'Monthly CUST'!$N$1:$CG$1,0))),IF($J52="UPC Growth Rate",((AZ52/INDEX('Monthly CUST'!$N$2:$CG$65,MATCH($D52,'Monthly CUST'!$D$2:$D$65,0),MATCH(AZ$1,'Monthly CUST'!$N$1:$CG$1,0)))*(1+$L52)*INDEX('Monthly CUST'!$N$2:$CG$65,MATCH($D52,'Monthly CUST'!$D$2:$D$65,0),MATCH(BL$1,'Monthly CUST'!$N$1:$CG$1,0))),IF($J52="Modeled UPC",INDEX('Monthly CUST'!$N$2:$CG$65,MATCH($D52,'Monthly CUST'!$D$2:$D$65,0),MATCH(BL$1,'Monthly CUST'!$N$1:$CG$1,0))/12*$M52,IF($J52="Base Period",AZ52,IF($J52="Adjusted",SUMIF('Input 15_Fcst Inputs'!$A:$A,$D52,'Input 15_Fcst Inputs'!$G:$G)/12))))),0)</f>
        <v>4760.3982194079317</v>
      </c>
      <c r="BM52" s="483">
        <f>IFERROR(IF($J52="Historical Average",INDEX('Monthly UPC'!$CM$2:$DJ$65,MATCH($D52,'Monthly UPC'!$D$2:$D$65,0),MATCH(BM$1,'Monthly UPC'!$CM$1:$DJ$1))*(INDEX('Monthly CUST'!$N$2:$CG$65,MATCH($D52,'Monthly CUST'!$D$2:$D$65,0),MATCH(BM$1,'Monthly CUST'!$N$1:$CG$1,0))),IF($J52="UPC Growth Rate",((BA52/INDEX('Monthly CUST'!$N$2:$CG$65,MATCH($D52,'Monthly CUST'!$D$2:$D$65,0),MATCH(BA$1,'Monthly CUST'!$N$1:$CG$1,0)))*(1+$L52)*INDEX('Monthly CUST'!$N$2:$CG$65,MATCH($D52,'Monthly CUST'!$D$2:$D$65,0),MATCH(BM$1,'Monthly CUST'!$N$1:$CG$1,0))),IF($J52="Modeled UPC",INDEX('Monthly CUST'!$N$2:$CG$65,MATCH($D52,'Monthly CUST'!$D$2:$D$65,0),MATCH(BM$1,'Monthly CUST'!$N$1:$CG$1,0))/12*$M52,IF($J52="Base Period",BA52,IF($J52="Adjusted",SUMIF('Input 15_Fcst Inputs'!$A:$A,$D52,'Input 15_Fcst Inputs'!$G:$G)/12))))),0)</f>
        <v>5696.9153353240126</v>
      </c>
      <c r="BN52" s="483">
        <f>IFERROR(IF($J52="Historical Average",INDEX('Monthly UPC'!$CM$2:$DJ$65,MATCH($D52,'Monthly UPC'!$D$2:$D$65,0),MATCH(BN$1,'Monthly UPC'!$CM$1:$DJ$1))*(INDEX('Monthly CUST'!$N$2:$CG$65,MATCH($D52,'Monthly CUST'!$D$2:$D$65,0),MATCH(BN$1,'Monthly CUST'!$N$1:$CG$1,0))),IF($J52="UPC Growth Rate",((BB52/INDEX('Monthly CUST'!$N$2:$CG$65,MATCH($D52,'Monthly CUST'!$D$2:$D$65,0),MATCH(BB$1,'Monthly CUST'!$N$1:$CG$1,0)))*(1+$L52)*INDEX('Monthly CUST'!$N$2:$CG$65,MATCH($D52,'Monthly CUST'!$D$2:$D$65,0),MATCH(BN$1,'Monthly CUST'!$N$1:$CG$1,0))),IF($J52="Modeled UPC",INDEX('Monthly CUST'!$N$2:$CG$65,MATCH($D52,'Monthly CUST'!$D$2:$D$65,0),MATCH(BN$1,'Monthly CUST'!$N$1:$CG$1,0))/12*$M52,IF($J52="Base Period",BB52,IF($J52="Adjusted",SUMIF('Input 15_Fcst Inputs'!$A:$A,$D52,'Input 15_Fcst Inputs'!$G:$G)/12))))),0)</f>
        <v>4913.2272197614939</v>
      </c>
      <c r="BO52" s="483">
        <f>IFERROR(IF($J52="Historical Average",INDEX('Monthly UPC'!$CM$2:$DJ$65,MATCH($D52,'Monthly UPC'!$D$2:$D$65,0),MATCH(BO$1,'Monthly UPC'!$CM$1:$DJ$1))*(INDEX('Monthly CUST'!$N$2:$CG$65,MATCH($D52,'Monthly CUST'!$D$2:$D$65,0),MATCH(BO$1,'Monthly CUST'!$N$1:$CG$1,0))),IF($J52="UPC Growth Rate",((BC52/INDEX('Monthly CUST'!$N$2:$CG$65,MATCH($D52,'Monthly CUST'!$D$2:$D$65,0),MATCH(BC$1,'Monthly CUST'!$N$1:$CG$1,0)))*(1+$L52)*INDEX('Monthly CUST'!$N$2:$CG$65,MATCH($D52,'Monthly CUST'!$D$2:$D$65,0),MATCH(BO$1,'Monthly CUST'!$N$1:$CG$1,0))),IF($J52="Modeled UPC",INDEX('Monthly CUST'!$N$2:$CG$65,MATCH($D52,'Monthly CUST'!$D$2:$D$65,0),MATCH(BO$1,'Monthly CUST'!$N$1:$CG$1,0))/12*$M52,IF($J52="Base Period",BC52,IF($J52="Adjusted",SUMIF('Input 15_Fcst Inputs'!$A:$A,$D52,'Input 15_Fcst Inputs'!$G:$G)/12))))),0)</f>
        <v>5003.777323024925</v>
      </c>
      <c r="BP52" s="483">
        <f>IFERROR(IF($J52="Historical Average",INDEX('Monthly UPC'!$CM$2:$DJ$65,MATCH($D52,'Monthly UPC'!$D$2:$D$65,0),MATCH(BP$1,'Monthly UPC'!$CM$1:$DJ$1))*(INDEX('Monthly CUST'!$N$2:$CG$65,MATCH($D52,'Monthly CUST'!$D$2:$D$65,0),MATCH(BP$1,'Monthly CUST'!$N$1:$CG$1,0))),IF($J52="UPC Growth Rate",((BD52/INDEX('Monthly CUST'!$N$2:$CG$65,MATCH($D52,'Monthly CUST'!$D$2:$D$65,0),MATCH(BD$1,'Monthly CUST'!$N$1:$CG$1,0)))*(1+$L52)*INDEX('Monthly CUST'!$N$2:$CG$65,MATCH($D52,'Monthly CUST'!$D$2:$D$65,0),MATCH(BP$1,'Monthly CUST'!$N$1:$CG$1,0))),IF($J52="Modeled UPC",INDEX('Monthly CUST'!$N$2:$CG$65,MATCH($D52,'Monthly CUST'!$D$2:$D$65,0),MATCH(BP$1,'Monthly CUST'!$N$1:$CG$1,0))/12*$M52,IF($J52="Base Period",BD52,IF($J52="Adjusted",SUMIF('Input 15_Fcst Inputs'!$A:$A,$D52,'Input 15_Fcst Inputs'!$G:$G)/12))))),0)</f>
        <v>5057.3898103681131</v>
      </c>
      <c r="BQ52" s="483">
        <f>IFERROR(IF($J52="Historical Average",INDEX('Monthly UPC'!$CM$2:$DJ$65,MATCH($D52,'Monthly UPC'!$D$2:$D$65,0),MATCH(BQ$1,'Monthly UPC'!$CM$1:$DJ$1))*(INDEX('Monthly CUST'!$N$2:$CG$65,MATCH($D52,'Monthly CUST'!$D$2:$D$65,0),MATCH(BQ$1,'Monthly CUST'!$N$1:$CG$1,0))),IF($J52="UPC Growth Rate",((BE52/INDEX('Monthly CUST'!$N$2:$CG$65,MATCH($D52,'Monthly CUST'!$D$2:$D$65,0),MATCH(BE$1,'Monthly CUST'!$N$1:$CG$1,0)))*(1+$L52)*INDEX('Monthly CUST'!$N$2:$CG$65,MATCH($D52,'Monthly CUST'!$D$2:$D$65,0),MATCH(BQ$1,'Monthly CUST'!$N$1:$CG$1,0))),IF($J52="Modeled UPC",INDEX('Monthly CUST'!$N$2:$CG$65,MATCH($D52,'Monthly CUST'!$D$2:$D$65,0),MATCH(BQ$1,'Monthly CUST'!$N$1:$CG$1,0))/12*$M52,IF($J52="Base Period",BE52,IF($J52="Adjusted",SUMIF('Input 15_Fcst Inputs'!$A:$A,$D52,'Input 15_Fcst Inputs'!$G:$G)/12))))),0)</f>
        <v>4947.0395823447625</v>
      </c>
      <c r="BR52" s="483">
        <f>IFERROR(IF($J52="Historical Average",INDEX('Monthly UPC'!$CM$2:$DJ$65,MATCH($D52,'Monthly UPC'!$D$2:$D$65,0),MATCH(BR$1,'Monthly UPC'!$CM$1:$DJ$1))*(INDEX('Monthly CUST'!$N$2:$CG$65,MATCH($D52,'Monthly CUST'!$D$2:$D$65,0),MATCH(BR$1,'Monthly CUST'!$N$1:$CG$1,0))),IF($J52="UPC Growth Rate",((BF52/INDEX('Monthly CUST'!$N$2:$CG$65,MATCH($D52,'Monthly CUST'!$D$2:$D$65,0),MATCH(BF$1,'Monthly CUST'!$N$1:$CG$1,0)))*(1+$L52)*INDEX('Monthly CUST'!$N$2:$CG$65,MATCH($D52,'Monthly CUST'!$D$2:$D$65,0),MATCH(BR$1,'Monthly CUST'!$N$1:$CG$1,0))),IF($J52="Modeled UPC",INDEX('Monthly CUST'!$N$2:$CG$65,MATCH($D52,'Monthly CUST'!$D$2:$D$65,0),MATCH(BR$1,'Monthly CUST'!$N$1:$CG$1,0))/12*$M52,IF($J52="Base Period",BF52,IF($J52="Adjusted",SUMIF('Input 15_Fcst Inputs'!$A:$A,$D52,'Input 15_Fcst Inputs'!$G:$G)/12))))),0)</f>
        <v>5000.6315088107322</v>
      </c>
      <c r="BS52" s="483">
        <f>IFERROR(IF($J52="Historical Average",INDEX('Monthly UPC'!$CM$2:$DJ$65,MATCH($D52,'Monthly UPC'!$D$2:$D$65,0),MATCH(BS$1,'Monthly UPC'!$CM$1:$DJ$1))*(INDEX('Monthly CUST'!$N$2:$CG$65,MATCH($D52,'Monthly CUST'!$D$2:$D$65,0),MATCH(BS$1,'Monthly CUST'!$N$1:$CG$1,0))),IF($J52="UPC Growth Rate",((BG52/INDEX('Monthly CUST'!$N$2:$CG$65,MATCH($D52,'Monthly CUST'!$D$2:$D$65,0),MATCH(BG$1,'Monthly CUST'!$N$1:$CG$1,0)))*(1+$L52)*INDEX('Monthly CUST'!$N$2:$CG$65,MATCH($D52,'Monthly CUST'!$D$2:$D$65,0),MATCH(BS$1,'Monthly CUST'!$N$1:$CG$1,0))),IF($J52="Modeled UPC",INDEX('Monthly CUST'!$N$2:$CG$65,MATCH($D52,'Monthly CUST'!$D$2:$D$65,0),MATCH(BS$1,'Monthly CUST'!$N$1:$CG$1,0))/12*$M52,IF($J52="Base Period",BG52,IF($J52="Adjusted",SUMIF('Input 15_Fcst Inputs'!$A:$A,$D52,'Input 15_Fcst Inputs'!$G:$G)/12))))),0)</f>
        <v>5087.8713108422362</v>
      </c>
      <c r="BT52" s="483">
        <f>IFERROR(IF($J52="Historical Average",INDEX('Monthly UPC'!$CM$2:$DJ$65,MATCH($D52,'Monthly UPC'!$D$2:$D$65,0),MATCH(BT$1,'Monthly UPC'!$CM$1:$DJ$1))*(INDEX('Monthly CUST'!$N$2:$CG$65,MATCH($D52,'Monthly CUST'!$D$2:$D$65,0),MATCH(BT$1,'Monthly CUST'!$N$1:$CG$1,0))),IF($J52="UPC Growth Rate",((BH52/INDEX('Monthly CUST'!$N$2:$CG$65,MATCH($D52,'Monthly CUST'!$D$2:$D$65,0),MATCH(BH$1,'Monthly CUST'!$N$1:$CG$1,0)))*(1+$L52)*INDEX('Monthly CUST'!$N$2:$CG$65,MATCH($D52,'Monthly CUST'!$D$2:$D$65,0),MATCH(BT$1,'Monthly CUST'!$N$1:$CG$1,0))),IF($J52="Modeled UPC",INDEX('Monthly CUST'!$N$2:$CG$65,MATCH($D52,'Monthly CUST'!$D$2:$D$65,0),MATCH(BT$1,'Monthly CUST'!$N$1:$CG$1,0))/12*$M52,IF($J52="Base Period",BH52,IF($J52="Adjusted",SUMIF('Input 15_Fcst Inputs'!$A:$A,$D52,'Input 15_Fcst Inputs'!$G:$G)/12))))),0)</f>
        <v>4794.7657256760585</v>
      </c>
      <c r="BU52" s="483">
        <f>IFERROR(IF($J52="Historical Average",INDEX('Monthly UPC'!$CM$2:$DJ$65,MATCH($D52,'Monthly UPC'!$D$2:$D$65,0),MATCH(BU$1,'Monthly UPC'!$CM$1:$DJ$1))*(INDEX('Monthly CUST'!$N$2:$CG$65,MATCH($D52,'Monthly CUST'!$D$2:$D$65,0),MATCH(BU$1,'Monthly CUST'!$N$1:$CG$1,0))),IF($J52="UPC Growth Rate",((BI52/INDEX('Monthly CUST'!$N$2:$CG$65,MATCH($D52,'Monthly CUST'!$D$2:$D$65,0),MATCH(BI$1,'Monthly CUST'!$N$1:$CG$1,0)))*(1+$L52)*INDEX('Monthly CUST'!$N$2:$CG$65,MATCH($D52,'Monthly CUST'!$D$2:$D$65,0),MATCH(BU$1,'Monthly CUST'!$N$1:$CG$1,0))),IF($J52="Modeled UPC",INDEX('Monthly CUST'!$N$2:$CG$65,MATCH($D52,'Monthly CUST'!$D$2:$D$65,0),MATCH(BU$1,'Monthly CUST'!$N$1:$CG$1,0))/12*$M52,IF($J52="Base Period",BI52,IF($J52="Adjusted",SUMIF('Input 15_Fcst Inputs'!$A:$A,$D52,'Input 15_Fcst Inputs'!$G:$G)/12))))),0)</f>
        <v>6099.4767503546036</v>
      </c>
      <c r="BV52" s="483">
        <f>IFERROR(IF($J52="Historical Average",INDEX('Monthly UPC'!$CM$2:$DJ$65,MATCH($D52,'Monthly UPC'!$D$2:$D$65,0),MATCH(BV$1,'Monthly UPC'!$CM$1:$DJ$1))*(INDEX('Monthly CUST'!$N$2:$CG$65,MATCH($D52,'Monthly CUST'!$D$2:$D$65,0),MATCH(BV$1,'Monthly CUST'!$N$1:$CG$1,0))),IF($J52="UPC Growth Rate",((BJ52/INDEX('Monthly CUST'!$N$2:$CG$65,MATCH($D52,'Monthly CUST'!$D$2:$D$65,0),MATCH(BJ$1,'Monthly CUST'!$N$1:$CG$1,0)))*(1+$L52)*INDEX('Monthly CUST'!$N$2:$CG$65,MATCH($D52,'Monthly CUST'!$D$2:$D$65,0),MATCH(BV$1,'Monthly CUST'!$N$1:$CG$1,0))),IF($J52="Modeled UPC",INDEX('Monthly CUST'!$N$2:$CG$65,MATCH($D52,'Monthly CUST'!$D$2:$D$65,0),MATCH(BV$1,'Monthly CUST'!$N$1:$CG$1,0))/12*$M52,IF($J52="Base Period",BJ52,IF($J52="Adjusted",SUMIF('Input 15_Fcst Inputs'!$A:$A,$D52,'Input 15_Fcst Inputs'!$G:$G)/12))))),0)</f>
        <v>5398.4076231324898</v>
      </c>
      <c r="BW52" s="483">
        <f>IFERROR(IF($J52="Historical Average",INDEX('Monthly UPC'!$CM$2:$DJ$65,MATCH($D52,'Monthly UPC'!$D$2:$D$65,0),MATCH(BW$1,'Monthly UPC'!$CM$1:$DJ$1))*(INDEX('Monthly CUST'!$N$2:$CG$65,MATCH($D52,'Monthly CUST'!$D$2:$D$65,0),MATCH(BW$1,'Monthly CUST'!$N$1:$CG$1,0))),IF($J52="UPC Growth Rate",((BK52/INDEX('Monthly CUST'!$N$2:$CG$65,MATCH($D52,'Monthly CUST'!$D$2:$D$65,0),MATCH(BK$1,'Monthly CUST'!$N$1:$CG$1,0)))*(1+$L52)*INDEX('Monthly CUST'!$N$2:$CG$65,MATCH($D52,'Monthly CUST'!$D$2:$D$65,0),MATCH(BW$1,'Monthly CUST'!$N$1:$CG$1,0))),IF($J52="Modeled UPC",INDEX('Monthly CUST'!$N$2:$CG$65,MATCH($D52,'Monthly CUST'!$D$2:$D$65,0),MATCH(BW$1,'Monthly CUST'!$N$1:$CG$1,0))/12*$M52,IF($J52="Base Period",BK52,IF($J52="Adjusted",SUMIF('Input 15_Fcst Inputs'!$A:$A,$D52,'Input 15_Fcst Inputs'!$G:$G)/12))))),0)</f>
        <v>4697.3195672032107</v>
      </c>
      <c r="BX52" s="483">
        <f>IFERROR(IF($J52="Historical Average",INDEX('Monthly UPC'!$CM$2:$DJ$65,MATCH($D52,'Monthly UPC'!$D$2:$D$65,0),MATCH(BX$1,'Monthly UPC'!$CM$1:$DJ$1))*(INDEX('Monthly CUST'!$N$2:$CG$65,MATCH($D52,'Monthly CUST'!$D$2:$D$65,0),MATCH(BX$1,'Monthly CUST'!$N$1:$CG$1,0))),IF($J52="UPC Growth Rate",((BL52/INDEX('Monthly CUST'!$N$2:$CG$65,MATCH($D52,'Monthly CUST'!$D$2:$D$65,0),MATCH(BL$1,'Monthly CUST'!$N$1:$CG$1,0)))*(1+$L52)*INDEX('Monthly CUST'!$N$2:$CG$65,MATCH($D52,'Monthly CUST'!$D$2:$D$65,0),MATCH(BX$1,'Monthly CUST'!$N$1:$CG$1,0))),IF($J52="Modeled UPC",INDEX('Monthly CUST'!$N$2:$CG$65,MATCH($D52,'Monthly CUST'!$D$2:$D$65,0),MATCH(BX$1,'Monthly CUST'!$N$1:$CG$1,0))/12*$M52,IF($J52="Base Period",BL52,IF($J52="Adjusted",SUMIF('Input 15_Fcst Inputs'!$A:$A,$D52,'Input 15_Fcst Inputs'!$G:$G)/12))))),0)</f>
        <v>4893.8981646508191</v>
      </c>
      <c r="BY52" s="483">
        <f>IFERROR(IF($J52="Historical Average",INDEX('Monthly UPC'!$CM$2:$DJ$65,MATCH($D52,'Monthly UPC'!$D$2:$D$65,0),MATCH(BY$1,'Monthly UPC'!$CM$1:$DJ$1))*(INDEX('Monthly CUST'!$N$2:$CG$65,MATCH($D52,'Monthly CUST'!$D$2:$D$65,0),MATCH(BY$1,'Monthly CUST'!$N$1:$CG$1,0))),IF($J52="UPC Growth Rate",((BM52/INDEX('Monthly CUST'!$N$2:$CG$65,MATCH($D52,'Monthly CUST'!$D$2:$D$65,0),MATCH(BM$1,'Monthly CUST'!$N$1:$CG$1,0)))*(1+$L52)*INDEX('Monthly CUST'!$N$2:$CG$65,MATCH($D52,'Monthly CUST'!$D$2:$D$65,0),MATCH(BY$1,'Monthly CUST'!$N$1:$CG$1,0))),IF($J52="Modeled UPC",INDEX('Monthly CUST'!$N$2:$CG$65,MATCH($D52,'Monthly CUST'!$D$2:$D$65,0),MATCH(BY$1,'Monthly CUST'!$N$1:$CG$1,0))/12*$M52,IF($J52="Base Period",BM52,IF($J52="Adjusted",SUMIF('Input 15_Fcst Inputs'!$A:$A,$D52,'Input 15_Fcst Inputs'!$G:$G)/12))))),0)</f>
        <v>5856.6788362467814</v>
      </c>
      <c r="BZ52" s="483">
        <f>IFERROR(IF($J52="Historical Average",INDEX('Monthly UPC'!$CM$2:$DJ$65,MATCH($D52,'Monthly UPC'!$D$2:$D$65,0),MATCH(BZ$1,'Monthly UPC'!$CM$1:$DJ$1))*(INDEX('Monthly CUST'!$N$2:$CG$65,MATCH($D52,'Monthly CUST'!$D$2:$D$65,0),MATCH(BZ$1,'Monthly CUST'!$N$1:$CG$1,0))),IF($J52="UPC Growth Rate",((BN52/INDEX('Monthly CUST'!$N$2:$CG$65,MATCH($D52,'Monthly CUST'!$D$2:$D$65,0),MATCH(BN$1,'Monthly CUST'!$N$1:$CG$1,0)))*(1+$L52)*INDEX('Monthly CUST'!$N$2:$CG$65,MATCH($D52,'Monthly CUST'!$D$2:$D$65,0),MATCH(BZ$1,'Monthly CUST'!$N$1:$CG$1,0))),IF($J52="Modeled UPC",INDEX('Monthly CUST'!$N$2:$CG$65,MATCH($D52,'Monthly CUST'!$D$2:$D$65,0),MATCH(BZ$1,'Monthly CUST'!$N$1:$CG$1,0))/12*$M52,IF($J52="Base Period",BN52,IF($J52="Adjusted",SUMIF('Input 15_Fcst Inputs'!$A:$A,$D52,'Input 15_Fcst Inputs'!$G:$G)/12))))),0)</f>
        <v>5051.0130802237318</v>
      </c>
      <c r="CA52" s="483">
        <f>IFERROR(IF($J52="Historical Average",INDEX('Monthly UPC'!$CM$2:$DJ$65,MATCH($D52,'Monthly UPC'!$D$2:$D$65,0),MATCH(CA$1,'Monthly UPC'!$CM$1:$DJ$1))*(INDEX('Monthly CUST'!$N$2:$CG$65,MATCH($D52,'Monthly CUST'!$D$2:$D$65,0),MATCH(CA$1,'Monthly CUST'!$N$1:$CG$1,0))),IF($J52="UPC Growth Rate",((BO52/INDEX('Monthly CUST'!$N$2:$CG$65,MATCH($D52,'Monthly CUST'!$D$2:$D$65,0),MATCH(BO$1,'Monthly CUST'!$N$1:$CG$1,0)))*(1+$L52)*INDEX('Monthly CUST'!$N$2:$CG$65,MATCH($D52,'Monthly CUST'!$D$2:$D$65,0),MATCH(CA$1,'Monthly CUST'!$N$1:$CG$1,0))),IF($J52="Modeled UPC",INDEX('Monthly CUST'!$N$2:$CG$65,MATCH($D52,'Monthly CUST'!$D$2:$D$65,0),MATCH(CA$1,'Monthly CUST'!$N$1:$CG$1,0))/12*$M52,IF($J52="Base Period",BO52,IF($J52="Adjusted",SUMIF('Input 15_Fcst Inputs'!$A:$A,$D52,'Input 15_Fcst Inputs'!$G:$G)/12))))),0)</f>
        <v>5144.1025579827929</v>
      </c>
      <c r="CB52" s="483">
        <f>IFERROR(IF($J52="Historical Average",INDEX('Monthly UPC'!$CM$2:$DJ$65,MATCH($D52,'Monthly UPC'!$D$2:$D$65,0),MATCH(CB$1,'Monthly UPC'!$CM$1:$DJ$1))*(INDEX('Monthly CUST'!$N$2:$CG$65,MATCH($D52,'Monthly CUST'!$D$2:$D$65,0),MATCH(CB$1,'Monthly CUST'!$N$1:$CG$1,0))),IF($J52="UPC Growth Rate",((BP52/INDEX('Monthly CUST'!$N$2:$CG$65,MATCH($D52,'Monthly CUST'!$D$2:$D$65,0),MATCH(BP$1,'Monthly CUST'!$N$1:$CG$1,0)))*(1+$L52)*INDEX('Monthly CUST'!$N$2:$CG$65,MATCH($D52,'Monthly CUST'!$D$2:$D$65,0),MATCH(CB$1,'Monthly CUST'!$N$1:$CG$1,0))),IF($J52="Modeled UPC",INDEX('Monthly CUST'!$N$2:$CG$65,MATCH($D52,'Monthly CUST'!$D$2:$D$65,0),MATCH(CB$1,'Monthly CUST'!$N$1:$CG$1,0))/12*$M52,IF($J52="Base Period",BP52,IF($J52="Adjusted",SUMIF('Input 15_Fcst Inputs'!$A:$A,$D52,'Input 15_Fcst Inputs'!$G:$G)/12))))),0)</f>
        <v>5199.2185464607119</v>
      </c>
      <c r="CC52" s="483">
        <f>IFERROR(IF($J52="Historical Average",INDEX('Monthly UPC'!$CM$2:$DJ$65,MATCH($D52,'Monthly UPC'!$D$2:$D$65,0),MATCH(CC$1,'Monthly UPC'!$CM$1:$DJ$1))*(INDEX('Monthly CUST'!$N$2:$CG$65,MATCH($D52,'Monthly CUST'!$D$2:$D$65,0),MATCH(CC$1,'Monthly CUST'!$N$1:$CG$1,0))),IF($J52="UPC Growth Rate",((BQ52/INDEX('Monthly CUST'!$N$2:$CG$65,MATCH($D52,'Monthly CUST'!$D$2:$D$65,0),MATCH(BQ$1,'Monthly CUST'!$N$1:$CG$1,0)))*(1+$L52)*INDEX('Monthly CUST'!$N$2:$CG$65,MATCH($D52,'Monthly CUST'!$D$2:$D$65,0),MATCH(CC$1,'Monthly CUST'!$N$1:$CG$1,0))),IF($J52="Modeled UPC",INDEX('Monthly CUST'!$N$2:$CG$65,MATCH($D52,'Monthly CUST'!$D$2:$D$65,0),MATCH(CC$1,'Monthly CUST'!$N$1:$CG$1,0))/12*$M52,IF($J52="Base Period",BQ52,IF($J52="Adjusted",SUMIF('Input 15_Fcst Inputs'!$A:$A,$D52,'Input 15_Fcst Inputs'!$G:$G)/12))))),0)</f>
        <v>5085.773671998204</v>
      </c>
      <c r="CD52" s="483">
        <f>IFERROR(IF($J52="Historical Average",INDEX('Monthly UPC'!$CM$2:$DJ$65,MATCH($D52,'Monthly UPC'!$D$2:$D$65,0),MATCH(CD$1,'Monthly UPC'!$CM$1:$DJ$1))*(INDEX('Monthly CUST'!$N$2:$CG$65,MATCH($D52,'Monthly CUST'!$D$2:$D$65,0),MATCH(CD$1,'Monthly CUST'!$N$1:$CG$1,0))),IF($J52="UPC Growth Rate",((BR52/INDEX('Monthly CUST'!$N$2:$CG$65,MATCH($D52,'Monthly CUST'!$D$2:$D$65,0),MATCH(BR$1,'Monthly CUST'!$N$1:$CG$1,0)))*(1+$L52)*INDEX('Monthly CUST'!$N$2:$CG$65,MATCH($D52,'Monthly CUST'!$D$2:$D$65,0),MATCH(CD$1,'Monthly CUST'!$N$1:$CG$1,0))),IF($J52="Modeled UPC",INDEX('Monthly CUST'!$N$2:$CG$65,MATCH($D52,'Monthly CUST'!$D$2:$D$65,0),MATCH(CD$1,'Monthly CUST'!$N$1:$CG$1,0))/12*$M52,IF($J52="Base Period",BR52,IF($J52="Adjusted",SUMIF('Input 15_Fcst Inputs'!$A:$A,$D52,'Input 15_Fcst Inputs'!$G:$G)/12))))),0)</f>
        <v>5140.8685229925259</v>
      </c>
      <c r="CE52" s="483">
        <f>IFERROR(IF($J52="Historical Average",INDEX('Monthly UPC'!$CM$2:$DJ$65,MATCH($D52,'Monthly UPC'!$D$2:$D$65,0),MATCH(CE$1,'Monthly UPC'!$CM$1:$DJ$1))*(INDEX('Monthly CUST'!$N$2:$CG$65,MATCH($D52,'Monthly CUST'!$D$2:$D$65,0),MATCH(CE$1,'Monthly CUST'!$N$1:$CG$1,0))),IF($J52="UPC Growth Rate",((BS52/INDEX('Monthly CUST'!$N$2:$CG$65,MATCH($D52,'Monthly CUST'!$D$2:$D$65,0),MATCH(BS$1,'Monthly CUST'!$N$1:$CG$1,0)))*(1+$L52)*INDEX('Monthly CUST'!$N$2:$CG$65,MATCH($D52,'Monthly CUST'!$D$2:$D$65,0),MATCH(CE$1,'Monthly CUST'!$N$1:$CG$1,0))),IF($J52="Modeled UPC",INDEX('Monthly CUST'!$N$2:$CG$65,MATCH($D52,'Monthly CUST'!$D$2:$D$65,0),MATCH(CE$1,'Monthly CUST'!$N$1:$CG$1,0))/12*$M52,IF($J52="Base Period",BS52,IF($J52="Adjusted",SUMIF('Input 15_Fcst Inputs'!$A:$A,$D52,'Input 15_Fcst Inputs'!$G:$G)/12))))),0)</f>
        <v>5230.5548658925482</v>
      </c>
      <c r="CF52" s="483">
        <f>IFERROR(IF($J52="Historical Average",INDEX('Monthly UPC'!$CM$2:$DJ$65,MATCH($D52,'Monthly UPC'!$D$2:$D$65,0),MATCH(CF$1,'Monthly UPC'!$CM$1:$DJ$1))*(INDEX('Monthly CUST'!$N$2:$CG$65,MATCH($D52,'Monthly CUST'!$D$2:$D$65,0),MATCH(CF$1,'Monthly CUST'!$N$1:$CG$1,0))),IF($J52="UPC Growth Rate",((BT52/INDEX('Monthly CUST'!$N$2:$CG$65,MATCH($D52,'Monthly CUST'!$D$2:$D$65,0),MATCH(BT$1,'Monthly CUST'!$N$1:$CG$1,0)))*(1+$L52)*INDEX('Monthly CUST'!$N$2:$CG$65,MATCH($D52,'Monthly CUST'!$D$2:$D$65,0),MATCH(CF$1,'Monthly CUST'!$N$1:$CG$1,0))),IF($J52="Modeled UPC",INDEX('Monthly CUST'!$N$2:$CG$65,MATCH($D52,'Monthly CUST'!$D$2:$D$65,0),MATCH(CF$1,'Monthly CUST'!$N$1:$CG$1,0))/12*$M52,IF($J52="Base Period",BT52,IF($J52="Adjusted",SUMIF('Input 15_Fcst Inputs'!$A:$A,$D52,'Input 15_Fcst Inputs'!$G:$G)/12))))),0)</f>
        <v>4929.2294684823992</v>
      </c>
      <c r="CG52" s="483">
        <f>IFERROR(IF($J52="Historical Average",INDEX('Monthly UPC'!$CM$2:$DJ$65,MATCH($D52,'Monthly UPC'!$D$2:$D$65,0),MATCH(CG$1,'Monthly UPC'!$CM$1:$DJ$1))*(INDEX('Monthly CUST'!$N$2:$CG$65,MATCH($D52,'Monthly CUST'!$D$2:$D$65,0),MATCH(CG$1,'Monthly CUST'!$N$1:$CG$1,0))),IF($J52="UPC Growth Rate",((BU52/INDEX('Monthly CUST'!$N$2:$CG$65,MATCH($D52,'Monthly CUST'!$D$2:$D$65,0),MATCH(BU$1,'Monthly CUST'!$N$1:$CG$1,0)))*(1+$L52)*INDEX('Monthly CUST'!$N$2:$CG$65,MATCH($D52,'Monthly CUST'!$D$2:$D$65,0),MATCH(CG$1,'Monthly CUST'!$N$1:$CG$1,0))),IF($J52="Modeled UPC",INDEX('Monthly CUST'!$N$2:$CG$65,MATCH($D52,'Monthly CUST'!$D$2:$D$65,0),MATCH(CG$1,'Monthly CUST'!$N$1:$CG$1,0))/12*$M52,IF($J52="Base Period",BU52,IF($J52="Adjusted",SUMIF('Input 15_Fcst Inputs'!$A:$A,$D52,'Input 15_Fcst Inputs'!$G:$G)/12))))),0)</f>
        <v>6270.5296275829878</v>
      </c>
      <c r="CH52" s="197"/>
      <c r="CI52" s="197">
        <f t="shared" si="8"/>
        <v>56829.820000000007</v>
      </c>
      <c r="CJ52" s="197">
        <f t="shared" si="9"/>
        <v>63850.9</v>
      </c>
      <c r="CK52" s="197">
        <f t="shared" si="10"/>
        <v>56372.82</v>
      </c>
      <c r="CL52" s="197">
        <f t="shared" si="11"/>
        <v>59512.849999999991</v>
      </c>
      <c r="CM52" s="197">
        <f t="shared" si="12"/>
        <v>61181.820084027211</v>
      </c>
      <c r="CN52" s="197">
        <f t="shared" si="13"/>
        <v>62897.594532849202</v>
      </c>
      <c r="CP52" s="4">
        <f>SUMIF('Master '!D:D,D52,'Master '!AH:AH)</f>
        <v>61181.820084027197</v>
      </c>
      <c r="CQ52" s="4">
        <f>SUMIF('Master '!D:D,D52,'Master '!AI:AI)</f>
        <v>62897.594532849194</v>
      </c>
      <c r="CR52" s="197">
        <f t="shared" si="14"/>
        <v>0</v>
      </c>
      <c r="CS52" s="197">
        <f t="shared" si="15"/>
        <v>0</v>
      </c>
      <c r="CT52" t="s">
        <v>287</v>
      </c>
      <c r="CV52" t="str">
        <f>VLOOKUP(G52,'Master '!G:CC,75,FALSE)</f>
        <v>FTS-3</v>
      </c>
    </row>
    <row r="53" spans="1:100">
      <c r="A53" s="53" t="s">
        <v>17</v>
      </c>
      <c r="B53" s="53" t="s">
        <v>993</v>
      </c>
      <c r="C53" s="53" t="s">
        <v>1245</v>
      </c>
      <c r="D53" s="53" t="s">
        <v>1301</v>
      </c>
      <c r="E53" s="53" t="str">
        <f>VLOOKUP(D53,'Input 14_Ref Table'!C:D,2,FALSE)</f>
        <v>CC824</v>
      </c>
      <c r="F53" s="143" t="s">
        <v>1286</v>
      </c>
      <c r="G53" s="53" t="str">
        <f>VLOOKUP(D53,'Input 14_Ref Table'!C:I,7,FALSE)</f>
        <v>CFG - FTS-3.1 NR</v>
      </c>
      <c r="H53" s="53" t="str">
        <f>VLOOKUP(D53,'Input 14_Ref Table'!C:K,8,FALSE)</f>
        <v>FTS3.1</v>
      </c>
      <c r="I53" s="53"/>
      <c r="J53" t="str">
        <f>INDEX('Master '!$AD$2:AD$65,MATCH(D53,'Master '!$D$2:$D$65,0))</f>
        <v>UPC Growth Rate</v>
      </c>
      <c r="K53" s="458">
        <f>INDEX('Master '!$N$2:N$65,MATCH(D53,'Master '!$D$2:$D$65,0))</f>
        <v>-1.0532413897830479E-2</v>
      </c>
      <c r="L53" s="137">
        <f>INDEX('Master '!$S$2:S$65,MATCH(D53,'Master '!$D$2:$D$65,0))</f>
        <v>-5.3752990430621737E-3</v>
      </c>
      <c r="M53" s="4">
        <f>INDEX('Master '!$W$2:W$65,MATCH(D53,'Master '!$D$2:$D$65,0))</f>
        <v>6652.05</v>
      </c>
      <c r="N53" s="268">
        <f>SUMIF('Input 16.1_2018VOL-YTD'!$R:$R,$G53,'Input 16.1_2018VOL-YTD'!C:C)</f>
        <v>239113.23</v>
      </c>
      <c r="O53" s="268">
        <f>SUMIF('Input 16.1_2018VOL-YTD'!$R:$R,$G53,'Input 16.1_2018VOL-YTD'!D:D)</f>
        <v>230737.53</v>
      </c>
      <c r="P53" s="268">
        <f>SUMIF('Input 16.1_2018VOL-YTD'!$R:$R,$G53,'Input 16.1_2018VOL-YTD'!E:E)</f>
        <v>220997</v>
      </c>
      <c r="Q53" s="268">
        <f>SUMIF('Input 16.1_2018VOL-YTD'!$R:$R,$G53,'Input 16.1_2018VOL-YTD'!F:F)</f>
        <v>222318.81</v>
      </c>
      <c r="R53" s="268">
        <f>SUMIF('Input 16.1_2018VOL-YTD'!$R:$R,$G53,'Input 16.1_2018VOL-YTD'!G:G)</f>
        <v>192172.7</v>
      </c>
      <c r="S53" s="268">
        <f>SUMIF('Input 16.1_2018VOL-YTD'!$R:$R,$G53,'Input 16.1_2018VOL-YTD'!H:H)</f>
        <v>195568.84</v>
      </c>
      <c r="T53" s="268">
        <f>SUMIF('Input 16.1_2018VOL-YTD'!$R:$R,$G53,'Input 16.1_2018VOL-YTD'!I:I)</f>
        <v>174366</v>
      </c>
      <c r="U53" s="268">
        <f>SUMIF('Input 16.1_2018VOL-YTD'!$R:$R,$G53,'Input 16.1_2018VOL-YTD'!J:J)</f>
        <v>177355.01</v>
      </c>
      <c r="V53" s="268">
        <f>SUMIF('Input 16.1_2018VOL-YTD'!$R:$R,$G53,'Input 16.1_2018VOL-YTD'!K:K)</f>
        <v>181710.98</v>
      </c>
      <c r="W53" s="268">
        <f>SUMIF('Input 16.1_2018VOL-YTD'!$R:$R,$G53,'Input 16.1_2018VOL-YTD'!L:L)</f>
        <v>168170.95</v>
      </c>
      <c r="X53" s="268">
        <f>SUMIF('Input 16.1_2018VOL-YTD'!$R:$R,$G53,'Input 16.1_2018VOL-YTD'!M:M)</f>
        <v>205773.29</v>
      </c>
      <c r="Y53" s="268">
        <f>SUMIF('Input 16.1_2018VOL-YTD'!$R:$R,$G53,'Input 16.1_2018VOL-YTD'!N:N)</f>
        <v>213620.51</v>
      </c>
      <c r="Z53" s="268">
        <f>SUMIF('Input 3.1_2019VOL-YTD'!$R:$R,$G53,'Input 3.1_2019VOL-YTD'!C:C)</f>
        <v>223570</v>
      </c>
      <c r="AA53" s="268">
        <f>SUMIF('Input 3.1_2019VOL-YTD'!$R:$R,$G53,'Input 3.1_2019VOL-YTD'!D:D)</f>
        <v>225861.64</v>
      </c>
      <c r="AB53" s="268">
        <f>SUMIF('Input 3.1_2019VOL-YTD'!$R:$R,$G53,'Input 3.1_2019VOL-YTD'!E:E)</f>
        <v>202250.93</v>
      </c>
      <c r="AC53" s="268">
        <f>SUMIF('Input 3.1_2019VOL-YTD'!$R:$R,$G53,'Input 3.1_2019VOL-YTD'!F:F)</f>
        <v>203164.43</v>
      </c>
      <c r="AD53" s="268">
        <f>SUMIF('Input 3.1_2019VOL-YTD'!$R:$R,$G53,'Input 3.1_2019VOL-YTD'!G:G)</f>
        <v>197716.04</v>
      </c>
      <c r="AE53" s="268">
        <f>SUMIF('Input 3.1_2019VOL-YTD'!$R:$R,$G53,'Input 3.1_2019VOL-YTD'!H:H)</f>
        <v>203665.85</v>
      </c>
      <c r="AF53" s="268">
        <f>SUMIF('Input 3.1_2019VOL-YTD'!$R:$R,$G53,'Input 3.1_2019VOL-YTD'!I:I)</f>
        <v>172080.8</v>
      </c>
      <c r="AG53" s="268">
        <f>SUMIF('Input 3.1_2019VOL-YTD'!$R:$R,$G53,'Input 3.1_2019VOL-YTD'!J:J)</f>
        <v>173755.53</v>
      </c>
      <c r="AH53" s="268">
        <f>SUMIF('Input 3.1_2019VOL-YTD'!$R:$R,$G53,'Input 3.1_2019VOL-YTD'!K:K)</f>
        <v>184784.49</v>
      </c>
      <c r="AI53" s="268">
        <f>SUMIF('Input 3.1_2019VOL-YTD'!$R:$R,$G53,'Input 3.1_2019VOL-YTD'!L:L)</f>
        <v>177679.69</v>
      </c>
      <c r="AJ53" s="268">
        <f>SUMIF('Input 3.1_2019VOL-YTD'!$R:$R,$G53,'Input 3.1_2019VOL-YTD'!M:M)</f>
        <v>189912.36</v>
      </c>
      <c r="AK53" s="268">
        <f>SUMIF('Input 3.1_2019VOL-YTD'!$R:$R,$G53,'Input 3.1_2019VOL-YTD'!N:N)</f>
        <v>220694.24</v>
      </c>
      <c r="AL53" s="268">
        <f>SUMIF('Input 4.1_2020VOL-YTD'!$R:$R,$G53,'Input 4.1_2020VOL-YTD'!C:C)</f>
        <v>251738.49</v>
      </c>
      <c r="AM53" s="268">
        <f>SUMIF('Input 4.1_2020VOL-YTD'!$R:$R,$G53,'Input 4.1_2020VOL-YTD'!D:D)</f>
        <v>198000.9</v>
      </c>
      <c r="AN53" s="268">
        <f>SUMIF('Input 4.1_2020VOL-YTD'!$R:$R,$G53,'Input 4.1_2020VOL-YTD'!E:E)</f>
        <v>201057.4</v>
      </c>
      <c r="AO53" s="268">
        <f>SUMIF('Input 4.1_2020VOL-YTD'!$R:$R,$G53,'Input 4.1_2020VOL-YTD'!F:F)</f>
        <v>142793.26999999999</v>
      </c>
      <c r="AP53" s="268">
        <f>SUMIF('Input 4.1_2020VOL-YTD'!$R:$R,$G53,'Input 4.1_2020VOL-YTD'!G:G)</f>
        <v>152203.15</v>
      </c>
      <c r="AQ53" s="268">
        <f>SUMIF('Input 4.1_2020VOL-YTD'!$R:$R,$G53,'Input 4.1_2020VOL-YTD'!H:H)</f>
        <v>164263.1</v>
      </c>
      <c r="AR53" s="268">
        <f>SUMIF('Input 4.1_2020VOL-YTD'!$R:$R,$G53,'Input 4.1_2020VOL-YTD'!I:I)</f>
        <v>173342.65</v>
      </c>
      <c r="AS53" s="268">
        <f>SUMIF('Input 4.1_2020VOL-YTD'!$R:$R,$G53,'Input 4.1_2020VOL-YTD'!J:J)</f>
        <v>166956.10999999999</v>
      </c>
      <c r="AT53" s="268">
        <f>SUMIF('Input 4.1_2020VOL-YTD'!$R:$R,$G53,'Input 4.1_2020VOL-YTD'!K:K)</f>
        <v>167173.04</v>
      </c>
      <c r="AU53" s="268">
        <f>SUMIF('Input 4.1_2020VOL-YTD'!$R:$R,$G53,'Input 4.1_2020VOL-YTD'!L:L)</f>
        <v>169734.99</v>
      </c>
      <c r="AV53" s="268">
        <f>SUMIF('Input 4.1_2020VOL-YTD'!$R:$R,$G53,'Input 4.1_2020VOL-YTD'!M:M)</f>
        <v>186184.67</v>
      </c>
      <c r="AW53" s="268">
        <f>SUMIF('Input 4.1_2020VOL-YTD'!$R:$R,$G53,'Input 4.1_2020VOL-YTD'!N:N)</f>
        <v>214203.68</v>
      </c>
      <c r="AX53" s="268">
        <f>SUMIF('Input 5.1_2021VOL-YTD'!$R:$R,$G53,'Input 5.1_2021VOL-YTD'!C:C)</f>
        <v>231811.37</v>
      </c>
      <c r="AY53" s="268">
        <f>SUMIF('Input 5.1_2021VOL-YTD'!$R:$R,$G53,'Input 5.1_2021VOL-YTD'!D:D)</f>
        <v>190115.54</v>
      </c>
      <c r="AZ53" s="268">
        <f>SUMIF('Input 5.1_2021VOL-YTD'!$R:$R,$G53,'Input 5.1_2021VOL-YTD'!E:E)</f>
        <v>204582.11</v>
      </c>
      <c r="BA53" s="268">
        <f>SUMIF('Input 5.1_2021VOL-YTD'!$R:$R,$G53,'Input 5.1_2021VOL-YTD'!F:F)</f>
        <v>223623.13</v>
      </c>
      <c r="BB53" s="268">
        <f>SUMIF('Input 5.1_2021VOL-YTD'!$R:$R,$G53,'Input 5.1_2021VOL-YTD'!G:G)</f>
        <v>184765.31</v>
      </c>
      <c r="BC53" s="268">
        <f>SUMIF('Input 5.1_2021VOL-YTD'!$R:$R,$G53,'Input 5.1_2021VOL-YTD'!H:H)</f>
        <v>183645.42</v>
      </c>
      <c r="BD53" s="268">
        <f>SUMIF('Input 5.1_2021VOL-YTD'!$R:$R,$G53,'Input 5.1_2021VOL-YTD'!I:I)</f>
        <v>186072.98</v>
      </c>
      <c r="BE53" s="268">
        <f>SUMIF('Input 5.1_2021VOL-YTD'!$R:$R,$G53,'Input 5.1_2021VOL-YTD'!J:J)</f>
        <v>178127.14</v>
      </c>
      <c r="BF53" s="268">
        <f>SUMIF('Input 5.1_2021VOL-YTD'!$R:$R,$G53,'Input 5.1_2021VOL-YTD'!K:K)</f>
        <v>186192.79</v>
      </c>
      <c r="BG53" s="268">
        <f>SUMIF('Input 5.1_2021VOL-YTD'!$R:$R,$G53,'Input 5.1_2021VOL-YTD'!L:L)</f>
        <v>180550.99</v>
      </c>
      <c r="BH53" s="268">
        <f>SUMIF('Input 5.1_2021VOL-YTD'!$R:$R,$G53,'Input 5.1_2021VOL-YTD'!M:M)</f>
        <v>182744.78</v>
      </c>
      <c r="BI53" s="268">
        <f>SUMIF('Input 5.1_2021VOL-YTD'!$R:$R,$G53,'Input 5.1_2021VOL-YTD'!N:N)</f>
        <v>244617.2</v>
      </c>
      <c r="BJ53" s="483">
        <f>IFERROR(IF($J53="Historical Average",INDEX('Monthly UPC'!$CM$2:$DJ$65,MATCH($D53,'Monthly UPC'!$D$2:$D$65,0),MATCH(BJ$1,'Monthly UPC'!$CM$1:$DJ$1))*(INDEX('Monthly CUST'!$N$2:$CG$65,MATCH($D53,'Monthly CUST'!$D$2:$D$65,0),MATCH(BJ$1,'Monthly CUST'!$N$1:$CG$1,0))),IF($J53="UPC Growth Rate",((AX53/INDEX('Monthly CUST'!$N$2:$CG$65,MATCH($D53,'Monthly CUST'!$D$2:$D$65,0),MATCH(AX$1,'Monthly CUST'!$N$1:$CG$1,0)))*(1+$L53)*INDEX('Monthly CUST'!$N$2:$CG$65,MATCH($D53,'Monthly CUST'!$D$2:$D$65,0),MATCH(BJ$1,'Monthly CUST'!$N$1:$CG$1,0))),IF($J53="Modeled UPC",INDEX('Monthly CUST'!$N$2:$CG$65,MATCH($D53,'Monthly CUST'!$D$2:$D$65,0),MATCH(BJ$1,'Monthly CUST'!$N$1:$CG$1,0))/12*$M53,IF($J53="Base Period",AX53,IF($J53="Adjusted",SUMIF('Input 15_Fcst Inputs'!$A:$A,$D53,'Input 15_Fcst Inputs'!$G:$G)/12))))),0)</f>
        <v>228136.90524118947</v>
      </c>
      <c r="BK53" s="483">
        <f>IFERROR(IF($J53="Historical Average",INDEX('Monthly UPC'!$CM$2:$DJ$65,MATCH($D53,'Monthly UPC'!$D$2:$D$65,0),MATCH(BK$1,'Monthly UPC'!$CM$1:$DJ$1))*(INDEX('Monthly CUST'!$N$2:$CG$65,MATCH($D53,'Monthly CUST'!$D$2:$D$65,0),MATCH(BK$1,'Monthly CUST'!$N$1:$CG$1,0))),IF($J53="UPC Growth Rate",((AY53/INDEX('Monthly CUST'!$N$2:$CG$65,MATCH($D53,'Monthly CUST'!$D$2:$D$65,0),MATCH(AY$1,'Monthly CUST'!$N$1:$CG$1,0)))*(1+$L53)*INDEX('Monthly CUST'!$N$2:$CG$65,MATCH($D53,'Monthly CUST'!$D$2:$D$65,0),MATCH(BK$1,'Monthly CUST'!$N$1:$CG$1,0))),IF($J53="Modeled UPC",INDEX('Monthly CUST'!$N$2:$CG$65,MATCH($D53,'Monthly CUST'!$D$2:$D$65,0),MATCH(BK$1,'Monthly CUST'!$N$1:$CG$1,0))/12*$M53,IF($J53="Base Period",AY53,IF($J53="Adjusted",SUMIF('Input 15_Fcst Inputs'!$A:$A,$D53,'Input 15_Fcst Inputs'!$G:$G)/12))))),0)</f>
        <v>187101.99993148554</v>
      </c>
      <c r="BL53" s="483">
        <f>IFERROR(IF($J53="Historical Average",INDEX('Monthly UPC'!$CM$2:$DJ$65,MATCH($D53,'Monthly UPC'!$D$2:$D$65,0),MATCH(BL$1,'Monthly UPC'!$CM$1:$DJ$1))*(INDEX('Monthly CUST'!$N$2:$CG$65,MATCH($D53,'Monthly CUST'!$D$2:$D$65,0),MATCH(BL$1,'Monthly CUST'!$N$1:$CG$1,0))),IF($J53="UPC Growth Rate",((AZ53/INDEX('Monthly CUST'!$N$2:$CG$65,MATCH($D53,'Monthly CUST'!$D$2:$D$65,0),MATCH(AZ$1,'Monthly CUST'!$N$1:$CG$1,0)))*(1+$L53)*INDEX('Monthly CUST'!$N$2:$CG$65,MATCH($D53,'Monthly CUST'!$D$2:$D$65,0),MATCH(BL$1,'Monthly CUST'!$N$1:$CG$1,0))),IF($J53="Modeled UPC",INDEX('Monthly CUST'!$N$2:$CG$65,MATCH($D53,'Monthly CUST'!$D$2:$D$65,0),MATCH(BL$1,'Monthly CUST'!$N$1:$CG$1,0))/12*$M53,IF($J53="Base Period",AZ53,IF($J53="Adjusted",SUMIF('Input 15_Fcst Inputs'!$A:$A,$D53,'Input 15_Fcst Inputs'!$G:$G)/12))))),0)</f>
        <v>201339.258911729</v>
      </c>
      <c r="BM53" s="483">
        <f>IFERROR(IF($J53="Historical Average",INDEX('Monthly UPC'!$CM$2:$DJ$65,MATCH($D53,'Monthly UPC'!$D$2:$D$65,0),MATCH(BM$1,'Monthly UPC'!$CM$1:$DJ$1))*(INDEX('Monthly CUST'!$N$2:$CG$65,MATCH($D53,'Monthly CUST'!$D$2:$D$65,0),MATCH(BM$1,'Monthly CUST'!$N$1:$CG$1,0))),IF($J53="UPC Growth Rate",((BA53/INDEX('Monthly CUST'!$N$2:$CG$65,MATCH($D53,'Monthly CUST'!$D$2:$D$65,0),MATCH(BA$1,'Monthly CUST'!$N$1:$CG$1,0)))*(1+$L53)*INDEX('Monthly CUST'!$N$2:$CG$65,MATCH($D53,'Monthly CUST'!$D$2:$D$65,0),MATCH(BM$1,'Monthly CUST'!$N$1:$CG$1,0))),IF($J53="Modeled UPC",INDEX('Monthly CUST'!$N$2:$CG$65,MATCH($D53,'Monthly CUST'!$D$2:$D$65,0),MATCH(BM$1,'Monthly CUST'!$N$1:$CG$1,0))/12*$M53,IF($J53="Base Period",BA53,IF($J53="Adjusted",SUMIF('Input 15_Fcst Inputs'!$A:$A,$D53,'Input 15_Fcst Inputs'!$G:$G)/12))))),0)</f>
        <v>220078.45783642193</v>
      </c>
      <c r="BN53" s="483">
        <f>IFERROR(IF($J53="Historical Average",INDEX('Monthly UPC'!$CM$2:$DJ$65,MATCH($D53,'Monthly UPC'!$D$2:$D$65,0),MATCH(BN$1,'Monthly UPC'!$CM$1:$DJ$1))*(INDEX('Monthly CUST'!$N$2:$CG$65,MATCH($D53,'Monthly CUST'!$D$2:$D$65,0),MATCH(BN$1,'Monthly CUST'!$N$1:$CG$1,0))),IF($J53="UPC Growth Rate",((BB53/INDEX('Monthly CUST'!$N$2:$CG$65,MATCH($D53,'Monthly CUST'!$D$2:$D$65,0),MATCH(BB$1,'Monthly CUST'!$N$1:$CG$1,0)))*(1+$L53)*INDEX('Monthly CUST'!$N$2:$CG$65,MATCH($D53,'Monthly CUST'!$D$2:$D$65,0),MATCH(BN$1,'Monthly CUST'!$N$1:$CG$1,0))),IF($J53="Modeled UPC",INDEX('Monthly CUST'!$N$2:$CG$65,MATCH($D53,'Monthly CUST'!$D$2:$D$65,0),MATCH(BN$1,'Monthly CUST'!$N$1:$CG$1,0))/12*$M53,IF($J53="Base Period",BB53,IF($J53="Adjusted",SUMIF('Input 15_Fcst Inputs'!$A:$A,$D53,'Input 15_Fcst Inputs'!$G:$G)/12))))),0)</f>
        <v>181836.57695189409</v>
      </c>
      <c r="BO53" s="483">
        <f>IFERROR(IF($J53="Historical Average",INDEX('Monthly UPC'!$CM$2:$DJ$65,MATCH($D53,'Monthly UPC'!$D$2:$D$65,0),MATCH(BO$1,'Monthly UPC'!$CM$1:$DJ$1))*(INDEX('Monthly CUST'!$N$2:$CG$65,MATCH($D53,'Monthly CUST'!$D$2:$D$65,0),MATCH(BO$1,'Monthly CUST'!$N$1:$CG$1,0))),IF($J53="UPC Growth Rate",((BC53/INDEX('Monthly CUST'!$N$2:$CG$65,MATCH($D53,'Monthly CUST'!$D$2:$D$65,0),MATCH(BC$1,'Monthly CUST'!$N$1:$CG$1,0)))*(1+$L53)*INDEX('Monthly CUST'!$N$2:$CG$65,MATCH($D53,'Monthly CUST'!$D$2:$D$65,0),MATCH(BO$1,'Monthly CUST'!$N$1:$CG$1,0))),IF($J53="Modeled UPC",INDEX('Monthly CUST'!$N$2:$CG$65,MATCH($D53,'Monthly CUST'!$D$2:$D$65,0),MATCH(BO$1,'Monthly CUST'!$N$1:$CG$1,0))/12*$M53,IF($J53="Base Period",BC53,IF($J53="Adjusted",SUMIF('Input 15_Fcst Inputs'!$A:$A,$D53,'Input 15_Fcst Inputs'!$G:$G)/12))))),0)</f>
        <v>180734.43843810787</v>
      </c>
      <c r="BP53" s="483">
        <f>IFERROR(IF($J53="Historical Average",INDEX('Monthly UPC'!$CM$2:$DJ$65,MATCH($D53,'Monthly UPC'!$D$2:$D$65,0),MATCH(BP$1,'Monthly UPC'!$CM$1:$DJ$1))*(INDEX('Monthly CUST'!$N$2:$CG$65,MATCH($D53,'Monthly CUST'!$D$2:$D$65,0),MATCH(BP$1,'Monthly CUST'!$N$1:$CG$1,0))),IF($J53="UPC Growth Rate",((BD53/INDEX('Monthly CUST'!$N$2:$CG$65,MATCH($D53,'Monthly CUST'!$D$2:$D$65,0),MATCH(BD$1,'Monthly CUST'!$N$1:$CG$1,0)))*(1+$L53)*INDEX('Monthly CUST'!$N$2:$CG$65,MATCH($D53,'Monthly CUST'!$D$2:$D$65,0),MATCH(BP$1,'Monthly CUST'!$N$1:$CG$1,0))),IF($J53="Modeled UPC",INDEX('Monthly CUST'!$N$2:$CG$65,MATCH($D53,'Monthly CUST'!$D$2:$D$65,0),MATCH(BP$1,'Monthly CUST'!$N$1:$CG$1,0))/12*$M53,IF($J53="Base Period",BD53,IF($J53="Adjusted",SUMIF('Input 15_Fcst Inputs'!$A:$A,$D53,'Input 15_Fcst Inputs'!$G:$G)/12))))),0)</f>
        <v>183123.51894648545</v>
      </c>
      <c r="BQ53" s="483">
        <f>IFERROR(IF($J53="Historical Average",INDEX('Monthly UPC'!$CM$2:$DJ$65,MATCH($D53,'Monthly UPC'!$D$2:$D$65,0),MATCH(BQ$1,'Monthly UPC'!$CM$1:$DJ$1))*(INDEX('Monthly CUST'!$N$2:$CG$65,MATCH($D53,'Monthly CUST'!$D$2:$D$65,0),MATCH(BQ$1,'Monthly CUST'!$N$1:$CG$1,0))),IF($J53="UPC Growth Rate",((BE53/INDEX('Monthly CUST'!$N$2:$CG$65,MATCH($D53,'Monthly CUST'!$D$2:$D$65,0),MATCH(BE$1,'Monthly CUST'!$N$1:$CG$1,0)))*(1+$L53)*INDEX('Monthly CUST'!$N$2:$CG$65,MATCH($D53,'Monthly CUST'!$D$2:$D$65,0),MATCH(BQ$1,'Monthly CUST'!$N$1:$CG$1,0))),IF($J53="Modeled UPC",INDEX('Monthly CUST'!$N$2:$CG$65,MATCH($D53,'Monthly CUST'!$D$2:$D$65,0),MATCH(BQ$1,'Monthly CUST'!$N$1:$CG$1,0))/12*$M53,IF($J53="Base Period",BE53,IF($J53="Adjusted",SUMIF('Input 15_Fcst Inputs'!$A:$A,$D53,'Input 15_Fcst Inputs'!$G:$G)/12))))),0)</f>
        <v>175303.62923554654</v>
      </c>
      <c r="BR53" s="483">
        <f>IFERROR(IF($J53="Historical Average",INDEX('Monthly UPC'!$CM$2:$DJ$65,MATCH($D53,'Monthly UPC'!$D$2:$D$65,0),MATCH(BR$1,'Monthly UPC'!$CM$1:$DJ$1))*(INDEX('Monthly CUST'!$N$2:$CG$65,MATCH($D53,'Monthly CUST'!$D$2:$D$65,0),MATCH(BR$1,'Monthly CUST'!$N$1:$CG$1,0))),IF($J53="UPC Growth Rate",((BF53/INDEX('Monthly CUST'!$N$2:$CG$65,MATCH($D53,'Monthly CUST'!$D$2:$D$65,0),MATCH(BF$1,'Monthly CUST'!$N$1:$CG$1,0)))*(1+$L53)*INDEX('Monthly CUST'!$N$2:$CG$65,MATCH($D53,'Monthly CUST'!$D$2:$D$65,0),MATCH(BR$1,'Monthly CUST'!$N$1:$CG$1,0))),IF($J53="Modeled UPC",INDEX('Monthly CUST'!$N$2:$CG$65,MATCH($D53,'Monthly CUST'!$D$2:$D$65,0),MATCH(BR$1,'Monthly CUST'!$N$1:$CG$1,0))/12*$M53,IF($J53="Base Period",BF53,IF($J53="Adjusted",SUMIF('Input 15_Fcst Inputs'!$A:$A,$D53,'Input 15_Fcst Inputs'!$G:$G)/12))))),0)</f>
        <v>183241.42982642609</v>
      </c>
      <c r="BS53" s="483">
        <f>IFERROR(IF($J53="Historical Average",INDEX('Monthly UPC'!$CM$2:$DJ$65,MATCH($D53,'Monthly UPC'!$D$2:$D$65,0),MATCH(BS$1,'Monthly UPC'!$CM$1:$DJ$1))*(INDEX('Monthly CUST'!$N$2:$CG$65,MATCH($D53,'Monthly CUST'!$D$2:$D$65,0),MATCH(BS$1,'Monthly CUST'!$N$1:$CG$1,0))),IF($J53="UPC Growth Rate",((BG53/INDEX('Monthly CUST'!$N$2:$CG$65,MATCH($D53,'Monthly CUST'!$D$2:$D$65,0),MATCH(BG$1,'Monthly CUST'!$N$1:$CG$1,0)))*(1+$L53)*INDEX('Monthly CUST'!$N$2:$CG$65,MATCH($D53,'Monthly CUST'!$D$2:$D$65,0),MATCH(BS$1,'Monthly CUST'!$N$1:$CG$1,0))),IF($J53="Modeled UPC",INDEX('Monthly CUST'!$N$2:$CG$65,MATCH($D53,'Monthly CUST'!$D$2:$D$65,0),MATCH(BS$1,'Monthly CUST'!$N$1:$CG$1,0))/12*$M53,IF($J53="Base Period",BG53,IF($J53="Adjusted",SUMIF('Input 15_Fcst Inputs'!$A:$A,$D53,'Input 15_Fcst Inputs'!$G:$G)/12))))),0)</f>
        <v>177689.05855149793</v>
      </c>
      <c r="BT53" s="483">
        <f>IFERROR(IF($J53="Historical Average",INDEX('Monthly UPC'!$CM$2:$DJ$65,MATCH($D53,'Monthly UPC'!$D$2:$D$65,0),MATCH(BT$1,'Monthly UPC'!$CM$1:$DJ$1))*(INDEX('Monthly CUST'!$N$2:$CG$65,MATCH($D53,'Monthly CUST'!$D$2:$D$65,0),MATCH(BT$1,'Monthly CUST'!$N$1:$CG$1,0))),IF($J53="UPC Growth Rate",((BH53/INDEX('Monthly CUST'!$N$2:$CG$65,MATCH($D53,'Monthly CUST'!$D$2:$D$65,0),MATCH(BH$1,'Monthly CUST'!$N$1:$CG$1,0)))*(1+$L53)*INDEX('Monthly CUST'!$N$2:$CG$65,MATCH($D53,'Monthly CUST'!$D$2:$D$65,0),MATCH(BT$1,'Monthly CUST'!$N$1:$CG$1,0))),IF($J53="Modeled UPC",INDEX('Monthly CUST'!$N$2:$CG$65,MATCH($D53,'Monthly CUST'!$D$2:$D$65,0),MATCH(BT$1,'Monthly CUST'!$N$1:$CG$1,0))/12*$M53,IF($J53="Base Period",BH53,IF($J53="Adjusted",SUMIF('Input 15_Fcst Inputs'!$A:$A,$D53,'Input 15_Fcst Inputs'!$G:$G)/12))))),0)</f>
        <v>179848.07457107052</v>
      </c>
      <c r="BU53" s="483">
        <f>IFERROR(IF($J53="Historical Average",INDEX('Monthly UPC'!$CM$2:$DJ$65,MATCH($D53,'Monthly UPC'!$D$2:$D$65,0),MATCH(BU$1,'Monthly UPC'!$CM$1:$DJ$1))*(INDEX('Monthly CUST'!$N$2:$CG$65,MATCH($D53,'Monthly CUST'!$D$2:$D$65,0),MATCH(BU$1,'Monthly CUST'!$N$1:$CG$1,0))),IF($J53="UPC Growth Rate",((BI53/INDEX('Monthly CUST'!$N$2:$CG$65,MATCH($D53,'Monthly CUST'!$D$2:$D$65,0),MATCH(BI$1,'Monthly CUST'!$N$1:$CG$1,0)))*(1+$L53)*INDEX('Monthly CUST'!$N$2:$CG$65,MATCH($D53,'Monthly CUST'!$D$2:$D$65,0),MATCH(BU$1,'Monthly CUST'!$N$1:$CG$1,0))),IF($J53="Modeled UPC",INDEX('Monthly CUST'!$N$2:$CG$65,MATCH($D53,'Monthly CUST'!$D$2:$D$65,0),MATCH(BU$1,'Monthly CUST'!$N$1:$CG$1,0))/12*$M53,IF($J53="Base Period",BI53,IF($J53="Adjusted",SUMIF('Input 15_Fcst Inputs'!$A:$A,$D53,'Input 15_Fcst Inputs'!$G:$G)/12))))),0)</f>
        <v>240739.74877403601</v>
      </c>
      <c r="BV53" s="483">
        <f>IFERROR(IF($J53="Historical Average",INDEX('Monthly UPC'!$CM$2:$DJ$65,MATCH($D53,'Monthly UPC'!$D$2:$D$65,0),MATCH(BV$1,'Monthly UPC'!$CM$1:$DJ$1))*(INDEX('Monthly CUST'!$N$2:$CG$65,MATCH($D53,'Monthly CUST'!$D$2:$D$65,0),MATCH(BV$1,'Monthly CUST'!$N$1:$CG$1,0))),IF($J53="UPC Growth Rate",((BJ53/INDEX('Monthly CUST'!$N$2:$CG$65,MATCH($D53,'Monthly CUST'!$D$2:$D$65,0),MATCH(BJ$1,'Monthly CUST'!$N$1:$CG$1,0)))*(1+$L53)*INDEX('Monthly CUST'!$N$2:$CG$65,MATCH($D53,'Monthly CUST'!$D$2:$D$65,0),MATCH(BV$1,'Monthly CUST'!$N$1:$CG$1,0))),IF($J53="Modeled UPC",INDEX('Monthly CUST'!$N$2:$CG$65,MATCH($D53,'Monthly CUST'!$D$2:$D$65,0),MATCH(BV$1,'Monthly CUST'!$N$1:$CG$1,0))/12*$M53,IF($J53="Base Period",BJ53,IF($J53="Adjusted",SUMIF('Input 15_Fcst Inputs'!$A:$A,$D53,'Input 15_Fcst Inputs'!$G:$G)/12))))),0)</f>
        <v>224520.68478361296</v>
      </c>
      <c r="BW53" s="483">
        <f>IFERROR(IF($J53="Historical Average",INDEX('Monthly UPC'!$CM$2:$DJ$65,MATCH($D53,'Monthly UPC'!$D$2:$D$65,0),MATCH(BW$1,'Monthly UPC'!$CM$1:$DJ$1))*(INDEX('Monthly CUST'!$N$2:$CG$65,MATCH($D53,'Monthly CUST'!$D$2:$D$65,0),MATCH(BW$1,'Monthly CUST'!$N$1:$CG$1,0))),IF($J53="UPC Growth Rate",((BK53/INDEX('Monthly CUST'!$N$2:$CG$65,MATCH($D53,'Monthly CUST'!$D$2:$D$65,0),MATCH(BK$1,'Monthly CUST'!$N$1:$CG$1,0)))*(1+$L53)*INDEX('Monthly CUST'!$N$2:$CG$65,MATCH($D53,'Monthly CUST'!$D$2:$D$65,0),MATCH(BW$1,'Monthly CUST'!$N$1:$CG$1,0))),IF($J53="Modeled UPC",INDEX('Monthly CUST'!$N$2:$CG$65,MATCH($D53,'Monthly CUST'!$D$2:$D$65,0),MATCH(BW$1,'Monthly CUST'!$N$1:$CG$1,0))/12*$M53,IF($J53="Base Period",BK53,IF($J53="Adjusted",SUMIF('Input 15_Fcst Inputs'!$A:$A,$D53,'Input 15_Fcst Inputs'!$G:$G)/12))))),0)</f>
        <v>184136.2277821246</v>
      </c>
      <c r="BX53" s="483">
        <f>IFERROR(IF($J53="Historical Average",INDEX('Monthly UPC'!$CM$2:$DJ$65,MATCH($D53,'Monthly UPC'!$D$2:$D$65,0),MATCH(BX$1,'Monthly UPC'!$CM$1:$DJ$1))*(INDEX('Monthly CUST'!$N$2:$CG$65,MATCH($D53,'Monthly CUST'!$D$2:$D$65,0),MATCH(BX$1,'Monthly CUST'!$N$1:$CG$1,0))),IF($J53="UPC Growth Rate",((BL53/INDEX('Monthly CUST'!$N$2:$CG$65,MATCH($D53,'Monthly CUST'!$D$2:$D$65,0),MATCH(BL$1,'Monthly CUST'!$N$1:$CG$1,0)))*(1+$L53)*INDEX('Monthly CUST'!$N$2:$CG$65,MATCH($D53,'Monthly CUST'!$D$2:$D$65,0),MATCH(BX$1,'Monthly CUST'!$N$1:$CG$1,0))),IF($J53="Modeled UPC",INDEX('Monthly CUST'!$N$2:$CG$65,MATCH($D53,'Monthly CUST'!$D$2:$D$65,0),MATCH(BX$1,'Monthly CUST'!$N$1:$CG$1,0))/12*$M53,IF($J53="Base Period",BL53,IF($J53="Adjusted",SUMIF('Input 15_Fcst Inputs'!$A:$A,$D53,'Input 15_Fcst Inputs'!$G:$G)/12))))),0)</f>
        <v>198147.8105740734</v>
      </c>
      <c r="BY53" s="483">
        <f>IFERROR(IF($J53="Historical Average",INDEX('Monthly UPC'!$CM$2:$DJ$65,MATCH($D53,'Monthly UPC'!$D$2:$D$65,0),MATCH(BY$1,'Monthly UPC'!$CM$1:$DJ$1))*(INDEX('Monthly CUST'!$N$2:$CG$65,MATCH($D53,'Monthly CUST'!$D$2:$D$65,0),MATCH(BY$1,'Monthly CUST'!$N$1:$CG$1,0))),IF($J53="UPC Growth Rate",((BM53/INDEX('Monthly CUST'!$N$2:$CG$65,MATCH($D53,'Monthly CUST'!$D$2:$D$65,0),MATCH(BM$1,'Monthly CUST'!$N$1:$CG$1,0)))*(1+$L53)*INDEX('Monthly CUST'!$N$2:$CG$65,MATCH($D53,'Monthly CUST'!$D$2:$D$65,0),MATCH(BY$1,'Monthly CUST'!$N$1:$CG$1,0))),IF($J53="Modeled UPC",INDEX('Monthly CUST'!$N$2:$CG$65,MATCH($D53,'Monthly CUST'!$D$2:$D$65,0),MATCH(BY$1,'Monthly CUST'!$N$1:$CG$1,0))/12*$M53,IF($J53="Base Period",BM53,IF($J53="Adjusted",SUMIF('Input 15_Fcst Inputs'!$A:$A,$D53,'Input 15_Fcst Inputs'!$G:$G)/12))))),0)</f>
        <v>216589.97261892247</v>
      </c>
      <c r="BZ53" s="483">
        <f>IFERROR(IF($J53="Historical Average",INDEX('Monthly UPC'!$CM$2:$DJ$65,MATCH($D53,'Monthly UPC'!$D$2:$D$65,0),MATCH(BZ$1,'Monthly UPC'!$CM$1:$DJ$1))*(INDEX('Monthly CUST'!$N$2:$CG$65,MATCH($D53,'Monthly CUST'!$D$2:$D$65,0),MATCH(BZ$1,'Monthly CUST'!$N$1:$CG$1,0))),IF($J53="UPC Growth Rate",((BN53/INDEX('Monthly CUST'!$N$2:$CG$65,MATCH($D53,'Monthly CUST'!$D$2:$D$65,0),MATCH(BN$1,'Monthly CUST'!$N$1:$CG$1,0)))*(1+$L53)*INDEX('Monthly CUST'!$N$2:$CG$65,MATCH($D53,'Monthly CUST'!$D$2:$D$65,0),MATCH(BZ$1,'Monthly CUST'!$N$1:$CG$1,0))),IF($J53="Modeled UPC",INDEX('Monthly CUST'!$N$2:$CG$65,MATCH($D53,'Monthly CUST'!$D$2:$D$65,0),MATCH(BZ$1,'Monthly CUST'!$N$1:$CG$1,0))/12*$M53,IF($J53="Base Period",BN53,IF($J53="Adjusted",SUMIF('Input 15_Fcst Inputs'!$A:$A,$D53,'Input 15_Fcst Inputs'!$G:$G)/12))))),0)</f>
        <v>178954.26753854446</v>
      </c>
      <c r="CA53" s="483">
        <f>IFERROR(IF($J53="Historical Average",INDEX('Monthly UPC'!$CM$2:$DJ$65,MATCH($D53,'Monthly UPC'!$D$2:$D$65,0),MATCH(CA$1,'Monthly UPC'!$CM$1:$DJ$1))*(INDEX('Monthly CUST'!$N$2:$CG$65,MATCH($D53,'Monthly CUST'!$D$2:$D$65,0),MATCH(CA$1,'Monthly CUST'!$N$1:$CG$1,0))),IF($J53="UPC Growth Rate",((BO53/INDEX('Monthly CUST'!$N$2:$CG$65,MATCH($D53,'Monthly CUST'!$D$2:$D$65,0),MATCH(BO$1,'Monthly CUST'!$N$1:$CG$1,0)))*(1+$L53)*INDEX('Monthly CUST'!$N$2:$CG$65,MATCH($D53,'Monthly CUST'!$D$2:$D$65,0),MATCH(CA$1,'Monthly CUST'!$N$1:$CG$1,0))),IF($J53="Modeled UPC",INDEX('Monthly CUST'!$N$2:$CG$65,MATCH($D53,'Monthly CUST'!$D$2:$D$65,0),MATCH(CA$1,'Monthly CUST'!$N$1:$CG$1,0))/12*$M53,IF($J53="Base Period",BO53,IF($J53="Adjusted",SUMIF('Input 15_Fcst Inputs'!$A:$A,$D53,'Input 15_Fcst Inputs'!$G:$G)/12))))),0)</f>
        <v>177869.59913042322</v>
      </c>
      <c r="CB53" s="483">
        <f>IFERROR(IF($J53="Historical Average",INDEX('Monthly UPC'!$CM$2:$DJ$65,MATCH($D53,'Monthly UPC'!$D$2:$D$65,0),MATCH(CB$1,'Monthly UPC'!$CM$1:$DJ$1))*(INDEX('Monthly CUST'!$N$2:$CG$65,MATCH($D53,'Monthly CUST'!$D$2:$D$65,0),MATCH(CB$1,'Monthly CUST'!$N$1:$CG$1,0))),IF($J53="UPC Growth Rate",((BP53/INDEX('Monthly CUST'!$N$2:$CG$65,MATCH($D53,'Monthly CUST'!$D$2:$D$65,0),MATCH(BP$1,'Monthly CUST'!$N$1:$CG$1,0)))*(1+$L53)*INDEX('Monthly CUST'!$N$2:$CG$65,MATCH($D53,'Monthly CUST'!$D$2:$D$65,0),MATCH(CB$1,'Monthly CUST'!$N$1:$CG$1,0))),IF($J53="Modeled UPC",INDEX('Monthly CUST'!$N$2:$CG$65,MATCH($D53,'Monthly CUST'!$D$2:$D$65,0),MATCH(CB$1,'Monthly CUST'!$N$1:$CG$1,0))/12*$M53,IF($J53="Base Period",BP53,IF($J53="Adjusted",SUMIF('Input 15_Fcst Inputs'!$A:$A,$D53,'Input 15_Fcst Inputs'!$G:$G)/12))))),0)</f>
        <v>180220.81008937364</v>
      </c>
      <c r="CC53" s="483">
        <f>IFERROR(IF($J53="Historical Average",INDEX('Monthly UPC'!$CM$2:$DJ$65,MATCH($D53,'Monthly UPC'!$D$2:$D$65,0),MATCH(CC$1,'Monthly UPC'!$CM$1:$DJ$1))*(INDEX('Monthly CUST'!$N$2:$CG$65,MATCH($D53,'Monthly CUST'!$D$2:$D$65,0),MATCH(CC$1,'Monthly CUST'!$N$1:$CG$1,0))),IF($J53="UPC Growth Rate",((BQ53/INDEX('Monthly CUST'!$N$2:$CG$65,MATCH($D53,'Monthly CUST'!$D$2:$D$65,0),MATCH(BQ$1,'Monthly CUST'!$N$1:$CG$1,0)))*(1+$L53)*INDEX('Monthly CUST'!$N$2:$CG$65,MATCH($D53,'Monthly CUST'!$D$2:$D$65,0),MATCH(CC$1,'Monthly CUST'!$N$1:$CG$1,0))),IF($J53="Modeled UPC",INDEX('Monthly CUST'!$N$2:$CG$65,MATCH($D53,'Monthly CUST'!$D$2:$D$65,0),MATCH(CC$1,'Monthly CUST'!$N$1:$CG$1,0))/12*$M53,IF($J53="Base Period",BQ53,IF($J53="Adjusted",SUMIF('Input 15_Fcst Inputs'!$A:$A,$D53,'Input 15_Fcst Inputs'!$G:$G)/12))))),0)</f>
        <v>172524.87421711237</v>
      </c>
      <c r="CD53" s="483">
        <f>IFERROR(IF($J53="Historical Average",INDEX('Monthly UPC'!$CM$2:$DJ$65,MATCH($D53,'Monthly UPC'!$D$2:$D$65,0),MATCH(CD$1,'Monthly UPC'!$CM$1:$DJ$1))*(INDEX('Monthly CUST'!$N$2:$CG$65,MATCH($D53,'Monthly CUST'!$D$2:$D$65,0),MATCH(CD$1,'Monthly CUST'!$N$1:$CG$1,0))),IF($J53="UPC Growth Rate",((BR53/INDEX('Monthly CUST'!$N$2:$CG$65,MATCH($D53,'Monthly CUST'!$D$2:$D$65,0),MATCH(BR$1,'Monthly CUST'!$N$1:$CG$1,0)))*(1+$L53)*INDEX('Monthly CUST'!$N$2:$CG$65,MATCH($D53,'Monthly CUST'!$D$2:$D$65,0),MATCH(CD$1,'Monthly CUST'!$N$1:$CG$1,0))),IF($J53="Modeled UPC",INDEX('Monthly CUST'!$N$2:$CG$65,MATCH($D53,'Monthly CUST'!$D$2:$D$65,0),MATCH(CD$1,'Monthly CUST'!$N$1:$CG$1,0))/12*$M53,IF($J53="Base Period",BR53,IF($J53="Adjusted",SUMIF('Input 15_Fcst Inputs'!$A:$A,$D53,'Input 15_Fcst Inputs'!$G:$G)/12))))),0)</f>
        <v>180336.85195239322</v>
      </c>
      <c r="CE53" s="483">
        <f>IFERROR(IF($J53="Historical Average",INDEX('Monthly UPC'!$CM$2:$DJ$65,MATCH($D53,'Monthly UPC'!$D$2:$D$65,0),MATCH(CE$1,'Monthly UPC'!$CM$1:$DJ$1))*(INDEX('Monthly CUST'!$N$2:$CG$65,MATCH($D53,'Monthly CUST'!$D$2:$D$65,0),MATCH(CE$1,'Monthly CUST'!$N$1:$CG$1,0))),IF($J53="UPC Growth Rate",((BS53/INDEX('Monthly CUST'!$N$2:$CG$65,MATCH($D53,'Monthly CUST'!$D$2:$D$65,0),MATCH(BS$1,'Monthly CUST'!$N$1:$CG$1,0)))*(1+$L53)*INDEX('Monthly CUST'!$N$2:$CG$65,MATCH($D53,'Monthly CUST'!$D$2:$D$65,0),MATCH(CE$1,'Monthly CUST'!$N$1:$CG$1,0))),IF($J53="Modeled UPC",INDEX('Monthly CUST'!$N$2:$CG$65,MATCH($D53,'Monthly CUST'!$D$2:$D$65,0),MATCH(CE$1,'Monthly CUST'!$N$1:$CG$1,0))/12*$M53,IF($J53="Base Period",BS53,IF($J53="Adjusted",SUMIF('Input 15_Fcst Inputs'!$A:$A,$D53,'Input 15_Fcst Inputs'!$G:$G)/12))))),0)</f>
        <v>174872.49185904584</v>
      </c>
      <c r="CF53" s="483">
        <f>IFERROR(IF($J53="Historical Average",INDEX('Monthly UPC'!$CM$2:$DJ$65,MATCH($D53,'Monthly UPC'!$D$2:$D$65,0),MATCH(CF$1,'Monthly UPC'!$CM$1:$DJ$1))*(INDEX('Monthly CUST'!$N$2:$CG$65,MATCH($D53,'Monthly CUST'!$D$2:$D$65,0),MATCH(CF$1,'Monthly CUST'!$N$1:$CG$1,0))),IF($J53="UPC Growth Rate",((BT53/INDEX('Monthly CUST'!$N$2:$CG$65,MATCH($D53,'Monthly CUST'!$D$2:$D$65,0),MATCH(BT$1,'Monthly CUST'!$N$1:$CG$1,0)))*(1+$L53)*INDEX('Monthly CUST'!$N$2:$CG$65,MATCH($D53,'Monthly CUST'!$D$2:$D$65,0),MATCH(CF$1,'Monthly CUST'!$N$1:$CG$1,0))),IF($J53="Modeled UPC",INDEX('Monthly CUST'!$N$2:$CG$65,MATCH($D53,'Monthly CUST'!$D$2:$D$65,0),MATCH(CF$1,'Monthly CUST'!$N$1:$CG$1,0))/12*$M53,IF($J53="Base Period",BT53,IF($J53="Adjusted",SUMIF('Input 15_Fcst Inputs'!$A:$A,$D53,'Input 15_Fcst Inputs'!$G:$G)/12))))),0)</f>
        <v>176997.28510396491</v>
      </c>
      <c r="CG53" s="483">
        <f>IFERROR(IF($J53="Historical Average",INDEX('Monthly UPC'!$CM$2:$DJ$65,MATCH($D53,'Monthly UPC'!$D$2:$D$65,0),MATCH(CG$1,'Monthly UPC'!$CM$1:$DJ$1))*(INDEX('Monthly CUST'!$N$2:$CG$65,MATCH($D53,'Monthly CUST'!$D$2:$D$65,0),MATCH(CG$1,'Monthly CUST'!$N$1:$CG$1,0))),IF($J53="UPC Growth Rate",((BU53/INDEX('Monthly CUST'!$N$2:$CG$65,MATCH($D53,'Monthly CUST'!$D$2:$D$65,0),MATCH(BU$1,'Monthly CUST'!$N$1:$CG$1,0)))*(1+$L53)*INDEX('Monthly CUST'!$N$2:$CG$65,MATCH($D53,'Monthly CUST'!$D$2:$D$65,0),MATCH(CG$1,'Monthly CUST'!$N$1:$CG$1,0))),IF($J53="Modeled UPC",INDEX('Monthly CUST'!$N$2:$CG$65,MATCH($D53,'Monthly CUST'!$D$2:$D$65,0),MATCH(CG$1,'Monthly CUST'!$N$1:$CG$1,0))/12*$M53,IF($J53="Base Period",BU53,IF($J53="Adjusted",SUMIF('Input 15_Fcst Inputs'!$A:$A,$D53,'Input 15_Fcst Inputs'!$G:$G)/12))))),0)</f>
        <v>236923.75940770301</v>
      </c>
      <c r="CH53" s="197"/>
      <c r="CI53" s="197">
        <f t="shared" si="8"/>
        <v>2421904.8499999996</v>
      </c>
      <c r="CJ53" s="197">
        <f t="shared" si="9"/>
        <v>2375136</v>
      </c>
      <c r="CK53" s="197">
        <f t="shared" si="10"/>
        <v>2187651.4499999997</v>
      </c>
      <c r="CL53" s="197">
        <f t="shared" si="11"/>
        <v>2376848.7600000002</v>
      </c>
      <c r="CM53" s="197">
        <f t="shared" si="12"/>
        <v>2339173.0972158904</v>
      </c>
      <c r="CN53" s="197">
        <f t="shared" si="13"/>
        <v>2302094.6350572943</v>
      </c>
      <c r="CP53" s="4">
        <f>SUMIF('Master '!D:D,D53,'Master '!AH:AH)</f>
        <v>2339173.0972158909</v>
      </c>
      <c r="CQ53" s="4">
        <f>SUMIF('Master '!D:D,D53,'Master '!AI:AI)</f>
        <v>2302094.6350572947</v>
      </c>
      <c r="CR53" s="197">
        <f t="shared" si="14"/>
        <v>0</v>
      </c>
      <c r="CS53" s="197">
        <f t="shared" si="15"/>
        <v>0</v>
      </c>
      <c r="CT53" t="s">
        <v>287</v>
      </c>
      <c r="CV53" t="str">
        <f>VLOOKUP(G53,'Master '!G:CC,75,FALSE)</f>
        <v>FTS-3.1</v>
      </c>
    </row>
    <row r="54" spans="1:100">
      <c r="A54" s="53" t="s">
        <v>17</v>
      </c>
      <c r="B54" s="53" t="s">
        <v>993</v>
      </c>
      <c r="C54" s="53" t="s">
        <v>1245</v>
      </c>
      <c r="D54" s="53" t="s">
        <v>1302</v>
      </c>
      <c r="E54" s="53" t="str">
        <f>VLOOKUP(D54,'Input 14_Ref Table'!C:D,2,FALSE)</f>
        <v>CC826</v>
      </c>
      <c r="F54" s="143" t="s">
        <v>1287</v>
      </c>
      <c r="G54" s="53" t="str">
        <f>VLOOKUP(D54,'Input 14_Ref Table'!C:I,7,FALSE)</f>
        <v>CFG - FTS-3.1 - Fixed NR</v>
      </c>
      <c r="H54" s="53" t="str">
        <f>VLOOKUP(D54,'Input 14_Ref Table'!C:K,8,FALSE)</f>
        <v>FTS3.1</v>
      </c>
      <c r="I54" s="53"/>
      <c r="J54" t="str">
        <f>INDEX('Master '!$AD$2:AD$65,MATCH(D54,'Master '!$D$2:$D$65,0))</f>
        <v>UPC Growth Rate</v>
      </c>
      <c r="K54" s="458">
        <f>INDEX('Master '!$N$2:N$65,MATCH(D54,'Master '!$D$2:$D$65,0))</f>
        <v>-1.0532413897830479E-2</v>
      </c>
      <c r="L54" s="137">
        <f>INDEX('Master '!$S$2:S$65,MATCH(D54,'Master '!$D$2:$D$65,0))</f>
        <v>-5.3752990430621737E-3</v>
      </c>
      <c r="M54" s="4">
        <f>INDEX('Master '!$W$2:W$65,MATCH(D54,'Master '!$D$2:$D$65,0))</f>
        <v>6652.05</v>
      </c>
      <c r="N54" s="268">
        <f>SUMIF('Input 16.1_2018VOL-YTD'!$R:$R,$G54,'Input 16.1_2018VOL-YTD'!C:C)</f>
        <v>4915.22</v>
      </c>
      <c r="O54" s="268">
        <f>SUMIF('Input 16.1_2018VOL-YTD'!$R:$R,$G54,'Input 16.1_2018VOL-YTD'!D:D)</f>
        <v>5077.0200000000004</v>
      </c>
      <c r="P54" s="268">
        <f>SUMIF('Input 16.1_2018VOL-YTD'!$R:$R,$G54,'Input 16.1_2018VOL-YTD'!E:E)</f>
        <v>5025.3999999999996</v>
      </c>
      <c r="Q54" s="268">
        <f>SUMIF('Input 16.1_2018VOL-YTD'!$R:$R,$G54,'Input 16.1_2018VOL-YTD'!F:F)</f>
        <v>4565.54</v>
      </c>
      <c r="R54" s="268">
        <f>SUMIF('Input 16.1_2018VOL-YTD'!$R:$R,$G54,'Input 16.1_2018VOL-YTD'!G:G)</f>
        <v>3874.1</v>
      </c>
      <c r="S54" s="268">
        <f>SUMIF('Input 16.1_2018VOL-YTD'!$R:$R,$G54,'Input 16.1_2018VOL-YTD'!H:H)</f>
        <v>4162.26</v>
      </c>
      <c r="T54" s="268">
        <f>SUMIF('Input 16.1_2018VOL-YTD'!$R:$R,$G54,'Input 16.1_2018VOL-YTD'!I:I)</f>
        <v>3631</v>
      </c>
      <c r="U54" s="268">
        <f>SUMIF('Input 16.1_2018VOL-YTD'!$R:$R,$G54,'Input 16.1_2018VOL-YTD'!J:J)</f>
        <v>3844.73</v>
      </c>
      <c r="V54" s="268">
        <f>SUMIF('Input 16.1_2018VOL-YTD'!$R:$R,$G54,'Input 16.1_2018VOL-YTD'!K:K)</f>
        <v>4005</v>
      </c>
      <c r="W54" s="268">
        <f>SUMIF('Input 16.1_2018VOL-YTD'!$R:$R,$G54,'Input 16.1_2018VOL-YTD'!L:L)</f>
        <v>3561.53</v>
      </c>
      <c r="X54" s="268">
        <f>SUMIF('Input 16.1_2018VOL-YTD'!$R:$R,$G54,'Input 16.1_2018VOL-YTD'!M:M)</f>
        <v>4330.8</v>
      </c>
      <c r="Y54" s="268">
        <f>SUMIF('Input 16.1_2018VOL-YTD'!$R:$R,$G54,'Input 16.1_2018VOL-YTD'!N:N)</f>
        <v>4059.4</v>
      </c>
      <c r="Z54" s="268">
        <f>SUMIF('Input 3.1_2019VOL-YTD'!$R:$R,$G54,'Input 3.1_2019VOL-YTD'!C:C)</f>
        <v>3999.57</v>
      </c>
      <c r="AA54" s="268">
        <f>SUMIF('Input 3.1_2019VOL-YTD'!$R:$R,$G54,'Input 3.1_2019VOL-YTD'!D:D)</f>
        <v>4420.8599999999997</v>
      </c>
      <c r="AB54" s="268">
        <f>SUMIF('Input 3.1_2019VOL-YTD'!$R:$R,$G54,'Input 3.1_2019VOL-YTD'!E:E)</f>
        <v>3741.16</v>
      </c>
      <c r="AC54" s="268">
        <f>SUMIF('Input 3.1_2019VOL-YTD'!$R:$R,$G54,'Input 3.1_2019VOL-YTD'!F:F)</f>
        <v>4274.87</v>
      </c>
      <c r="AD54" s="268">
        <f>SUMIF('Input 3.1_2019VOL-YTD'!$R:$R,$G54,'Input 3.1_2019VOL-YTD'!G:G)</f>
        <v>3983.68</v>
      </c>
      <c r="AE54" s="268">
        <f>SUMIF('Input 3.1_2019VOL-YTD'!$R:$R,$G54,'Input 3.1_2019VOL-YTD'!H:H)</f>
        <v>3941.88</v>
      </c>
      <c r="AF54" s="268">
        <f>SUMIF('Input 3.1_2019VOL-YTD'!$R:$R,$G54,'Input 3.1_2019VOL-YTD'!I:I)</f>
        <v>3374.89</v>
      </c>
      <c r="AG54" s="268">
        <f>SUMIF('Input 3.1_2019VOL-YTD'!$R:$R,$G54,'Input 3.1_2019VOL-YTD'!J:J)</f>
        <v>3326.88</v>
      </c>
      <c r="AH54" s="268">
        <f>SUMIF('Input 3.1_2019VOL-YTD'!$R:$R,$G54,'Input 3.1_2019VOL-YTD'!K:K)</f>
        <v>3959.32</v>
      </c>
      <c r="AI54" s="268">
        <f>SUMIF('Input 3.1_2019VOL-YTD'!$R:$R,$G54,'Input 3.1_2019VOL-YTD'!L:L)</f>
        <v>3676.5</v>
      </c>
      <c r="AJ54" s="268">
        <f>SUMIF('Input 3.1_2019VOL-YTD'!$R:$R,$G54,'Input 3.1_2019VOL-YTD'!M:M)</f>
        <v>4169.34</v>
      </c>
      <c r="AK54" s="268">
        <f>SUMIF('Input 3.1_2019VOL-YTD'!$R:$R,$G54,'Input 3.1_2019VOL-YTD'!N:N)</f>
        <v>4020.7</v>
      </c>
      <c r="AL54" s="268">
        <f>SUMIF('Input 4.1_2020VOL-YTD'!$R:$R,$G54,'Input 4.1_2020VOL-YTD'!C:C)</f>
        <v>3969.03</v>
      </c>
      <c r="AM54" s="268">
        <f>SUMIF('Input 4.1_2020VOL-YTD'!$R:$R,$G54,'Input 4.1_2020VOL-YTD'!D:D)</f>
        <v>3923.83</v>
      </c>
      <c r="AN54" s="268">
        <f>SUMIF('Input 4.1_2020VOL-YTD'!$R:$R,$G54,'Input 4.1_2020VOL-YTD'!E:E)</f>
        <v>3620.65</v>
      </c>
      <c r="AO54" s="268">
        <f>SUMIF('Input 4.1_2020VOL-YTD'!$R:$R,$G54,'Input 4.1_2020VOL-YTD'!F:F)</f>
        <v>1578.54</v>
      </c>
      <c r="AP54" s="268">
        <f>SUMIF('Input 4.1_2020VOL-YTD'!$R:$R,$G54,'Input 4.1_2020VOL-YTD'!G:G)</f>
        <v>3003.8</v>
      </c>
      <c r="AQ54" s="268">
        <f>SUMIF('Input 4.1_2020VOL-YTD'!$R:$R,$G54,'Input 4.1_2020VOL-YTD'!H:H)</f>
        <v>3316.85</v>
      </c>
      <c r="AR54" s="268">
        <f>SUMIF('Input 4.1_2020VOL-YTD'!$R:$R,$G54,'Input 4.1_2020VOL-YTD'!I:I)</f>
        <v>3651.62</v>
      </c>
      <c r="AS54" s="268">
        <f>SUMIF('Input 4.1_2020VOL-YTD'!$R:$R,$G54,'Input 4.1_2020VOL-YTD'!J:J)</f>
        <v>2964.77</v>
      </c>
      <c r="AT54" s="268">
        <f>SUMIF('Input 4.1_2020VOL-YTD'!$R:$R,$G54,'Input 4.1_2020VOL-YTD'!K:K)</f>
        <v>3362.97</v>
      </c>
      <c r="AU54" s="268">
        <f>SUMIF('Input 4.1_2020VOL-YTD'!$R:$R,$G54,'Input 4.1_2020VOL-YTD'!L:L)</f>
        <v>3649.05</v>
      </c>
      <c r="AV54" s="268">
        <f>SUMIF('Input 4.1_2020VOL-YTD'!$R:$R,$G54,'Input 4.1_2020VOL-YTD'!M:M)</f>
        <v>3791.27</v>
      </c>
      <c r="AW54" s="268">
        <f>SUMIF('Input 4.1_2020VOL-YTD'!$R:$R,$G54,'Input 4.1_2020VOL-YTD'!N:N)</f>
        <v>3453.44</v>
      </c>
      <c r="AX54" s="268">
        <f>SUMIF('Input 5.1_2021VOL-YTD'!$R:$R,$G54,'Input 5.1_2021VOL-YTD'!C:C)</f>
        <v>4863.43</v>
      </c>
      <c r="AY54" s="268">
        <f>SUMIF('Input 5.1_2021VOL-YTD'!$R:$R,$G54,'Input 5.1_2021VOL-YTD'!D:D)</f>
        <v>3675.86</v>
      </c>
      <c r="AZ54" s="268">
        <f>SUMIF('Input 5.1_2021VOL-YTD'!$R:$R,$G54,'Input 5.1_2021VOL-YTD'!E:E)</f>
        <v>4042.47</v>
      </c>
      <c r="BA54" s="268">
        <f>SUMIF('Input 5.1_2021VOL-YTD'!$R:$R,$G54,'Input 5.1_2021VOL-YTD'!F:F)</f>
        <v>3821.95</v>
      </c>
      <c r="BB54" s="268">
        <f>SUMIF('Input 5.1_2021VOL-YTD'!$R:$R,$G54,'Input 5.1_2021VOL-YTD'!G:G)</f>
        <v>3467.36</v>
      </c>
      <c r="BC54" s="268">
        <f>SUMIF('Input 5.1_2021VOL-YTD'!$R:$R,$G54,'Input 5.1_2021VOL-YTD'!H:H)</f>
        <v>3616.92</v>
      </c>
      <c r="BD54" s="268">
        <f>SUMIF('Input 5.1_2021VOL-YTD'!$R:$R,$G54,'Input 5.1_2021VOL-YTD'!I:I)</f>
        <v>3704.97</v>
      </c>
      <c r="BE54" s="268">
        <f>SUMIF('Input 5.1_2021VOL-YTD'!$R:$R,$G54,'Input 5.1_2021VOL-YTD'!J:J)</f>
        <v>3014.32</v>
      </c>
      <c r="BF54" s="268">
        <f>SUMIF('Input 5.1_2021VOL-YTD'!$R:$R,$G54,'Input 5.1_2021VOL-YTD'!K:K)</f>
        <v>6564.54</v>
      </c>
      <c r="BG54" s="268">
        <f>SUMIF('Input 5.1_2021VOL-YTD'!$R:$R,$G54,'Input 5.1_2021VOL-YTD'!L:L)</f>
        <v>3445.84</v>
      </c>
      <c r="BH54" s="268">
        <f>SUMIF('Input 5.1_2021VOL-YTD'!$R:$R,$G54,'Input 5.1_2021VOL-YTD'!M:M)</f>
        <v>2797.31</v>
      </c>
      <c r="BI54" s="268">
        <f>SUMIF('Input 5.1_2021VOL-YTD'!$R:$R,$G54,'Input 5.1_2021VOL-YTD'!N:N)</f>
        <v>4527.55</v>
      </c>
      <c r="BJ54" s="483">
        <f>IFERROR(IF($J54="Historical Average",INDEX('Monthly UPC'!$CM$2:$DJ$65,MATCH($D54,'Monthly UPC'!$D$2:$D$65,0),MATCH(BJ$1,'Monthly UPC'!$CM$1:$DJ$1))*(INDEX('Monthly CUST'!$N$2:$CG$65,MATCH($D54,'Monthly CUST'!$D$2:$D$65,0),MATCH(BJ$1,'Monthly CUST'!$N$1:$CG$1,0))),IF($J54="UPC Growth Rate",((AX54/INDEX('Monthly CUST'!$N$2:$CG$65,MATCH($D54,'Monthly CUST'!$D$2:$D$65,0),MATCH(AX$1,'Monthly CUST'!$N$1:$CG$1,0)))*(1+$L54)*INDEX('Monthly CUST'!$N$2:$CG$65,MATCH($D54,'Monthly CUST'!$D$2:$D$65,0),MATCH(BJ$1,'Monthly CUST'!$N$1:$CG$1,0))),IF($J54="Modeled UPC",INDEX('Monthly CUST'!$N$2:$CG$65,MATCH($D54,'Monthly CUST'!$D$2:$D$65,0),MATCH(BJ$1,'Monthly CUST'!$N$1:$CG$1,0))/12*$M54,IF($J54="Base Period",AX54,IF($J54="Adjusted",SUMIF('Input 15_Fcst Inputs'!$A:$A,$D54,'Input 15_Fcst Inputs'!$G:$G)/12))))),0)</f>
        <v>4786.3392941302154</v>
      </c>
      <c r="BK54" s="483">
        <f>IFERROR(IF($J54="Historical Average",INDEX('Monthly UPC'!$CM$2:$DJ$65,MATCH($D54,'Monthly UPC'!$D$2:$D$65,0),MATCH(BK$1,'Monthly UPC'!$CM$1:$DJ$1))*(INDEX('Monthly CUST'!$N$2:$CG$65,MATCH($D54,'Monthly CUST'!$D$2:$D$65,0),MATCH(BK$1,'Monthly CUST'!$N$1:$CG$1,0))),IF($J54="UPC Growth Rate",((AY54/INDEX('Monthly CUST'!$N$2:$CG$65,MATCH($D54,'Monthly CUST'!$D$2:$D$65,0),MATCH(AY$1,'Monthly CUST'!$N$1:$CG$1,0)))*(1+$L54)*INDEX('Monthly CUST'!$N$2:$CG$65,MATCH($D54,'Monthly CUST'!$D$2:$D$65,0),MATCH(BK$1,'Monthly CUST'!$N$1:$CG$1,0))),IF($J54="Modeled UPC",INDEX('Monthly CUST'!$N$2:$CG$65,MATCH($D54,'Monthly CUST'!$D$2:$D$65,0),MATCH(BK$1,'Monthly CUST'!$N$1:$CG$1,0))/12*$M54,IF($J54="Base Period",AY54,IF($J54="Adjusted",SUMIF('Input 15_Fcst Inputs'!$A:$A,$D54,'Input 15_Fcst Inputs'!$G:$G)/12))))),0)</f>
        <v>3617.5935826611039</v>
      </c>
      <c r="BL54" s="483">
        <f>IFERROR(IF($J54="Historical Average",INDEX('Monthly UPC'!$CM$2:$DJ$65,MATCH($D54,'Monthly UPC'!$D$2:$D$65,0),MATCH(BL$1,'Monthly UPC'!$CM$1:$DJ$1))*(INDEX('Monthly CUST'!$N$2:$CG$65,MATCH($D54,'Monthly CUST'!$D$2:$D$65,0),MATCH(BL$1,'Monthly CUST'!$N$1:$CG$1,0))),IF($J54="UPC Growth Rate",((AZ54/INDEX('Monthly CUST'!$N$2:$CG$65,MATCH($D54,'Monthly CUST'!$D$2:$D$65,0),MATCH(AZ$1,'Monthly CUST'!$N$1:$CG$1,0)))*(1+$L54)*INDEX('Monthly CUST'!$N$2:$CG$65,MATCH($D54,'Monthly CUST'!$D$2:$D$65,0),MATCH(BL$1,'Monthly CUST'!$N$1:$CG$1,0))),IF($J54="Modeled UPC",INDEX('Monthly CUST'!$N$2:$CG$65,MATCH($D54,'Monthly CUST'!$D$2:$D$65,0),MATCH(BL$1,'Monthly CUST'!$N$1:$CG$1,0))/12*$M54,IF($J54="Base Period",AZ54,IF($J54="Adjusted",SUMIF('Input 15_Fcst Inputs'!$A:$A,$D54,'Input 15_Fcst Inputs'!$G:$G)/12))))),0)</f>
        <v>3978.3924115989275</v>
      </c>
      <c r="BM54" s="483">
        <f>IFERROR(IF($J54="Historical Average",INDEX('Monthly UPC'!$CM$2:$DJ$65,MATCH($D54,'Monthly UPC'!$D$2:$D$65,0),MATCH(BM$1,'Monthly UPC'!$CM$1:$DJ$1))*(INDEX('Monthly CUST'!$N$2:$CG$65,MATCH($D54,'Monthly CUST'!$D$2:$D$65,0),MATCH(BM$1,'Monthly CUST'!$N$1:$CG$1,0))),IF($J54="UPC Growth Rate",((BA54/INDEX('Monthly CUST'!$N$2:$CG$65,MATCH($D54,'Monthly CUST'!$D$2:$D$65,0),MATCH(BA$1,'Monthly CUST'!$N$1:$CG$1,0)))*(1+$L54)*INDEX('Monthly CUST'!$N$2:$CG$65,MATCH($D54,'Monthly CUST'!$D$2:$D$65,0),MATCH(BM$1,'Monthly CUST'!$N$1:$CG$1,0))),IF($J54="Modeled UPC",INDEX('Monthly CUST'!$N$2:$CG$65,MATCH($D54,'Monthly CUST'!$D$2:$D$65,0),MATCH(BM$1,'Monthly CUST'!$N$1:$CG$1,0))/12*$M54,IF($J54="Base Period",BA54,IF($J54="Adjusted",SUMIF('Input 15_Fcst Inputs'!$A:$A,$D54,'Input 15_Fcst Inputs'!$G:$G)/12))))),0)</f>
        <v>3761.3678957445627</v>
      </c>
      <c r="BN54" s="483">
        <f>IFERROR(IF($J54="Historical Average",INDEX('Monthly UPC'!$CM$2:$DJ$65,MATCH($D54,'Monthly UPC'!$D$2:$D$65,0),MATCH(BN$1,'Monthly UPC'!$CM$1:$DJ$1))*(INDEX('Monthly CUST'!$N$2:$CG$65,MATCH($D54,'Monthly CUST'!$D$2:$D$65,0),MATCH(BN$1,'Monthly CUST'!$N$1:$CG$1,0))),IF($J54="UPC Growth Rate",((BB54/INDEX('Monthly CUST'!$N$2:$CG$65,MATCH($D54,'Monthly CUST'!$D$2:$D$65,0),MATCH(BB$1,'Monthly CUST'!$N$1:$CG$1,0)))*(1+$L54)*INDEX('Monthly CUST'!$N$2:$CG$65,MATCH($D54,'Monthly CUST'!$D$2:$D$65,0),MATCH(BN$1,'Monthly CUST'!$N$1:$CG$1,0))),IF($J54="Modeled UPC",INDEX('Monthly CUST'!$N$2:$CG$65,MATCH($D54,'Monthly CUST'!$D$2:$D$65,0),MATCH(BN$1,'Monthly CUST'!$N$1:$CG$1,0))/12*$M54,IF($J54="Base Period",BB54,IF($J54="Adjusted",SUMIF('Input 15_Fcst Inputs'!$A:$A,$D54,'Input 15_Fcst Inputs'!$G:$G)/12))))),0)</f>
        <v>3412.3985366079787</v>
      </c>
      <c r="BO54" s="483">
        <f>IFERROR(IF($J54="Historical Average",INDEX('Monthly UPC'!$CM$2:$DJ$65,MATCH($D54,'Monthly UPC'!$D$2:$D$65,0),MATCH(BO$1,'Monthly UPC'!$CM$1:$DJ$1))*(INDEX('Monthly CUST'!$N$2:$CG$65,MATCH($D54,'Monthly CUST'!$D$2:$D$65,0),MATCH(BO$1,'Monthly CUST'!$N$1:$CG$1,0))),IF($J54="UPC Growth Rate",((BC54/INDEX('Monthly CUST'!$N$2:$CG$65,MATCH($D54,'Monthly CUST'!$D$2:$D$65,0),MATCH(BC$1,'Monthly CUST'!$N$1:$CG$1,0)))*(1+$L54)*INDEX('Monthly CUST'!$N$2:$CG$65,MATCH($D54,'Monthly CUST'!$D$2:$D$65,0),MATCH(BO$1,'Monthly CUST'!$N$1:$CG$1,0))),IF($J54="Modeled UPC",INDEX('Monthly CUST'!$N$2:$CG$65,MATCH($D54,'Monthly CUST'!$D$2:$D$65,0),MATCH(BO$1,'Monthly CUST'!$N$1:$CG$1,0))/12*$M54,IF($J54="Base Period",BC54,IF($J54="Adjusted",SUMIF('Input 15_Fcst Inputs'!$A:$A,$D54,'Input 15_Fcst Inputs'!$G:$G)/12))))),0)</f>
        <v>3559.5878463811464</v>
      </c>
      <c r="BP54" s="483">
        <f>IFERROR(IF($J54="Historical Average",INDEX('Monthly UPC'!$CM$2:$DJ$65,MATCH($D54,'Monthly UPC'!$D$2:$D$65,0),MATCH(BP$1,'Monthly UPC'!$CM$1:$DJ$1))*(INDEX('Monthly CUST'!$N$2:$CG$65,MATCH($D54,'Monthly CUST'!$D$2:$D$65,0),MATCH(BP$1,'Monthly CUST'!$N$1:$CG$1,0))),IF($J54="UPC Growth Rate",((BD54/INDEX('Monthly CUST'!$N$2:$CG$65,MATCH($D54,'Monthly CUST'!$D$2:$D$65,0),MATCH(BD$1,'Monthly CUST'!$N$1:$CG$1,0)))*(1+$L54)*INDEX('Monthly CUST'!$N$2:$CG$65,MATCH($D54,'Monthly CUST'!$D$2:$D$65,0),MATCH(BP$1,'Monthly CUST'!$N$1:$CG$1,0))),IF($J54="Modeled UPC",INDEX('Monthly CUST'!$N$2:$CG$65,MATCH($D54,'Monthly CUST'!$D$2:$D$65,0),MATCH(BP$1,'Monthly CUST'!$N$1:$CG$1,0))/12*$M54,IF($J54="Base Period",BD54,IF($J54="Adjusted",SUMIF('Input 15_Fcst Inputs'!$A:$A,$D54,'Input 15_Fcst Inputs'!$G:$G)/12))))),0)</f>
        <v>3646.2421571963873</v>
      </c>
      <c r="BQ54" s="483">
        <f>IFERROR(IF($J54="Historical Average",INDEX('Monthly UPC'!$CM$2:$DJ$65,MATCH($D54,'Monthly UPC'!$D$2:$D$65,0),MATCH(BQ$1,'Monthly UPC'!$CM$1:$DJ$1))*(INDEX('Monthly CUST'!$N$2:$CG$65,MATCH($D54,'Monthly CUST'!$D$2:$D$65,0),MATCH(BQ$1,'Monthly CUST'!$N$1:$CG$1,0))),IF($J54="UPC Growth Rate",((BE54/INDEX('Monthly CUST'!$N$2:$CG$65,MATCH($D54,'Monthly CUST'!$D$2:$D$65,0),MATCH(BE$1,'Monthly CUST'!$N$1:$CG$1,0)))*(1+$L54)*INDEX('Monthly CUST'!$N$2:$CG$65,MATCH($D54,'Monthly CUST'!$D$2:$D$65,0),MATCH(BQ$1,'Monthly CUST'!$N$1:$CG$1,0))),IF($J54="Modeled UPC",INDEX('Monthly CUST'!$N$2:$CG$65,MATCH($D54,'Monthly CUST'!$D$2:$D$65,0),MATCH(BQ$1,'Monthly CUST'!$N$1:$CG$1,0))/12*$M54,IF($J54="Base Period",BE54,IF($J54="Adjusted",SUMIF('Input 15_Fcst Inputs'!$A:$A,$D54,'Input 15_Fcst Inputs'!$G:$G)/12))))),0)</f>
        <v>2966.5397180760478</v>
      </c>
      <c r="BR54" s="483">
        <f>IFERROR(IF($J54="Historical Average",INDEX('Monthly UPC'!$CM$2:$DJ$65,MATCH($D54,'Monthly UPC'!$D$2:$D$65,0),MATCH(BR$1,'Monthly UPC'!$CM$1:$DJ$1))*(INDEX('Monthly CUST'!$N$2:$CG$65,MATCH($D54,'Monthly CUST'!$D$2:$D$65,0),MATCH(BR$1,'Monthly CUST'!$N$1:$CG$1,0))),IF($J54="UPC Growth Rate",((BF54/INDEX('Monthly CUST'!$N$2:$CG$65,MATCH($D54,'Monthly CUST'!$D$2:$D$65,0),MATCH(BF$1,'Monthly CUST'!$N$1:$CG$1,0)))*(1+$L54)*INDEX('Monthly CUST'!$N$2:$CG$65,MATCH($D54,'Monthly CUST'!$D$2:$D$65,0),MATCH(BR$1,'Monthly CUST'!$N$1:$CG$1,0))),IF($J54="Modeled UPC",INDEX('Monthly CUST'!$N$2:$CG$65,MATCH($D54,'Monthly CUST'!$D$2:$D$65,0),MATCH(BR$1,'Monthly CUST'!$N$1:$CG$1,0))/12*$M54,IF($J54="Base Period",BF54,IF($J54="Adjusted",SUMIF('Input 15_Fcst Inputs'!$A:$A,$D54,'Input 15_Fcst Inputs'!$G:$G)/12))))),0)</f>
        <v>6460.4848326982319</v>
      </c>
      <c r="BS54" s="483">
        <f>IFERROR(IF($J54="Historical Average",INDEX('Monthly UPC'!$CM$2:$DJ$65,MATCH($D54,'Monthly UPC'!$D$2:$D$65,0),MATCH(BS$1,'Monthly UPC'!$CM$1:$DJ$1))*(INDEX('Monthly CUST'!$N$2:$CG$65,MATCH($D54,'Monthly CUST'!$D$2:$D$65,0),MATCH(BS$1,'Monthly CUST'!$N$1:$CG$1,0))),IF($J54="UPC Growth Rate",((BG54/INDEX('Monthly CUST'!$N$2:$CG$65,MATCH($D54,'Monthly CUST'!$D$2:$D$65,0),MATCH(BG$1,'Monthly CUST'!$N$1:$CG$1,0)))*(1+$L54)*INDEX('Monthly CUST'!$N$2:$CG$65,MATCH($D54,'Monthly CUST'!$D$2:$D$65,0),MATCH(BS$1,'Monthly CUST'!$N$1:$CG$1,0))),IF($J54="Modeled UPC",INDEX('Monthly CUST'!$N$2:$CG$65,MATCH($D54,'Monthly CUST'!$D$2:$D$65,0),MATCH(BS$1,'Monthly CUST'!$N$1:$CG$1,0))/12*$M54,IF($J54="Base Period",BG54,IF($J54="Adjusted",SUMIF('Input 15_Fcst Inputs'!$A:$A,$D54,'Input 15_Fcst Inputs'!$G:$G)/12))))),0)</f>
        <v>3391.219652238372</v>
      </c>
      <c r="BT54" s="483">
        <f>IFERROR(IF($J54="Historical Average",INDEX('Monthly UPC'!$CM$2:$DJ$65,MATCH($D54,'Monthly UPC'!$D$2:$D$65,0),MATCH(BT$1,'Monthly UPC'!$CM$1:$DJ$1))*(INDEX('Monthly CUST'!$N$2:$CG$65,MATCH($D54,'Monthly CUST'!$D$2:$D$65,0),MATCH(BT$1,'Monthly CUST'!$N$1:$CG$1,0))),IF($J54="UPC Growth Rate",((BH54/INDEX('Monthly CUST'!$N$2:$CG$65,MATCH($D54,'Monthly CUST'!$D$2:$D$65,0),MATCH(BH$1,'Monthly CUST'!$N$1:$CG$1,0)))*(1+$L54)*INDEX('Monthly CUST'!$N$2:$CG$65,MATCH($D54,'Monthly CUST'!$D$2:$D$65,0),MATCH(BT$1,'Monthly CUST'!$N$1:$CG$1,0))),IF($J54="Modeled UPC",INDEX('Monthly CUST'!$N$2:$CG$65,MATCH($D54,'Monthly CUST'!$D$2:$D$65,0),MATCH(BT$1,'Monthly CUST'!$N$1:$CG$1,0))/12*$M54,IF($J54="Base Period",BH54,IF($J54="Adjusted",SUMIF('Input 15_Fcst Inputs'!$A:$A,$D54,'Input 15_Fcst Inputs'!$G:$G)/12))))),0)</f>
        <v>2752.9695648674683</v>
      </c>
      <c r="BU54" s="483">
        <f>IFERROR(IF($J54="Historical Average",INDEX('Monthly UPC'!$CM$2:$DJ$65,MATCH($D54,'Monthly UPC'!$D$2:$D$65,0),MATCH(BU$1,'Monthly UPC'!$CM$1:$DJ$1))*(INDEX('Monthly CUST'!$N$2:$CG$65,MATCH($D54,'Monthly CUST'!$D$2:$D$65,0),MATCH(BU$1,'Monthly CUST'!$N$1:$CG$1,0))),IF($J54="UPC Growth Rate",((BI54/INDEX('Monthly CUST'!$N$2:$CG$65,MATCH($D54,'Monthly CUST'!$D$2:$D$65,0),MATCH(BI$1,'Monthly CUST'!$N$1:$CG$1,0)))*(1+$L54)*INDEX('Monthly CUST'!$N$2:$CG$65,MATCH($D54,'Monthly CUST'!$D$2:$D$65,0),MATCH(BU$1,'Monthly CUST'!$N$1:$CG$1,0))),IF($J54="Modeled UPC",INDEX('Monthly CUST'!$N$2:$CG$65,MATCH($D54,'Monthly CUST'!$D$2:$D$65,0),MATCH(BU$1,'Monthly CUST'!$N$1:$CG$1,0))/12*$M54,IF($J54="Base Period",BI54,IF($J54="Adjusted",SUMIF('Input 15_Fcst Inputs'!$A:$A,$D54,'Input 15_Fcst Inputs'!$G:$G)/12))))),0)</f>
        <v>4455.7833609488071</v>
      </c>
      <c r="BV54" s="483">
        <f>IFERROR(IF($J54="Historical Average",INDEX('Monthly UPC'!$CM$2:$DJ$65,MATCH($D54,'Monthly UPC'!$D$2:$D$65,0),MATCH(BV$1,'Monthly UPC'!$CM$1:$DJ$1))*(INDEX('Monthly CUST'!$N$2:$CG$65,MATCH($D54,'Monthly CUST'!$D$2:$D$65,0),MATCH(BV$1,'Monthly CUST'!$N$1:$CG$1,0))),IF($J54="UPC Growth Rate",((BJ54/INDEX('Monthly CUST'!$N$2:$CG$65,MATCH($D54,'Monthly CUST'!$D$2:$D$65,0),MATCH(BJ$1,'Monthly CUST'!$N$1:$CG$1,0)))*(1+$L54)*INDEX('Monthly CUST'!$N$2:$CG$65,MATCH($D54,'Monthly CUST'!$D$2:$D$65,0),MATCH(BV$1,'Monthly CUST'!$N$1:$CG$1,0))),IF($J54="Modeled UPC",INDEX('Monthly CUST'!$N$2:$CG$65,MATCH($D54,'Monthly CUST'!$D$2:$D$65,0),MATCH(BV$1,'Monthly CUST'!$N$1:$CG$1,0))/12*$M54,IF($J54="Base Period",BJ54,IF($J54="Adjusted",SUMIF('Input 15_Fcst Inputs'!$A:$A,$D54,'Input 15_Fcst Inputs'!$G:$G)/12))))),0)</f>
        <v>4710.4705605991921</v>
      </c>
      <c r="BW54" s="483">
        <f>IFERROR(IF($J54="Historical Average",INDEX('Monthly UPC'!$CM$2:$DJ$65,MATCH($D54,'Monthly UPC'!$D$2:$D$65,0),MATCH(BW$1,'Monthly UPC'!$CM$1:$DJ$1))*(INDEX('Monthly CUST'!$N$2:$CG$65,MATCH($D54,'Monthly CUST'!$D$2:$D$65,0),MATCH(BW$1,'Monthly CUST'!$N$1:$CG$1,0))),IF($J54="UPC Growth Rate",((BK54/INDEX('Monthly CUST'!$N$2:$CG$65,MATCH($D54,'Monthly CUST'!$D$2:$D$65,0),MATCH(BK$1,'Monthly CUST'!$N$1:$CG$1,0)))*(1+$L54)*INDEX('Monthly CUST'!$N$2:$CG$65,MATCH($D54,'Monthly CUST'!$D$2:$D$65,0),MATCH(BW$1,'Monthly CUST'!$N$1:$CG$1,0))),IF($J54="Modeled UPC",INDEX('Monthly CUST'!$N$2:$CG$65,MATCH($D54,'Monthly CUST'!$D$2:$D$65,0),MATCH(BW$1,'Monthly CUST'!$N$1:$CG$1,0))/12*$M54,IF($J54="Base Period",BK54,IF($J54="Adjusted",SUMIF('Input 15_Fcst Inputs'!$A:$A,$D54,'Input 15_Fcst Inputs'!$G:$G)/12))))),0)</f>
        <v>3560.2507520174336</v>
      </c>
      <c r="BX54" s="483">
        <f>IFERROR(IF($J54="Historical Average",INDEX('Monthly UPC'!$CM$2:$DJ$65,MATCH($D54,'Monthly UPC'!$D$2:$D$65,0),MATCH(BX$1,'Monthly UPC'!$CM$1:$DJ$1))*(INDEX('Monthly CUST'!$N$2:$CG$65,MATCH($D54,'Monthly CUST'!$D$2:$D$65,0),MATCH(BX$1,'Monthly CUST'!$N$1:$CG$1,0))),IF($J54="UPC Growth Rate",((BL54/INDEX('Monthly CUST'!$N$2:$CG$65,MATCH($D54,'Monthly CUST'!$D$2:$D$65,0),MATCH(BL$1,'Monthly CUST'!$N$1:$CG$1,0)))*(1+$L54)*INDEX('Monthly CUST'!$N$2:$CG$65,MATCH($D54,'Monthly CUST'!$D$2:$D$65,0),MATCH(BX$1,'Monthly CUST'!$N$1:$CG$1,0))),IF($J54="Modeled UPC",INDEX('Monthly CUST'!$N$2:$CG$65,MATCH($D54,'Monthly CUST'!$D$2:$D$65,0),MATCH(BX$1,'Monthly CUST'!$N$1:$CG$1,0))/12*$M54,IF($J54="Base Period",BL54,IF($J54="Adjusted",SUMIF('Input 15_Fcst Inputs'!$A:$A,$D54,'Input 15_Fcst Inputs'!$G:$G)/12))))),0)</f>
        <v>3915.3305233354681</v>
      </c>
      <c r="BY54" s="483">
        <f>IFERROR(IF($J54="Historical Average",INDEX('Monthly UPC'!$CM$2:$DJ$65,MATCH($D54,'Monthly UPC'!$D$2:$D$65,0),MATCH(BY$1,'Monthly UPC'!$CM$1:$DJ$1))*(INDEX('Monthly CUST'!$N$2:$CG$65,MATCH($D54,'Monthly CUST'!$D$2:$D$65,0),MATCH(BY$1,'Monthly CUST'!$N$1:$CG$1,0))),IF($J54="UPC Growth Rate",((BM54/INDEX('Monthly CUST'!$N$2:$CG$65,MATCH($D54,'Monthly CUST'!$D$2:$D$65,0),MATCH(BM$1,'Monthly CUST'!$N$1:$CG$1,0)))*(1+$L54)*INDEX('Monthly CUST'!$N$2:$CG$65,MATCH($D54,'Monthly CUST'!$D$2:$D$65,0),MATCH(BY$1,'Monthly CUST'!$N$1:$CG$1,0))),IF($J54="Modeled UPC",INDEX('Monthly CUST'!$N$2:$CG$65,MATCH($D54,'Monthly CUST'!$D$2:$D$65,0),MATCH(BY$1,'Monthly CUST'!$N$1:$CG$1,0))/12*$M54,IF($J54="Base Period",BM54,IF($J54="Adjusted",SUMIF('Input 15_Fcst Inputs'!$A:$A,$D54,'Input 15_Fcst Inputs'!$G:$G)/12))))),0)</f>
        <v>3701.7460843647559</v>
      </c>
      <c r="BZ54" s="483">
        <f>IFERROR(IF($J54="Historical Average",INDEX('Monthly UPC'!$CM$2:$DJ$65,MATCH($D54,'Monthly UPC'!$D$2:$D$65,0),MATCH(BZ$1,'Monthly UPC'!$CM$1:$DJ$1))*(INDEX('Monthly CUST'!$N$2:$CG$65,MATCH($D54,'Monthly CUST'!$D$2:$D$65,0),MATCH(BZ$1,'Monthly CUST'!$N$1:$CG$1,0))),IF($J54="UPC Growth Rate",((BN54/INDEX('Monthly CUST'!$N$2:$CG$65,MATCH($D54,'Monthly CUST'!$D$2:$D$65,0),MATCH(BN$1,'Monthly CUST'!$N$1:$CG$1,0)))*(1+$L54)*INDEX('Monthly CUST'!$N$2:$CG$65,MATCH($D54,'Monthly CUST'!$D$2:$D$65,0),MATCH(BZ$1,'Monthly CUST'!$N$1:$CG$1,0))),IF($J54="Modeled UPC",INDEX('Monthly CUST'!$N$2:$CG$65,MATCH($D54,'Monthly CUST'!$D$2:$D$65,0),MATCH(BZ$1,'Monthly CUST'!$N$1:$CG$1,0))/12*$M54,IF($J54="Base Period",BN54,IF($J54="Adjusted",SUMIF('Input 15_Fcst Inputs'!$A:$A,$D54,'Input 15_Fcst Inputs'!$G:$G)/12))))),0)</f>
        <v>3358.3082727620658</v>
      </c>
      <c r="CA54" s="483">
        <f>IFERROR(IF($J54="Historical Average",INDEX('Monthly UPC'!$CM$2:$DJ$65,MATCH($D54,'Monthly UPC'!$D$2:$D$65,0),MATCH(CA$1,'Monthly UPC'!$CM$1:$DJ$1))*(INDEX('Monthly CUST'!$N$2:$CG$65,MATCH($D54,'Monthly CUST'!$D$2:$D$65,0),MATCH(CA$1,'Monthly CUST'!$N$1:$CG$1,0))),IF($J54="UPC Growth Rate",((BO54/INDEX('Monthly CUST'!$N$2:$CG$65,MATCH($D54,'Monthly CUST'!$D$2:$D$65,0),MATCH(BO$1,'Monthly CUST'!$N$1:$CG$1,0)))*(1+$L54)*INDEX('Monthly CUST'!$N$2:$CG$65,MATCH($D54,'Monthly CUST'!$D$2:$D$65,0),MATCH(CA$1,'Monthly CUST'!$N$1:$CG$1,0))),IF($J54="Modeled UPC",INDEX('Monthly CUST'!$N$2:$CG$65,MATCH($D54,'Monthly CUST'!$D$2:$D$65,0),MATCH(CA$1,'Monthly CUST'!$N$1:$CG$1,0))/12*$M54,IF($J54="Base Period",BO54,IF($J54="Adjusted",SUMIF('Input 15_Fcst Inputs'!$A:$A,$D54,'Input 15_Fcst Inputs'!$G:$G)/12))))),0)</f>
        <v>3503.1644703516722</v>
      </c>
      <c r="CB54" s="483">
        <f>IFERROR(IF($J54="Historical Average",INDEX('Monthly UPC'!$CM$2:$DJ$65,MATCH($D54,'Monthly UPC'!$D$2:$D$65,0),MATCH(CB$1,'Monthly UPC'!$CM$1:$DJ$1))*(INDEX('Monthly CUST'!$N$2:$CG$65,MATCH($D54,'Monthly CUST'!$D$2:$D$65,0),MATCH(CB$1,'Monthly CUST'!$N$1:$CG$1,0))),IF($J54="UPC Growth Rate",((BP54/INDEX('Monthly CUST'!$N$2:$CG$65,MATCH($D54,'Monthly CUST'!$D$2:$D$65,0),MATCH(BP$1,'Monthly CUST'!$N$1:$CG$1,0)))*(1+$L54)*INDEX('Monthly CUST'!$N$2:$CG$65,MATCH($D54,'Monthly CUST'!$D$2:$D$65,0),MATCH(CB$1,'Monthly CUST'!$N$1:$CG$1,0))),IF($J54="Modeled UPC",INDEX('Monthly CUST'!$N$2:$CG$65,MATCH($D54,'Monthly CUST'!$D$2:$D$65,0),MATCH(CB$1,'Monthly CUST'!$N$1:$CG$1,0))/12*$M54,IF($J54="Base Period",BP54,IF($J54="Adjusted",SUMIF('Input 15_Fcst Inputs'!$A:$A,$D54,'Input 15_Fcst Inputs'!$G:$G)/12))))),0)</f>
        <v>3588.4452151882915</v>
      </c>
      <c r="CC54" s="483">
        <f>IFERROR(IF($J54="Historical Average",INDEX('Monthly UPC'!$CM$2:$DJ$65,MATCH($D54,'Monthly UPC'!$D$2:$D$65,0),MATCH(CC$1,'Monthly UPC'!$CM$1:$DJ$1))*(INDEX('Monthly CUST'!$N$2:$CG$65,MATCH($D54,'Monthly CUST'!$D$2:$D$65,0),MATCH(CC$1,'Monthly CUST'!$N$1:$CG$1,0))),IF($J54="UPC Growth Rate",((BQ54/INDEX('Monthly CUST'!$N$2:$CG$65,MATCH($D54,'Monthly CUST'!$D$2:$D$65,0),MATCH(BQ$1,'Monthly CUST'!$N$1:$CG$1,0)))*(1+$L54)*INDEX('Monthly CUST'!$N$2:$CG$65,MATCH($D54,'Monthly CUST'!$D$2:$D$65,0),MATCH(CC$1,'Monthly CUST'!$N$1:$CG$1,0))),IF($J54="Modeled UPC",INDEX('Monthly CUST'!$N$2:$CG$65,MATCH($D54,'Monthly CUST'!$D$2:$D$65,0),MATCH(CC$1,'Monthly CUST'!$N$1:$CG$1,0))/12*$M54,IF($J54="Base Period",BQ54,IF($J54="Adjusted",SUMIF('Input 15_Fcst Inputs'!$A:$A,$D54,'Input 15_Fcst Inputs'!$G:$G)/12))))),0)</f>
        <v>2919.516806086519</v>
      </c>
      <c r="CD54" s="483">
        <f>IFERROR(IF($J54="Historical Average",INDEX('Monthly UPC'!$CM$2:$DJ$65,MATCH($D54,'Monthly UPC'!$D$2:$D$65,0),MATCH(CD$1,'Monthly UPC'!$CM$1:$DJ$1))*(INDEX('Monthly CUST'!$N$2:$CG$65,MATCH($D54,'Monthly CUST'!$D$2:$D$65,0),MATCH(CD$1,'Monthly CUST'!$N$1:$CG$1,0))),IF($J54="UPC Growth Rate",((BR54/INDEX('Monthly CUST'!$N$2:$CG$65,MATCH($D54,'Monthly CUST'!$D$2:$D$65,0),MATCH(BR$1,'Monthly CUST'!$N$1:$CG$1,0)))*(1+$L54)*INDEX('Monthly CUST'!$N$2:$CG$65,MATCH($D54,'Monthly CUST'!$D$2:$D$65,0),MATCH(CD$1,'Monthly CUST'!$N$1:$CG$1,0))),IF($J54="Modeled UPC",INDEX('Monthly CUST'!$N$2:$CG$65,MATCH($D54,'Monthly CUST'!$D$2:$D$65,0),MATCH(CD$1,'Monthly CUST'!$N$1:$CG$1,0))/12*$M54,IF($J54="Base Period",BR54,IF($J54="Adjusted",SUMIF('Input 15_Fcst Inputs'!$A:$A,$D54,'Input 15_Fcst Inputs'!$G:$G)/12))))),0)</f>
        <v>6358.0790540576963</v>
      </c>
      <c r="CE54" s="483">
        <f>IFERROR(IF($J54="Historical Average",INDEX('Monthly UPC'!$CM$2:$DJ$65,MATCH($D54,'Monthly UPC'!$D$2:$D$65,0),MATCH(CE$1,'Monthly UPC'!$CM$1:$DJ$1))*(INDEX('Monthly CUST'!$N$2:$CG$65,MATCH($D54,'Monthly CUST'!$D$2:$D$65,0),MATCH(CE$1,'Monthly CUST'!$N$1:$CG$1,0))),IF($J54="UPC Growth Rate",((BS54/INDEX('Monthly CUST'!$N$2:$CG$65,MATCH($D54,'Monthly CUST'!$D$2:$D$65,0),MATCH(BS$1,'Monthly CUST'!$N$1:$CG$1,0)))*(1+$L54)*INDEX('Monthly CUST'!$N$2:$CG$65,MATCH($D54,'Monthly CUST'!$D$2:$D$65,0),MATCH(CE$1,'Monthly CUST'!$N$1:$CG$1,0))),IF($J54="Modeled UPC",INDEX('Monthly CUST'!$N$2:$CG$65,MATCH($D54,'Monthly CUST'!$D$2:$D$65,0),MATCH(CE$1,'Monthly CUST'!$N$1:$CG$1,0))/12*$M54,IF($J54="Base Period",BS54,IF($J54="Adjusted",SUMIF('Input 15_Fcst Inputs'!$A:$A,$D54,'Input 15_Fcst Inputs'!$G:$G)/12))))),0)</f>
        <v>3337.4650969655418</v>
      </c>
      <c r="CF54" s="483">
        <f>IFERROR(IF($J54="Historical Average",INDEX('Monthly UPC'!$CM$2:$DJ$65,MATCH($D54,'Monthly UPC'!$D$2:$D$65,0),MATCH(CF$1,'Monthly UPC'!$CM$1:$DJ$1))*(INDEX('Monthly CUST'!$N$2:$CG$65,MATCH($D54,'Monthly CUST'!$D$2:$D$65,0),MATCH(CF$1,'Monthly CUST'!$N$1:$CG$1,0))),IF($J54="UPC Growth Rate",((BT54/INDEX('Monthly CUST'!$N$2:$CG$65,MATCH($D54,'Monthly CUST'!$D$2:$D$65,0),MATCH(BT$1,'Monthly CUST'!$N$1:$CG$1,0)))*(1+$L54)*INDEX('Monthly CUST'!$N$2:$CG$65,MATCH($D54,'Monthly CUST'!$D$2:$D$65,0),MATCH(CF$1,'Monthly CUST'!$N$1:$CG$1,0))),IF($J54="Modeled UPC",INDEX('Monthly CUST'!$N$2:$CG$65,MATCH($D54,'Monthly CUST'!$D$2:$D$65,0),MATCH(CF$1,'Monthly CUST'!$N$1:$CG$1,0))/12*$M54,IF($J54="Base Period",BT54,IF($J54="Adjusted",SUMIF('Input 15_Fcst Inputs'!$A:$A,$D54,'Input 15_Fcst Inputs'!$G:$G)/12))))),0)</f>
        <v>2709.3319743205361</v>
      </c>
      <c r="CG54" s="483">
        <f>IFERROR(IF($J54="Historical Average",INDEX('Monthly UPC'!$CM$2:$DJ$65,MATCH($D54,'Monthly UPC'!$D$2:$D$65,0),MATCH(CG$1,'Monthly UPC'!$CM$1:$DJ$1))*(INDEX('Monthly CUST'!$N$2:$CG$65,MATCH($D54,'Monthly CUST'!$D$2:$D$65,0),MATCH(CG$1,'Monthly CUST'!$N$1:$CG$1,0))),IF($J54="UPC Growth Rate",((BU54/INDEX('Monthly CUST'!$N$2:$CG$65,MATCH($D54,'Monthly CUST'!$D$2:$D$65,0),MATCH(BU$1,'Monthly CUST'!$N$1:$CG$1,0)))*(1+$L54)*INDEX('Monthly CUST'!$N$2:$CG$65,MATCH($D54,'Monthly CUST'!$D$2:$D$65,0),MATCH(CG$1,'Monthly CUST'!$N$1:$CG$1,0))),IF($J54="Modeled UPC",INDEX('Monthly CUST'!$N$2:$CG$65,MATCH($D54,'Monthly CUST'!$D$2:$D$65,0),MATCH(CG$1,'Monthly CUST'!$N$1:$CG$1,0))/12*$M54,IF($J54="Base Period",BU54,IF($J54="Adjusted",SUMIF('Input 15_Fcst Inputs'!$A:$A,$D54,'Input 15_Fcst Inputs'!$G:$G)/12))))),0)</f>
        <v>4385.1543019311212</v>
      </c>
      <c r="CH54" s="197"/>
      <c r="CI54" s="197">
        <f t="shared" si="8"/>
        <v>51052.000000000007</v>
      </c>
      <c r="CJ54" s="197">
        <f t="shared" si="9"/>
        <v>46889.649999999994</v>
      </c>
      <c r="CK54" s="197">
        <f t="shared" si="10"/>
        <v>40285.82</v>
      </c>
      <c r="CL54" s="197">
        <f t="shared" si="11"/>
        <v>47542.520000000004</v>
      </c>
      <c r="CM54" s="197">
        <f t="shared" si="12"/>
        <v>46788.918853149247</v>
      </c>
      <c r="CN54" s="197">
        <f t="shared" si="13"/>
        <v>46047.26311198029</v>
      </c>
      <c r="CP54" s="4">
        <f>SUMIF('Master '!D:D,D54,'Master '!AH:AH)</f>
        <v>46788.918853149255</v>
      </c>
      <c r="CQ54" s="4">
        <f>SUMIF('Master '!D:D,D54,'Master '!AI:AI)</f>
        <v>46047.263111980305</v>
      </c>
      <c r="CR54" s="197">
        <f t="shared" si="14"/>
        <v>0</v>
      </c>
      <c r="CS54" s="197">
        <f t="shared" si="15"/>
        <v>0</v>
      </c>
      <c r="CT54" t="s">
        <v>287</v>
      </c>
      <c r="CV54" t="str">
        <f>VLOOKUP(G54,'Master '!G:CC,75,FALSE)</f>
        <v>FTS-3.1</v>
      </c>
    </row>
    <row r="55" spans="1:100">
      <c r="A55" s="53" t="s">
        <v>17</v>
      </c>
      <c r="B55" s="53" t="s">
        <v>993</v>
      </c>
      <c r="C55" s="53" t="s">
        <v>1245</v>
      </c>
      <c r="D55" s="53" t="s">
        <v>65</v>
      </c>
      <c r="E55" s="53" t="str">
        <f>VLOOKUP(D55,'Input 14_Ref Table'!C:D,2,FALSE)</f>
        <v>CC601</v>
      </c>
      <c r="F55" s="143" t="s">
        <v>1286</v>
      </c>
      <c r="G55" s="53" t="str">
        <f>VLOOKUP(D55,'Input 14_Ref Table'!C:I,7,FALSE)</f>
        <v>CFG - FTS-4</v>
      </c>
      <c r="H55" s="53" t="str">
        <f>VLOOKUP(D55,'Input 14_Ref Table'!C:K,8,FALSE)</f>
        <v>FTS4</v>
      </c>
      <c r="I55" s="53"/>
      <c r="J55" t="str">
        <f>INDEX('Master '!$AD$2:AD$65,MATCH(D55,'Master '!$D$2:$D$65,0))</f>
        <v>UPC Growth Rate</v>
      </c>
      <c r="K55" s="458">
        <f>INDEX('Master '!$N$2:N$65,MATCH(D55,'Master '!$D$2:$D$65,0))</f>
        <v>1.8974393636890258E-2</v>
      </c>
      <c r="L55" s="137">
        <f>INDEX('Master '!$S$2:S$65,MATCH(D55,'Master '!$D$2:$D$65,0))</f>
        <v>-1.9094755816262625E-5</v>
      </c>
      <c r="M55" s="4">
        <f>INDEX('Master '!$W$2:W$65,MATCH(D55,'Master '!$D$2:$D$65,0))</f>
        <v>13092.349999999999</v>
      </c>
      <c r="N55" s="268">
        <f>SUMIF('Input 16.1_2018VOL-YTD'!$R:$R,$G55,'Input 16.1_2018VOL-YTD'!C:C)</f>
        <v>312702.38</v>
      </c>
      <c r="O55" s="268">
        <f>SUMIF('Input 16.1_2018VOL-YTD'!$R:$R,$G55,'Input 16.1_2018VOL-YTD'!D:D)</f>
        <v>273962.82</v>
      </c>
      <c r="P55" s="268">
        <f>SUMIF('Input 16.1_2018VOL-YTD'!$R:$R,$G55,'Input 16.1_2018VOL-YTD'!E:E)</f>
        <v>263414</v>
      </c>
      <c r="Q55" s="268">
        <f>SUMIF('Input 16.1_2018VOL-YTD'!$R:$R,$G55,'Input 16.1_2018VOL-YTD'!F:F)</f>
        <v>304230.08</v>
      </c>
      <c r="R55" s="268">
        <f>SUMIF('Input 16.1_2018VOL-YTD'!$R:$R,$G55,'Input 16.1_2018VOL-YTD'!G:G)</f>
        <v>224441.28</v>
      </c>
      <c r="S55" s="268">
        <f>SUMIF('Input 16.1_2018VOL-YTD'!$R:$R,$G55,'Input 16.1_2018VOL-YTD'!H:H)</f>
        <v>243280.79</v>
      </c>
      <c r="T55" s="268">
        <f>SUMIF('Input 16.1_2018VOL-YTD'!$R:$R,$G55,'Input 16.1_2018VOL-YTD'!I:I)</f>
        <v>208138</v>
      </c>
      <c r="U55" s="268">
        <f>SUMIF('Input 16.1_2018VOL-YTD'!$R:$R,$G55,'Input 16.1_2018VOL-YTD'!J:J)</f>
        <v>207715.82</v>
      </c>
      <c r="V55" s="268">
        <f>SUMIF('Input 16.1_2018VOL-YTD'!$R:$R,$G55,'Input 16.1_2018VOL-YTD'!K:K)</f>
        <v>222209.49</v>
      </c>
      <c r="W55" s="268">
        <f>SUMIF('Input 16.1_2018VOL-YTD'!$R:$R,$G55,'Input 16.1_2018VOL-YTD'!L:L)</f>
        <v>228792.92</v>
      </c>
      <c r="X55" s="268">
        <f>SUMIF('Input 16.1_2018VOL-YTD'!$R:$R,$G55,'Input 16.1_2018VOL-YTD'!M:M)</f>
        <v>275549.34999999998</v>
      </c>
      <c r="Y55" s="268">
        <f>SUMIF('Input 16.1_2018VOL-YTD'!$R:$R,$G55,'Input 16.1_2018VOL-YTD'!N:N)</f>
        <v>314073.81</v>
      </c>
      <c r="Z55" s="268">
        <f>SUMIF('Input 3.1_2019VOL-YTD'!$R:$R,$G55,'Input 3.1_2019VOL-YTD'!C:C)</f>
        <v>322670.89</v>
      </c>
      <c r="AA55" s="268">
        <f>SUMIF('Input 3.1_2019VOL-YTD'!$R:$R,$G55,'Input 3.1_2019VOL-YTD'!D:D)</f>
        <v>308646.88</v>
      </c>
      <c r="AB55" s="268">
        <f>SUMIF('Input 3.1_2019VOL-YTD'!$R:$R,$G55,'Input 3.1_2019VOL-YTD'!E:E)</f>
        <v>279161.69</v>
      </c>
      <c r="AC55" s="268">
        <f>SUMIF('Input 3.1_2019VOL-YTD'!$R:$R,$G55,'Input 3.1_2019VOL-YTD'!F:F)</f>
        <v>282815.14</v>
      </c>
      <c r="AD55" s="268">
        <f>SUMIF('Input 3.1_2019VOL-YTD'!$R:$R,$G55,'Input 3.1_2019VOL-YTD'!G:G)</f>
        <v>246554.79</v>
      </c>
      <c r="AE55" s="268">
        <f>SUMIF('Input 3.1_2019VOL-YTD'!$R:$R,$G55,'Input 3.1_2019VOL-YTD'!H:H)</f>
        <v>234525.95</v>
      </c>
      <c r="AF55" s="268">
        <f>SUMIF('Input 3.1_2019VOL-YTD'!$R:$R,$G55,'Input 3.1_2019VOL-YTD'!I:I)</f>
        <v>223990.53</v>
      </c>
      <c r="AG55" s="268">
        <f>SUMIF('Input 3.1_2019VOL-YTD'!$R:$R,$G55,'Input 3.1_2019VOL-YTD'!J:J)</f>
        <v>199710.04</v>
      </c>
      <c r="AH55" s="268">
        <f>SUMIF('Input 3.1_2019VOL-YTD'!$R:$R,$G55,'Input 3.1_2019VOL-YTD'!K:K)</f>
        <v>221060.94</v>
      </c>
      <c r="AI55" s="268">
        <f>SUMIF('Input 3.1_2019VOL-YTD'!$R:$R,$G55,'Input 3.1_2019VOL-YTD'!L:L)</f>
        <v>235314.12</v>
      </c>
      <c r="AJ55" s="268">
        <f>SUMIF('Input 3.1_2019VOL-YTD'!$R:$R,$G55,'Input 3.1_2019VOL-YTD'!M:M)</f>
        <v>276172.09999999998</v>
      </c>
      <c r="AK55" s="268">
        <f>SUMIF('Input 3.1_2019VOL-YTD'!$R:$R,$G55,'Input 3.1_2019VOL-YTD'!N:N)</f>
        <v>346737.94</v>
      </c>
      <c r="AL55" s="268">
        <f>SUMIF('Input 4.1_2020VOL-YTD'!$R:$R,$G55,'Input 4.1_2020VOL-YTD'!C:C)</f>
        <v>315029.52</v>
      </c>
      <c r="AM55" s="268">
        <f>SUMIF('Input 4.1_2020VOL-YTD'!$R:$R,$G55,'Input 4.1_2020VOL-YTD'!D:D)</f>
        <v>291896.26</v>
      </c>
      <c r="AN55" s="268">
        <f>SUMIF('Input 4.1_2020VOL-YTD'!$R:$R,$G55,'Input 4.1_2020VOL-YTD'!E:E)</f>
        <v>259484.25</v>
      </c>
      <c r="AO55" s="268">
        <f>SUMIF('Input 4.1_2020VOL-YTD'!$R:$R,$G55,'Input 4.1_2020VOL-YTD'!F:F)</f>
        <v>169294.02</v>
      </c>
      <c r="AP55" s="268">
        <f>SUMIF('Input 4.1_2020VOL-YTD'!$R:$R,$G55,'Input 4.1_2020VOL-YTD'!G:G)</f>
        <v>179796.55</v>
      </c>
      <c r="AQ55" s="268">
        <f>SUMIF('Input 4.1_2020VOL-YTD'!$R:$R,$G55,'Input 4.1_2020VOL-YTD'!H:H)</f>
        <v>204112.94</v>
      </c>
      <c r="AR55" s="268">
        <f>SUMIF('Input 4.1_2020VOL-YTD'!$R:$R,$G55,'Input 4.1_2020VOL-YTD'!I:I)</f>
        <v>201064.48</v>
      </c>
      <c r="AS55" s="268">
        <f>SUMIF('Input 4.1_2020VOL-YTD'!$R:$R,$G55,'Input 4.1_2020VOL-YTD'!J:J)</f>
        <v>192507.27</v>
      </c>
      <c r="AT55" s="268">
        <f>SUMIF('Input 4.1_2020VOL-YTD'!$R:$R,$G55,'Input 4.1_2020VOL-YTD'!K:K)</f>
        <v>210640.82</v>
      </c>
      <c r="AU55" s="268">
        <f>SUMIF('Input 4.1_2020VOL-YTD'!$R:$R,$G55,'Input 4.1_2020VOL-YTD'!L:L)</f>
        <v>201618.71</v>
      </c>
      <c r="AV55" s="268">
        <f>SUMIF('Input 4.1_2020VOL-YTD'!$R:$R,$G55,'Input 4.1_2020VOL-YTD'!M:M)</f>
        <v>242001.14</v>
      </c>
      <c r="AW55" s="268">
        <f>SUMIF('Input 4.1_2020VOL-YTD'!$R:$R,$G55,'Input 4.1_2020VOL-YTD'!N:N)</f>
        <v>302201.37</v>
      </c>
      <c r="AX55" s="268">
        <f>SUMIF('Input 5.1_2021VOL-YTD'!$R:$R,$G55,'Input 5.1_2021VOL-YTD'!C:C)</f>
        <v>318251.03999999998</v>
      </c>
      <c r="AY55" s="268">
        <f>SUMIF('Input 5.1_2021VOL-YTD'!$R:$R,$G55,'Input 5.1_2021VOL-YTD'!D:D)</f>
        <v>268820.59000000003</v>
      </c>
      <c r="AZ55" s="268">
        <f>SUMIF('Input 5.1_2021VOL-YTD'!$R:$R,$G55,'Input 5.1_2021VOL-YTD'!E:E)</f>
        <v>263850.89</v>
      </c>
      <c r="BA55" s="268">
        <f>SUMIF('Input 5.1_2021VOL-YTD'!$R:$R,$G55,'Input 5.1_2021VOL-YTD'!F:F)</f>
        <v>287397.21999999997</v>
      </c>
      <c r="BB55" s="268">
        <f>SUMIF('Input 5.1_2021VOL-YTD'!$R:$R,$G55,'Input 5.1_2021VOL-YTD'!G:G)</f>
        <v>223564.5</v>
      </c>
      <c r="BC55" s="268">
        <f>SUMIF('Input 5.1_2021VOL-YTD'!$R:$R,$G55,'Input 5.1_2021VOL-YTD'!H:H)</f>
        <v>226336.97</v>
      </c>
      <c r="BD55" s="268">
        <f>SUMIF('Input 5.1_2021VOL-YTD'!$R:$R,$G55,'Input 5.1_2021VOL-YTD'!I:I)</f>
        <v>220113.16</v>
      </c>
      <c r="BE55" s="268">
        <f>SUMIF('Input 5.1_2021VOL-YTD'!$R:$R,$G55,'Input 5.1_2021VOL-YTD'!J:J)</f>
        <v>202718.62</v>
      </c>
      <c r="BF55" s="268">
        <f>SUMIF('Input 5.1_2021VOL-YTD'!$R:$R,$G55,'Input 5.1_2021VOL-YTD'!K:K)</f>
        <v>223089.07</v>
      </c>
      <c r="BG55" s="268">
        <f>SUMIF('Input 5.1_2021VOL-YTD'!$R:$R,$G55,'Input 5.1_2021VOL-YTD'!L:L)</f>
        <v>223693.82</v>
      </c>
      <c r="BH55" s="268">
        <f>SUMIF('Input 5.1_2021VOL-YTD'!$R:$R,$G55,'Input 5.1_2021VOL-YTD'!M:M)</f>
        <v>253823.55</v>
      </c>
      <c r="BI55" s="268">
        <f>SUMIF('Input 5.1_2021VOL-YTD'!$R:$R,$G55,'Input 5.1_2021VOL-YTD'!N:N)</f>
        <v>322666.07</v>
      </c>
      <c r="BJ55" s="483">
        <f>IFERROR(IF($J55="Historical Average",INDEX('Monthly UPC'!$CM$2:$DJ$65,MATCH($D55,'Monthly UPC'!$D$2:$D$65,0),MATCH(BJ$1,'Monthly UPC'!$CM$1:$DJ$1))*(INDEX('Monthly CUST'!$N$2:$CG$65,MATCH($D55,'Monthly CUST'!$D$2:$D$65,0),MATCH(BJ$1,'Monthly CUST'!$N$1:$CG$1,0))),IF($J55="UPC Growth Rate",((AX55/INDEX('Monthly CUST'!$N$2:$CG$65,MATCH($D55,'Monthly CUST'!$D$2:$D$65,0),MATCH(AX$1,'Monthly CUST'!$N$1:$CG$1,0)))*(1+$L55)*INDEX('Monthly CUST'!$N$2:$CG$65,MATCH($D55,'Monthly CUST'!$D$2:$D$65,0),MATCH(BJ$1,'Monthly CUST'!$N$1:$CG$1,0))),IF($J55="Modeled UPC",INDEX('Monthly CUST'!$N$2:$CG$65,MATCH($D55,'Monthly CUST'!$D$2:$D$65,0),MATCH(BJ$1,'Monthly CUST'!$N$1:$CG$1,0))/12*$M55,IF($J55="Base Period",AX55,IF($J55="Adjusted",SUMIF('Input 15_Fcst Inputs'!$A:$A,$D55,'Input 15_Fcst Inputs'!$G:$G)/12))))),0)</f>
        <v>324283.46827642858</v>
      </c>
      <c r="BK55" s="483">
        <f>IFERROR(IF($J55="Historical Average",INDEX('Monthly UPC'!$CM$2:$DJ$65,MATCH($D55,'Monthly UPC'!$D$2:$D$65,0),MATCH(BK$1,'Monthly UPC'!$CM$1:$DJ$1))*(INDEX('Monthly CUST'!$N$2:$CG$65,MATCH($D55,'Monthly CUST'!$D$2:$D$65,0),MATCH(BK$1,'Monthly CUST'!$N$1:$CG$1,0))),IF($J55="UPC Growth Rate",((AY55/INDEX('Monthly CUST'!$N$2:$CG$65,MATCH($D55,'Monthly CUST'!$D$2:$D$65,0),MATCH(AY$1,'Monthly CUST'!$N$1:$CG$1,0)))*(1+$L55)*INDEX('Monthly CUST'!$N$2:$CG$65,MATCH($D55,'Monthly CUST'!$D$2:$D$65,0),MATCH(BK$1,'Monthly CUST'!$N$1:$CG$1,0))),IF($J55="Modeled UPC",INDEX('Monthly CUST'!$N$2:$CG$65,MATCH($D55,'Monthly CUST'!$D$2:$D$65,0),MATCH(BK$1,'Monthly CUST'!$N$1:$CG$1,0))/12*$M55,IF($J55="Base Period",AY55,IF($J55="Adjusted",SUMIF('Input 15_Fcst Inputs'!$A:$A,$D55,'Input 15_Fcst Inputs'!$G:$G)/12))))),0)</f>
        <v>273916.0672320688</v>
      </c>
      <c r="BL55" s="483">
        <f>IFERROR(IF($J55="Historical Average",INDEX('Monthly UPC'!$CM$2:$DJ$65,MATCH($D55,'Monthly UPC'!$D$2:$D$65,0),MATCH(BL$1,'Monthly UPC'!$CM$1:$DJ$1))*(INDEX('Monthly CUST'!$N$2:$CG$65,MATCH($D55,'Monthly CUST'!$D$2:$D$65,0),MATCH(BL$1,'Monthly CUST'!$N$1:$CG$1,0))),IF($J55="UPC Growth Rate",((AZ55/INDEX('Monthly CUST'!$N$2:$CG$65,MATCH($D55,'Monthly CUST'!$D$2:$D$65,0),MATCH(AZ$1,'Monthly CUST'!$N$1:$CG$1,0)))*(1+$L55)*INDEX('Monthly CUST'!$N$2:$CG$65,MATCH($D55,'Monthly CUST'!$D$2:$D$65,0),MATCH(BL$1,'Monthly CUST'!$N$1:$CG$1,0))),IF($J55="Modeled UPC",INDEX('Monthly CUST'!$N$2:$CG$65,MATCH($D55,'Monthly CUST'!$D$2:$D$65,0),MATCH(BL$1,'Monthly CUST'!$N$1:$CG$1,0))/12*$M55,IF($J55="Base Period",AZ55,IF($J55="Adjusted",SUMIF('Input 15_Fcst Inputs'!$A:$A,$D55,'Input 15_Fcst Inputs'!$G:$G)/12))))),0)</f>
        <v>268852.16688379855</v>
      </c>
      <c r="BM55" s="483">
        <f>IFERROR(IF($J55="Historical Average",INDEX('Monthly UPC'!$CM$2:$DJ$65,MATCH($D55,'Monthly UPC'!$D$2:$D$65,0),MATCH(BM$1,'Monthly UPC'!$CM$1:$DJ$1))*(INDEX('Monthly CUST'!$N$2:$CG$65,MATCH($D55,'Monthly CUST'!$D$2:$D$65,0),MATCH(BM$1,'Monthly CUST'!$N$1:$CG$1,0))),IF($J55="UPC Growth Rate",((BA55/INDEX('Monthly CUST'!$N$2:$CG$65,MATCH($D55,'Monthly CUST'!$D$2:$D$65,0),MATCH(BA$1,'Monthly CUST'!$N$1:$CG$1,0)))*(1+$L55)*INDEX('Monthly CUST'!$N$2:$CG$65,MATCH($D55,'Monthly CUST'!$D$2:$D$65,0),MATCH(BM$1,'Monthly CUST'!$N$1:$CG$1,0))),IF($J55="Modeled UPC",INDEX('Monthly CUST'!$N$2:$CG$65,MATCH($D55,'Monthly CUST'!$D$2:$D$65,0),MATCH(BM$1,'Monthly CUST'!$N$1:$CG$1,0))/12*$M55,IF($J55="Base Period",BA55,IF($J55="Adjusted",SUMIF('Input 15_Fcst Inputs'!$A:$A,$D55,'Input 15_Fcst Inputs'!$G:$G)/12))))),0)</f>
        <v>292844.81607539678</v>
      </c>
      <c r="BN55" s="483">
        <f>IFERROR(IF($J55="Historical Average",INDEX('Monthly UPC'!$CM$2:$DJ$65,MATCH($D55,'Monthly UPC'!$D$2:$D$65,0),MATCH(BN$1,'Monthly UPC'!$CM$1:$DJ$1))*(INDEX('Monthly CUST'!$N$2:$CG$65,MATCH($D55,'Monthly CUST'!$D$2:$D$65,0),MATCH(BN$1,'Monthly CUST'!$N$1:$CG$1,0))),IF($J55="UPC Growth Rate",((BB55/INDEX('Monthly CUST'!$N$2:$CG$65,MATCH($D55,'Monthly CUST'!$D$2:$D$65,0),MATCH(BB$1,'Monthly CUST'!$N$1:$CG$1,0)))*(1+$L55)*INDEX('Monthly CUST'!$N$2:$CG$65,MATCH($D55,'Monthly CUST'!$D$2:$D$65,0),MATCH(BN$1,'Monthly CUST'!$N$1:$CG$1,0))),IF($J55="Modeled UPC",INDEX('Monthly CUST'!$N$2:$CG$65,MATCH($D55,'Monthly CUST'!$D$2:$D$65,0),MATCH(BN$1,'Monthly CUST'!$N$1:$CG$1,0))/12*$M55,IF($J55="Base Period",BB55,IF($J55="Adjusted",SUMIF('Input 15_Fcst Inputs'!$A:$A,$D55,'Input 15_Fcst Inputs'!$G:$G)/12))))),0)</f>
        <v>227802.15091672796</v>
      </c>
      <c r="BO55" s="483">
        <f>IFERROR(IF($J55="Historical Average",INDEX('Monthly UPC'!$CM$2:$DJ$65,MATCH($D55,'Monthly UPC'!$D$2:$D$65,0),MATCH(BO$1,'Monthly UPC'!$CM$1:$DJ$1))*(INDEX('Monthly CUST'!$N$2:$CG$65,MATCH($D55,'Monthly CUST'!$D$2:$D$65,0),MATCH(BO$1,'Monthly CUST'!$N$1:$CG$1,0))),IF($J55="UPC Growth Rate",((BC55/INDEX('Monthly CUST'!$N$2:$CG$65,MATCH($D55,'Monthly CUST'!$D$2:$D$65,0),MATCH(BC$1,'Monthly CUST'!$N$1:$CG$1,0)))*(1+$L55)*INDEX('Monthly CUST'!$N$2:$CG$65,MATCH($D55,'Monthly CUST'!$D$2:$D$65,0),MATCH(BO$1,'Monthly CUST'!$N$1:$CG$1,0))),IF($J55="Modeled UPC",INDEX('Monthly CUST'!$N$2:$CG$65,MATCH($D55,'Monthly CUST'!$D$2:$D$65,0),MATCH(BO$1,'Monthly CUST'!$N$1:$CG$1,0))/12*$M55,IF($J55="Base Period",BC55,IF($J55="Adjusted",SUMIF('Input 15_Fcst Inputs'!$A:$A,$D55,'Input 15_Fcst Inputs'!$G:$G)/12))))),0)</f>
        <v>230627.1729097192</v>
      </c>
      <c r="BP55" s="483">
        <f>IFERROR(IF($J55="Historical Average",INDEX('Monthly UPC'!$CM$2:$DJ$65,MATCH($D55,'Monthly UPC'!$D$2:$D$65,0),MATCH(BP$1,'Monthly UPC'!$CM$1:$DJ$1))*(INDEX('Monthly CUST'!$N$2:$CG$65,MATCH($D55,'Monthly CUST'!$D$2:$D$65,0),MATCH(BP$1,'Monthly CUST'!$N$1:$CG$1,0))),IF($J55="UPC Growth Rate",((BD55/INDEX('Monthly CUST'!$N$2:$CG$65,MATCH($D55,'Monthly CUST'!$D$2:$D$65,0),MATCH(BD$1,'Monthly CUST'!$N$1:$CG$1,0)))*(1+$L55)*INDEX('Monthly CUST'!$N$2:$CG$65,MATCH($D55,'Monthly CUST'!$D$2:$D$65,0),MATCH(BP$1,'Monthly CUST'!$N$1:$CG$1,0))),IF($J55="Modeled UPC",INDEX('Monthly CUST'!$N$2:$CG$65,MATCH($D55,'Monthly CUST'!$D$2:$D$65,0),MATCH(BP$1,'Monthly CUST'!$N$1:$CG$1,0))/12*$M55,IF($J55="Base Period",BD55,IF($J55="Adjusted",SUMIF('Input 15_Fcst Inputs'!$A:$A,$D55,'Input 15_Fcst Inputs'!$G:$G)/12))))),0)</f>
        <v>224285.39098594757</v>
      </c>
      <c r="BQ55" s="483">
        <f>IFERROR(IF($J55="Historical Average",INDEX('Monthly UPC'!$CM$2:$DJ$65,MATCH($D55,'Monthly UPC'!$D$2:$D$65,0),MATCH(BQ$1,'Monthly UPC'!$CM$1:$DJ$1))*(INDEX('Monthly CUST'!$N$2:$CG$65,MATCH($D55,'Monthly CUST'!$D$2:$D$65,0),MATCH(BQ$1,'Monthly CUST'!$N$1:$CG$1,0))),IF($J55="UPC Growth Rate",((BE55/INDEX('Monthly CUST'!$N$2:$CG$65,MATCH($D55,'Monthly CUST'!$D$2:$D$65,0),MATCH(BE$1,'Monthly CUST'!$N$1:$CG$1,0)))*(1+$L55)*INDEX('Monthly CUST'!$N$2:$CG$65,MATCH($D55,'Monthly CUST'!$D$2:$D$65,0),MATCH(BQ$1,'Monthly CUST'!$N$1:$CG$1,0))),IF($J55="Modeled UPC",INDEX('Monthly CUST'!$N$2:$CG$65,MATCH($D55,'Monthly CUST'!$D$2:$D$65,0),MATCH(BQ$1,'Monthly CUST'!$N$1:$CG$1,0))/12*$M55,IF($J55="Base Period",BE55,IF($J55="Adjusted",SUMIF('Input 15_Fcst Inputs'!$A:$A,$D55,'Input 15_Fcst Inputs'!$G:$G)/12))))),0)</f>
        <v>206561.13858358914</v>
      </c>
      <c r="BR55" s="483">
        <f>IFERROR(IF($J55="Historical Average",INDEX('Monthly UPC'!$CM$2:$DJ$65,MATCH($D55,'Monthly UPC'!$D$2:$D$65,0),MATCH(BR$1,'Monthly UPC'!$CM$1:$DJ$1))*(INDEX('Monthly CUST'!$N$2:$CG$65,MATCH($D55,'Monthly CUST'!$D$2:$D$65,0),MATCH(BR$1,'Monthly CUST'!$N$1:$CG$1,0))),IF($J55="UPC Growth Rate",((BF55/INDEX('Monthly CUST'!$N$2:$CG$65,MATCH($D55,'Monthly CUST'!$D$2:$D$65,0),MATCH(BF$1,'Monthly CUST'!$N$1:$CG$1,0)))*(1+$L55)*INDEX('Monthly CUST'!$N$2:$CG$65,MATCH($D55,'Monthly CUST'!$D$2:$D$65,0),MATCH(BR$1,'Monthly CUST'!$N$1:$CG$1,0))),IF($J55="Modeled UPC",INDEX('Monthly CUST'!$N$2:$CG$65,MATCH($D55,'Monthly CUST'!$D$2:$D$65,0),MATCH(BR$1,'Monthly CUST'!$N$1:$CG$1,0))/12*$M55,IF($J55="Base Period",BF55,IF($J55="Adjusted",SUMIF('Input 15_Fcst Inputs'!$A:$A,$D55,'Input 15_Fcst Inputs'!$G:$G)/12))))),0)</f>
        <v>227317.70917123457</v>
      </c>
      <c r="BS55" s="483">
        <f>IFERROR(IF($J55="Historical Average",INDEX('Monthly UPC'!$CM$2:$DJ$65,MATCH($D55,'Monthly UPC'!$D$2:$D$65,0),MATCH(BS$1,'Monthly UPC'!$CM$1:$DJ$1))*(INDEX('Monthly CUST'!$N$2:$CG$65,MATCH($D55,'Monthly CUST'!$D$2:$D$65,0),MATCH(BS$1,'Monthly CUST'!$N$1:$CG$1,0))),IF($J55="UPC Growth Rate",((BG55/INDEX('Monthly CUST'!$N$2:$CG$65,MATCH($D55,'Monthly CUST'!$D$2:$D$65,0),MATCH(BG$1,'Monthly CUST'!$N$1:$CG$1,0)))*(1+$L55)*INDEX('Monthly CUST'!$N$2:$CG$65,MATCH($D55,'Monthly CUST'!$D$2:$D$65,0),MATCH(BS$1,'Monthly CUST'!$N$1:$CG$1,0))),IF($J55="Modeled UPC",INDEX('Monthly CUST'!$N$2:$CG$65,MATCH($D55,'Monthly CUST'!$D$2:$D$65,0),MATCH(BS$1,'Monthly CUST'!$N$1:$CG$1,0))/12*$M55,IF($J55="Base Period",BG55,IF($J55="Adjusted",SUMIF('Input 15_Fcst Inputs'!$A:$A,$D55,'Input 15_Fcst Inputs'!$G:$G)/12))))),0)</f>
        <v>227933.92216912512</v>
      </c>
      <c r="BT55" s="483">
        <f>IFERROR(IF($J55="Historical Average",INDEX('Monthly UPC'!$CM$2:$DJ$65,MATCH($D55,'Monthly UPC'!$D$2:$D$65,0),MATCH(BT$1,'Monthly UPC'!$CM$1:$DJ$1))*(INDEX('Monthly CUST'!$N$2:$CG$65,MATCH($D55,'Monthly CUST'!$D$2:$D$65,0),MATCH(BT$1,'Monthly CUST'!$N$1:$CG$1,0))),IF($J55="UPC Growth Rate",((BH55/INDEX('Monthly CUST'!$N$2:$CG$65,MATCH($D55,'Monthly CUST'!$D$2:$D$65,0),MATCH(BH$1,'Monthly CUST'!$N$1:$CG$1,0)))*(1+$L55)*INDEX('Monthly CUST'!$N$2:$CG$65,MATCH($D55,'Monthly CUST'!$D$2:$D$65,0),MATCH(BT$1,'Monthly CUST'!$N$1:$CG$1,0))),IF($J55="Modeled UPC",INDEX('Monthly CUST'!$N$2:$CG$65,MATCH($D55,'Monthly CUST'!$D$2:$D$65,0),MATCH(BT$1,'Monthly CUST'!$N$1:$CG$1,0))/12*$M55,IF($J55="Base Period",BH55,IF($J55="Adjusted",SUMIF('Input 15_Fcst Inputs'!$A:$A,$D55,'Input 15_Fcst Inputs'!$G:$G)/12))))),0)</f>
        <v>258634.75929013611</v>
      </c>
      <c r="BU55" s="483">
        <f>IFERROR(IF($J55="Historical Average",INDEX('Monthly UPC'!$CM$2:$DJ$65,MATCH($D55,'Monthly UPC'!$D$2:$D$65,0),MATCH(BU$1,'Monthly UPC'!$CM$1:$DJ$1))*(INDEX('Monthly CUST'!$N$2:$CG$65,MATCH($D55,'Monthly CUST'!$D$2:$D$65,0),MATCH(BU$1,'Monthly CUST'!$N$1:$CG$1,0))),IF($J55="UPC Growth Rate",((BI55/INDEX('Monthly CUST'!$N$2:$CG$65,MATCH($D55,'Monthly CUST'!$D$2:$D$65,0),MATCH(BI$1,'Monthly CUST'!$N$1:$CG$1,0)))*(1+$L55)*INDEX('Monthly CUST'!$N$2:$CG$65,MATCH($D55,'Monthly CUST'!$D$2:$D$65,0),MATCH(BU$1,'Monthly CUST'!$N$1:$CG$1,0))),IF($J55="Modeled UPC",INDEX('Monthly CUST'!$N$2:$CG$65,MATCH($D55,'Monthly CUST'!$D$2:$D$65,0),MATCH(BU$1,'Monthly CUST'!$N$1:$CG$1,0))/12*$M55,IF($J55="Base Period",BI55,IF($J55="Adjusted",SUMIF('Input 15_Fcst Inputs'!$A:$A,$D55,'Input 15_Fcst Inputs'!$G:$G)/12))))),0)</f>
        <v>328782.18489003176</v>
      </c>
      <c r="BV55" s="483">
        <f>IFERROR(IF($J55="Historical Average",INDEX('Monthly UPC'!$CM$2:$DJ$65,MATCH($D55,'Monthly UPC'!$D$2:$D$65,0),MATCH(BV$1,'Monthly UPC'!$CM$1:$DJ$1))*(INDEX('Monthly CUST'!$N$2:$CG$65,MATCH($D55,'Monthly CUST'!$D$2:$D$65,0),MATCH(BV$1,'Monthly CUST'!$N$1:$CG$1,0))),IF($J55="UPC Growth Rate",((BJ55/INDEX('Monthly CUST'!$N$2:$CG$65,MATCH($D55,'Monthly CUST'!$D$2:$D$65,0),MATCH(BJ$1,'Monthly CUST'!$N$1:$CG$1,0)))*(1+$L55)*INDEX('Monthly CUST'!$N$2:$CG$65,MATCH($D55,'Monthly CUST'!$D$2:$D$65,0),MATCH(BV$1,'Monthly CUST'!$N$1:$CG$1,0))),IF($J55="Modeled UPC",INDEX('Monthly CUST'!$N$2:$CG$65,MATCH($D55,'Monthly CUST'!$D$2:$D$65,0),MATCH(BV$1,'Monthly CUST'!$N$1:$CG$1,0))/12*$M55,IF($J55="Base Period",BJ55,IF($J55="Adjusted",SUMIF('Input 15_Fcst Inputs'!$A:$A,$D55,'Input 15_Fcst Inputs'!$G:$G)/12))))),0)</f>
        <v>330430.24084819789</v>
      </c>
      <c r="BW55" s="483">
        <f>IFERROR(IF($J55="Historical Average",INDEX('Monthly UPC'!$CM$2:$DJ$65,MATCH($D55,'Monthly UPC'!$D$2:$D$65,0),MATCH(BW$1,'Monthly UPC'!$CM$1:$DJ$1))*(INDEX('Monthly CUST'!$N$2:$CG$65,MATCH($D55,'Monthly CUST'!$D$2:$D$65,0),MATCH(BW$1,'Monthly CUST'!$N$1:$CG$1,0))),IF($J55="UPC Growth Rate",((BK55/INDEX('Monthly CUST'!$N$2:$CG$65,MATCH($D55,'Monthly CUST'!$D$2:$D$65,0),MATCH(BK$1,'Monthly CUST'!$N$1:$CG$1,0)))*(1+$L55)*INDEX('Monthly CUST'!$N$2:$CG$65,MATCH($D55,'Monthly CUST'!$D$2:$D$65,0),MATCH(BW$1,'Monthly CUST'!$N$1:$CG$1,0))),IF($J55="Modeled UPC",INDEX('Monthly CUST'!$N$2:$CG$65,MATCH($D55,'Monthly CUST'!$D$2:$D$65,0),MATCH(BW$1,'Monthly CUST'!$N$1:$CG$1,0))/12*$M55,IF($J55="Base Period",BK55,IF($J55="Adjusted",SUMIF('Input 15_Fcst Inputs'!$A:$A,$D55,'Input 15_Fcst Inputs'!$G:$G)/12))))),0)</f>
        <v>279108.12891186355</v>
      </c>
      <c r="BX55" s="483">
        <f>IFERROR(IF($J55="Historical Average",INDEX('Monthly UPC'!$CM$2:$DJ$65,MATCH($D55,'Monthly UPC'!$D$2:$D$65,0),MATCH(BX$1,'Monthly UPC'!$CM$1:$DJ$1))*(INDEX('Monthly CUST'!$N$2:$CG$65,MATCH($D55,'Monthly CUST'!$D$2:$D$65,0),MATCH(BX$1,'Monthly CUST'!$N$1:$CG$1,0))),IF($J55="UPC Growth Rate",((BL55/INDEX('Monthly CUST'!$N$2:$CG$65,MATCH($D55,'Monthly CUST'!$D$2:$D$65,0),MATCH(BL$1,'Monthly CUST'!$N$1:$CG$1,0)))*(1+$L55)*INDEX('Monthly CUST'!$N$2:$CG$65,MATCH($D55,'Monthly CUST'!$D$2:$D$65,0),MATCH(BX$1,'Monthly CUST'!$N$1:$CG$1,0))),IF($J55="Modeled UPC",INDEX('Monthly CUST'!$N$2:$CG$65,MATCH($D55,'Monthly CUST'!$D$2:$D$65,0),MATCH(BX$1,'Monthly CUST'!$N$1:$CG$1,0))/12*$M55,IF($J55="Base Period",BL55,IF($J55="Adjusted",SUMIF('Input 15_Fcst Inputs'!$A:$A,$D55,'Input 15_Fcst Inputs'!$G:$G)/12))))),0)</f>
        <v>273948.24265369674</v>
      </c>
      <c r="BY55" s="483">
        <f>IFERROR(IF($J55="Historical Average",INDEX('Monthly UPC'!$CM$2:$DJ$65,MATCH($D55,'Monthly UPC'!$D$2:$D$65,0),MATCH(BY$1,'Monthly UPC'!$CM$1:$DJ$1))*(INDEX('Monthly CUST'!$N$2:$CG$65,MATCH($D55,'Monthly CUST'!$D$2:$D$65,0),MATCH(BY$1,'Monthly CUST'!$N$1:$CG$1,0))),IF($J55="UPC Growth Rate",((BM55/INDEX('Monthly CUST'!$N$2:$CG$65,MATCH($D55,'Monthly CUST'!$D$2:$D$65,0),MATCH(BM$1,'Monthly CUST'!$N$1:$CG$1,0)))*(1+$L55)*INDEX('Monthly CUST'!$N$2:$CG$65,MATCH($D55,'Monthly CUST'!$D$2:$D$65,0),MATCH(BY$1,'Monthly CUST'!$N$1:$CG$1,0))),IF($J55="Modeled UPC",INDEX('Monthly CUST'!$N$2:$CG$65,MATCH($D55,'Monthly CUST'!$D$2:$D$65,0),MATCH(BY$1,'Monthly CUST'!$N$1:$CG$1,0))/12*$M55,IF($J55="Base Period",BM55,IF($J55="Adjusted",SUMIF('Input 15_Fcst Inputs'!$A:$A,$D55,'Input 15_Fcst Inputs'!$G:$G)/12))))),0)</f>
        <v>298395.6709888599</v>
      </c>
      <c r="BZ55" s="483">
        <f>IFERROR(IF($J55="Historical Average",INDEX('Monthly UPC'!$CM$2:$DJ$65,MATCH($D55,'Monthly UPC'!$D$2:$D$65,0),MATCH(BZ$1,'Monthly UPC'!$CM$1:$DJ$1))*(INDEX('Monthly CUST'!$N$2:$CG$65,MATCH($D55,'Monthly CUST'!$D$2:$D$65,0),MATCH(BZ$1,'Monthly CUST'!$N$1:$CG$1,0))),IF($J55="UPC Growth Rate",((BN55/INDEX('Monthly CUST'!$N$2:$CG$65,MATCH($D55,'Monthly CUST'!$D$2:$D$65,0),MATCH(BN$1,'Monthly CUST'!$N$1:$CG$1,0)))*(1+$L55)*INDEX('Monthly CUST'!$N$2:$CG$65,MATCH($D55,'Monthly CUST'!$D$2:$D$65,0),MATCH(BZ$1,'Monthly CUST'!$N$1:$CG$1,0))),IF($J55="Modeled UPC",INDEX('Monthly CUST'!$N$2:$CG$65,MATCH($D55,'Monthly CUST'!$D$2:$D$65,0),MATCH(BZ$1,'Monthly CUST'!$N$1:$CG$1,0))/12*$M55,IF($J55="Base Period",BN55,IF($J55="Adjusted",SUMIF('Input 15_Fcst Inputs'!$A:$A,$D55,'Input 15_Fcst Inputs'!$G:$G)/12))))),0)</f>
        <v>232120.12623778681</v>
      </c>
      <c r="CA55" s="483">
        <f>IFERROR(IF($J55="Historical Average",INDEX('Monthly UPC'!$CM$2:$DJ$65,MATCH($D55,'Monthly UPC'!$D$2:$D$65,0),MATCH(CA$1,'Monthly UPC'!$CM$1:$DJ$1))*(INDEX('Monthly CUST'!$N$2:$CG$65,MATCH($D55,'Monthly CUST'!$D$2:$D$65,0),MATCH(CA$1,'Monthly CUST'!$N$1:$CG$1,0))),IF($J55="UPC Growth Rate",((BO55/INDEX('Monthly CUST'!$N$2:$CG$65,MATCH($D55,'Monthly CUST'!$D$2:$D$65,0),MATCH(BO$1,'Monthly CUST'!$N$1:$CG$1,0)))*(1+$L55)*INDEX('Monthly CUST'!$N$2:$CG$65,MATCH($D55,'Monthly CUST'!$D$2:$D$65,0),MATCH(CA$1,'Monthly CUST'!$N$1:$CG$1,0))),IF($J55="Modeled UPC",INDEX('Monthly CUST'!$N$2:$CG$65,MATCH($D55,'Monthly CUST'!$D$2:$D$65,0),MATCH(CA$1,'Monthly CUST'!$N$1:$CG$1,0))/12*$M55,IF($J55="Base Period",BO55,IF($J55="Adjusted",SUMIF('Input 15_Fcst Inputs'!$A:$A,$D55,'Input 15_Fcst Inputs'!$G:$G)/12))))),0)</f>
        <v>234998.69634346309</v>
      </c>
      <c r="CB55" s="483">
        <f>IFERROR(IF($J55="Historical Average",INDEX('Monthly UPC'!$CM$2:$DJ$65,MATCH($D55,'Monthly UPC'!$D$2:$D$65,0),MATCH(CB$1,'Monthly UPC'!$CM$1:$DJ$1))*(INDEX('Monthly CUST'!$N$2:$CG$65,MATCH($D55,'Monthly CUST'!$D$2:$D$65,0),MATCH(CB$1,'Monthly CUST'!$N$1:$CG$1,0))),IF($J55="UPC Growth Rate",((BP55/INDEX('Monthly CUST'!$N$2:$CG$65,MATCH($D55,'Monthly CUST'!$D$2:$D$65,0),MATCH(BP$1,'Monthly CUST'!$N$1:$CG$1,0)))*(1+$L55)*INDEX('Monthly CUST'!$N$2:$CG$65,MATCH($D55,'Monthly CUST'!$D$2:$D$65,0),MATCH(CB$1,'Monthly CUST'!$N$1:$CG$1,0))),IF($J55="Modeled UPC",INDEX('Monthly CUST'!$N$2:$CG$65,MATCH($D55,'Monthly CUST'!$D$2:$D$65,0),MATCH(CB$1,'Monthly CUST'!$N$1:$CG$1,0))/12*$M55,IF($J55="Base Period",BP55,IF($J55="Adjusted",SUMIF('Input 15_Fcst Inputs'!$A:$A,$D55,'Input 15_Fcst Inputs'!$G:$G)/12))))),0)</f>
        <v>228536.70634558777</v>
      </c>
      <c r="CC55" s="483">
        <f>IFERROR(IF($J55="Historical Average",INDEX('Monthly UPC'!$CM$2:$DJ$65,MATCH($D55,'Monthly UPC'!$D$2:$D$65,0),MATCH(CC$1,'Monthly UPC'!$CM$1:$DJ$1))*(INDEX('Monthly CUST'!$N$2:$CG$65,MATCH($D55,'Monthly CUST'!$D$2:$D$65,0),MATCH(CC$1,'Monthly CUST'!$N$1:$CG$1,0))),IF($J55="UPC Growth Rate",((BQ55/INDEX('Monthly CUST'!$N$2:$CG$65,MATCH($D55,'Monthly CUST'!$D$2:$D$65,0),MATCH(BQ$1,'Monthly CUST'!$N$1:$CG$1,0)))*(1+$L55)*INDEX('Monthly CUST'!$N$2:$CG$65,MATCH($D55,'Monthly CUST'!$D$2:$D$65,0),MATCH(CC$1,'Monthly CUST'!$N$1:$CG$1,0))),IF($J55="Modeled UPC",INDEX('Monthly CUST'!$N$2:$CG$65,MATCH($D55,'Monthly CUST'!$D$2:$D$65,0),MATCH(CC$1,'Monthly CUST'!$N$1:$CG$1,0))/12*$M55,IF($J55="Base Period",BQ55,IF($J55="Adjusted",SUMIF('Input 15_Fcst Inputs'!$A:$A,$D55,'Input 15_Fcst Inputs'!$G:$G)/12))))),0)</f>
        <v>210476.49186319794</v>
      </c>
      <c r="CD55" s="483">
        <f>IFERROR(IF($J55="Historical Average",INDEX('Monthly UPC'!$CM$2:$DJ$65,MATCH($D55,'Monthly UPC'!$D$2:$D$65,0),MATCH(CD$1,'Monthly UPC'!$CM$1:$DJ$1))*(INDEX('Monthly CUST'!$N$2:$CG$65,MATCH($D55,'Monthly CUST'!$D$2:$D$65,0),MATCH(CD$1,'Monthly CUST'!$N$1:$CG$1,0))),IF($J55="UPC Growth Rate",((BR55/INDEX('Monthly CUST'!$N$2:$CG$65,MATCH($D55,'Monthly CUST'!$D$2:$D$65,0),MATCH(BR$1,'Monthly CUST'!$N$1:$CG$1,0)))*(1+$L55)*INDEX('Monthly CUST'!$N$2:$CG$65,MATCH($D55,'Monthly CUST'!$D$2:$D$65,0),MATCH(CD$1,'Monthly CUST'!$N$1:$CG$1,0))),IF($J55="Modeled UPC",INDEX('Monthly CUST'!$N$2:$CG$65,MATCH($D55,'Monthly CUST'!$D$2:$D$65,0),MATCH(CD$1,'Monthly CUST'!$N$1:$CG$1,0))/12*$M55,IF($J55="Base Period",BR55,IF($J55="Adjusted",SUMIF('Input 15_Fcst Inputs'!$A:$A,$D55,'Input 15_Fcst Inputs'!$G:$G)/12))))),0)</f>
        <v>231626.50192973591</v>
      </c>
      <c r="CE55" s="483">
        <f>IFERROR(IF($J55="Historical Average",INDEX('Monthly UPC'!$CM$2:$DJ$65,MATCH($D55,'Monthly UPC'!$D$2:$D$65,0),MATCH(CE$1,'Monthly UPC'!$CM$1:$DJ$1))*(INDEX('Monthly CUST'!$N$2:$CG$65,MATCH($D55,'Monthly CUST'!$D$2:$D$65,0),MATCH(CE$1,'Monthly CUST'!$N$1:$CG$1,0))),IF($J55="UPC Growth Rate",((BS55/INDEX('Monthly CUST'!$N$2:$CG$65,MATCH($D55,'Monthly CUST'!$D$2:$D$65,0),MATCH(BS$1,'Monthly CUST'!$N$1:$CG$1,0)))*(1+$L55)*INDEX('Monthly CUST'!$N$2:$CG$65,MATCH($D55,'Monthly CUST'!$D$2:$D$65,0),MATCH(CE$1,'Monthly CUST'!$N$1:$CG$1,0))),IF($J55="Modeled UPC",INDEX('Monthly CUST'!$N$2:$CG$65,MATCH($D55,'Monthly CUST'!$D$2:$D$65,0),MATCH(CE$1,'Monthly CUST'!$N$1:$CG$1,0))/12*$M55,IF($J55="Base Period",BS55,IF($J55="Adjusted",SUMIF('Input 15_Fcst Inputs'!$A:$A,$D55,'Input 15_Fcst Inputs'!$G:$G)/12))))),0)</f>
        <v>232254.39520591489</v>
      </c>
      <c r="CF55" s="483">
        <f>IFERROR(IF($J55="Historical Average",INDEX('Monthly UPC'!$CM$2:$DJ$65,MATCH($D55,'Monthly UPC'!$D$2:$D$65,0),MATCH(CF$1,'Monthly UPC'!$CM$1:$DJ$1))*(INDEX('Monthly CUST'!$N$2:$CG$65,MATCH($D55,'Monthly CUST'!$D$2:$D$65,0),MATCH(CF$1,'Monthly CUST'!$N$1:$CG$1,0))),IF($J55="UPC Growth Rate",((BT55/INDEX('Monthly CUST'!$N$2:$CG$65,MATCH($D55,'Monthly CUST'!$D$2:$D$65,0),MATCH(BT$1,'Monthly CUST'!$N$1:$CG$1,0)))*(1+$L55)*INDEX('Monthly CUST'!$N$2:$CG$65,MATCH($D55,'Monthly CUST'!$D$2:$D$65,0),MATCH(CF$1,'Monthly CUST'!$N$1:$CG$1,0))),IF($J55="Modeled UPC",INDEX('Monthly CUST'!$N$2:$CG$65,MATCH($D55,'Monthly CUST'!$D$2:$D$65,0),MATCH(CF$1,'Monthly CUST'!$N$1:$CG$1,0))/12*$M55,IF($J55="Base Period",BT55,IF($J55="Adjusted",SUMIF('Input 15_Fcst Inputs'!$A:$A,$D55,'Input 15_Fcst Inputs'!$G:$G)/12))))),0)</f>
        <v>263537.16474719008</v>
      </c>
      <c r="CG55" s="483">
        <f>IFERROR(IF($J55="Historical Average",INDEX('Monthly UPC'!$CM$2:$DJ$65,MATCH($D55,'Monthly UPC'!$D$2:$D$65,0),MATCH(CG$1,'Monthly UPC'!$CM$1:$DJ$1))*(INDEX('Monthly CUST'!$N$2:$CG$65,MATCH($D55,'Monthly CUST'!$D$2:$D$65,0),MATCH(CG$1,'Monthly CUST'!$N$1:$CG$1,0))),IF($J55="UPC Growth Rate",((BU55/INDEX('Monthly CUST'!$N$2:$CG$65,MATCH($D55,'Monthly CUST'!$D$2:$D$65,0),MATCH(BU$1,'Monthly CUST'!$N$1:$CG$1,0)))*(1+$L55)*INDEX('Monthly CUST'!$N$2:$CG$65,MATCH($D55,'Monthly CUST'!$D$2:$D$65,0),MATCH(CG$1,'Monthly CUST'!$N$1:$CG$1,0))),IF($J55="Modeled UPC",INDEX('Monthly CUST'!$N$2:$CG$65,MATCH($D55,'Monthly CUST'!$D$2:$D$65,0),MATCH(CG$1,'Monthly CUST'!$N$1:$CG$1,0))/12*$M55,IF($J55="Base Period",BU55,IF($J55="Adjusted",SUMIF('Input 15_Fcst Inputs'!$A:$A,$D55,'Input 15_Fcst Inputs'!$G:$G)/12))))),0)</f>
        <v>335014.23034985678</v>
      </c>
      <c r="CH55" s="197"/>
      <c r="CI55" s="197">
        <f t="shared" si="8"/>
        <v>3078510.74</v>
      </c>
      <c r="CJ55" s="197">
        <f t="shared" si="9"/>
        <v>3177361.0100000002</v>
      </c>
      <c r="CK55" s="197">
        <f t="shared" si="10"/>
        <v>2769647.3300000005</v>
      </c>
      <c r="CL55" s="197">
        <f t="shared" si="11"/>
        <v>3034325.4999999991</v>
      </c>
      <c r="CM55" s="197">
        <f t="shared" si="12"/>
        <v>3091840.9473842038</v>
      </c>
      <c r="CN55" s="197">
        <f t="shared" si="13"/>
        <v>3150446.5964253517</v>
      </c>
      <c r="CP55" s="4">
        <f>SUMIF('Master '!D:D,D55,'Master '!AH:AH)</f>
        <v>3091840.9473842033</v>
      </c>
      <c r="CQ55" s="4">
        <f>SUMIF('Master '!D:D,D55,'Master '!AI:AI)</f>
        <v>3150446.5964253508</v>
      </c>
      <c r="CR55" s="197">
        <f t="shared" si="14"/>
        <v>0</v>
      </c>
      <c r="CS55" s="197">
        <f t="shared" si="15"/>
        <v>0</v>
      </c>
      <c r="CT55" t="s">
        <v>287</v>
      </c>
      <c r="CV55" t="str">
        <f>VLOOKUP(G55,'Master '!G:CC,75,FALSE)</f>
        <v>FTS-4</v>
      </c>
    </row>
    <row r="56" spans="1:100">
      <c r="A56" s="53" t="s">
        <v>17</v>
      </c>
      <c r="B56" s="53" t="s">
        <v>993</v>
      </c>
      <c r="C56" s="53" t="s">
        <v>1245</v>
      </c>
      <c r="D56" s="53" t="s">
        <v>67</v>
      </c>
      <c r="E56" s="53" t="str">
        <f>VLOOKUP(D56,'Input 14_Ref Table'!C:D,2,FALSE)</f>
        <v>CC602</v>
      </c>
      <c r="F56" s="143" t="s">
        <v>1286</v>
      </c>
      <c r="G56" s="53" t="str">
        <f>VLOOKUP(D56,'Input 14_Ref Table'!C:I,7,FALSE)</f>
        <v>CFG - FTS-5</v>
      </c>
      <c r="H56" s="53" t="str">
        <f>VLOOKUP(D56,'Input 14_Ref Table'!C:K,8,FALSE)</f>
        <v>Base Period</v>
      </c>
      <c r="I56" s="53"/>
      <c r="J56" t="str">
        <f>INDEX('Master '!$AD$2:AD$65,MATCH(D56,'Master '!$D$2:$D$65,0))</f>
        <v>Base Period</v>
      </c>
      <c r="K56" s="458">
        <f>INDEX('Master '!$N$2:N$65,MATCH(D56,'Master '!$D$2:$D$65,0))</f>
        <v>0</v>
      </c>
      <c r="L56" s="137">
        <f>INDEX('Master '!$S$2:S$65,MATCH(D56,'Master '!$D$2:$D$65,0))</f>
        <v>0</v>
      </c>
      <c r="M56" s="4">
        <f>INDEX('Master '!$W$2:W$65,MATCH(D56,'Master '!$D$2:$D$65,0))</f>
        <v>29072.603888888887</v>
      </c>
      <c r="N56" s="268">
        <f>SUMIF('Input 16.1_2018VOL-YTD'!$R:$R,$G56,'Input 16.1_2018VOL-YTD'!C:C)</f>
        <v>137705.51999999999</v>
      </c>
      <c r="O56" s="268">
        <f>SUMIF('Input 16.1_2018VOL-YTD'!$R:$R,$G56,'Input 16.1_2018VOL-YTD'!D:D)</f>
        <v>132751.39000000001</v>
      </c>
      <c r="P56" s="268">
        <f>SUMIF('Input 16.1_2018VOL-YTD'!$R:$R,$G56,'Input 16.1_2018VOL-YTD'!E:E)</f>
        <v>139945</v>
      </c>
      <c r="Q56" s="268">
        <f>SUMIF('Input 16.1_2018VOL-YTD'!$R:$R,$G56,'Input 16.1_2018VOL-YTD'!F:F)</f>
        <v>103326.49</v>
      </c>
      <c r="R56" s="268">
        <f>SUMIF('Input 16.1_2018VOL-YTD'!$R:$R,$G56,'Input 16.1_2018VOL-YTD'!G:G)</f>
        <v>77039.98</v>
      </c>
      <c r="S56" s="268">
        <f>SUMIF('Input 16.1_2018VOL-YTD'!$R:$R,$G56,'Input 16.1_2018VOL-YTD'!H:H)</f>
        <v>79442.28</v>
      </c>
      <c r="T56" s="268">
        <f>SUMIF('Input 16.1_2018VOL-YTD'!$R:$R,$G56,'Input 16.1_2018VOL-YTD'!I:I)</f>
        <v>73279</v>
      </c>
      <c r="U56" s="268">
        <f>SUMIF('Input 16.1_2018VOL-YTD'!$R:$R,$G56,'Input 16.1_2018VOL-YTD'!J:J)</f>
        <v>78675.86</v>
      </c>
      <c r="V56" s="268">
        <f>SUMIF('Input 16.1_2018VOL-YTD'!$R:$R,$G56,'Input 16.1_2018VOL-YTD'!K:K)</f>
        <v>77998.880000000005</v>
      </c>
      <c r="W56" s="268">
        <f>SUMIF('Input 16.1_2018VOL-YTD'!$R:$R,$G56,'Input 16.1_2018VOL-YTD'!L:L)</f>
        <v>74137.08</v>
      </c>
      <c r="X56" s="268">
        <f>SUMIF('Input 16.1_2018VOL-YTD'!$R:$R,$G56,'Input 16.1_2018VOL-YTD'!M:M)</f>
        <v>92908.49</v>
      </c>
      <c r="Y56" s="268">
        <f>SUMIF('Input 16.1_2018VOL-YTD'!$R:$R,$G56,'Input 16.1_2018VOL-YTD'!N:N)</f>
        <v>99810.32</v>
      </c>
      <c r="Z56" s="268">
        <f>SUMIF('Input 3.1_2019VOL-YTD'!$R:$R,$G56,'Input 3.1_2019VOL-YTD'!C:C)</f>
        <v>112552.44</v>
      </c>
      <c r="AA56" s="268">
        <f>SUMIF('Input 3.1_2019VOL-YTD'!$R:$R,$G56,'Input 3.1_2019VOL-YTD'!D:D)</f>
        <v>97652.76</v>
      </c>
      <c r="AB56" s="268">
        <f>SUMIF('Input 3.1_2019VOL-YTD'!$R:$R,$G56,'Input 3.1_2019VOL-YTD'!E:E)</f>
        <v>98514.3</v>
      </c>
      <c r="AC56" s="268">
        <f>SUMIF('Input 3.1_2019VOL-YTD'!$R:$R,$G56,'Input 3.1_2019VOL-YTD'!F:F)</f>
        <v>92204.17</v>
      </c>
      <c r="AD56" s="268">
        <f>SUMIF('Input 3.1_2019VOL-YTD'!$R:$R,$G56,'Input 3.1_2019VOL-YTD'!G:G)</f>
        <v>95365.1</v>
      </c>
      <c r="AE56" s="268">
        <f>SUMIF('Input 3.1_2019VOL-YTD'!$R:$R,$G56,'Input 3.1_2019VOL-YTD'!H:H)</f>
        <v>80223.3</v>
      </c>
      <c r="AF56" s="268">
        <f>SUMIF('Input 3.1_2019VOL-YTD'!$R:$R,$G56,'Input 3.1_2019VOL-YTD'!I:I)</f>
        <v>76350.820000000007</v>
      </c>
      <c r="AG56" s="268">
        <f>SUMIF('Input 3.1_2019VOL-YTD'!$R:$R,$G56,'Input 3.1_2019VOL-YTD'!J:J)</f>
        <v>74427.649999999994</v>
      </c>
      <c r="AH56" s="268">
        <f>SUMIF('Input 3.1_2019VOL-YTD'!$R:$R,$G56,'Input 3.1_2019VOL-YTD'!K:K)</f>
        <v>80604.320000000007</v>
      </c>
      <c r="AI56" s="268">
        <f>SUMIF('Input 3.1_2019VOL-YTD'!$R:$R,$G56,'Input 3.1_2019VOL-YTD'!L:L)</f>
        <v>69787.55</v>
      </c>
      <c r="AJ56" s="268">
        <f>SUMIF('Input 3.1_2019VOL-YTD'!$R:$R,$G56,'Input 3.1_2019VOL-YTD'!M:M)</f>
        <v>85004.36</v>
      </c>
      <c r="AK56" s="268">
        <f>SUMIF('Input 3.1_2019VOL-YTD'!$R:$R,$G56,'Input 3.1_2019VOL-YTD'!N:N)</f>
        <v>92703.75</v>
      </c>
      <c r="AL56" s="268">
        <f>SUMIF('Input 4.1_2020VOL-YTD'!$R:$R,$G56,'Input 4.1_2020VOL-YTD'!C:C)</f>
        <v>96443.98</v>
      </c>
      <c r="AM56" s="268">
        <f>SUMIF('Input 4.1_2020VOL-YTD'!$R:$R,$G56,'Input 4.1_2020VOL-YTD'!D:D)</f>
        <v>94903.99</v>
      </c>
      <c r="AN56" s="268">
        <f>SUMIF('Input 4.1_2020VOL-YTD'!$R:$R,$G56,'Input 4.1_2020VOL-YTD'!E:E)</f>
        <v>96641.11</v>
      </c>
      <c r="AO56" s="268">
        <f>SUMIF('Input 4.1_2020VOL-YTD'!$R:$R,$G56,'Input 4.1_2020VOL-YTD'!F:F)</f>
        <v>102407.06</v>
      </c>
      <c r="AP56" s="268">
        <f>SUMIF('Input 4.1_2020VOL-YTD'!$R:$R,$G56,'Input 4.1_2020VOL-YTD'!G:G)</f>
        <v>79561.509999999995</v>
      </c>
      <c r="AQ56" s="268">
        <f>SUMIF('Input 4.1_2020VOL-YTD'!$R:$R,$G56,'Input 4.1_2020VOL-YTD'!H:H)</f>
        <v>71654.539999999994</v>
      </c>
      <c r="AR56" s="268">
        <f>SUMIF('Input 4.1_2020VOL-YTD'!$R:$R,$G56,'Input 4.1_2020VOL-YTD'!I:I)</f>
        <v>73766.02</v>
      </c>
      <c r="AS56" s="268">
        <f>SUMIF('Input 4.1_2020VOL-YTD'!$R:$R,$G56,'Input 4.1_2020VOL-YTD'!J:J)</f>
        <v>78402.23</v>
      </c>
      <c r="AT56" s="268">
        <f>SUMIF('Input 4.1_2020VOL-YTD'!$R:$R,$G56,'Input 4.1_2020VOL-YTD'!K:K)</f>
        <v>77419.789999999994</v>
      </c>
      <c r="AU56" s="268">
        <f>SUMIF('Input 4.1_2020VOL-YTD'!$R:$R,$G56,'Input 4.1_2020VOL-YTD'!L:L)</f>
        <v>75065.679999999993</v>
      </c>
      <c r="AV56" s="268">
        <f>SUMIF('Input 4.1_2020VOL-YTD'!$R:$R,$G56,'Input 4.1_2020VOL-YTD'!M:M)</f>
        <v>81864.36</v>
      </c>
      <c r="AW56" s="268">
        <f>SUMIF('Input 4.1_2020VOL-YTD'!$R:$R,$G56,'Input 4.1_2020VOL-YTD'!N:N)</f>
        <v>100755.6</v>
      </c>
      <c r="AX56" s="268">
        <f>SUMIF('Input 5.1_2021VOL-YTD'!$R:$R,$G56,'Input 5.1_2021VOL-YTD'!C:C)</f>
        <v>105761.76</v>
      </c>
      <c r="AY56" s="268">
        <f>SUMIF('Input 5.1_2021VOL-YTD'!$R:$R,$G56,'Input 5.1_2021VOL-YTD'!D:D)</f>
        <v>98958.61</v>
      </c>
      <c r="AZ56" s="268">
        <f>SUMIF('Input 5.1_2021VOL-YTD'!$R:$R,$G56,'Input 5.1_2021VOL-YTD'!E:E)</f>
        <v>124526.79</v>
      </c>
      <c r="BA56" s="268">
        <f>SUMIF('Input 5.1_2021VOL-YTD'!$R:$R,$G56,'Input 5.1_2021VOL-YTD'!F:F)</f>
        <v>91812.54</v>
      </c>
      <c r="BB56" s="268">
        <f>SUMIF('Input 5.1_2021VOL-YTD'!$R:$R,$G56,'Input 5.1_2021VOL-YTD'!G:G)</f>
        <v>72381.36</v>
      </c>
      <c r="BC56" s="268">
        <f>SUMIF('Input 5.1_2021VOL-YTD'!$R:$R,$G56,'Input 5.1_2021VOL-YTD'!H:H)</f>
        <v>67255.009999999995</v>
      </c>
      <c r="BD56" s="268">
        <f>SUMIF('Input 5.1_2021VOL-YTD'!$R:$R,$G56,'Input 5.1_2021VOL-YTD'!I:I)</f>
        <v>69810.84</v>
      </c>
      <c r="BE56" s="268">
        <f>SUMIF('Input 5.1_2021VOL-YTD'!$R:$R,$G56,'Input 5.1_2021VOL-YTD'!J:J)</f>
        <v>65389.68</v>
      </c>
      <c r="BF56" s="268">
        <f>SUMIF('Input 5.1_2021VOL-YTD'!$R:$R,$G56,'Input 5.1_2021VOL-YTD'!K:K)</f>
        <v>75563.990000000005</v>
      </c>
      <c r="BG56" s="268">
        <f>SUMIF('Input 5.1_2021VOL-YTD'!$R:$R,$G56,'Input 5.1_2021VOL-YTD'!L:L)</f>
        <v>93131.82</v>
      </c>
      <c r="BH56" s="268">
        <f>SUMIF('Input 5.1_2021VOL-YTD'!$R:$R,$G56,'Input 5.1_2021VOL-YTD'!M:M)</f>
        <v>80265.070000000007</v>
      </c>
      <c r="BI56" s="268">
        <f>SUMIF('Input 5.1_2021VOL-YTD'!$R:$R,$G56,'Input 5.1_2021VOL-YTD'!N:N)</f>
        <v>101756.27</v>
      </c>
      <c r="BJ56" s="483">
        <f>IFERROR(IF($J56="Historical Average",INDEX('Monthly UPC'!$CM$2:$DJ$65,MATCH($D56,'Monthly UPC'!$D$2:$D$65,0),MATCH(BJ$1,'Monthly UPC'!$CM$1:$DJ$1))*(INDEX('Monthly CUST'!$N$2:$CG$65,MATCH($D56,'Monthly CUST'!$D$2:$D$65,0),MATCH(BJ$1,'Monthly CUST'!$N$1:$CG$1,0))),IF($J56="UPC Growth Rate",((AX56/INDEX('Monthly CUST'!$N$2:$CG$65,MATCH($D56,'Monthly CUST'!$D$2:$D$65,0),MATCH(AX$1,'Monthly CUST'!$N$1:$CG$1,0)))*(1+$L56)*INDEX('Monthly CUST'!$N$2:$CG$65,MATCH($D56,'Monthly CUST'!$D$2:$D$65,0),MATCH(BJ$1,'Monthly CUST'!$N$1:$CG$1,0))),IF($J56="Modeled UPC",INDEX('Monthly CUST'!$N$2:$CG$65,MATCH($D56,'Monthly CUST'!$D$2:$D$65,0),MATCH(BJ$1,'Monthly CUST'!$N$1:$CG$1,0))/12*$M56,IF($J56="Base Period",AX56,IF($J56="Adjusted",SUMIF('Input 15_Fcst Inputs'!$A:$A,$D56,'Input 15_Fcst Inputs'!$G:$G)/12))))),0)</f>
        <v>105761.76</v>
      </c>
      <c r="BK56" s="483">
        <f>IFERROR(IF($J56="Historical Average",INDEX('Monthly UPC'!$CM$2:$DJ$65,MATCH($D56,'Monthly UPC'!$D$2:$D$65,0),MATCH(BK$1,'Monthly UPC'!$CM$1:$DJ$1))*(INDEX('Monthly CUST'!$N$2:$CG$65,MATCH($D56,'Monthly CUST'!$D$2:$D$65,0),MATCH(BK$1,'Monthly CUST'!$N$1:$CG$1,0))),IF($J56="UPC Growth Rate",((AY56/INDEX('Monthly CUST'!$N$2:$CG$65,MATCH($D56,'Monthly CUST'!$D$2:$D$65,0),MATCH(AY$1,'Monthly CUST'!$N$1:$CG$1,0)))*(1+$L56)*INDEX('Monthly CUST'!$N$2:$CG$65,MATCH($D56,'Monthly CUST'!$D$2:$D$65,0),MATCH(BK$1,'Monthly CUST'!$N$1:$CG$1,0))),IF($J56="Modeled UPC",INDEX('Monthly CUST'!$N$2:$CG$65,MATCH($D56,'Monthly CUST'!$D$2:$D$65,0),MATCH(BK$1,'Monthly CUST'!$N$1:$CG$1,0))/12*$M56,IF($J56="Base Period",AY56,IF($J56="Adjusted",SUMIF('Input 15_Fcst Inputs'!$A:$A,$D56,'Input 15_Fcst Inputs'!$G:$G)/12))))),0)</f>
        <v>98958.61</v>
      </c>
      <c r="BL56" s="483">
        <f>IFERROR(IF($J56="Historical Average",INDEX('Monthly UPC'!$CM$2:$DJ$65,MATCH($D56,'Monthly UPC'!$D$2:$D$65,0),MATCH(BL$1,'Monthly UPC'!$CM$1:$DJ$1))*(INDEX('Monthly CUST'!$N$2:$CG$65,MATCH($D56,'Monthly CUST'!$D$2:$D$65,0),MATCH(BL$1,'Monthly CUST'!$N$1:$CG$1,0))),IF($J56="UPC Growth Rate",((AZ56/INDEX('Monthly CUST'!$N$2:$CG$65,MATCH($D56,'Monthly CUST'!$D$2:$D$65,0),MATCH(AZ$1,'Monthly CUST'!$N$1:$CG$1,0)))*(1+$L56)*INDEX('Monthly CUST'!$N$2:$CG$65,MATCH($D56,'Monthly CUST'!$D$2:$D$65,0),MATCH(BL$1,'Monthly CUST'!$N$1:$CG$1,0))),IF($J56="Modeled UPC",INDEX('Monthly CUST'!$N$2:$CG$65,MATCH($D56,'Monthly CUST'!$D$2:$D$65,0),MATCH(BL$1,'Monthly CUST'!$N$1:$CG$1,0))/12*$M56,IF($J56="Base Period",AZ56,IF($J56="Adjusted",SUMIF('Input 15_Fcst Inputs'!$A:$A,$D56,'Input 15_Fcst Inputs'!$G:$G)/12))))),0)</f>
        <v>124526.79</v>
      </c>
      <c r="BM56" s="483">
        <f>IFERROR(IF($J56="Historical Average",INDEX('Monthly UPC'!$CM$2:$DJ$65,MATCH($D56,'Monthly UPC'!$D$2:$D$65,0),MATCH(BM$1,'Monthly UPC'!$CM$1:$DJ$1))*(INDEX('Monthly CUST'!$N$2:$CG$65,MATCH($D56,'Monthly CUST'!$D$2:$D$65,0),MATCH(BM$1,'Monthly CUST'!$N$1:$CG$1,0))),IF($J56="UPC Growth Rate",((BA56/INDEX('Monthly CUST'!$N$2:$CG$65,MATCH($D56,'Monthly CUST'!$D$2:$D$65,0),MATCH(BA$1,'Monthly CUST'!$N$1:$CG$1,0)))*(1+$L56)*INDEX('Monthly CUST'!$N$2:$CG$65,MATCH($D56,'Monthly CUST'!$D$2:$D$65,0),MATCH(BM$1,'Monthly CUST'!$N$1:$CG$1,0))),IF($J56="Modeled UPC",INDEX('Monthly CUST'!$N$2:$CG$65,MATCH($D56,'Monthly CUST'!$D$2:$D$65,0),MATCH(BM$1,'Monthly CUST'!$N$1:$CG$1,0))/12*$M56,IF($J56="Base Period",BA56,IF($J56="Adjusted",SUMIF('Input 15_Fcst Inputs'!$A:$A,$D56,'Input 15_Fcst Inputs'!$G:$G)/12))))),0)</f>
        <v>91812.54</v>
      </c>
      <c r="BN56" s="483">
        <f>IFERROR(IF($J56="Historical Average",INDEX('Monthly UPC'!$CM$2:$DJ$65,MATCH($D56,'Monthly UPC'!$D$2:$D$65,0),MATCH(BN$1,'Monthly UPC'!$CM$1:$DJ$1))*(INDEX('Monthly CUST'!$N$2:$CG$65,MATCH($D56,'Monthly CUST'!$D$2:$D$65,0),MATCH(BN$1,'Monthly CUST'!$N$1:$CG$1,0))),IF($J56="UPC Growth Rate",((BB56/INDEX('Monthly CUST'!$N$2:$CG$65,MATCH($D56,'Monthly CUST'!$D$2:$D$65,0),MATCH(BB$1,'Monthly CUST'!$N$1:$CG$1,0)))*(1+$L56)*INDEX('Monthly CUST'!$N$2:$CG$65,MATCH($D56,'Monthly CUST'!$D$2:$D$65,0),MATCH(BN$1,'Monthly CUST'!$N$1:$CG$1,0))),IF($J56="Modeled UPC",INDEX('Monthly CUST'!$N$2:$CG$65,MATCH($D56,'Monthly CUST'!$D$2:$D$65,0),MATCH(BN$1,'Monthly CUST'!$N$1:$CG$1,0))/12*$M56,IF($J56="Base Period",BB56,IF($J56="Adjusted",SUMIF('Input 15_Fcst Inputs'!$A:$A,$D56,'Input 15_Fcst Inputs'!$G:$G)/12))))),0)</f>
        <v>72381.36</v>
      </c>
      <c r="BO56" s="483">
        <f>IFERROR(IF($J56="Historical Average",INDEX('Monthly UPC'!$CM$2:$DJ$65,MATCH($D56,'Monthly UPC'!$D$2:$D$65,0),MATCH(BO$1,'Monthly UPC'!$CM$1:$DJ$1))*(INDEX('Monthly CUST'!$N$2:$CG$65,MATCH($D56,'Monthly CUST'!$D$2:$D$65,0),MATCH(BO$1,'Monthly CUST'!$N$1:$CG$1,0))),IF($J56="UPC Growth Rate",((BC56/INDEX('Monthly CUST'!$N$2:$CG$65,MATCH($D56,'Monthly CUST'!$D$2:$D$65,0),MATCH(BC$1,'Monthly CUST'!$N$1:$CG$1,0)))*(1+$L56)*INDEX('Monthly CUST'!$N$2:$CG$65,MATCH($D56,'Monthly CUST'!$D$2:$D$65,0),MATCH(BO$1,'Monthly CUST'!$N$1:$CG$1,0))),IF($J56="Modeled UPC",INDEX('Monthly CUST'!$N$2:$CG$65,MATCH($D56,'Monthly CUST'!$D$2:$D$65,0),MATCH(BO$1,'Monthly CUST'!$N$1:$CG$1,0))/12*$M56,IF($J56="Base Period",BC56,IF($J56="Adjusted",SUMIF('Input 15_Fcst Inputs'!$A:$A,$D56,'Input 15_Fcst Inputs'!$G:$G)/12))))),0)</f>
        <v>67255.009999999995</v>
      </c>
      <c r="BP56" s="483">
        <f>IFERROR(IF($J56="Historical Average",INDEX('Monthly UPC'!$CM$2:$DJ$65,MATCH($D56,'Monthly UPC'!$D$2:$D$65,0),MATCH(BP$1,'Monthly UPC'!$CM$1:$DJ$1))*(INDEX('Monthly CUST'!$N$2:$CG$65,MATCH($D56,'Monthly CUST'!$D$2:$D$65,0),MATCH(BP$1,'Monthly CUST'!$N$1:$CG$1,0))),IF($J56="UPC Growth Rate",((BD56/INDEX('Monthly CUST'!$N$2:$CG$65,MATCH($D56,'Monthly CUST'!$D$2:$D$65,0),MATCH(BD$1,'Monthly CUST'!$N$1:$CG$1,0)))*(1+$L56)*INDEX('Monthly CUST'!$N$2:$CG$65,MATCH($D56,'Monthly CUST'!$D$2:$D$65,0),MATCH(BP$1,'Monthly CUST'!$N$1:$CG$1,0))),IF($J56="Modeled UPC",INDEX('Monthly CUST'!$N$2:$CG$65,MATCH($D56,'Monthly CUST'!$D$2:$D$65,0),MATCH(BP$1,'Monthly CUST'!$N$1:$CG$1,0))/12*$M56,IF($J56="Base Period",BD56,IF($J56="Adjusted",SUMIF('Input 15_Fcst Inputs'!$A:$A,$D56,'Input 15_Fcst Inputs'!$G:$G)/12))))),0)</f>
        <v>69810.84</v>
      </c>
      <c r="BQ56" s="483">
        <f>IFERROR(IF($J56="Historical Average",INDEX('Monthly UPC'!$CM$2:$DJ$65,MATCH($D56,'Monthly UPC'!$D$2:$D$65,0),MATCH(BQ$1,'Monthly UPC'!$CM$1:$DJ$1))*(INDEX('Monthly CUST'!$N$2:$CG$65,MATCH($D56,'Monthly CUST'!$D$2:$D$65,0),MATCH(BQ$1,'Monthly CUST'!$N$1:$CG$1,0))),IF($J56="UPC Growth Rate",((BE56/INDEX('Monthly CUST'!$N$2:$CG$65,MATCH($D56,'Monthly CUST'!$D$2:$D$65,0),MATCH(BE$1,'Monthly CUST'!$N$1:$CG$1,0)))*(1+$L56)*INDEX('Monthly CUST'!$N$2:$CG$65,MATCH($D56,'Monthly CUST'!$D$2:$D$65,0),MATCH(BQ$1,'Monthly CUST'!$N$1:$CG$1,0))),IF($J56="Modeled UPC",INDEX('Monthly CUST'!$N$2:$CG$65,MATCH($D56,'Monthly CUST'!$D$2:$D$65,0),MATCH(BQ$1,'Monthly CUST'!$N$1:$CG$1,0))/12*$M56,IF($J56="Base Period",BE56,IF($J56="Adjusted",SUMIF('Input 15_Fcst Inputs'!$A:$A,$D56,'Input 15_Fcst Inputs'!$G:$G)/12))))),0)</f>
        <v>65389.68</v>
      </c>
      <c r="BR56" s="483">
        <f>IFERROR(IF($J56="Historical Average",INDEX('Monthly UPC'!$CM$2:$DJ$65,MATCH($D56,'Monthly UPC'!$D$2:$D$65,0),MATCH(BR$1,'Monthly UPC'!$CM$1:$DJ$1))*(INDEX('Monthly CUST'!$N$2:$CG$65,MATCH($D56,'Monthly CUST'!$D$2:$D$65,0),MATCH(BR$1,'Monthly CUST'!$N$1:$CG$1,0))),IF($J56="UPC Growth Rate",((BF56/INDEX('Monthly CUST'!$N$2:$CG$65,MATCH($D56,'Monthly CUST'!$D$2:$D$65,0),MATCH(BF$1,'Monthly CUST'!$N$1:$CG$1,0)))*(1+$L56)*INDEX('Monthly CUST'!$N$2:$CG$65,MATCH($D56,'Monthly CUST'!$D$2:$D$65,0),MATCH(BR$1,'Monthly CUST'!$N$1:$CG$1,0))),IF($J56="Modeled UPC",INDEX('Monthly CUST'!$N$2:$CG$65,MATCH($D56,'Monthly CUST'!$D$2:$D$65,0),MATCH(BR$1,'Monthly CUST'!$N$1:$CG$1,0))/12*$M56,IF($J56="Base Period",BF56,IF($J56="Adjusted",SUMIF('Input 15_Fcst Inputs'!$A:$A,$D56,'Input 15_Fcst Inputs'!$G:$G)/12))))),0)</f>
        <v>75563.990000000005</v>
      </c>
      <c r="BS56" s="483">
        <f>IFERROR(IF($J56="Historical Average",INDEX('Monthly UPC'!$CM$2:$DJ$65,MATCH($D56,'Monthly UPC'!$D$2:$D$65,0),MATCH(BS$1,'Monthly UPC'!$CM$1:$DJ$1))*(INDEX('Monthly CUST'!$N$2:$CG$65,MATCH($D56,'Monthly CUST'!$D$2:$D$65,0),MATCH(BS$1,'Monthly CUST'!$N$1:$CG$1,0))),IF($J56="UPC Growth Rate",((BG56/INDEX('Monthly CUST'!$N$2:$CG$65,MATCH($D56,'Monthly CUST'!$D$2:$D$65,0),MATCH(BG$1,'Monthly CUST'!$N$1:$CG$1,0)))*(1+$L56)*INDEX('Monthly CUST'!$N$2:$CG$65,MATCH($D56,'Monthly CUST'!$D$2:$D$65,0),MATCH(BS$1,'Monthly CUST'!$N$1:$CG$1,0))),IF($J56="Modeled UPC",INDEX('Monthly CUST'!$N$2:$CG$65,MATCH($D56,'Monthly CUST'!$D$2:$D$65,0),MATCH(BS$1,'Monthly CUST'!$N$1:$CG$1,0))/12*$M56,IF($J56="Base Period",BG56,IF($J56="Adjusted",SUMIF('Input 15_Fcst Inputs'!$A:$A,$D56,'Input 15_Fcst Inputs'!$G:$G)/12))))),0)</f>
        <v>93131.82</v>
      </c>
      <c r="BT56" s="483">
        <f>IFERROR(IF($J56="Historical Average",INDEX('Monthly UPC'!$CM$2:$DJ$65,MATCH($D56,'Monthly UPC'!$D$2:$D$65,0),MATCH(BT$1,'Monthly UPC'!$CM$1:$DJ$1))*(INDEX('Monthly CUST'!$N$2:$CG$65,MATCH($D56,'Monthly CUST'!$D$2:$D$65,0),MATCH(BT$1,'Monthly CUST'!$N$1:$CG$1,0))),IF($J56="UPC Growth Rate",((BH56/INDEX('Monthly CUST'!$N$2:$CG$65,MATCH($D56,'Monthly CUST'!$D$2:$D$65,0),MATCH(BH$1,'Monthly CUST'!$N$1:$CG$1,0)))*(1+$L56)*INDEX('Monthly CUST'!$N$2:$CG$65,MATCH($D56,'Monthly CUST'!$D$2:$D$65,0),MATCH(BT$1,'Monthly CUST'!$N$1:$CG$1,0))),IF($J56="Modeled UPC",INDEX('Monthly CUST'!$N$2:$CG$65,MATCH($D56,'Monthly CUST'!$D$2:$D$65,0),MATCH(BT$1,'Monthly CUST'!$N$1:$CG$1,0))/12*$M56,IF($J56="Base Period",BH56,IF($J56="Adjusted",SUMIF('Input 15_Fcst Inputs'!$A:$A,$D56,'Input 15_Fcst Inputs'!$G:$G)/12))))),0)</f>
        <v>80265.070000000007</v>
      </c>
      <c r="BU56" s="483">
        <f>IFERROR(IF($J56="Historical Average",INDEX('Monthly UPC'!$CM$2:$DJ$65,MATCH($D56,'Monthly UPC'!$D$2:$D$65,0),MATCH(BU$1,'Monthly UPC'!$CM$1:$DJ$1))*(INDEX('Monthly CUST'!$N$2:$CG$65,MATCH($D56,'Monthly CUST'!$D$2:$D$65,0),MATCH(BU$1,'Monthly CUST'!$N$1:$CG$1,0))),IF($J56="UPC Growth Rate",((BI56/INDEX('Monthly CUST'!$N$2:$CG$65,MATCH($D56,'Monthly CUST'!$D$2:$D$65,0),MATCH(BI$1,'Monthly CUST'!$N$1:$CG$1,0)))*(1+$L56)*INDEX('Monthly CUST'!$N$2:$CG$65,MATCH($D56,'Monthly CUST'!$D$2:$D$65,0),MATCH(BU$1,'Monthly CUST'!$N$1:$CG$1,0))),IF($J56="Modeled UPC",INDEX('Monthly CUST'!$N$2:$CG$65,MATCH($D56,'Monthly CUST'!$D$2:$D$65,0),MATCH(BU$1,'Monthly CUST'!$N$1:$CG$1,0))/12*$M56,IF($J56="Base Period",BI56,IF($J56="Adjusted",SUMIF('Input 15_Fcst Inputs'!$A:$A,$D56,'Input 15_Fcst Inputs'!$G:$G)/12))))),0)</f>
        <v>101756.27</v>
      </c>
      <c r="BV56" s="483">
        <f>IFERROR(IF($J56="Historical Average",INDEX('Monthly UPC'!$CM$2:$DJ$65,MATCH($D56,'Monthly UPC'!$D$2:$D$65,0),MATCH(BV$1,'Monthly UPC'!$CM$1:$DJ$1))*(INDEX('Monthly CUST'!$N$2:$CG$65,MATCH($D56,'Monthly CUST'!$D$2:$D$65,0),MATCH(BV$1,'Monthly CUST'!$N$1:$CG$1,0))),IF($J56="UPC Growth Rate",((BJ56/INDEX('Monthly CUST'!$N$2:$CG$65,MATCH($D56,'Monthly CUST'!$D$2:$D$65,0),MATCH(BJ$1,'Monthly CUST'!$N$1:$CG$1,0)))*(1+$L56)*INDEX('Monthly CUST'!$N$2:$CG$65,MATCH($D56,'Monthly CUST'!$D$2:$D$65,0),MATCH(BV$1,'Monthly CUST'!$N$1:$CG$1,0))),IF($J56="Modeled UPC",INDEX('Monthly CUST'!$N$2:$CG$65,MATCH($D56,'Monthly CUST'!$D$2:$D$65,0),MATCH(BV$1,'Monthly CUST'!$N$1:$CG$1,0))/12*$M56,IF($J56="Base Period",BJ56,IF($J56="Adjusted",SUMIF('Input 15_Fcst Inputs'!$A:$A,$D56,'Input 15_Fcst Inputs'!$G:$G)/12))))),0)</f>
        <v>105761.76</v>
      </c>
      <c r="BW56" s="483">
        <f>IFERROR(IF($J56="Historical Average",INDEX('Monthly UPC'!$CM$2:$DJ$65,MATCH($D56,'Monthly UPC'!$D$2:$D$65,0),MATCH(BW$1,'Monthly UPC'!$CM$1:$DJ$1))*(INDEX('Monthly CUST'!$N$2:$CG$65,MATCH($D56,'Monthly CUST'!$D$2:$D$65,0),MATCH(BW$1,'Monthly CUST'!$N$1:$CG$1,0))),IF($J56="UPC Growth Rate",((BK56/INDEX('Monthly CUST'!$N$2:$CG$65,MATCH($D56,'Monthly CUST'!$D$2:$D$65,0),MATCH(BK$1,'Monthly CUST'!$N$1:$CG$1,0)))*(1+$L56)*INDEX('Monthly CUST'!$N$2:$CG$65,MATCH($D56,'Monthly CUST'!$D$2:$D$65,0),MATCH(BW$1,'Monthly CUST'!$N$1:$CG$1,0))),IF($J56="Modeled UPC",INDEX('Monthly CUST'!$N$2:$CG$65,MATCH($D56,'Monthly CUST'!$D$2:$D$65,0),MATCH(BW$1,'Monthly CUST'!$N$1:$CG$1,0))/12*$M56,IF($J56="Base Period",BK56,IF($J56="Adjusted",SUMIF('Input 15_Fcst Inputs'!$A:$A,$D56,'Input 15_Fcst Inputs'!$G:$G)/12))))),0)</f>
        <v>98958.61</v>
      </c>
      <c r="BX56" s="483">
        <f>IFERROR(IF($J56="Historical Average",INDEX('Monthly UPC'!$CM$2:$DJ$65,MATCH($D56,'Monthly UPC'!$D$2:$D$65,0),MATCH(BX$1,'Monthly UPC'!$CM$1:$DJ$1))*(INDEX('Monthly CUST'!$N$2:$CG$65,MATCH($D56,'Monthly CUST'!$D$2:$D$65,0),MATCH(BX$1,'Monthly CUST'!$N$1:$CG$1,0))),IF($J56="UPC Growth Rate",((BL56/INDEX('Monthly CUST'!$N$2:$CG$65,MATCH($D56,'Monthly CUST'!$D$2:$D$65,0),MATCH(BL$1,'Monthly CUST'!$N$1:$CG$1,0)))*(1+$L56)*INDEX('Monthly CUST'!$N$2:$CG$65,MATCH($D56,'Monthly CUST'!$D$2:$D$65,0),MATCH(BX$1,'Monthly CUST'!$N$1:$CG$1,0))),IF($J56="Modeled UPC",INDEX('Monthly CUST'!$N$2:$CG$65,MATCH($D56,'Monthly CUST'!$D$2:$D$65,0),MATCH(BX$1,'Monthly CUST'!$N$1:$CG$1,0))/12*$M56,IF($J56="Base Period",BL56,IF($J56="Adjusted",SUMIF('Input 15_Fcst Inputs'!$A:$A,$D56,'Input 15_Fcst Inputs'!$G:$G)/12))))),0)</f>
        <v>124526.79</v>
      </c>
      <c r="BY56" s="483">
        <f>IFERROR(IF($J56="Historical Average",INDEX('Monthly UPC'!$CM$2:$DJ$65,MATCH($D56,'Monthly UPC'!$D$2:$D$65,0),MATCH(BY$1,'Monthly UPC'!$CM$1:$DJ$1))*(INDEX('Monthly CUST'!$N$2:$CG$65,MATCH($D56,'Monthly CUST'!$D$2:$D$65,0),MATCH(BY$1,'Monthly CUST'!$N$1:$CG$1,0))),IF($J56="UPC Growth Rate",((BM56/INDEX('Monthly CUST'!$N$2:$CG$65,MATCH($D56,'Monthly CUST'!$D$2:$D$65,0),MATCH(BM$1,'Monthly CUST'!$N$1:$CG$1,0)))*(1+$L56)*INDEX('Monthly CUST'!$N$2:$CG$65,MATCH($D56,'Monthly CUST'!$D$2:$D$65,0),MATCH(BY$1,'Monthly CUST'!$N$1:$CG$1,0))),IF($J56="Modeled UPC",INDEX('Monthly CUST'!$N$2:$CG$65,MATCH($D56,'Monthly CUST'!$D$2:$D$65,0),MATCH(BY$1,'Monthly CUST'!$N$1:$CG$1,0))/12*$M56,IF($J56="Base Period",BM56,IF($J56="Adjusted",SUMIF('Input 15_Fcst Inputs'!$A:$A,$D56,'Input 15_Fcst Inputs'!$G:$G)/12))))),0)</f>
        <v>91812.54</v>
      </c>
      <c r="BZ56" s="483">
        <f>IFERROR(IF($J56="Historical Average",INDEX('Monthly UPC'!$CM$2:$DJ$65,MATCH($D56,'Monthly UPC'!$D$2:$D$65,0),MATCH(BZ$1,'Monthly UPC'!$CM$1:$DJ$1))*(INDEX('Monthly CUST'!$N$2:$CG$65,MATCH($D56,'Monthly CUST'!$D$2:$D$65,0),MATCH(BZ$1,'Monthly CUST'!$N$1:$CG$1,0))),IF($J56="UPC Growth Rate",((BN56/INDEX('Monthly CUST'!$N$2:$CG$65,MATCH($D56,'Monthly CUST'!$D$2:$D$65,0),MATCH(BN$1,'Monthly CUST'!$N$1:$CG$1,0)))*(1+$L56)*INDEX('Monthly CUST'!$N$2:$CG$65,MATCH($D56,'Monthly CUST'!$D$2:$D$65,0),MATCH(BZ$1,'Monthly CUST'!$N$1:$CG$1,0))),IF($J56="Modeled UPC",INDEX('Monthly CUST'!$N$2:$CG$65,MATCH($D56,'Monthly CUST'!$D$2:$D$65,0),MATCH(BZ$1,'Monthly CUST'!$N$1:$CG$1,0))/12*$M56,IF($J56="Base Period",BN56,IF($J56="Adjusted",SUMIF('Input 15_Fcst Inputs'!$A:$A,$D56,'Input 15_Fcst Inputs'!$G:$G)/12))))),0)</f>
        <v>72381.36</v>
      </c>
      <c r="CA56" s="483">
        <f>IFERROR(IF($J56="Historical Average",INDEX('Monthly UPC'!$CM$2:$DJ$65,MATCH($D56,'Monthly UPC'!$D$2:$D$65,0),MATCH(CA$1,'Monthly UPC'!$CM$1:$DJ$1))*(INDEX('Monthly CUST'!$N$2:$CG$65,MATCH($D56,'Monthly CUST'!$D$2:$D$65,0),MATCH(CA$1,'Monthly CUST'!$N$1:$CG$1,0))),IF($J56="UPC Growth Rate",((BO56/INDEX('Monthly CUST'!$N$2:$CG$65,MATCH($D56,'Monthly CUST'!$D$2:$D$65,0),MATCH(BO$1,'Monthly CUST'!$N$1:$CG$1,0)))*(1+$L56)*INDEX('Monthly CUST'!$N$2:$CG$65,MATCH($D56,'Monthly CUST'!$D$2:$D$65,0),MATCH(CA$1,'Monthly CUST'!$N$1:$CG$1,0))),IF($J56="Modeled UPC",INDEX('Monthly CUST'!$N$2:$CG$65,MATCH($D56,'Monthly CUST'!$D$2:$D$65,0),MATCH(CA$1,'Monthly CUST'!$N$1:$CG$1,0))/12*$M56,IF($J56="Base Period",BO56,IF($J56="Adjusted",SUMIF('Input 15_Fcst Inputs'!$A:$A,$D56,'Input 15_Fcst Inputs'!$G:$G)/12))))),0)</f>
        <v>67255.009999999995</v>
      </c>
      <c r="CB56" s="483">
        <f>IFERROR(IF($J56="Historical Average",INDEX('Monthly UPC'!$CM$2:$DJ$65,MATCH($D56,'Monthly UPC'!$D$2:$D$65,0),MATCH(CB$1,'Monthly UPC'!$CM$1:$DJ$1))*(INDEX('Monthly CUST'!$N$2:$CG$65,MATCH($D56,'Monthly CUST'!$D$2:$D$65,0),MATCH(CB$1,'Monthly CUST'!$N$1:$CG$1,0))),IF($J56="UPC Growth Rate",((BP56/INDEX('Monthly CUST'!$N$2:$CG$65,MATCH($D56,'Monthly CUST'!$D$2:$D$65,0),MATCH(BP$1,'Monthly CUST'!$N$1:$CG$1,0)))*(1+$L56)*INDEX('Monthly CUST'!$N$2:$CG$65,MATCH($D56,'Monthly CUST'!$D$2:$D$65,0),MATCH(CB$1,'Monthly CUST'!$N$1:$CG$1,0))),IF($J56="Modeled UPC",INDEX('Monthly CUST'!$N$2:$CG$65,MATCH($D56,'Monthly CUST'!$D$2:$D$65,0),MATCH(CB$1,'Monthly CUST'!$N$1:$CG$1,0))/12*$M56,IF($J56="Base Period",BP56,IF($J56="Adjusted",SUMIF('Input 15_Fcst Inputs'!$A:$A,$D56,'Input 15_Fcst Inputs'!$G:$G)/12))))),0)</f>
        <v>69810.84</v>
      </c>
      <c r="CC56" s="483">
        <f>IFERROR(IF($J56="Historical Average",INDEX('Monthly UPC'!$CM$2:$DJ$65,MATCH($D56,'Monthly UPC'!$D$2:$D$65,0),MATCH(CC$1,'Monthly UPC'!$CM$1:$DJ$1))*(INDEX('Monthly CUST'!$N$2:$CG$65,MATCH($D56,'Monthly CUST'!$D$2:$D$65,0),MATCH(CC$1,'Monthly CUST'!$N$1:$CG$1,0))),IF($J56="UPC Growth Rate",((BQ56/INDEX('Monthly CUST'!$N$2:$CG$65,MATCH($D56,'Monthly CUST'!$D$2:$D$65,0),MATCH(BQ$1,'Monthly CUST'!$N$1:$CG$1,0)))*(1+$L56)*INDEX('Monthly CUST'!$N$2:$CG$65,MATCH($D56,'Monthly CUST'!$D$2:$D$65,0),MATCH(CC$1,'Monthly CUST'!$N$1:$CG$1,0))),IF($J56="Modeled UPC",INDEX('Monthly CUST'!$N$2:$CG$65,MATCH($D56,'Monthly CUST'!$D$2:$D$65,0),MATCH(CC$1,'Monthly CUST'!$N$1:$CG$1,0))/12*$M56,IF($J56="Base Period",BQ56,IF($J56="Adjusted",SUMIF('Input 15_Fcst Inputs'!$A:$A,$D56,'Input 15_Fcst Inputs'!$G:$G)/12))))),0)</f>
        <v>65389.68</v>
      </c>
      <c r="CD56" s="483">
        <f>IFERROR(IF($J56="Historical Average",INDEX('Monthly UPC'!$CM$2:$DJ$65,MATCH($D56,'Monthly UPC'!$D$2:$D$65,0),MATCH(CD$1,'Monthly UPC'!$CM$1:$DJ$1))*(INDEX('Monthly CUST'!$N$2:$CG$65,MATCH($D56,'Monthly CUST'!$D$2:$D$65,0),MATCH(CD$1,'Monthly CUST'!$N$1:$CG$1,0))),IF($J56="UPC Growth Rate",((BR56/INDEX('Monthly CUST'!$N$2:$CG$65,MATCH($D56,'Monthly CUST'!$D$2:$D$65,0),MATCH(BR$1,'Monthly CUST'!$N$1:$CG$1,0)))*(1+$L56)*INDEX('Monthly CUST'!$N$2:$CG$65,MATCH($D56,'Monthly CUST'!$D$2:$D$65,0),MATCH(CD$1,'Monthly CUST'!$N$1:$CG$1,0))),IF($J56="Modeled UPC",INDEX('Monthly CUST'!$N$2:$CG$65,MATCH($D56,'Monthly CUST'!$D$2:$D$65,0),MATCH(CD$1,'Monthly CUST'!$N$1:$CG$1,0))/12*$M56,IF($J56="Base Period",BR56,IF($J56="Adjusted",SUMIF('Input 15_Fcst Inputs'!$A:$A,$D56,'Input 15_Fcst Inputs'!$G:$G)/12))))),0)</f>
        <v>75563.990000000005</v>
      </c>
      <c r="CE56" s="483">
        <f>IFERROR(IF($J56="Historical Average",INDEX('Monthly UPC'!$CM$2:$DJ$65,MATCH($D56,'Monthly UPC'!$D$2:$D$65,0),MATCH(CE$1,'Monthly UPC'!$CM$1:$DJ$1))*(INDEX('Monthly CUST'!$N$2:$CG$65,MATCH($D56,'Monthly CUST'!$D$2:$D$65,0),MATCH(CE$1,'Monthly CUST'!$N$1:$CG$1,0))),IF($J56="UPC Growth Rate",((BS56/INDEX('Monthly CUST'!$N$2:$CG$65,MATCH($D56,'Monthly CUST'!$D$2:$D$65,0),MATCH(BS$1,'Monthly CUST'!$N$1:$CG$1,0)))*(1+$L56)*INDEX('Monthly CUST'!$N$2:$CG$65,MATCH($D56,'Monthly CUST'!$D$2:$D$65,0),MATCH(CE$1,'Monthly CUST'!$N$1:$CG$1,0))),IF($J56="Modeled UPC",INDEX('Monthly CUST'!$N$2:$CG$65,MATCH($D56,'Monthly CUST'!$D$2:$D$65,0),MATCH(CE$1,'Monthly CUST'!$N$1:$CG$1,0))/12*$M56,IF($J56="Base Period",BS56,IF($J56="Adjusted",SUMIF('Input 15_Fcst Inputs'!$A:$A,$D56,'Input 15_Fcst Inputs'!$G:$G)/12))))),0)</f>
        <v>93131.82</v>
      </c>
      <c r="CF56" s="483">
        <f>IFERROR(IF($J56="Historical Average",INDEX('Monthly UPC'!$CM$2:$DJ$65,MATCH($D56,'Monthly UPC'!$D$2:$D$65,0),MATCH(CF$1,'Monthly UPC'!$CM$1:$DJ$1))*(INDEX('Monthly CUST'!$N$2:$CG$65,MATCH($D56,'Monthly CUST'!$D$2:$D$65,0),MATCH(CF$1,'Monthly CUST'!$N$1:$CG$1,0))),IF($J56="UPC Growth Rate",((BT56/INDEX('Monthly CUST'!$N$2:$CG$65,MATCH($D56,'Monthly CUST'!$D$2:$D$65,0),MATCH(BT$1,'Monthly CUST'!$N$1:$CG$1,0)))*(1+$L56)*INDEX('Monthly CUST'!$N$2:$CG$65,MATCH($D56,'Monthly CUST'!$D$2:$D$65,0),MATCH(CF$1,'Monthly CUST'!$N$1:$CG$1,0))),IF($J56="Modeled UPC",INDEX('Monthly CUST'!$N$2:$CG$65,MATCH($D56,'Monthly CUST'!$D$2:$D$65,0),MATCH(CF$1,'Monthly CUST'!$N$1:$CG$1,0))/12*$M56,IF($J56="Base Period",BT56,IF($J56="Adjusted",SUMIF('Input 15_Fcst Inputs'!$A:$A,$D56,'Input 15_Fcst Inputs'!$G:$G)/12))))),0)</f>
        <v>80265.070000000007</v>
      </c>
      <c r="CG56" s="483">
        <f>IFERROR(IF($J56="Historical Average",INDEX('Monthly UPC'!$CM$2:$DJ$65,MATCH($D56,'Monthly UPC'!$D$2:$D$65,0),MATCH(CG$1,'Monthly UPC'!$CM$1:$DJ$1))*(INDEX('Monthly CUST'!$N$2:$CG$65,MATCH($D56,'Monthly CUST'!$D$2:$D$65,0),MATCH(CG$1,'Monthly CUST'!$N$1:$CG$1,0))),IF($J56="UPC Growth Rate",((BU56/INDEX('Monthly CUST'!$N$2:$CG$65,MATCH($D56,'Monthly CUST'!$D$2:$D$65,0),MATCH(BU$1,'Monthly CUST'!$N$1:$CG$1,0)))*(1+$L56)*INDEX('Monthly CUST'!$N$2:$CG$65,MATCH($D56,'Monthly CUST'!$D$2:$D$65,0),MATCH(CG$1,'Monthly CUST'!$N$1:$CG$1,0))),IF($J56="Modeled UPC",INDEX('Monthly CUST'!$N$2:$CG$65,MATCH($D56,'Monthly CUST'!$D$2:$D$65,0),MATCH(CG$1,'Monthly CUST'!$N$1:$CG$1,0))/12*$M56,IF($J56="Base Period",BU56,IF($J56="Adjusted",SUMIF('Input 15_Fcst Inputs'!$A:$A,$D56,'Input 15_Fcst Inputs'!$G:$G)/12))))),0)</f>
        <v>101756.27</v>
      </c>
      <c r="CH56" s="197"/>
      <c r="CI56" s="197">
        <f t="shared" si="8"/>
        <v>1167020.29</v>
      </c>
      <c r="CJ56" s="197">
        <f t="shared" si="9"/>
        <v>1055390.52</v>
      </c>
      <c r="CK56" s="197">
        <f t="shared" si="10"/>
        <v>1028885.8700000001</v>
      </c>
      <c r="CL56" s="197">
        <f t="shared" si="11"/>
        <v>1046613.74</v>
      </c>
      <c r="CM56" s="197">
        <f t="shared" si="12"/>
        <v>1046613.74</v>
      </c>
      <c r="CN56" s="197">
        <f t="shared" si="13"/>
        <v>1046613.74</v>
      </c>
      <c r="CP56" s="4">
        <f>SUMIF('Master '!D:D,D56,'Master '!AH:AH)</f>
        <v>1046613.74</v>
      </c>
      <c r="CQ56" s="4">
        <f>SUMIF('Master '!D:D,D56,'Master '!AI:AI)</f>
        <v>1046613.74</v>
      </c>
      <c r="CR56" s="197">
        <f t="shared" si="14"/>
        <v>0</v>
      </c>
      <c r="CS56" s="197">
        <f t="shared" si="15"/>
        <v>0</v>
      </c>
      <c r="CT56" t="s">
        <v>287</v>
      </c>
      <c r="CV56" t="str">
        <f>VLOOKUP(G56,'Master '!G:CC,75,FALSE)</f>
        <v>FTS-5</v>
      </c>
    </row>
    <row r="57" spans="1:100">
      <c r="A57" s="53" t="s">
        <v>17</v>
      </c>
      <c r="B57" s="53" t="s">
        <v>993</v>
      </c>
      <c r="C57" s="53" t="s">
        <v>1245</v>
      </c>
      <c r="D57" s="53" t="s">
        <v>69</v>
      </c>
      <c r="E57" s="53" t="str">
        <f>VLOOKUP(D57,'Input 14_Ref Table'!C:D,2,FALSE)</f>
        <v>CC603</v>
      </c>
      <c r="F57" s="143" t="s">
        <v>1286</v>
      </c>
      <c r="G57" s="53" t="str">
        <f>VLOOKUP(D57,'Input 14_Ref Table'!C:I,7,FALSE)</f>
        <v>CFG - FTS-6</v>
      </c>
      <c r="H57" s="53" t="str">
        <f>VLOOKUP(D57,'Input 14_Ref Table'!C:K,8,FALSE)</f>
        <v>Base Period</v>
      </c>
      <c r="I57" s="53"/>
      <c r="J57" t="str">
        <f>INDEX('Master '!$AD$2:AD$65,MATCH(D57,'Master '!$D$2:$D$65,0))</f>
        <v>Base Period</v>
      </c>
      <c r="K57" s="458">
        <f>INDEX('Master '!$N$2:N$65,MATCH(D57,'Master '!$D$2:$D$65,0))</f>
        <v>0</v>
      </c>
      <c r="L57" s="137">
        <f>INDEX('Master '!$S$2:S$65,MATCH(D57,'Master '!$D$2:$D$65,0))</f>
        <v>0</v>
      </c>
      <c r="M57" s="4">
        <f>INDEX('Master '!$W$2:W$65,MATCH(D57,'Master '!$D$2:$D$65,0))</f>
        <v>82722.10633333333</v>
      </c>
      <c r="N57" s="268">
        <f>SUMIF('Input 16.1_2018VOL-YTD'!$R:$R,$G57,'Input 16.1_2018VOL-YTD'!C:C)</f>
        <v>153530.07</v>
      </c>
      <c r="O57" s="268">
        <f>SUMIF('Input 16.1_2018VOL-YTD'!$R:$R,$G57,'Input 16.1_2018VOL-YTD'!D:D)</f>
        <v>127414.65</v>
      </c>
      <c r="P57" s="268">
        <f>SUMIF('Input 16.1_2018VOL-YTD'!$R:$R,$G57,'Input 16.1_2018VOL-YTD'!E:E)</f>
        <v>137130.13</v>
      </c>
      <c r="Q57" s="268">
        <f>SUMIF('Input 16.1_2018VOL-YTD'!$R:$R,$G57,'Input 16.1_2018VOL-YTD'!F:F)</f>
        <v>128055.02</v>
      </c>
      <c r="R57" s="268">
        <f>SUMIF('Input 16.1_2018VOL-YTD'!$R:$R,$G57,'Input 16.1_2018VOL-YTD'!G:G)</f>
        <v>125794.97</v>
      </c>
      <c r="S57" s="268">
        <f>SUMIF('Input 16.1_2018VOL-YTD'!$R:$R,$G57,'Input 16.1_2018VOL-YTD'!H:H)</f>
        <v>113266.45</v>
      </c>
      <c r="T57" s="268">
        <f>SUMIF('Input 16.1_2018VOL-YTD'!$R:$R,$G57,'Input 16.1_2018VOL-YTD'!I:I)</f>
        <v>102724</v>
      </c>
      <c r="U57" s="268">
        <f>SUMIF('Input 16.1_2018VOL-YTD'!$R:$R,$G57,'Input 16.1_2018VOL-YTD'!J:J)</f>
        <v>118361.61</v>
      </c>
      <c r="V57" s="268">
        <f>SUMIF('Input 16.1_2018VOL-YTD'!$R:$R,$G57,'Input 16.1_2018VOL-YTD'!K:K)</f>
        <v>150164.5</v>
      </c>
      <c r="W57" s="268">
        <f>SUMIF('Input 16.1_2018VOL-YTD'!$R:$R,$G57,'Input 16.1_2018VOL-YTD'!L:L)</f>
        <v>132373.13</v>
      </c>
      <c r="X57" s="268">
        <f>SUMIF('Input 16.1_2018VOL-YTD'!$R:$R,$G57,'Input 16.1_2018VOL-YTD'!M:M)</f>
        <v>129938.24000000001</v>
      </c>
      <c r="Y57" s="268">
        <f>SUMIF('Input 16.1_2018VOL-YTD'!$R:$R,$G57,'Input 16.1_2018VOL-YTD'!N:N)</f>
        <v>166331.49</v>
      </c>
      <c r="Z57" s="268">
        <f>SUMIF('Input 3.1_2019VOL-YTD'!$R:$R,$G57,'Input 3.1_2019VOL-YTD'!C:C)</f>
        <v>186456.89</v>
      </c>
      <c r="AA57" s="268">
        <f>SUMIF('Input 3.1_2019VOL-YTD'!$R:$R,$G57,'Input 3.1_2019VOL-YTD'!D:D)</f>
        <v>147191.14000000001</v>
      </c>
      <c r="AB57" s="268">
        <f>SUMIF('Input 3.1_2019VOL-YTD'!$R:$R,$G57,'Input 3.1_2019VOL-YTD'!E:E)</f>
        <v>136772.51999999999</v>
      </c>
      <c r="AC57" s="268">
        <f>SUMIF('Input 3.1_2019VOL-YTD'!$R:$R,$G57,'Input 3.1_2019VOL-YTD'!F:F)</f>
        <v>160421.25</v>
      </c>
      <c r="AD57" s="268">
        <f>SUMIF('Input 3.1_2019VOL-YTD'!$R:$R,$G57,'Input 3.1_2019VOL-YTD'!G:G)</f>
        <v>148621.65</v>
      </c>
      <c r="AE57" s="268">
        <f>SUMIF('Input 3.1_2019VOL-YTD'!$R:$R,$G57,'Input 3.1_2019VOL-YTD'!H:H)</f>
        <v>142643.20000000001</v>
      </c>
      <c r="AF57" s="268">
        <f>SUMIF('Input 3.1_2019VOL-YTD'!$R:$R,$G57,'Input 3.1_2019VOL-YTD'!I:I)</f>
        <v>149115.15</v>
      </c>
      <c r="AG57" s="268">
        <f>SUMIF('Input 3.1_2019VOL-YTD'!$R:$R,$G57,'Input 3.1_2019VOL-YTD'!J:J)</f>
        <v>146760.68</v>
      </c>
      <c r="AH57" s="268">
        <f>SUMIF('Input 3.1_2019VOL-YTD'!$R:$R,$G57,'Input 3.1_2019VOL-YTD'!K:K)</f>
        <v>135285.41</v>
      </c>
      <c r="AI57" s="268">
        <f>SUMIF('Input 3.1_2019VOL-YTD'!$R:$R,$G57,'Input 3.1_2019VOL-YTD'!L:L)</f>
        <v>129928.81</v>
      </c>
      <c r="AJ57" s="268">
        <f>SUMIF('Input 3.1_2019VOL-YTD'!$R:$R,$G57,'Input 3.1_2019VOL-YTD'!M:M)</f>
        <v>134341.78</v>
      </c>
      <c r="AK57" s="268">
        <f>SUMIF('Input 3.1_2019VOL-YTD'!$R:$R,$G57,'Input 3.1_2019VOL-YTD'!N:N)</f>
        <v>149077.64000000001</v>
      </c>
      <c r="AL57" s="268">
        <f>SUMIF('Input 4.1_2020VOL-YTD'!$R:$R,$G57,'Input 4.1_2020VOL-YTD'!C:C)</f>
        <v>169998.7</v>
      </c>
      <c r="AM57" s="268">
        <f>SUMIF('Input 4.1_2020VOL-YTD'!$R:$R,$G57,'Input 4.1_2020VOL-YTD'!D:D)</f>
        <v>167495.51999999999</v>
      </c>
      <c r="AN57" s="268">
        <f>SUMIF('Input 4.1_2020VOL-YTD'!$R:$R,$G57,'Input 4.1_2020VOL-YTD'!E:E)</f>
        <v>142365.28</v>
      </c>
      <c r="AO57" s="268">
        <f>SUMIF('Input 4.1_2020VOL-YTD'!$R:$R,$G57,'Input 4.1_2020VOL-YTD'!F:F)</f>
        <v>128419.87</v>
      </c>
      <c r="AP57" s="268">
        <f>SUMIF('Input 4.1_2020VOL-YTD'!$R:$R,$G57,'Input 4.1_2020VOL-YTD'!G:G)</f>
        <v>140902.14000000001</v>
      </c>
      <c r="AQ57" s="268">
        <f>SUMIF('Input 4.1_2020VOL-YTD'!$R:$R,$G57,'Input 4.1_2020VOL-YTD'!H:H)</f>
        <v>132430.56</v>
      </c>
      <c r="AR57" s="268">
        <f>SUMIF('Input 4.1_2020VOL-YTD'!$R:$R,$G57,'Input 4.1_2020VOL-YTD'!I:I)</f>
        <v>121325.89</v>
      </c>
      <c r="AS57" s="268">
        <f>SUMIF('Input 4.1_2020VOL-YTD'!$R:$R,$G57,'Input 4.1_2020VOL-YTD'!J:J)</f>
        <v>133049.67000000001</v>
      </c>
      <c r="AT57" s="268">
        <f>SUMIF('Input 4.1_2020VOL-YTD'!$R:$R,$G57,'Input 4.1_2020VOL-YTD'!K:K)</f>
        <v>165432.1</v>
      </c>
      <c r="AU57" s="268">
        <f>SUMIF('Input 4.1_2020VOL-YTD'!$R:$R,$G57,'Input 4.1_2020VOL-YTD'!L:L)</f>
        <v>185261.89</v>
      </c>
      <c r="AV57" s="268">
        <f>SUMIF('Input 4.1_2020VOL-YTD'!$R:$R,$G57,'Input 4.1_2020VOL-YTD'!M:M)</f>
        <v>153598.25</v>
      </c>
      <c r="AW57" s="268">
        <f>SUMIF('Input 4.1_2020VOL-YTD'!$R:$R,$G57,'Input 4.1_2020VOL-YTD'!N:N)</f>
        <v>192900.41</v>
      </c>
      <c r="AX57" s="268">
        <f>SUMIF('Input 5.1_2021VOL-YTD'!$R:$R,$G57,'Input 5.1_2021VOL-YTD'!C:C)</f>
        <v>210173.47</v>
      </c>
      <c r="AY57" s="268">
        <f>SUMIF('Input 5.1_2021VOL-YTD'!$R:$R,$G57,'Input 5.1_2021VOL-YTD'!D:D)</f>
        <v>201092.36</v>
      </c>
      <c r="AZ57" s="268">
        <f>SUMIF('Input 5.1_2021VOL-YTD'!$R:$R,$G57,'Input 5.1_2021VOL-YTD'!E:E)</f>
        <v>191170.04</v>
      </c>
      <c r="BA57" s="268">
        <f>SUMIF('Input 5.1_2021VOL-YTD'!$R:$R,$G57,'Input 5.1_2021VOL-YTD'!F:F)</f>
        <v>200210.96</v>
      </c>
      <c r="BB57" s="268">
        <f>SUMIF('Input 5.1_2021VOL-YTD'!$R:$R,$G57,'Input 5.1_2021VOL-YTD'!G:G)</f>
        <v>150693.59</v>
      </c>
      <c r="BC57" s="268">
        <f>SUMIF('Input 5.1_2021VOL-YTD'!$R:$R,$G57,'Input 5.1_2021VOL-YTD'!H:H)</f>
        <v>167472.9</v>
      </c>
      <c r="BD57" s="268">
        <f>SUMIF('Input 5.1_2021VOL-YTD'!$R:$R,$G57,'Input 5.1_2021VOL-YTD'!I:I)</f>
        <v>178014.05</v>
      </c>
      <c r="BE57" s="268">
        <f>SUMIF('Input 5.1_2021VOL-YTD'!$R:$R,$G57,'Input 5.1_2021VOL-YTD'!J:J)</f>
        <v>204622.57</v>
      </c>
      <c r="BF57" s="268">
        <f>SUMIF('Input 5.1_2021VOL-YTD'!$R:$R,$G57,'Input 5.1_2021VOL-YTD'!K:K)</f>
        <v>240762.19</v>
      </c>
      <c r="BG57" s="268">
        <f>SUMIF('Input 5.1_2021VOL-YTD'!$R:$R,$G57,'Input 5.1_2021VOL-YTD'!L:L)</f>
        <v>278279.64</v>
      </c>
      <c r="BH57" s="268">
        <f>SUMIF('Input 5.1_2021VOL-YTD'!$R:$R,$G57,'Input 5.1_2021VOL-YTD'!M:M)</f>
        <v>231896.75</v>
      </c>
      <c r="BI57" s="268">
        <f>SUMIF('Input 5.1_2021VOL-YTD'!$R:$R,$G57,'Input 5.1_2021VOL-YTD'!N:N)</f>
        <v>227274.67</v>
      </c>
      <c r="BJ57" s="483">
        <f>IFERROR(IF($J57="Historical Average",INDEX('Monthly UPC'!$CM$2:$DJ$65,MATCH($D57,'Monthly UPC'!$D$2:$D$65,0),MATCH(BJ$1,'Monthly UPC'!$CM$1:$DJ$1))*(INDEX('Monthly CUST'!$N$2:$CG$65,MATCH($D57,'Monthly CUST'!$D$2:$D$65,0),MATCH(BJ$1,'Monthly CUST'!$N$1:$CG$1,0))),IF($J57="UPC Growth Rate",((AX57/INDEX('Monthly CUST'!$N$2:$CG$65,MATCH($D57,'Monthly CUST'!$D$2:$D$65,0),MATCH(AX$1,'Monthly CUST'!$N$1:$CG$1,0)))*(1+$L57)*INDEX('Monthly CUST'!$N$2:$CG$65,MATCH($D57,'Monthly CUST'!$D$2:$D$65,0),MATCH(BJ$1,'Monthly CUST'!$N$1:$CG$1,0))),IF($J57="Modeled UPC",INDEX('Monthly CUST'!$N$2:$CG$65,MATCH($D57,'Monthly CUST'!$D$2:$D$65,0),MATCH(BJ$1,'Monthly CUST'!$N$1:$CG$1,0))/12*$M57,IF($J57="Base Period",AX57,IF($J57="Adjusted",SUMIF('Input 15_Fcst Inputs'!$A:$A,$D57,'Input 15_Fcst Inputs'!$G:$G)/12))))),0)</f>
        <v>210173.47</v>
      </c>
      <c r="BK57" s="483">
        <f>IFERROR(IF($J57="Historical Average",INDEX('Monthly UPC'!$CM$2:$DJ$65,MATCH($D57,'Monthly UPC'!$D$2:$D$65,0),MATCH(BK$1,'Monthly UPC'!$CM$1:$DJ$1))*(INDEX('Monthly CUST'!$N$2:$CG$65,MATCH($D57,'Monthly CUST'!$D$2:$D$65,0),MATCH(BK$1,'Monthly CUST'!$N$1:$CG$1,0))),IF($J57="UPC Growth Rate",((AY57/INDEX('Monthly CUST'!$N$2:$CG$65,MATCH($D57,'Monthly CUST'!$D$2:$D$65,0),MATCH(AY$1,'Monthly CUST'!$N$1:$CG$1,0)))*(1+$L57)*INDEX('Monthly CUST'!$N$2:$CG$65,MATCH($D57,'Monthly CUST'!$D$2:$D$65,0),MATCH(BK$1,'Monthly CUST'!$N$1:$CG$1,0))),IF($J57="Modeled UPC",INDEX('Monthly CUST'!$N$2:$CG$65,MATCH($D57,'Monthly CUST'!$D$2:$D$65,0),MATCH(BK$1,'Monthly CUST'!$N$1:$CG$1,0))/12*$M57,IF($J57="Base Period",AY57,IF($J57="Adjusted",SUMIF('Input 15_Fcst Inputs'!$A:$A,$D57,'Input 15_Fcst Inputs'!$G:$G)/12))))),0)</f>
        <v>201092.36</v>
      </c>
      <c r="BL57" s="483">
        <f>IFERROR(IF($J57="Historical Average",INDEX('Monthly UPC'!$CM$2:$DJ$65,MATCH($D57,'Monthly UPC'!$D$2:$D$65,0),MATCH(BL$1,'Monthly UPC'!$CM$1:$DJ$1))*(INDEX('Monthly CUST'!$N$2:$CG$65,MATCH($D57,'Monthly CUST'!$D$2:$D$65,0),MATCH(BL$1,'Monthly CUST'!$N$1:$CG$1,0))),IF($J57="UPC Growth Rate",((AZ57/INDEX('Monthly CUST'!$N$2:$CG$65,MATCH($D57,'Monthly CUST'!$D$2:$D$65,0),MATCH(AZ$1,'Monthly CUST'!$N$1:$CG$1,0)))*(1+$L57)*INDEX('Monthly CUST'!$N$2:$CG$65,MATCH($D57,'Monthly CUST'!$D$2:$D$65,0),MATCH(BL$1,'Monthly CUST'!$N$1:$CG$1,0))),IF($J57="Modeled UPC",INDEX('Monthly CUST'!$N$2:$CG$65,MATCH($D57,'Monthly CUST'!$D$2:$D$65,0),MATCH(BL$1,'Monthly CUST'!$N$1:$CG$1,0))/12*$M57,IF($J57="Base Period",AZ57,IF($J57="Adjusted",SUMIF('Input 15_Fcst Inputs'!$A:$A,$D57,'Input 15_Fcst Inputs'!$G:$G)/12))))),0)</f>
        <v>191170.04</v>
      </c>
      <c r="BM57" s="483">
        <f>IFERROR(IF($J57="Historical Average",INDEX('Monthly UPC'!$CM$2:$DJ$65,MATCH($D57,'Monthly UPC'!$D$2:$D$65,0),MATCH(BM$1,'Monthly UPC'!$CM$1:$DJ$1))*(INDEX('Monthly CUST'!$N$2:$CG$65,MATCH($D57,'Monthly CUST'!$D$2:$D$65,0),MATCH(BM$1,'Monthly CUST'!$N$1:$CG$1,0))),IF($J57="UPC Growth Rate",((BA57/INDEX('Monthly CUST'!$N$2:$CG$65,MATCH($D57,'Monthly CUST'!$D$2:$D$65,0),MATCH(BA$1,'Monthly CUST'!$N$1:$CG$1,0)))*(1+$L57)*INDEX('Monthly CUST'!$N$2:$CG$65,MATCH($D57,'Monthly CUST'!$D$2:$D$65,0),MATCH(BM$1,'Monthly CUST'!$N$1:$CG$1,0))),IF($J57="Modeled UPC",INDEX('Monthly CUST'!$N$2:$CG$65,MATCH($D57,'Monthly CUST'!$D$2:$D$65,0),MATCH(BM$1,'Monthly CUST'!$N$1:$CG$1,0))/12*$M57,IF($J57="Base Period",BA57,IF($J57="Adjusted",SUMIF('Input 15_Fcst Inputs'!$A:$A,$D57,'Input 15_Fcst Inputs'!$G:$G)/12))))),0)</f>
        <v>200210.96</v>
      </c>
      <c r="BN57" s="483">
        <f>IFERROR(IF($J57="Historical Average",INDEX('Monthly UPC'!$CM$2:$DJ$65,MATCH($D57,'Monthly UPC'!$D$2:$D$65,0),MATCH(BN$1,'Monthly UPC'!$CM$1:$DJ$1))*(INDEX('Monthly CUST'!$N$2:$CG$65,MATCH($D57,'Monthly CUST'!$D$2:$D$65,0),MATCH(BN$1,'Monthly CUST'!$N$1:$CG$1,0))),IF($J57="UPC Growth Rate",((BB57/INDEX('Monthly CUST'!$N$2:$CG$65,MATCH($D57,'Monthly CUST'!$D$2:$D$65,0),MATCH(BB$1,'Monthly CUST'!$N$1:$CG$1,0)))*(1+$L57)*INDEX('Monthly CUST'!$N$2:$CG$65,MATCH($D57,'Monthly CUST'!$D$2:$D$65,0),MATCH(BN$1,'Monthly CUST'!$N$1:$CG$1,0))),IF($J57="Modeled UPC",INDEX('Monthly CUST'!$N$2:$CG$65,MATCH($D57,'Monthly CUST'!$D$2:$D$65,0),MATCH(BN$1,'Monthly CUST'!$N$1:$CG$1,0))/12*$M57,IF($J57="Base Period",BB57,IF($J57="Adjusted",SUMIF('Input 15_Fcst Inputs'!$A:$A,$D57,'Input 15_Fcst Inputs'!$G:$G)/12))))),0)</f>
        <v>150693.59</v>
      </c>
      <c r="BO57" s="483">
        <f>IFERROR(IF($J57="Historical Average",INDEX('Monthly UPC'!$CM$2:$DJ$65,MATCH($D57,'Monthly UPC'!$D$2:$D$65,0),MATCH(BO$1,'Monthly UPC'!$CM$1:$DJ$1))*(INDEX('Monthly CUST'!$N$2:$CG$65,MATCH($D57,'Monthly CUST'!$D$2:$D$65,0),MATCH(BO$1,'Monthly CUST'!$N$1:$CG$1,0))),IF($J57="UPC Growth Rate",((BC57/INDEX('Monthly CUST'!$N$2:$CG$65,MATCH($D57,'Monthly CUST'!$D$2:$D$65,0),MATCH(BC$1,'Monthly CUST'!$N$1:$CG$1,0)))*(1+$L57)*INDEX('Monthly CUST'!$N$2:$CG$65,MATCH($D57,'Monthly CUST'!$D$2:$D$65,0),MATCH(BO$1,'Monthly CUST'!$N$1:$CG$1,0))),IF($J57="Modeled UPC",INDEX('Monthly CUST'!$N$2:$CG$65,MATCH($D57,'Monthly CUST'!$D$2:$D$65,0),MATCH(BO$1,'Monthly CUST'!$N$1:$CG$1,0))/12*$M57,IF($J57="Base Period",BC57,IF($J57="Adjusted",SUMIF('Input 15_Fcst Inputs'!$A:$A,$D57,'Input 15_Fcst Inputs'!$G:$G)/12))))),0)</f>
        <v>167472.9</v>
      </c>
      <c r="BP57" s="483">
        <f>IFERROR(IF($J57="Historical Average",INDEX('Monthly UPC'!$CM$2:$DJ$65,MATCH($D57,'Monthly UPC'!$D$2:$D$65,0),MATCH(BP$1,'Monthly UPC'!$CM$1:$DJ$1))*(INDEX('Monthly CUST'!$N$2:$CG$65,MATCH($D57,'Monthly CUST'!$D$2:$D$65,0),MATCH(BP$1,'Monthly CUST'!$N$1:$CG$1,0))),IF($J57="UPC Growth Rate",((BD57/INDEX('Monthly CUST'!$N$2:$CG$65,MATCH($D57,'Monthly CUST'!$D$2:$D$65,0),MATCH(BD$1,'Monthly CUST'!$N$1:$CG$1,0)))*(1+$L57)*INDEX('Monthly CUST'!$N$2:$CG$65,MATCH($D57,'Monthly CUST'!$D$2:$D$65,0),MATCH(BP$1,'Monthly CUST'!$N$1:$CG$1,0))),IF($J57="Modeled UPC",INDEX('Monthly CUST'!$N$2:$CG$65,MATCH($D57,'Monthly CUST'!$D$2:$D$65,0),MATCH(BP$1,'Monthly CUST'!$N$1:$CG$1,0))/12*$M57,IF($J57="Base Period",BD57,IF($J57="Adjusted",SUMIF('Input 15_Fcst Inputs'!$A:$A,$D57,'Input 15_Fcst Inputs'!$G:$G)/12))))),0)</f>
        <v>178014.05</v>
      </c>
      <c r="BQ57" s="483">
        <f>IFERROR(IF($J57="Historical Average",INDEX('Monthly UPC'!$CM$2:$DJ$65,MATCH($D57,'Monthly UPC'!$D$2:$D$65,0),MATCH(BQ$1,'Monthly UPC'!$CM$1:$DJ$1))*(INDEX('Monthly CUST'!$N$2:$CG$65,MATCH($D57,'Monthly CUST'!$D$2:$D$65,0),MATCH(BQ$1,'Monthly CUST'!$N$1:$CG$1,0))),IF($J57="UPC Growth Rate",((BE57/INDEX('Monthly CUST'!$N$2:$CG$65,MATCH($D57,'Monthly CUST'!$D$2:$D$65,0),MATCH(BE$1,'Monthly CUST'!$N$1:$CG$1,0)))*(1+$L57)*INDEX('Monthly CUST'!$N$2:$CG$65,MATCH($D57,'Monthly CUST'!$D$2:$D$65,0),MATCH(BQ$1,'Monthly CUST'!$N$1:$CG$1,0))),IF($J57="Modeled UPC",INDEX('Monthly CUST'!$N$2:$CG$65,MATCH($D57,'Monthly CUST'!$D$2:$D$65,0),MATCH(BQ$1,'Monthly CUST'!$N$1:$CG$1,0))/12*$M57,IF($J57="Base Period",BE57,IF($J57="Adjusted",SUMIF('Input 15_Fcst Inputs'!$A:$A,$D57,'Input 15_Fcst Inputs'!$G:$G)/12))))),0)</f>
        <v>204622.57</v>
      </c>
      <c r="BR57" s="483">
        <f>IFERROR(IF($J57="Historical Average",INDEX('Monthly UPC'!$CM$2:$DJ$65,MATCH($D57,'Monthly UPC'!$D$2:$D$65,0),MATCH(BR$1,'Monthly UPC'!$CM$1:$DJ$1))*(INDEX('Monthly CUST'!$N$2:$CG$65,MATCH($D57,'Monthly CUST'!$D$2:$D$65,0),MATCH(BR$1,'Monthly CUST'!$N$1:$CG$1,0))),IF($J57="UPC Growth Rate",((BF57/INDEX('Monthly CUST'!$N$2:$CG$65,MATCH($D57,'Monthly CUST'!$D$2:$D$65,0),MATCH(BF$1,'Monthly CUST'!$N$1:$CG$1,0)))*(1+$L57)*INDEX('Monthly CUST'!$N$2:$CG$65,MATCH($D57,'Monthly CUST'!$D$2:$D$65,0),MATCH(BR$1,'Monthly CUST'!$N$1:$CG$1,0))),IF($J57="Modeled UPC",INDEX('Monthly CUST'!$N$2:$CG$65,MATCH($D57,'Monthly CUST'!$D$2:$D$65,0),MATCH(BR$1,'Monthly CUST'!$N$1:$CG$1,0))/12*$M57,IF($J57="Base Period",BF57,IF($J57="Adjusted",SUMIF('Input 15_Fcst Inputs'!$A:$A,$D57,'Input 15_Fcst Inputs'!$G:$G)/12))))),0)</f>
        <v>240762.19</v>
      </c>
      <c r="BS57" s="483">
        <f>IFERROR(IF($J57="Historical Average",INDEX('Monthly UPC'!$CM$2:$DJ$65,MATCH($D57,'Monthly UPC'!$D$2:$D$65,0),MATCH(BS$1,'Monthly UPC'!$CM$1:$DJ$1))*(INDEX('Monthly CUST'!$N$2:$CG$65,MATCH($D57,'Monthly CUST'!$D$2:$D$65,0),MATCH(BS$1,'Monthly CUST'!$N$1:$CG$1,0))),IF($J57="UPC Growth Rate",((BG57/INDEX('Monthly CUST'!$N$2:$CG$65,MATCH($D57,'Monthly CUST'!$D$2:$D$65,0),MATCH(BG$1,'Monthly CUST'!$N$1:$CG$1,0)))*(1+$L57)*INDEX('Monthly CUST'!$N$2:$CG$65,MATCH($D57,'Monthly CUST'!$D$2:$D$65,0),MATCH(BS$1,'Monthly CUST'!$N$1:$CG$1,0))),IF($J57="Modeled UPC",INDEX('Monthly CUST'!$N$2:$CG$65,MATCH($D57,'Monthly CUST'!$D$2:$D$65,0),MATCH(BS$1,'Monthly CUST'!$N$1:$CG$1,0))/12*$M57,IF($J57="Base Period",BG57,IF($J57="Adjusted",SUMIF('Input 15_Fcst Inputs'!$A:$A,$D57,'Input 15_Fcst Inputs'!$G:$G)/12))))),0)</f>
        <v>278279.64</v>
      </c>
      <c r="BT57" s="483">
        <f>IFERROR(IF($J57="Historical Average",INDEX('Monthly UPC'!$CM$2:$DJ$65,MATCH($D57,'Monthly UPC'!$D$2:$D$65,0),MATCH(BT$1,'Monthly UPC'!$CM$1:$DJ$1))*(INDEX('Monthly CUST'!$N$2:$CG$65,MATCH($D57,'Monthly CUST'!$D$2:$D$65,0),MATCH(BT$1,'Monthly CUST'!$N$1:$CG$1,0))),IF($J57="UPC Growth Rate",((BH57/INDEX('Monthly CUST'!$N$2:$CG$65,MATCH($D57,'Monthly CUST'!$D$2:$D$65,0),MATCH(BH$1,'Monthly CUST'!$N$1:$CG$1,0)))*(1+$L57)*INDEX('Monthly CUST'!$N$2:$CG$65,MATCH($D57,'Monthly CUST'!$D$2:$D$65,0),MATCH(BT$1,'Monthly CUST'!$N$1:$CG$1,0))),IF($J57="Modeled UPC",INDEX('Monthly CUST'!$N$2:$CG$65,MATCH($D57,'Monthly CUST'!$D$2:$D$65,0),MATCH(BT$1,'Monthly CUST'!$N$1:$CG$1,0))/12*$M57,IF($J57="Base Period",BH57,IF($J57="Adjusted",SUMIF('Input 15_Fcst Inputs'!$A:$A,$D57,'Input 15_Fcst Inputs'!$G:$G)/12))))),0)</f>
        <v>231896.75</v>
      </c>
      <c r="BU57" s="483">
        <f>IFERROR(IF($J57="Historical Average",INDEX('Monthly UPC'!$CM$2:$DJ$65,MATCH($D57,'Monthly UPC'!$D$2:$D$65,0),MATCH(BU$1,'Monthly UPC'!$CM$1:$DJ$1))*(INDEX('Monthly CUST'!$N$2:$CG$65,MATCH($D57,'Monthly CUST'!$D$2:$D$65,0),MATCH(BU$1,'Monthly CUST'!$N$1:$CG$1,0))),IF($J57="UPC Growth Rate",((BI57/INDEX('Monthly CUST'!$N$2:$CG$65,MATCH($D57,'Monthly CUST'!$D$2:$D$65,0),MATCH(BI$1,'Monthly CUST'!$N$1:$CG$1,0)))*(1+$L57)*INDEX('Monthly CUST'!$N$2:$CG$65,MATCH($D57,'Monthly CUST'!$D$2:$D$65,0),MATCH(BU$1,'Monthly CUST'!$N$1:$CG$1,0))),IF($J57="Modeled UPC",INDEX('Monthly CUST'!$N$2:$CG$65,MATCH($D57,'Monthly CUST'!$D$2:$D$65,0),MATCH(BU$1,'Monthly CUST'!$N$1:$CG$1,0))/12*$M57,IF($J57="Base Period",BI57,IF($J57="Adjusted",SUMIF('Input 15_Fcst Inputs'!$A:$A,$D57,'Input 15_Fcst Inputs'!$G:$G)/12))))),0)</f>
        <v>227274.67</v>
      </c>
      <c r="BV57" s="483">
        <f>IFERROR(IF($J57="Historical Average",INDEX('Monthly UPC'!$CM$2:$DJ$65,MATCH($D57,'Monthly UPC'!$D$2:$D$65,0),MATCH(BV$1,'Monthly UPC'!$CM$1:$DJ$1))*(INDEX('Monthly CUST'!$N$2:$CG$65,MATCH($D57,'Monthly CUST'!$D$2:$D$65,0),MATCH(BV$1,'Monthly CUST'!$N$1:$CG$1,0))),IF($J57="UPC Growth Rate",((BJ57/INDEX('Monthly CUST'!$N$2:$CG$65,MATCH($D57,'Monthly CUST'!$D$2:$D$65,0),MATCH(BJ$1,'Monthly CUST'!$N$1:$CG$1,0)))*(1+$L57)*INDEX('Monthly CUST'!$N$2:$CG$65,MATCH($D57,'Monthly CUST'!$D$2:$D$65,0),MATCH(BV$1,'Monthly CUST'!$N$1:$CG$1,0))),IF($J57="Modeled UPC",INDEX('Monthly CUST'!$N$2:$CG$65,MATCH($D57,'Monthly CUST'!$D$2:$D$65,0),MATCH(BV$1,'Monthly CUST'!$N$1:$CG$1,0))/12*$M57,IF($J57="Base Period",BJ57,IF($J57="Adjusted",SUMIF('Input 15_Fcst Inputs'!$A:$A,$D57,'Input 15_Fcst Inputs'!$G:$G)/12))))),0)</f>
        <v>210173.47</v>
      </c>
      <c r="BW57" s="483">
        <f>IFERROR(IF($J57="Historical Average",INDEX('Monthly UPC'!$CM$2:$DJ$65,MATCH($D57,'Monthly UPC'!$D$2:$D$65,0),MATCH(BW$1,'Monthly UPC'!$CM$1:$DJ$1))*(INDEX('Monthly CUST'!$N$2:$CG$65,MATCH($D57,'Monthly CUST'!$D$2:$D$65,0),MATCH(BW$1,'Monthly CUST'!$N$1:$CG$1,0))),IF($J57="UPC Growth Rate",((BK57/INDEX('Monthly CUST'!$N$2:$CG$65,MATCH($D57,'Monthly CUST'!$D$2:$D$65,0),MATCH(BK$1,'Monthly CUST'!$N$1:$CG$1,0)))*(1+$L57)*INDEX('Monthly CUST'!$N$2:$CG$65,MATCH($D57,'Monthly CUST'!$D$2:$D$65,0),MATCH(BW$1,'Monthly CUST'!$N$1:$CG$1,0))),IF($J57="Modeled UPC",INDEX('Monthly CUST'!$N$2:$CG$65,MATCH($D57,'Monthly CUST'!$D$2:$D$65,0),MATCH(BW$1,'Monthly CUST'!$N$1:$CG$1,0))/12*$M57,IF($J57="Base Period",BK57,IF($J57="Adjusted",SUMIF('Input 15_Fcst Inputs'!$A:$A,$D57,'Input 15_Fcst Inputs'!$G:$G)/12))))),0)</f>
        <v>201092.36</v>
      </c>
      <c r="BX57" s="483">
        <f>IFERROR(IF($J57="Historical Average",INDEX('Monthly UPC'!$CM$2:$DJ$65,MATCH($D57,'Monthly UPC'!$D$2:$D$65,0),MATCH(BX$1,'Monthly UPC'!$CM$1:$DJ$1))*(INDEX('Monthly CUST'!$N$2:$CG$65,MATCH($D57,'Monthly CUST'!$D$2:$D$65,0),MATCH(BX$1,'Monthly CUST'!$N$1:$CG$1,0))),IF($J57="UPC Growth Rate",((BL57/INDEX('Monthly CUST'!$N$2:$CG$65,MATCH($D57,'Monthly CUST'!$D$2:$D$65,0),MATCH(BL$1,'Monthly CUST'!$N$1:$CG$1,0)))*(1+$L57)*INDEX('Monthly CUST'!$N$2:$CG$65,MATCH($D57,'Monthly CUST'!$D$2:$D$65,0),MATCH(BX$1,'Monthly CUST'!$N$1:$CG$1,0))),IF($J57="Modeled UPC",INDEX('Monthly CUST'!$N$2:$CG$65,MATCH($D57,'Monthly CUST'!$D$2:$D$65,0),MATCH(BX$1,'Monthly CUST'!$N$1:$CG$1,0))/12*$M57,IF($J57="Base Period",BL57,IF($J57="Adjusted",SUMIF('Input 15_Fcst Inputs'!$A:$A,$D57,'Input 15_Fcst Inputs'!$G:$G)/12))))),0)</f>
        <v>191170.04</v>
      </c>
      <c r="BY57" s="483">
        <f>IFERROR(IF($J57="Historical Average",INDEX('Monthly UPC'!$CM$2:$DJ$65,MATCH($D57,'Monthly UPC'!$D$2:$D$65,0),MATCH(BY$1,'Monthly UPC'!$CM$1:$DJ$1))*(INDEX('Monthly CUST'!$N$2:$CG$65,MATCH($D57,'Monthly CUST'!$D$2:$D$65,0),MATCH(BY$1,'Monthly CUST'!$N$1:$CG$1,0))),IF($J57="UPC Growth Rate",((BM57/INDEX('Monthly CUST'!$N$2:$CG$65,MATCH($D57,'Monthly CUST'!$D$2:$D$65,0),MATCH(BM$1,'Monthly CUST'!$N$1:$CG$1,0)))*(1+$L57)*INDEX('Monthly CUST'!$N$2:$CG$65,MATCH($D57,'Monthly CUST'!$D$2:$D$65,0),MATCH(BY$1,'Monthly CUST'!$N$1:$CG$1,0))),IF($J57="Modeled UPC",INDEX('Monthly CUST'!$N$2:$CG$65,MATCH($D57,'Monthly CUST'!$D$2:$D$65,0),MATCH(BY$1,'Monthly CUST'!$N$1:$CG$1,0))/12*$M57,IF($J57="Base Period",BM57,IF($J57="Adjusted",SUMIF('Input 15_Fcst Inputs'!$A:$A,$D57,'Input 15_Fcst Inputs'!$G:$G)/12))))),0)</f>
        <v>200210.96</v>
      </c>
      <c r="BZ57" s="483">
        <f>IFERROR(IF($J57="Historical Average",INDEX('Monthly UPC'!$CM$2:$DJ$65,MATCH($D57,'Monthly UPC'!$D$2:$D$65,0),MATCH(BZ$1,'Monthly UPC'!$CM$1:$DJ$1))*(INDEX('Monthly CUST'!$N$2:$CG$65,MATCH($D57,'Monthly CUST'!$D$2:$D$65,0),MATCH(BZ$1,'Monthly CUST'!$N$1:$CG$1,0))),IF($J57="UPC Growth Rate",((BN57/INDEX('Monthly CUST'!$N$2:$CG$65,MATCH($D57,'Monthly CUST'!$D$2:$D$65,0),MATCH(BN$1,'Monthly CUST'!$N$1:$CG$1,0)))*(1+$L57)*INDEX('Monthly CUST'!$N$2:$CG$65,MATCH($D57,'Monthly CUST'!$D$2:$D$65,0),MATCH(BZ$1,'Monthly CUST'!$N$1:$CG$1,0))),IF($J57="Modeled UPC",INDEX('Monthly CUST'!$N$2:$CG$65,MATCH($D57,'Monthly CUST'!$D$2:$D$65,0),MATCH(BZ$1,'Monthly CUST'!$N$1:$CG$1,0))/12*$M57,IF($J57="Base Period",BN57,IF($J57="Adjusted",SUMIF('Input 15_Fcst Inputs'!$A:$A,$D57,'Input 15_Fcst Inputs'!$G:$G)/12))))),0)</f>
        <v>150693.59</v>
      </c>
      <c r="CA57" s="483">
        <f>IFERROR(IF($J57="Historical Average",INDEX('Monthly UPC'!$CM$2:$DJ$65,MATCH($D57,'Monthly UPC'!$D$2:$D$65,0),MATCH(CA$1,'Monthly UPC'!$CM$1:$DJ$1))*(INDEX('Monthly CUST'!$N$2:$CG$65,MATCH($D57,'Monthly CUST'!$D$2:$D$65,0),MATCH(CA$1,'Monthly CUST'!$N$1:$CG$1,0))),IF($J57="UPC Growth Rate",((BO57/INDEX('Monthly CUST'!$N$2:$CG$65,MATCH($D57,'Monthly CUST'!$D$2:$D$65,0),MATCH(BO$1,'Monthly CUST'!$N$1:$CG$1,0)))*(1+$L57)*INDEX('Monthly CUST'!$N$2:$CG$65,MATCH($D57,'Monthly CUST'!$D$2:$D$65,0),MATCH(CA$1,'Monthly CUST'!$N$1:$CG$1,0))),IF($J57="Modeled UPC",INDEX('Monthly CUST'!$N$2:$CG$65,MATCH($D57,'Monthly CUST'!$D$2:$D$65,0),MATCH(CA$1,'Monthly CUST'!$N$1:$CG$1,0))/12*$M57,IF($J57="Base Period",BO57,IF($J57="Adjusted",SUMIF('Input 15_Fcst Inputs'!$A:$A,$D57,'Input 15_Fcst Inputs'!$G:$G)/12))))),0)</f>
        <v>167472.9</v>
      </c>
      <c r="CB57" s="483">
        <f>IFERROR(IF($J57="Historical Average",INDEX('Monthly UPC'!$CM$2:$DJ$65,MATCH($D57,'Monthly UPC'!$D$2:$D$65,0),MATCH(CB$1,'Monthly UPC'!$CM$1:$DJ$1))*(INDEX('Monthly CUST'!$N$2:$CG$65,MATCH($D57,'Monthly CUST'!$D$2:$D$65,0),MATCH(CB$1,'Monthly CUST'!$N$1:$CG$1,0))),IF($J57="UPC Growth Rate",((BP57/INDEX('Monthly CUST'!$N$2:$CG$65,MATCH($D57,'Monthly CUST'!$D$2:$D$65,0),MATCH(BP$1,'Monthly CUST'!$N$1:$CG$1,0)))*(1+$L57)*INDEX('Monthly CUST'!$N$2:$CG$65,MATCH($D57,'Monthly CUST'!$D$2:$D$65,0),MATCH(CB$1,'Monthly CUST'!$N$1:$CG$1,0))),IF($J57="Modeled UPC",INDEX('Monthly CUST'!$N$2:$CG$65,MATCH($D57,'Monthly CUST'!$D$2:$D$65,0),MATCH(CB$1,'Monthly CUST'!$N$1:$CG$1,0))/12*$M57,IF($J57="Base Period",BP57,IF($J57="Adjusted",SUMIF('Input 15_Fcst Inputs'!$A:$A,$D57,'Input 15_Fcst Inputs'!$G:$G)/12))))),0)</f>
        <v>178014.05</v>
      </c>
      <c r="CC57" s="483">
        <f>IFERROR(IF($J57="Historical Average",INDEX('Monthly UPC'!$CM$2:$DJ$65,MATCH($D57,'Monthly UPC'!$D$2:$D$65,0),MATCH(CC$1,'Monthly UPC'!$CM$1:$DJ$1))*(INDEX('Monthly CUST'!$N$2:$CG$65,MATCH($D57,'Monthly CUST'!$D$2:$D$65,0),MATCH(CC$1,'Monthly CUST'!$N$1:$CG$1,0))),IF($J57="UPC Growth Rate",((BQ57/INDEX('Monthly CUST'!$N$2:$CG$65,MATCH($D57,'Monthly CUST'!$D$2:$D$65,0),MATCH(BQ$1,'Monthly CUST'!$N$1:$CG$1,0)))*(1+$L57)*INDEX('Monthly CUST'!$N$2:$CG$65,MATCH($D57,'Monthly CUST'!$D$2:$D$65,0),MATCH(CC$1,'Monthly CUST'!$N$1:$CG$1,0))),IF($J57="Modeled UPC",INDEX('Monthly CUST'!$N$2:$CG$65,MATCH($D57,'Monthly CUST'!$D$2:$D$65,0),MATCH(CC$1,'Monthly CUST'!$N$1:$CG$1,0))/12*$M57,IF($J57="Base Period",BQ57,IF($J57="Adjusted",SUMIF('Input 15_Fcst Inputs'!$A:$A,$D57,'Input 15_Fcst Inputs'!$G:$G)/12))))),0)</f>
        <v>204622.57</v>
      </c>
      <c r="CD57" s="483">
        <f>IFERROR(IF($J57="Historical Average",INDEX('Monthly UPC'!$CM$2:$DJ$65,MATCH($D57,'Monthly UPC'!$D$2:$D$65,0),MATCH(CD$1,'Monthly UPC'!$CM$1:$DJ$1))*(INDEX('Monthly CUST'!$N$2:$CG$65,MATCH($D57,'Monthly CUST'!$D$2:$D$65,0),MATCH(CD$1,'Monthly CUST'!$N$1:$CG$1,0))),IF($J57="UPC Growth Rate",((BR57/INDEX('Monthly CUST'!$N$2:$CG$65,MATCH($D57,'Monthly CUST'!$D$2:$D$65,0),MATCH(BR$1,'Monthly CUST'!$N$1:$CG$1,0)))*(1+$L57)*INDEX('Monthly CUST'!$N$2:$CG$65,MATCH($D57,'Monthly CUST'!$D$2:$D$65,0),MATCH(CD$1,'Monthly CUST'!$N$1:$CG$1,0))),IF($J57="Modeled UPC",INDEX('Monthly CUST'!$N$2:$CG$65,MATCH($D57,'Monthly CUST'!$D$2:$D$65,0),MATCH(CD$1,'Monthly CUST'!$N$1:$CG$1,0))/12*$M57,IF($J57="Base Period",BR57,IF($J57="Adjusted",SUMIF('Input 15_Fcst Inputs'!$A:$A,$D57,'Input 15_Fcst Inputs'!$G:$G)/12))))),0)</f>
        <v>240762.19</v>
      </c>
      <c r="CE57" s="483">
        <f>IFERROR(IF($J57="Historical Average",INDEX('Monthly UPC'!$CM$2:$DJ$65,MATCH($D57,'Monthly UPC'!$D$2:$D$65,0),MATCH(CE$1,'Monthly UPC'!$CM$1:$DJ$1))*(INDEX('Monthly CUST'!$N$2:$CG$65,MATCH($D57,'Monthly CUST'!$D$2:$D$65,0),MATCH(CE$1,'Monthly CUST'!$N$1:$CG$1,0))),IF($J57="UPC Growth Rate",((BS57/INDEX('Monthly CUST'!$N$2:$CG$65,MATCH($D57,'Monthly CUST'!$D$2:$D$65,0),MATCH(BS$1,'Monthly CUST'!$N$1:$CG$1,0)))*(1+$L57)*INDEX('Monthly CUST'!$N$2:$CG$65,MATCH($D57,'Monthly CUST'!$D$2:$D$65,0),MATCH(CE$1,'Monthly CUST'!$N$1:$CG$1,0))),IF($J57="Modeled UPC",INDEX('Monthly CUST'!$N$2:$CG$65,MATCH($D57,'Monthly CUST'!$D$2:$D$65,0),MATCH(CE$1,'Monthly CUST'!$N$1:$CG$1,0))/12*$M57,IF($J57="Base Period",BS57,IF($J57="Adjusted",SUMIF('Input 15_Fcst Inputs'!$A:$A,$D57,'Input 15_Fcst Inputs'!$G:$G)/12))))),0)</f>
        <v>278279.64</v>
      </c>
      <c r="CF57" s="483">
        <f>IFERROR(IF($J57="Historical Average",INDEX('Monthly UPC'!$CM$2:$DJ$65,MATCH($D57,'Monthly UPC'!$D$2:$D$65,0),MATCH(CF$1,'Monthly UPC'!$CM$1:$DJ$1))*(INDEX('Monthly CUST'!$N$2:$CG$65,MATCH($D57,'Monthly CUST'!$D$2:$D$65,0),MATCH(CF$1,'Monthly CUST'!$N$1:$CG$1,0))),IF($J57="UPC Growth Rate",((BT57/INDEX('Monthly CUST'!$N$2:$CG$65,MATCH($D57,'Monthly CUST'!$D$2:$D$65,0),MATCH(BT$1,'Monthly CUST'!$N$1:$CG$1,0)))*(1+$L57)*INDEX('Monthly CUST'!$N$2:$CG$65,MATCH($D57,'Monthly CUST'!$D$2:$D$65,0),MATCH(CF$1,'Monthly CUST'!$N$1:$CG$1,0))),IF($J57="Modeled UPC",INDEX('Monthly CUST'!$N$2:$CG$65,MATCH($D57,'Monthly CUST'!$D$2:$D$65,0),MATCH(CF$1,'Monthly CUST'!$N$1:$CG$1,0))/12*$M57,IF($J57="Base Period",BT57,IF($J57="Adjusted",SUMIF('Input 15_Fcst Inputs'!$A:$A,$D57,'Input 15_Fcst Inputs'!$G:$G)/12))))),0)</f>
        <v>231896.75</v>
      </c>
      <c r="CG57" s="483">
        <f>IFERROR(IF($J57="Historical Average",INDEX('Monthly UPC'!$CM$2:$DJ$65,MATCH($D57,'Monthly UPC'!$D$2:$D$65,0),MATCH(CG$1,'Monthly UPC'!$CM$1:$DJ$1))*(INDEX('Monthly CUST'!$N$2:$CG$65,MATCH($D57,'Monthly CUST'!$D$2:$D$65,0),MATCH(CG$1,'Monthly CUST'!$N$1:$CG$1,0))),IF($J57="UPC Growth Rate",((BU57/INDEX('Monthly CUST'!$N$2:$CG$65,MATCH($D57,'Monthly CUST'!$D$2:$D$65,0),MATCH(BU$1,'Monthly CUST'!$N$1:$CG$1,0)))*(1+$L57)*INDEX('Monthly CUST'!$N$2:$CG$65,MATCH($D57,'Monthly CUST'!$D$2:$D$65,0),MATCH(CG$1,'Monthly CUST'!$N$1:$CG$1,0))),IF($J57="Modeled UPC",INDEX('Monthly CUST'!$N$2:$CG$65,MATCH($D57,'Monthly CUST'!$D$2:$D$65,0),MATCH(CG$1,'Monthly CUST'!$N$1:$CG$1,0))/12*$M57,IF($J57="Base Period",BU57,IF($J57="Adjusted",SUMIF('Input 15_Fcst Inputs'!$A:$A,$D57,'Input 15_Fcst Inputs'!$G:$G)/12))))),0)</f>
        <v>227274.67</v>
      </c>
      <c r="CH57" s="197"/>
      <c r="CI57" s="197">
        <f t="shared" si="8"/>
        <v>1585084.2599999998</v>
      </c>
      <c r="CJ57" s="197">
        <f t="shared" si="9"/>
        <v>1766616.12</v>
      </c>
      <c r="CK57" s="197">
        <f t="shared" si="10"/>
        <v>1833180.28</v>
      </c>
      <c r="CL57" s="197">
        <f t="shared" si="11"/>
        <v>2481663.19</v>
      </c>
      <c r="CM57" s="197">
        <f t="shared" si="12"/>
        <v>2481663.19</v>
      </c>
      <c r="CN57" s="197">
        <f t="shared" si="13"/>
        <v>2481663.19</v>
      </c>
      <c r="CP57" s="4">
        <f>SUMIF('Master '!D:D,D57,'Master '!AH:AH)</f>
        <v>2481663.19</v>
      </c>
      <c r="CQ57" s="4">
        <f>SUMIF('Master '!D:D,D57,'Master '!AI:AI)</f>
        <v>2481663.19</v>
      </c>
      <c r="CR57" s="197">
        <f t="shared" si="14"/>
        <v>0</v>
      </c>
      <c r="CS57" s="197">
        <f t="shared" si="15"/>
        <v>0</v>
      </c>
      <c r="CT57" t="s">
        <v>287</v>
      </c>
      <c r="CV57" t="str">
        <f>VLOOKUP(G57,'Master '!G:CC,75,FALSE)</f>
        <v>FTS-6</v>
      </c>
    </row>
    <row r="58" spans="1:100">
      <c r="A58" s="53" t="s">
        <v>17</v>
      </c>
      <c r="B58" s="53" t="s">
        <v>993</v>
      </c>
      <c r="C58" s="53" t="s">
        <v>1245</v>
      </c>
      <c r="D58" s="53" t="s">
        <v>71</v>
      </c>
      <c r="E58" s="53" t="str">
        <f>VLOOKUP(D58,'Input 14_Ref Table'!C:D,2,FALSE)</f>
        <v>CC605</v>
      </c>
      <c r="F58" s="143" t="s">
        <v>1286</v>
      </c>
      <c r="G58" s="53" t="str">
        <f>VLOOKUP(D58,'Input 14_Ref Table'!C:I,7,FALSE)</f>
        <v>CFG - FTS-7</v>
      </c>
      <c r="H58" s="53" t="str">
        <f>VLOOKUP(D58,'Input 14_Ref Table'!C:K,8,FALSE)</f>
        <v>Base Period</v>
      </c>
      <c r="I58" s="53"/>
      <c r="J58" t="str">
        <f>INDEX('Master '!$AD$2:AD$65,MATCH(D58,'Master '!$D$2:$D$65,0))</f>
        <v>Base Period</v>
      </c>
      <c r="K58" s="458">
        <f>INDEX('Master '!$N$2:N$65,MATCH(D58,'Master '!$D$2:$D$65,0))</f>
        <v>0</v>
      </c>
      <c r="L58" s="137">
        <f>INDEX('Master '!$S$2:S$65,MATCH(D58,'Master '!$D$2:$D$65,0))</f>
        <v>0</v>
      </c>
      <c r="M58" s="4">
        <f>INDEX('Master '!$W$2:W$65,MATCH(D58,'Master '!$D$2:$D$65,0))</f>
        <v>165170.7373076923</v>
      </c>
      <c r="N58" s="268">
        <f>SUMIF('Input 16.1_2018VOL-YTD'!$R:$R,$G58,'Input 16.1_2018VOL-YTD'!C:C)</f>
        <v>404984.27</v>
      </c>
      <c r="O58" s="268">
        <f>SUMIF('Input 16.1_2018VOL-YTD'!$R:$R,$G58,'Input 16.1_2018VOL-YTD'!D:D)</f>
        <v>282086.61</v>
      </c>
      <c r="P58" s="268">
        <f>SUMIF('Input 16.1_2018VOL-YTD'!$R:$R,$G58,'Input 16.1_2018VOL-YTD'!E:E)</f>
        <v>300732</v>
      </c>
      <c r="Q58" s="268">
        <f>SUMIF('Input 16.1_2018VOL-YTD'!$R:$R,$G58,'Input 16.1_2018VOL-YTD'!F:F)</f>
        <v>264144.71999999997</v>
      </c>
      <c r="R58" s="268">
        <f>SUMIF('Input 16.1_2018VOL-YTD'!$R:$R,$G58,'Input 16.1_2018VOL-YTD'!G:G)</f>
        <v>314798.68</v>
      </c>
      <c r="S58" s="268">
        <f>SUMIF('Input 16.1_2018VOL-YTD'!$R:$R,$G58,'Input 16.1_2018VOL-YTD'!H:H)</f>
        <v>257643.29</v>
      </c>
      <c r="T58" s="268">
        <f>SUMIF('Input 16.1_2018VOL-YTD'!$R:$R,$G58,'Input 16.1_2018VOL-YTD'!I:I)</f>
        <v>276197.94</v>
      </c>
      <c r="U58" s="268">
        <f>SUMIF('Input 16.1_2018VOL-YTD'!$R:$R,$G58,'Input 16.1_2018VOL-YTD'!J:J)</f>
        <v>283647.8</v>
      </c>
      <c r="V58" s="268">
        <f>SUMIF('Input 16.1_2018VOL-YTD'!$R:$R,$G58,'Input 16.1_2018VOL-YTD'!K:K)</f>
        <v>248318.44</v>
      </c>
      <c r="W58" s="268">
        <f>SUMIF('Input 16.1_2018VOL-YTD'!$R:$R,$G58,'Input 16.1_2018VOL-YTD'!L:L)</f>
        <v>286506.40000000002</v>
      </c>
      <c r="X58" s="268">
        <f>SUMIF('Input 16.1_2018VOL-YTD'!$R:$R,$G58,'Input 16.1_2018VOL-YTD'!M:M)</f>
        <v>291829.99</v>
      </c>
      <c r="Y58" s="268">
        <f>SUMIF('Input 16.1_2018VOL-YTD'!$R:$R,$G58,'Input 16.1_2018VOL-YTD'!N:N)</f>
        <v>309291.2</v>
      </c>
      <c r="Z58" s="268">
        <f>SUMIF('Input 3.1_2019VOL-YTD'!$R:$R,$G58,'Input 3.1_2019VOL-YTD'!C:C)</f>
        <v>363983.63</v>
      </c>
      <c r="AA58" s="268">
        <f>SUMIF('Input 3.1_2019VOL-YTD'!$R:$R,$G58,'Input 3.1_2019VOL-YTD'!D:D)</f>
        <v>317150.26</v>
      </c>
      <c r="AB58" s="268">
        <f>SUMIF('Input 3.1_2019VOL-YTD'!$R:$R,$G58,'Input 3.1_2019VOL-YTD'!E:E)</f>
        <v>330053.94</v>
      </c>
      <c r="AC58" s="268">
        <f>SUMIF('Input 3.1_2019VOL-YTD'!$R:$R,$G58,'Input 3.1_2019VOL-YTD'!F:F)</f>
        <v>308370.13</v>
      </c>
      <c r="AD58" s="268">
        <f>SUMIF('Input 3.1_2019VOL-YTD'!$R:$R,$G58,'Input 3.1_2019VOL-YTD'!G:G)</f>
        <v>301402.5</v>
      </c>
      <c r="AE58" s="268">
        <f>SUMIF('Input 3.1_2019VOL-YTD'!$R:$R,$G58,'Input 3.1_2019VOL-YTD'!H:H)</f>
        <v>271455.90999999997</v>
      </c>
      <c r="AF58" s="268">
        <f>SUMIF('Input 3.1_2019VOL-YTD'!$R:$R,$G58,'Input 3.1_2019VOL-YTD'!I:I)</f>
        <v>281036.27</v>
      </c>
      <c r="AG58" s="268">
        <f>SUMIF('Input 3.1_2019VOL-YTD'!$R:$R,$G58,'Input 3.1_2019VOL-YTD'!J:J)</f>
        <v>284605.8</v>
      </c>
      <c r="AH58" s="268">
        <f>SUMIF('Input 3.1_2019VOL-YTD'!$R:$R,$G58,'Input 3.1_2019VOL-YTD'!K:K)</f>
        <v>269100.78000000003</v>
      </c>
      <c r="AI58" s="268">
        <f>SUMIF('Input 3.1_2019VOL-YTD'!$R:$R,$G58,'Input 3.1_2019VOL-YTD'!L:L)</f>
        <v>313173.86</v>
      </c>
      <c r="AJ58" s="268">
        <f>SUMIF('Input 3.1_2019VOL-YTD'!$R:$R,$G58,'Input 3.1_2019VOL-YTD'!M:M)</f>
        <v>307116.02</v>
      </c>
      <c r="AK58" s="268">
        <f>SUMIF('Input 3.1_2019VOL-YTD'!$R:$R,$G58,'Input 3.1_2019VOL-YTD'!N:N)</f>
        <v>323870.53999999998</v>
      </c>
      <c r="AL58" s="268">
        <f>SUMIF('Input 4.1_2020VOL-YTD'!$R:$R,$G58,'Input 4.1_2020VOL-YTD'!C:C)</f>
        <v>346062.07</v>
      </c>
      <c r="AM58" s="268">
        <f>SUMIF('Input 4.1_2020VOL-YTD'!$R:$R,$G58,'Input 4.1_2020VOL-YTD'!D:D)</f>
        <v>314780.88</v>
      </c>
      <c r="AN58" s="268">
        <f>SUMIF('Input 4.1_2020VOL-YTD'!$R:$R,$G58,'Input 4.1_2020VOL-YTD'!E:E)</f>
        <v>339262.41</v>
      </c>
      <c r="AO58" s="268">
        <f>SUMIF('Input 4.1_2020VOL-YTD'!$R:$R,$G58,'Input 4.1_2020VOL-YTD'!F:F)</f>
        <v>261539.26</v>
      </c>
      <c r="AP58" s="268">
        <f>SUMIF('Input 4.1_2020VOL-YTD'!$R:$R,$G58,'Input 4.1_2020VOL-YTD'!G:G)</f>
        <v>299213.09999999998</v>
      </c>
      <c r="AQ58" s="268">
        <f>SUMIF('Input 4.1_2020VOL-YTD'!$R:$R,$G58,'Input 4.1_2020VOL-YTD'!H:H)</f>
        <v>309218.94</v>
      </c>
      <c r="AR58" s="268">
        <f>SUMIF('Input 4.1_2020VOL-YTD'!$R:$R,$G58,'Input 4.1_2020VOL-YTD'!I:I)</f>
        <v>285129.86</v>
      </c>
      <c r="AS58" s="268">
        <f>SUMIF('Input 4.1_2020VOL-YTD'!$R:$R,$G58,'Input 4.1_2020VOL-YTD'!J:J)</f>
        <v>285009.28000000003</v>
      </c>
      <c r="AT58" s="268">
        <f>SUMIF('Input 4.1_2020VOL-YTD'!$R:$R,$G58,'Input 4.1_2020VOL-YTD'!K:K)</f>
        <v>296773.46999999997</v>
      </c>
      <c r="AU58" s="268">
        <f>SUMIF('Input 4.1_2020VOL-YTD'!$R:$R,$G58,'Input 4.1_2020VOL-YTD'!L:L)</f>
        <v>314846.81</v>
      </c>
      <c r="AV58" s="268">
        <f>SUMIF('Input 4.1_2020VOL-YTD'!$R:$R,$G58,'Input 4.1_2020VOL-YTD'!M:M)</f>
        <v>328306.51</v>
      </c>
      <c r="AW58" s="268">
        <f>SUMIF('Input 4.1_2020VOL-YTD'!$R:$R,$G58,'Input 4.1_2020VOL-YTD'!N:N)</f>
        <v>371823.23</v>
      </c>
      <c r="AX58" s="268">
        <f>SUMIF('Input 5.1_2021VOL-YTD'!$R:$R,$G58,'Input 5.1_2021VOL-YTD'!C:C)</f>
        <v>388866.42</v>
      </c>
      <c r="AY58" s="268">
        <f>SUMIF('Input 5.1_2021VOL-YTD'!$R:$R,$G58,'Input 5.1_2021VOL-YTD'!D:D)</f>
        <v>357754.44</v>
      </c>
      <c r="AZ58" s="268">
        <f>SUMIF('Input 5.1_2021VOL-YTD'!$R:$R,$G58,'Input 5.1_2021VOL-YTD'!E:E)</f>
        <v>379808.64</v>
      </c>
      <c r="BA58" s="268">
        <f>SUMIF('Input 5.1_2021VOL-YTD'!$R:$R,$G58,'Input 5.1_2021VOL-YTD'!F:F)</f>
        <v>341812.76</v>
      </c>
      <c r="BB58" s="268">
        <f>SUMIF('Input 5.1_2021VOL-YTD'!$R:$R,$G58,'Input 5.1_2021VOL-YTD'!G:G)</f>
        <v>320712.17</v>
      </c>
      <c r="BC58" s="268">
        <f>SUMIF('Input 5.1_2021VOL-YTD'!$R:$R,$G58,'Input 5.1_2021VOL-YTD'!H:H)</f>
        <v>339060.62</v>
      </c>
      <c r="BD58" s="268">
        <f>SUMIF('Input 5.1_2021VOL-YTD'!$R:$R,$G58,'Input 5.1_2021VOL-YTD'!I:I)</f>
        <v>333494.34000000003</v>
      </c>
      <c r="BE58" s="268">
        <f>SUMIF('Input 5.1_2021VOL-YTD'!$R:$R,$G58,'Input 5.1_2021VOL-YTD'!J:J)</f>
        <v>358903.78</v>
      </c>
      <c r="BF58" s="268">
        <f>SUMIF('Input 5.1_2021VOL-YTD'!$R:$R,$G58,'Input 5.1_2021VOL-YTD'!K:K)</f>
        <v>343747.56</v>
      </c>
      <c r="BG58" s="268">
        <f>SUMIF('Input 5.1_2021VOL-YTD'!$R:$R,$G58,'Input 5.1_2021VOL-YTD'!L:L)</f>
        <v>344073.63</v>
      </c>
      <c r="BH58" s="268">
        <f>SUMIF('Input 5.1_2021VOL-YTD'!$R:$R,$G58,'Input 5.1_2021VOL-YTD'!M:M)</f>
        <v>410780.92</v>
      </c>
      <c r="BI58" s="268">
        <f>SUMIF('Input 5.1_2021VOL-YTD'!$R:$R,$G58,'Input 5.1_2021VOL-YTD'!N:N)</f>
        <v>375423.89</v>
      </c>
      <c r="BJ58" s="483">
        <f>IFERROR(IF($J58="Historical Average",INDEX('Monthly UPC'!$CM$2:$DJ$65,MATCH($D58,'Monthly UPC'!$D$2:$D$65,0),MATCH(BJ$1,'Monthly UPC'!$CM$1:$DJ$1))*(INDEX('Monthly CUST'!$N$2:$CG$65,MATCH($D58,'Monthly CUST'!$D$2:$D$65,0),MATCH(BJ$1,'Monthly CUST'!$N$1:$CG$1,0))),IF($J58="UPC Growth Rate",((AX58/INDEX('Monthly CUST'!$N$2:$CG$65,MATCH($D58,'Monthly CUST'!$D$2:$D$65,0),MATCH(AX$1,'Monthly CUST'!$N$1:$CG$1,0)))*(1+$L58)*INDEX('Monthly CUST'!$N$2:$CG$65,MATCH($D58,'Monthly CUST'!$D$2:$D$65,0),MATCH(BJ$1,'Monthly CUST'!$N$1:$CG$1,0))),IF($J58="Modeled UPC",INDEX('Monthly CUST'!$N$2:$CG$65,MATCH($D58,'Monthly CUST'!$D$2:$D$65,0),MATCH(BJ$1,'Monthly CUST'!$N$1:$CG$1,0))/12*$M58,IF($J58="Base Period",AX58,IF($J58="Adjusted",SUMIF('Input 15_Fcst Inputs'!$A:$A,$D58,'Input 15_Fcst Inputs'!$G:$G)/12))))),0)</f>
        <v>388866.42</v>
      </c>
      <c r="BK58" s="483">
        <f>IFERROR(IF($J58="Historical Average",INDEX('Monthly UPC'!$CM$2:$DJ$65,MATCH($D58,'Monthly UPC'!$D$2:$D$65,0),MATCH(BK$1,'Monthly UPC'!$CM$1:$DJ$1))*(INDEX('Monthly CUST'!$N$2:$CG$65,MATCH($D58,'Monthly CUST'!$D$2:$D$65,0),MATCH(BK$1,'Monthly CUST'!$N$1:$CG$1,0))),IF($J58="UPC Growth Rate",((AY58/INDEX('Monthly CUST'!$N$2:$CG$65,MATCH($D58,'Monthly CUST'!$D$2:$D$65,0),MATCH(AY$1,'Monthly CUST'!$N$1:$CG$1,0)))*(1+$L58)*INDEX('Monthly CUST'!$N$2:$CG$65,MATCH($D58,'Monthly CUST'!$D$2:$D$65,0),MATCH(BK$1,'Monthly CUST'!$N$1:$CG$1,0))),IF($J58="Modeled UPC",INDEX('Monthly CUST'!$N$2:$CG$65,MATCH($D58,'Monthly CUST'!$D$2:$D$65,0),MATCH(BK$1,'Monthly CUST'!$N$1:$CG$1,0))/12*$M58,IF($J58="Base Period",AY58,IF($J58="Adjusted",SUMIF('Input 15_Fcst Inputs'!$A:$A,$D58,'Input 15_Fcst Inputs'!$G:$G)/12))))),0)</f>
        <v>357754.44</v>
      </c>
      <c r="BL58" s="483">
        <f>IFERROR(IF($J58="Historical Average",INDEX('Monthly UPC'!$CM$2:$DJ$65,MATCH($D58,'Monthly UPC'!$D$2:$D$65,0),MATCH(BL$1,'Monthly UPC'!$CM$1:$DJ$1))*(INDEX('Monthly CUST'!$N$2:$CG$65,MATCH($D58,'Monthly CUST'!$D$2:$D$65,0),MATCH(BL$1,'Monthly CUST'!$N$1:$CG$1,0))),IF($J58="UPC Growth Rate",((AZ58/INDEX('Monthly CUST'!$N$2:$CG$65,MATCH($D58,'Monthly CUST'!$D$2:$D$65,0),MATCH(AZ$1,'Monthly CUST'!$N$1:$CG$1,0)))*(1+$L58)*INDEX('Monthly CUST'!$N$2:$CG$65,MATCH($D58,'Monthly CUST'!$D$2:$D$65,0),MATCH(BL$1,'Monthly CUST'!$N$1:$CG$1,0))),IF($J58="Modeled UPC",INDEX('Monthly CUST'!$N$2:$CG$65,MATCH($D58,'Monthly CUST'!$D$2:$D$65,0),MATCH(BL$1,'Monthly CUST'!$N$1:$CG$1,0))/12*$M58,IF($J58="Base Period",AZ58,IF($J58="Adjusted",SUMIF('Input 15_Fcst Inputs'!$A:$A,$D58,'Input 15_Fcst Inputs'!$G:$G)/12))))),0)</f>
        <v>379808.64</v>
      </c>
      <c r="BM58" s="483">
        <f>IFERROR(IF($J58="Historical Average",INDEX('Monthly UPC'!$CM$2:$DJ$65,MATCH($D58,'Monthly UPC'!$D$2:$D$65,0),MATCH(BM$1,'Monthly UPC'!$CM$1:$DJ$1))*(INDEX('Monthly CUST'!$N$2:$CG$65,MATCH($D58,'Monthly CUST'!$D$2:$D$65,0),MATCH(BM$1,'Monthly CUST'!$N$1:$CG$1,0))),IF($J58="UPC Growth Rate",((BA58/INDEX('Monthly CUST'!$N$2:$CG$65,MATCH($D58,'Monthly CUST'!$D$2:$D$65,0),MATCH(BA$1,'Monthly CUST'!$N$1:$CG$1,0)))*(1+$L58)*INDEX('Monthly CUST'!$N$2:$CG$65,MATCH($D58,'Monthly CUST'!$D$2:$D$65,0),MATCH(BM$1,'Monthly CUST'!$N$1:$CG$1,0))),IF($J58="Modeled UPC",INDEX('Monthly CUST'!$N$2:$CG$65,MATCH($D58,'Monthly CUST'!$D$2:$D$65,0),MATCH(BM$1,'Monthly CUST'!$N$1:$CG$1,0))/12*$M58,IF($J58="Base Period",BA58,IF($J58="Adjusted",SUMIF('Input 15_Fcst Inputs'!$A:$A,$D58,'Input 15_Fcst Inputs'!$G:$G)/12))))),0)</f>
        <v>341812.76</v>
      </c>
      <c r="BN58" s="483">
        <f>IFERROR(IF($J58="Historical Average",INDEX('Monthly UPC'!$CM$2:$DJ$65,MATCH($D58,'Monthly UPC'!$D$2:$D$65,0),MATCH(BN$1,'Monthly UPC'!$CM$1:$DJ$1))*(INDEX('Monthly CUST'!$N$2:$CG$65,MATCH($D58,'Monthly CUST'!$D$2:$D$65,0),MATCH(BN$1,'Monthly CUST'!$N$1:$CG$1,0))),IF($J58="UPC Growth Rate",((BB58/INDEX('Monthly CUST'!$N$2:$CG$65,MATCH($D58,'Monthly CUST'!$D$2:$D$65,0),MATCH(BB$1,'Monthly CUST'!$N$1:$CG$1,0)))*(1+$L58)*INDEX('Monthly CUST'!$N$2:$CG$65,MATCH($D58,'Monthly CUST'!$D$2:$D$65,0),MATCH(BN$1,'Monthly CUST'!$N$1:$CG$1,0))),IF($J58="Modeled UPC",INDEX('Monthly CUST'!$N$2:$CG$65,MATCH($D58,'Monthly CUST'!$D$2:$D$65,0),MATCH(BN$1,'Monthly CUST'!$N$1:$CG$1,0))/12*$M58,IF($J58="Base Period",BB58,IF($J58="Adjusted",SUMIF('Input 15_Fcst Inputs'!$A:$A,$D58,'Input 15_Fcst Inputs'!$G:$G)/12))))),0)</f>
        <v>320712.17</v>
      </c>
      <c r="BO58" s="483">
        <f>IFERROR(IF($J58="Historical Average",INDEX('Monthly UPC'!$CM$2:$DJ$65,MATCH($D58,'Monthly UPC'!$D$2:$D$65,0),MATCH(BO$1,'Monthly UPC'!$CM$1:$DJ$1))*(INDEX('Monthly CUST'!$N$2:$CG$65,MATCH($D58,'Monthly CUST'!$D$2:$D$65,0),MATCH(BO$1,'Monthly CUST'!$N$1:$CG$1,0))),IF($J58="UPC Growth Rate",((BC58/INDEX('Monthly CUST'!$N$2:$CG$65,MATCH($D58,'Monthly CUST'!$D$2:$D$65,0),MATCH(BC$1,'Monthly CUST'!$N$1:$CG$1,0)))*(1+$L58)*INDEX('Monthly CUST'!$N$2:$CG$65,MATCH($D58,'Monthly CUST'!$D$2:$D$65,0),MATCH(BO$1,'Monthly CUST'!$N$1:$CG$1,0))),IF($J58="Modeled UPC",INDEX('Monthly CUST'!$N$2:$CG$65,MATCH($D58,'Monthly CUST'!$D$2:$D$65,0),MATCH(BO$1,'Monthly CUST'!$N$1:$CG$1,0))/12*$M58,IF($J58="Base Period",BC58,IF($J58="Adjusted",SUMIF('Input 15_Fcst Inputs'!$A:$A,$D58,'Input 15_Fcst Inputs'!$G:$G)/12))))),0)</f>
        <v>339060.62</v>
      </c>
      <c r="BP58" s="483">
        <f>IFERROR(IF($J58="Historical Average",INDEX('Monthly UPC'!$CM$2:$DJ$65,MATCH($D58,'Monthly UPC'!$D$2:$D$65,0),MATCH(BP$1,'Monthly UPC'!$CM$1:$DJ$1))*(INDEX('Monthly CUST'!$N$2:$CG$65,MATCH($D58,'Monthly CUST'!$D$2:$D$65,0),MATCH(BP$1,'Monthly CUST'!$N$1:$CG$1,0))),IF($J58="UPC Growth Rate",((BD58/INDEX('Monthly CUST'!$N$2:$CG$65,MATCH($D58,'Monthly CUST'!$D$2:$D$65,0),MATCH(BD$1,'Monthly CUST'!$N$1:$CG$1,0)))*(1+$L58)*INDEX('Monthly CUST'!$N$2:$CG$65,MATCH($D58,'Monthly CUST'!$D$2:$D$65,0),MATCH(BP$1,'Monthly CUST'!$N$1:$CG$1,0))),IF($J58="Modeled UPC",INDEX('Monthly CUST'!$N$2:$CG$65,MATCH($D58,'Monthly CUST'!$D$2:$D$65,0),MATCH(BP$1,'Monthly CUST'!$N$1:$CG$1,0))/12*$M58,IF($J58="Base Period",BD58,IF($J58="Adjusted",SUMIF('Input 15_Fcst Inputs'!$A:$A,$D58,'Input 15_Fcst Inputs'!$G:$G)/12))))),0)</f>
        <v>333494.34000000003</v>
      </c>
      <c r="BQ58" s="483">
        <f>IFERROR(IF($J58="Historical Average",INDEX('Monthly UPC'!$CM$2:$DJ$65,MATCH($D58,'Monthly UPC'!$D$2:$D$65,0),MATCH(BQ$1,'Monthly UPC'!$CM$1:$DJ$1))*(INDEX('Monthly CUST'!$N$2:$CG$65,MATCH($D58,'Monthly CUST'!$D$2:$D$65,0),MATCH(BQ$1,'Monthly CUST'!$N$1:$CG$1,0))),IF($J58="UPC Growth Rate",((BE58/INDEX('Monthly CUST'!$N$2:$CG$65,MATCH($D58,'Monthly CUST'!$D$2:$D$65,0),MATCH(BE$1,'Monthly CUST'!$N$1:$CG$1,0)))*(1+$L58)*INDEX('Monthly CUST'!$N$2:$CG$65,MATCH($D58,'Monthly CUST'!$D$2:$D$65,0),MATCH(BQ$1,'Monthly CUST'!$N$1:$CG$1,0))),IF($J58="Modeled UPC",INDEX('Monthly CUST'!$N$2:$CG$65,MATCH($D58,'Monthly CUST'!$D$2:$D$65,0),MATCH(BQ$1,'Monthly CUST'!$N$1:$CG$1,0))/12*$M58,IF($J58="Base Period",BE58,IF($J58="Adjusted",SUMIF('Input 15_Fcst Inputs'!$A:$A,$D58,'Input 15_Fcst Inputs'!$G:$G)/12))))),0)</f>
        <v>358903.78</v>
      </c>
      <c r="BR58" s="483">
        <f>IFERROR(IF($J58="Historical Average",INDEX('Monthly UPC'!$CM$2:$DJ$65,MATCH($D58,'Monthly UPC'!$D$2:$D$65,0),MATCH(BR$1,'Monthly UPC'!$CM$1:$DJ$1))*(INDEX('Monthly CUST'!$N$2:$CG$65,MATCH($D58,'Monthly CUST'!$D$2:$D$65,0),MATCH(BR$1,'Monthly CUST'!$N$1:$CG$1,0))),IF($J58="UPC Growth Rate",((BF58/INDEX('Monthly CUST'!$N$2:$CG$65,MATCH($D58,'Monthly CUST'!$D$2:$D$65,0),MATCH(BF$1,'Monthly CUST'!$N$1:$CG$1,0)))*(1+$L58)*INDEX('Monthly CUST'!$N$2:$CG$65,MATCH($D58,'Monthly CUST'!$D$2:$D$65,0),MATCH(BR$1,'Monthly CUST'!$N$1:$CG$1,0))),IF($J58="Modeled UPC",INDEX('Monthly CUST'!$N$2:$CG$65,MATCH($D58,'Monthly CUST'!$D$2:$D$65,0),MATCH(BR$1,'Monthly CUST'!$N$1:$CG$1,0))/12*$M58,IF($J58="Base Period",BF58,IF($J58="Adjusted",SUMIF('Input 15_Fcst Inputs'!$A:$A,$D58,'Input 15_Fcst Inputs'!$G:$G)/12))))),0)</f>
        <v>343747.56</v>
      </c>
      <c r="BS58" s="483">
        <f>IFERROR(IF($J58="Historical Average",INDEX('Monthly UPC'!$CM$2:$DJ$65,MATCH($D58,'Monthly UPC'!$D$2:$D$65,0),MATCH(BS$1,'Monthly UPC'!$CM$1:$DJ$1))*(INDEX('Monthly CUST'!$N$2:$CG$65,MATCH($D58,'Monthly CUST'!$D$2:$D$65,0),MATCH(BS$1,'Monthly CUST'!$N$1:$CG$1,0))),IF($J58="UPC Growth Rate",((BG58/INDEX('Monthly CUST'!$N$2:$CG$65,MATCH($D58,'Monthly CUST'!$D$2:$D$65,0),MATCH(BG$1,'Monthly CUST'!$N$1:$CG$1,0)))*(1+$L58)*INDEX('Monthly CUST'!$N$2:$CG$65,MATCH($D58,'Monthly CUST'!$D$2:$D$65,0),MATCH(BS$1,'Monthly CUST'!$N$1:$CG$1,0))),IF($J58="Modeled UPC",INDEX('Monthly CUST'!$N$2:$CG$65,MATCH($D58,'Monthly CUST'!$D$2:$D$65,0),MATCH(BS$1,'Monthly CUST'!$N$1:$CG$1,0))/12*$M58,IF($J58="Base Period",BG58,IF($J58="Adjusted",SUMIF('Input 15_Fcst Inputs'!$A:$A,$D58,'Input 15_Fcst Inputs'!$G:$G)/12))))),0)</f>
        <v>344073.63</v>
      </c>
      <c r="BT58" s="483">
        <f>IFERROR(IF($J58="Historical Average",INDEX('Monthly UPC'!$CM$2:$DJ$65,MATCH($D58,'Monthly UPC'!$D$2:$D$65,0),MATCH(BT$1,'Monthly UPC'!$CM$1:$DJ$1))*(INDEX('Monthly CUST'!$N$2:$CG$65,MATCH($D58,'Monthly CUST'!$D$2:$D$65,0),MATCH(BT$1,'Monthly CUST'!$N$1:$CG$1,0))),IF($J58="UPC Growth Rate",((BH58/INDEX('Monthly CUST'!$N$2:$CG$65,MATCH($D58,'Monthly CUST'!$D$2:$D$65,0),MATCH(BH$1,'Monthly CUST'!$N$1:$CG$1,0)))*(1+$L58)*INDEX('Monthly CUST'!$N$2:$CG$65,MATCH($D58,'Monthly CUST'!$D$2:$D$65,0),MATCH(BT$1,'Monthly CUST'!$N$1:$CG$1,0))),IF($J58="Modeled UPC",INDEX('Monthly CUST'!$N$2:$CG$65,MATCH($D58,'Monthly CUST'!$D$2:$D$65,0),MATCH(BT$1,'Monthly CUST'!$N$1:$CG$1,0))/12*$M58,IF($J58="Base Period",BH58,IF($J58="Adjusted",SUMIF('Input 15_Fcst Inputs'!$A:$A,$D58,'Input 15_Fcst Inputs'!$G:$G)/12))))),0)</f>
        <v>410780.92</v>
      </c>
      <c r="BU58" s="483">
        <f>IFERROR(IF($J58="Historical Average",INDEX('Monthly UPC'!$CM$2:$DJ$65,MATCH($D58,'Monthly UPC'!$D$2:$D$65,0),MATCH(BU$1,'Monthly UPC'!$CM$1:$DJ$1))*(INDEX('Monthly CUST'!$N$2:$CG$65,MATCH($D58,'Monthly CUST'!$D$2:$D$65,0),MATCH(BU$1,'Monthly CUST'!$N$1:$CG$1,0))),IF($J58="UPC Growth Rate",((BI58/INDEX('Monthly CUST'!$N$2:$CG$65,MATCH($D58,'Monthly CUST'!$D$2:$D$65,0),MATCH(BI$1,'Monthly CUST'!$N$1:$CG$1,0)))*(1+$L58)*INDEX('Monthly CUST'!$N$2:$CG$65,MATCH($D58,'Monthly CUST'!$D$2:$D$65,0),MATCH(BU$1,'Monthly CUST'!$N$1:$CG$1,0))),IF($J58="Modeled UPC",INDEX('Monthly CUST'!$N$2:$CG$65,MATCH($D58,'Monthly CUST'!$D$2:$D$65,0),MATCH(BU$1,'Monthly CUST'!$N$1:$CG$1,0))/12*$M58,IF($J58="Base Period",BI58,IF($J58="Adjusted",SUMIF('Input 15_Fcst Inputs'!$A:$A,$D58,'Input 15_Fcst Inputs'!$G:$G)/12))))),0)</f>
        <v>375423.89</v>
      </c>
      <c r="BV58" s="483">
        <f>IFERROR(IF($J58="Historical Average",INDEX('Monthly UPC'!$CM$2:$DJ$65,MATCH($D58,'Monthly UPC'!$D$2:$D$65,0),MATCH(BV$1,'Monthly UPC'!$CM$1:$DJ$1))*(INDEX('Monthly CUST'!$N$2:$CG$65,MATCH($D58,'Monthly CUST'!$D$2:$D$65,0),MATCH(BV$1,'Monthly CUST'!$N$1:$CG$1,0))),IF($J58="UPC Growth Rate",((BJ58/INDEX('Monthly CUST'!$N$2:$CG$65,MATCH($D58,'Monthly CUST'!$D$2:$D$65,0),MATCH(BJ$1,'Monthly CUST'!$N$1:$CG$1,0)))*(1+$L58)*INDEX('Monthly CUST'!$N$2:$CG$65,MATCH($D58,'Monthly CUST'!$D$2:$D$65,0),MATCH(BV$1,'Monthly CUST'!$N$1:$CG$1,0))),IF($J58="Modeled UPC",INDEX('Monthly CUST'!$N$2:$CG$65,MATCH($D58,'Monthly CUST'!$D$2:$D$65,0),MATCH(BV$1,'Monthly CUST'!$N$1:$CG$1,0))/12*$M58,IF($J58="Base Period",BJ58,IF($J58="Adjusted",SUMIF('Input 15_Fcst Inputs'!$A:$A,$D58,'Input 15_Fcst Inputs'!$G:$G)/12))))),0)</f>
        <v>388866.42</v>
      </c>
      <c r="BW58" s="483">
        <f>IFERROR(IF($J58="Historical Average",INDEX('Monthly UPC'!$CM$2:$DJ$65,MATCH($D58,'Monthly UPC'!$D$2:$D$65,0),MATCH(BW$1,'Monthly UPC'!$CM$1:$DJ$1))*(INDEX('Monthly CUST'!$N$2:$CG$65,MATCH($D58,'Monthly CUST'!$D$2:$D$65,0),MATCH(BW$1,'Monthly CUST'!$N$1:$CG$1,0))),IF($J58="UPC Growth Rate",((BK58/INDEX('Monthly CUST'!$N$2:$CG$65,MATCH($D58,'Monthly CUST'!$D$2:$D$65,0),MATCH(BK$1,'Monthly CUST'!$N$1:$CG$1,0)))*(1+$L58)*INDEX('Monthly CUST'!$N$2:$CG$65,MATCH($D58,'Monthly CUST'!$D$2:$D$65,0),MATCH(BW$1,'Monthly CUST'!$N$1:$CG$1,0))),IF($J58="Modeled UPC",INDEX('Monthly CUST'!$N$2:$CG$65,MATCH($D58,'Monthly CUST'!$D$2:$D$65,0),MATCH(BW$1,'Monthly CUST'!$N$1:$CG$1,0))/12*$M58,IF($J58="Base Period",BK58,IF($J58="Adjusted",SUMIF('Input 15_Fcst Inputs'!$A:$A,$D58,'Input 15_Fcst Inputs'!$G:$G)/12))))),0)</f>
        <v>357754.44</v>
      </c>
      <c r="BX58" s="483">
        <f>IFERROR(IF($J58="Historical Average",INDEX('Monthly UPC'!$CM$2:$DJ$65,MATCH($D58,'Monthly UPC'!$D$2:$D$65,0),MATCH(BX$1,'Monthly UPC'!$CM$1:$DJ$1))*(INDEX('Monthly CUST'!$N$2:$CG$65,MATCH($D58,'Monthly CUST'!$D$2:$D$65,0),MATCH(BX$1,'Monthly CUST'!$N$1:$CG$1,0))),IF($J58="UPC Growth Rate",((BL58/INDEX('Monthly CUST'!$N$2:$CG$65,MATCH($D58,'Monthly CUST'!$D$2:$D$65,0),MATCH(BL$1,'Monthly CUST'!$N$1:$CG$1,0)))*(1+$L58)*INDEX('Monthly CUST'!$N$2:$CG$65,MATCH($D58,'Monthly CUST'!$D$2:$D$65,0),MATCH(BX$1,'Monthly CUST'!$N$1:$CG$1,0))),IF($J58="Modeled UPC",INDEX('Monthly CUST'!$N$2:$CG$65,MATCH($D58,'Monthly CUST'!$D$2:$D$65,0),MATCH(BX$1,'Monthly CUST'!$N$1:$CG$1,0))/12*$M58,IF($J58="Base Period",BL58,IF($J58="Adjusted",SUMIF('Input 15_Fcst Inputs'!$A:$A,$D58,'Input 15_Fcst Inputs'!$G:$G)/12))))),0)</f>
        <v>379808.64</v>
      </c>
      <c r="BY58" s="483">
        <f>IFERROR(IF($J58="Historical Average",INDEX('Monthly UPC'!$CM$2:$DJ$65,MATCH($D58,'Monthly UPC'!$D$2:$D$65,0),MATCH(BY$1,'Monthly UPC'!$CM$1:$DJ$1))*(INDEX('Monthly CUST'!$N$2:$CG$65,MATCH($D58,'Monthly CUST'!$D$2:$D$65,0),MATCH(BY$1,'Monthly CUST'!$N$1:$CG$1,0))),IF($J58="UPC Growth Rate",((BM58/INDEX('Monthly CUST'!$N$2:$CG$65,MATCH($D58,'Monthly CUST'!$D$2:$D$65,0),MATCH(BM$1,'Monthly CUST'!$N$1:$CG$1,0)))*(1+$L58)*INDEX('Monthly CUST'!$N$2:$CG$65,MATCH($D58,'Monthly CUST'!$D$2:$D$65,0),MATCH(BY$1,'Monthly CUST'!$N$1:$CG$1,0))),IF($J58="Modeled UPC",INDEX('Monthly CUST'!$N$2:$CG$65,MATCH($D58,'Monthly CUST'!$D$2:$D$65,0),MATCH(BY$1,'Monthly CUST'!$N$1:$CG$1,0))/12*$M58,IF($J58="Base Period",BM58,IF($J58="Adjusted",SUMIF('Input 15_Fcst Inputs'!$A:$A,$D58,'Input 15_Fcst Inputs'!$G:$G)/12))))),0)</f>
        <v>341812.76</v>
      </c>
      <c r="BZ58" s="483">
        <f>IFERROR(IF($J58="Historical Average",INDEX('Monthly UPC'!$CM$2:$DJ$65,MATCH($D58,'Monthly UPC'!$D$2:$D$65,0),MATCH(BZ$1,'Monthly UPC'!$CM$1:$DJ$1))*(INDEX('Monthly CUST'!$N$2:$CG$65,MATCH($D58,'Monthly CUST'!$D$2:$D$65,0),MATCH(BZ$1,'Monthly CUST'!$N$1:$CG$1,0))),IF($J58="UPC Growth Rate",((BN58/INDEX('Monthly CUST'!$N$2:$CG$65,MATCH($D58,'Monthly CUST'!$D$2:$D$65,0),MATCH(BN$1,'Monthly CUST'!$N$1:$CG$1,0)))*(1+$L58)*INDEX('Monthly CUST'!$N$2:$CG$65,MATCH($D58,'Monthly CUST'!$D$2:$D$65,0),MATCH(BZ$1,'Monthly CUST'!$N$1:$CG$1,0))),IF($J58="Modeled UPC",INDEX('Monthly CUST'!$N$2:$CG$65,MATCH($D58,'Monthly CUST'!$D$2:$D$65,0),MATCH(BZ$1,'Monthly CUST'!$N$1:$CG$1,0))/12*$M58,IF($J58="Base Period",BN58,IF($J58="Adjusted",SUMIF('Input 15_Fcst Inputs'!$A:$A,$D58,'Input 15_Fcst Inputs'!$G:$G)/12))))),0)</f>
        <v>320712.17</v>
      </c>
      <c r="CA58" s="483">
        <f>IFERROR(IF($J58="Historical Average",INDEX('Monthly UPC'!$CM$2:$DJ$65,MATCH($D58,'Monthly UPC'!$D$2:$D$65,0),MATCH(CA$1,'Monthly UPC'!$CM$1:$DJ$1))*(INDEX('Monthly CUST'!$N$2:$CG$65,MATCH($D58,'Monthly CUST'!$D$2:$D$65,0),MATCH(CA$1,'Monthly CUST'!$N$1:$CG$1,0))),IF($J58="UPC Growth Rate",((BO58/INDEX('Monthly CUST'!$N$2:$CG$65,MATCH($D58,'Monthly CUST'!$D$2:$D$65,0),MATCH(BO$1,'Monthly CUST'!$N$1:$CG$1,0)))*(1+$L58)*INDEX('Monthly CUST'!$N$2:$CG$65,MATCH($D58,'Monthly CUST'!$D$2:$D$65,0),MATCH(CA$1,'Monthly CUST'!$N$1:$CG$1,0))),IF($J58="Modeled UPC",INDEX('Monthly CUST'!$N$2:$CG$65,MATCH($D58,'Monthly CUST'!$D$2:$D$65,0),MATCH(CA$1,'Monthly CUST'!$N$1:$CG$1,0))/12*$M58,IF($J58="Base Period",BO58,IF($J58="Adjusted",SUMIF('Input 15_Fcst Inputs'!$A:$A,$D58,'Input 15_Fcst Inputs'!$G:$G)/12))))),0)</f>
        <v>339060.62</v>
      </c>
      <c r="CB58" s="483">
        <f>IFERROR(IF($J58="Historical Average",INDEX('Monthly UPC'!$CM$2:$DJ$65,MATCH($D58,'Monthly UPC'!$D$2:$D$65,0),MATCH(CB$1,'Monthly UPC'!$CM$1:$DJ$1))*(INDEX('Monthly CUST'!$N$2:$CG$65,MATCH($D58,'Monthly CUST'!$D$2:$D$65,0),MATCH(CB$1,'Monthly CUST'!$N$1:$CG$1,0))),IF($J58="UPC Growth Rate",((BP58/INDEX('Monthly CUST'!$N$2:$CG$65,MATCH($D58,'Monthly CUST'!$D$2:$D$65,0),MATCH(BP$1,'Monthly CUST'!$N$1:$CG$1,0)))*(1+$L58)*INDEX('Monthly CUST'!$N$2:$CG$65,MATCH($D58,'Monthly CUST'!$D$2:$D$65,0),MATCH(CB$1,'Monthly CUST'!$N$1:$CG$1,0))),IF($J58="Modeled UPC",INDEX('Monthly CUST'!$N$2:$CG$65,MATCH($D58,'Monthly CUST'!$D$2:$D$65,0),MATCH(CB$1,'Monthly CUST'!$N$1:$CG$1,0))/12*$M58,IF($J58="Base Period",BP58,IF($J58="Adjusted",SUMIF('Input 15_Fcst Inputs'!$A:$A,$D58,'Input 15_Fcst Inputs'!$G:$G)/12))))),0)</f>
        <v>333494.34000000003</v>
      </c>
      <c r="CC58" s="483">
        <f>IFERROR(IF($J58="Historical Average",INDEX('Monthly UPC'!$CM$2:$DJ$65,MATCH($D58,'Monthly UPC'!$D$2:$D$65,0),MATCH(CC$1,'Monthly UPC'!$CM$1:$DJ$1))*(INDEX('Monthly CUST'!$N$2:$CG$65,MATCH($D58,'Monthly CUST'!$D$2:$D$65,0),MATCH(CC$1,'Monthly CUST'!$N$1:$CG$1,0))),IF($J58="UPC Growth Rate",((BQ58/INDEX('Monthly CUST'!$N$2:$CG$65,MATCH($D58,'Monthly CUST'!$D$2:$D$65,0),MATCH(BQ$1,'Monthly CUST'!$N$1:$CG$1,0)))*(1+$L58)*INDEX('Monthly CUST'!$N$2:$CG$65,MATCH($D58,'Monthly CUST'!$D$2:$D$65,0),MATCH(CC$1,'Monthly CUST'!$N$1:$CG$1,0))),IF($J58="Modeled UPC",INDEX('Monthly CUST'!$N$2:$CG$65,MATCH($D58,'Monthly CUST'!$D$2:$D$65,0),MATCH(CC$1,'Monthly CUST'!$N$1:$CG$1,0))/12*$M58,IF($J58="Base Period",BQ58,IF($J58="Adjusted",SUMIF('Input 15_Fcst Inputs'!$A:$A,$D58,'Input 15_Fcst Inputs'!$G:$G)/12))))),0)</f>
        <v>358903.78</v>
      </c>
      <c r="CD58" s="483">
        <f>IFERROR(IF($J58="Historical Average",INDEX('Monthly UPC'!$CM$2:$DJ$65,MATCH($D58,'Monthly UPC'!$D$2:$D$65,0),MATCH(CD$1,'Monthly UPC'!$CM$1:$DJ$1))*(INDEX('Monthly CUST'!$N$2:$CG$65,MATCH($D58,'Monthly CUST'!$D$2:$D$65,0),MATCH(CD$1,'Monthly CUST'!$N$1:$CG$1,0))),IF($J58="UPC Growth Rate",((BR58/INDEX('Monthly CUST'!$N$2:$CG$65,MATCH($D58,'Monthly CUST'!$D$2:$D$65,0),MATCH(BR$1,'Monthly CUST'!$N$1:$CG$1,0)))*(1+$L58)*INDEX('Monthly CUST'!$N$2:$CG$65,MATCH($D58,'Monthly CUST'!$D$2:$D$65,0),MATCH(CD$1,'Monthly CUST'!$N$1:$CG$1,0))),IF($J58="Modeled UPC",INDEX('Monthly CUST'!$N$2:$CG$65,MATCH($D58,'Monthly CUST'!$D$2:$D$65,0),MATCH(CD$1,'Monthly CUST'!$N$1:$CG$1,0))/12*$M58,IF($J58="Base Period",BR58,IF($J58="Adjusted",SUMIF('Input 15_Fcst Inputs'!$A:$A,$D58,'Input 15_Fcst Inputs'!$G:$G)/12))))),0)</f>
        <v>343747.56</v>
      </c>
      <c r="CE58" s="483">
        <f>IFERROR(IF($J58="Historical Average",INDEX('Monthly UPC'!$CM$2:$DJ$65,MATCH($D58,'Monthly UPC'!$D$2:$D$65,0),MATCH(CE$1,'Monthly UPC'!$CM$1:$DJ$1))*(INDEX('Monthly CUST'!$N$2:$CG$65,MATCH($D58,'Monthly CUST'!$D$2:$D$65,0),MATCH(CE$1,'Monthly CUST'!$N$1:$CG$1,0))),IF($J58="UPC Growth Rate",((BS58/INDEX('Monthly CUST'!$N$2:$CG$65,MATCH($D58,'Monthly CUST'!$D$2:$D$65,0),MATCH(BS$1,'Monthly CUST'!$N$1:$CG$1,0)))*(1+$L58)*INDEX('Monthly CUST'!$N$2:$CG$65,MATCH($D58,'Monthly CUST'!$D$2:$D$65,0),MATCH(CE$1,'Monthly CUST'!$N$1:$CG$1,0))),IF($J58="Modeled UPC",INDEX('Monthly CUST'!$N$2:$CG$65,MATCH($D58,'Monthly CUST'!$D$2:$D$65,0),MATCH(CE$1,'Monthly CUST'!$N$1:$CG$1,0))/12*$M58,IF($J58="Base Period",BS58,IF($J58="Adjusted",SUMIF('Input 15_Fcst Inputs'!$A:$A,$D58,'Input 15_Fcst Inputs'!$G:$G)/12))))),0)</f>
        <v>344073.63</v>
      </c>
      <c r="CF58" s="483">
        <f>IFERROR(IF($J58="Historical Average",INDEX('Monthly UPC'!$CM$2:$DJ$65,MATCH($D58,'Monthly UPC'!$D$2:$D$65,0),MATCH(CF$1,'Monthly UPC'!$CM$1:$DJ$1))*(INDEX('Monthly CUST'!$N$2:$CG$65,MATCH($D58,'Monthly CUST'!$D$2:$D$65,0),MATCH(CF$1,'Monthly CUST'!$N$1:$CG$1,0))),IF($J58="UPC Growth Rate",((BT58/INDEX('Monthly CUST'!$N$2:$CG$65,MATCH($D58,'Monthly CUST'!$D$2:$D$65,0),MATCH(BT$1,'Monthly CUST'!$N$1:$CG$1,0)))*(1+$L58)*INDEX('Monthly CUST'!$N$2:$CG$65,MATCH($D58,'Monthly CUST'!$D$2:$D$65,0),MATCH(CF$1,'Monthly CUST'!$N$1:$CG$1,0))),IF($J58="Modeled UPC",INDEX('Monthly CUST'!$N$2:$CG$65,MATCH($D58,'Monthly CUST'!$D$2:$D$65,0),MATCH(CF$1,'Monthly CUST'!$N$1:$CG$1,0))/12*$M58,IF($J58="Base Period",BT58,IF($J58="Adjusted",SUMIF('Input 15_Fcst Inputs'!$A:$A,$D58,'Input 15_Fcst Inputs'!$G:$G)/12))))),0)</f>
        <v>410780.92</v>
      </c>
      <c r="CG58" s="483">
        <f>IFERROR(IF($J58="Historical Average",INDEX('Monthly UPC'!$CM$2:$DJ$65,MATCH($D58,'Monthly UPC'!$D$2:$D$65,0),MATCH(CG$1,'Monthly UPC'!$CM$1:$DJ$1))*(INDEX('Monthly CUST'!$N$2:$CG$65,MATCH($D58,'Monthly CUST'!$D$2:$D$65,0),MATCH(CG$1,'Monthly CUST'!$N$1:$CG$1,0))),IF($J58="UPC Growth Rate",((BU58/INDEX('Monthly CUST'!$N$2:$CG$65,MATCH($D58,'Monthly CUST'!$D$2:$D$65,0),MATCH(BU$1,'Monthly CUST'!$N$1:$CG$1,0)))*(1+$L58)*INDEX('Monthly CUST'!$N$2:$CG$65,MATCH($D58,'Monthly CUST'!$D$2:$D$65,0),MATCH(CG$1,'Monthly CUST'!$N$1:$CG$1,0))),IF($J58="Modeled UPC",INDEX('Monthly CUST'!$N$2:$CG$65,MATCH($D58,'Monthly CUST'!$D$2:$D$65,0),MATCH(CG$1,'Monthly CUST'!$N$1:$CG$1,0))/12*$M58,IF($J58="Base Period",BU58,IF($J58="Adjusted",SUMIF('Input 15_Fcst Inputs'!$A:$A,$D58,'Input 15_Fcst Inputs'!$G:$G)/12))))),0)</f>
        <v>375423.89</v>
      </c>
      <c r="CH58" s="197"/>
      <c r="CI58" s="197">
        <f t="shared" si="8"/>
        <v>3520181.34</v>
      </c>
      <c r="CJ58" s="197">
        <f t="shared" si="9"/>
        <v>3671319.6399999997</v>
      </c>
      <c r="CK58" s="197">
        <f t="shared" si="10"/>
        <v>3751965.82</v>
      </c>
      <c r="CL58" s="197">
        <f t="shared" si="11"/>
        <v>4294439.17</v>
      </c>
      <c r="CM58" s="197">
        <f t="shared" si="12"/>
        <v>4294439.17</v>
      </c>
      <c r="CN58" s="197">
        <f t="shared" si="13"/>
        <v>4294439.17</v>
      </c>
      <c r="CP58" s="4">
        <f>SUMIF('Master '!D:D,D58,'Master '!AH:AH)</f>
        <v>4294439.17</v>
      </c>
      <c r="CQ58" s="4">
        <f>SUMIF('Master '!D:D,D58,'Master '!AI:AI)</f>
        <v>4294439.17</v>
      </c>
      <c r="CR58" s="197">
        <f t="shared" si="14"/>
        <v>0</v>
      </c>
      <c r="CS58" s="197">
        <f t="shared" si="15"/>
        <v>0</v>
      </c>
      <c r="CT58" t="s">
        <v>287</v>
      </c>
      <c r="CV58" t="str">
        <f>VLOOKUP(G58,'Master '!G:CC,75,FALSE)</f>
        <v>FTS-7</v>
      </c>
    </row>
    <row r="59" spans="1:100" s="261" customFormat="1">
      <c r="A59" s="55" t="s">
        <v>17</v>
      </c>
      <c r="B59" s="55" t="s">
        <v>993</v>
      </c>
      <c r="C59" s="55" t="s">
        <v>1245</v>
      </c>
      <c r="D59" s="55" t="s">
        <v>73</v>
      </c>
      <c r="E59" s="55" t="str">
        <f>VLOOKUP(D59,'Input 14_Ref Table'!C:D,2,FALSE)</f>
        <v>CI406</v>
      </c>
      <c r="F59" s="172" t="s">
        <v>1286</v>
      </c>
      <c r="G59" s="55" t="str">
        <f>VLOOKUP(D59,'Input 14_Ref Table'!C:I,7,FALSE)</f>
        <v>CFG - FTS-8</v>
      </c>
      <c r="H59" s="55" t="str">
        <f>VLOOKUP(D59,'Input 14_Ref Table'!C:K,8,FALSE)</f>
        <v>Base Period</v>
      </c>
      <c r="I59" s="55"/>
      <c r="J59" s="261" t="str">
        <f>INDEX('Master '!$AD$2:AD$65,MATCH(D59,'Master '!$D$2:$D$65,0))</f>
        <v>Base Period</v>
      </c>
      <c r="K59" s="567">
        <f>INDEX('Master '!$N$2:N$65,MATCH(D59,'Master '!$D$2:$D$65,0))</f>
        <v>0</v>
      </c>
      <c r="L59" s="290">
        <f>INDEX('Master '!$S$2:S$65,MATCH(D59,'Master '!$D$2:$D$65,0))</f>
        <v>0</v>
      </c>
      <c r="M59" s="1">
        <f>INDEX('Master '!$W$2:W$65,MATCH(D59,'Master '!$D$2:$D$65,0))</f>
        <v>293058.25764705881</v>
      </c>
      <c r="N59" s="56">
        <f>SUMIF('Input 16.1_2018VOL-YTD'!$R:$R,$G59,'Input 16.1_2018VOL-YTD'!C:C)</f>
        <v>520517.1</v>
      </c>
      <c r="O59" s="56">
        <f>SUMIF('Input 16.1_2018VOL-YTD'!$R:$R,$G59,'Input 16.1_2018VOL-YTD'!D:D)</f>
        <v>437821.75</v>
      </c>
      <c r="P59" s="56">
        <f>SUMIF('Input 16.1_2018VOL-YTD'!$R:$R,$G59,'Input 16.1_2018VOL-YTD'!E:E)</f>
        <v>478053.73</v>
      </c>
      <c r="Q59" s="56">
        <f>SUMIF('Input 16.1_2018VOL-YTD'!$R:$R,$G59,'Input 16.1_2018VOL-YTD'!F:F)</f>
        <v>393857.96</v>
      </c>
      <c r="R59" s="56">
        <f>SUMIF('Input 16.1_2018VOL-YTD'!$R:$R,$G59,'Input 16.1_2018VOL-YTD'!G:G)</f>
        <v>397950.9</v>
      </c>
      <c r="S59" s="56">
        <f>SUMIF('Input 16.1_2018VOL-YTD'!$R:$R,$G59,'Input 16.1_2018VOL-YTD'!H:H)</f>
        <v>356560.36</v>
      </c>
      <c r="T59" s="56">
        <f>SUMIF('Input 16.1_2018VOL-YTD'!$R:$R,$G59,'Input 16.1_2018VOL-YTD'!I:I)</f>
        <v>393805.1</v>
      </c>
      <c r="U59" s="56">
        <f>SUMIF('Input 16.1_2018VOL-YTD'!$R:$R,$G59,'Input 16.1_2018VOL-YTD'!J:J)</f>
        <v>371032.57</v>
      </c>
      <c r="V59" s="56">
        <f>SUMIF('Input 16.1_2018VOL-YTD'!$R:$R,$G59,'Input 16.1_2018VOL-YTD'!K:K)</f>
        <v>342961.02</v>
      </c>
      <c r="W59" s="56">
        <f>SUMIF('Input 16.1_2018VOL-YTD'!$R:$R,$G59,'Input 16.1_2018VOL-YTD'!L:L)</f>
        <v>410345.03</v>
      </c>
      <c r="X59" s="56">
        <f>SUMIF('Input 16.1_2018VOL-YTD'!$R:$R,$G59,'Input 16.1_2018VOL-YTD'!M:M)</f>
        <v>415533.58</v>
      </c>
      <c r="Y59" s="56">
        <f>SUMIF('Input 16.1_2018VOL-YTD'!$R:$R,$G59,'Input 16.1_2018VOL-YTD'!N:N)</f>
        <v>430222.78</v>
      </c>
      <c r="Z59" s="56">
        <f>SUMIF('Input 3.1_2019VOL-YTD'!$R:$R,$G59,'Input 3.1_2019VOL-YTD'!C:C)</f>
        <v>489449.3</v>
      </c>
      <c r="AA59" s="56">
        <f>SUMIF('Input 3.1_2019VOL-YTD'!$R:$R,$G59,'Input 3.1_2019VOL-YTD'!D:D)</f>
        <v>437996.87</v>
      </c>
      <c r="AB59" s="56">
        <f>SUMIF('Input 3.1_2019VOL-YTD'!$R:$R,$G59,'Input 3.1_2019VOL-YTD'!E:E)</f>
        <v>480877.57</v>
      </c>
      <c r="AC59" s="56">
        <f>SUMIF('Input 3.1_2019VOL-YTD'!$R:$R,$G59,'Input 3.1_2019VOL-YTD'!F:F)</f>
        <v>373428.64</v>
      </c>
      <c r="AD59" s="56">
        <f>SUMIF('Input 3.1_2019VOL-YTD'!$R:$R,$G59,'Input 3.1_2019VOL-YTD'!G:G)</f>
        <v>351481.62</v>
      </c>
      <c r="AE59" s="56">
        <f>SUMIF('Input 3.1_2019VOL-YTD'!$R:$R,$G59,'Input 3.1_2019VOL-YTD'!H:H)</f>
        <v>379302.45</v>
      </c>
      <c r="AF59" s="56">
        <f>SUMIF('Input 3.1_2019VOL-YTD'!$R:$R,$G59,'Input 3.1_2019VOL-YTD'!I:I)</f>
        <v>369319.59</v>
      </c>
      <c r="AG59" s="56">
        <f>SUMIF('Input 3.1_2019VOL-YTD'!$R:$R,$G59,'Input 3.1_2019VOL-YTD'!J:J)</f>
        <v>393339.09</v>
      </c>
      <c r="AH59" s="56">
        <f>SUMIF('Input 3.1_2019VOL-YTD'!$R:$R,$G59,'Input 3.1_2019VOL-YTD'!K:K)</f>
        <v>349864.47</v>
      </c>
      <c r="AI59" s="56">
        <f>SUMIF('Input 3.1_2019VOL-YTD'!$R:$R,$G59,'Input 3.1_2019VOL-YTD'!L:L)</f>
        <v>424714.26</v>
      </c>
      <c r="AJ59" s="56">
        <f>SUMIF('Input 3.1_2019VOL-YTD'!$R:$R,$G59,'Input 3.1_2019VOL-YTD'!M:M)</f>
        <v>433577.47</v>
      </c>
      <c r="AK59" s="56">
        <f>SUMIF('Input 3.1_2019VOL-YTD'!$R:$R,$G59,'Input 3.1_2019VOL-YTD'!N:N)</f>
        <v>491089.52</v>
      </c>
      <c r="AL59" s="56">
        <f>SUMIF('Input 4.1_2020VOL-YTD'!$R:$R,$G59,'Input 4.1_2020VOL-YTD'!C:C)</f>
        <v>612891.48</v>
      </c>
      <c r="AM59" s="56">
        <f>SUMIF('Input 4.1_2020VOL-YTD'!$R:$R,$G59,'Input 4.1_2020VOL-YTD'!D:D)</f>
        <v>472862.38</v>
      </c>
      <c r="AN59" s="56">
        <f>SUMIF('Input 4.1_2020VOL-YTD'!$R:$R,$G59,'Input 4.1_2020VOL-YTD'!E:E)</f>
        <v>483373.07</v>
      </c>
      <c r="AO59" s="56">
        <f>SUMIF('Input 4.1_2020VOL-YTD'!$R:$R,$G59,'Input 4.1_2020VOL-YTD'!F:F)</f>
        <v>348753.45</v>
      </c>
      <c r="AP59" s="56">
        <f>SUMIF('Input 4.1_2020VOL-YTD'!$R:$R,$G59,'Input 4.1_2020VOL-YTD'!G:G)</f>
        <v>361464.85</v>
      </c>
      <c r="AQ59" s="56">
        <f>SUMIF('Input 4.1_2020VOL-YTD'!$R:$R,$G59,'Input 4.1_2020VOL-YTD'!H:H)</f>
        <v>376002.94</v>
      </c>
      <c r="AR59" s="56">
        <f>SUMIF('Input 4.1_2020VOL-YTD'!$R:$R,$G59,'Input 4.1_2020VOL-YTD'!I:I)</f>
        <v>409085.97</v>
      </c>
      <c r="AS59" s="56">
        <f>SUMIF('Input 4.1_2020VOL-YTD'!$R:$R,$G59,'Input 4.1_2020VOL-YTD'!J:J)</f>
        <v>406233.59</v>
      </c>
      <c r="AT59" s="56">
        <f>SUMIF('Input 4.1_2020VOL-YTD'!$R:$R,$G59,'Input 4.1_2020VOL-YTD'!K:K)</f>
        <v>398849.58</v>
      </c>
      <c r="AU59" s="56">
        <f>SUMIF('Input 4.1_2020VOL-YTD'!$R:$R,$G59,'Input 4.1_2020VOL-YTD'!L:L)</f>
        <v>432092.67</v>
      </c>
      <c r="AV59" s="56">
        <f>SUMIF('Input 4.1_2020VOL-YTD'!$R:$R,$G59,'Input 4.1_2020VOL-YTD'!M:M)</f>
        <v>439627.42</v>
      </c>
      <c r="AW59" s="56">
        <f>SUMIF('Input 4.1_2020VOL-YTD'!$R:$R,$G59,'Input 4.1_2020VOL-YTD'!N:N)</f>
        <v>486999.92</v>
      </c>
      <c r="AX59" s="56">
        <f>SUMIF('Input 5.1_2021VOL-YTD'!$R:$R,$G59,'Input 5.1_2021VOL-YTD'!C:C)</f>
        <v>484477.76</v>
      </c>
      <c r="AY59" s="56">
        <f>SUMIF('Input 5.1_2021VOL-YTD'!$R:$R,$G59,'Input 5.1_2021VOL-YTD'!D:D)</f>
        <v>449021.25</v>
      </c>
      <c r="AZ59" s="56">
        <f>SUMIF('Input 5.1_2021VOL-YTD'!$R:$R,$G59,'Input 5.1_2021VOL-YTD'!E:E)</f>
        <v>473416.92</v>
      </c>
      <c r="BA59" s="56">
        <f>SUMIF('Input 5.1_2021VOL-YTD'!$R:$R,$G59,'Input 5.1_2021VOL-YTD'!F:F)</f>
        <v>425943.66</v>
      </c>
      <c r="BB59" s="56">
        <f>SUMIF('Input 5.1_2021VOL-YTD'!$R:$R,$G59,'Input 5.1_2021VOL-YTD'!G:G)</f>
        <v>423729.45</v>
      </c>
      <c r="BC59" s="56">
        <f>SUMIF('Input 5.1_2021VOL-YTD'!$R:$R,$G59,'Input 5.1_2021VOL-YTD'!H:H)</f>
        <v>388311.1</v>
      </c>
      <c r="BD59" s="56">
        <f>SUMIF('Input 5.1_2021VOL-YTD'!$R:$R,$G59,'Input 5.1_2021VOL-YTD'!I:I)</f>
        <v>350968.21</v>
      </c>
      <c r="BE59" s="56">
        <f>SUMIF('Input 5.1_2021VOL-YTD'!$R:$R,$G59,'Input 5.1_2021VOL-YTD'!J:J)</f>
        <v>331493.65999999997</v>
      </c>
      <c r="BF59" s="56">
        <f>SUMIF('Input 5.1_2021VOL-YTD'!$R:$R,$G59,'Input 5.1_2021VOL-YTD'!K:K)</f>
        <v>319166.61</v>
      </c>
      <c r="BG59" s="56">
        <f>SUMIF('Input 5.1_2021VOL-YTD'!$R:$R,$G59,'Input 5.1_2021VOL-YTD'!L:L)</f>
        <v>413388.43</v>
      </c>
      <c r="BH59" s="56">
        <f>SUMIF('Input 5.1_2021VOL-YTD'!$R:$R,$G59,'Input 5.1_2021VOL-YTD'!M:M)</f>
        <v>498121.48</v>
      </c>
      <c r="BI59" s="56">
        <f>SUMIF('Input 5.1_2021VOL-YTD'!$R:$R,$G59,'Input 5.1_2021VOL-YTD'!N:N)</f>
        <v>423951.85</v>
      </c>
      <c r="BJ59" s="568">
        <f>IFERROR(IF($J59="Historical Average",INDEX('Monthly UPC'!$CM$2:$DJ$65,MATCH($D59,'Monthly UPC'!$D$2:$D$65,0),MATCH(BJ$1,'Monthly UPC'!$CM$1:$DJ$1))*(INDEX('Monthly CUST'!$N$2:$CG$65,MATCH($D59,'Monthly CUST'!$D$2:$D$65,0),MATCH(BJ$1,'Monthly CUST'!$N$1:$CG$1,0))),IF($J59="UPC Growth Rate",((AX59/INDEX('Monthly CUST'!$N$2:$CG$65,MATCH($D59,'Monthly CUST'!$D$2:$D$65,0),MATCH(AX$1,'Monthly CUST'!$N$1:$CG$1,0)))*(1+$L59)*INDEX('Monthly CUST'!$N$2:$CG$65,MATCH($D59,'Monthly CUST'!$D$2:$D$65,0),MATCH(BJ$1,'Monthly CUST'!$N$1:$CG$1,0))),IF($J59="Modeled UPC",INDEX('Monthly CUST'!$N$2:$CG$65,MATCH($D59,'Monthly CUST'!$D$2:$D$65,0),MATCH(BJ$1,'Monthly CUST'!$N$1:$CG$1,0))/12*$M59,IF($J59="Base Period",AX59,IF($J59="Adjusted",SUMIF('Input 15_Fcst Inputs'!$A:$A,$D59,'Input 15_Fcst Inputs'!$G:$G)/12))))),0)</f>
        <v>484477.76</v>
      </c>
      <c r="BK59" s="568">
        <f>IFERROR(IF($J59="Historical Average",INDEX('Monthly UPC'!$CM$2:$DJ$65,MATCH($D59,'Monthly UPC'!$D$2:$D$65,0),MATCH(BK$1,'Monthly UPC'!$CM$1:$DJ$1))*(INDEX('Monthly CUST'!$N$2:$CG$65,MATCH($D59,'Monthly CUST'!$D$2:$D$65,0),MATCH(BK$1,'Monthly CUST'!$N$1:$CG$1,0))),IF($J59="UPC Growth Rate",((AY59/INDEX('Monthly CUST'!$N$2:$CG$65,MATCH($D59,'Monthly CUST'!$D$2:$D$65,0),MATCH(AY$1,'Monthly CUST'!$N$1:$CG$1,0)))*(1+$L59)*INDEX('Monthly CUST'!$N$2:$CG$65,MATCH($D59,'Monthly CUST'!$D$2:$D$65,0),MATCH(BK$1,'Monthly CUST'!$N$1:$CG$1,0))),IF($J59="Modeled UPC",INDEX('Monthly CUST'!$N$2:$CG$65,MATCH($D59,'Monthly CUST'!$D$2:$D$65,0),MATCH(BK$1,'Monthly CUST'!$N$1:$CG$1,0))/12*$M59,IF($J59="Base Period",AY59,IF($J59="Adjusted",SUMIF('Input 15_Fcst Inputs'!$A:$A,$D59,'Input 15_Fcst Inputs'!$G:$G)/12))))),0)</f>
        <v>449021.25</v>
      </c>
      <c r="BL59" s="568">
        <f>IFERROR(IF($J59="Historical Average",INDEX('Monthly UPC'!$CM$2:$DJ$65,MATCH($D59,'Monthly UPC'!$D$2:$D$65,0),MATCH(BL$1,'Monthly UPC'!$CM$1:$DJ$1))*(INDEX('Monthly CUST'!$N$2:$CG$65,MATCH($D59,'Monthly CUST'!$D$2:$D$65,0),MATCH(BL$1,'Monthly CUST'!$N$1:$CG$1,0))),IF($J59="UPC Growth Rate",((AZ59/INDEX('Monthly CUST'!$N$2:$CG$65,MATCH($D59,'Monthly CUST'!$D$2:$D$65,0),MATCH(AZ$1,'Monthly CUST'!$N$1:$CG$1,0)))*(1+$L59)*INDEX('Monthly CUST'!$N$2:$CG$65,MATCH($D59,'Monthly CUST'!$D$2:$D$65,0),MATCH(BL$1,'Monthly CUST'!$N$1:$CG$1,0))),IF($J59="Modeled UPC",INDEX('Monthly CUST'!$N$2:$CG$65,MATCH($D59,'Monthly CUST'!$D$2:$D$65,0),MATCH(BL$1,'Monthly CUST'!$N$1:$CG$1,0))/12*$M59,IF($J59="Base Period",AZ59,IF($J59="Adjusted",SUMIF('Input 15_Fcst Inputs'!$A:$A,$D59,'Input 15_Fcst Inputs'!$G:$G)/12))))),0)</f>
        <v>473416.92</v>
      </c>
      <c r="BM59" s="568">
        <f>IFERROR(IF($J59="Historical Average",INDEX('Monthly UPC'!$CM$2:$DJ$65,MATCH($D59,'Monthly UPC'!$D$2:$D$65,0),MATCH(BM$1,'Monthly UPC'!$CM$1:$DJ$1))*(INDEX('Monthly CUST'!$N$2:$CG$65,MATCH($D59,'Monthly CUST'!$D$2:$D$65,0),MATCH(BM$1,'Monthly CUST'!$N$1:$CG$1,0))),IF($J59="UPC Growth Rate",((BA59/INDEX('Monthly CUST'!$N$2:$CG$65,MATCH($D59,'Monthly CUST'!$D$2:$D$65,0),MATCH(BA$1,'Monthly CUST'!$N$1:$CG$1,0)))*(1+$L59)*INDEX('Monthly CUST'!$N$2:$CG$65,MATCH($D59,'Monthly CUST'!$D$2:$D$65,0),MATCH(BM$1,'Monthly CUST'!$N$1:$CG$1,0))),IF($J59="Modeled UPC",INDEX('Monthly CUST'!$N$2:$CG$65,MATCH($D59,'Monthly CUST'!$D$2:$D$65,0),MATCH(BM$1,'Monthly CUST'!$N$1:$CG$1,0))/12*$M59,IF($J59="Base Period",BA59,IF($J59="Adjusted",SUMIF('Input 15_Fcst Inputs'!$A:$A,$D59,'Input 15_Fcst Inputs'!$G:$G)/12))))),0)</f>
        <v>425943.66</v>
      </c>
      <c r="BN59" s="568">
        <f>IFERROR(IF($J59="Historical Average",INDEX('Monthly UPC'!$CM$2:$DJ$65,MATCH($D59,'Monthly UPC'!$D$2:$D$65,0),MATCH(BN$1,'Monthly UPC'!$CM$1:$DJ$1))*(INDEX('Monthly CUST'!$N$2:$CG$65,MATCH($D59,'Monthly CUST'!$D$2:$D$65,0),MATCH(BN$1,'Monthly CUST'!$N$1:$CG$1,0))),IF($J59="UPC Growth Rate",((BB59/INDEX('Monthly CUST'!$N$2:$CG$65,MATCH($D59,'Monthly CUST'!$D$2:$D$65,0),MATCH(BB$1,'Monthly CUST'!$N$1:$CG$1,0)))*(1+$L59)*INDEX('Monthly CUST'!$N$2:$CG$65,MATCH($D59,'Monthly CUST'!$D$2:$D$65,0),MATCH(BN$1,'Monthly CUST'!$N$1:$CG$1,0))),IF($J59="Modeled UPC",INDEX('Monthly CUST'!$N$2:$CG$65,MATCH($D59,'Monthly CUST'!$D$2:$D$65,0),MATCH(BN$1,'Monthly CUST'!$N$1:$CG$1,0))/12*$M59,IF($J59="Base Period",BB59,IF($J59="Adjusted",SUMIF('Input 15_Fcst Inputs'!$A:$A,$D59,'Input 15_Fcst Inputs'!$G:$G)/12))))),0)</f>
        <v>423729.45</v>
      </c>
      <c r="BO59" s="568">
        <f>IFERROR(IF($J59="Historical Average",INDEX('Monthly UPC'!$CM$2:$DJ$65,MATCH($D59,'Monthly UPC'!$D$2:$D$65,0),MATCH(BO$1,'Monthly UPC'!$CM$1:$DJ$1))*(INDEX('Monthly CUST'!$N$2:$CG$65,MATCH($D59,'Monthly CUST'!$D$2:$D$65,0),MATCH(BO$1,'Monthly CUST'!$N$1:$CG$1,0))),IF($J59="UPC Growth Rate",((BC59/INDEX('Monthly CUST'!$N$2:$CG$65,MATCH($D59,'Monthly CUST'!$D$2:$D$65,0),MATCH(BC$1,'Monthly CUST'!$N$1:$CG$1,0)))*(1+$L59)*INDEX('Monthly CUST'!$N$2:$CG$65,MATCH($D59,'Monthly CUST'!$D$2:$D$65,0),MATCH(BO$1,'Monthly CUST'!$N$1:$CG$1,0))),IF($J59="Modeled UPC",INDEX('Monthly CUST'!$N$2:$CG$65,MATCH($D59,'Monthly CUST'!$D$2:$D$65,0),MATCH(BO$1,'Monthly CUST'!$N$1:$CG$1,0))/12*$M59,IF($J59="Base Period",BC59,IF($J59="Adjusted",SUMIF('Input 15_Fcst Inputs'!$A:$A,$D59,'Input 15_Fcst Inputs'!$G:$G)/12))))),0)</f>
        <v>388311.1</v>
      </c>
      <c r="BP59" s="568">
        <f>IFERROR(IF($J59="Historical Average",INDEX('Monthly UPC'!$CM$2:$DJ$65,MATCH($D59,'Monthly UPC'!$D$2:$D$65,0),MATCH(BP$1,'Monthly UPC'!$CM$1:$DJ$1))*(INDEX('Monthly CUST'!$N$2:$CG$65,MATCH($D59,'Monthly CUST'!$D$2:$D$65,0),MATCH(BP$1,'Monthly CUST'!$N$1:$CG$1,0))),IF($J59="UPC Growth Rate",((BD59/INDEX('Monthly CUST'!$N$2:$CG$65,MATCH($D59,'Monthly CUST'!$D$2:$D$65,0),MATCH(BD$1,'Monthly CUST'!$N$1:$CG$1,0)))*(1+$L59)*INDEX('Monthly CUST'!$N$2:$CG$65,MATCH($D59,'Monthly CUST'!$D$2:$D$65,0),MATCH(BP$1,'Monthly CUST'!$N$1:$CG$1,0))),IF($J59="Modeled UPC",INDEX('Monthly CUST'!$N$2:$CG$65,MATCH($D59,'Monthly CUST'!$D$2:$D$65,0),MATCH(BP$1,'Monthly CUST'!$N$1:$CG$1,0))/12*$M59,IF($J59="Base Period",BD59,IF($J59="Adjusted",SUMIF('Input 15_Fcst Inputs'!$A:$A,$D59,'Input 15_Fcst Inputs'!$G:$G)/12))))),0)</f>
        <v>350968.21</v>
      </c>
      <c r="BQ59" s="568">
        <f>IFERROR(IF($J59="Historical Average",INDEX('Monthly UPC'!$CM$2:$DJ$65,MATCH($D59,'Monthly UPC'!$D$2:$D$65,0),MATCH(BQ$1,'Monthly UPC'!$CM$1:$DJ$1))*(INDEX('Monthly CUST'!$N$2:$CG$65,MATCH($D59,'Monthly CUST'!$D$2:$D$65,0),MATCH(BQ$1,'Monthly CUST'!$N$1:$CG$1,0))),IF($J59="UPC Growth Rate",((BE59/INDEX('Monthly CUST'!$N$2:$CG$65,MATCH($D59,'Monthly CUST'!$D$2:$D$65,0),MATCH(BE$1,'Monthly CUST'!$N$1:$CG$1,0)))*(1+$L59)*INDEX('Monthly CUST'!$N$2:$CG$65,MATCH($D59,'Monthly CUST'!$D$2:$D$65,0),MATCH(BQ$1,'Monthly CUST'!$N$1:$CG$1,0))),IF($J59="Modeled UPC",INDEX('Monthly CUST'!$N$2:$CG$65,MATCH($D59,'Monthly CUST'!$D$2:$D$65,0),MATCH(BQ$1,'Monthly CUST'!$N$1:$CG$1,0))/12*$M59,IF($J59="Base Period",BE59,IF($J59="Adjusted",SUMIF('Input 15_Fcst Inputs'!$A:$A,$D59,'Input 15_Fcst Inputs'!$G:$G)/12))))),0)</f>
        <v>331493.65999999997</v>
      </c>
      <c r="BR59" s="568">
        <f>IFERROR(IF($J59="Historical Average",INDEX('Monthly UPC'!$CM$2:$DJ$65,MATCH($D59,'Monthly UPC'!$D$2:$D$65,0),MATCH(BR$1,'Monthly UPC'!$CM$1:$DJ$1))*(INDEX('Monthly CUST'!$N$2:$CG$65,MATCH($D59,'Monthly CUST'!$D$2:$D$65,0),MATCH(BR$1,'Monthly CUST'!$N$1:$CG$1,0))),IF($J59="UPC Growth Rate",((BF59/INDEX('Monthly CUST'!$N$2:$CG$65,MATCH($D59,'Monthly CUST'!$D$2:$D$65,0),MATCH(BF$1,'Monthly CUST'!$N$1:$CG$1,0)))*(1+$L59)*INDEX('Monthly CUST'!$N$2:$CG$65,MATCH($D59,'Monthly CUST'!$D$2:$D$65,0),MATCH(BR$1,'Monthly CUST'!$N$1:$CG$1,0))),IF($J59="Modeled UPC",INDEX('Monthly CUST'!$N$2:$CG$65,MATCH($D59,'Monthly CUST'!$D$2:$D$65,0),MATCH(BR$1,'Monthly CUST'!$N$1:$CG$1,0))/12*$M59,IF($J59="Base Period",BF59,IF($J59="Adjusted",SUMIF('Input 15_Fcst Inputs'!$A:$A,$D59,'Input 15_Fcst Inputs'!$G:$G)/12))))),0)</f>
        <v>319166.61</v>
      </c>
      <c r="BS59" s="568">
        <f>IFERROR(IF($J59="Historical Average",INDEX('Monthly UPC'!$CM$2:$DJ$65,MATCH($D59,'Monthly UPC'!$D$2:$D$65,0),MATCH(BS$1,'Monthly UPC'!$CM$1:$DJ$1))*(INDEX('Monthly CUST'!$N$2:$CG$65,MATCH($D59,'Monthly CUST'!$D$2:$D$65,0),MATCH(BS$1,'Monthly CUST'!$N$1:$CG$1,0))),IF($J59="UPC Growth Rate",((BG59/INDEX('Monthly CUST'!$N$2:$CG$65,MATCH($D59,'Monthly CUST'!$D$2:$D$65,0),MATCH(BG$1,'Monthly CUST'!$N$1:$CG$1,0)))*(1+$L59)*INDEX('Monthly CUST'!$N$2:$CG$65,MATCH($D59,'Monthly CUST'!$D$2:$D$65,0),MATCH(BS$1,'Monthly CUST'!$N$1:$CG$1,0))),IF($J59="Modeled UPC",INDEX('Monthly CUST'!$N$2:$CG$65,MATCH($D59,'Monthly CUST'!$D$2:$D$65,0),MATCH(BS$1,'Monthly CUST'!$N$1:$CG$1,0))/12*$M59,IF($J59="Base Period",BG59,IF($J59="Adjusted",SUMIF('Input 15_Fcst Inputs'!$A:$A,$D59,'Input 15_Fcst Inputs'!$G:$G)/12))))),0)</f>
        <v>413388.43</v>
      </c>
      <c r="BT59" s="568">
        <f>IFERROR(IF($J59="Historical Average",INDEX('Monthly UPC'!$CM$2:$DJ$65,MATCH($D59,'Monthly UPC'!$D$2:$D$65,0),MATCH(BT$1,'Monthly UPC'!$CM$1:$DJ$1))*(INDEX('Monthly CUST'!$N$2:$CG$65,MATCH($D59,'Monthly CUST'!$D$2:$D$65,0),MATCH(BT$1,'Monthly CUST'!$N$1:$CG$1,0))),IF($J59="UPC Growth Rate",((BH59/INDEX('Monthly CUST'!$N$2:$CG$65,MATCH($D59,'Monthly CUST'!$D$2:$D$65,0),MATCH(BH$1,'Monthly CUST'!$N$1:$CG$1,0)))*(1+$L59)*INDEX('Monthly CUST'!$N$2:$CG$65,MATCH($D59,'Monthly CUST'!$D$2:$D$65,0),MATCH(BT$1,'Monthly CUST'!$N$1:$CG$1,0))),IF($J59="Modeled UPC",INDEX('Monthly CUST'!$N$2:$CG$65,MATCH($D59,'Monthly CUST'!$D$2:$D$65,0),MATCH(BT$1,'Monthly CUST'!$N$1:$CG$1,0))/12*$M59,IF($J59="Base Period",BH59,IF($J59="Adjusted",SUMIF('Input 15_Fcst Inputs'!$A:$A,$D59,'Input 15_Fcst Inputs'!$G:$G)/12))))),0)</f>
        <v>498121.48</v>
      </c>
      <c r="BU59" s="568">
        <f>IFERROR(IF($J59="Historical Average",INDEX('Monthly UPC'!$CM$2:$DJ$65,MATCH($D59,'Monthly UPC'!$D$2:$D$65,0),MATCH(BU$1,'Monthly UPC'!$CM$1:$DJ$1))*(INDEX('Monthly CUST'!$N$2:$CG$65,MATCH($D59,'Monthly CUST'!$D$2:$D$65,0),MATCH(BU$1,'Monthly CUST'!$N$1:$CG$1,0))),IF($J59="UPC Growth Rate",((BI59/INDEX('Monthly CUST'!$N$2:$CG$65,MATCH($D59,'Monthly CUST'!$D$2:$D$65,0),MATCH(BI$1,'Monthly CUST'!$N$1:$CG$1,0)))*(1+$L59)*INDEX('Monthly CUST'!$N$2:$CG$65,MATCH($D59,'Monthly CUST'!$D$2:$D$65,0),MATCH(BU$1,'Monthly CUST'!$N$1:$CG$1,0))),IF($J59="Modeled UPC",INDEX('Monthly CUST'!$N$2:$CG$65,MATCH($D59,'Monthly CUST'!$D$2:$D$65,0),MATCH(BU$1,'Monthly CUST'!$N$1:$CG$1,0))/12*$M59,IF($J59="Base Period",BI59,IF($J59="Adjusted",SUMIF('Input 15_Fcst Inputs'!$A:$A,$D59,'Input 15_Fcst Inputs'!$G:$G)/12))))),0)</f>
        <v>423951.85</v>
      </c>
      <c r="BV59" s="568">
        <f>IFERROR(IF($J59="Historical Average",INDEX('Monthly UPC'!$CM$2:$DJ$65,MATCH($D59,'Monthly UPC'!$D$2:$D$65,0),MATCH(BV$1,'Monthly UPC'!$CM$1:$DJ$1))*(INDEX('Monthly CUST'!$N$2:$CG$65,MATCH($D59,'Monthly CUST'!$D$2:$D$65,0),MATCH(BV$1,'Monthly CUST'!$N$1:$CG$1,0))),IF($J59="UPC Growth Rate",((BJ59/INDEX('Monthly CUST'!$N$2:$CG$65,MATCH($D59,'Monthly CUST'!$D$2:$D$65,0),MATCH(BJ$1,'Monthly CUST'!$N$1:$CG$1,0)))*(1+$L59)*INDEX('Monthly CUST'!$N$2:$CG$65,MATCH($D59,'Monthly CUST'!$D$2:$D$65,0),MATCH(BV$1,'Monthly CUST'!$N$1:$CG$1,0))),IF($J59="Modeled UPC",INDEX('Monthly CUST'!$N$2:$CG$65,MATCH($D59,'Monthly CUST'!$D$2:$D$65,0),MATCH(BV$1,'Monthly CUST'!$N$1:$CG$1,0))/12*$M59,IF($J59="Base Period",BJ59,IF($J59="Adjusted",SUMIF('Input 15_Fcst Inputs'!$A:$A,$D59,'Input 15_Fcst Inputs'!$G:$G)/12))))),0)+43008.83</f>
        <v>527486.59</v>
      </c>
      <c r="BW59" s="568">
        <f>IFERROR(IF($J59="Historical Average",INDEX('Monthly UPC'!$CM$2:$DJ$65,MATCH($D59,'Monthly UPC'!$D$2:$D$65,0),MATCH(BW$1,'Monthly UPC'!$CM$1:$DJ$1))*(INDEX('Monthly CUST'!$N$2:$CG$65,MATCH($D59,'Monthly CUST'!$D$2:$D$65,0),MATCH(BW$1,'Monthly CUST'!$N$1:$CG$1,0))),IF($J59="UPC Growth Rate",((BK59/INDEX('Monthly CUST'!$N$2:$CG$65,MATCH($D59,'Monthly CUST'!$D$2:$D$65,0),MATCH(BK$1,'Monthly CUST'!$N$1:$CG$1,0)))*(1+$L59)*INDEX('Monthly CUST'!$N$2:$CG$65,MATCH($D59,'Monthly CUST'!$D$2:$D$65,0),MATCH(BW$1,'Monthly CUST'!$N$1:$CG$1,0))),IF($J59="Modeled UPC",INDEX('Monthly CUST'!$N$2:$CG$65,MATCH($D59,'Monthly CUST'!$D$2:$D$65,0),MATCH(BW$1,'Monthly CUST'!$N$1:$CG$1,0))/12*$M59,IF($J59="Base Period",BK59,IF($J59="Adjusted",SUMIF('Input 15_Fcst Inputs'!$A:$A,$D59,'Input 15_Fcst Inputs'!$G:$G)/12))))),0)+43008.83</f>
        <v>492030.08</v>
      </c>
      <c r="BX59" s="568">
        <f>IFERROR(IF($J59="Historical Average",INDEX('Monthly UPC'!$CM$2:$DJ$65,MATCH($D59,'Monthly UPC'!$D$2:$D$65,0),MATCH(BX$1,'Monthly UPC'!$CM$1:$DJ$1))*(INDEX('Monthly CUST'!$N$2:$CG$65,MATCH($D59,'Monthly CUST'!$D$2:$D$65,0),MATCH(BX$1,'Monthly CUST'!$N$1:$CG$1,0))),IF($J59="UPC Growth Rate",((BL59/INDEX('Monthly CUST'!$N$2:$CG$65,MATCH($D59,'Monthly CUST'!$D$2:$D$65,0),MATCH(BL$1,'Monthly CUST'!$N$1:$CG$1,0)))*(1+$L59)*INDEX('Monthly CUST'!$N$2:$CG$65,MATCH($D59,'Monthly CUST'!$D$2:$D$65,0),MATCH(BX$1,'Monthly CUST'!$N$1:$CG$1,0))),IF($J59="Modeled UPC",INDEX('Monthly CUST'!$N$2:$CG$65,MATCH($D59,'Monthly CUST'!$D$2:$D$65,0),MATCH(BX$1,'Monthly CUST'!$N$1:$CG$1,0))/12*$M59,IF($J59="Base Period",BL59,IF($J59="Adjusted",SUMIF('Input 15_Fcst Inputs'!$A:$A,$D59,'Input 15_Fcst Inputs'!$G:$G)/12))))),0)+43008.83</f>
        <v>516425.75</v>
      </c>
      <c r="BY59" s="568">
        <f>IFERROR(IF($J59="Historical Average",INDEX('Monthly UPC'!$CM$2:$DJ$65,MATCH($D59,'Monthly UPC'!$D$2:$D$65,0),MATCH(BY$1,'Monthly UPC'!$CM$1:$DJ$1))*(INDEX('Monthly CUST'!$N$2:$CG$65,MATCH($D59,'Monthly CUST'!$D$2:$D$65,0),MATCH(BY$1,'Monthly CUST'!$N$1:$CG$1,0))),IF($J59="UPC Growth Rate",((BM59/INDEX('Monthly CUST'!$N$2:$CG$65,MATCH($D59,'Monthly CUST'!$D$2:$D$65,0),MATCH(BM$1,'Monthly CUST'!$N$1:$CG$1,0)))*(1+$L59)*INDEX('Monthly CUST'!$N$2:$CG$65,MATCH($D59,'Monthly CUST'!$D$2:$D$65,0),MATCH(BY$1,'Monthly CUST'!$N$1:$CG$1,0))),IF($J59="Modeled UPC",INDEX('Monthly CUST'!$N$2:$CG$65,MATCH($D59,'Monthly CUST'!$D$2:$D$65,0),MATCH(BY$1,'Monthly CUST'!$N$1:$CG$1,0))/12*$M59,IF($J59="Base Period",BM59,IF($J59="Adjusted",SUMIF('Input 15_Fcst Inputs'!$A:$A,$D59,'Input 15_Fcst Inputs'!$G:$G)/12))))),0)+43008.83</f>
        <v>468952.49</v>
      </c>
      <c r="BZ59" s="568">
        <f>IFERROR(IF($J59="Historical Average",INDEX('Monthly UPC'!$CM$2:$DJ$65,MATCH($D59,'Monthly UPC'!$D$2:$D$65,0),MATCH(BZ$1,'Monthly UPC'!$CM$1:$DJ$1))*(INDEX('Monthly CUST'!$N$2:$CG$65,MATCH($D59,'Monthly CUST'!$D$2:$D$65,0),MATCH(BZ$1,'Monthly CUST'!$N$1:$CG$1,0))),IF($J59="UPC Growth Rate",((BN59/INDEX('Monthly CUST'!$N$2:$CG$65,MATCH($D59,'Monthly CUST'!$D$2:$D$65,0),MATCH(BN$1,'Monthly CUST'!$N$1:$CG$1,0)))*(1+$L59)*INDEX('Monthly CUST'!$N$2:$CG$65,MATCH($D59,'Monthly CUST'!$D$2:$D$65,0),MATCH(BZ$1,'Monthly CUST'!$N$1:$CG$1,0))),IF($J59="Modeled UPC",INDEX('Monthly CUST'!$N$2:$CG$65,MATCH($D59,'Monthly CUST'!$D$2:$D$65,0),MATCH(BZ$1,'Monthly CUST'!$N$1:$CG$1,0))/12*$M59,IF($J59="Base Period",BN59,IF($J59="Adjusted",SUMIF('Input 15_Fcst Inputs'!$A:$A,$D59,'Input 15_Fcst Inputs'!$G:$G)/12))))),0)+43008.83</f>
        <v>466738.28</v>
      </c>
      <c r="CA59" s="568">
        <f>IFERROR(IF($J59="Historical Average",INDEX('Monthly UPC'!$CM$2:$DJ$65,MATCH($D59,'Monthly UPC'!$D$2:$D$65,0),MATCH(CA$1,'Monthly UPC'!$CM$1:$DJ$1))*(INDEX('Monthly CUST'!$N$2:$CG$65,MATCH($D59,'Monthly CUST'!$D$2:$D$65,0),MATCH(CA$1,'Monthly CUST'!$N$1:$CG$1,0))),IF($J59="UPC Growth Rate",((BO59/INDEX('Monthly CUST'!$N$2:$CG$65,MATCH($D59,'Monthly CUST'!$D$2:$D$65,0),MATCH(BO$1,'Monthly CUST'!$N$1:$CG$1,0)))*(1+$L59)*INDEX('Monthly CUST'!$N$2:$CG$65,MATCH($D59,'Monthly CUST'!$D$2:$D$65,0),MATCH(CA$1,'Monthly CUST'!$N$1:$CG$1,0))),IF($J59="Modeled UPC",INDEX('Monthly CUST'!$N$2:$CG$65,MATCH($D59,'Monthly CUST'!$D$2:$D$65,0),MATCH(CA$1,'Monthly CUST'!$N$1:$CG$1,0))/12*$M59,IF($J59="Base Period",BO59,IF($J59="Adjusted",SUMIF('Input 15_Fcst Inputs'!$A:$A,$D59,'Input 15_Fcst Inputs'!$G:$G)/12))))),0)+43008.83</f>
        <v>431319.93</v>
      </c>
      <c r="CB59" s="568">
        <f>IFERROR(IF($J59="Historical Average",INDEX('Monthly UPC'!$CM$2:$DJ$65,MATCH($D59,'Monthly UPC'!$D$2:$D$65,0),MATCH(CB$1,'Monthly UPC'!$CM$1:$DJ$1))*(INDEX('Monthly CUST'!$N$2:$CG$65,MATCH($D59,'Monthly CUST'!$D$2:$D$65,0),MATCH(CB$1,'Monthly CUST'!$N$1:$CG$1,0))),IF($J59="UPC Growth Rate",((BP59/INDEX('Monthly CUST'!$N$2:$CG$65,MATCH($D59,'Monthly CUST'!$D$2:$D$65,0),MATCH(BP$1,'Monthly CUST'!$N$1:$CG$1,0)))*(1+$L59)*INDEX('Monthly CUST'!$N$2:$CG$65,MATCH($D59,'Monthly CUST'!$D$2:$D$65,0),MATCH(CB$1,'Monthly CUST'!$N$1:$CG$1,0))),IF($J59="Modeled UPC",INDEX('Monthly CUST'!$N$2:$CG$65,MATCH($D59,'Monthly CUST'!$D$2:$D$65,0),MATCH(CB$1,'Monthly CUST'!$N$1:$CG$1,0))/12*$M59,IF($J59="Base Period",BP59,IF($J59="Adjusted",SUMIF('Input 15_Fcst Inputs'!$A:$A,$D59,'Input 15_Fcst Inputs'!$G:$G)/12))))),0)+43008.83</f>
        <v>393977.04000000004</v>
      </c>
      <c r="CC59" s="568">
        <f>IFERROR(IF($J59="Historical Average",INDEX('Monthly UPC'!$CM$2:$DJ$65,MATCH($D59,'Monthly UPC'!$D$2:$D$65,0),MATCH(CC$1,'Monthly UPC'!$CM$1:$DJ$1))*(INDEX('Monthly CUST'!$N$2:$CG$65,MATCH($D59,'Monthly CUST'!$D$2:$D$65,0),MATCH(CC$1,'Monthly CUST'!$N$1:$CG$1,0))),IF($J59="UPC Growth Rate",((BQ59/INDEX('Monthly CUST'!$N$2:$CG$65,MATCH($D59,'Monthly CUST'!$D$2:$D$65,0),MATCH(BQ$1,'Monthly CUST'!$N$1:$CG$1,0)))*(1+$L59)*INDEX('Monthly CUST'!$N$2:$CG$65,MATCH($D59,'Monthly CUST'!$D$2:$D$65,0),MATCH(CC$1,'Monthly CUST'!$N$1:$CG$1,0))),IF($J59="Modeled UPC",INDEX('Monthly CUST'!$N$2:$CG$65,MATCH($D59,'Monthly CUST'!$D$2:$D$65,0),MATCH(CC$1,'Monthly CUST'!$N$1:$CG$1,0))/12*$M59,IF($J59="Base Period",BQ59,IF($J59="Adjusted",SUMIF('Input 15_Fcst Inputs'!$A:$A,$D59,'Input 15_Fcst Inputs'!$G:$G)/12))))),0)+43008.83</f>
        <v>374502.49</v>
      </c>
      <c r="CD59" s="568">
        <f>IFERROR(IF($J59="Historical Average",INDEX('Monthly UPC'!$CM$2:$DJ$65,MATCH($D59,'Monthly UPC'!$D$2:$D$65,0),MATCH(CD$1,'Monthly UPC'!$CM$1:$DJ$1))*(INDEX('Monthly CUST'!$N$2:$CG$65,MATCH($D59,'Monthly CUST'!$D$2:$D$65,0),MATCH(CD$1,'Monthly CUST'!$N$1:$CG$1,0))),IF($J59="UPC Growth Rate",((BR59/INDEX('Monthly CUST'!$N$2:$CG$65,MATCH($D59,'Monthly CUST'!$D$2:$D$65,0),MATCH(BR$1,'Monthly CUST'!$N$1:$CG$1,0)))*(1+$L59)*INDEX('Monthly CUST'!$N$2:$CG$65,MATCH($D59,'Monthly CUST'!$D$2:$D$65,0),MATCH(CD$1,'Monthly CUST'!$N$1:$CG$1,0))),IF($J59="Modeled UPC",INDEX('Monthly CUST'!$N$2:$CG$65,MATCH($D59,'Monthly CUST'!$D$2:$D$65,0),MATCH(CD$1,'Monthly CUST'!$N$1:$CG$1,0))/12*$M59,IF($J59="Base Period",BR59,IF($J59="Adjusted",SUMIF('Input 15_Fcst Inputs'!$A:$A,$D59,'Input 15_Fcst Inputs'!$G:$G)/12))))),0)+43008.83</f>
        <v>362175.44</v>
      </c>
      <c r="CE59" s="568">
        <f>IFERROR(IF($J59="Historical Average",INDEX('Monthly UPC'!$CM$2:$DJ$65,MATCH($D59,'Monthly UPC'!$D$2:$D$65,0),MATCH(CE$1,'Monthly UPC'!$CM$1:$DJ$1))*(INDEX('Monthly CUST'!$N$2:$CG$65,MATCH($D59,'Monthly CUST'!$D$2:$D$65,0),MATCH(CE$1,'Monthly CUST'!$N$1:$CG$1,0))),IF($J59="UPC Growth Rate",((BS59/INDEX('Monthly CUST'!$N$2:$CG$65,MATCH($D59,'Monthly CUST'!$D$2:$D$65,0),MATCH(BS$1,'Monthly CUST'!$N$1:$CG$1,0)))*(1+$L59)*INDEX('Monthly CUST'!$N$2:$CG$65,MATCH($D59,'Monthly CUST'!$D$2:$D$65,0),MATCH(CE$1,'Monthly CUST'!$N$1:$CG$1,0))),IF($J59="Modeled UPC",INDEX('Monthly CUST'!$N$2:$CG$65,MATCH($D59,'Monthly CUST'!$D$2:$D$65,0),MATCH(CE$1,'Monthly CUST'!$N$1:$CG$1,0))/12*$M59,IF($J59="Base Period",BS59,IF($J59="Adjusted",SUMIF('Input 15_Fcst Inputs'!$A:$A,$D59,'Input 15_Fcst Inputs'!$G:$G)/12))))),0)+43008.83</f>
        <v>456397.26</v>
      </c>
      <c r="CF59" s="568">
        <f>IFERROR(IF($J59="Historical Average",INDEX('Monthly UPC'!$CM$2:$DJ$65,MATCH($D59,'Monthly UPC'!$D$2:$D$65,0),MATCH(CF$1,'Monthly UPC'!$CM$1:$DJ$1))*(INDEX('Monthly CUST'!$N$2:$CG$65,MATCH($D59,'Monthly CUST'!$D$2:$D$65,0),MATCH(CF$1,'Monthly CUST'!$N$1:$CG$1,0))),IF($J59="UPC Growth Rate",((BT59/INDEX('Monthly CUST'!$N$2:$CG$65,MATCH($D59,'Monthly CUST'!$D$2:$D$65,0),MATCH(BT$1,'Monthly CUST'!$N$1:$CG$1,0)))*(1+$L59)*INDEX('Monthly CUST'!$N$2:$CG$65,MATCH($D59,'Monthly CUST'!$D$2:$D$65,0),MATCH(CF$1,'Monthly CUST'!$N$1:$CG$1,0))),IF($J59="Modeled UPC",INDEX('Monthly CUST'!$N$2:$CG$65,MATCH($D59,'Monthly CUST'!$D$2:$D$65,0),MATCH(CF$1,'Monthly CUST'!$N$1:$CG$1,0))/12*$M59,IF($J59="Base Period",BT59,IF($J59="Adjusted",SUMIF('Input 15_Fcst Inputs'!$A:$A,$D59,'Input 15_Fcst Inputs'!$G:$G)/12))))),0)+43008.83</f>
        <v>541130.30999999994</v>
      </c>
      <c r="CG59" s="568">
        <f>IFERROR(IF($J59="Historical Average",INDEX('Monthly UPC'!$CM$2:$DJ$65,MATCH($D59,'Monthly UPC'!$D$2:$D$65,0),MATCH(CG$1,'Monthly UPC'!$CM$1:$DJ$1))*(INDEX('Monthly CUST'!$N$2:$CG$65,MATCH($D59,'Monthly CUST'!$D$2:$D$65,0),MATCH(CG$1,'Monthly CUST'!$N$1:$CG$1,0))),IF($J59="UPC Growth Rate",((BU59/INDEX('Monthly CUST'!$N$2:$CG$65,MATCH($D59,'Monthly CUST'!$D$2:$D$65,0),MATCH(BU$1,'Monthly CUST'!$N$1:$CG$1,0)))*(1+$L59)*INDEX('Monthly CUST'!$N$2:$CG$65,MATCH($D59,'Monthly CUST'!$D$2:$D$65,0),MATCH(CG$1,'Monthly CUST'!$N$1:$CG$1,0))),IF($J59="Modeled UPC",INDEX('Monthly CUST'!$N$2:$CG$65,MATCH($D59,'Monthly CUST'!$D$2:$D$65,0),MATCH(CG$1,'Monthly CUST'!$N$1:$CG$1,0))/12*$M59,IF($J59="Base Period",BU59,IF($J59="Adjusted",SUMIF('Input 15_Fcst Inputs'!$A:$A,$D59,'Input 15_Fcst Inputs'!$G:$G)/12))))),0)+43008.83</f>
        <v>466960.68</v>
      </c>
      <c r="CH59" s="264"/>
      <c r="CI59" s="264">
        <f t="shared" si="8"/>
        <v>4948661.88</v>
      </c>
      <c r="CJ59" s="264">
        <f t="shared" si="9"/>
        <v>4974440.8499999996</v>
      </c>
      <c r="CK59" s="264">
        <f t="shared" si="10"/>
        <v>5228237.3199999994</v>
      </c>
      <c r="CL59" s="264">
        <f t="shared" si="11"/>
        <v>4981990.38</v>
      </c>
      <c r="CM59" s="264">
        <f t="shared" si="12"/>
        <v>4981990.38</v>
      </c>
      <c r="CN59" s="264">
        <f t="shared" si="13"/>
        <v>5498096.3399999999</v>
      </c>
      <c r="CP59" s="1">
        <f>SUMIF('Master '!D:D,D59,'Master '!AH:AH)</f>
        <v>4981990.38</v>
      </c>
      <c r="CQ59" s="1">
        <f>SUMIF('Master '!D:D,D59,'Master '!AI:AI)</f>
        <v>5498096.3799999999</v>
      </c>
      <c r="CR59" s="264">
        <f t="shared" si="14"/>
        <v>0</v>
      </c>
      <c r="CS59" s="264">
        <f t="shared" si="15"/>
        <v>-4.0000000037252903E-2</v>
      </c>
      <c r="CT59" s="261" t="s">
        <v>287</v>
      </c>
      <c r="CU59" s="295"/>
      <c r="CV59" s="261" t="str">
        <f>VLOOKUP(G59,'Master '!G:CC,75,FALSE)</f>
        <v>FTS-8</v>
      </c>
    </row>
    <row r="60" spans="1:100">
      <c r="A60" s="53" t="s">
        <v>17</v>
      </c>
      <c r="B60" s="53" t="s">
        <v>993</v>
      </c>
      <c r="C60" s="53" t="s">
        <v>1245</v>
      </c>
      <c r="D60" s="53" t="s">
        <v>75</v>
      </c>
      <c r="E60" s="53" t="str">
        <f>VLOOKUP(D60,'Input 14_Ref Table'!C:D,2,FALSE)</f>
        <v>CC905</v>
      </c>
      <c r="F60" s="143" t="s">
        <v>1286</v>
      </c>
      <c r="G60" s="53" t="str">
        <f>VLOOKUP(D60,'Input 14_Ref Table'!C:I,7,FALSE)</f>
        <v>CFG - FTS-9</v>
      </c>
      <c r="H60" s="53" t="str">
        <f>VLOOKUP(D60,'Input 14_Ref Table'!C:K,8,FALSE)</f>
        <v>Base Period</v>
      </c>
      <c r="I60" s="53"/>
      <c r="J60" t="str">
        <f>INDEX('Master '!$AD$2:AD$65,MATCH(D60,'Master '!$D$2:$D$65,0))</f>
        <v>Base Period</v>
      </c>
      <c r="K60" s="458">
        <f>INDEX('Master '!$N$2:N$65,MATCH(D60,'Master '!$D$2:$D$65,0))</f>
        <v>0</v>
      </c>
      <c r="L60" s="137">
        <f>INDEX('Master '!$S$2:S$65,MATCH(D60,'Master '!$D$2:$D$65,0))</f>
        <v>0</v>
      </c>
      <c r="M60" s="4">
        <f>INDEX('Master '!$W$2:W$65,MATCH(D60,'Master '!$D$2:$D$65,0))</f>
        <v>522822.03811764705</v>
      </c>
      <c r="N60" s="268">
        <f>SUMIF('Input 16.1_2018VOL-YTD'!$R:$R,$G60,'Input 16.1_2018VOL-YTD'!C:C)</f>
        <v>435274.44</v>
      </c>
      <c r="O60" s="268">
        <f>SUMIF('Input 16.1_2018VOL-YTD'!$R:$R,$G60,'Input 16.1_2018VOL-YTD'!D:D)</f>
        <v>396190.12</v>
      </c>
      <c r="P60" s="268">
        <f>SUMIF('Input 16.1_2018VOL-YTD'!$R:$R,$G60,'Input 16.1_2018VOL-YTD'!E:E)</f>
        <v>388307.07</v>
      </c>
      <c r="Q60" s="268">
        <f>SUMIF('Input 16.1_2018VOL-YTD'!$R:$R,$G60,'Input 16.1_2018VOL-YTD'!F:F)</f>
        <v>331188.75</v>
      </c>
      <c r="R60" s="268">
        <f>SUMIF('Input 16.1_2018VOL-YTD'!$R:$R,$G60,'Input 16.1_2018VOL-YTD'!G:G)</f>
        <v>332202.58</v>
      </c>
      <c r="S60" s="268">
        <f>SUMIF('Input 16.1_2018VOL-YTD'!$R:$R,$G60,'Input 16.1_2018VOL-YTD'!H:H)</f>
        <v>317426.17</v>
      </c>
      <c r="T60" s="268">
        <f>SUMIF('Input 16.1_2018VOL-YTD'!$R:$R,$G60,'Input 16.1_2018VOL-YTD'!I:I)</f>
        <v>323248.34000000003</v>
      </c>
      <c r="U60" s="268">
        <f>SUMIF('Input 16.1_2018VOL-YTD'!$R:$R,$G60,'Input 16.1_2018VOL-YTD'!J:J)</f>
        <v>319126.42</v>
      </c>
      <c r="V60" s="268">
        <f>SUMIF('Input 16.1_2018VOL-YTD'!$R:$R,$G60,'Input 16.1_2018VOL-YTD'!K:K)</f>
        <v>301858.31</v>
      </c>
      <c r="W60" s="268">
        <f>SUMIF('Input 16.1_2018VOL-YTD'!$R:$R,$G60,'Input 16.1_2018VOL-YTD'!L:L)</f>
        <v>322159.40000000002</v>
      </c>
      <c r="X60" s="268">
        <f>SUMIF('Input 16.1_2018VOL-YTD'!$R:$R,$G60,'Input 16.1_2018VOL-YTD'!M:M)</f>
        <v>301851.21999999997</v>
      </c>
      <c r="Y60" s="268">
        <f>SUMIF('Input 16.1_2018VOL-YTD'!$R:$R,$G60,'Input 16.1_2018VOL-YTD'!N:N)</f>
        <v>324525.24</v>
      </c>
      <c r="Z60" s="268">
        <f>SUMIF('Input 3.1_2019VOL-YTD'!$R:$R,$G60,'Input 3.1_2019VOL-YTD'!C:C)</f>
        <v>361022.2</v>
      </c>
      <c r="AA60" s="268">
        <f>SUMIF('Input 3.1_2019VOL-YTD'!$R:$R,$G60,'Input 3.1_2019VOL-YTD'!D:D)</f>
        <v>317880.08</v>
      </c>
      <c r="AB60" s="268">
        <f>SUMIF('Input 3.1_2019VOL-YTD'!$R:$R,$G60,'Input 3.1_2019VOL-YTD'!E:E)</f>
        <v>323632.40999999997</v>
      </c>
      <c r="AC60" s="268">
        <f>SUMIF('Input 3.1_2019VOL-YTD'!$R:$R,$G60,'Input 3.1_2019VOL-YTD'!F:F)</f>
        <v>323331.27</v>
      </c>
      <c r="AD60" s="268">
        <f>SUMIF('Input 3.1_2019VOL-YTD'!$R:$R,$G60,'Input 3.1_2019VOL-YTD'!G:G)</f>
        <v>314227.31</v>
      </c>
      <c r="AE60" s="268">
        <f>SUMIF('Input 3.1_2019VOL-YTD'!$R:$R,$G60,'Input 3.1_2019VOL-YTD'!H:H)</f>
        <v>302439.11</v>
      </c>
      <c r="AF60" s="268">
        <f>SUMIF('Input 3.1_2019VOL-YTD'!$R:$R,$G60,'Input 3.1_2019VOL-YTD'!I:I)</f>
        <v>302813.90000000002</v>
      </c>
      <c r="AG60" s="268">
        <f>SUMIF('Input 3.1_2019VOL-YTD'!$R:$R,$G60,'Input 3.1_2019VOL-YTD'!J:J)</f>
        <v>305295.59000000003</v>
      </c>
      <c r="AH60" s="268">
        <f>SUMIF('Input 3.1_2019VOL-YTD'!$R:$R,$G60,'Input 3.1_2019VOL-YTD'!K:K)</f>
        <v>290221.74</v>
      </c>
      <c r="AI60" s="268">
        <f>SUMIF('Input 3.1_2019VOL-YTD'!$R:$R,$G60,'Input 3.1_2019VOL-YTD'!L:L)</f>
        <v>322664.71999999997</v>
      </c>
      <c r="AJ60" s="268">
        <f>SUMIF('Input 3.1_2019VOL-YTD'!$R:$R,$G60,'Input 3.1_2019VOL-YTD'!M:M)</f>
        <v>296890.55</v>
      </c>
      <c r="AK60" s="268">
        <f>SUMIF('Input 3.1_2019VOL-YTD'!$R:$R,$G60,'Input 3.1_2019VOL-YTD'!N:N)</f>
        <v>304805.96999999997</v>
      </c>
      <c r="AL60" s="268">
        <f>SUMIF('Input 4.1_2020VOL-YTD'!$R:$R,$G60,'Input 4.1_2020VOL-YTD'!C:C)</f>
        <v>318555.51</v>
      </c>
      <c r="AM60" s="268">
        <f>SUMIF('Input 4.1_2020VOL-YTD'!$R:$R,$G60,'Input 4.1_2020VOL-YTD'!D:D)</f>
        <v>311481.09000000003</v>
      </c>
      <c r="AN60" s="268">
        <f>SUMIF('Input 4.1_2020VOL-YTD'!$R:$R,$G60,'Input 4.1_2020VOL-YTD'!E:E)</f>
        <v>311634.71000000002</v>
      </c>
      <c r="AO60" s="268">
        <f>SUMIF('Input 4.1_2020VOL-YTD'!$R:$R,$G60,'Input 4.1_2020VOL-YTD'!F:F)</f>
        <v>247234.77</v>
      </c>
      <c r="AP60" s="268">
        <f>SUMIF('Input 4.1_2020VOL-YTD'!$R:$R,$G60,'Input 4.1_2020VOL-YTD'!G:G)</f>
        <v>260757.21</v>
      </c>
      <c r="AQ60" s="268">
        <f>SUMIF('Input 4.1_2020VOL-YTD'!$R:$R,$G60,'Input 4.1_2020VOL-YTD'!H:H)</f>
        <v>258734.74</v>
      </c>
      <c r="AR60" s="268">
        <f>SUMIF('Input 4.1_2020VOL-YTD'!$R:$R,$G60,'Input 4.1_2020VOL-YTD'!I:I)</f>
        <v>280970.06</v>
      </c>
      <c r="AS60" s="268">
        <f>SUMIF('Input 4.1_2020VOL-YTD'!$R:$R,$G60,'Input 4.1_2020VOL-YTD'!J:J)</f>
        <v>266952.08</v>
      </c>
      <c r="AT60" s="268">
        <f>SUMIF('Input 4.1_2020VOL-YTD'!$R:$R,$G60,'Input 4.1_2020VOL-YTD'!K:K)</f>
        <v>265032.03000000003</v>
      </c>
      <c r="AU60" s="268">
        <f>SUMIF('Input 4.1_2020VOL-YTD'!$R:$R,$G60,'Input 4.1_2020VOL-YTD'!L:L)</f>
        <v>269177.12</v>
      </c>
      <c r="AV60" s="268">
        <f>SUMIF('Input 4.1_2020VOL-YTD'!$R:$R,$G60,'Input 4.1_2020VOL-YTD'!M:M)</f>
        <v>274840.53999999998</v>
      </c>
      <c r="AW60" s="268">
        <f>SUMIF('Input 4.1_2020VOL-YTD'!$R:$R,$G60,'Input 4.1_2020VOL-YTD'!N:N)</f>
        <v>306399.55</v>
      </c>
      <c r="AX60" s="268">
        <f>SUMIF('Input 5.1_2021VOL-YTD'!$R:$R,$G60,'Input 5.1_2021VOL-YTD'!C:C)</f>
        <v>310859.05</v>
      </c>
      <c r="AY60" s="268">
        <f>SUMIF('Input 5.1_2021VOL-YTD'!$R:$R,$G60,'Input 5.1_2021VOL-YTD'!D:D)</f>
        <v>288025.32</v>
      </c>
      <c r="AZ60" s="268">
        <f>SUMIF('Input 5.1_2021VOL-YTD'!$R:$R,$G60,'Input 5.1_2021VOL-YTD'!E:E)</f>
        <v>322166.32</v>
      </c>
      <c r="BA60" s="268">
        <f>SUMIF('Input 5.1_2021VOL-YTD'!$R:$R,$G60,'Input 5.1_2021VOL-YTD'!F:F)</f>
        <v>296216.33</v>
      </c>
      <c r="BB60" s="268">
        <f>SUMIF('Input 5.1_2021VOL-YTD'!$R:$R,$G60,'Input 5.1_2021VOL-YTD'!G:G)</f>
        <v>295400.67</v>
      </c>
      <c r="BC60" s="268">
        <f>SUMIF('Input 5.1_2021VOL-YTD'!$R:$R,$G60,'Input 5.1_2021VOL-YTD'!H:H)</f>
        <v>334113.38</v>
      </c>
      <c r="BD60" s="268">
        <f>SUMIF('Input 5.1_2021VOL-YTD'!$R:$R,$G60,'Input 5.1_2021VOL-YTD'!I:I)</f>
        <v>312991.55</v>
      </c>
      <c r="BE60" s="268">
        <f>SUMIF('Input 5.1_2021VOL-YTD'!$R:$R,$G60,'Input 5.1_2021VOL-YTD'!J:J)</f>
        <v>304913.03999999998</v>
      </c>
      <c r="BF60" s="268">
        <f>SUMIF('Input 5.1_2021VOL-YTD'!$R:$R,$G60,'Input 5.1_2021VOL-YTD'!K:K)</f>
        <v>273426.5</v>
      </c>
      <c r="BG60" s="268">
        <f>SUMIF('Input 5.1_2021VOL-YTD'!$R:$R,$G60,'Input 5.1_2021VOL-YTD'!L:L)</f>
        <v>304002.87</v>
      </c>
      <c r="BH60" s="268">
        <f>SUMIF('Input 5.1_2021VOL-YTD'!$R:$R,$G60,'Input 5.1_2021VOL-YTD'!M:M)</f>
        <v>327415.33</v>
      </c>
      <c r="BI60" s="268">
        <f>SUMIF('Input 5.1_2021VOL-YTD'!$R:$R,$G60,'Input 5.1_2021VOL-YTD'!N:N)</f>
        <v>333792.40999999997</v>
      </c>
      <c r="BJ60" s="483">
        <f>IFERROR(IF($J60="Historical Average",INDEX('Monthly UPC'!$CM$2:$DJ$65,MATCH($D60,'Monthly UPC'!$D$2:$D$65,0),MATCH(BJ$1,'Monthly UPC'!$CM$1:$DJ$1))*(INDEX('Monthly CUST'!$N$2:$CG$65,MATCH($D60,'Monthly CUST'!$D$2:$D$65,0),MATCH(BJ$1,'Monthly CUST'!$N$1:$CG$1,0))),IF($J60="UPC Growth Rate",((AX60/INDEX('Monthly CUST'!$N$2:$CG$65,MATCH($D60,'Monthly CUST'!$D$2:$D$65,0),MATCH(AX$1,'Monthly CUST'!$N$1:$CG$1,0)))*(1+$L60)*INDEX('Monthly CUST'!$N$2:$CG$65,MATCH($D60,'Monthly CUST'!$D$2:$D$65,0),MATCH(BJ$1,'Monthly CUST'!$N$1:$CG$1,0))),IF($J60="Modeled UPC",INDEX('Monthly CUST'!$N$2:$CG$65,MATCH($D60,'Monthly CUST'!$D$2:$D$65,0),MATCH(BJ$1,'Monthly CUST'!$N$1:$CG$1,0))/12*$M60,IF($J60="Base Period",AX60,IF($J60="Adjusted",SUMIF('Input 15_Fcst Inputs'!$A:$A,$D60,'Input 15_Fcst Inputs'!$G:$G)/12))))),0)</f>
        <v>310859.05</v>
      </c>
      <c r="BK60" s="483">
        <f>IFERROR(IF($J60="Historical Average",INDEX('Monthly UPC'!$CM$2:$DJ$65,MATCH($D60,'Monthly UPC'!$D$2:$D$65,0),MATCH(BK$1,'Monthly UPC'!$CM$1:$DJ$1))*(INDEX('Monthly CUST'!$N$2:$CG$65,MATCH($D60,'Monthly CUST'!$D$2:$D$65,0),MATCH(BK$1,'Monthly CUST'!$N$1:$CG$1,0))),IF($J60="UPC Growth Rate",((AY60/INDEX('Monthly CUST'!$N$2:$CG$65,MATCH($D60,'Monthly CUST'!$D$2:$D$65,0),MATCH(AY$1,'Monthly CUST'!$N$1:$CG$1,0)))*(1+$L60)*INDEX('Monthly CUST'!$N$2:$CG$65,MATCH($D60,'Monthly CUST'!$D$2:$D$65,0),MATCH(BK$1,'Monthly CUST'!$N$1:$CG$1,0))),IF($J60="Modeled UPC",INDEX('Monthly CUST'!$N$2:$CG$65,MATCH($D60,'Monthly CUST'!$D$2:$D$65,0),MATCH(BK$1,'Monthly CUST'!$N$1:$CG$1,0))/12*$M60,IF($J60="Base Period",AY60,IF($J60="Adjusted",SUMIF('Input 15_Fcst Inputs'!$A:$A,$D60,'Input 15_Fcst Inputs'!$G:$G)/12))))),0)</f>
        <v>288025.32</v>
      </c>
      <c r="BL60" s="483">
        <f>IFERROR(IF($J60="Historical Average",INDEX('Monthly UPC'!$CM$2:$DJ$65,MATCH($D60,'Monthly UPC'!$D$2:$D$65,0),MATCH(BL$1,'Monthly UPC'!$CM$1:$DJ$1))*(INDEX('Monthly CUST'!$N$2:$CG$65,MATCH($D60,'Monthly CUST'!$D$2:$D$65,0),MATCH(BL$1,'Monthly CUST'!$N$1:$CG$1,0))),IF($J60="UPC Growth Rate",((AZ60/INDEX('Monthly CUST'!$N$2:$CG$65,MATCH($D60,'Monthly CUST'!$D$2:$D$65,0),MATCH(AZ$1,'Monthly CUST'!$N$1:$CG$1,0)))*(1+$L60)*INDEX('Monthly CUST'!$N$2:$CG$65,MATCH($D60,'Monthly CUST'!$D$2:$D$65,0),MATCH(BL$1,'Monthly CUST'!$N$1:$CG$1,0))),IF($J60="Modeled UPC",INDEX('Monthly CUST'!$N$2:$CG$65,MATCH($D60,'Monthly CUST'!$D$2:$D$65,0),MATCH(BL$1,'Monthly CUST'!$N$1:$CG$1,0))/12*$M60,IF($J60="Base Period",AZ60,IF($J60="Adjusted",SUMIF('Input 15_Fcst Inputs'!$A:$A,$D60,'Input 15_Fcst Inputs'!$G:$G)/12))))),0)</f>
        <v>322166.32</v>
      </c>
      <c r="BM60" s="483">
        <f>IFERROR(IF($J60="Historical Average",INDEX('Monthly UPC'!$CM$2:$DJ$65,MATCH($D60,'Monthly UPC'!$D$2:$D$65,0),MATCH(BM$1,'Monthly UPC'!$CM$1:$DJ$1))*(INDEX('Monthly CUST'!$N$2:$CG$65,MATCH($D60,'Monthly CUST'!$D$2:$D$65,0),MATCH(BM$1,'Monthly CUST'!$N$1:$CG$1,0))),IF($J60="UPC Growth Rate",((BA60/INDEX('Monthly CUST'!$N$2:$CG$65,MATCH($D60,'Monthly CUST'!$D$2:$D$65,0),MATCH(BA$1,'Monthly CUST'!$N$1:$CG$1,0)))*(1+$L60)*INDEX('Monthly CUST'!$N$2:$CG$65,MATCH($D60,'Monthly CUST'!$D$2:$D$65,0),MATCH(BM$1,'Monthly CUST'!$N$1:$CG$1,0))),IF($J60="Modeled UPC",INDEX('Monthly CUST'!$N$2:$CG$65,MATCH($D60,'Monthly CUST'!$D$2:$D$65,0),MATCH(BM$1,'Monthly CUST'!$N$1:$CG$1,0))/12*$M60,IF($J60="Base Period",BA60,IF($J60="Adjusted",SUMIF('Input 15_Fcst Inputs'!$A:$A,$D60,'Input 15_Fcst Inputs'!$G:$G)/12))))),0)</f>
        <v>296216.33</v>
      </c>
      <c r="BN60" s="483">
        <f>IFERROR(IF($J60="Historical Average",INDEX('Monthly UPC'!$CM$2:$DJ$65,MATCH($D60,'Monthly UPC'!$D$2:$D$65,0),MATCH(BN$1,'Monthly UPC'!$CM$1:$DJ$1))*(INDEX('Monthly CUST'!$N$2:$CG$65,MATCH($D60,'Monthly CUST'!$D$2:$D$65,0),MATCH(BN$1,'Monthly CUST'!$N$1:$CG$1,0))),IF($J60="UPC Growth Rate",((BB60/INDEX('Monthly CUST'!$N$2:$CG$65,MATCH($D60,'Monthly CUST'!$D$2:$D$65,0),MATCH(BB$1,'Monthly CUST'!$N$1:$CG$1,0)))*(1+$L60)*INDEX('Monthly CUST'!$N$2:$CG$65,MATCH($D60,'Monthly CUST'!$D$2:$D$65,0),MATCH(BN$1,'Monthly CUST'!$N$1:$CG$1,0))),IF($J60="Modeled UPC",INDEX('Monthly CUST'!$N$2:$CG$65,MATCH($D60,'Monthly CUST'!$D$2:$D$65,0),MATCH(BN$1,'Monthly CUST'!$N$1:$CG$1,0))/12*$M60,IF($J60="Base Period",BB60,IF($J60="Adjusted",SUMIF('Input 15_Fcst Inputs'!$A:$A,$D60,'Input 15_Fcst Inputs'!$G:$G)/12))))),0)</f>
        <v>295400.67</v>
      </c>
      <c r="BO60" s="483">
        <f>IFERROR(IF($J60="Historical Average",INDEX('Monthly UPC'!$CM$2:$DJ$65,MATCH($D60,'Monthly UPC'!$D$2:$D$65,0),MATCH(BO$1,'Monthly UPC'!$CM$1:$DJ$1))*(INDEX('Monthly CUST'!$N$2:$CG$65,MATCH($D60,'Monthly CUST'!$D$2:$D$65,0),MATCH(BO$1,'Monthly CUST'!$N$1:$CG$1,0))),IF($J60="UPC Growth Rate",((BC60/INDEX('Monthly CUST'!$N$2:$CG$65,MATCH($D60,'Monthly CUST'!$D$2:$D$65,0),MATCH(BC$1,'Monthly CUST'!$N$1:$CG$1,0)))*(1+$L60)*INDEX('Monthly CUST'!$N$2:$CG$65,MATCH($D60,'Monthly CUST'!$D$2:$D$65,0),MATCH(BO$1,'Monthly CUST'!$N$1:$CG$1,0))),IF($J60="Modeled UPC",INDEX('Monthly CUST'!$N$2:$CG$65,MATCH($D60,'Monthly CUST'!$D$2:$D$65,0),MATCH(BO$1,'Monthly CUST'!$N$1:$CG$1,0))/12*$M60,IF($J60="Base Period",BC60,IF($J60="Adjusted",SUMIF('Input 15_Fcst Inputs'!$A:$A,$D60,'Input 15_Fcst Inputs'!$G:$G)/12))))),0)</f>
        <v>334113.38</v>
      </c>
      <c r="BP60" s="483">
        <f>IFERROR(IF($J60="Historical Average",INDEX('Monthly UPC'!$CM$2:$DJ$65,MATCH($D60,'Monthly UPC'!$D$2:$D$65,0),MATCH(BP$1,'Monthly UPC'!$CM$1:$DJ$1))*(INDEX('Monthly CUST'!$N$2:$CG$65,MATCH($D60,'Monthly CUST'!$D$2:$D$65,0),MATCH(BP$1,'Monthly CUST'!$N$1:$CG$1,0))),IF($J60="UPC Growth Rate",((BD60/INDEX('Monthly CUST'!$N$2:$CG$65,MATCH($D60,'Monthly CUST'!$D$2:$D$65,0),MATCH(BD$1,'Monthly CUST'!$N$1:$CG$1,0)))*(1+$L60)*INDEX('Monthly CUST'!$N$2:$CG$65,MATCH($D60,'Monthly CUST'!$D$2:$D$65,0),MATCH(BP$1,'Monthly CUST'!$N$1:$CG$1,0))),IF($J60="Modeled UPC",INDEX('Monthly CUST'!$N$2:$CG$65,MATCH($D60,'Monthly CUST'!$D$2:$D$65,0),MATCH(BP$1,'Monthly CUST'!$N$1:$CG$1,0))/12*$M60,IF($J60="Base Period",BD60,IF($J60="Adjusted",SUMIF('Input 15_Fcst Inputs'!$A:$A,$D60,'Input 15_Fcst Inputs'!$G:$G)/12))))),0)</f>
        <v>312991.55</v>
      </c>
      <c r="BQ60" s="483">
        <f>IFERROR(IF($J60="Historical Average",INDEX('Monthly UPC'!$CM$2:$DJ$65,MATCH($D60,'Monthly UPC'!$D$2:$D$65,0),MATCH(BQ$1,'Monthly UPC'!$CM$1:$DJ$1))*(INDEX('Monthly CUST'!$N$2:$CG$65,MATCH($D60,'Monthly CUST'!$D$2:$D$65,0),MATCH(BQ$1,'Monthly CUST'!$N$1:$CG$1,0))),IF($J60="UPC Growth Rate",((BE60/INDEX('Monthly CUST'!$N$2:$CG$65,MATCH($D60,'Monthly CUST'!$D$2:$D$65,0),MATCH(BE$1,'Monthly CUST'!$N$1:$CG$1,0)))*(1+$L60)*INDEX('Monthly CUST'!$N$2:$CG$65,MATCH($D60,'Monthly CUST'!$D$2:$D$65,0),MATCH(BQ$1,'Monthly CUST'!$N$1:$CG$1,0))),IF($J60="Modeled UPC",INDEX('Monthly CUST'!$N$2:$CG$65,MATCH($D60,'Monthly CUST'!$D$2:$D$65,0),MATCH(BQ$1,'Monthly CUST'!$N$1:$CG$1,0))/12*$M60,IF($J60="Base Period",BE60,IF($J60="Adjusted",SUMIF('Input 15_Fcst Inputs'!$A:$A,$D60,'Input 15_Fcst Inputs'!$G:$G)/12))))),0)</f>
        <v>304913.03999999998</v>
      </c>
      <c r="BR60" s="483">
        <f>IFERROR(IF($J60="Historical Average",INDEX('Monthly UPC'!$CM$2:$DJ$65,MATCH($D60,'Monthly UPC'!$D$2:$D$65,0),MATCH(BR$1,'Monthly UPC'!$CM$1:$DJ$1))*(INDEX('Monthly CUST'!$N$2:$CG$65,MATCH($D60,'Monthly CUST'!$D$2:$D$65,0),MATCH(BR$1,'Monthly CUST'!$N$1:$CG$1,0))),IF($J60="UPC Growth Rate",((BF60/INDEX('Monthly CUST'!$N$2:$CG$65,MATCH($D60,'Monthly CUST'!$D$2:$D$65,0),MATCH(BF$1,'Monthly CUST'!$N$1:$CG$1,0)))*(1+$L60)*INDEX('Monthly CUST'!$N$2:$CG$65,MATCH($D60,'Monthly CUST'!$D$2:$D$65,0),MATCH(BR$1,'Monthly CUST'!$N$1:$CG$1,0))),IF($J60="Modeled UPC",INDEX('Monthly CUST'!$N$2:$CG$65,MATCH($D60,'Monthly CUST'!$D$2:$D$65,0),MATCH(BR$1,'Monthly CUST'!$N$1:$CG$1,0))/12*$M60,IF($J60="Base Period",BF60,IF($J60="Adjusted",SUMIF('Input 15_Fcst Inputs'!$A:$A,$D60,'Input 15_Fcst Inputs'!$G:$G)/12))))),0)</f>
        <v>273426.5</v>
      </c>
      <c r="BS60" s="483">
        <f>IFERROR(IF($J60="Historical Average",INDEX('Monthly UPC'!$CM$2:$DJ$65,MATCH($D60,'Monthly UPC'!$D$2:$D$65,0),MATCH(BS$1,'Monthly UPC'!$CM$1:$DJ$1))*(INDEX('Monthly CUST'!$N$2:$CG$65,MATCH($D60,'Monthly CUST'!$D$2:$D$65,0),MATCH(BS$1,'Monthly CUST'!$N$1:$CG$1,0))),IF($J60="UPC Growth Rate",((BG60/INDEX('Monthly CUST'!$N$2:$CG$65,MATCH($D60,'Monthly CUST'!$D$2:$D$65,0),MATCH(BG$1,'Monthly CUST'!$N$1:$CG$1,0)))*(1+$L60)*INDEX('Monthly CUST'!$N$2:$CG$65,MATCH($D60,'Monthly CUST'!$D$2:$D$65,0),MATCH(BS$1,'Monthly CUST'!$N$1:$CG$1,0))),IF($J60="Modeled UPC",INDEX('Monthly CUST'!$N$2:$CG$65,MATCH($D60,'Monthly CUST'!$D$2:$D$65,0),MATCH(BS$1,'Monthly CUST'!$N$1:$CG$1,0))/12*$M60,IF($J60="Base Period",BG60,IF($J60="Adjusted",SUMIF('Input 15_Fcst Inputs'!$A:$A,$D60,'Input 15_Fcst Inputs'!$G:$G)/12))))),0)</f>
        <v>304002.87</v>
      </c>
      <c r="BT60" s="483">
        <f>IFERROR(IF($J60="Historical Average",INDEX('Monthly UPC'!$CM$2:$DJ$65,MATCH($D60,'Monthly UPC'!$D$2:$D$65,0),MATCH(BT$1,'Monthly UPC'!$CM$1:$DJ$1))*(INDEX('Monthly CUST'!$N$2:$CG$65,MATCH($D60,'Monthly CUST'!$D$2:$D$65,0),MATCH(BT$1,'Monthly CUST'!$N$1:$CG$1,0))),IF($J60="UPC Growth Rate",((BH60/INDEX('Monthly CUST'!$N$2:$CG$65,MATCH($D60,'Monthly CUST'!$D$2:$D$65,0),MATCH(BH$1,'Monthly CUST'!$N$1:$CG$1,0)))*(1+$L60)*INDEX('Monthly CUST'!$N$2:$CG$65,MATCH($D60,'Monthly CUST'!$D$2:$D$65,0),MATCH(BT$1,'Monthly CUST'!$N$1:$CG$1,0))),IF($J60="Modeled UPC",INDEX('Monthly CUST'!$N$2:$CG$65,MATCH($D60,'Monthly CUST'!$D$2:$D$65,0),MATCH(BT$1,'Monthly CUST'!$N$1:$CG$1,0))/12*$M60,IF($J60="Base Period",BH60,IF($J60="Adjusted",SUMIF('Input 15_Fcst Inputs'!$A:$A,$D60,'Input 15_Fcst Inputs'!$G:$G)/12))))),0)</f>
        <v>327415.33</v>
      </c>
      <c r="BU60" s="483">
        <f>IFERROR(IF($J60="Historical Average",INDEX('Monthly UPC'!$CM$2:$DJ$65,MATCH($D60,'Monthly UPC'!$D$2:$D$65,0),MATCH(BU$1,'Monthly UPC'!$CM$1:$DJ$1))*(INDEX('Monthly CUST'!$N$2:$CG$65,MATCH($D60,'Monthly CUST'!$D$2:$D$65,0),MATCH(BU$1,'Monthly CUST'!$N$1:$CG$1,0))),IF($J60="UPC Growth Rate",((BI60/INDEX('Monthly CUST'!$N$2:$CG$65,MATCH($D60,'Monthly CUST'!$D$2:$D$65,0),MATCH(BI$1,'Monthly CUST'!$N$1:$CG$1,0)))*(1+$L60)*INDEX('Monthly CUST'!$N$2:$CG$65,MATCH($D60,'Monthly CUST'!$D$2:$D$65,0),MATCH(BU$1,'Monthly CUST'!$N$1:$CG$1,0))),IF($J60="Modeled UPC",INDEX('Monthly CUST'!$N$2:$CG$65,MATCH($D60,'Monthly CUST'!$D$2:$D$65,0),MATCH(BU$1,'Monthly CUST'!$N$1:$CG$1,0))/12*$M60,IF($J60="Base Period",BI60,IF($J60="Adjusted",SUMIF('Input 15_Fcst Inputs'!$A:$A,$D60,'Input 15_Fcst Inputs'!$G:$G)/12))))),0)</f>
        <v>333792.40999999997</v>
      </c>
      <c r="BV60" s="483">
        <f>IFERROR(IF($J60="Historical Average",INDEX('Monthly UPC'!$CM$2:$DJ$65,MATCH($D60,'Monthly UPC'!$D$2:$D$65,0),MATCH(BV$1,'Monthly UPC'!$CM$1:$DJ$1))*(INDEX('Monthly CUST'!$N$2:$CG$65,MATCH($D60,'Monthly CUST'!$D$2:$D$65,0),MATCH(BV$1,'Monthly CUST'!$N$1:$CG$1,0))),IF($J60="UPC Growth Rate",((BJ60/INDEX('Monthly CUST'!$N$2:$CG$65,MATCH($D60,'Monthly CUST'!$D$2:$D$65,0),MATCH(BJ$1,'Monthly CUST'!$N$1:$CG$1,0)))*(1+$L60)*INDEX('Monthly CUST'!$N$2:$CG$65,MATCH($D60,'Monthly CUST'!$D$2:$D$65,0),MATCH(BV$1,'Monthly CUST'!$N$1:$CG$1,0))),IF($J60="Modeled UPC",INDEX('Monthly CUST'!$N$2:$CG$65,MATCH($D60,'Monthly CUST'!$D$2:$D$65,0),MATCH(BV$1,'Monthly CUST'!$N$1:$CG$1,0))/12*$M60,IF($J60="Base Period",BJ60,IF($J60="Adjusted",SUMIF('Input 15_Fcst Inputs'!$A:$A,$D60,'Input 15_Fcst Inputs'!$G:$G)/12))))),0)</f>
        <v>310859.05</v>
      </c>
      <c r="BW60" s="483">
        <f>IFERROR(IF($J60="Historical Average",INDEX('Monthly UPC'!$CM$2:$DJ$65,MATCH($D60,'Monthly UPC'!$D$2:$D$65,0),MATCH(BW$1,'Monthly UPC'!$CM$1:$DJ$1))*(INDEX('Monthly CUST'!$N$2:$CG$65,MATCH($D60,'Monthly CUST'!$D$2:$D$65,0),MATCH(BW$1,'Monthly CUST'!$N$1:$CG$1,0))),IF($J60="UPC Growth Rate",((BK60/INDEX('Monthly CUST'!$N$2:$CG$65,MATCH($D60,'Monthly CUST'!$D$2:$D$65,0),MATCH(BK$1,'Monthly CUST'!$N$1:$CG$1,0)))*(1+$L60)*INDEX('Monthly CUST'!$N$2:$CG$65,MATCH($D60,'Monthly CUST'!$D$2:$D$65,0),MATCH(BW$1,'Monthly CUST'!$N$1:$CG$1,0))),IF($J60="Modeled UPC",INDEX('Monthly CUST'!$N$2:$CG$65,MATCH($D60,'Monthly CUST'!$D$2:$D$65,0),MATCH(BW$1,'Monthly CUST'!$N$1:$CG$1,0))/12*$M60,IF($J60="Base Period",BK60,IF($J60="Adjusted",SUMIF('Input 15_Fcst Inputs'!$A:$A,$D60,'Input 15_Fcst Inputs'!$G:$G)/12))))),0)</f>
        <v>288025.32</v>
      </c>
      <c r="BX60" s="483">
        <f>IFERROR(IF($J60="Historical Average",INDEX('Monthly UPC'!$CM$2:$DJ$65,MATCH($D60,'Monthly UPC'!$D$2:$D$65,0),MATCH(BX$1,'Monthly UPC'!$CM$1:$DJ$1))*(INDEX('Monthly CUST'!$N$2:$CG$65,MATCH($D60,'Monthly CUST'!$D$2:$D$65,0),MATCH(BX$1,'Monthly CUST'!$N$1:$CG$1,0))),IF($J60="UPC Growth Rate",((BL60/INDEX('Monthly CUST'!$N$2:$CG$65,MATCH($D60,'Monthly CUST'!$D$2:$D$65,0),MATCH(BL$1,'Monthly CUST'!$N$1:$CG$1,0)))*(1+$L60)*INDEX('Monthly CUST'!$N$2:$CG$65,MATCH($D60,'Monthly CUST'!$D$2:$D$65,0),MATCH(BX$1,'Monthly CUST'!$N$1:$CG$1,0))),IF($J60="Modeled UPC",INDEX('Monthly CUST'!$N$2:$CG$65,MATCH($D60,'Monthly CUST'!$D$2:$D$65,0),MATCH(BX$1,'Monthly CUST'!$N$1:$CG$1,0))/12*$M60,IF($J60="Base Period",BL60,IF($J60="Adjusted",SUMIF('Input 15_Fcst Inputs'!$A:$A,$D60,'Input 15_Fcst Inputs'!$G:$G)/12))))),0)</f>
        <v>322166.32</v>
      </c>
      <c r="BY60" s="483">
        <f>IFERROR(IF($J60="Historical Average",INDEX('Monthly UPC'!$CM$2:$DJ$65,MATCH($D60,'Monthly UPC'!$D$2:$D$65,0),MATCH(BY$1,'Monthly UPC'!$CM$1:$DJ$1))*(INDEX('Monthly CUST'!$N$2:$CG$65,MATCH($D60,'Monthly CUST'!$D$2:$D$65,0),MATCH(BY$1,'Monthly CUST'!$N$1:$CG$1,0))),IF($J60="UPC Growth Rate",((BM60/INDEX('Monthly CUST'!$N$2:$CG$65,MATCH($D60,'Monthly CUST'!$D$2:$D$65,0),MATCH(BM$1,'Monthly CUST'!$N$1:$CG$1,0)))*(1+$L60)*INDEX('Monthly CUST'!$N$2:$CG$65,MATCH($D60,'Monthly CUST'!$D$2:$D$65,0),MATCH(BY$1,'Monthly CUST'!$N$1:$CG$1,0))),IF($J60="Modeled UPC",INDEX('Monthly CUST'!$N$2:$CG$65,MATCH($D60,'Monthly CUST'!$D$2:$D$65,0),MATCH(BY$1,'Monthly CUST'!$N$1:$CG$1,0))/12*$M60,IF($J60="Base Period",BM60,IF($J60="Adjusted",SUMIF('Input 15_Fcst Inputs'!$A:$A,$D60,'Input 15_Fcst Inputs'!$G:$G)/12))))),0)</f>
        <v>296216.33</v>
      </c>
      <c r="BZ60" s="483">
        <f>IFERROR(IF($J60="Historical Average",INDEX('Monthly UPC'!$CM$2:$DJ$65,MATCH($D60,'Monthly UPC'!$D$2:$D$65,0),MATCH(BZ$1,'Monthly UPC'!$CM$1:$DJ$1))*(INDEX('Monthly CUST'!$N$2:$CG$65,MATCH($D60,'Monthly CUST'!$D$2:$D$65,0),MATCH(BZ$1,'Monthly CUST'!$N$1:$CG$1,0))),IF($J60="UPC Growth Rate",((BN60/INDEX('Monthly CUST'!$N$2:$CG$65,MATCH($D60,'Monthly CUST'!$D$2:$D$65,0),MATCH(BN$1,'Monthly CUST'!$N$1:$CG$1,0)))*(1+$L60)*INDEX('Monthly CUST'!$N$2:$CG$65,MATCH($D60,'Monthly CUST'!$D$2:$D$65,0),MATCH(BZ$1,'Monthly CUST'!$N$1:$CG$1,0))),IF($J60="Modeled UPC",INDEX('Monthly CUST'!$N$2:$CG$65,MATCH($D60,'Monthly CUST'!$D$2:$D$65,0),MATCH(BZ$1,'Monthly CUST'!$N$1:$CG$1,0))/12*$M60,IF($J60="Base Period",BN60,IF($J60="Adjusted",SUMIF('Input 15_Fcst Inputs'!$A:$A,$D60,'Input 15_Fcst Inputs'!$G:$G)/12))))),0)</f>
        <v>295400.67</v>
      </c>
      <c r="CA60" s="483">
        <f>IFERROR(IF($J60="Historical Average",INDEX('Monthly UPC'!$CM$2:$DJ$65,MATCH($D60,'Monthly UPC'!$D$2:$D$65,0),MATCH(CA$1,'Monthly UPC'!$CM$1:$DJ$1))*(INDEX('Monthly CUST'!$N$2:$CG$65,MATCH($D60,'Monthly CUST'!$D$2:$D$65,0),MATCH(CA$1,'Monthly CUST'!$N$1:$CG$1,0))),IF($J60="UPC Growth Rate",((BO60/INDEX('Monthly CUST'!$N$2:$CG$65,MATCH($D60,'Monthly CUST'!$D$2:$D$65,0),MATCH(BO$1,'Monthly CUST'!$N$1:$CG$1,0)))*(1+$L60)*INDEX('Monthly CUST'!$N$2:$CG$65,MATCH($D60,'Monthly CUST'!$D$2:$D$65,0),MATCH(CA$1,'Monthly CUST'!$N$1:$CG$1,0))),IF($J60="Modeled UPC",INDEX('Monthly CUST'!$N$2:$CG$65,MATCH($D60,'Monthly CUST'!$D$2:$D$65,0),MATCH(CA$1,'Monthly CUST'!$N$1:$CG$1,0))/12*$M60,IF($J60="Base Period",BO60,IF($J60="Adjusted",SUMIF('Input 15_Fcst Inputs'!$A:$A,$D60,'Input 15_Fcst Inputs'!$G:$G)/12))))),0)</f>
        <v>334113.38</v>
      </c>
      <c r="CB60" s="483">
        <f>IFERROR(IF($J60="Historical Average",INDEX('Monthly UPC'!$CM$2:$DJ$65,MATCH($D60,'Monthly UPC'!$D$2:$D$65,0),MATCH(CB$1,'Monthly UPC'!$CM$1:$DJ$1))*(INDEX('Monthly CUST'!$N$2:$CG$65,MATCH($D60,'Monthly CUST'!$D$2:$D$65,0),MATCH(CB$1,'Monthly CUST'!$N$1:$CG$1,0))),IF($J60="UPC Growth Rate",((BP60/INDEX('Monthly CUST'!$N$2:$CG$65,MATCH($D60,'Monthly CUST'!$D$2:$D$65,0),MATCH(BP$1,'Monthly CUST'!$N$1:$CG$1,0)))*(1+$L60)*INDEX('Monthly CUST'!$N$2:$CG$65,MATCH($D60,'Monthly CUST'!$D$2:$D$65,0),MATCH(CB$1,'Monthly CUST'!$N$1:$CG$1,0))),IF($J60="Modeled UPC",INDEX('Monthly CUST'!$N$2:$CG$65,MATCH($D60,'Monthly CUST'!$D$2:$D$65,0),MATCH(CB$1,'Monthly CUST'!$N$1:$CG$1,0))/12*$M60,IF($J60="Base Period",BP60,IF($J60="Adjusted",SUMIF('Input 15_Fcst Inputs'!$A:$A,$D60,'Input 15_Fcst Inputs'!$G:$G)/12))))),0)</f>
        <v>312991.55</v>
      </c>
      <c r="CC60" s="483">
        <f>IFERROR(IF($J60="Historical Average",INDEX('Monthly UPC'!$CM$2:$DJ$65,MATCH($D60,'Monthly UPC'!$D$2:$D$65,0),MATCH(CC$1,'Monthly UPC'!$CM$1:$DJ$1))*(INDEX('Monthly CUST'!$N$2:$CG$65,MATCH($D60,'Monthly CUST'!$D$2:$D$65,0),MATCH(CC$1,'Monthly CUST'!$N$1:$CG$1,0))),IF($J60="UPC Growth Rate",((BQ60/INDEX('Monthly CUST'!$N$2:$CG$65,MATCH($D60,'Monthly CUST'!$D$2:$D$65,0),MATCH(BQ$1,'Monthly CUST'!$N$1:$CG$1,0)))*(1+$L60)*INDEX('Monthly CUST'!$N$2:$CG$65,MATCH($D60,'Monthly CUST'!$D$2:$D$65,0),MATCH(CC$1,'Monthly CUST'!$N$1:$CG$1,0))),IF($J60="Modeled UPC",INDEX('Monthly CUST'!$N$2:$CG$65,MATCH($D60,'Monthly CUST'!$D$2:$D$65,0),MATCH(CC$1,'Monthly CUST'!$N$1:$CG$1,0))/12*$M60,IF($J60="Base Period",BQ60,IF($J60="Adjusted",SUMIF('Input 15_Fcst Inputs'!$A:$A,$D60,'Input 15_Fcst Inputs'!$G:$G)/12))))),0)</f>
        <v>304913.03999999998</v>
      </c>
      <c r="CD60" s="483">
        <f>IFERROR(IF($J60="Historical Average",INDEX('Monthly UPC'!$CM$2:$DJ$65,MATCH($D60,'Monthly UPC'!$D$2:$D$65,0),MATCH(CD$1,'Monthly UPC'!$CM$1:$DJ$1))*(INDEX('Monthly CUST'!$N$2:$CG$65,MATCH($D60,'Monthly CUST'!$D$2:$D$65,0),MATCH(CD$1,'Monthly CUST'!$N$1:$CG$1,0))),IF($J60="UPC Growth Rate",((BR60/INDEX('Monthly CUST'!$N$2:$CG$65,MATCH($D60,'Monthly CUST'!$D$2:$D$65,0),MATCH(BR$1,'Monthly CUST'!$N$1:$CG$1,0)))*(1+$L60)*INDEX('Monthly CUST'!$N$2:$CG$65,MATCH($D60,'Monthly CUST'!$D$2:$D$65,0),MATCH(CD$1,'Monthly CUST'!$N$1:$CG$1,0))),IF($J60="Modeled UPC",INDEX('Monthly CUST'!$N$2:$CG$65,MATCH($D60,'Monthly CUST'!$D$2:$D$65,0),MATCH(CD$1,'Monthly CUST'!$N$1:$CG$1,0))/12*$M60,IF($J60="Base Period",BR60,IF($J60="Adjusted",SUMIF('Input 15_Fcst Inputs'!$A:$A,$D60,'Input 15_Fcst Inputs'!$G:$G)/12))))),0)</f>
        <v>273426.5</v>
      </c>
      <c r="CE60" s="483">
        <f>IFERROR(IF($J60="Historical Average",INDEX('Monthly UPC'!$CM$2:$DJ$65,MATCH($D60,'Monthly UPC'!$D$2:$D$65,0),MATCH(CE$1,'Monthly UPC'!$CM$1:$DJ$1))*(INDEX('Monthly CUST'!$N$2:$CG$65,MATCH($D60,'Monthly CUST'!$D$2:$D$65,0),MATCH(CE$1,'Monthly CUST'!$N$1:$CG$1,0))),IF($J60="UPC Growth Rate",((BS60/INDEX('Monthly CUST'!$N$2:$CG$65,MATCH($D60,'Monthly CUST'!$D$2:$D$65,0),MATCH(BS$1,'Monthly CUST'!$N$1:$CG$1,0)))*(1+$L60)*INDEX('Monthly CUST'!$N$2:$CG$65,MATCH($D60,'Monthly CUST'!$D$2:$D$65,0),MATCH(CE$1,'Monthly CUST'!$N$1:$CG$1,0))),IF($J60="Modeled UPC",INDEX('Monthly CUST'!$N$2:$CG$65,MATCH($D60,'Monthly CUST'!$D$2:$D$65,0),MATCH(CE$1,'Monthly CUST'!$N$1:$CG$1,0))/12*$M60,IF($J60="Base Period",BS60,IF($J60="Adjusted",SUMIF('Input 15_Fcst Inputs'!$A:$A,$D60,'Input 15_Fcst Inputs'!$G:$G)/12))))),0)</f>
        <v>304002.87</v>
      </c>
      <c r="CF60" s="483">
        <f>IFERROR(IF($J60="Historical Average",INDEX('Monthly UPC'!$CM$2:$DJ$65,MATCH($D60,'Monthly UPC'!$D$2:$D$65,0),MATCH(CF$1,'Monthly UPC'!$CM$1:$DJ$1))*(INDEX('Monthly CUST'!$N$2:$CG$65,MATCH($D60,'Monthly CUST'!$D$2:$D$65,0),MATCH(CF$1,'Monthly CUST'!$N$1:$CG$1,0))),IF($J60="UPC Growth Rate",((BT60/INDEX('Monthly CUST'!$N$2:$CG$65,MATCH($D60,'Monthly CUST'!$D$2:$D$65,0),MATCH(BT$1,'Monthly CUST'!$N$1:$CG$1,0)))*(1+$L60)*INDEX('Monthly CUST'!$N$2:$CG$65,MATCH($D60,'Monthly CUST'!$D$2:$D$65,0),MATCH(CF$1,'Monthly CUST'!$N$1:$CG$1,0))),IF($J60="Modeled UPC",INDEX('Monthly CUST'!$N$2:$CG$65,MATCH($D60,'Monthly CUST'!$D$2:$D$65,0),MATCH(CF$1,'Monthly CUST'!$N$1:$CG$1,0))/12*$M60,IF($J60="Base Period",BT60,IF($J60="Adjusted",SUMIF('Input 15_Fcst Inputs'!$A:$A,$D60,'Input 15_Fcst Inputs'!$G:$G)/12))))),0)</f>
        <v>327415.33</v>
      </c>
      <c r="CG60" s="483">
        <f>IFERROR(IF($J60="Historical Average",INDEX('Monthly UPC'!$CM$2:$DJ$65,MATCH($D60,'Monthly UPC'!$D$2:$D$65,0),MATCH(CG$1,'Monthly UPC'!$CM$1:$DJ$1))*(INDEX('Monthly CUST'!$N$2:$CG$65,MATCH($D60,'Monthly CUST'!$D$2:$D$65,0),MATCH(CG$1,'Monthly CUST'!$N$1:$CG$1,0))),IF($J60="UPC Growth Rate",((BU60/INDEX('Monthly CUST'!$N$2:$CG$65,MATCH($D60,'Monthly CUST'!$D$2:$D$65,0),MATCH(BU$1,'Monthly CUST'!$N$1:$CG$1,0)))*(1+$L60)*INDEX('Monthly CUST'!$N$2:$CG$65,MATCH($D60,'Monthly CUST'!$D$2:$D$65,0),MATCH(CG$1,'Monthly CUST'!$N$1:$CG$1,0))),IF($J60="Modeled UPC",INDEX('Monthly CUST'!$N$2:$CG$65,MATCH($D60,'Monthly CUST'!$D$2:$D$65,0),MATCH(CG$1,'Monthly CUST'!$N$1:$CG$1,0))/12*$M60,IF($J60="Base Period",BU60,IF($J60="Adjusted",SUMIF('Input 15_Fcst Inputs'!$A:$A,$D60,'Input 15_Fcst Inputs'!$G:$G)/12))))),0)</f>
        <v>333792.40999999997</v>
      </c>
      <c r="CH60" s="197"/>
      <c r="CI60" s="197">
        <f t="shared" si="8"/>
        <v>4093358.0600000005</v>
      </c>
      <c r="CJ60" s="197">
        <f t="shared" si="9"/>
        <v>3765224.8499999987</v>
      </c>
      <c r="CK60" s="197">
        <f t="shared" si="10"/>
        <v>3371769.41</v>
      </c>
      <c r="CL60" s="197">
        <f t="shared" si="11"/>
        <v>3703322.77</v>
      </c>
      <c r="CM60" s="197">
        <f t="shared" si="12"/>
        <v>3703322.77</v>
      </c>
      <c r="CN60" s="197">
        <f t="shared" si="13"/>
        <v>3703322.77</v>
      </c>
      <c r="CP60" s="4">
        <f>SUMIF('Master '!D:D,D60,'Master '!AH:AH)</f>
        <v>3703322.77</v>
      </c>
      <c r="CQ60" s="4">
        <f>SUMIF('Master '!D:D,D60,'Master '!AI:AI)</f>
        <v>3703322.77</v>
      </c>
      <c r="CR60" s="197">
        <f t="shared" si="14"/>
        <v>0</v>
      </c>
      <c r="CS60" s="197">
        <f t="shared" si="15"/>
        <v>0</v>
      </c>
      <c r="CT60" t="s">
        <v>287</v>
      </c>
      <c r="CV60" t="str">
        <f>VLOOKUP(G60,'Master '!G:CC,75,FALSE)</f>
        <v>FTS-9</v>
      </c>
    </row>
    <row r="61" spans="1:100">
      <c r="A61" s="53" t="s">
        <v>17</v>
      </c>
      <c r="B61" s="53" t="s">
        <v>993</v>
      </c>
      <c r="C61" s="53" t="s">
        <v>1245</v>
      </c>
      <c r="D61" s="53" t="s">
        <v>77</v>
      </c>
      <c r="E61" s="53" t="str">
        <f>VLOOKUP(D61,'Input 14_Ref Table'!C:D,2,FALSE)</f>
        <v>CI905</v>
      </c>
      <c r="F61" s="143" t="s">
        <v>1286</v>
      </c>
      <c r="G61" s="53" t="str">
        <f>VLOOKUP(D61,'Input 14_Ref Table'!C:I,7,FALSE)</f>
        <v>CFG - FTS-10</v>
      </c>
      <c r="H61" s="53" t="str">
        <f>VLOOKUP(D61,'Input 14_Ref Table'!C:K,8,FALSE)</f>
        <v>Base Period</v>
      </c>
      <c r="I61" s="53"/>
      <c r="J61" t="str">
        <f>INDEX('Master '!$AD$2:AD$65,MATCH(D61,'Master '!$D$2:$D$65,0))</f>
        <v>Base Period</v>
      </c>
      <c r="K61" s="458">
        <f>INDEX('Master '!$N$2:N$65,MATCH(D61,'Master '!$D$2:$D$65,0))</f>
        <v>0</v>
      </c>
      <c r="L61" s="137">
        <f>INDEX('Master '!$S$2:S$65,MATCH(D61,'Master '!$D$2:$D$65,0))</f>
        <v>0</v>
      </c>
      <c r="M61" s="4">
        <f>INDEX('Master '!$W$2:W$65,MATCH(D61,'Master '!$D$2:$D$65,0))</f>
        <v>1210296.3333333335</v>
      </c>
      <c r="N61" s="268">
        <f>SUMIF('Input 16.1_2018VOL-YTD'!$R:$R,$G61,'Input 16.1_2018VOL-YTD'!C:C)</f>
        <v>148025.57</v>
      </c>
      <c r="O61" s="268">
        <f>SUMIF('Input 16.1_2018VOL-YTD'!$R:$R,$G61,'Input 16.1_2018VOL-YTD'!D:D)</f>
        <v>120897.94</v>
      </c>
      <c r="P61" s="268">
        <f>SUMIF('Input 16.1_2018VOL-YTD'!$R:$R,$G61,'Input 16.1_2018VOL-YTD'!E:E)</f>
        <v>126649.17</v>
      </c>
      <c r="Q61" s="268">
        <f>SUMIF('Input 16.1_2018VOL-YTD'!$R:$R,$G61,'Input 16.1_2018VOL-YTD'!F:F)</f>
        <v>199602.21</v>
      </c>
      <c r="R61" s="268">
        <f>SUMIF('Input 16.1_2018VOL-YTD'!$R:$R,$G61,'Input 16.1_2018VOL-YTD'!G:G)</f>
        <v>202908.78</v>
      </c>
      <c r="S61" s="268">
        <f>SUMIF('Input 16.1_2018VOL-YTD'!$R:$R,$G61,'Input 16.1_2018VOL-YTD'!H:H)</f>
        <v>185413.74</v>
      </c>
      <c r="T61" s="268">
        <f>SUMIF('Input 16.1_2018VOL-YTD'!$R:$R,$G61,'Input 16.1_2018VOL-YTD'!I:I)</f>
        <v>172779.83</v>
      </c>
      <c r="U61" s="268">
        <f>SUMIF('Input 16.1_2018VOL-YTD'!$R:$R,$G61,'Input 16.1_2018VOL-YTD'!J:J)</f>
        <v>197746.16</v>
      </c>
      <c r="V61" s="268">
        <f>SUMIF('Input 16.1_2018VOL-YTD'!$R:$R,$G61,'Input 16.1_2018VOL-YTD'!K:K)</f>
        <v>207947.32</v>
      </c>
      <c r="W61" s="268">
        <f>SUMIF('Input 16.1_2018VOL-YTD'!$R:$R,$G61,'Input 16.1_2018VOL-YTD'!L:L)</f>
        <v>226011.41</v>
      </c>
      <c r="X61" s="268">
        <f>SUMIF('Input 16.1_2018VOL-YTD'!$R:$R,$G61,'Input 16.1_2018VOL-YTD'!M:M)</f>
        <v>209172.9</v>
      </c>
      <c r="Y61" s="268">
        <f>SUMIF('Input 16.1_2018VOL-YTD'!$R:$R,$G61,'Input 16.1_2018VOL-YTD'!N:N)</f>
        <v>202619.4</v>
      </c>
      <c r="Z61" s="268">
        <f>SUMIF('Input 3.1_2019VOL-YTD'!$R:$R,$G61,'Input 3.1_2019VOL-YTD'!C:C)</f>
        <v>239601.93</v>
      </c>
      <c r="AA61" s="268">
        <f>SUMIF('Input 3.1_2019VOL-YTD'!$R:$R,$G61,'Input 3.1_2019VOL-YTD'!D:D)</f>
        <v>210362.09</v>
      </c>
      <c r="AB61" s="268">
        <f>SUMIF('Input 3.1_2019VOL-YTD'!$R:$R,$G61,'Input 3.1_2019VOL-YTD'!E:E)</f>
        <v>234976.08</v>
      </c>
      <c r="AC61" s="268">
        <f>SUMIF('Input 3.1_2019VOL-YTD'!$R:$R,$G61,'Input 3.1_2019VOL-YTD'!F:F)</f>
        <v>228450.29</v>
      </c>
      <c r="AD61" s="268">
        <f>SUMIF('Input 3.1_2019VOL-YTD'!$R:$R,$G61,'Input 3.1_2019VOL-YTD'!G:G)</f>
        <v>211952.08</v>
      </c>
      <c r="AE61" s="268">
        <f>SUMIF('Input 3.1_2019VOL-YTD'!$R:$R,$G61,'Input 3.1_2019VOL-YTD'!H:H)</f>
        <v>186404.8</v>
      </c>
      <c r="AF61" s="268">
        <f>SUMIF('Input 3.1_2019VOL-YTD'!$R:$R,$G61,'Input 3.1_2019VOL-YTD'!I:I)</f>
        <v>157973.16</v>
      </c>
      <c r="AG61" s="268">
        <f>SUMIF('Input 3.1_2019VOL-YTD'!$R:$R,$G61,'Input 3.1_2019VOL-YTD'!J:J)</f>
        <v>186918.41</v>
      </c>
      <c r="AH61" s="268">
        <f>SUMIF('Input 3.1_2019VOL-YTD'!$R:$R,$G61,'Input 3.1_2019VOL-YTD'!K:K)</f>
        <v>184300.17</v>
      </c>
      <c r="AI61" s="268">
        <f>SUMIF('Input 3.1_2019VOL-YTD'!$R:$R,$G61,'Input 3.1_2019VOL-YTD'!L:L)</f>
        <v>205926.24</v>
      </c>
      <c r="AJ61" s="268">
        <f>SUMIF('Input 3.1_2019VOL-YTD'!$R:$R,$G61,'Input 3.1_2019VOL-YTD'!M:M)</f>
        <v>208155.4</v>
      </c>
      <c r="AK61" s="268">
        <f>SUMIF('Input 3.1_2019VOL-YTD'!$R:$R,$G61,'Input 3.1_2019VOL-YTD'!N:N)</f>
        <v>201414.66</v>
      </c>
      <c r="AL61" s="268">
        <f>SUMIF('Input 4.1_2020VOL-YTD'!$R:$R,$G61,'Input 4.1_2020VOL-YTD'!C:C)</f>
        <v>221082.93</v>
      </c>
      <c r="AM61" s="268">
        <f>SUMIF('Input 4.1_2020VOL-YTD'!$R:$R,$G61,'Input 4.1_2020VOL-YTD'!D:D)</f>
        <v>210678.64</v>
      </c>
      <c r="AN61" s="268">
        <f>SUMIF('Input 4.1_2020VOL-YTD'!$R:$R,$G61,'Input 4.1_2020VOL-YTD'!E:E)</f>
        <v>238265.05</v>
      </c>
      <c r="AO61" s="268">
        <f>SUMIF('Input 4.1_2020VOL-YTD'!$R:$R,$G61,'Input 4.1_2020VOL-YTD'!F:F)</f>
        <v>226183.56</v>
      </c>
      <c r="AP61" s="268">
        <f>SUMIF('Input 4.1_2020VOL-YTD'!$R:$R,$G61,'Input 4.1_2020VOL-YTD'!G:G)</f>
        <v>210807.03</v>
      </c>
      <c r="AQ61" s="268">
        <f>SUMIF('Input 4.1_2020VOL-YTD'!$R:$R,$G61,'Input 4.1_2020VOL-YTD'!H:H)</f>
        <v>230522.88</v>
      </c>
      <c r="AR61" s="268">
        <f>SUMIF('Input 4.1_2020VOL-YTD'!$R:$R,$G61,'Input 4.1_2020VOL-YTD'!I:I)</f>
        <v>231727.01</v>
      </c>
      <c r="AS61" s="268">
        <f>SUMIF('Input 4.1_2020VOL-YTD'!$R:$R,$G61,'Input 4.1_2020VOL-YTD'!J:J)</f>
        <v>250211.47</v>
      </c>
      <c r="AT61" s="268">
        <f>SUMIF('Input 4.1_2020VOL-YTD'!$R:$R,$G61,'Input 4.1_2020VOL-YTD'!K:K)</f>
        <v>225939.39</v>
      </c>
      <c r="AU61" s="268">
        <f>SUMIF('Input 4.1_2020VOL-YTD'!$R:$R,$G61,'Input 4.1_2020VOL-YTD'!L:L)</f>
        <v>240235.38</v>
      </c>
      <c r="AV61" s="268">
        <f>SUMIF('Input 4.1_2020VOL-YTD'!$R:$R,$G61,'Input 4.1_2020VOL-YTD'!M:M)</f>
        <v>257910.26</v>
      </c>
      <c r="AW61" s="268">
        <f>SUMIF('Input 4.1_2020VOL-YTD'!$R:$R,$G61,'Input 4.1_2020VOL-YTD'!N:N)</f>
        <v>245187.85</v>
      </c>
      <c r="AX61" s="268">
        <f>SUMIF('Input 5.1_2021VOL-YTD'!$R:$R,$G61,'Input 5.1_2021VOL-YTD'!C:C)</f>
        <v>373297.56</v>
      </c>
      <c r="AY61" s="268">
        <f>SUMIF('Input 5.1_2021VOL-YTD'!$R:$R,$G61,'Input 5.1_2021VOL-YTD'!D:D)</f>
        <v>285709.46999999997</v>
      </c>
      <c r="AZ61" s="268">
        <f>SUMIF('Input 5.1_2021VOL-YTD'!$R:$R,$G61,'Input 5.1_2021VOL-YTD'!E:E)</f>
        <v>299857.58</v>
      </c>
      <c r="BA61" s="268">
        <f>SUMIF('Input 5.1_2021VOL-YTD'!$R:$R,$G61,'Input 5.1_2021VOL-YTD'!F:F)</f>
        <v>311305.71000000002</v>
      </c>
      <c r="BB61" s="268">
        <f>SUMIF('Input 5.1_2021VOL-YTD'!$R:$R,$G61,'Input 5.1_2021VOL-YTD'!G:G)</f>
        <v>296646.62</v>
      </c>
      <c r="BC61" s="268">
        <f>SUMIF('Input 5.1_2021VOL-YTD'!$R:$R,$G61,'Input 5.1_2021VOL-YTD'!H:H)</f>
        <v>290986.84999999998</v>
      </c>
      <c r="BD61" s="268">
        <f>SUMIF('Input 5.1_2021VOL-YTD'!$R:$R,$G61,'Input 5.1_2021VOL-YTD'!I:I)</f>
        <v>286758.34999999998</v>
      </c>
      <c r="BE61" s="268">
        <f>SUMIF('Input 5.1_2021VOL-YTD'!$R:$R,$G61,'Input 5.1_2021VOL-YTD'!J:J)</f>
        <v>265043.92</v>
      </c>
      <c r="BF61" s="268">
        <f>SUMIF('Input 5.1_2021VOL-YTD'!$R:$R,$G61,'Input 5.1_2021VOL-YTD'!K:K)</f>
        <v>298780.12</v>
      </c>
      <c r="BG61" s="268">
        <f>SUMIF('Input 5.1_2021VOL-YTD'!$R:$R,$G61,'Input 5.1_2021VOL-YTD'!L:L)</f>
        <v>326581.90999999997</v>
      </c>
      <c r="BH61" s="268">
        <f>SUMIF('Input 5.1_2021VOL-YTD'!$R:$R,$G61,'Input 5.1_2021VOL-YTD'!M:M)</f>
        <v>295483.68</v>
      </c>
      <c r="BI61" s="268">
        <f>SUMIF('Input 5.1_2021VOL-YTD'!$R:$R,$G61,'Input 5.1_2021VOL-YTD'!N:N)</f>
        <v>300437.23</v>
      </c>
      <c r="BJ61" s="483">
        <f>IFERROR(IF($J61="Historical Average",INDEX('Monthly UPC'!$CM$2:$DJ$65,MATCH($D61,'Monthly UPC'!$D$2:$D$65,0),MATCH(BJ$1,'Monthly UPC'!$CM$1:$DJ$1))*(INDEX('Monthly CUST'!$N$2:$CG$65,MATCH($D61,'Monthly CUST'!$D$2:$D$65,0),MATCH(BJ$1,'Monthly CUST'!$N$1:$CG$1,0))),IF($J61="UPC Growth Rate",((AX61/INDEX('Monthly CUST'!$N$2:$CG$65,MATCH($D61,'Monthly CUST'!$D$2:$D$65,0),MATCH(AX$1,'Monthly CUST'!$N$1:$CG$1,0)))*(1+$L61)*INDEX('Monthly CUST'!$N$2:$CG$65,MATCH($D61,'Monthly CUST'!$D$2:$D$65,0),MATCH(BJ$1,'Monthly CUST'!$N$1:$CG$1,0))),IF($J61="Modeled UPC",INDEX('Monthly CUST'!$N$2:$CG$65,MATCH($D61,'Monthly CUST'!$D$2:$D$65,0),MATCH(BJ$1,'Monthly CUST'!$N$1:$CG$1,0))/12*$M61,IF($J61="Base Period",AX61,IF($J61="Adjusted",SUMIF('Input 15_Fcst Inputs'!$A:$A,$D61,'Input 15_Fcst Inputs'!$G:$G)/12))))),0)</f>
        <v>373297.56</v>
      </c>
      <c r="BK61" s="483">
        <f>IFERROR(IF($J61="Historical Average",INDEX('Monthly UPC'!$CM$2:$DJ$65,MATCH($D61,'Monthly UPC'!$D$2:$D$65,0),MATCH(BK$1,'Monthly UPC'!$CM$1:$DJ$1))*(INDEX('Monthly CUST'!$N$2:$CG$65,MATCH($D61,'Monthly CUST'!$D$2:$D$65,0),MATCH(BK$1,'Monthly CUST'!$N$1:$CG$1,0))),IF($J61="UPC Growth Rate",((AY61/INDEX('Monthly CUST'!$N$2:$CG$65,MATCH($D61,'Monthly CUST'!$D$2:$D$65,0),MATCH(AY$1,'Monthly CUST'!$N$1:$CG$1,0)))*(1+$L61)*INDEX('Monthly CUST'!$N$2:$CG$65,MATCH($D61,'Monthly CUST'!$D$2:$D$65,0),MATCH(BK$1,'Monthly CUST'!$N$1:$CG$1,0))),IF($J61="Modeled UPC",INDEX('Monthly CUST'!$N$2:$CG$65,MATCH($D61,'Monthly CUST'!$D$2:$D$65,0),MATCH(BK$1,'Monthly CUST'!$N$1:$CG$1,0))/12*$M61,IF($J61="Base Period",AY61,IF($J61="Adjusted",SUMIF('Input 15_Fcst Inputs'!$A:$A,$D61,'Input 15_Fcst Inputs'!$G:$G)/12))))),0)</f>
        <v>285709.46999999997</v>
      </c>
      <c r="BL61" s="483">
        <f>IFERROR(IF($J61="Historical Average",INDEX('Monthly UPC'!$CM$2:$DJ$65,MATCH($D61,'Monthly UPC'!$D$2:$D$65,0),MATCH(BL$1,'Monthly UPC'!$CM$1:$DJ$1))*(INDEX('Monthly CUST'!$N$2:$CG$65,MATCH($D61,'Monthly CUST'!$D$2:$D$65,0),MATCH(BL$1,'Monthly CUST'!$N$1:$CG$1,0))),IF($J61="UPC Growth Rate",((AZ61/INDEX('Monthly CUST'!$N$2:$CG$65,MATCH($D61,'Monthly CUST'!$D$2:$D$65,0),MATCH(AZ$1,'Monthly CUST'!$N$1:$CG$1,0)))*(1+$L61)*INDEX('Monthly CUST'!$N$2:$CG$65,MATCH($D61,'Monthly CUST'!$D$2:$D$65,0),MATCH(BL$1,'Monthly CUST'!$N$1:$CG$1,0))),IF($J61="Modeled UPC",INDEX('Monthly CUST'!$N$2:$CG$65,MATCH($D61,'Monthly CUST'!$D$2:$D$65,0),MATCH(BL$1,'Monthly CUST'!$N$1:$CG$1,0))/12*$M61,IF($J61="Base Period",AZ61,IF($J61="Adjusted",SUMIF('Input 15_Fcst Inputs'!$A:$A,$D61,'Input 15_Fcst Inputs'!$G:$G)/12))))),0)</f>
        <v>299857.58</v>
      </c>
      <c r="BM61" s="483">
        <f>IFERROR(IF($J61="Historical Average",INDEX('Monthly UPC'!$CM$2:$DJ$65,MATCH($D61,'Monthly UPC'!$D$2:$D$65,0),MATCH(BM$1,'Monthly UPC'!$CM$1:$DJ$1))*(INDEX('Monthly CUST'!$N$2:$CG$65,MATCH($D61,'Monthly CUST'!$D$2:$D$65,0),MATCH(BM$1,'Monthly CUST'!$N$1:$CG$1,0))),IF($J61="UPC Growth Rate",((BA61/INDEX('Monthly CUST'!$N$2:$CG$65,MATCH($D61,'Monthly CUST'!$D$2:$D$65,0),MATCH(BA$1,'Monthly CUST'!$N$1:$CG$1,0)))*(1+$L61)*INDEX('Monthly CUST'!$N$2:$CG$65,MATCH($D61,'Monthly CUST'!$D$2:$D$65,0),MATCH(BM$1,'Monthly CUST'!$N$1:$CG$1,0))),IF($J61="Modeled UPC",INDEX('Monthly CUST'!$N$2:$CG$65,MATCH($D61,'Monthly CUST'!$D$2:$D$65,0),MATCH(BM$1,'Monthly CUST'!$N$1:$CG$1,0))/12*$M61,IF($J61="Base Period",BA61,IF($J61="Adjusted",SUMIF('Input 15_Fcst Inputs'!$A:$A,$D61,'Input 15_Fcst Inputs'!$G:$G)/12))))),0)</f>
        <v>311305.71000000002</v>
      </c>
      <c r="BN61" s="483">
        <f>IFERROR(IF($J61="Historical Average",INDEX('Monthly UPC'!$CM$2:$DJ$65,MATCH($D61,'Monthly UPC'!$D$2:$D$65,0),MATCH(BN$1,'Monthly UPC'!$CM$1:$DJ$1))*(INDEX('Monthly CUST'!$N$2:$CG$65,MATCH($D61,'Monthly CUST'!$D$2:$D$65,0),MATCH(BN$1,'Monthly CUST'!$N$1:$CG$1,0))),IF($J61="UPC Growth Rate",((BB61/INDEX('Monthly CUST'!$N$2:$CG$65,MATCH($D61,'Monthly CUST'!$D$2:$D$65,0),MATCH(BB$1,'Monthly CUST'!$N$1:$CG$1,0)))*(1+$L61)*INDEX('Monthly CUST'!$N$2:$CG$65,MATCH($D61,'Monthly CUST'!$D$2:$D$65,0),MATCH(BN$1,'Monthly CUST'!$N$1:$CG$1,0))),IF($J61="Modeled UPC",INDEX('Monthly CUST'!$N$2:$CG$65,MATCH($D61,'Monthly CUST'!$D$2:$D$65,0),MATCH(BN$1,'Monthly CUST'!$N$1:$CG$1,0))/12*$M61,IF($J61="Base Period",BB61,IF($J61="Adjusted",SUMIF('Input 15_Fcst Inputs'!$A:$A,$D61,'Input 15_Fcst Inputs'!$G:$G)/12))))),0)</f>
        <v>296646.62</v>
      </c>
      <c r="BO61" s="483">
        <f>IFERROR(IF($J61="Historical Average",INDEX('Monthly UPC'!$CM$2:$DJ$65,MATCH($D61,'Monthly UPC'!$D$2:$D$65,0),MATCH(BO$1,'Monthly UPC'!$CM$1:$DJ$1))*(INDEX('Monthly CUST'!$N$2:$CG$65,MATCH($D61,'Monthly CUST'!$D$2:$D$65,0),MATCH(BO$1,'Monthly CUST'!$N$1:$CG$1,0))),IF($J61="UPC Growth Rate",((BC61/INDEX('Monthly CUST'!$N$2:$CG$65,MATCH($D61,'Monthly CUST'!$D$2:$D$65,0),MATCH(BC$1,'Monthly CUST'!$N$1:$CG$1,0)))*(1+$L61)*INDEX('Monthly CUST'!$N$2:$CG$65,MATCH($D61,'Monthly CUST'!$D$2:$D$65,0),MATCH(BO$1,'Monthly CUST'!$N$1:$CG$1,0))),IF($J61="Modeled UPC",INDEX('Monthly CUST'!$N$2:$CG$65,MATCH($D61,'Monthly CUST'!$D$2:$D$65,0),MATCH(BO$1,'Monthly CUST'!$N$1:$CG$1,0))/12*$M61,IF($J61="Base Period",BC61,IF($J61="Adjusted",SUMIF('Input 15_Fcst Inputs'!$A:$A,$D61,'Input 15_Fcst Inputs'!$G:$G)/12))))),0)</f>
        <v>290986.84999999998</v>
      </c>
      <c r="BP61" s="483">
        <f>IFERROR(IF($J61="Historical Average",INDEX('Monthly UPC'!$CM$2:$DJ$65,MATCH($D61,'Monthly UPC'!$D$2:$D$65,0),MATCH(BP$1,'Monthly UPC'!$CM$1:$DJ$1))*(INDEX('Monthly CUST'!$N$2:$CG$65,MATCH($D61,'Monthly CUST'!$D$2:$D$65,0),MATCH(BP$1,'Monthly CUST'!$N$1:$CG$1,0))),IF($J61="UPC Growth Rate",((BD61/INDEX('Monthly CUST'!$N$2:$CG$65,MATCH($D61,'Monthly CUST'!$D$2:$D$65,0),MATCH(BD$1,'Monthly CUST'!$N$1:$CG$1,0)))*(1+$L61)*INDEX('Monthly CUST'!$N$2:$CG$65,MATCH($D61,'Monthly CUST'!$D$2:$D$65,0),MATCH(BP$1,'Monthly CUST'!$N$1:$CG$1,0))),IF($J61="Modeled UPC",INDEX('Monthly CUST'!$N$2:$CG$65,MATCH($D61,'Monthly CUST'!$D$2:$D$65,0),MATCH(BP$1,'Monthly CUST'!$N$1:$CG$1,0))/12*$M61,IF($J61="Base Period",BD61,IF($J61="Adjusted",SUMIF('Input 15_Fcst Inputs'!$A:$A,$D61,'Input 15_Fcst Inputs'!$G:$G)/12))))),0)</f>
        <v>286758.34999999998</v>
      </c>
      <c r="BQ61" s="483">
        <f>IFERROR(IF($J61="Historical Average",INDEX('Monthly UPC'!$CM$2:$DJ$65,MATCH($D61,'Monthly UPC'!$D$2:$D$65,0),MATCH(BQ$1,'Monthly UPC'!$CM$1:$DJ$1))*(INDEX('Monthly CUST'!$N$2:$CG$65,MATCH($D61,'Monthly CUST'!$D$2:$D$65,0),MATCH(BQ$1,'Monthly CUST'!$N$1:$CG$1,0))),IF($J61="UPC Growth Rate",((BE61/INDEX('Monthly CUST'!$N$2:$CG$65,MATCH($D61,'Monthly CUST'!$D$2:$D$65,0),MATCH(BE$1,'Monthly CUST'!$N$1:$CG$1,0)))*(1+$L61)*INDEX('Monthly CUST'!$N$2:$CG$65,MATCH($D61,'Monthly CUST'!$D$2:$D$65,0),MATCH(BQ$1,'Monthly CUST'!$N$1:$CG$1,0))),IF($J61="Modeled UPC",INDEX('Monthly CUST'!$N$2:$CG$65,MATCH($D61,'Monthly CUST'!$D$2:$D$65,0),MATCH(BQ$1,'Monthly CUST'!$N$1:$CG$1,0))/12*$M61,IF($J61="Base Period",BE61,IF($J61="Adjusted",SUMIF('Input 15_Fcst Inputs'!$A:$A,$D61,'Input 15_Fcst Inputs'!$G:$G)/12))))),0)</f>
        <v>265043.92</v>
      </c>
      <c r="BR61" s="483">
        <f>IFERROR(IF($J61="Historical Average",INDEX('Monthly UPC'!$CM$2:$DJ$65,MATCH($D61,'Monthly UPC'!$D$2:$D$65,0),MATCH(BR$1,'Monthly UPC'!$CM$1:$DJ$1))*(INDEX('Monthly CUST'!$N$2:$CG$65,MATCH($D61,'Monthly CUST'!$D$2:$D$65,0),MATCH(BR$1,'Monthly CUST'!$N$1:$CG$1,0))),IF($J61="UPC Growth Rate",((BF61/INDEX('Monthly CUST'!$N$2:$CG$65,MATCH($D61,'Monthly CUST'!$D$2:$D$65,0),MATCH(BF$1,'Monthly CUST'!$N$1:$CG$1,0)))*(1+$L61)*INDEX('Monthly CUST'!$N$2:$CG$65,MATCH($D61,'Monthly CUST'!$D$2:$D$65,0),MATCH(BR$1,'Monthly CUST'!$N$1:$CG$1,0))),IF($J61="Modeled UPC",INDEX('Monthly CUST'!$N$2:$CG$65,MATCH($D61,'Monthly CUST'!$D$2:$D$65,0),MATCH(BR$1,'Monthly CUST'!$N$1:$CG$1,0))/12*$M61,IF($J61="Base Period",BF61,IF($J61="Adjusted",SUMIF('Input 15_Fcst Inputs'!$A:$A,$D61,'Input 15_Fcst Inputs'!$G:$G)/12))))),0)</f>
        <v>298780.12</v>
      </c>
      <c r="BS61" s="483">
        <f>IFERROR(IF($J61="Historical Average",INDEX('Monthly UPC'!$CM$2:$DJ$65,MATCH($D61,'Monthly UPC'!$D$2:$D$65,0),MATCH(BS$1,'Monthly UPC'!$CM$1:$DJ$1))*(INDEX('Monthly CUST'!$N$2:$CG$65,MATCH($D61,'Monthly CUST'!$D$2:$D$65,0),MATCH(BS$1,'Monthly CUST'!$N$1:$CG$1,0))),IF($J61="UPC Growth Rate",((BG61/INDEX('Monthly CUST'!$N$2:$CG$65,MATCH($D61,'Monthly CUST'!$D$2:$D$65,0),MATCH(BG$1,'Monthly CUST'!$N$1:$CG$1,0)))*(1+$L61)*INDEX('Monthly CUST'!$N$2:$CG$65,MATCH($D61,'Monthly CUST'!$D$2:$D$65,0),MATCH(BS$1,'Monthly CUST'!$N$1:$CG$1,0))),IF($J61="Modeled UPC",INDEX('Monthly CUST'!$N$2:$CG$65,MATCH($D61,'Monthly CUST'!$D$2:$D$65,0),MATCH(BS$1,'Monthly CUST'!$N$1:$CG$1,0))/12*$M61,IF($J61="Base Period",BG61,IF($J61="Adjusted",SUMIF('Input 15_Fcst Inputs'!$A:$A,$D61,'Input 15_Fcst Inputs'!$G:$G)/12))))),0)</f>
        <v>326581.90999999997</v>
      </c>
      <c r="BT61" s="483">
        <f>IFERROR(IF($J61="Historical Average",INDEX('Monthly UPC'!$CM$2:$DJ$65,MATCH($D61,'Monthly UPC'!$D$2:$D$65,0),MATCH(BT$1,'Monthly UPC'!$CM$1:$DJ$1))*(INDEX('Monthly CUST'!$N$2:$CG$65,MATCH($D61,'Monthly CUST'!$D$2:$D$65,0),MATCH(BT$1,'Monthly CUST'!$N$1:$CG$1,0))),IF($J61="UPC Growth Rate",((BH61/INDEX('Monthly CUST'!$N$2:$CG$65,MATCH($D61,'Monthly CUST'!$D$2:$D$65,0),MATCH(BH$1,'Monthly CUST'!$N$1:$CG$1,0)))*(1+$L61)*INDEX('Monthly CUST'!$N$2:$CG$65,MATCH($D61,'Monthly CUST'!$D$2:$D$65,0),MATCH(BT$1,'Monthly CUST'!$N$1:$CG$1,0))),IF($J61="Modeled UPC",INDEX('Monthly CUST'!$N$2:$CG$65,MATCH($D61,'Monthly CUST'!$D$2:$D$65,0),MATCH(BT$1,'Monthly CUST'!$N$1:$CG$1,0))/12*$M61,IF($J61="Base Period",BH61,IF($J61="Adjusted",SUMIF('Input 15_Fcst Inputs'!$A:$A,$D61,'Input 15_Fcst Inputs'!$G:$G)/12))))),0)</f>
        <v>295483.68</v>
      </c>
      <c r="BU61" s="483">
        <f>IFERROR(IF($J61="Historical Average",INDEX('Monthly UPC'!$CM$2:$DJ$65,MATCH($D61,'Monthly UPC'!$D$2:$D$65,0),MATCH(BU$1,'Monthly UPC'!$CM$1:$DJ$1))*(INDEX('Monthly CUST'!$N$2:$CG$65,MATCH($D61,'Monthly CUST'!$D$2:$D$65,0),MATCH(BU$1,'Monthly CUST'!$N$1:$CG$1,0))),IF($J61="UPC Growth Rate",((BI61/INDEX('Monthly CUST'!$N$2:$CG$65,MATCH($D61,'Monthly CUST'!$D$2:$D$65,0),MATCH(BI$1,'Monthly CUST'!$N$1:$CG$1,0)))*(1+$L61)*INDEX('Monthly CUST'!$N$2:$CG$65,MATCH($D61,'Monthly CUST'!$D$2:$D$65,0),MATCH(BU$1,'Monthly CUST'!$N$1:$CG$1,0))),IF($J61="Modeled UPC",INDEX('Monthly CUST'!$N$2:$CG$65,MATCH($D61,'Monthly CUST'!$D$2:$D$65,0),MATCH(BU$1,'Monthly CUST'!$N$1:$CG$1,0))/12*$M61,IF($J61="Base Period",BI61,IF($J61="Adjusted",SUMIF('Input 15_Fcst Inputs'!$A:$A,$D61,'Input 15_Fcst Inputs'!$G:$G)/12))))),0)</f>
        <v>300437.23</v>
      </c>
      <c r="BV61" s="483">
        <f>IFERROR(IF($J61="Historical Average",INDEX('Monthly UPC'!$CM$2:$DJ$65,MATCH($D61,'Monthly UPC'!$D$2:$D$65,0),MATCH(BV$1,'Monthly UPC'!$CM$1:$DJ$1))*(INDEX('Monthly CUST'!$N$2:$CG$65,MATCH($D61,'Monthly CUST'!$D$2:$D$65,0),MATCH(BV$1,'Monthly CUST'!$N$1:$CG$1,0))),IF($J61="UPC Growth Rate",((BJ61/INDEX('Monthly CUST'!$N$2:$CG$65,MATCH($D61,'Monthly CUST'!$D$2:$D$65,0),MATCH(BJ$1,'Monthly CUST'!$N$1:$CG$1,0)))*(1+$L61)*INDEX('Monthly CUST'!$N$2:$CG$65,MATCH($D61,'Monthly CUST'!$D$2:$D$65,0),MATCH(BV$1,'Monthly CUST'!$N$1:$CG$1,0))),IF($J61="Modeled UPC",INDEX('Monthly CUST'!$N$2:$CG$65,MATCH($D61,'Monthly CUST'!$D$2:$D$65,0),MATCH(BV$1,'Monthly CUST'!$N$1:$CG$1,0))/12*$M61,IF($J61="Base Period",BJ61,IF($J61="Adjusted",SUMIF('Input 15_Fcst Inputs'!$A:$A,$D61,'Input 15_Fcst Inputs'!$G:$G)/12))))),0)</f>
        <v>373297.56</v>
      </c>
      <c r="BW61" s="483">
        <f>IFERROR(IF($J61="Historical Average",INDEX('Monthly UPC'!$CM$2:$DJ$65,MATCH($D61,'Monthly UPC'!$D$2:$D$65,0),MATCH(BW$1,'Monthly UPC'!$CM$1:$DJ$1))*(INDEX('Monthly CUST'!$N$2:$CG$65,MATCH($D61,'Monthly CUST'!$D$2:$D$65,0),MATCH(BW$1,'Monthly CUST'!$N$1:$CG$1,0))),IF($J61="UPC Growth Rate",((BK61/INDEX('Monthly CUST'!$N$2:$CG$65,MATCH($D61,'Monthly CUST'!$D$2:$D$65,0),MATCH(BK$1,'Monthly CUST'!$N$1:$CG$1,0)))*(1+$L61)*INDEX('Monthly CUST'!$N$2:$CG$65,MATCH($D61,'Monthly CUST'!$D$2:$D$65,0),MATCH(BW$1,'Monthly CUST'!$N$1:$CG$1,0))),IF($J61="Modeled UPC",INDEX('Monthly CUST'!$N$2:$CG$65,MATCH($D61,'Monthly CUST'!$D$2:$D$65,0),MATCH(BW$1,'Monthly CUST'!$N$1:$CG$1,0))/12*$M61,IF($J61="Base Period",BK61,IF($J61="Adjusted",SUMIF('Input 15_Fcst Inputs'!$A:$A,$D61,'Input 15_Fcst Inputs'!$G:$G)/12))))),0)</f>
        <v>285709.46999999997</v>
      </c>
      <c r="BX61" s="483">
        <f>IFERROR(IF($J61="Historical Average",INDEX('Monthly UPC'!$CM$2:$DJ$65,MATCH($D61,'Monthly UPC'!$D$2:$D$65,0),MATCH(BX$1,'Monthly UPC'!$CM$1:$DJ$1))*(INDEX('Monthly CUST'!$N$2:$CG$65,MATCH($D61,'Monthly CUST'!$D$2:$D$65,0),MATCH(BX$1,'Monthly CUST'!$N$1:$CG$1,0))),IF($J61="UPC Growth Rate",((BL61/INDEX('Monthly CUST'!$N$2:$CG$65,MATCH($D61,'Monthly CUST'!$D$2:$D$65,0),MATCH(BL$1,'Monthly CUST'!$N$1:$CG$1,0)))*(1+$L61)*INDEX('Monthly CUST'!$N$2:$CG$65,MATCH($D61,'Monthly CUST'!$D$2:$D$65,0),MATCH(BX$1,'Monthly CUST'!$N$1:$CG$1,0))),IF($J61="Modeled UPC",INDEX('Monthly CUST'!$N$2:$CG$65,MATCH($D61,'Monthly CUST'!$D$2:$D$65,0),MATCH(BX$1,'Monthly CUST'!$N$1:$CG$1,0))/12*$M61,IF($J61="Base Period",BL61,IF($J61="Adjusted",SUMIF('Input 15_Fcst Inputs'!$A:$A,$D61,'Input 15_Fcst Inputs'!$G:$G)/12))))),0)</f>
        <v>299857.58</v>
      </c>
      <c r="BY61" s="483">
        <f>IFERROR(IF($J61="Historical Average",INDEX('Monthly UPC'!$CM$2:$DJ$65,MATCH($D61,'Monthly UPC'!$D$2:$D$65,0),MATCH(BY$1,'Monthly UPC'!$CM$1:$DJ$1))*(INDEX('Monthly CUST'!$N$2:$CG$65,MATCH($D61,'Monthly CUST'!$D$2:$D$65,0),MATCH(BY$1,'Monthly CUST'!$N$1:$CG$1,0))),IF($J61="UPC Growth Rate",((BM61/INDEX('Monthly CUST'!$N$2:$CG$65,MATCH($D61,'Monthly CUST'!$D$2:$D$65,0),MATCH(BM$1,'Monthly CUST'!$N$1:$CG$1,0)))*(1+$L61)*INDEX('Monthly CUST'!$N$2:$CG$65,MATCH($D61,'Monthly CUST'!$D$2:$D$65,0),MATCH(BY$1,'Monthly CUST'!$N$1:$CG$1,0))),IF($J61="Modeled UPC",INDEX('Monthly CUST'!$N$2:$CG$65,MATCH($D61,'Monthly CUST'!$D$2:$D$65,0),MATCH(BY$1,'Monthly CUST'!$N$1:$CG$1,0))/12*$M61,IF($J61="Base Period",BM61,IF($J61="Adjusted",SUMIF('Input 15_Fcst Inputs'!$A:$A,$D61,'Input 15_Fcst Inputs'!$G:$G)/12))))),0)</f>
        <v>311305.71000000002</v>
      </c>
      <c r="BZ61" s="483">
        <f>IFERROR(IF($J61="Historical Average",INDEX('Monthly UPC'!$CM$2:$DJ$65,MATCH($D61,'Monthly UPC'!$D$2:$D$65,0),MATCH(BZ$1,'Monthly UPC'!$CM$1:$DJ$1))*(INDEX('Monthly CUST'!$N$2:$CG$65,MATCH($D61,'Monthly CUST'!$D$2:$D$65,0),MATCH(BZ$1,'Monthly CUST'!$N$1:$CG$1,0))),IF($J61="UPC Growth Rate",((BN61/INDEX('Monthly CUST'!$N$2:$CG$65,MATCH($D61,'Monthly CUST'!$D$2:$D$65,0),MATCH(BN$1,'Monthly CUST'!$N$1:$CG$1,0)))*(1+$L61)*INDEX('Monthly CUST'!$N$2:$CG$65,MATCH($D61,'Monthly CUST'!$D$2:$D$65,0),MATCH(BZ$1,'Monthly CUST'!$N$1:$CG$1,0))),IF($J61="Modeled UPC",INDEX('Monthly CUST'!$N$2:$CG$65,MATCH($D61,'Monthly CUST'!$D$2:$D$65,0),MATCH(BZ$1,'Monthly CUST'!$N$1:$CG$1,0))/12*$M61,IF($J61="Base Period",BN61,IF($J61="Adjusted",SUMIF('Input 15_Fcst Inputs'!$A:$A,$D61,'Input 15_Fcst Inputs'!$G:$G)/12))))),0)</f>
        <v>296646.62</v>
      </c>
      <c r="CA61" s="483">
        <f>IFERROR(IF($J61="Historical Average",INDEX('Monthly UPC'!$CM$2:$DJ$65,MATCH($D61,'Monthly UPC'!$D$2:$D$65,0),MATCH(CA$1,'Monthly UPC'!$CM$1:$DJ$1))*(INDEX('Monthly CUST'!$N$2:$CG$65,MATCH($D61,'Monthly CUST'!$D$2:$D$65,0),MATCH(CA$1,'Monthly CUST'!$N$1:$CG$1,0))),IF($J61="UPC Growth Rate",((BO61/INDEX('Monthly CUST'!$N$2:$CG$65,MATCH($D61,'Monthly CUST'!$D$2:$D$65,0),MATCH(BO$1,'Monthly CUST'!$N$1:$CG$1,0)))*(1+$L61)*INDEX('Monthly CUST'!$N$2:$CG$65,MATCH($D61,'Monthly CUST'!$D$2:$D$65,0),MATCH(CA$1,'Monthly CUST'!$N$1:$CG$1,0))),IF($J61="Modeled UPC",INDEX('Monthly CUST'!$N$2:$CG$65,MATCH($D61,'Monthly CUST'!$D$2:$D$65,0),MATCH(CA$1,'Monthly CUST'!$N$1:$CG$1,0))/12*$M61,IF($J61="Base Period",BO61,IF($J61="Adjusted",SUMIF('Input 15_Fcst Inputs'!$A:$A,$D61,'Input 15_Fcst Inputs'!$G:$G)/12))))),0)</f>
        <v>290986.84999999998</v>
      </c>
      <c r="CB61" s="483">
        <f>IFERROR(IF($J61="Historical Average",INDEX('Monthly UPC'!$CM$2:$DJ$65,MATCH($D61,'Monthly UPC'!$D$2:$D$65,0),MATCH(CB$1,'Monthly UPC'!$CM$1:$DJ$1))*(INDEX('Monthly CUST'!$N$2:$CG$65,MATCH($D61,'Monthly CUST'!$D$2:$D$65,0),MATCH(CB$1,'Monthly CUST'!$N$1:$CG$1,0))),IF($J61="UPC Growth Rate",((BP61/INDEX('Monthly CUST'!$N$2:$CG$65,MATCH($D61,'Monthly CUST'!$D$2:$D$65,0),MATCH(BP$1,'Monthly CUST'!$N$1:$CG$1,0)))*(1+$L61)*INDEX('Monthly CUST'!$N$2:$CG$65,MATCH($D61,'Monthly CUST'!$D$2:$D$65,0),MATCH(CB$1,'Monthly CUST'!$N$1:$CG$1,0))),IF($J61="Modeled UPC",INDEX('Monthly CUST'!$N$2:$CG$65,MATCH($D61,'Monthly CUST'!$D$2:$D$65,0),MATCH(CB$1,'Monthly CUST'!$N$1:$CG$1,0))/12*$M61,IF($J61="Base Period",BP61,IF($J61="Adjusted",SUMIF('Input 15_Fcst Inputs'!$A:$A,$D61,'Input 15_Fcst Inputs'!$G:$G)/12))))),0)</f>
        <v>286758.34999999998</v>
      </c>
      <c r="CC61" s="483">
        <f>IFERROR(IF($J61="Historical Average",INDEX('Monthly UPC'!$CM$2:$DJ$65,MATCH($D61,'Monthly UPC'!$D$2:$D$65,0),MATCH(CC$1,'Monthly UPC'!$CM$1:$DJ$1))*(INDEX('Monthly CUST'!$N$2:$CG$65,MATCH($D61,'Monthly CUST'!$D$2:$D$65,0),MATCH(CC$1,'Monthly CUST'!$N$1:$CG$1,0))),IF($J61="UPC Growth Rate",((BQ61/INDEX('Monthly CUST'!$N$2:$CG$65,MATCH($D61,'Monthly CUST'!$D$2:$D$65,0),MATCH(BQ$1,'Monthly CUST'!$N$1:$CG$1,0)))*(1+$L61)*INDEX('Monthly CUST'!$N$2:$CG$65,MATCH($D61,'Monthly CUST'!$D$2:$D$65,0),MATCH(CC$1,'Monthly CUST'!$N$1:$CG$1,0))),IF($J61="Modeled UPC",INDEX('Monthly CUST'!$N$2:$CG$65,MATCH($D61,'Monthly CUST'!$D$2:$D$65,0),MATCH(CC$1,'Monthly CUST'!$N$1:$CG$1,0))/12*$M61,IF($J61="Base Period",BQ61,IF($J61="Adjusted",SUMIF('Input 15_Fcst Inputs'!$A:$A,$D61,'Input 15_Fcst Inputs'!$G:$G)/12))))),0)</f>
        <v>265043.92</v>
      </c>
      <c r="CD61" s="483">
        <f>IFERROR(IF($J61="Historical Average",INDEX('Monthly UPC'!$CM$2:$DJ$65,MATCH($D61,'Monthly UPC'!$D$2:$D$65,0),MATCH(CD$1,'Monthly UPC'!$CM$1:$DJ$1))*(INDEX('Monthly CUST'!$N$2:$CG$65,MATCH($D61,'Monthly CUST'!$D$2:$D$65,0),MATCH(CD$1,'Monthly CUST'!$N$1:$CG$1,0))),IF($J61="UPC Growth Rate",((BR61/INDEX('Monthly CUST'!$N$2:$CG$65,MATCH($D61,'Monthly CUST'!$D$2:$D$65,0),MATCH(BR$1,'Monthly CUST'!$N$1:$CG$1,0)))*(1+$L61)*INDEX('Monthly CUST'!$N$2:$CG$65,MATCH($D61,'Monthly CUST'!$D$2:$D$65,0),MATCH(CD$1,'Monthly CUST'!$N$1:$CG$1,0))),IF($J61="Modeled UPC",INDEX('Monthly CUST'!$N$2:$CG$65,MATCH($D61,'Monthly CUST'!$D$2:$D$65,0),MATCH(CD$1,'Monthly CUST'!$N$1:$CG$1,0))/12*$M61,IF($J61="Base Period",BR61,IF($J61="Adjusted",SUMIF('Input 15_Fcst Inputs'!$A:$A,$D61,'Input 15_Fcst Inputs'!$G:$G)/12))))),0)</f>
        <v>298780.12</v>
      </c>
      <c r="CE61" s="483">
        <f>IFERROR(IF($J61="Historical Average",INDEX('Monthly UPC'!$CM$2:$DJ$65,MATCH($D61,'Monthly UPC'!$D$2:$D$65,0),MATCH(CE$1,'Monthly UPC'!$CM$1:$DJ$1))*(INDEX('Monthly CUST'!$N$2:$CG$65,MATCH($D61,'Monthly CUST'!$D$2:$D$65,0),MATCH(CE$1,'Monthly CUST'!$N$1:$CG$1,0))),IF($J61="UPC Growth Rate",((BS61/INDEX('Monthly CUST'!$N$2:$CG$65,MATCH($D61,'Monthly CUST'!$D$2:$D$65,0),MATCH(BS$1,'Monthly CUST'!$N$1:$CG$1,0)))*(1+$L61)*INDEX('Monthly CUST'!$N$2:$CG$65,MATCH($D61,'Monthly CUST'!$D$2:$D$65,0),MATCH(CE$1,'Monthly CUST'!$N$1:$CG$1,0))),IF($J61="Modeled UPC",INDEX('Monthly CUST'!$N$2:$CG$65,MATCH($D61,'Monthly CUST'!$D$2:$D$65,0),MATCH(CE$1,'Monthly CUST'!$N$1:$CG$1,0))/12*$M61,IF($J61="Base Period",BS61,IF($J61="Adjusted",SUMIF('Input 15_Fcst Inputs'!$A:$A,$D61,'Input 15_Fcst Inputs'!$G:$G)/12))))),0)</f>
        <v>326581.90999999997</v>
      </c>
      <c r="CF61" s="483">
        <f>IFERROR(IF($J61="Historical Average",INDEX('Monthly UPC'!$CM$2:$DJ$65,MATCH($D61,'Monthly UPC'!$D$2:$D$65,0),MATCH(CF$1,'Monthly UPC'!$CM$1:$DJ$1))*(INDEX('Monthly CUST'!$N$2:$CG$65,MATCH($D61,'Monthly CUST'!$D$2:$D$65,0),MATCH(CF$1,'Monthly CUST'!$N$1:$CG$1,0))),IF($J61="UPC Growth Rate",((BT61/INDEX('Monthly CUST'!$N$2:$CG$65,MATCH($D61,'Monthly CUST'!$D$2:$D$65,0),MATCH(BT$1,'Monthly CUST'!$N$1:$CG$1,0)))*(1+$L61)*INDEX('Monthly CUST'!$N$2:$CG$65,MATCH($D61,'Monthly CUST'!$D$2:$D$65,0),MATCH(CF$1,'Monthly CUST'!$N$1:$CG$1,0))),IF($J61="Modeled UPC",INDEX('Monthly CUST'!$N$2:$CG$65,MATCH($D61,'Monthly CUST'!$D$2:$D$65,0),MATCH(CF$1,'Monthly CUST'!$N$1:$CG$1,0))/12*$M61,IF($J61="Base Period",BT61,IF($J61="Adjusted",SUMIF('Input 15_Fcst Inputs'!$A:$A,$D61,'Input 15_Fcst Inputs'!$G:$G)/12))))),0)</f>
        <v>295483.68</v>
      </c>
      <c r="CG61" s="483">
        <f>IFERROR(IF($J61="Historical Average",INDEX('Monthly UPC'!$CM$2:$DJ$65,MATCH($D61,'Monthly UPC'!$D$2:$D$65,0),MATCH(CG$1,'Monthly UPC'!$CM$1:$DJ$1))*(INDEX('Monthly CUST'!$N$2:$CG$65,MATCH($D61,'Monthly CUST'!$D$2:$D$65,0),MATCH(CG$1,'Monthly CUST'!$N$1:$CG$1,0))),IF($J61="UPC Growth Rate",((BU61/INDEX('Monthly CUST'!$N$2:$CG$65,MATCH($D61,'Monthly CUST'!$D$2:$D$65,0),MATCH(BU$1,'Monthly CUST'!$N$1:$CG$1,0)))*(1+$L61)*INDEX('Monthly CUST'!$N$2:$CG$65,MATCH($D61,'Monthly CUST'!$D$2:$D$65,0),MATCH(CG$1,'Monthly CUST'!$N$1:$CG$1,0))),IF($J61="Modeled UPC",INDEX('Monthly CUST'!$N$2:$CG$65,MATCH($D61,'Monthly CUST'!$D$2:$D$65,0),MATCH(CG$1,'Monthly CUST'!$N$1:$CG$1,0))/12*$M61,IF($J61="Base Period",BU61,IF($J61="Adjusted",SUMIF('Input 15_Fcst Inputs'!$A:$A,$D61,'Input 15_Fcst Inputs'!$G:$G)/12))))),0)</f>
        <v>300437.23</v>
      </c>
      <c r="CH61" s="197"/>
      <c r="CI61" s="197">
        <f t="shared" si="8"/>
        <v>2199774.4299999997</v>
      </c>
      <c r="CJ61" s="197">
        <f t="shared" si="9"/>
        <v>2456435.31</v>
      </c>
      <c r="CK61" s="197">
        <f t="shared" si="10"/>
        <v>2788751.4499999997</v>
      </c>
      <c r="CL61" s="197">
        <f t="shared" si="11"/>
        <v>3630889.0000000005</v>
      </c>
      <c r="CM61" s="197">
        <f t="shared" si="12"/>
        <v>3630889.0000000005</v>
      </c>
      <c r="CN61" s="197">
        <f t="shared" si="13"/>
        <v>3630889.0000000005</v>
      </c>
      <c r="CP61" s="4">
        <f>SUMIF('Master '!D:D,D61,'Master '!AH:AH)</f>
        <v>3630889.0000000005</v>
      </c>
      <c r="CQ61" s="4">
        <f>SUMIF('Master '!D:D,D61,'Master '!AI:AI)</f>
        <v>3630889.0000000005</v>
      </c>
      <c r="CR61" s="197">
        <f t="shared" si="14"/>
        <v>0</v>
      </c>
      <c r="CS61" s="197">
        <f t="shared" si="15"/>
        <v>0</v>
      </c>
      <c r="CT61" t="s">
        <v>287</v>
      </c>
      <c r="CV61" t="str">
        <f>VLOOKUP(G61,'Master '!G:CC,75,FALSE)</f>
        <v>FTS-10</v>
      </c>
    </row>
    <row r="62" spans="1:100">
      <c r="A62" s="53" t="s">
        <v>17</v>
      </c>
      <c r="B62" s="53" t="s">
        <v>993</v>
      </c>
      <c r="C62" s="53" t="s">
        <v>1245</v>
      </c>
      <c r="D62" s="53" t="s">
        <v>79</v>
      </c>
      <c r="E62" s="53" t="str">
        <f>VLOOKUP(D62,'Input 14_Ref Table'!C:D,2,FALSE)</f>
        <v>CI107</v>
      </c>
      <c r="F62" s="143" t="s">
        <v>1286</v>
      </c>
      <c r="G62" s="53" t="str">
        <f>VLOOKUP(D62,'Input 14_Ref Table'!C:I,7,FALSE)</f>
        <v>CFG - FTS-11</v>
      </c>
      <c r="H62" s="53" t="str">
        <f>VLOOKUP(D62,'Input 14_Ref Table'!C:K,8,FALSE)</f>
        <v>Base Period</v>
      </c>
      <c r="I62" s="53"/>
      <c r="J62" t="str">
        <f>INDEX('Master '!$AD$2:AD$65,MATCH(D62,'Master '!$D$2:$D$65,0))</f>
        <v>Adjusted</v>
      </c>
      <c r="K62" s="458">
        <f>INDEX('Master '!$N$2:N$65,MATCH(D62,'Master '!$D$2:$D$65,0))</f>
        <v>0</v>
      </c>
      <c r="L62" s="137">
        <f>INDEX('Master '!$S$2:S$65,MATCH(D62,'Master '!$D$2:$D$65,0))</f>
        <v>0</v>
      </c>
      <c r="M62" s="4">
        <f>INDEX('Master '!$W$2:W$65,MATCH(D62,'Master '!$D$2:$D$65,0))</f>
        <v>1227248.6200000001</v>
      </c>
      <c r="N62" s="268">
        <f>SUMIF('Input 16.1_2018VOL-YTD'!$R:$R,$G62,'Input 16.1_2018VOL-YTD'!C:C)</f>
        <v>134512.60999999999</v>
      </c>
      <c r="O62" s="268">
        <f>SUMIF('Input 16.1_2018VOL-YTD'!$R:$R,$G62,'Input 16.1_2018VOL-YTD'!D:D)</f>
        <v>63139.93</v>
      </c>
      <c r="P62" s="268">
        <f>SUMIF('Input 16.1_2018VOL-YTD'!$R:$R,$G62,'Input 16.1_2018VOL-YTD'!E:E)</f>
        <v>66738.17</v>
      </c>
      <c r="Q62" s="268">
        <f>SUMIF('Input 16.1_2018VOL-YTD'!$R:$R,$G62,'Input 16.1_2018VOL-YTD'!F:F)</f>
        <v>261928.22</v>
      </c>
      <c r="R62" s="268">
        <f>SUMIF('Input 16.1_2018VOL-YTD'!$R:$R,$G62,'Input 16.1_2018VOL-YTD'!G:G)</f>
        <v>266378.57</v>
      </c>
      <c r="S62" s="268">
        <f>SUMIF('Input 16.1_2018VOL-YTD'!$R:$R,$G62,'Input 16.1_2018VOL-YTD'!H:H)</f>
        <v>310906.57</v>
      </c>
      <c r="T62" s="268">
        <f>SUMIF('Input 16.1_2018VOL-YTD'!$R:$R,$G62,'Input 16.1_2018VOL-YTD'!I:I)</f>
        <v>313045.7</v>
      </c>
      <c r="U62" s="268">
        <f>SUMIF('Input 16.1_2018VOL-YTD'!$R:$R,$G62,'Input 16.1_2018VOL-YTD'!J:J)</f>
        <v>389448.2</v>
      </c>
      <c r="V62" s="268">
        <f>SUMIF('Input 16.1_2018VOL-YTD'!$R:$R,$G62,'Input 16.1_2018VOL-YTD'!K:K)</f>
        <v>415510.03</v>
      </c>
      <c r="W62" s="268">
        <f>SUMIF('Input 16.1_2018VOL-YTD'!$R:$R,$G62,'Input 16.1_2018VOL-YTD'!L:L)</f>
        <v>401135.03</v>
      </c>
      <c r="X62" s="268">
        <f>SUMIF('Input 16.1_2018VOL-YTD'!$R:$R,$G62,'Input 16.1_2018VOL-YTD'!M:M)</f>
        <v>383589.4</v>
      </c>
      <c r="Y62" s="268">
        <f>SUMIF('Input 16.1_2018VOL-YTD'!$R:$R,$G62,'Input 16.1_2018VOL-YTD'!N:N)</f>
        <v>345701.32</v>
      </c>
      <c r="Z62" s="268">
        <f>SUMIF('Input 3.1_2019VOL-YTD'!$R:$R,$G62,'Input 3.1_2019VOL-YTD'!C:C)</f>
        <v>436829.31</v>
      </c>
      <c r="AA62" s="268">
        <f>SUMIF('Input 3.1_2019VOL-YTD'!$R:$R,$G62,'Input 3.1_2019VOL-YTD'!D:D)</f>
        <v>365645.74</v>
      </c>
      <c r="AB62" s="268">
        <f>SUMIF('Input 3.1_2019VOL-YTD'!$R:$R,$G62,'Input 3.1_2019VOL-YTD'!E:E)</f>
        <v>399252.69</v>
      </c>
      <c r="AC62" s="268">
        <f>SUMIF('Input 3.1_2019VOL-YTD'!$R:$R,$G62,'Input 3.1_2019VOL-YTD'!F:F)</f>
        <v>200793.19</v>
      </c>
      <c r="AD62" s="268">
        <f>SUMIF('Input 3.1_2019VOL-YTD'!$R:$R,$G62,'Input 3.1_2019VOL-YTD'!G:G)</f>
        <v>243187.86</v>
      </c>
      <c r="AE62" s="268">
        <f>SUMIF('Input 3.1_2019VOL-YTD'!$R:$R,$G62,'Input 3.1_2019VOL-YTD'!H:H)</f>
        <v>216558.34</v>
      </c>
      <c r="AF62" s="268">
        <f>SUMIF('Input 3.1_2019VOL-YTD'!$R:$R,$G62,'Input 3.1_2019VOL-YTD'!I:I)</f>
        <v>199991.59</v>
      </c>
      <c r="AG62" s="268">
        <f>SUMIF('Input 3.1_2019VOL-YTD'!$R:$R,$G62,'Input 3.1_2019VOL-YTD'!J:J)</f>
        <v>215654.9</v>
      </c>
      <c r="AH62" s="268">
        <f>SUMIF('Input 3.1_2019VOL-YTD'!$R:$R,$G62,'Input 3.1_2019VOL-YTD'!K:K)</f>
        <v>208652.86</v>
      </c>
      <c r="AI62" s="268">
        <f>SUMIF('Input 3.1_2019VOL-YTD'!$R:$R,$G62,'Input 3.1_2019VOL-YTD'!L:L)</f>
        <v>187856.1</v>
      </c>
      <c r="AJ62" s="268">
        <f>SUMIF('Input 3.1_2019VOL-YTD'!$R:$R,$G62,'Input 3.1_2019VOL-YTD'!M:M)</f>
        <v>222918.21</v>
      </c>
      <c r="AK62" s="268">
        <f>SUMIF('Input 3.1_2019VOL-YTD'!$R:$R,$G62,'Input 3.1_2019VOL-YTD'!N:N)</f>
        <v>204962.93</v>
      </c>
      <c r="AL62" s="268">
        <f>SUMIF('Input 4.1_2020VOL-YTD'!$R:$R,$G62,'Input 4.1_2020VOL-YTD'!C:C)</f>
        <v>238439.79</v>
      </c>
      <c r="AM62" s="268">
        <f>SUMIF('Input 4.1_2020VOL-YTD'!$R:$R,$G62,'Input 4.1_2020VOL-YTD'!D:D)</f>
        <v>219634.24</v>
      </c>
      <c r="AN62" s="268">
        <f>SUMIF('Input 4.1_2020VOL-YTD'!$R:$R,$G62,'Input 4.1_2020VOL-YTD'!E:E)</f>
        <v>219026.02</v>
      </c>
      <c r="AO62" s="268">
        <f>SUMIF('Input 4.1_2020VOL-YTD'!$R:$R,$G62,'Input 4.1_2020VOL-YTD'!F:F)</f>
        <v>203773.24</v>
      </c>
      <c r="AP62" s="268">
        <f>SUMIF('Input 4.1_2020VOL-YTD'!$R:$R,$G62,'Input 4.1_2020VOL-YTD'!G:G)</f>
        <v>205528.06</v>
      </c>
      <c r="AQ62" s="268">
        <f>SUMIF('Input 4.1_2020VOL-YTD'!$R:$R,$G62,'Input 4.1_2020VOL-YTD'!H:H)</f>
        <v>168184.81</v>
      </c>
      <c r="AR62" s="268">
        <f>SUMIF('Input 4.1_2020VOL-YTD'!$R:$R,$G62,'Input 4.1_2020VOL-YTD'!I:I)</f>
        <v>161036.29999999999</v>
      </c>
      <c r="AS62" s="268">
        <f>SUMIF('Input 4.1_2020VOL-YTD'!$R:$R,$G62,'Input 4.1_2020VOL-YTD'!J:J)</f>
        <v>155018.89000000001</v>
      </c>
      <c r="AT62" s="268">
        <f>SUMIF('Input 4.1_2020VOL-YTD'!$R:$R,$G62,'Input 4.1_2020VOL-YTD'!K:K)</f>
        <v>152144.92000000001</v>
      </c>
      <c r="AU62" s="268">
        <f>SUMIF('Input 4.1_2020VOL-YTD'!$R:$R,$G62,'Input 4.1_2020VOL-YTD'!L:L)</f>
        <v>162663.1</v>
      </c>
      <c r="AV62" s="268">
        <f>SUMIF('Input 4.1_2020VOL-YTD'!$R:$R,$G62,'Input 4.1_2020VOL-YTD'!M:M)</f>
        <v>151757.25</v>
      </c>
      <c r="AW62" s="268">
        <f>SUMIF('Input 4.1_2020VOL-YTD'!$R:$R,$G62,'Input 4.1_2020VOL-YTD'!N:N)</f>
        <v>113252.75</v>
      </c>
      <c r="AX62" s="268">
        <f>SUMIF('Input 5.1_2021VOL-YTD'!$R:$R,$G62,'Input 5.1_2021VOL-YTD'!C:C)</f>
        <v>146807.04999999999</v>
      </c>
      <c r="AY62" s="268">
        <f>SUMIF('Input 5.1_2021VOL-YTD'!$R:$R,$G62,'Input 5.1_2021VOL-YTD'!D:D)</f>
        <v>148429.10999999999</v>
      </c>
      <c r="AZ62" s="268">
        <f>SUMIF('Input 5.1_2021VOL-YTD'!$R:$R,$G62,'Input 5.1_2021VOL-YTD'!E:E)</f>
        <v>167804.58</v>
      </c>
      <c r="BA62" s="268">
        <f>SUMIF('Input 5.1_2021VOL-YTD'!$R:$R,$G62,'Input 5.1_2021VOL-YTD'!F:F)</f>
        <v>169495.38</v>
      </c>
      <c r="BB62" s="268">
        <f>SUMIF('Input 5.1_2021VOL-YTD'!$R:$R,$G62,'Input 5.1_2021VOL-YTD'!G:G)</f>
        <v>56433</v>
      </c>
      <c r="BC62" s="268">
        <f>SUMIF('Input 5.1_2021VOL-YTD'!$R:$R,$G62,'Input 5.1_2021VOL-YTD'!H:H)</f>
        <v>0</v>
      </c>
      <c r="BD62" s="268">
        <f>SUMIF('Input 5.1_2021VOL-YTD'!$R:$R,$G62,'Input 5.1_2021VOL-YTD'!I:I)</f>
        <v>120864.2</v>
      </c>
      <c r="BE62" s="268">
        <f>SUMIF('Input 5.1_2021VOL-YTD'!$R:$R,$G62,'Input 5.1_2021VOL-YTD'!J:J)</f>
        <v>121782.78</v>
      </c>
      <c r="BF62" s="268">
        <f>SUMIF('Input 5.1_2021VOL-YTD'!$R:$R,$G62,'Input 5.1_2021VOL-YTD'!K:K)</f>
        <v>23780.17</v>
      </c>
      <c r="BG62" s="268">
        <f>SUMIF('Input 5.1_2021VOL-YTD'!$R:$R,$G62,'Input 5.1_2021VOL-YTD'!L:L)</f>
        <v>70132.570000000007</v>
      </c>
      <c r="BH62" s="268">
        <f>SUMIF('Input 5.1_2021VOL-YTD'!$R:$R,$G62,'Input 5.1_2021VOL-YTD'!M:M)</f>
        <v>82525.06</v>
      </c>
      <c r="BI62" s="268">
        <f>SUMIF('Input 5.1_2021VOL-YTD'!$R:$R,$G62,'Input 5.1_2021VOL-YTD'!N:N)</f>
        <v>119194.72</v>
      </c>
      <c r="BJ62" s="483">
        <f>IFERROR(IF($J62="Historical Average",INDEX('Monthly UPC'!$CM$2:$DJ$65,MATCH($D62,'Monthly UPC'!$D$2:$D$65,0),MATCH(BJ$1,'Monthly UPC'!$CM$1:$DJ$1))*(INDEX('Monthly CUST'!$N$2:$CG$65,MATCH($D62,'Monthly CUST'!$D$2:$D$65,0),MATCH(BJ$1,'Monthly CUST'!$N$1:$CG$1,0))),IF($J62="UPC Growth Rate",((AX62/INDEX('Monthly CUST'!$N$2:$CG$65,MATCH($D62,'Monthly CUST'!$D$2:$D$65,0),MATCH(AX$1,'Monthly CUST'!$N$1:$CG$1,0)))*(1+$L62)*INDEX('Monthly CUST'!$N$2:$CG$65,MATCH($D62,'Monthly CUST'!$D$2:$D$65,0),MATCH(BJ$1,'Monthly CUST'!$N$1:$CG$1,0))),IF($J62="Modeled UPC",INDEX('Monthly CUST'!$N$2:$CG$65,MATCH($D62,'Monthly CUST'!$D$2:$D$65,0),MATCH(BJ$1,'Monthly CUST'!$N$1:$CG$1,0))/12*$M62,IF($J62="Base Period",AX62,IF($J62="Adjusted",SUMIF('Input 15_Fcst Inputs'!$A:$A,$D62,'Input 15_Fcst Inputs'!$G:$G)/12))))),0)</f>
        <v>127270.71833333334</v>
      </c>
      <c r="BK62" s="483">
        <f>IFERROR(IF($J62="Historical Average",INDEX('Monthly UPC'!$CM$2:$DJ$65,MATCH($D62,'Monthly UPC'!$D$2:$D$65,0),MATCH(BK$1,'Monthly UPC'!$CM$1:$DJ$1))*(INDEX('Monthly CUST'!$N$2:$CG$65,MATCH($D62,'Monthly CUST'!$D$2:$D$65,0),MATCH(BK$1,'Monthly CUST'!$N$1:$CG$1,0))),IF($J62="UPC Growth Rate",((AY62/INDEX('Monthly CUST'!$N$2:$CG$65,MATCH($D62,'Monthly CUST'!$D$2:$D$65,0),MATCH(AY$1,'Monthly CUST'!$N$1:$CG$1,0)))*(1+$L62)*INDEX('Monthly CUST'!$N$2:$CG$65,MATCH($D62,'Monthly CUST'!$D$2:$D$65,0),MATCH(BK$1,'Monthly CUST'!$N$1:$CG$1,0))),IF($J62="Modeled UPC",INDEX('Monthly CUST'!$N$2:$CG$65,MATCH($D62,'Monthly CUST'!$D$2:$D$65,0),MATCH(BK$1,'Monthly CUST'!$N$1:$CG$1,0))/12*$M62,IF($J62="Base Period",AY62,IF($J62="Adjusted",SUMIF('Input 15_Fcst Inputs'!$A:$A,$D62,'Input 15_Fcst Inputs'!$G:$G)/12))))),0)</f>
        <v>127270.71833333334</v>
      </c>
      <c r="BL62" s="483">
        <f>IFERROR(IF($J62="Historical Average",INDEX('Monthly UPC'!$CM$2:$DJ$65,MATCH($D62,'Monthly UPC'!$D$2:$D$65,0),MATCH(BL$1,'Monthly UPC'!$CM$1:$DJ$1))*(INDEX('Monthly CUST'!$N$2:$CG$65,MATCH($D62,'Monthly CUST'!$D$2:$D$65,0),MATCH(BL$1,'Monthly CUST'!$N$1:$CG$1,0))),IF($J62="UPC Growth Rate",((AZ62/INDEX('Monthly CUST'!$N$2:$CG$65,MATCH($D62,'Monthly CUST'!$D$2:$D$65,0),MATCH(AZ$1,'Monthly CUST'!$N$1:$CG$1,0)))*(1+$L62)*INDEX('Monthly CUST'!$N$2:$CG$65,MATCH($D62,'Monthly CUST'!$D$2:$D$65,0),MATCH(BL$1,'Monthly CUST'!$N$1:$CG$1,0))),IF($J62="Modeled UPC",INDEX('Monthly CUST'!$N$2:$CG$65,MATCH($D62,'Monthly CUST'!$D$2:$D$65,0),MATCH(BL$1,'Monthly CUST'!$N$1:$CG$1,0))/12*$M62,IF($J62="Base Period",AZ62,IF($J62="Adjusted",SUMIF('Input 15_Fcst Inputs'!$A:$A,$D62,'Input 15_Fcst Inputs'!$G:$G)/12))))),0)</f>
        <v>127270.71833333334</v>
      </c>
      <c r="BM62" s="483">
        <f>IFERROR(IF($J62="Historical Average",INDEX('Monthly UPC'!$CM$2:$DJ$65,MATCH($D62,'Monthly UPC'!$D$2:$D$65,0),MATCH(BM$1,'Monthly UPC'!$CM$1:$DJ$1))*(INDEX('Monthly CUST'!$N$2:$CG$65,MATCH($D62,'Monthly CUST'!$D$2:$D$65,0),MATCH(BM$1,'Monthly CUST'!$N$1:$CG$1,0))),IF($J62="UPC Growth Rate",((BA62/INDEX('Monthly CUST'!$N$2:$CG$65,MATCH($D62,'Monthly CUST'!$D$2:$D$65,0),MATCH(BA$1,'Monthly CUST'!$N$1:$CG$1,0)))*(1+$L62)*INDEX('Monthly CUST'!$N$2:$CG$65,MATCH($D62,'Monthly CUST'!$D$2:$D$65,0),MATCH(BM$1,'Monthly CUST'!$N$1:$CG$1,0))),IF($J62="Modeled UPC",INDEX('Monthly CUST'!$N$2:$CG$65,MATCH($D62,'Monthly CUST'!$D$2:$D$65,0),MATCH(BM$1,'Monthly CUST'!$N$1:$CG$1,0))/12*$M62,IF($J62="Base Period",BA62,IF($J62="Adjusted",SUMIF('Input 15_Fcst Inputs'!$A:$A,$D62,'Input 15_Fcst Inputs'!$G:$G)/12))))),0)</f>
        <v>127270.71833333334</v>
      </c>
      <c r="BN62" s="483">
        <f>IFERROR(IF($J62="Historical Average",INDEX('Monthly UPC'!$CM$2:$DJ$65,MATCH($D62,'Monthly UPC'!$D$2:$D$65,0),MATCH(BN$1,'Monthly UPC'!$CM$1:$DJ$1))*(INDEX('Monthly CUST'!$N$2:$CG$65,MATCH($D62,'Monthly CUST'!$D$2:$D$65,0),MATCH(BN$1,'Monthly CUST'!$N$1:$CG$1,0))),IF($J62="UPC Growth Rate",((BB62/INDEX('Monthly CUST'!$N$2:$CG$65,MATCH($D62,'Monthly CUST'!$D$2:$D$65,0),MATCH(BB$1,'Monthly CUST'!$N$1:$CG$1,0)))*(1+$L62)*INDEX('Monthly CUST'!$N$2:$CG$65,MATCH($D62,'Monthly CUST'!$D$2:$D$65,0),MATCH(BN$1,'Monthly CUST'!$N$1:$CG$1,0))),IF($J62="Modeled UPC",INDEX('Monthly CUST'!$N$2:$CG$65,MATCH($D62,'Monthly CUST'!$D$2:$D$65,0),MATCH(BN$1,'Monthly CUST'!$N$1:$CG$1,0))/12*$M62,IF($J62="Base Period",BB62,IF($J62="Adjusted",SUMIF('Input 15_Fcst Inputs'!$A:$A,$D62,'Input 15_Fcst Inputs'!$G:$G)/12))))),0)</f>
        <v>127270.71833333334</v>
      </c>
      <c r="BO62" s="483">
        <f>IFERROR(IF($J62="Historical Average",INDEX('Monthly UPC'!$CM$2:$DJ$65,MATCH($D62,'Monthly UPC'!$D$2:$D$65,0),MATCH(BO$1,'Monthly UPC'!$CM$1:$DJ$1))*(INDEX('Monthly CUST'!$N$2:$CG$65,MATCH($D62,'Monthly CUST'!$D$2:$D$65,0),MATCH(BO$1,'Monthly CUST'!$N$1:$CG$1,0))),IF($J62="UPC Growth Rate",((BC62/INDEX('Monthly CUST'!$N$2:$CG$65,MATCH($D62,'Monthly CUST'!$D$2:$D$65,0),MATCH(BC$1,'Monthly CUST'!$N$1:$CG$1,0)))*(1+$L62)*INDEX('Monthly CUST'!$N$2:$CG$65,MATCH($D62,'Monthly CUST'!$D$2:$D$65,0),MATCH(BO$1,'Monthly CUST'!$N$1:$CG$1,0))),IF($J62="Modeled UPC",INDEX('Monthly CUST'!$N$2:$CG$65,MATCH($D62,'Monthly CUST'!$D$2:$D$65,0),MATCH(BO$1,'Monthly CUST'!$N$1:$CG$1,0))/12*$M62,IF($J62="Base Period",BC62,IF($J62="Adjusted",SUMIF('Input 15_Fcst Inputs'!$A:$A,$D62,'Input 15_Fcst Inputs'!$G:$G)/12))))),0)</f>
        <v>127270.71833333334</v>
      </c>
      <c r="BP62" s="483">
        <f>IFERROR(IF($J62="Historical Average",INDEX('Monthly UPC'!$CM$2:$DJ$65,MATCH($D62,'Monthly UPC'!$D$2:$D$65,0),MATCH(BP$1,'Monthly UPC'!$CM$1:$DJ$1))*(INDEX('Monthly CUST'!$N$2:$CG$65,MATCH($D62,'Monthly CUST'!$D$2:$D$65,0),MATCH(BP$1,'Monthly CUST'!$N$1:$CG$1,0))),IF($J62="UPC Growth Rate",((BD62/INDEX('Monthly CUST'!$N$2:$CG$65,MATCH($D62,'Monthly CUST'!$D$2:$D$65,0),MATCH(BD$1,'Monthly CUST'!$N$1:$CG$1,0)))*(1+$L62)*INDEX('Monthly CUST'!$N$2:$CG$65,MATCH($D62,'Monthly CUST'!$D$2:$D$65,0),MATCH(BP$1,'Monthly CUST'!$N$1:$CG$1,0))),IF($J62="Modeled UPC",INDEX('Monthly CUST'!$N$2:$CG$65,MATCH($D62,'Monthly CUST'!$D$2:$D$65,0),MATCH(BP$1,'Monthly CUST'!$N$1:$CG$1,0))/12*$M62,IF($J62="Base Period",BD62,IF($J62="Adjusted",SUMIF('Input 15_Fcst Inputs'!$A:$A,$D62,'Input 15_Fcst Inputs'!$G:$G)/12))))),0)</f>
        <v>127270.71833333334</v>
      </c>
      <c r="BQ62" s="483">
        <f>IFERROR(IF($J62="Historical Average",INDEX('Monthly UPC'!$CM$2:$DJ$65,MATCH($D62,'Monthly UPC'!$D$2:$D$65,0),MATCH(BQ$1,'Monthly UPC'!$CM$1:$DJ$1))*(INDEX('Monthly CUST'!$N$2:$CG$65,MATCH($D62,'Monthly CUST'!$D$2:$D$65,0),MATCH(BQ$1,'Monthly CUST'!$N$1:$CG$1,0))),IF($J62="UPC Growth Rate",((BE62/INDEX('Monthly CUST'!$N$2:$CG$65,MATCH($D62,'Monthly CUST'!$D$2:$D$65,0),MATCH(BE$1,'Monthly CUST'!$N$1:$CG$1,0)))*(1+$L62)*INDEX('Monthly CUST'!$N$2:$CG$65,MATCH($D62,'Monthly CUST'!$D$2:$D$65,0),MATCH(BQ$1,'Monthly CUST'!$N$1:$CG$1,0))),IF($J62="Modeled UPC",INDEX('Monthly CUST'!$N$2:$CG$65,MATCH($D62,'Monthly CUST'!$D$2:$D$65,0),MATCH(BQ$1,'Monthly CUST'!$N$1:$CG$1,0))/12*$M62,IF($J62="Base Period",BE62,IF($J62="Adjusted",SUMIF('Input 15_Fcst Inputs'!$A:$A,$D62,'Input 15_Fcst Inputs'!$G:$G)/12))))),0)</f>
        <v>127270.71833333334</v>
      </c>
      <c r="BR62" s="483">
        <f>IFERROR(IF($J62="Historical Average",INDEX('Monthly UPC'!$CM$2:$DJ$65,MATCH($D62,'Monthly UPC'!$D$2:$D$65,0),MATCH(BR$1,'Monthly UPC'!$CM$1:$DJ$1))*(INDEX('Monthly CUST'!$N$2:$CG$65,MATCH($D62,'Monthly CUST'!$D$2:$D$65,0),MATCH(BR$1,'Monthly CUST'!$N$1:$CG$1,0))),IF($J62="UPC Growth Rate",((BF62/INDEX('Monthly CUST'!$N$2:$CG$65,MATCH($D62,'Monthly CUST'!$D$2:$D$65,0),MATCH(BF$1,'Monthly CUST'!$N$1:$CG$1,0)))*(1+$L62)*INDEX('Monthly CUST'!$N$2:$CG$65,MATCH($D62,'Monthly CUST'!$D$2:$D$65,0),MATCH(BR$1,'Monthly CUST'!$N$1:$CG$1,0))),IF($J62="Modeled UPC",INDEX('Monthly CUST'!$N$2:$CG$65,MATCH($D62,'Monthly CUST'!$D$2:$D$65,0),MATCH(BR$1,'Monthly CUST'!$N$1:$CG$1,0))/12*$M62,IF($J62="Base Period",BF62,IF($J62="Adjusted",SUMIF('Input 15_Fcst Inputs'!$A:$A,$D62,'Input 15_Fcst Inputs'!$G:$G)/12))))),0)</f>
        <v>127270.71833333334</v>
      </c>
      <c r="BS62" s="483">
        <f>IFERROR(IF($J62="Historical Average",INDEX('Monthly UPC'!$CM$2:$DJ$65,MATCH($D62,'Monthly UPC'!$D$2:$D$65,0),MATCH(BS$1,'Monthly UPC'!$CM$1:$DJ$1))*(INDEX('Monthly CUST'!$N$2:$CG$65,MATCH($D62,'Monthly CUST'!$D$2:$D$65,0),MATCH(BS$1,'Monthly CUST'!$N$1:$CG$1,0))),IF($J62="UPC Growth Rate",((BG62/INDEX('Monthly CUST'!$N$2:$CG$65,MATCH($D62,'Monthly CUST'!$D$2:$D$65,0),MATCH(BG$1,'Monthly CUST'!$N$1:$CG$1,0)))*(1+$L62)*INDEX('Monthly CUST'!$N$2:$CG$65,MATCH($D62,'Monthly CUST'!$D$2:$D$65,0),MATCH(BS$1,'Monthly CUST'!$N$1:$CG$1,0))),IF($J62="Modeled UPC",INDEX('Monthly CUST'!$N$2:$CG$65,MATCH($D62,'Monthly CUST'!$D$2:$D$65,0),MATCH(BS$1,'Monthly CUST'!$N$1:$CG$1,0))/12*$M62,IF($J62="Base Period",BG62,IF($J62="Adjusted",SUMIF('Input 15_Fcst Inputs'!$A:$A,$D62,'Input 15_Fcst Inputs'!$G:$G)/12))))),0)</f>
        <v>127270.71833333334</v>
      </c>
      <c r="BT62" s="483">
        <f>IFERROR(IF($J62="Historical Average",INDEX('Monthly UPC'!$CM$2:$DJ$65,MATCH($D62,'Monthly UPC'!$D$2:$D$65,0),MATCH(BT$1,'Monthly UPC'!$CM$1:$DJ$1))*(INDEX('Monthly CUST'!$N$2:$CG$65,MATCH($D62,'Monthly CUST'!$D$2:$D$65,0),MATCH(BT$1,'Monthly CUST'!$N$1:$CG$1,0))),IF($J62="UPC Growth Rate",((BH62/INDEX('Monthly CUST'!$N$2:$CG$65,MATCH($D62,'Monthly CUST'!$D$2:$D$65,0),MATCH(BH$1,'Monthly CUST'!$N$1:$CG$1,0)))*(1+$L62)*INDEX('Monthly CUST'!$N$2:$CG$65,MATCH($D62,'Monthly CUST'!$D$2:$D$65,0),MATCH(BT$1,'Monthly CUST'!$N$1:$CG$1,0))),IF($J62="Modeled UPC",INDEX('Monthly CUST'!$N$2:$CG$65,MATCH($D62,'Monthly CUST'!$D$2:$D$65,0),MATCH(BT$1,'Monthly CUST'!$N$1:$CG$1,0))/12*$M62,IF($J62="Base Period",BH62,IF($J62="Adjusted",SUMIF('Input 15_Fcst Inputs'!$A:$A,$D62,'Input 15_Fcst Inputs'!$G:$G)/12))))),0)</f>
        <v>127270.71833333334</v>
      </c>
      <c r="BU62" s="483">
        <f>IFERROR(IF($J62="Historical Average",INDEX('Monthly UPC'!$CM$2:$DJ$65,MATCH($D62,'Monthly UPC'!$D$2:$D$65,0),MATCH(BU$1,'Monthly UPC'!$CM$1:$DJ$1))*(INDEX('Monthly CUST'!$N$2:$CG$65,MATCH($D62,'Monthly CUST'!$D$2:$D$65,0),MATCH(BU$1,'Monthly CUST'!$N$1:$CG$1,0))),IF($J62="UPC Growth Rate",((BI62/INDEX('Monthly CUST'!$N$2:$CG$65,MATCH($D62,'Monthly CUST'!$D$2:$D$65,0),MATCH(BI$1,'Monthly CUST'!$N$1:$CG$1,0)))*(1+$L62)*INDEX('Monthly CUST'!$N$2:$CG$65,MATCH($D62,'Monthly CUST'!$D$2:$D$65,0),MATCH(BU$1,'Monthly CUST'!$N$1:$CG$1,0))),IF($J62="Modeled UPC",INDEX('Monthly CUST'!$N$2:$CG$65,MATCH($D62,'Monthly CUST'!$D$2:$D$65,0),MATCH(BU$1,'Monthly CUST'!$N$1:$CG$1,0))/12*$M62,IF($J62="Base Period",BI62,IF($J62="Adjusted",SUMIF('Input 15_Fcst Inputs'!$A:$A,$D62,'Input 15_Fcst Inputs'!$G:$G)/12))))),0)</f>
        <v>127270.71833333334</v>
      </c>
      <c r="BV62" s="483">
        <f>IFERROR(IF($J62="Historical Average",INDEX('Monthly UPC'!$CM$2:$DJ$65,MATCH($D62,'Monthly UPC'!$D$2:$D$65,0),MATCH(BV$1,'Monthly UPC'!$CM$1:$DJ$1))*(INDEX('Monthly CUST'!$N$2:$CG$65,MATCH($D62,'Monthly CUST'!$D$2:$D$65,0),MATCH(BV$1,'Monthly CUST'!$N$1:$CG$1,0))),IF($J62="UPC Growth Rate",((BJ62/INDEX('Monthly CUST'!$N$2:$CG$65,MATCH($D62,'Monthly CUST'!$D$2:$D$65,0),MATCH(BJ$1,'Monthly CUST'!$N$1:$CG$1,0)))*(1+$L62)*INDEX('Monthly CUST'!$N$2:$CG$65,MATCH($D62,'Monthly CUST'!$D$2:$D$65,0),MATCH(BV$1,'Monthly CUST'!$N$1:$CG$1,0))),IF($J62="Modeled UPC",INDEX('Monthly CUST'!$N$2:$CG$65,MATCH($D62,'Monthly CUST'!$D$2:$D$65,0),MATCH(BV$1,'Monthly CUST'!$N$1:$CG$1,0))/12*$M62,IF($J62="Base Period",BJ62,IF($J62="Adjusted",SUMIF('Input 15_Fcst Inputs'!$A:$A,$D62,'Input 15_Fcst Inputs'!$G:$G)/12))))),0)</f>
        <v>127270.71833333334</v>
      </c>
      <c r="BW62" s="483">
        <f>IFERROR(IF($J62="Historical Average",INDEX('Monthly UPC'!$CM$2:$DJ$65,MATCH($D62,'Monthly UPC'!$D$2:$D$65,0),MATCH(BW$1,'Monthly UPC'!$CM$1:$DJ$1))*(INDEX('Monthly CUST'!$N$2:$CG$65,MATCH($D62,'Monthly CUST'!$D$2:$D$65,0),MATCH(BW$1,'Monthly CUST'!$N$1:$CG$1,0))),IF($J62="UPC Growth Rate",((BK62/INDEX('Monthly CUST'!$N$2:$CG$65,MATCH($D62,'Monthly CUST'!$D$2:$D$65,0),MATCH(BK$1,'Monthly CUST'!$N$1:$CG$1,0)))*(1+$L62)*INDEX('Monthly CUST'!$N$2:$CG$65,MATCH($D62,'Monthly CUST'!$D$2:$D$65,0),MATCH(BW$1,'Monthly CUST'!$N$1:$CG$1,0))),IF($J62="Modeled UPC",INDEX('Monthly CUST'!$N$2:$CG$65,MATCH($D62,'Monthly CUST'!$D$2:$D$65,0),MATCH(BW$1,'Monthly CUST'!$N$1:$CG$1,0))/12*$M62,IF($J62="Base Period",BK62,IF($J62="Adjusted",SUMIF('Input 15_Fcst Inputs'!$A:$A,$D62,'Input 15_Fcst Inputs'!$G:$G)/12))))),0)</f>
        <v>127270.71833333334</v>
      </c>
      <c r="BX62" s="483">
        <f>IFERROR(IF($J62="Historical Average",INDEX('Monthly UPC'!$CM$2:$DJ$65,MATCH($D62,'Monthly UPC'!$D$2:$D$65,0),MATCH(BX$1,'Monthly UPC'!$CM$1:$DJ$1))*(INDEX('Monthly CUST'!$N$2:$CG$65,MATCH($D62,'Monthly CUST'!$D$2:$D$65,0),MATCH(BX$1,'Monthly CUST'!$N$1:$CG$1,0))),IF($J62="UPC Growth Rate",((BL62/INDEX('Monthly CUST'!$N$2:$CG$65,MATCH($D62,'Monthly CUST'!$D$2:$D$65,0),MATCH(BL$1,'Monthly CUST'!$N$1:$CG$1,0)))*(1+$L62)*INDEX('Monthly CUST'!$N$2:$CG$65,MATCH($D62,'Monthly CUST'!$D$2:$D$65,0),MATCH(BX$1,'Monthly CUST'!$N$1:$CG$1,0))),IF($J62="Modeled UPC",INDEX('Monthly CUST'!$N$2:$CG$65,MATCH($D62,'Monthly CUST'!$D$2:$D$65,0),MATCH(BX$1,'Monthly CUST'!$N$1:$CG$1,0))/12*$M62,IF($J62="Base Period",BL62,IF($J62="Adjusted",SUMIF('Input 15_Fcst Inputs'!$A:$A,$D62,'Input 15_Fcst Inputs'!$G:$G)/12))))),0)</f>
        <v>127270.71833333334</v>
      </c>
      <c r="BY62" s="483">
        <f>IFERROR(IF($J62="Historical Average",INDEX('Monthly UPC'!$CM$2:$DJ$65,MATCH($D62,'Monthly UPC'!$D$2:$D$65,0),MATCH(BY$1,'Monthly UPC'!$CM$1:$DJ$1))*(INDEX('Monthly CUST'!$N$2:$CG$65,MATCH($D62,'Monthly CUST'!$D$2:$D$65,0),MATCH(BY$1,'Monthly CUST'!$N$1:$CG$1,0))),IF($J62="UPC Growth Rate",((BM62/INDEX('Monthly CUST'!$N$2:$CG$65,MATCH($D62,'Monthly CUST'!$D$2:$D$65,0),MATCH(BM$1,'Monthly CUST'!$N$1:$CG$1,0)))*(1+$L62)*INDEX('Monthly CUST'!$N$2:$CG$65,MATCH($D62,'Monthly CUST'!$D$2:$D$65,0),MATCH(BY$1,'Monthly CUST'!$N$1:$CG$1,0))),IF($J62="Modeled UPC",INDEX('Monthly CUST'!$N$2:$CG$65,MATCH($D62,'Monthly CUST'!$D$2:$D$65,0),MATCH(BY$1,'Monthly CUST'!$N$1:$CG$1,0))/12*$M62,IF($J62="Base Period",BM62,IF($J62="Adjusted",SUMIF('Input 15_Fcst Inputs'!$A:$A,$D62,'Input 15_Fcst Inputs'!$G:$G)/12))))),0)</f>
        <v>127270.71833333334</v>
      </c>
      <c r="BZ62" s="483">
        <f>IFERROR(IF($J62="Historical Average",INDEX('Monthly UPC'!$CM$2:$DJ$65,MATCH($D62,'Monthly UPC'!$D$2:$D$65,0),MATCH(BZ$1,'Monthly UPC'!$CM$1:$DJ$1))*(INDEX('Monthly CUST'!$N$2:$CG$65,MATCH($D62,'Monthly CUST'!$D$2:$D$65,0),MATCH(BZ$1,'Monthly CUST'!$N$1:$CG$1,0))),IF($J62="UPC Growth Rate",((BN62/INDEX('Monthly CUST'!$N$2:$CG$65,MATCH($D62,'Monthly CUST'!$D$2:$D$65,0),MATCH(BN$1,'Monthly CUST'!$N$1:$CG$1,0)))*(1+$L62)*INDEX('Monthly CUST'!$N$2:$CG$65,MATCH($D62,'Monthly CUST'!$D$2:$D$65,0),MATCH(BZ$1,'Monthly CUST'!$N$1:$CG$1,0))),IF($J62="Modeled UPC",INDEX('Monthly CUST'!$N$2:$CG$65,MATCH($D62,'Monthly CUST'!$D$2:$D$65,0),MATCH(BZ$1,'Monthly CUST'!$N$1:$CG$1,0))/12*$M62,IF($J62="Base Period",BN62,IF($J62="Adjusted",SUMIF('Input 15_Fcst Inputs'!$A:$A,$D62,'Input 15_Fcst Inputs'!$G:$G)/12))))),0)</f>
        <v>127270.71833333334</v>
      </c>
      <c r="CA62" s="483">
        <f>IFERROR(IF($J62="Historical Average",INDEX('Monthly UPC'!$CM$2:$DJ$65,MATCH($D62,'Monthly UPC'!$D$2:$D$65,0),MATCH(CA$1,'Monthly UPC'!$CM$1:$DJ$1))*(INDEX('Monthly CUST'!$N$2:$CG$65,MATCH($D62,'Monthly CUST'!$D$2:$D$65,0),MATCH(CA$1,'Monthly CUST'!$N$1:$CG$1,0))),IF($J62="UPC Growth Rate",((BO62/INDEX('Monthly CUST'!$N$2:$CG$65,MATCH($D62,'Monthly CUST'!$D$2:$D$65,0),MATCH(BO$1,'Monthly CUST'!$N$1:$CG$1,0)))*(1+$L62)*INDEX('Monthly CUST'!$N$2:$CG$65,MATCH($D62,'Monthly CUST'!$D$2:$D$65,0),MATCH(CA$1,'Monthly CUST'!$N$1:$CG$1,0))),IF($J62="Modeled UPC",INDEX('Monthly CUST'!$N$2:$CG$65,MATCH($D62,'Monthly CUST'!$D$2:$D$65,0),MATCH(CA$1,'Monthly CUST'!$N$1:$CG$1,0))/12*$M62,IF($J62="Base Period",BO62,IF($J62="Adjusted",SUMIF('Input 15_Fcst Inputs'!$A:$A,$D62,'Input 15_Fcst Inputs'!$G:$G)/12))))),0)</f>
        <v>127270.71833333334</v>
      </c>
      <c r="CB62" s="483">
        <f>IFERROR(IF($J62="Historical Average",INDEX('Monthly UPC'!$CM$2:$DJ$65,MATCH($D62,'Monthly UPC'!$D$2:$D$65,0),MATCH(CB$1,'Monthly UPC'!$CM$1:$DJ$1))*(INDEX('Monthly CUST'!$N$2:$CG$65,MATCH($D62,'Monthly CUST'!$D$2:$D$65,0),MATCH(CB$1,'Monthly CUST'!$N$1:$CG$1,0))),IF($J62="UPC Growth Rate",((BP62/INDEX('Monthly CUST'!$N$2:$CG$65,MATCH($D62,'Monthly CUST'!$D$2:$D$65,0),MATCH(BP$1,'Monthly CUST'!$N$1:$CG$1,0)))*(1+$L62)*INDEX('Monthly CUST'!$N$2:$CG$65,MATCH($D62,'Monthly CUST'!$D$2:$D$65,0),MATCH(CB$1,'Monthly CUST'!$N$1:$CG$1,0))),IF($J62="Modeled UPC",INDEX('Monthly CUST'!$N$2:$CG$65,MATCH($D62,'Monthly CUST'!$D$2:$D$65,0),MATCH(CB$1,'Monthly CUST'!$N$1:$CG$1,0))/12*$M62,IF($J62="Base Period",BP62,IF($J62="Adjusted",SUMIF('Input 15_Fcst Inputs'!$A:$A,$D62,'Input 15_Fcst Inputs'!$G:$G)/12))))),0)</f>
        <v>127270.71833333334</v>
      </c>
      <c r="CC62" s="483">
        <f>IFERROR(IF($J62="Historical Average",INDEX('Monthly UPC'!$CM$2:$DJ$65,MATCH($D62,'Monthly UPC'!$D$2:$D$65,0),MATCH(CC$1,'Monthly UPC'!$CM$1:$DJ$1))*(INDEX('Monthly CUST'!$N$2:$CG$65,MATCH($D62,'Monthly CUST'!$D$2:$D$65,0),MATCH(CC$1,'Monthly CUST'!$N$1:$CG$1,0))),IF($J62="UPC Growth Rate",((BQ62/INDEX('Monthly CUST'!$N$2:$CG$65,MATCH($D62,'Monthly CUST'!$D$2:$D$65,0),MATCH(BQ$1,'Monthly CUST'!$N$1:$CG$1,0)))*(1+$L62)*INDEX('Monthly CUST'!$N$2:$CG$65,MATCH($D62,'Monthly CUST'!$D$2:$D$65,0),MATCH(CC$1,'Monthly CUST'!$N$1:$CG$1,0))),IF($J62="Modeled UPC",INDEX('Monthly CUST'!$N$2:$CG$65,MATCH($D62,'Monthly CUST'!$D$2:$D$65,0),MATCH(CC$1,'Monthly CUST'!$N$1:$CG$1,0))/12*$M62,IF($J62="Base Period",BQ62,IF($J62="Adjusted",SUMIF('Input 15_Fcst Inputs'!$A:$A,$D62,'Input 15_Fcst Inputs'!$G:$G)/12))))),0)</f>
        <v>127270.71833333334</v>
      </c>
      <c r="CD62" s="483">
        <f>IFERROR(IF($J62="Historical Average",INDEX('Monthly UPC'!$CM$2:$DJ$65,MATCH($D62,'Monthly UPC'!$D$2:$D$65,0),MATCH(CD$1,'Monthly UPC'!$CM$1:$DJ$1))*(INDEX('Monthly CUST'!$N$2:$CG$65,MATCH($D62,'Monthly CUST'!$D$2:$D$65,0),MATCH(CD$1,'Monthly CUST'!$N$1:$CG$1,0))),IF($J62="UPC Growth Rate",((BR62/INDEX('Monthly CUST'!$N$2:$CG$65,MATCH($D62,'Monthly CUST'!$D$2:$D$65,0),MATCH(BR$1,'Monthly CUST'!$N$1:$CG$1,0)))*(1+$L62)*INDEX('Monthly CUST'!$N$2:$CG$65,MATCH($D62,'Monthly CUST'!$D$2:$D$65,0),MATCH(CD$1,'Monthly CUST'!$N$1:$CG$1,0))),IF($J62="Modeled UPC",INDEX('Monthly CUST'!$N$2:$CG$65,MATCH($D62,'Monthly CUST'!$D$2:$D$65,0),MATCH(CD$1,'Monthly CUST'!$N$1:$CG$1,0))/12*$M62,IF($J62="Base Period",BR62,IF($J62="Adjusted",SUMIF('Input 15_Fcst Inputs'!$A:$A,$D62,'Input 15_Fcst Inputs'!$G:$G)/12))))),0)</f>
        <v>127270.71833333334</v>
      </c>
      <c r="CE62" s="483">
        <f>IFERROR(IF($J62="Historical Average",INDEX('Monthly UPC'!$CM$2:$DJ$65,MATCH($D62,'Monthly UPC'!$D$2:$D$65,0),MATCH(CE$1,'Monthly UPC'!$CM$1:$DJ$1))*(INDEX('Monthly CUST'!$N$2:$CG$65,MATCH($D62,'Monthly CUST'!$D$2:$D$65,0),MATCH(CE$1,'Monthly CUST'!$N$1:$CG$1,0))),IF($J62="UPC Growth Rate",((BS62/INDEX('Monthly CUST'!$N$2:$CG$65,MATCH($D62,'Monthly CUST'!$D$2:$D$65,0),MATCH(BS$1,'Monthly CUST'!$N$1:$CG$1,0)))*(1+$L62)*INDEX('Monthly CUST'!$N$2:$CG$65,MATCH($D62,'Monthly CUST'!$D$2:$D$65,0),MATCH(CE$1,'Monthly CUST'!$N$1:$CG$1,0))),IF($J62="Modeled UPC",INDEX('Monthly CUST'!$N$2:$CG$65,MATCH($D62,'Monthly CUST'!$D$2:$D$65,0),MATCH(CE$1,'Monthly CUST'!$N$1:$CG$1,0))/12*$M62,IF($J62="Base Period",BS62,IF($J62="Adjusted",SUMIF('Input 15_Fcst Inputs'!$A:$A,$D62,'Input 15_Fcst Inputs'!$G:$G)/12))))),0)</f>
        <v>127270.71833333334</v>
      </c>
      <c r="CF62" s="483">
        <f>IFERROR(IF($J62="Historical Average",INDEX('Monthly UPC'!$CM$2:$DJ$65,MATCH($D62,'Monthly UPC'!$D$2:$D$65,0),MATCH(CF$1,'Monthly UPC'!$CM$1:$DJ$1))*(INDEX('Monthly CUST'!$N$2:$CG$65,MATCH($D62,'Monthly CUST'!$D$2:$D$65,0),MATCH(CF$1,'Monthly CUST'!$N$1:$CG$1,0))),IF($J62="UPC Growth Rate",((BT62/INDEX('Monthly CUST'!$N$2:$CG$65,MATCH($D62,'Monthly CUST'!$D$2:$D$65,0),MATCH(BT$1,'Monthly CUST'!$N$1:$CG$1,0)))*(1+$L62)*INDEX('Monthly CUST'!$N$2:$CG$65,MATCH($D62,'Monthly CUST'!$D$2:$D$65,0),MATCH(CF$1,'Monthly CUST'!$N$1:$CG$1,0))),IF($J62="Modeled UPC",INDEX('Monthly CUST'!$N$2:$CG$65,MATCH($D62,'Monthly CUST'!$D$2:$D$65,0),MATCH(CF$1,'Monthly CUST'!$N$1:$CG$1,0))/12*$M62,IF($J62="Base Period",BT62,IF($J62="Adjusted",SUMIF('Input 15_Fcst Inputs'!$A:$A,$D62,'Input 15_Fcst Inputs'!$G:$G)/12))))),0)</f>
        <v>127270.71833333334</v>
      </c>
      <c r="CG62" s="483">
        <f>IFERROR(IF($J62="Historical Average",INDEX('Monthly UPC'!$CM$2:$DJ$65,MATCH($D62,'Monthly UPC'!$D$2:$D$65,0),MATCH(CG$1,'Monthly UPC'!$CM$1:$DJ$1))*(INDEX('Monthly CUST'!$N$2:$CG$65,MATCH($D62,'Monthly CUST'!$D$2:$D$65,0),MATCH(CG$1,'Monthly CUST'!$N$1:$CG$1,0))),IF($J62="UPC Growth Rate",((BU62/INDEX('Monthly CUST'!$N$2:$CG$65,MATCH($D62,'Monthly CUST'!$D$2:$D$65,0),MATCH(BU$1,'Monthly CUST'!$N$1:$CG$1,0)))*(1+$L62)*INDEX('Monthly CUST'!$N$2:$CG$65,MATCH($D62,'Monthly CUST'!$D$2:$D$65,0),MATCH(CG$1,'Monthly CUST'!$N$1:$CG$1,0))),IF($J62="Modeled UPC",INDEX('Monthly CUST'!$N$2:$CG$65,MATCH($D62,'Monthly CUST'!$D$2:$D$65,0),MATCH(CG$1,'Monthly CUST'!$N$1:$CG$1,0))/12*$M62,IF($J62="Base Period",BU62,IF($J62="Adjusted",SUMIF('Input 15_Fcst Inputs'!$A:$A,$D62,'Input 15_Fcst Inputs'!$G:$G)/12))))),0)</f>
        <v>127270.71833333334</v>
      </c>
      <c r="CH62" s="197"/>
      <c r="CI62" s="197">
        <f t="shared" si="8"/>
        <v>3352033.75</v>
      </c>
      <c r="CJ62" s="197">
        <f t="shared" si="9"/>
        <v>3102303.72</v>
      </c>
      <c r="CK62" s="197">
        <f t="shared" si="10"/>
        <v>2150459.37</v>
      </c>
      <c r="CL62" s="197">
        <f t="shared" si="11"/>
        <v>1227248.6200000001</v>
      </c>
      <c r="CM62" s="197">
        <f t="shared" si="12"/>
        <v>1527248.6199999999</v>
      </c>
      <c r="CN62" s="197">
        <f t="shared" si="13"/>
        <v>1527248.6199999999</v>
      </c>
      <c r="CP62" s="4">
        <f>SUMIF('Master '!D:D,D62,'Master '!AH:AH)</f>
        <v>1527248.62</v>
      </c>
      <c r="CQ62" s="4">
        <f>SUMIF('Master '!D:D,D62,'Master '!AI:AI)</f>
        <v>1527248.62</v>
      </c>
      <c r="CR62" s="197">
        <f t="shared" si="14"/>
        <v>0</v>
      </c>
      <c r="CS62" s="197">
        <f t="shared" si="15"/>
        <v>0</v>
      </c>
      <c r="CT62" t="s">
        <v>287</v>
      </c>
      <c r="CV62" t="str">
        <f>VLOOKUP(G62,'Master '!G:CC,75,FALSE)</f>
        <v>FTS-11</v>
      </c>
    </row>
    <row r="63" spans="1:100">
      <c r="A63" s="53" t="s">
        <v>17</v>
      </c>
      <c r="B63" s="53" t="s">
        <v>993</v>
      </c>
      <c r="C63" s="53" t="s">
        <v>1245</v>
      </c>
      <c r="D63" s="53" t="s">
        <v>81</v>
      </c>
      <c r="E63" s="53" t="str">
        <f>VLOOKUP(D63,'Input 14_Ref Table'!C:D,2,FALSE)</f>
        <v>CI108</v>
      </c>
      <c r="F63" s="143" t="s">
        <v>1286</v>
      </c>
      <c r="G63" s="53" t="str">
        <f>VLOOKUP(D63,'Input 14_Ref Table'!C:I,7,FALSE)</f>
        <v>CFG - FTS-12</v>
      </c>
      <c r="H63" s="53" t="str">
        <f>VLOOKUP(D63,'Input 14_Ref Table'!C:K,8,FALSE)</f>
        <v>Base Period</v>
      </c>
      <c r="I63" s="53"/>
      <c r="J63" t="str">
        <f>INDEX('Master '!$AD$2:AD$65,MATCH(D63,'Master '!$D$2:$D$65,0))</f>
        <v>Base Period</v>
      </c>
      <c r="K63" s="458">
        <f>INDEX('Master '!$N$2:N$65,MATCH(D63,'Master '!$D$2:$D$65,0))</f>
        <v>0</v>
      </c>
      <c r="L63" s="137">
        <f>INDEX('Master '!$S$2:S$65,MATCH(D63,'Master '!$D$2:$D$65,0))</f>
        <v>0</v>
      </c>
      <c r="M63" s="4">
        <f>INDEX('Master '!$W$2:W$65,MATCH(D63,'Master '!$D$2:$D$65,0))</f>
        <v>3405406.7120000003</v>
      </c>
      <c r="N63" s="268">
        <f>SUMIF('Input 16.1_2018VOL-YTD'!$R:$R,$G63,'Input 16.1_2018VOL-YTD'!C:C)</f>
        <v>1728430.84</v>
      </c>
      <c r="O63" s="268">
        <f>SUMIF('Input 16.1_2018VOL-YTD'!$R:$R,$G63,'Input 16.1_2018VOL-YTD'!D:D)</f>
        <v>1659083.1</v>
      </c>
      <c r="P63" s="268">
        <f>SUMIF('Input 16.1_2018VOL-YTD'!$R:$R,$G63,'Input 16.1_2018VOL-YTD'!E:E)</f>
        <v>1793047.65</v>
      </c>
      <c r="Q63" s="268">
        <f>SUMIF('Input 16.1_2018VOL-YTD'!$R:$R,$G63,'Input 16.1_2018VOL-YTD'!F:F)</f>
        <v>1573238.42</v>
      </c>
      <c r="R63" s="268">
        <f>SUMIF('Input 16.1_2018VOL-YTD'!$R:$R,$G63,'Input 16.1_2018VOL-YTD'!G:G)</f>
        <v>1432832.34</v>
      </c>
      <c r="S63" s="268">
        <f>SUMIF('Input 16.1_2018VOL-YTD'!$R:$R,$G63,'Input 16.1_2018VOL-YTD'!H:H)</f>
        <v>1513442.34</v>
      </c>
      <c r="T63" s="268">
        <f>SUMIF('Input 16.1_2018VOL-YTD'!$R:$R,$G63,'Input 16.1_2018VOL-YTD'!I:I)</f>
        <v>1563792.13</v>
      </c>
      <c r="U63" s="268">
        <f>SUMIF('Input 16.1_2018VOL-YTD'!$R:$R,$G63,'Input 16.1_2018VOL-YTD'!J:J)</f>
        <v>1715772.18</v>
      </c>
      <c r="V63" s="268">
        <f>SUMIF('Input 16.1_2018VOL-YTD'!$R:$R,$G63,'Input 16.1_2018VOL-YTD'!K:K)</f>
        <v>1614940.93</v>
      </c>
      <c r="W63" s="268">
        <f>SUMIF('Input 16.1_2018VOL-YTD'!$R:$R,$G63,'Input 16.1_2018VOL-YTD'!L:L)</f>
        <v>1538235.3</v>
      </c>
      <c r="X63" s="268">
        <f>SUMIF('Input 16.1_2018VOL-YTD'!$R:$R,$G63,'Input 16.1_2018VOL-YTD'!M:M)</f>
        <v>1556512.63</v>
      </c>
      <c r="Y63" s="268">
        <f>SUMIF('Input 16.1_2018VOL-YTD'!$R:$R,$G63,'Input 16.1_2018VOL-YTD'!N:N)</f>
        <v>1446931.94</v>
      </c>
      <c r="Z63" s="268">
        <f>SUMIF('Input 3.1_2019VOL-YTD'!$R:$R,$G63,'Input 3.1_2019VOL-YTD'!C:C)</f>
        <v>1484735.7</v>
      </c>
      <c r="AA63" s="268">
        <f>SUMIF('Input 3.1_2019VOL-YTD'!$R:$R,$G63,'Input 3.1_2019VOL-YTD'!D:D)</f>
        <v>1335174.83</v>
      </c>
      <c r="AB63" s="268">
        <f>SUMIF('Input 3.1_2019VOL-YTD'!$R:$R,$G63,'Input 3.1_2019VOL-YTD'!E:E)</f>
        <v>1559896.51</v>
      </c>
      <c r="AC63" s="268">
        <f>SUMIF('Input 3.1_2019VOL-YTD'!$R:$R,$G63,'Input 3.1_2019VOL-YTD'!F:F)</f>
        <v>1498968.49</v>
      </c>
      <c r="AD63" s="268">
        <f>SUMIF('Input 3.1_2019VOL-YTD'!$R:$R,$G63,'Input 3.1_2019VOL-YTD'!G:G)</f>
        <v>1661854.09</v>
      </c>
      <c r="AE63" s="268">
        <f>SUMIF('Input 3.1_2019VOL-YTD'!$R:$R,$G63,'Input 3.1_2019VOL-YTD'!H:H)</f>
        <v>1559113.09</v>
      </c>
      <c r="AF63" s="268">
        <f>SUMIF('Input 3.1_2019VOL-YTD'!$R:$R,$G63,'Input 3.1_2019VOL-YTD'!I:I)</f>
        <v>1622479.43</v>
      </c>
      <c r="AG63" s="268">
        <f>SUMIF('Input 3.1_2019VOL-YTD'!$R:$R,$G63,'Input 3.1_2019VOL-YTD'!J:J)</f>
        <v>1485011.55</v>
      </c>
      <c r="AH63" s="268">
        <f>SUMIF('Input 3.1_2019VOL-YTD'!$R:$R,$G63,'Input 3.1_2019VOL-YTD'!K:K)</f>
        <v>1141517.67</v>
      </c>
      <c r="AI63" s="268">
        <f>SUMIF('Input 3.1_2019VOL-YTD'!$R:$R,$G63,'Input 3.1_2019VOL-YTD'!L:L)</f>
        <v>1326368.17</v>
      </c>
      <c r="AJ63" s="268">
        <f>SUMIF('Input 3.1_2019VOL-YTD'!$R:$R,$G63,'Input 3.1_2019VOL-YTD'!M:M)</f>
        <v>1434005.38</v>
      </c>
      <c r="AK63" s="268">
        <f>SUMIF('Input 3.1_2019VOL-YTD'!$R:$R,$G63,'Input 3.1_2019VOL-YTD'!N:N)</f>
        <v>1347608.88</v>
      </c>
      <c r="AL63" s="268">
        <f>SUMIF('Input 4.1_2020VOL-YTD'!$R:$R,$G63,'Input 4.1_2020VOL-YTD'!C:C)</f>
        <v>1131632.79</v>
      </c>
      <c r="AM63" s="268">
        <f>SUMIF('Input 4.1_2020VOL-YTD'!$R:$R,$G63,'Input 4.1_2020VOL-YTD'!D:D)</f>
        <v>1342514.69</v>
      </c>
      <c r="AN63" s="268">
        <f>SUMIF('Input 4.1_2020VOL-YTD'!$R:$R,$G63,'Input 4.1_2020VOL-YTD'!E:E)</f>
        <v>1426039.8</v>
      </c>
      <c r="AO63" s="268">
        <f>SUMIF('Input 4.1_2020VOL-YTD'!$R:$R,$G63,'Input 4.1_2020VOL-YTD'!F:F)</f>
        <v>1263862.54</v>
      </c>
      <c r="AP63" s="268">
        <f>SUMIF('Input 4.1_2020VOL-YTD'!$R:$R,$G63,'Input 4.1_2020VOL-YTD'!G:G)</f>
        <v>1380812.42</v>
      </c>
      <c r="AQ63" s="268">
        <f>SUMIF('Input 4.1_2020VOL-YTD'!$R:$R,$G63,'Input 4.1_2020VOL-YTD'!H:H)</f>
        <v>1177266</v>
      </c>
      <c r="AR63" s="268">
        <f>SUMIF('Input 4.1_2020VOL-YTD'!$R:$R,$G63,'Input 4.1_2020VOL-YTD'!I:I)</f>
        <v>1036496.39</v>
      </c>
      <c r="AS63" s="268">
        <f>SUMIF('Input 4.1_2020VOL-YTD'!$R:$R,$G63,'Input 4.1_2020VOL-YTD'!J:J)</f>
        <v>1490100.25</v>
      </c>
      <c r="AT63" s="268">
        <f>SUMIF('Input 4.1_2020VOL-YTD'!$R:$R,$G63,'Input 4.1_2020VOL-YTD'!K:K)</f>
        <v>1362603.7</v>
      </c>
      <c r="AU63" s="268">
        <f>SUMIF('Input 4.1_2020VOL-YTD'!$R:$R,$G63,'Input 4.1_2020VOL-YTD'!L:L)</f>
        <v>1508102.17</v>
      </c>
      <c r="AV63" s="268">
        <f>SUMIF('Input 4.1_2020VOL-YTD'!$R:$R,$G63,'Input 4.1_2020VOL-YTD'!M:M)</f>
        <v>1198377.82</v>
      </c>
      <c r="AW63" s="268">
        <f>SUMIF('Input 4.1_2020VOL-YTD'!$R:$R,$G63,'Input 4.1_2020VOL-YTD'!N:N)</f>
        <v>1582231.07</v>
      </c>
      <c r="AX63" s="268">
        <f>SUMIF('Input 5.1_2021VOL-YTD'!$R:$R,$G63,'Input 5.1_2021VOL-YTD'!C:C)</f>
        <v>1503482.54</v>
      </c>
      <c r="AY63" s="268">
        <f>SUMIF('Input 5.1_2021VOL-YTD'!$R:$R,$G63,'Input 5.1_2021VOL-YTD'!D:D)</f>
        <v>1416438</v>
      </c>
      <c r="AZ63" s="268">
        <f>SUMIF('Input 5.1_2021VOL-YTD'!$R:$R,$G63,'Input 5.1_2021VOL-YTD'!E:E)</f>
        <v>1676213.44</v>
      </c>
      <c r="BA63" s="268">
        <f>SUMIF('Input 5.1_2021VOL-YTD'!$R:$R,$G63,'Input 5.1_2021VOL-YTD'!F:F)</f>
        <v>1463291.46</v>
      </c>
      <c r="BB63" s="268">
        <f>SUMIF('Input 5.1_2021VOL-YTD'!$R:$R,$G63,'Input 5.1_2021VOL-YTD'!G:G)</f>
        <v>1518088.44</v>
      </c>
      <c r="BC63" s="268">
        <f>SUMIF('Input 5.1_2021VOL-YTD'!$R:$R,$G63,'Input 5.1_2021VOL-YTD'!H:H)</f>
        <v>1037428.35</v>
      </c>
      <c r="BD63" s="268">
        <f>SUMIF('Input 5.1_2021VOL-YTD'!$R:$R,$G63,'Input 5.1_2021VOL-YTD'!I:I)</f>
        <v>1336474.8600000001</v>
      </c>
      <c r="BE63" s="268">
        <f>SUMIF('Input 5.1_2021VOL-YTD'!$R:$R,$G63,'Input 5.1_2021VOL-YTD'!J:J)</f>
        <v>1485718.46</v>
      </c>
      <c r="BF63" s="268">
        <f>SUMIF('Input 5.1_2021VOL-YTD'!$R:$R,$G63,'Input 5.1_2021VOL-YTD'!K:K)</f>
        <v>1224903.8899999999</v>
      </c>
      <c r="BG63" s="268">
        <f>SUMIF('Input 5.1_2021VOL-YTD'!$R:$R,$G63,'Input 5.1_2021VOL-YTD'!L:L)</f>
        <v>1439669.03</v>
      </c>
      <c r="BH63" s="268">
        <f>SUMIF('Input 5.1_2021VOL-YTD'!$R:$R,$G63,'Input 5.1_2021VOL-YTD'!M:M)</f>
        <v>1435815.81</v>
      </c>
      <c r="BI63" s="268">
        <f>SUMIF('Input 5.1_2021VOL-YTD'!$R:$R,$G63,'Input 5.1_2021VOL-YTD'!N:N)</f>
        <v>1489509.28</v>
      </c>
      <c r="BJ63" s="483">
        <f>IFERROR(IF($J63="Historical Average",INDEX('Monthly UPC'!$CM$2:$DJ$65,MATCH($D63,'Monthly UPC'!$D$2:$D$65,0),MATCH(BJ$1,'Monthly UPC'!$CM$1:$DJ$1))*(INDEX('Monthly CUST'!$N$2:$CG$65,MATCH($D63,'Monthly CUST'!$D$2:$D$65,0),MATCH(BJ$1,'Monthly CUST'!$N$1:$CG$1,0))),IF($J63="UPC Growth Rate",((AX63/INDEX('Monthly CUST'!$N$2:$CG$65,MATCH($D63,'Monthly CUST'!$D$2:$D$65,0),MATCH(AX$1,'Monthly CUST'!$N$1:$CG$1,0)))*(1+$L63)*INDEX('Monthly CUST'!$N$2:$CG$65,MATCH($D63,'Monthly CUST'!$D$2:$D$65,0),MATCH(BJ$1,'Monthly CUST'!$N$1:$CG$1,0))),IF($J63="Modeled UPC",INDEX('Monthly CUST'!$N$2:$CG$65,MATCH($D63,'Monthly CUST'!$D$2:$D$65,0),MATCH(BJ$1,'Monthly CUST'!$N$1:$CG$1,0))/12*$M63,IF($J63="Base Period",AX63,IF($J63="Adjusted",SUMIF('Input 15_Fcst Inputs'!$A:$A,$D63,'Input 15_Fcst Inputs'!$G:$G)/12))))),0)</f>
        <v>1503482.54</v>
      </c>
      <c r="BK63" s="483">
        <f>IFERROR(IF($J63="Historical Average",INDEX('Monthly UPC'!$CM$2:$DJ$65,MATCH($D63,'Monthly UPC'!$D$2:$D$65,0),MATCH(BK$1,'Monthly UPC'!$CM$1:$DJ$1))*(INDEX('Monthly CUST'!$N$2:$CG$65,MATCH($D63,'Monthly CUST'!$D$2:$D$65,0),MATCH(BK$1,'Monthly CUST'!$N$1:$CG$1,0))),IF($J63="UPC Growth Rate",((AY63/INDEX('Monthly CUST'!$N$2:$CG$65,MATCH($D63,'Monthly CUST'!$D$2:$D$65,0),MATCH(AY$1,'Monthly CUST'!$N$1:$CG$1,0)))*(1+$L63)*INDEX('Monthly CUST'!$N$2:$CG$65,MATCH($D63,'Monthly CUST'!$D$2:$D$65,0),MATCH(BK$1,'Monthly CUST'!$N$1:$CG$1,0))),IF($J63="Modeled UPC",INDEX('Monthly CUST'!$N$2:$CG$65,MATCH($D63,'Monthly CUST'!$D$2:$D$65,0),MATCH(BK$1,'Monthly CUST'!$N$1:$CG$1,0))/12*$M63,IF($J63="Base Period",AY63,IF($J63="Adjusted",SUMIF('Input 15_Fcst Inputs'!$A:$A,$D63,'Input 15_Fcst Inputs'!$G:$G)/12))))),0)</f>
        <v>1416438</v>
      </c>
      <c r="BL63" s="483">
        <f>IFERROR(IF($J63="Historical Average",INDEX('Monthly UPC'!$CM$2:$DJ$65,MATCH($D63,'Monthly UPC'!$D$2:$D$65,0),MATCH(BL$1,'Monthly UPC'!$CM$1:$DJ$1))*(INDEX('Monthly CUST'!$N$2:$CG$65,MATCH($D63,'Monthly CUST'!$D$2:$D$65,0),MATCH(BL$1,'Monthly CUST'!$N$1:$CG$1,0))),IF($J63="UPC Growth Rate",((AZ63/INDEX('Monthly CUST'!$N$2:$CG$65,MATCH($D63,'Monthly CUST'!$D$2:$D$65,0),MATCH(AZ$1,'Monthly CUST'!$N$1:$CG$1,0)))*(1+$L63)*INDEX('Monthly CUST'!$N$2:$CG$65,MATCH($D63,'Monthly CUST'!$D$2:$D$65,0),MATCH(BL$1,'Monthly CUST'!$N$1:$CG$1,0))),IF($J63="Modeled UPC",INDEX('Monthly CUST'!$N$2:$CG$65,MATCH($D63,'Monthly CUST'!$D$2:$D$65,0),MATCH(BL$1,'Monthly CUST'!$N$1:$CG$1,0))/12*$M63,IF($J63="Base Period",AZ63,IF($J63="Adjusted",SUMIF('Input 15_Fcst Inputs'!$A:$A,$D63,'Input 15_Fcst Inputs'!$G:$G)/12))))),0)</f>
        <v>1676213.44</v>
      </c>
      <c r="BM63" s="483">
        <f>IFERROR(IF($J63="Historical Average",INDEX('Monthly UPC'!$CM$2:$DJ$65,MATCH($D63,'Monthly UPC'!$D$2:$D$65,0),MATCH(BM$1,'Monthly UPC'!$CM$1:$DJ$1))*(INDEX('Monthly CUST'!$N$2:$CG$65,MATCH($D63,'Monthly CUST'!$D$2:$D$65,0),MATCH(BM$1,'Monthly CUST'!$N$1:$CG$1,0))),IF($J63="UPC Growth Rate",((BA63/INDEX('Monthly CUST'!$N$2:$CG$65,MATCH($D63,'Monthly CUST'!$D$2:$D$65,0),MATCH(BA$1,'Monthly CUST'!$N$1:$CG$1,0)))*(1+$L63)*INDEX('Monthly CUST'!$N$2:$CG$65,MATCH($D63,'Monthly CUST'!$D$2:$D$65,0),MATCH(BM$1,'Monthly CUST'!$N$1:$CG$1,0))),IF($J63="Modeled UPC",INDEX('Monthly CUST'!$N$2:$CG$65,MATCH($D63,'Monthly CUST'!$D$2:$D$65,0),MATCH(BM$1,'Monthly CUST'!$N$1:$CG$1,0))/12*$M63,IF($J63="Base Period",BA63,IF($J63="Adjusted",SUMIF('Input 15_Fcst Inputs'!$A:$A,$D63,'Input 15_Fcst Inputs'!$G:$G)/12))))),0)</f>
        <v>1463291.46</v>
      </c>
      <c r="BN63" s="483">
        <f>IFERROR(IF($J63="Historical Average",INDEX('Monthly UPC'!$CM$2:$DJ$65,MATCH($D63,'Monthly UPC'!$D$2:$D$65,0),MATCH(BN$1,'Monthly UPC'!$CM$1:$DJ$1))*(INDEX('Monthly CUST'!$N$2:$CG$65,MATCH($D63,'Monthly CUST'!$D$2:$D$65,0),MATCH(BN$1,'Monthly CUST'!$N$1:$CG$1,0))),IF($J63="UPC Growth Rate",((BB63/INDEX('Monthly CUST'!$N$2:$CG$65,MATCH($D63,'Monthly CUST'!$D$2:$D$65,0),MATCH(BB$1,'Monthly CUST'!$N$1:$CG$1,0)))*(1+$L63)*INDEX('Monthly CUST'!$N$2:$CG$65,MATCH($D63,'Monthly CUST'!$D$2:$D$65,0),MATCH(BN$1,'Monthly CUST'!$N$1:$CG$1,0))),IF($J63="Modeled UPC",INDEX('Monthly CUST'!$N$2:$CG$65,MATCH($D63,'Monthly CUST'!$D$2:$D$65,0),MATCH(BN$1,'Monthly CUST'!$N$1:$CG$1,0))/12*$M63,IF($J63="Base Period",BB63,IF($J63="Adjusted",SUMIF('Input 15_Fcst Inputs'!$A:$A,$D63,'Input 15_Fcst Inputs'!$G:$G)/12))))),0)</f>
        <v>1518088.44</v>
      </c>
      <c r="BO63" s="483">
        <f>IFERROR(IF($J63="Historical Average",INDEX('Monthly UPC'!$CM$2:$DJ$65,MATCH($D63,'Monthly UPC'!$D$2:$D$65,0),MATCH(BO$1,'Monthly UPC'!$CM$1:$DJ$1))*(INDEX('Monthly CUST'!$N$2:$CG$65,MATCH($D63,'Monthly CUST'!$D$2:$D$65,0),MATCH(BO$1,'Monthly CUST'!$N$1:$CG$1,0))),IF($J63="UPC Growth Rate",((BC63/INDEX('Monthly CUST'!$N$2:$CG$65,MATCH($D63,'Monthly CUST'!$D$2:$D$65,0),MATCH(BC$1,'Monthly CUST'!$N$1:$CG$1,0)))*(1+$L63)*INDEX('Monthly CUST'!$N$2:$CG$65,MATCH($D63,'Monthly CUST'!$D$2:$D$65,0),MATCH(BO$1,'Monthly CUST'!$N$1:$CG$1,0))),IF($J63="Modeled UPC",INDEX('Monthly CUST'!$N$2:$CG$65,MATCH($D63,'Monthly CUST'!$D$2:$D$65,0),MATCH(BO$1,'Monthly CUST'!$N$1:$CG$1,0))/12*$M63,IF($J63="Base Period",BC63,IF($J63="Adjusted",SUMIF('Input 15_Fcst Inputs'!$A:$A,$D63,'Input 15_Fcst Inputs'!$G:$G)/12))))),0)</f>
        <v>1037428.35</v>
      </c>
      <c r="BP63" s="483">
        <f>IFERROR(IF($J63="Historical Average",INDEX('Monthly UPC'!$CM$2:$DJ$65,MATCH($D63,'Monthly UPC'!$D$2:$D$65,0),MATCH(BP$1,'Monthly UPC'!$CM$1:$DJ$1))*(INDEX('Monthly CUST'!$N$2:$CG$65,MATCH($D63,'Monthly CUST'!$D$2:$D$65,0),MATCH(BP$1,'Monthly CUST'!$N$1:$CG$1,0))),IF($J63="UPC Growth Rate",((BD63/INDEX('Monthly CUST'!$N$2:$CG$65,MATCH($D63,'Monthly CUST'!$D$2:$D$65,0),MATCH(BD$1,'Monthly CUST'!$N$1:$CG$1,0)))*(1+$L63)*INDEX('Monthly CUST'!$N$2:$CG$65,MATCH($D63,'Monthly CUST'!$D$2:$D$65,0),MATCH(BP$1,'Monthly CUST'!$N$1:$CG$1,0))),IF($J63="Modeled UPC",INDEX('Monthly CUST'!$N$2:$CG$65,MATCH($D63,'Monthly CUST'!$D$2:$D$65,0),MATCH(BP$1,'Monthly CUST'!$N$1:$CG$1,0))/12*$M63,IF($J63="Base Period",BD63,IF($J63="Adjusted",SUMIF('Input 15_Fcst Inputs'!$A:$A,$D63,'Input 15_Fcst Inputs'!$G:$G)/12))))),0)</f>
        <v>1336474.8600000001</v>
      </c>
      <c r="BQ63" s="483">
        <f>IFERROR(IF($J63="Historical Average",INDEX('Monthly UPC'!$CM$2:$DJ$65,MATCH($D63,'Monthly UPC'!$D$2:$D$65,0),MATCH(BQ$1,'Monthly UPC'!$CM$1:$DJ$1))*(INDEX('Monthly CUST'!$N$2:$CG$65,MATCH($D63,'Monthly CUST'!$D$2:$D$65,0),MATCH(BQ$1,'Monthly CUST'!$N$1:$CG$1,0))),IF($J63="UPC Growth Rate",((BE63/INDEX('Monthly CUST'!$N$2:$CG$65,MATCH($D63,'Monthly CUST'!$D$2:$D$65,0),MATCH(BE$1,'Monthly CUST'!$N$1:$CG$1,0)))*(1+$L63)*INDEX('Monthly CUST'!$N$2:$CG$65,MATCH($D63,'Monthly CUST'!$D$2:$D$65,0),MATCH(BQ$1,'Monthly CUST'!$N$1:$CG$1,0))),IF($J63="Modeled UPC",INDEX('Monthly CUST'!$N$2:$CG$65,MATCH($D63,'Monthly CUST'!$D$2:$D$65,0),MATCH(BQ$1,'Monthly CUST'!$N$1:$CG$1,0))/12*$M63,IF($J63="Base Period",BE63,IF($J63="Adjusted",SUMIF('Input 15_Fcst Inputs'!$A:$A,$D63,'Input 15_Fcst Inputs'!$G:$G)/12))))),0)</f>
        <v>1485718.46</v>
      </c>
      <c r="BR63" s="483">
        <f>IFERROR(IF($J63="Historical Average",INDEX('Monthly UPC'!$CM$2:$DJ$65,MATCH($D63,'Monthly UPC'!$D$2:$D$65,0),MATCH(BR$1,'Monthly UPC'!$CM$1:$DJ$1))*(INDEX('Monthly CUST'!$N$2:$CG$65,MATCH($D63,'Monthly CUST'!$D$2:$D$65,0),MATCH(BR$1,'Monthly CUST'!$N$1:$CG$1,0))),IF($J63="UPC Growth Rate",((BF63/INDEX('Monthly CUST'!$N$2:$CG$65,MATCH($D63,'Monthly CUST'!$D$2:$D$65,0),MATCH(BF$1,'Monthly CUST'!$N$1:$CG$1,0)))*(1+$L63)*INDEX('Monthly CUST'!$N$2:$CG$65,MATCH($D63,'Monthly CUST'!$D$2:$D$65,0),MATCH(BR$1,'Monthly CUST'!$N$1:$CG$1,0))),IF($J63="Modeled UPC",INDEX('Monthly CUST'!$N$2:$CG$65,MATCH($D63,'Monthly CUST'!$D$2:$D$65,0),MATCH(BR$1,'Monthly CUST'!$N$1:$CG$1,0))/12*$M63,IF($J63="Base Period",BF63,IF($J63="Adjusted",SUMIF('Input 15_Fcst Inputs'!$A:$A,$D63,'Input 15_Fcst Inputs'!$G:$G)/12))))),0)</f>
        <v>1224903.8899999999</v>
      </c>
      <c r="BS63" s="483">
        <f>IFERROR(IF($J63="Historical Average",INDEX('Monthly UPC'!$CM$2:$DJ$65,MATCH($D63,'Monthly UPC'!$D$2:$D$65,0),MATCH(BS$1,'Monthly UPC'!$CM$1:$DJ$1))*(INDEX('Monthly CUST'!$N$2:$CG$65,MATCH($D63,'Monthly CUST'!$D$2:$D$65,0),MATCH(BS$1,'Monthly CUST'!$N$1:$CG$1,0))),IF($J63="UPC Growth Rate",((BG63/INDEX('Monthly CUST'!$N$2:$CG$65,MATCH($D63,'Monthly CUST'!$D$2:$D$65,0),MATCH(BG$1,'Monthly CUST'!$N$1:$CG$1,0)))*(1+$L63)*INDEX('Monthly CUST'!$N$2:$CG$65,MATCH($D63,'Monthly CUST'!$D$2:$D$65,0),MATCH(BS$1,'Monthly CUST'!$N$1:$CG$1,0))),IF($J63="Modeled UPC",INDEX('Monthly CUST'!$N$2:$CG$65,MATCH($D63,'Monthly CUST'!$D$2:$D$65,0),MATCH(BS$1,'Monthly CUST'!$N$1:$CG$1,0))/12*$M63,IF($J63="Base Period",BG63,IF($J63="Adjusted",SUMIF('Input 15_Fcst Inputs'!$A:$A,$D63,'Input 15_Fcst Inputs'!$G:$G)/12))))),0)</f>
        <v>1439669.03</v>
      </c>
      <c r="BT63" s="483">
        <f>IFERROR(IF($J63="Historical Average",INDEX('Monthly UPC'!$CM$2:$DJ$65,MATCH($D63,'Monthly UPC'!$D$2:$D$65,0),MATCH(BT$1,'Monthly UPC'!$CM$1:$DJ$1))*(INDEX('Monthly CUST'!$N$2:$CG$65,MATCH($D63,'Monthly CUST'!$D$2:$D$65,0),MATCH(BT$1,'Monthly CUST'!$N$1:$CG$1,0))),IF($J63="UPC Growth Rate",((BH63/INDEX('Monthly CUST'!$N$2:$CG$65,MATCH($D63,'Monthly CUST'!$D$2:$D$65,0),MATCH(BH$1,'Monthly CUST'!$N$1:$CG$1,0)))*(1+$L63)*INDEX('Monthly CUST'!$N$2:$CG$65,MATCH($D63,'Monthly CUST'!$D$2:$D$65,0),MATCH(BT$1,'Monthly CUST'!$N$1:$CG$1,0))),IF($J63="Modeled UPC",INDEX('Monthly CUST'!$N$2:$CG$65,MATCH($D63,'Monthly CUST'!$D$2:$D$65,0),MATCH(BT$1,'Monthly CUST'!$N$1:$CG$1,0))/12*$M63,IF($J63="Base Period",BH63,IF($J63="Adjusted",SUMIF('Input 15_Fcst Inputs'!$A:$A,$D63,'Input 15_Fcst Inputs'!$G:$G)/12))))),0)</f>
        <v>1435815.81</v>
      </c>
      <c r="BU63" s="483">
        <f>IFERROR(IF($J63="Historical Average",INDEX('Monthly UPC'!$CM$2:$DJ$65,MATCH($D63,'Monthly UPC'!$D$2:$D$65,0),MATCH(BU$1,'Monthly UPC'!$CM$1:$DJ$1))*(INDEX('Monthly CUST'!$N$2:$CG$65,MATCH($D63,'Monthly CUST'!$D$2:$D$65,0),MATCH(BU$1,'Monthly CUST'!$N$1:$CG$1,0))),IF($J63="UPC Growth Rate",((BI63/INDEX('Monthly CUST'!$N$2:$CG$65,MATCH($D63,'Monthly CUST'!$D$2:$D$65,0),MATCH(BI$1,'Monthly CUST'!$N$1:$CG$1,0)))*(1+$L63)*INDEX('Monthly CUST'!$N$2:$CG$65,MATCH($D63,'Monthly CUST'!$D$2:$D$65,0),MATCH(BU$1,'Monthly CUST'!$N$1:$CG$1,0))),IF($J63="Modeled UPC",INDEX('Monthly CUST'!$N$2:$CG$65,MATCH($D63,'Monthly CUST'!$D$2:$D$65,0),MATCH(BU$1,'Monthly CUST'!$N$1:$CG$1,0))/12*$M63,IF($J63="Base Period",BI63,IF($J63="Adjusted",SUMIF('Input 15_Fcst Inputs'!$A:$A,$D63,'Input 15_Fcst Inputs'!$G:$G)/12))))),0)</f>
        <v>1489509.28</v>
      </c>
      <c r="BV63" s="483">
        <f>IFERROR(IF($J63="Historical Average",INDEX('Monthly UPC'!$CM$2:$DJ$65,MATCH($D63,'Monthly UPC'!$D$2:$D$65,0),MATCH(BV$1,'Monthly UPC'!$CM$1:$DJ$1))*(INDEX('Monthly CUST'!$N$2:$CG$65,MATCH($D63,'Monthly CUST'!$D$2:$D$65,0),MATCH(BV$1,'Monthly CUST'!$N$1:$CG$1,0))),IF($J63="UPC Growth Rate",((BJ63/INDEX('Monthly CUST'!$N$2:$CG$65,MATCH($D63,'Monthly CUST'!$D$2:$D$65,0),MATCH(BJ$1,'Monthly CUST'!$N$1:$CG$1,0)))*(1+$L63)*INDEX('Monthly CUST'!$N$2:$CG$65,MATCH($D63,'Monthly CUST'!$D$2:$D$65,0),MATCH(BV$1,'Monthly CUST'!$N$1:$CG$1,0))),IF($J63="Modeled UPC",INDEX('Monthly CUST'!$N$2:$CG$65,MATCH($D63,'Monthly CUST'!$D$2:$D$65,0),MATCH(BV$1,'Monthly CUST'!$N$1:$CG$1,0))/12*$M63,IF($J63="Base Period",BJ63,IF($J63="Adjusted",SUMIF('Input 15_Fcst Inputs'!$A:$A,$D63,'Input 15_Fcst Inputs'!$G:$G)/12))))),0)</f>
        <v>1503482.54</v>
      </c>
      <c r="BW63" s="483">
        <f>IFERROR(IF($J63="Historical Average",INDEX('Monthly UPC'!$CM$2:$DJ$65,MATCH($D63,'Monthly UPC'!$D$2:$D$65,0),MATCH(BW$1,'Monthly UPC'!$CM$1:$DJ$1))*(INDEX('Monthly CUST'!$N$2:$CG$65,MATCH($D63,'Monthly CUST'!$D$2:$D$65,0),MATCH(BW$1,'Monthly CUST'!$N$1:$CG$1,0))),IF($J63="UPC Growth Rate",((BK63/INDEX('Monthly CUST'!$N$2:$CG$65,MATCH($D63,'Monthly CUST'!$D$2:$D$65,0),MATCH(BK$1,'Monthly CUST'!$N$1:$CG$1,0)))*(1+$L63)*INDEX('Monthly CUST'!$N$2:$CG$65,MATCH($D63,'Monthly CUST'!$D$2:$D$65,0),MATCH(BW$1,'Monthly CUST'!$N$1:$CG$1,0))),IF($J63="Modeled UPC",INDEX('Monthly CUST'!$N$2:$CG$65,MATCH($D63,'Monthly CUST'!$D$2:$D$65,0),MATCH(BW$1,'Monthly CUST'!$N$1:$CG$1,0))/12*$M63,IF($J63="Base Period",BK63,IF($J63="Adjusted",SUMIF('Input 15_Fcst Inputs'!$A:$A,$D63,'Input 15_Fcst Inputs'!$G:$G)/12))))),0)</f>
        <v>1416438</v>
      </c>
      <c r="BX63" s="483">
        <f>IFERROR(IF($J63="Historical Average",INDEX('Monthly UPC'!$CM$2:$DJ$65,MATCH($D63,'Monthly UPC'!$D$2:$D$65,0),MATCH(BX$1,'Monthly UPC'!$CM$1:$DJ$1))*(INDEX('Monthly CUST'!$N$2:$CG$65,MATCH($D63,'Monthly CUST'!$D$2:$D$65,0),MATCH(BX$1,'Monthly CUST'!$N$1:$CG$1,0))),IF($J63="UPC Growth Rate",((BL63/INDEX('Monthly CUST'!$N$2:$CG$65,MATCH($D63,'Monthly CUST'!$D$2:$D$65,0),MATCH(BL$1,'Monthly CUST'!$N$1:$CG$1,0)))*(1+$L63)*INDEX('Monthly CUST'!$N$2:$CG$65,MATCH($D63,'Monthly CUST'!$D$2:$D$65,0),MATCH(BX$1,'Monthly CUST'!$N$1:$CG$1,0))),IF($J63="Modeled UPC",INDEX('Monthly CUST'!$N$2:$CG$65,MATCH($D63,'Monthly CUST'!$D$2:$D$65,0),MATCH(BX$1,'Monthly CUST'!$N$1:$CG$1,0))/12*$M63,IF($J63="Base Period",BL63,IF($J63="Adjusted",SUMIF('Input 15_Fcst Inputs'!$A:$A,$D63,'Input 15_Fcst Inputs'!$G:$G)/12))))),0)</f>
        <v>1676213.44</v>
      </c>
      <c r="BY63" s="483">
        <f>IFERROR(IF($J63="Historical Average",INDEX('Monthly UPC'!$CM$2:$DJ$65,MATCH($D63,'Monthly UPC'!$D$2:$D$65,0),MATCH(BY$1,'Monthly UPC'!$CM$1:$DJ$1))*(INDEX('Monthly CUST'!$N$2:$CG$65,MATCH($D63,'Monthly CUST'!$D$2:$D$65,0),MATCH(BY$1,'Monthly CUST'!$N$1:$CG$1,0))),IF($J63="UPC Growth Rate",((BM63/INDEX('Monthly CUST'!$N$2:$CG$65,MATCH($D63,'Monthly CUST'!$D$2:$D$65,0),MATCH(BM$1,'Monthly CUST'!$N$1:$CG$1,0)))*(1+$L63)*INDEX('Monthly CUST'!$N$2:$CG$65,MATCH($D63,'Monthly CUST'!$D$2:$D$65,0),MATCH(BY$1,'Monthly CUST'!$N$1:$CG$1,0))),IF($J63="Modeled UPC",INDEX('Monthly CUST'!$N$2:$CG$65,MATCH($D63,'Monthly CUST'!$D$2:$D$65,0),MATCH(BY$1,'Monthly CUST'!$N$1:$CG$1,0))/12*$M63,IF($J63="Base Period",BM63,IF($J63="Adjusted",SUMIF('Input 15_Fcst Inputs'!$A:$A,$D63,'Input 15_Fcst Inputs'!$G:$G)/12))))),0)</f>
        <v>1463291.46</v>
      </c>
      <c r="BZ63" s="483">
        <f>IFERROR(IF($J63="Historical Average",INDEX('Monthly UPC'!$CM$2:$DJ$65,MATCH($D63,'Monthly UPC'!$D$2:$D$65,0),MATCH(BZ$1,'Monthly UPC'!$CM$1:$DJ$1))*(INDEX('Monthly CUST'!$N$2:$CG$65,MATCH($D63,'Monthly CUST'!$D$2:$D$65,0),MATCH(BZ$1,'Monthly CUST'!$N$1:$CG$1,0))),IF($J63="UPC Growth Rate",((BN63/INDEX('Monthly CUST'!$N$2:$CG$65,MATCH($D63,'Monthly CUST'!$D$2:$D$65,0),MATCH(BN$1,'Monthly CUST'!$N$1:$CG$1,0)))*(1+$L63)*INDEX('Monthly CUST'!$N$2:$CG$65,MATCH($D63,'Monthly CUST'!$D$2:$D$65,0),MATCH(BZ$1,'Monthly CUST'!$N$1:$CG$1,0))),IF($J63="Modeled UPC",INDEX('Monthly CUST'!$N$2:$CG$65,MATCH($D63,'Monthly CUST'!$D$2:$D$65,0),MATCH(BZ$1,'Monthly CUST'!$N$1:$CG$1,0))/12*$M63,IF($J63="Base Period",BN63,IF($J63="Adjusted",SUMIF('Input 15_Fcst Inputs'!$A:$A,$D63,'Input 15_Fcst Inputs'!$G:$G)/12))))),0)</f>
        <v>1518088.44</v>
      </c>
      <c r="CA63" s="483">
        <f>IFERROR(IF($J63="Historical Average",INDEX('Monthly UPC'!$CM$2:$DJ$65,MATCH($D63,'Monthly UPC'!$D$2:$D$65,0),MATCH(CA$1,'Monthly UPC'!$CM$1:$DJ$1))*(INDEX('Monthly CUST'!$N$2:$CG$65,MATCH($D63,'Monthly CUST'!$D$2:$D$65,0),MATCH(CA$1,'Monthly CUST'!$N$1:$CG$1,0))),IF($J63="UPC Growth Rate",((BO63/INDEX('Monthly CUST'!$N$2:$CG$65,MATCH($D63,'Monthly CUST'!$D$2:$D$65,0),MATCH(BO$1,'Monthly CUST'!$N$1:$CG$1,0)))*(1+$L63)*INDEX('Monthly CUST'!$N$2:$CG$65,MATCH($D63,'Monthly CUST'!$D$2:$D$65,0),MATCH(CA$1,'Monthly CUST'!$N$1:$CG$1,0))),IF($J63="Modeled UPC",INDEX('Monthly CUST'!$N$2:$CG$65,MATCH($D63,'Monthly CUST'!$D$2:$D$65,0),MATCH(CA$1,'Monthly CUST'!$N$1:$CG$1,0))/12*$M63,IF($J63="Base Period",BO63,IF($J63="Adjusted",SUMIF('Input 15_Fcst Inputs'!$A:$A,$D63,'Input 15_Fcst Inputs'!$G:$G)/12))))),0)</f>
        <v>1037428.35</v>
      </c>
      <c r="CB63" s="483">
        <f>IFERROR(IF($J63="Historical Average",INDEX('Monthly UPC'!$CM$2:$DJ$65,MATCH($D63,'Monthly UPC'!$D$2:$D$65,0),MATCH(CB$1,'Monthly UPC'!$CM$1:$DJ$1))*(INDEX('Monthly CUST'!$N$2:$CG$65,MATCH($D63,'Monthly CUST'!$D$2:$D$65,0),MATCH(CB$1,'Monthly CUST'!$N$1:$CG$1,0))),IF($J63="UPC Growth Rate",((BP63/INDEX('Monthly CUST'!$N$2:$CG$65,MATCH($D63,'Monthly CUST'!$D$2:$D$65,0),MATCH(BP$1,'Monthly CUST'!$N$1:$CG$1,0)))*(1+$L63)*INDEX('Monthly CUST'!$N$2:$CG$65,MATCH($D63,'Monthly CUST'!$D$2:$D$65,0),MATCH(CB$1,'Monthly CUST'!$N$1:$CG$1,0))),IF($J63="Modeled UPC",INDEX('Monthly CUST'!$N$2:$CG$65,MATCH($D63,'Monthly CUST'!$D$2:$D$65,0),MATCH(CB$1,'Monthly CUST'!$N$1:$CG$1,0))/12*$M63,IF($J63="Base Period",BP63,IF($J63="Adjusted",SUMIF('Input 15_Fcst Inputs'!$A:$A,$D63,'Input 15_Fcst Inputs'!$G:$G)/12))))),0)</f>
        <v>1336474.8600000001</v>
      </c>
      <c r="CC63" s="483">
        <f>IFERROR(IF($J63="Historical Average",INDEX('Monthly UPC'!$CM$2:$DJ$65,MATCH($D63,'Monthly UPC'!$D$2:$D$65,0),MATCH(CC$1,'Monthly UPC'!$CM$1:$DJ$1))*(INDEX('Monthly CUST'!$N$2:$CG$65,MATCH($D63,'Monthly CUST'!$D$2:$D$65,0),MATCH(CC$1,'Monthly CUST'!$N$1:$CG$1,0))),IF($J63="UPC Growth Rate",((BQ63/INDEX('Monthly CUST'!$N$2:$CG$65,MATCH($D63,'Monthly CUST'!$D$2:$D$65,0),MATCH(BQ$1,'Monthly CUST'!$N$1:$CG$1,0)))*(1+$L63)*INDEX('Monthly CUST'!$N$2:$CG$65,MATCH($D63,'Monthly CUST'!$D$2:$D$65,0),MATCH(CC$1,'Monthly CUST'!$N$1:$CG$1,0))),IF($J63="Modeled UPC",INDEX('Monthly CUST'!$N$2:$CG$65,MATCH($D63,'Monthly CUST'!$D$2:$D$65,0),MATCH(CC$1,'Monthly CUST'!$N$1:$CG$1,0))/12*$M63,IF($J63="Base Period",BQ63,IF($J63="Adjusted",SUMIF('Input 15_Fcst Inputs'!$A:$A,$D63,'Input 15_Fcst Inputs'!$G:$G)/12))))),0)</f>
        <v>1485718.46</v>
      </c>
      <c r="CD63" s="483">
        <f>IFERROR(IF($J63="Historical Average",INDEX('Monthly UPC'!$CM$2:$DJ$65,MATCH($D63,'Monthly UPC'!$D$2:$D$65,0),MATCH(CD$1,'Monthly UPC'!$CM$1:$DJ$1))*(INDEX('Monthly CUST'!$N$2:$CG$65,MATCH($D63,'Monthly CUST'!$D$2:$D$65,0),MATCH(CD$1,'Monthly CUST'!$N$1:$CG$1,0))),IF($J63="UPC Growth Rate",((BR63/INDEX('Monthly CUST'!$N$2:$CG$65,MATCH($D63,'Monthly CUST'!$D$2:$D$65,0),MATCH(BR$1,'Monthly CUST'!$N$1:$CG$1,0)))*(1+$L63)*INDEX('Monthly CUST'!$N$2:$CG$65,MATCH($D63,'Monthly CUST'!$D$2:$D$65,0),MATCH(CD$1,'Monthly CUST'!$N$1:$CG$1,0))),IF($J63="Modeled UPC",INDEX('Monthly CUST'!$N$2:$CG$65,MATCH($D63,'Monthly CUST'!$D$2:$D$65,0),MATCH(CD$1,'Monthly CUST'!$N$1:$CG$1,0))/12*$M63,IF($J63="Base Period",BR63,IF($J63="Adjusted",SUMIF('Input 15_Fcst Inputs'!$A:$A,$D63,'Input 15_Fcst Inputs'!$G:$G)/12))))),0)</f>
        <v>1224903.8899999999</v>
      </c>
      <c r="CE63" s="483">
        <f>IFERROR(IF($J63="Historical Average",INDEX('Monthly UPC'!$CM$2:$DJ$65,MATCH($D63,'Monthly UPC'!$D$2:$D$65,0),MATCH(CE$1,'Monthly UPC'!$CM$1:$DJ$1))*(INDEX('Monthly CUST'!$N$2:$CG$65,MATCH($D63,'Monthly CUST'!$D$2:$D$65,0),MATCH(CE$1,'Monthly CUST'!$N$1:$CG$1,0))),IF($J63="UPC Growth Rate",((BS63/INDEX('Monthly CUST'!$N$2:$CG$65,MATCH($D63,'Monthly CUST'!$D$2:$D$65,0),MATCH(BS$1,'Monthly CUST'!$N$1:$CG$1,0)))*(1+$L63)*INDEX('Monthly CUST'!$N$2:$CG$65,MATCH($D63,'Monthly CUST'!$D$2:$D$65,0),MATCH(CE$1,'Monthly CUST'!$N$1:$CG$1,0))),IF($J63="Modeled UPC",INDEX('Monthly CUST'!$N$2:$CG$65,MATCH($D63,'Monthly CUST'!$D$2:$D$65,0),MATCH(CE$1,'Monthly CUST'!$N$1:$CG$1,0))/12*$M63,IF($J63="Base Period",BS63,IF($J63="Adjusted",SUMIF('Input 15_Fcst Inputs'!$A:$A,$D63,'Input 15_Fcst Inputs'!$G:$G)/12))))),0)</f>
        <v>1439669.03</v>
      </c>
      <c r="CF63" s="483">
        <f>IFERROR(IF($J63="Historical Average",INDEX('Monthly UPC'!$CM$2:$DJ$65,MATCH($D63,'Monthly UPC'!$D$2:$D$65,0),MATCH(CF$1,'Monthly UPC'!$CM$1:$DJ$1))*(INDEX('Monthly CUST'!$N$2:$CG$65,MATCH($D63,'Monthly CUST'!$D$2:$D$65,0),MATCH(CF$1,'Monthly CUST'!$N$1:$CG$1,0))),IF($J63="UPC Growth Rate",((BT63/INDEX('Monthly CUST'!$N$2:$CG$65,MATCH($D63,'Monthly CUST'!$D$2:$D$65,0),MATCH(BT$1,'Monthly CUST'!$N$1:$CG$1,0)))*(1+$L63)*INDEX('Monthly CUST'!$N$2:$CG$65,MATCH($D63,'Monthly CUST'!$D$2:$D$65,0),MATCH(CF$1,'Monthly CUST'!$N$1:$CG$1,0))),IF($J63="Modeled UPC",INDEX('Monthly CUST'!$N$2:$CG$65,MATCH($D63,'Monthly CUST'!$D$2:$D$65,0),MATCH(CF$1,'Monthly CUST'!$N$1:$CG$1,0))/12*$M63,IF($J63="Base Period",BT63,IF($J63="Adjusted",SUMIF('Input 15_Fcst Inputs'!$A:$A,$D63,'Input 15_Fcst Inputs'!$G:$G)/12))))),0)</f>
        <v>1435815.81</v>
      </c>
      <c r="CG63" s="483">
        <f>IFERROR(IF($J63="Historical Average",INDEX('Monthly UPC'!$CM$2:$DJ$65,MATCH($D63,'Monthly UPC'!$D$2:$D$65,0),MATCH(CG$1,'Monthly UPC'!$CM$1:$DJ$1))*(INDEX('Monthly CUST'!$N$2:$CG$65,MATCH($D63,'Monthly CUST'!$D$2:$D$65,0),MATCH(CG$1,'Monthly CUST'!$N$1:$CG$1,0))),IF($J63="UPC Growth Rate",((BU63/INDEX('Monthly CUST'!$N$2:$CG$65,MATCH($D63,'Monthly CUST'!$D$2:$D$65,0),MATCH(BU$1,'Monthly CUST'!$N$1:$CG$1,0)))*(1+$L63)*INDEX('Monthly CUST'!$N$2:$CG$65,MATCH($D63,'Monthly CUST'!$D$2:$D$65,0),MATCH(CG$1,'Monthly CUST'!$N$1:$CG$1,0))),IF($J63="Modeled UPC",INDEX('Monthly CUST'!$N$2:$CG$65,MATCH($D63,'Monthly CUST'!$D$2:$D$65,0),MATCH(CG$1,'Monthly CUST'!$N$1:$CG$1,0))/12*$M63,IF($J63="Base Period",BU63,IF($J63="Adjusted",SUMIF('Input 15_Fcst Inputs'!$A:$A,$D63,'Input 15_Fcst Inputs'!$G:$G)/12))))),0)</f>
        <v>1489509.28</v>
      </c>
      <c r="CH63" s="197"/>
      <c r="CI63" s="197">
        <f t="shared" si="8"/>
        <v>19136259.800000001</v>
      </c>
      <c r="CJ63" s="197">
        <f t="shared" si="9"/>
        <v>17456733.789999999</v>
      </c>
      <c r="CK63" s="197">
        <f t="shared" si="10"/>
        <v>15900039.640000001</v>
      </c>
      <c r="CL63" s="197">
        <f t="shared" si="11"/>
        <v>17027033.560000002</v>
      </c>
      <c r="CM63" s="197">
        <f t="shared" si="12"/>
        <v>17027033.560000002</v>
      </c>
      <c r="CN63" s="197">
        <f t="shared" si="13"/>
        <v>17027033.560000002</v>
      </c>
      <c r="CP63" s="4">
        <f>SUMIF('Master '!D:D,D63,'Master '!AH:AH)</f>
        <v>17027033.560000002</v>
      </c>
      <c r="CQ63" s="4">
        <f>SUMIF('Master '!D:D,D63,'Master '!AI:AI)</f>
        <v>17027033.560000002</v>
      </c>
      <c r="CR63" s="197">
        <f t="shared" si="14"/>
        <v>0</v>
      </c>
      <c r="CS63" s="197">
        <f t="shared" si="15"/>
        <v>0</v>
      </c>
      <c r="CT63" t="s">
        <v>287</v>
      </c>
      <c r="CV63" t="str">
        <f>VLOOKUP(G63,'Master '!G:CC,75,FALSE)</f>
        <v>FTS-12</v>
      </c>
    </row>
    <row r="64" spans="1:100">
      <c r="A64" s="53" t="s">
        <v>17</v>
      </c>
      <c r="B64" s="53" t="s">
        <v>993</v>
      </c>
      <c r="C64" s="53" t="s">
        <v>1245</v>
      </c>
      <c r="D64" s="53" t="s">
        <v>122</v>
      </c>
      <c r="E64" s="53" t="str">
        <f>VLOOKUP(D64,'Input 14_Ref Table'!C:D,2,FALSE)</f>
        <v>CICID</v>
      </c>
      <c r="F64" s="143" t="s">
        <v>1286</v>
      </c>
      <c r="G64" s="53" t="str">
        <f>VLOOKUP(D64,'Input 14_Ref Table'!C:I,7,FALSE)</f>
        <v>CFG - FTS-13</v>
      </c>
      <c r="H64" s="53" t="str">
        <f>VLOOKUP(D64,'Input 14_Ref Table'!C:K,8,FALSE)</f>
        <v>Base Period</v>
      </c>
      <c r="I64" s="53"/>
      <c r="J64" t="str">
        <f>INDEX('Master '!$AD$2:AD$65,MATCH(D64,'Master '!$D$2:$D$65,0))</f>
        <v>Base Period</v>
      </c>
      <c r="K64" s="458">
        <f>INDEX('Master '!$N$2:N$65,MATCH(D64,'Master '!$D$2:$D$65,0))</f>
        <v>0</v>
      </c>
      <c r="L64" s="137">
        <f>INDEX('Master '!$S$2:S$65,MATCH(D64,'Master '!$D$2:$D$65,0))</f>
        <v>0</v>
      </c>
      <c r="M64" s="4">
        <f>INDEX('Master '!$W$2:W$65,MATCH(D64,'Master '!$D$2:$D$65,0))</f>
        <v>0</v>
      </c>
      <c r="N64" s="268">
        <f>SUMIF('Input 16.1_2018VOL-YTD'!$R:$R,$G64,'Input 16.1_2018VOL-YTD'!C:C)</f>
        <v>0</v>
      </c>
      <c r="O64" s="268">
        <f>SUMIF('Input 16.1_2018VOL-YTD'!$R:$R,$G64,'Input 16.1_2018VOL-YTD'!D:D)</f>
        <v>0</v>
      </c>
      <c r="P64" s="268">
        <f>SUMIF('Input 16.1_2018VOL-YTD'!$R:$R,$G64,'Input 16.1_2018VOL-YTD'!E:E)</f>
        <v>0</v>
      </c>
      <c r="Q64" s="268">
        <f>SUMIF('Input 16.1_2018VOL-YTD'!$R:$R,$G64,'Input 16.1_2018VOL-YTD'!F:F)</f>
        <v>0</v>
      </c>
      <c r="R64" s="268">
        <f>SUMIF('Input 16.1_2018VOL-YTD'!$R:$R,$G64,'Input 16.1_2018VOL-YTD'!G:G)</f>
        <v>0</v>
      </c>
      <c r="S64" s="268">
        <f>SUMIF('Input 16.1_2018VOL-YTD'!$R:$R,$G64,'Input 16.1_2018VOL-YTD'!H:H)</f>
        <v>0</v>
      </c>
      <c r="T64" s="268">
        <f>SUMIF('Input 16.1_2018VOL-YTD'!$R:$R,$G64,'Input 16.1_2018VOL-YTD'!I:I)</f>
        <v>0</v>
      </c>
      <c r="U64" s="268">
        <f>SUMIF('Input 16.1_2018VOL-YTD'!$R:$R,$G64,'Input 16.1_2018VOL-YTD'!J:J)</f>
        <v>0</v>
      </c>
      <c r="V64" s="268">
        <f>SUMIF('Input 16.1_2018VOL-YTD'!$R:$R,$G64,'Input 16.1_2018VOL-YTD'!K:K)</f>
        <v>0</v>
      </c>
      <c r="W64" s="268">
        <f>SUMIF('Input 16.1_2018VOL-YTD'!$R:$R,$G64,'Input 16.1_2018VOL-YTD'!L:L)</f>
        <v>0</v>
      </c>
      <c r="X64" s="268">
        <f>SUMIF('Input 16.1_2018VOL-YTD'!$R:$R,$G64,'Input 16.1_2018VOL-YTD'!M:M)</f>
        <v>0</v>
      </c>
      <c r="Y64" s="268">
        <f>SUMIF('Input 16.1_2018VOL-YTD'!$R:$R,$G64,'Input 16.1_2018VOL-YTD'!N:N)</f>
        <v>0</v>
      </c>
      <c r="Z64" s="268">
        <f>SUMIF('Input 3.1_2019VOL-YTD'!$R:$R,$G64,'Input 3.1_2019VOL-YTD'!C:C)</f>
        <v>0</v>
      </c>
      <c r="AA64" s="268">
        <f>SUMIF('Input 3.1_2019VOL-YTD'!$R:$R,$G64,'Input 3.1_2019VOL-YTD'!D:D)</f>
        <v>0</v>
      </c>
      <c r="AB64" s="268">
        <f>SUMIF('Input 3.1_2019VOL-YTD'!$R:$R,$G64,'Input 3.1_2019VOL-YTD'!E:E)</f>
        <v>0</v>
      </c>
      <c r="AC64" s="268">
        <f>SUMIF('Input 3.1_2019VOL-YTD'!$R:$R,$G64,'Input 3.1_2019VOL-YTD'!F:F)</f>
        <v>0</v>
      </c>
      <c r="AD64" s="268">
        <f>SUMIF('Input 3.1_2019VOL-YTD'!$R:$R,$G64,'Input 3.1_2019VOL-YTD'!G:G)</f>
        <v>0</v>
      </c>
      <c r="AE64" s="268">
        <f>SUMIF('Input 3.1_2019VOL-YTD'!$R:$R,$G64,'Input 3.1_2019VOL-YTD'!H:H)</f>
        <v>0</v>
      </c>
      <c r="AF64" s="268">
        <f>SUMIF('Input 3.1_2019VOL-YTD'!$R:$R,$G64,'Input 3.1_2019VOL-YTD'!I:I)</f>
        <v>0</v>
      </c>
      <c r="AG64" s="268">
        <f>SUMIF('Input 3.1_2019VOL-YTD'!$R:$R,$G64,'Input 3.1_2019VOL-YTD'!J:J)</f>
        <v>0</v>
      </c>
      <c r="AH64" s="268">
        <f>SUMIF('Input 3.1_2019VOL-YTD'!$R:$R,$G64,'Input 3.1_2019VOL-YTD'!K:K)</f>
        <v>0</v>
      </c>
      <c r="AI64" s="268">
        <f>SUMIF('Input 3.1_2019VOL-YTD'!$R:$R,$G64,'Input 3.1_2019VOL-YTD'!L:L)</f>
        <v>0</v>
      </c>
      <c r="AJ64" s="268">
        <f>SUMIF('Input 3.1_2019VOL-YTD'!$R:$R,$G64,'Input 3.1_2019VOL-YTD'!M:M)</f>
        <v>0</v>
      </c>
      <c r="AK64" s="268">
        <f>SUMIF('Input 3.1_2019VOL-YTD'!$R:$R,$G64,'Input 3.1_2019VOL-YTD'!N:N)</f>
        <v>0</v>
      </c>
      <c r="AL64" s="268">
        <f>SUMIF('Input 4.1_2020VOL-YTD'!$R:$R,$G64,'Input 4.1_2020VOL-YTD'!C:C)</f>
        <v>0</v>
      </c>
      <c r="AM64" s="268">
        <f>SUMIF('Input 4.1_2020VOL-YTD'!$R:$R,$G64,'Input 4.1_2020VOL-YTD'!D:D)</f>
        <v>0</v>
      </c>
      <c r="AN64" s="268">
        <f>SUMIF('Input 4.1_2020VOL-YTD'!$R:$R,$G64,'Input 4.1_2020VOL-YTD'!E:E)</f>
        <v>0</v>
      </c>
      <c r="AO64" s="268">
        <f>SUMIF('Input 4.1_2020VOL-YTD'!$R:$R,$G64,'Input 4.1_2020VOL-YTD'!F:F)</f>
        <v>0</v>
      </c>
      <c r="AP64" s="268">
        <f>SUMIF('Input 4.1_2020VOL-YTD'!$R:$R,$G64,'Input 4.1_2020VOL-YTD'!G:G)</f>
        <v>0</v>
      </c>
      <c r="AQ64" s="268">
        <f>SUMIF('Input 4.1_2020VOL-YTD'!$R:$R,$G64,'Input 4.1_2020VOL-YTD'!H:H)</f>
        <v>0</v>
      </c>
      <c r="AR64" s="268">
        <f>SUMIF('Input 4.1_2020VOL-YTD'!$R:$R,$G64,'Input 4.1_2020VOL-YTD'!I:I)</f>
        <v>0</v>
      </c>
      <c r="AS64" s="268">
        <f>SUMIF('Input 4.1_2020VOL-YTD'!$R:$R,$G64,'Input 4.1_2020VOL-YTD'!J:J)</f>
        <v>0</v>
      </c>
      <c r="AT64" s="268">
        <f>SUMIF('Input 4.1_2020VOL-YTD'!$R:$R,$G64,'Input 4.1_2020VOL-YTD'!K:K)</f>
        <v>0</v>
      </c>
      <c r="AU64" s="268">
        <f>SUMIF('Input 4.1_2020VOL-YTD'!$R:$R,$G64,'Input 4.1_2020VOL-YTD'!L:L)</f>
        <v>0</v>
      </c>
      <c r="AV64" s="268">
        <f>SUMIF('Input 4.1_2020VOL-YTD'!$R:$R,$G64,'Input 4.1_2020VOL-YTD'!M:M)</f>
        <v>0</v>
      </c>
      <c r="AW64" s="268">
        <f>SUMIF('Input 4.1_2020VOL-YTD'!$R:$R,$G64,'Input 4.1_2020VOL-YTD'!N:N)</f>
        <v>0</v>
      </c>
      <c r="AX64" s="268">
        <f>SUMIF('Input 5.1_2021VOL-YTD'!$R:$R,$G64,'Input 5.1_2021VOL-YTD'!C:C)</f>
        <v>0</v>
      </c>
      <c r="AY64" s="268">
        <f>SUMIF('Input 5.1_2021VOL-YTD'!$R:$R,$G64,'Input 5.1_2021VOL-YTD'!D:D)</f>
        <v>0</v>
      </c>
      <c r="AZ64" s="268">
        <f>SUMIF('Input 5.1_2021VOL-YTD'!$R:$R,$G64,'Input 5.1_2021VOL-YTD'!E:E)</f>
        <v>0</v>
      </c>
      <c r="BA64" s="268">
        <f>SUMIF('Input 5.1_2021VOL-YTD'!$R:$R,$G64,'Input 5.1_2021VOL-YTD'!F:F)</f>
        <v>0</v>
      </c>
      <c r="BB64" s="268">
        <f>SUMIF('Input 5.1_2021VOL-YTD'!$R:$R,$G64,'Input 5.1_2021VOL-YTD'!G:G)</f>
        <v>0</v>
      </c>
      <c r="BC64" s="268">
        <f>SUMIF('Input 5.1_2021VOL-YTD'!$R:$R,$G64,'Input 5.1_2021VOL-YTD'!H:H)</f>
        <v>0</v>
      </c>
      <c r="BD64" s="268">
        <f>SUMIF('Input 5.1_2021VOL-YTD'!$R:$R,$G64,'Input 5.1_2021VOL-YTD'!I:I)</f>
        <v>0</v>
      </c>
      <c r="BE64" s="268">
        <f>SUMIF('Input 5.1_2021VOL-YTD'!$R:$R,$G64,'Input 5.1_2021VOL-YTD'!J:J)</f>
        <v>0</v>
      </c>
      <c r="BF64" s="268">
        <f>SUMIF('Input 5.1_2021VOL-YTD'!$R:$R,$G64,'Input 5.1_2021VOL-YTD'!K:K)</f>
        <v>0</v>
      </c>
      <c r="BG64" s="268">
        <f>SUMIF('Input 5.1_2021VOL-YTD'!$R:$R,$G64,'Input 5.1_2021VOL-YTD'!L:L)</f>
        <v>0</v>
      </c>
      <c r="BH64" s="268">
        <f>SUMIF('Input 5.1_2021VOL-YTD'!$R:$R,$G64,'Input 5.1_2021VOL-YTD'!M:M)</f>
        <v>0</v>
      </c>
      <c r="BI64" s="268">
        <f>SUMIF('Input 5.1_2021VOL-YTD'!$R:$R,$G64,'Input 5.1_2021VOL-YTD'!N:N)</f>
        <v>0</v>
      </c>
      <c r="BJ64" s="483">
        <f>IFERROR(IF($J64="Historical Average",INDEX('Monthly UPC'!$CM$2:$DJ$65,MATCH($D64,'Monthly UPC'!$D$2:$D$65,0),MATCH(BJ$1,'Monthly UPC'!$CM$1:$DJ$1))*(INDEX('Monthly CUST'!$N$2:$CG$65,MATCH($D64,'Monthly CUST'!$D$2:$D$65,0),MATCH(BJ$1,'Monthly CUST'!$N$1:$CG$1,0))),IF($J64="UPC Growth Rate",((AX64/INDEX('Monthly CUST'!$N$2:$CG$65,MATCH($D64,'Monthly CUST'!$D$2:$D$65,0),MATCH(AX$1,'Monthly CUST'!$N$1:$CG$1,0)))*(1+$L64)*INDEX('Monthly CUST'!$N$2:$CG$65,MATCH($D64,'Monthly CUST'!$D$2:$D$65,0),MATCH(BJ$1,'Monthly CUST'!$N$1:$CG$1,0))),IF($J64="Modeled UPC",INDEX('Monthly CUST'!$N$2:$CG$65,MATCH($D64,'Monthly CUST'!$D$2:$D$65,0),MATCH(BJ$1,'Monthly CUST'!$N$1:$CG$1,0))/12*$M64,IF($J64="Base Period",AX64,IF($J64="Adjusted",SUMIF('Input 15_Fcst Inputs'!$A:$A,$D64,'Input 15_Fcst Inputs'!$G:$G)/12))))),0)</f>
        <v>0</v>
      </c>
      <c r="BK64" s="483">
        <f>IFERROR(IF($J64="Historical Average",INDEX('Monthly UPC'!$CM$2:$DJ$65,MATCH($D64,'Monthly UPC'!$D$2:$D$65,0),MATCH(BK$1,'Monthly UPC'!$CM$1:$DJ$1))*(INDEX('Monthly CUST'!$N$2:$CG$65,MATCH($D64,'Monthly CUST'!$D$2:$D$65,0),MATCH(BK$1,'Monthly CUST'!$N$1:$CG$1,0))),IF($J64="UPC Growth Rate",((AY64/INDEX('Monthly CUST'!$N$2:$CG$65,MATCH($D64,'Monthly CUST'!$D$2:$D$65,0),MATCH(AY$1,'Monthly CUST'!$N$1:$CG$1,0)))*(1+$L64)*INDEX('Monthly CUST'!$N$2:$CG$65,MATCH($D64,'Monthly CUST'!$D$2:$D$65,0),MATCH(BK$1,'Monthly CUST'!$N$1:$CG$1,0))),IF($J64="Modeled UPC",INDEX('Monthly CUST'!$N$2:$CG$65,MATCH($D64,'Monthly CUST'!$D$2:$D$65,0),MATCH(BK$1,'Monthly CUST'!$N$1:$CG$1,0))/12*$M64,IF($J64="Base Period",AY64,IF($J64="Adjusted",SUMIF('Input 15_Fcst Inputs'!$A:$A,$D64,'Input 15_Fcst Inputs'!$G:$G)/12))))),0)</f>
        <v>0</v>
      </c>
      <c r="BL64" s="483">
        <f>IFERROR(IF($J64="Historical Average",INDEX('Monthly UPC'!$CM$2:$DJ$65,MATCH($D64,'Monthly UPC'!$D$2:$D$65,0),MATCH(BL$1,'Monthly UPC'!$CM$1:$DJ$1))*(INDEX('Monthly CUST'!$N$2:$CG$65,MATCH($D64,'Monthly CUST'!$D$2:$D$65,0),MATCH(BL$1,'Monthly CUST'!$N$1:$CG$1,0))),IF($J64="UPC Growth Rate",((AZ64/INDEX('Monthly CUST'!$N$2:$CG$65,MATCH($D64,'Monthly CUST'!$D$2:$D$65,0),MATCH(AZ$1,'Monthly CUST'!$N$1:$CG$1,0)))*(1+$L64)*INDEX('Monthly CUST'!$N$2:$CG$65,MATCH($D64,'Monthly CUST'!$D$2:$D$65,0),MATCH(BL$1,'Monthly CUST'!$N$1:$CG$1,0))),IF($J64="Modeled UPC",INDEX('Monthly CUST'!$N$2:$CG$65,MATCH($D64,'Monthly CUST'!$D$2:$D$65,0),MATCH(BL$1,'Monthly CUST'!$N$1:$CG$1,0))/12*$M64,IF($J64="Base Period",AZ64,IF($J64="Adjusted",SUMIF('Input 15_Fcst Inputs'!$A:$A,$D64,'Input 15_Fcst Inputs'!$G:$G)/12))))),0)</f>
        <v>0</v>
      </c>
      <c r="BM64" s="483">
        <f>IFERROR(IF($J64="Historical Average",INDEX('Monthly UPC'!$CM$2:$DJ$65,MATCH($D64,'Monthly UPC'!$D$2:$D$65,0),MATCH(BM$1,'Monthly UPC'!$CM$1:$DJ$1))*(INDEX('Monthly CUST'!$N$2:$CG$65,MATCH($D64,'Monthly CUST'!$D$2:$D$65,0),MATCH(BM$1,'Monthly CUST'!$N$1:$CG$1,0))),IF($J64="UPC Growth Rate",((BA64/INDEX('Monthly CUST'!$N$2:$CG$65,MATCH($D64,'Monthly CUST'!$D$2:$D$65,0),MATCH(BA$1,'Monthly CUST'!$N$1:$CG$1,0)))*(1+$L64)*INDEX('Monthly CUST'!$N$2:$CG$65,MATCH($D64,'Monthly CUST'!$D$2:$D$65,0),MATCH(BM$1,'Monthly CUST'!$N$1:$CG$1,0))),IF($J64="Modeled UPC",INDEX('Monthly CUST'!$N$2:$CG$65,MATCH($D64,'Monthly CUST'!$D$2:$D$65,0),MATCH(BM$1,'Monthly CUST'!$N$1:$CG$1,0))/12*$M64,IF($J64="Base Period",BA64,IF($J64="Adjusted",SUMIF('Input 15_Fcst Inputs'!$A:$A,$D64,'Input 15_Fcst Inputs'!$G:$G)/12))))),0)</f>
        <v>0</v>
      </c>
      <c r="BN64" s="483">
        <f>IFERROR(IF($J64="Historical Average",INDEX('Monthly UPC'!$CM$2:$DJ$65,MATCH($D64,'Monthly UPC'!$D$2:$D$65,0),MATCH(BN$1,'Monthly UPC'!$CM$1:$DJ$1))*(INDEX('Monthly CUST'!$N$2:$CG$65,MATCH($D64,'Monthly CUST'!$D$2:$D$65,0),MATCH(BN$1,'Monthly CUST'!$N$1:$CG$1,0))),IF($J64="UPC Growth Rate",((BB64/INDEX('Monthly CUST'!$N$2:$CG$65,MATCH($D64,'Monthly CUST'!$D$2:$D$65,0),MATCH(BB$1,'Monthly CUST'!$N$1:$CG$1,0)))*(1+$L64)*INDEX('Monthly CUST'!$N$2:$CG$65,MATCH($D64,'Monthly CUST'!$D$2:$D$65,0),MATCH(BN$1,'Monthly CUST'!$N$1:$CG$1,0))),IF($J64="Modeled UPC",INDEX('Monthly CUST'!$N$2:$CG$65,MATCH($D64,'Monthly CUST'!$D$2:$D$65,0),MATCH(BN$1,'Monthly CUST'!$N$1:$CG$1,0))/12*$M64,IF($J64="Base Period",BB64,IF($J64="Adjusted",SUMIF('Input 15_Fcst Inputs'!$A:$A,$D64,'Input 15_Fcst Inputs'!$G:$G)/12))))),0)</f>
        <v>0</v>
      </c>
      <c r="BO64" s="483">
        <f>IFERROR(IF($J64="Historical Average",INDEX('Monthly UPC'!$CM$2:$DJ$65,MATCH($D64,'Monthly UPC'!$D$2:$D$65,0),MATCH(BO$1,'Monthly UPC'!$CM$1:$DJ$1))*(INDEX('Monthly CUST'!$N$2:$CG$65,MATCH($D64,'Monthly CUST'!$D$2:$D$65,0),MATCH(BO$1,'Monthly CUST'!$N$1:$CG$1,0))),IF($J64="UPC Growth Rate",((BC64/INDEX('Monthly CUST'!$N$2:$CG$65,MATCH($D64,'Monthly CUST'!$D$2:$D$65,0),MATCH(BC$1,'Monthly CUST'!$N$1:$CG$1,0)))*(1+$L64)*INDEX('Monthly CUST'!$N$2:$CG$65,MATCH($D64,'Monthly CUST'!$D$2:$D$65,0),MATCH(BO$1,'Monthly CUST'!$N$1:$CG$1,0))),IF($J64="Modeled UPC",INDEX('Monthly CUST'!$N$2:$CG$65,MATCH($D64,'Monthly CUST'!$D$2:$D$65,0),MATCH(BO$1,'Monthly CUST'!$N$1:$CG$1,0))/12*$M64,IF($J64="Base Period",BC64,IF($J64="Adjusted",SUMIF('Input 15_Fcst Inputs'!$A:$A,$D64,'Input 15_Fcst Inputs'!$G:$G)/12))))),0)</f>
        <v>0</v>
      </c>
      <c r="BP64" s="483">
        <f>IFERROR(IF($J64="Historical Average",INDEX('Monthly UPC'!$CM$2:$DJ$65,MATCH($D64,'Monthly UPC'!$D$2:$D$65,0),MATCH(BP$1,'Monthly UPC'!$CM$1:$DJ$1))*(INDEX('Monthly CUST'!$N$2:$CG$65,MATCH($D64,'Monthly CUST'!$D$2:$D$65,0),MATCH(BP$1,'Monthly CUST'!$N$1:$CG$1,0))),IF($J64="UPC Growth Rate",((BD64/INDEX('Monthly CUST'!$N$2:$CG$65,MATCH($D64,'Monthly CUST'!$D$2:$D$65,0),MATCH(BD$1,'Monthly CUST'!$N$1:$CG$1,0)))*(1+$L64)*INDEX('Monthly CUST'!$N$2:$CG$65,MATCH($D64,'Monthly CUST'!$D$2:$D$65,0),MATCH(BP$1,'Monthly CUST'!$N$1:$CG$1,0))),IF($J64="Modeled UPC",INDEX('Monthly CUST'!$N$2:$CG$65,MATCH($D64,'Monthly CUST'!$D$2:$D$65,0),MATCH(BP$1,'Monthly CUST'!$N$1:$CG$1,0))/12*$M64,IF($J64="Base Period",BD64,IF($J64="Adjusted",SUMIF('Input 15_Fcst Inputs'!$A:$A,$D64,'Input 15_Fcst Inputs'!$G:$G)/12))))),0)</f>
        <v>0</v>
      </c>
      <c r="BQ64" s="483">
        <f>IFERROR(IF($J64="Historical Average",INDEX('Monthly UPC'!$CM$2:$DJ$65,MATCH($D64,'Monthly UPC'!$D$2:$D$65,0),MATCH(BQ$1,'Monthly UPC'!$CM$1:$DJ$1))*(INDEX('Monthly CUST'!$N$2:$CG$65,MATCH($D64,'Monthly CUST'!$D$2:$D$65,0),MATCH(BQ$1,'Monthly CUST'!$N$1:$CG$1,0))),IF($J64="UPC Growth Rate",((BE64/INDEX('Monthly CUST'!$N$2:$CG$65,MATCH($D64,'Monthly CUST'!$D$2:$D$65,0),MATCH(BE$1,'Monthly CUST'!$N$1:$CG$1,0)))*(1+$L64)*INDEX('Monthly CUST'!$N$2:$CG$65,MATCH($D64,'Monthly CUST'!$D$2:$D$65,0),MATCH(BQ$1,'Monthly CUST'!$N$1:$CG$1,0))),IF($J64="Modeled UPC",INDEX('Monthly CUST'!$N$2:$CG$65,MATCH($D64,'Monthly CUST'!$D$2:$D$65,0),MATCH(BQ$1,'Monthly CUST'!$N$1:$CG$1,0))/12*$M64,IF($J64="Base Period",BE64,IF($J64="Adjusted",SUMIF('Input 15_Fcst Inputs'!$A:$A,$D64,'Input 15_Fcst Inputs'!$G:$G)/12))))),0)</f>
        <v>0</v>
      </c>
      <c r="BR64" s="483">
        <f>IFERROR(IF($J64="Historical Average",INDEX('Monthly UPC'!$CM$2:$DJ$65,MATCH($D64,'Monthly UPC'!$D$2:$D$65,0),MATCH(BR$1,'Monthly UPC'!$CM$1:$DJ$1))*(INDEX('Monthly CUST'!$N$2:$CG$65,MATCH($D64,'Monthly CUST'!$D$2:$D$65,0),MATCH(BR$1,'Monthly CUST'!$N$1:$CG$1,0))),IF($J64="UPC Growth Rate",((BF64/INDEX('Monthly CUST'!$N$2:$CG$65,MATCH($D64,'Monthly CUST'!$D$2:$D$65,0),MATCH(BF$1,'Monthly CUST'!$N$1:$CG$1,0)))*(1+$L64)*INDEX('Monthly CUST'!$N$2:$CG$65,MATCH($D64,'Monthly CUST'!$D$2:$D$65,0),MATCH(BR$1,'Monthly CUST'!$N$1:$CG$1,0))),IF($J64="Modeled UPC",INDEX('Monthly CUST'!$N$2:$CG$65,MATCH($D64,'Monthly CUST'!$D$2:$D$65,0),MATCH(BR$1,'Monthly CUST'!$N$1:$CG$1,0))/12*$M64,IF($J64="Base Period",BF64,IF($J64="Adjusted",SUMIF('Input 15_Fcst Inputs'!$A:$A,$D64,'Input 15_Fcst Inputs'!$G:$G)/12))))),0)</f>
        <v>0</v>
      </c>
      <c r="BS64" s="483">
        <f>IFERROR(IF($J64="Historical Average",INDEX('Monthly UPC'!$CM$2:$DJ$65,MATCH($D64,'Monthly UPC'!$D$2:$D$65,0),MATCH(BS$1,'Monthly UPC'!$CM$1:$DJ$1))*(INDEX('Monthly CUST'!$N$2:$CG$65,MATCH($D64,'Monthly CUST'!$D$2:$D$65,0),MATCH(BS$1,'Monthly CUST'!$N$1:$CG$1,0))),IF($J64="UPC Growth Rate",((BG64/INDEX('Monthly CUST'!$N$2:$CG$65,MATCH($D64,'Monthly CUST'!$D$2:$D$65,0),MATCH(BG$1,'Monthly CUST'!$N$1:$CG$1,0)))*(1+$L64)*INDEX('Monthly CUST'!$N$2:$CG$65,MATCH($D64,'Monthly CUST'!$D$2:$D$65,0),MATCH(BS$1,'Monthly CUST'!$N$1:$CG$1,0))),IF($J64="Modeled UPC",INDEX('Monthly CUST'!$N$2:$CG$65,MATCH($D64,'Monthly CUST'!$D$2:$D$65,0),MATCH(BS$1,'Monthly CUST'!$N$1:$CG$1,0))/12*$M64,IF($J64="Base Period",BG64,IF($J64="Adjusted",SUMIF('Input 15_Fcst Inputs'!$A:$A,$D64,'Input 15_Fcst Inputs'!$G:$G)/12))))),0)</f>
        <v>0</v>
      </c>
      <c r="BT64" s="483">
        <f>IFERROR(IF($J64="Historical Average",INDEX('Monthly UPC'!$CM$2:$DJ$65,MATCH($D64,'Monthly UPC'!$D$2:$D$65,0),MATCH(BT$1,'Monthly UPC'!$CM$1:$DJ$1))*(INDEX('Monthly CUST'!$N$2:$CG$65,MATCH($D64,'Monthly CUST'!$D$2:$D$65,0),MATCH(BT$1,'Monthly CUST'!$N$1:$CG$1,0))),IF($J64="UPC Growth Rate",((BH64/INDEX('Monthly CUST'!$N$2:$CG$65,MATCH($D64,'Monthly CUST'!$D$2:$D$65,0),MATCH(BH$1,'Monthly CUST'!$N$1:$CG$1,0)))*(1+$L64)*INDEX('Monthly CUST'!$N$2:$CG$65,MATCH($D64,'Monthly CUST'!$D$2:$D$65,0),MATCH(BT$1,'Monthly CUST'!$N$1:$CG$1,0))),IF($J64="Modeled UPC",INDEX('Monthly CUST'!$N$2:$CG$65,MATCH($D64,'Monthly CUST'!$D$2:$D$65,0),MATCH(BT$1,'Monthly CUST'!$N$1:$CG$1,0))/12*$M64,IF($J64="Base Period",BH64,IF($J64="Adjusted",SUMIF('Input 15_Fcst Inputs'!$A:$A,$D64,'Input 15_Fcst Inputs'!$G:$G)/12))))),0)</f>
        <v>0</v>
      </c>
      <c r="BU64" s="483">
        <f>IFERROR(IF($J64="Historical Average",INDEX('Monthly UPC'!$CM$2:$DJ$65,MATCH($D64,'Monthly UPC'!$D$2:$D$65,0),MATCH(BU$1,'Monthly UPC'!$CM$1:$DJ$1))*(INDEX('Monthly CUST'!$N$2:$CG$65,MATCH($D64,'Monthly CUST'!$D$2:$D$65,0),MATCH(BU$1,'Monthly CUST'!$N$1:$CG$1,0))),IF($J64="UPC Growth Rate",((BI64/INDEX('Monthly CUST'!$N$2:$CG$65,MATCH($D64,'Monthly CUST'!$D$2:$D$65,0),MATCH(BI$1,'Monthly CUST'!$N$1:$CG$1,0)))*(1+$L64)*INDEX('Monthly CUST'!$N$2:$CG$65,MATCH($D64,'Monthly CUST'!$D$2:$D$65,0),MATCH(BU$1,'Monthly CUST'!$N$1:$CG$1,0))),IF($J64="Modeled UPC",INDEX('Monthly CUST'!$N$2:$CG$65,MATCH($D64,'Monthly CUST'!$D$2:$D$65,0),MATCH(BU$1,'Monthly CUST'!$N$1:$CG$1,0))/12*$M64,IF($J64="Base Period",BI64,IF($J64="Adjusted",SUMIF('Input 15_Fcst Inputs'!$A:$A,$D64,'Input 15_Fcst Inputs'!$G:$G)/12))))),0)</f>
        <v>0</v>
      </c>
      <c r="BV64" s="483">
        <f>IFERROR(IF($J64="Historical Average",INDEX('Monthly UPC'!$CM$2:$DJ$65,MATCH($D64,'Monthly UPC'!$D$2:$D$65,0),MATCH(BV$1,'Monthly UPC'!$CM$1:$DJ$1))*(INDEX('Monthly CUST'!$N$2:$CG$65,MATCH($D64,'Monthly CUST'!$D$2:$D$65,0),MATCH(BV$1,'Monthly CUST'!$N$1:$CG$1,0))),IF($J64="UPC Growth Rate",((BJ64/INDEX('Monthly CUST'!$N$2:$CG$65,MATCH($D64,'Monthly CUST'!$D$2:$D$65,0),MATCH(BJ$1,'Monthly CUST'!$N$1:$CG$1,0)))*(1+$L64)*INDEX('Monthly CUST'!$N$2:$CG$65,MATCH($D64,'Monthly CUST'!$D$2:$D$65,0),MATCH(BV$1,'Monthly CUST'!$N$1:$CG$1,0))),IF($J64="Modeled UPC",INDEX('Monthly CUST'!$N$2:$CG$65,MATCH($D64,'Monthly CUST'!$D$2:$D$65,0),MATCH(BV$1,'Monthly CUST'!$N$1:$CG$1,0))/12*$M64,IF($J64="Base Period",BJ64,IF($J64="Adjusted",SUMIF('Input 15_Fcst Inputs'!$A:$A,$D64,'Input 15_Fcst Inputs'!$G:$G)/12))))),0)</f>
        <v>0</v>
      </c>
      <c r="BW64" s="483">
        <f>IFERROR(IF($J64="Historical Average",INDEX('Monthly UPC'!$CM$2:$DJ$65,MATCH($D64,'Monthly UPC'!$D$2:$D$65,0),MATCH(BW$1,'Monthly UPC'!$CM$1:$DJ$1))*(INDEX('Monthly CUST'!$N$2:$CG$65,MATCH($D64,'Monthly CUST'!$D$2:$D$65,0),MATCH(BW$1,'Monthly CUST'!$N$1:$CG$1,0))),IF($J64="UPC Growth Rate",((BK64/INDEX('Monthly CUST'!$N$2:$CG$65,MATCH($D64,'Monthly CUST'!$D$2:$D$65,0),MATCH(BK$1,'Monthly CUST'!$N$1:$CG$1,0)))*(1+$L64)*INDEX('Monthly CUST'!$N$2:$CG$65,MATCH($D64,'Monthly CUST'!$D$2:$D$65,0),MATCH(BW$1,'Monthly CUST'!$N$1:$CG$1,0))),IF($J64="Modeled UPC",INDEX('Monthly CUST'!$N$2:$CG$65,MATCH($D64,'Monthly CUST'!$D$2:$D$65,0),MATCH(BW$1,'Monthly CUST'!$N$1:$CG$1,0))/12*$M64,IF($J64="Base Period",BK64,IF($J64="Adjusted",SUMIF('Input 15_Fcst Inputs'!$A:$A,$D64,'Input 15_Fcst Inputs'!$G:$G)/12))))),0)</f>
        <v>0</v>
      </c>
      <c r="BX64" s="483">
        <f>IFERROR(IF($J64="Historical Average",INDEX('Monthly UPC'!$CM$2:$DJ$65,MATCH($D64,'Monthly UPC'!$D$2:$D$65,0),MATCH(BX$1,'Monthly UPC'!$CM$1:$DJ$1))*(INDEX('Monthly CUST'!$N$2:$CG$65,MATCH($D64,'Monthly CUST'!$D$2:$D$65,0),MATCH(BX$1,'Monthly CUST'!$N$1:$CG$1,0))),IF($J64="UPC Growth Rate",((BL64/INDEX('Monthly CUST'!$N$2:$CG$65,MATCH($D64,'Monthly CUST'!$D$2:$D$65,0),MATCH(BL$1,'Monthly CUST'!$N$1:$CG$1,0)))*(1+$L64)*INDEX('Monthly CUST'!$N$2:$CG$65,MATCH($D64,'Monthly CUST'!$D$2:$D$65,0),MATCH(BX$1,'Monthly CUST'!$N$1:$CG$1,0))),IF($J64="Modeled UPC",INDEX('Monthly CUST'!$N$2:$CG$65,MATCH($D64,'Monthly CUST'!$D$2:$D$65,0),MATCH(BX$1,'Monthly CUST'!$N$1:$CG$1,0))/12*$M64,IF($J64="Base Period",BL64,IF($J64="Adjusted",SUMIF('Input 15_Fcst Inputs'!$A:$A,$D64,'Input 15_Fcst Inputs'!$G:$G)/12))))),0)</f>
        <v>0</v>
      </c>
      <c r="BY64" s="483">
        <f>IFERROR(IF($J64="Historical Average",INDEX('Monthly UPC'!$CM$2:$DJ$65,MATCH($D64,'Monthly UPC'!$D$2:$D$65,0),MATCH(BY$1,'Monthly UPC'!$CM$1:$DJ$1))*(INDEX('Monthly CUST'!$N$2:$CG$65,MATCH($D64,'Monthly CUST'!$D$2:$D$65,0),MATCH(BY$1,'Monthly CUST'!$N$1:$CG$1,0))),IF($J64="UPC Growth Rate",((BM64/INDEX('Monthly CUST'!$N$2:$CG$65,MATCH($D64,'Monthly CUST'!$D$2:$D$65,0),MATCH(BM$1,'Monthly CUST'!$N$1:$CG$1,0)))*(1+$L64)*INDEX('Monthly CUST'!$N$2:$CG$65,MATCH($D64,'Monthly CUST'!$D$2:$D$65,0),MATCH(BY$1,'Monthly CUST'!$N$1:$CG$1,0))),IF($J64="Modeled UPC",INDEX('Monthly CUST'!$N$2:$CG$65,MATCH($D64,'Monthly CUST'!$D$2:$D$65,0),MATCH(BY$1,'Monthly CUST'!$N$1:$CG$1,0))/12*$M64,IF($J64="Base Period",BM64,IF($J64="Adjusted",SUMIF('Input 15_Fcst Inputs'!$A:$A,$D64,'Input 15_Fcst Inputs'!$G:$G)/12))))),0)</f>
        <v>0</v>
      </c>
      <c r="BZ64" s="483">
        <f>IFERROR(IF($J64="Historical Average",INDEX('Monthly UPC'!$CM$2:$DJ$65,MATCH($D64,'Monthly UPC'!$D$2:$D$65,0),MATCH(BZ$1,'Monthly UPC'!$CM$1:$DJ$1))*(INDEX('Monthly CUST'!$N$2:$CG$65,MATCH($D64,'Monthly CUST'!$D$2:$D$65,0),MATCH(BZ$1,'Monthly CUST'!$N$1:$CG$1,0))),IF($J64="UPC Growth Rate",((BN64/INDEX('Monthly CUST'!$N$2:$CG$65,MATCH($D64,'Monthly CUST'!$D$2:$D$65,0),MATCH(BN$1,'Monthly CUST'!$N$1:$CG$1,0)))*(1+$L64)*INDEX('Monthly CUST'!$N$2:$CG$65,MATCH($D64,'Monthly CUST'!$D$2:$D$65,0),MATCH(BZ$1,'Monthly CUST'!$N$1:$CG$1,0))),IF($J64="Modeled UPC",INDEX('Monthly CUST'!$N$2:$CG$65,MATCH($D64,'Monthly CUST'!$D$2:$D$65,0),MATCH(BZ$1,'Monthly CUST'!$N$1:$CG$1,0))/12*$M64,IF($J64="Base Period",BN64,IF($J64="Adjusted",SUMIF('Input 15_Fcst Inputs'!$A:$A,$D64,'Input 15_Fcst Inputs'!$G:$G)/12))))),0)</f>
        <v>0</v>
      </c>
      <c r="CA64" s="483">
        <f>IFERROR(IF($J64="Historical Average",INDEX('Monthly UPC'!$CM$2:$DJ$65,MATCH($D64,'Monthly UPC'!$D$2:$D$65,0),MATCH(CA$1,'Monthly UPC'!$CM$1:$DJ$1))*(INDEX('Monthly CUST'!$N$2:$CG$65,MATCH($D64,'Monthly CUST'!$D$2:$D$65,0),MATCH(CA$1,'Monthly CUST'!$N$1:$CG$1,0))),IF($J64="UPC Growth Rate",((BO64/INDEX('Monthly CUST'!$N$2:$CG$65,MATCH($D64,'Monthly CUST'!$D$2:$D$65,0),MATCH(BO$1,'Monthly CUST'!$N$1:$CG$1,0)))*(1+$L64)*INDEX('Monthly CUST'!$N$2:$CG$65,MATCH($D64,'Monthly CUST'!$D$2:$D$65,0),MATCH(CA$1,'Monthly CUST'!$N$1:$CG$1,0))),IF($J64="Modeled UPC",INDEX('Monthly CUST'!$N$2:$CG$65,MATCH($D64,'Monthly CUST'!$D$2:$D$65,0),MATCH(CA$1,'Monthly CUST'!$N$1:$CG$1,0))/12*$M64,IF($J64="Base Period",BO64,IF($J64="Adjusted",SUMIF('Input 15_Fcst Inputs'!$A:$A,$D64,'Input 15_Fcst Inputs'!$G:$G)/12))))),0)</f>
        <v>0</v>
      </c>
      <c r="CB64" s="483">
        <f>IFERROR(IF($J64="Historical Average",INDEX('Monthly UPC'!$CM$2:$DJ$65,MATCH($D64,'Monthly UPC'!$D$2:$D$65,0),MATCH(CB$1,'Monthly UPC'!$CM$1:$DJ$1))*(INDEX('Monthly CUST'!$N$2:$CG$65,MATCH($D64,'Monthly CUST'!$D$2:$D$65,0),MATCH(CB$1,'Monthly CUST'!$N$1:$CG$1,0))),IF($J64="UPC Growth Rate",((BP64/INDEX('Monthly CUST'!$N$2:$CG$65,MATCH($D64,'Monthly CUST'!$D$2:$D$65,0),MATCH(BP$1,'Monthly CUST'!$N$1:$CG$1,0)))*(1+$L64)*INDEX('Monthly CUST'!$N$2:$CG$65,MATCH($D64,'Monthly CUST'!$D$2:$D$65,0),MATCH(CB$1,'Monthly CUST'!$N$1:$CG$1,0))),IF($J64="Modeled UPC",INDEX('Monthly CUST'!$N$2:$CG$65,MATCH($D64,'Monthly CUST'!$D$2:$D$65,0),MATCH(CB$1,'Monthly CUST'!$N$1:$CG$1,0))/12*$M64,IF($J64="Base Period",BP64,IF($J64="Adjusted",SUMIF('Input 15_Fcst Inputs'!$A:$A,$D64,'Input 15_Fcst Inputs'!$G:$G)/12))))),0)</f>
        <v>0</v>
      </c>
      <c r="CC64" s="483">
        <f>IFERROR(IF($J64="Historical Average",INDEX('Monthly UPC'!$CM$2:$DJ$65,MATCH($D64,'Monthly UPC'!$D$2:$D$65,0),MATCH(CC$1,'Monthly UPC'!$CM$1:$DJ$1))*(INDEX('Monthly CUST'!$N$2:$CG$65,MATCH($D64,'Monthly CUST'!$D$2:$D$65,0),MATCH(CC$1,'Monthly CUST'!$N$1:$CG$1,0))),IF($J64="UPC Growth Rate",((BQ64/INDEX('Monthly CUST'!$N$2:$CG$65,MATCH($D64,'Monthly CUST'!$D$2:$D$65,0),MATCH(BQ$1,'Monthly CUST'!$N$1:$CG$1,0)))*(1+$L64)*INDEX('Monthly CUST'!$N$2:$CG$65,MATCH($D64,'Monthly CUST'!$D$2:$D$65,0),MATCH(CC$1,'Monthly CUST'!$N$1:$CG$1,0))),IF($J64="Modeled UPC",INDEX('Monthly CUST'!$N$2:$CG$65,MATCH($D64,'Monthly CUST'!$D$2:$D$65,0),MATCH(CC$1,'Monthly CUST'!$N$1:$CG$1,0))/12*$M64,IF($J64="Base Period",BQ64,IF($J64="Adjusted",SUMIF('Input 15_Fcst Inputs'!$A:$A,$D64,'Input 15_Fcst Inputs'!$G:$G)/12))))),0)</f>
        <v>0</v>
      </c>
      <c r="CD64" s="483">
        <f>IFERROR(IF($J64="Historical Average",INDEX('Monthly UPC'!$CM$2:$DJ$65,MATCH($D64,'Monthly UPC'!$D$2:$D$65,0),MATCH(CD$1,'Monthly UPC'!$CM$1:$DJ$1))*(INDEX('Monthly CUST'!$N$2:$CG$65,MATCH($D64,'Monthly CUST'!$D$2:$D$65,0),MATCH(CD$1,'Monthly CUST'!$N$1:$CG$1,0))),IF($J64="UPC Growth Rate",((BR64/INDEX('Monthly CUST'!$N$2:$CG$65,MATCH($D64,'Monthly CUST'!$D$2:$D$65,0),MATCH(BR$1,'Monthly CUST'!$N$1:$CG$1,0)))*(1+$L64)*INDEX('Monthly CUST'!$N$2:$CG$65,MATCH($D64,'Monthly CUST'!$D$2:$D$65,0),MATCH(CD$1,'Monthly CUST'!$N$1:$CG$1,0))),IF($J64="Modeled UPC",INDEX('Monthly CUST'!$N$2:$CG$65,MATCH($D64,'Monthly CUST'!$D$2:$D$65,0),MATCH(CD$1,'Monthly CUST'!$N$1:$CG$1,0))/12*$M64,IF($J64="Base Period",BR64,IF($J64="Adjusted",SUMIF('Input 15_Fcst Inputs'!$A:$A,$D64,'Input 15_Fcst Inputs'!$G:$G)/12))))),0)</f>
        <v>0</v>
      </c>
      <c r="CE64" s="483">
        <f>IFERROR(IF($J64="Historical Average",INDEX('Monthly UPC'!$CM$2:$DJ$65,MATCH($D64,'Monthly UPC'!$D$2:$D$65,0),MATCH(CE$1,'Monthly UPC'!$CM$1:$DJ$1))*(INDEX('Monthly CUST'!$N$2:$CG$65,MATCH($D64,'Monthly CUST'!$D$2:$D$65,0),MATCH(CE$1,'Monthly CUST'!$N$1:$CG$1,0))),IF($J64="UPC Growth Rate",((BS64/INDEX('Monthly CUST'!$N$2:$CG$65,MATCH($D64,'Monthly CUST'!$D$2:$D$65,0),MATCH(BS$1,'Monthly CUST'!$N$1:$CG$1,0)))*(1+$L64)*INDEX('Monthly CUST'!$N$2:$CG$65,MATCH($D64,'Monthly CUST'!$D$2:$D$65,0),MATCH(CE$1,'Monthly CUST'!$N$1:$CG$1,0))),IF($J64="Modeled UPC",INDEX('Monthly CUST'!$N$2:$CG$65,MATCH($D64,'Monthly CUST'!$D$2:$D$65,0),MATCH(CE$1,'Monthly CUST'!$N$1:$CG$1,0))/12*$M64,IF($J64="Base Period",BS64,IF($J64="Adjusted",SUMIF('Input 15_Fcst Inputs'!$A:$A,$D64,'Input 15_Fcst Inputs'!$G:$G)/12))))),0)</f>
        <v>0</v>
      </c>
      <c r="CF64" s="483">
        <f>IFERROR(IF($J64="Historical Average",INDEX('Monthly UPC'!$CM$2:$DJ$65,MATCH($D64,'Monthly UPC'!$D$2:$D$65,0),MATCH(CF$1,'Monthly UPC'!$CM$1:$DJ$1))*(INDEX('Monthly CUST'!$N$2:$CG$65,MATCH($D64,'Monthly CUST'!$D$2:$D$65,0),MATCH(CF$1,'Monthly CUST'!$N$1:$CG$1,0))),IF($J64="UPC Growth Rate",((BT64/INDEX('Monthly CUST'!$N$2:$CG$65,MATCH($D64,'Monthly CUST'!$D$2:$D$65,0),MATCH(BT$1,'Monthly CUST'!$N$1:$CG$1,0)))*(1+$L64)*INDEX('Monthly CUST'!$N$2:$CG$65,MATCH($D64,'Monthly CUST'!$D$2:$D$65,0),MATCH(CF$1,'Monthly CUST'!$N$1:$CG$1,0))),IF($J64="Modeled UPC",INDEX('Monthly CUST'!$N$2:$CG$65,MATCH($D64,'Monthly CUST'!$D$2:$D$65,0),MATCH(CF$1,'Monthly CUST'!$N$1:$CG$1,0))/12*$M64,IF($J64="Base Period",BT64,IF($J64="Adjusted",SUMIF('Input 15_Fcst Inputs'!$A:$A,$D64,'Input 15_Fcst Inputs'!$G:$G)/12))))),0)</f>
        <v>0</v>
      </c>
      <c r="CG64" s="483">
        <f>IFERROR(IF($J64="Historical Average",INDEX('Monthly UPC'!$CM$2:$DJ$65,MATCH($D64,'Monthly UPC'!$D$2:$D$65,0),MATCH(CG$1,'Monthly UPC'!$CM$1:$DJ$1))*(INDEX('Monthly CUST'!$N$2:$CG$65,MATCH($D64,'Monthly CUST'!$D$2:$D$65,0),MATCH(CG$1,'Monthly CUST'!$N$1:$CG$1,0))),IF($J64="UPC Growth Rate",((BU64/INDEX('Monthly CUST'!$N$2:$CG$65,MATCH($D64,'Monthly CUST'!$D$2:$D$65,0),MATCH(BU$1,'Monthly CUST'!$N$1:$CG$1,0)))*(1+$L64)*INDEX('Monthly CUST'!$N$2:$CG$65,MATCH($D64,'Monthly CUST'!$D$2:$D$65,0),MATCH(CG$1,'Monthly CUST'!$N$1:$CG$1,0))),IF($J64="Modeled UPC",INDEX('Monthly CUST'!$N$2:$CG$65,MATCH($D64,'Monthly CUST'!$D$2:$D$65,0),MATCH(CG$1,'Monthly CUST'!$N$1:$CG$1,0))/12*$M64,IF($J64="Base Period",BU64,IF($J64="Adjusted",SUMIF('Input 15_Fcst Inputs'!$A:$A,$D64,'Input 15_Fcst Inputs'!$G:$G)/12))))),0)</f>
        <v>0</v>
      </c>
      <c r="CH64" s="197"/>
      <c r="CI64" s="197">
        <f t="shared" si="8"/>
        <v>0</v>
      </c>
      <c r="CJ64" s="197">
        <f t="shared" si="9"/>
        <v>0</v>
      </c>
      <c r="CK64" s="197">
        <f t="shared" si="10"/>
        <v>0</v>
      </c>
      <c r="CL64" s="197">
        <f t="shared" si="11"/>
        <v>0</v>
      </c>
      <c r="CM64" s="197">
        <f t="shared" si="12"/>
        <v>0</v>
      </c>
      <c r="CN64" s="197">
        <f t="shared" si="13"/>
        <v>0</v>
      </c>
      <c r="CP64" s="4">
        <f>SUMIF('Master '!D:D,D64,'Master '!AH:AH)</f>
        <v>0</v>
      </c>
      <c r="CQ64" s="4">
        <f>SUMIF('Master '!D:D,D64,'Master '!AI:AI)</f>
        <v>0</v>
      </c>
      <c r="CR64" s="197">
        <f t="shared" si="14"/>
        <v>0</v>
      </c>
      <c r="CS64" s="197">
        <f t="shared" si="15"/>
        <v>0</v>
      </c>
      <c r="CT64" t="s">
        <v>287</v>
      </c>
      <c r="CV64" t="str">
        <f>VLOOKUP(G64,'Master '!G:CC,75,FALSE)</f>
        <v>FTS-13</v>
      </c>
    </row>
    <row r="65" spans="1:100" s="476" customFormat="1" ht="13.5" thickBot="1">
      <c r="A65" s="474" t="s">
        <v>17</v>
      </c>
      <c r="B65" s="474" t="s">
        <v>993</v>
      </c>
      <c r="C65" s="474" t="s">
        <v>1245</v>
      </c>
      <c r="D65" s="474" t="s">
        <v>83</v>
      </c>
      <c r="E65" s="474" t="str">
        <f>VLOOKUP(D65,'Input 14_Ref Table'!C:D,2,FALSE)</f>
        <v>CCNGV</v>
      </c>
      <c r="F65" s="475" t="s">
        <v>1286</v>
      </c>
      <c r="G65" s="474" t="str">
        <f>VLOOKUP(D65,'Input 14_Ref Table'!C:I,7,FALSE)</f>
        <v>CFG - FTS-NGV</v>
      </c>
      <c r="H65" s="474" t="str">
        <f>VLOOKUP(D65,'Input 14_Ref Table'!C:K,8,FALSE)</f>
        <v>Base Period</v>
      </c>
      <c r="I65" s="474"/>
      <c r="J65" s="476" t="str">
        <f>INDEX('Master '!$AD$2:AD$65,MATCH(D65,'Master '!$D$2:$D$65,0))</f>
        <v>Adjusted</v>
      </c>
      <c r="K65" s="477">
        <f>INDEX('Master '!$N$2:N$65,MATCH(D65,'Master '!$D$2:$D$65,0))</f>
        <v>0</v>
      </c>
      <c r="L65" s="478">
        <f>INDEX('Master '!$S$2:S$65,MATCH(D65,'Master '!$D$2:$D$65,0))</f>
        <v>0</v>
      </c>
      <c r="M65" s="479">
        <f>INDEX('Master '!$W$2:W$65,MATCH(D65,'Master '!$D$2:$D$65,0))</f>
        <v>887806.67999999982</v>
      </c>
      <c r="N65" s="480">
        <f>SUMIF('Input 16.1_2018VOL-YTD'!$R:$R,$G65,'Input 16.1_2018VOL-YTD'!C:C)</f>
        <v>0</v>
      </c>
      <c r="O65" s="480">
        <f>SUMIF('Input 16.1_2018VOL-YTD'!$R:$R,$G65,'Input 16.1_2018VOL-YTD'!D:D)</f>
        <v>0</v>
      </c>
      <c r="P65" s="480">
        <f>SUMIF('Input 16.1_2018VOL-YTD'!$R:$R,$G65,'Input 16.1_2018VOL-YTD'!E:E)</f>
        <v>0</v>
      </c>
      <c r="Q65" s="480">
        <f>SUMIF('Input 16.1_2018VOL-YTD'!$R:$R,$G65,'Input 16.1_2018VOL-YTD'!F:F)</f>
        <v>0</v>
      </c>
      <c r="R65" s="480">
        <f>SUMIF('Input 16.1_2018VOL-YTD'!$R:$R,$G65,'Input 16.1_2018VOL-YTD'!G:G)</f>
        <v>0</v>
      </c>
      <c r="S65" s="480">
        <f>SUMIF('Input 16.1_2018VOL-YTD'!$R:$R,$G65,'Input 16.1_2018VOL-YTD'!H:H)</f>
        <v>0</v>
      </c>
      <c r="T65" s="480">
        <f>SUMIF('Input 16.1_2018VOL-YTD'!$R:$R,$G65,'Input 16.1_2018VOL-YTD'!I:I)</f>
        <v>0</v>
      </c>
      <c r="U65" s="480">
        <f>SUMIF('Input 16.1_2018VOL-YTD'!$R:$R,$G65,'Input 16.1_2018VOL-YTD'!J:J)</f>
        <v>0</v>
      </c>
      <c r="V65" s="480">
        <f>SUMIF('Input 16.1_2018VOL-YTD'!$R:$R,$G65,'Input 16.1_2018VOL-YTD'!K:K)</f>
        <v>0</v>
      </c>
      <c r="W65" s="480">
        <f>SUMIF('Input 16.1_2018VOL-YTD'!$R:$R,$G65,'Input 16.1_2018VOL-YTD'!L:L)</f>
        <v>0</v>
      </c>
      <c r="X65" s="480">
        <f>SUMIF('Input 16.1_2018VOL-YTD'!$R:$R,$G65,'Input 16.1_2018VOL-YTD'!M:M)</f>
        <v>0</v>
      </c>
      <c r="Y65" s="480">
        <f>SUMIF('Input 16.1_2018VOL-YTD'!$R:$R,$G65,'Input 16.1_2018VOL-YTD'!N:N)</f>
        <v>0</v>
      </c>
      <c r="Z65" s="480">
        <f>SUMIF('Input 3.1_2019VOL-YTD'!$R:$R,$G65,'Input 3.1_2019VOL-YTD'!C:C)</f>
        <v>0</v>
      </c>
      <c r="AA65" s="480">
        <f>SUMIF('Input 3.1_2019VOL-YTD'!$R:$R,$G65,'Input 3.1_2019VOL-YTD'!D:D)</f>
        <v>0</v>
      </c>
      <c r="AB65" s="480">
        <f>SUMIF('Input 3.1_2019VOL-YTD'!$R:$R,$G65,'Input 3.1_2019VOL-YTD'!E:E)</f>
        <v>0</v>
      </c>
      <c r="AC65" s="480">
        <f>SUMIF('Input 3.1_2019VOL-YTD'!$R:$R,$G65,'Input 3.1_2019VOL-YTD'!F:F)</f>
        <v>190819</v>
      </c>
      <c r="AD65" s="480">
        <f>SUMIF('Input 3.1_2019VOL-YTD'!$R:$R,$G65,'Input 3.1_2019VOL-YTD'!G:G)</f>
        <v>202376</v>
      </c>
      <c r="AE65" s="480">
        <f>SUMIF('Input 3.1_2019VOL-YTD'!$R:$R,$G65,'Input 3.1_2019VOL-YTD'!H:H)</f>
        <v>193570</v>
      </c>
      <c r="AF65" s="480">
        <f>SUMIF('Input 3.1_2019VOL-YTD'!$R:$R,$G65,'Input 3.1_2019VOL-YTD'!I:I)</f>
        <v>203154</v>
      </c>
      <c r="AG65" s="480">
        <f>SUMIF('Input 3.1_2019VOL-YTD'!$R:$R,$G65,'Input 3.1_2019VOL-YTD'!J:J)</f>
        <v>196843</v>
      </c>
      <c r="AH65" s="480">
        <f>SUMIF('Input 3.1_2019VOL-YTD'!$R:$R,$G65,'Input 3.1_2019VOL-YTD'!K:K)</f>
        <v>192031</v>
      </c>
      <c r="AI65" s="480">
        <f>SUMIF('Input 3.1_2019VOL-YTD'!$R:$R,$G65,'Input 3.1_2019VOL-YTD'!L:L)</f>
        <v>175928.4</v>
      </c>
      <c r="AJ65" s="480">
        <f>SUMIF('Input 3.1_2019VOL-YTD'!$R:$R,$G65,'Input 3.1_2019VOL-YTD'!M:M)</f>
        <v>151375.10999999999</v>
      </c>
      <c r="AK65" s="480">
        <f>SUMIF('Input 3.1_2019VOL-YTD'!$R:$R,$G65,'Input 3.1_2019VOL-YTD'!N:N)</f>
        <v>139744.84</v>
      </c>
      <c r="AL65" s="480">
        <f>SUMIF('Input 4.1_2020VOL-YTD'!$R:$R,$G65,'Input 4.1_2020VOL-YTD'!C:C)</f>
        <v>153010.59</v>
      </c>
      <c r="AM65" s="480">
        <f>SUMIF('Input 4.1_2020VOL-YTD'!$R:$R,$G65,'Input 4.1_2020VOL-YTD'!D:D)</f>
        <v>156994.46</v>
      </c>
      <c r="AN65" s="480">
        <f>SUMIF('Input 4.1_2020VOL-YTD'!$R:$R,$G65,'Input 4.1_2020VOL-YTD'!E:E)</f>
        <v>174294.91</v>
      </c>
      <c r="AO65" s="480">
        <f>SUMIF('Input 4.1_2020VOL-YTD'!$R:$R,$G65,'Input 4.1_2020VOL-YTD'!F:F)</f>
        <v>160792.45000000001</v>
      </c>
      <c r="AP65" s="480">
        <f>SUMIF('Input 4.1_2020VOL-YTD'!$R:$R,$G65,'Input 4.1_2020VOL-YTD'!G:G)</f>
        <v>163273.72</v>
      </c>
      <c r="AQ65" s="480">
        <f>SUMIF('Input 4.1_2020VOL-YTD'!$R:$R,$G65,'Input 4.1_2020VOL-YTD'!H:H)</f>
        <v>113851.97</v>
      </c>
      <c r="AR65" s="480">
        <f>SUMIF('Input 4.1_2020VOL-YTD'!$R:$R,$G65,'Input 4.1_2020VOL-YTD'!I:I)</f>
        <v>130017.39</v>
      </c>
      <c r="AS65" s="480">
        <f>SUMIF('Input 4.1_2020VOL-YTD'!$R:$R,$G65,'Input 4.1_2020VOL-YTD'!J:J)</f>
        <v>137359.85</v>
      </c>
      <c r="AT65" s="480">
        <f>SUMIF('Input 4.1_2020VOL-YTD'!$R:$R,$G65,'Input 4.1_2020VOL-YTD'!K:K)</f>
        <v>113729.2</v>
      </c>
      <c r="AU65" s="480">
        <f>SUMIF('Input 4.1_2020VOL-YTD'!$R:$R,$G65,'Input 4.1_2020VOL-YTD'!L:L)</f>
        <v>117563.31</v>
      </c>
      <c r="AV65" s="480">
        <f>SUMIF('Input 4.1_2020VOL-YTD'!$R:$R,$G65,'Input 4.1_2020VOL-YTD'!M:M)</f>
        <v>101686.91</v>
      </c>
      <c r="AW65" s="480">
        <f>SUMIF('Input 4.1_2020VOL-YTD'!$R:$R,$G65,'Input 4.1_2020VOL-YTD'!N:N)</f>
        <v>103266.51</v>
      </c>
      <c r="AX65" s="480">
        <f>SUMIF('Input 5.1_2021VOL-YTD'!$R:$R,$G65,'Input 5.1_2021VOL-YTD'!C:C)</f>
        <v>109372.81</v>
      </c>
      <c r="AY65" s="480">
        <f>SUMIF('Input 5.1_2021VOL-YTD'!$R:$R,$G65,'Input 5.1_2021VOL-YTD'!D:D)</f>
        <v>86166.25</v>
      </c>
      <c r="AZ65" s="480">
        <f>SUMIF('Input 5.1_2021VOL-YTD'!$R:$R,$G65,'Input 5.1_2021VOL-YTD'!E:E)</f>
        <v>107271.21</v>
      </c>
      <c r="BA65" s="480">
        <f>SUMIF('Input 5.1_2021VOL-YTD'!$R:$R,$G65,'Input 5.1_2021VOL-YTD'!F:F)</f>
        <v>106948.86</v>
      </c>
      <c r="BB65" s="480">
        <f>SUMIF('Input 5.1_2021VOL-YTD'!$R:$R,$G65,'Input 5.1_2021VOL-YTD'!G:G)</f>
        <v>112719.72</v>
      </c>
      <c r="BC65" s="480">
        <f>SUMIF('Input 5.1_2021VOL-YTD'!$R:$R,$G65,'Input 5.1_2021VOL-YTD'!H:H)</f>
        <v>107101.34</v>
      </c>
      <c r="BD65" s="480">
        <f>SUMIF('Input 5.1_2021VOL-YTD'!$R:$R,$G65,'Input 5.1_2021VOL-YTD'!I:I)</f>
        <v>99590.88</v>
      </c>
      <c r="BE65" s="480">
        <f>SUMIF('Input 5.1_2021VOL-YTD'!$R:$R,$G65,'Input 5.1_2021VOL-YTD'!J:J)</f>
        <v>91881.31</v>
      </c>
      <c r="BF65" s="480">
        <f>SUMIF('Input 5.1_2021VOL-YTD'!$R:$R,$G65,'Input 5.1_2021VOL-YTD'!K:K)</f>
        <v>11157.62</v>
      </c>
      <c r="BG65" s="480">
        <f>SUMIF('Input 5.1_2021VOL-YTD'!$R:$R,$G65,'Input 5.1_2021VOL-YTD'!L:L)</f>
        <v>15188.44</v>
      </c>
      <c r="BH65" s="480">
        <f>SUMIF('Input 5.1_2021VOL-YTD'!$R:$R,$G65,'Input 5.1_2021VOL-YTD'!M:M)</f>
        <v>17541.689999999999</v>
      </c>
      <c r="BI65" s="480">
        <f>SUMIF('Input 5.1_2021VOL-YTD'!$R:$R,$G65,'Input 5.1_2021VOL-YTD'!N:N)</f>
        <v>22866.55</v>
      </c>
      <c r="BJ65" s="484">
        <f>IFERROR(IF($J65="Historical Average",INDEX('Monthly UPC'!$CM$2:$DJ$65,MATCH($D65,'Monthly UPC'!$D$2:$D$65,0),MATCH(BJ$1,'Monthly UPC'!$CM$1:$DJ$1))*(INDEX('Monthly CUST'!$N$2:$CG$65,MATCH($D65,'Monthly CUST'!$D$2:$D$65,0),MATCH(BJ$1,'Monthly CUST'!$N$1:$CG$1,0))),IF($J65="UPC Growth Rate",((AX65/INDEX('Monthly CUST'!$N$2:$CG$65,MATCH($D65,'Monthly CUST'!$D$2:$D$65,0),MATCH(AX$1,'Monthly CUST'!$N$1:$CG$1,0)))*(1+$L65)*INDEX('Monthly CUST'!$N$2:$CG$65,MATCH($D65,'Monthly CUST'!$D$2:$D$65,0),MATCH(BJ$1,'Monthly CUST'!$N$1:$CG$1,0))),IF($J65="Modeled UPC",INDEX('Monthly CUST'!$N$2:$CG$65,MATCH($D65,'Monthly CUST'!$D$2:$D$65,0),MATCH(BJ$1,'Monthly CUST'!$N$1:$CG$1,0))/12*$M65,IF($J65="Base Period",AX65,IF($J65="Adjusted",SUMIF('Input 15_Fcst Inputs'!$A:$A,$D65,'Input 15_Fcst Inputs'!$G:$G)/12))))),0)</f>
        <v>8344.25</v>
      </c>
      <c r="BK65" s="484">
        <f>IFERROR(IF($J65="Historical Average",INDEX('Monthly UPC'!$CM$2:$DJ$65,MATCH($D65,'Monthly UPC'!$D$2:$D$65,0),MATCH(BK$1,'Monthly UPC'!$CM$1:$DJ$1))*(INDEX('Monthly CUST'!$N$2:$CG$65,MATCH($D65,'Monthly CUST'!$D$2:$D$65,0),MATCH(BK$1,'Monthly CUST'!$N$1:$CG$1,0))),IF($J65="UPC Growth Rate",((AY65/INDEX('Monthly CUST'!$N$2:$CG$65,MATCH($D65,'Monthly CUST'!$D$2:$D$65,0),MATCH(AY$1,'Monthly CUST'!$N$1:$CG$1,0)))*(1+$L65)*INDEX('Monthly CUST'!$N$2:$CG$65,MATCH($D65,'Monthly CUST'!$D$2:$D$65,0),MATCH(BK$1,'Monthly CUST'!$N$1:$CG$1,0))),IF($J65="Modeled UPC",INDEX('Monthly CUST'!$N$2:$CG$65,MATCH($D65,'Monthly CUST'!$D$2:$D$65,0),MATCH(BK$1,'Monthly CUST'!$N$1:$CG$1,0))/12*$M65,IF($J65="Base Period",AY65,IF($J65="Adjusted",SUMIF('Input 15_Fcst Inputs'!$A:$A,$D65,'Input 15_Fcst Inputs'!$G:$G)/12))))),0)</f>
        <v>8344.25</v>
      </c>
      <c r="BL65" s="484">
        <f>IFERROR(IF($J65="Historical Average",INDEX('Monthly UPC'!$CM$2:$DJ$65,MATCH($D65,'Monthly UPC'!$D$2:$D$65,0),MATCH(BL$1,'Monthly UPC'!$CM$1:$DJ$1))*(INDEX('Monthly CUST'!$N$2:$CG$65,MATCH($D65,'Monthly CUST'!$D$2:$D$65,0),MATCH(BL$1,'Monthly CUST'!$N$1:$CG$1,0))),IF($J65="UPC Growth Rate",((AZ65/INDEX('Monthly CUST'!$N$2:$CG$65,MATCH($D65,'Monthly CUST'!$D$2:$D$65,0),MATCH(AZ$1,'Monthly CUST'!$N$1:$CG$1,0)))*(1+$L65)*INDEX('Monthly CUST'!$N$2:$CG$65,MATCH($D65,'Monthly CUST'!$D$2:$D$65,0),MATCH(BL$1,'Monthly CUST'!$N$1:$CG$1,0))),IF($J65="Modeled UPC",INDEX('Monthly CUST'!$N$2:$CG$65,MATCH($D65,'Monthly CUST'!$D$2:$D$65,0),MATCH(BL$1,'Monthly CUST'!$N$1:$CG$1,0))/12*$M65,IF($J65="Base Period",AZ65,IF($J65="Adjusted",SUMIF('Input 15_Fcst Inputs'!$A:$A,$D65,'Input 15_Fcst Inputs'!$G:$G)/12))))),0)</f>
        <v>8344.25</v>
      </c>
      <c r="BM65" s="484">
        <f>IFERROR(IF($J65="Historical Average",INDEX('Monthly UPC'!$CM$2:$DJ$65,MATCH($D65,'Monthly UPC'!$D$2:$D$65,0),MATCH(BM$1,'Monthly UPC'!$CM$1:$DJ$1))*(INDEX('Monthly CUST'!$N$2:$CG$65,MATCH($D65,'Monthly CUST'!$D$2:$D$65,0),MATCH(BM$1,'Monthly CUST'!$N$1:$CG$1,0))),IF($J65="UPC Growth Rate",((BA65/INDEX('Monthly CUST'!$N$2:$CG$65,MATCH($D65,'Monthly CUST'!$D$2:$D$65,0),MATCH(BA$1,'Monthly CUST'!$N$1:$CG$1,0)))*(1+$L65)*INDEX('Monthly CUST'!$N$2:$CG$65,MATCH($D65,'Monthly CUST'!$D$2:$D$65,0),MATCH(BM$1,'Monthly CUST'!$N$1:$CG$1,0))),IF($J65="Modeled UPC",INDEX('Monthly CUST'!$N$2:$CG$65,MATCH($D65,'Monthly CUST'!$D$2:$D$65,0),MATCH(BM$1,'Monthly CUST'!$N$1:$CG$1,0))/12*$M65,IF($J65="Base Period",BA65,IF($J65="Adjusted",SUMIF('Input 15_Fcst Inputs'!$A:$A,$D65,'Input 15_Fcst Inputs'!$G:$G)/12))))),0)</f>
        <v>8344.25</v>
      </c>
      <c r="BN65" s="484">
        <f>IFERROR(IF($J65="Historical Average",INDEX('Monthly UPC'!$CM$2:$DJ$65,MATCH($D65,'Monthly UPC'!$D$2:$D$65,0),MATCH(BN$1,'Monthly UPC'!$CM$1:$DJ$1))*(INDEX('Monthly CUST'!$N$2:$CG$65,MATCH($D65,'Monthly CUST'!$D$2:$D$65,0),MATCH(BN$1,'Monthly CUST'!$N$1:$CG$1,0))),IF($J65="UPC Growth Rate",((BB65/INDEX('Monthly CUST'!$N$2:$CG$65,MATCH($D65,'Monthly CUST'!$D$2:$D$65,0),MATCH(BB$1,'Monthly CUST'!$N$1:$CG$1,0)))*(1+$L65)*INDEX('Monthly CUST'!$N$2:$CG$65,MATCH($D65,'Monthly CUST'!$D$2:$D$65,0),MATCH(BN$1,'Monthly CUST'!$N$1:$CG$1,0))),IF($J65="Modeled UPC",INDEX('Monthly CUST'!$N$2:$CG$65,MATCH($D65,'Monthly CUST'!$D$2:$D$65,0),MATCH(BN$1,'Monthly CUST'!$N$1:$CG$1,0))/12*$M65,IF($J65="Base Period",BB65,IF($J65="Adjusted",SUMIF('Input 15_Fcst Inputs'!$A:$A,$D65,'Input 15_Fcst Inputs'!$G:$G)/12))))),0)</f>
        <v>8344.25</v>
      </c>
      <c r="BO65" s="484">
        <f>IFERROR(IF($J65="Historical Average",INDEX('Monthly UPC'!$CM$2:$DJ$65,MATCH($D65,'Monthly UPC'!$D$2:$D$65,0),MATCH(BO$1,'Monthly UPC'!$CM$1:$DJ$1))*(INDEX('Monthly CUST'!$N$2:$CG$65,MATCH($D65,'Monthly CUST'!$D$2:$D$65,0),MATCH(BO$1,'Monthly CUST'!$N$1:$CG$1,0))),IF($J65="UPC Growth Rate",((BC65/INDEX('Monthly CUST'!$N$2:$CG$65,MATCH($D65,'Monthly CUST'!$D$2:$D$65,0),MATCH(BC$1,'Monthly CUST'!$N$1:$CG$1,0)))*(1+$L65)*INDEX('Monthly CUST'!$N$2:$CG$65,MATCH($D65,'Monthly CUST'!$D$2:$D$65,0),MATCH(BO$1,'Monthly CUST'!$N$1:$CG$1,0))),IF($J65="Modeled UPC",INDEX('Monthly CUST'!$N$2:$CG$65,MATCH($D65,'Monthly CUST'!$D$2:$D$65,0),MATCH(BO$1,'Monthly CUST'!$N$1:$CG$1,0))/12*$M65,IF($J65="Base Period",BC65,IF($J65="Adjusted",SUMIF('Input 15_Fcst Inputs'!$A:$A,$D65,'Input 15_Fcst Inputs'!$G:$G)/12))))),0)</f>
        <v>8344.25</v>
      </c>
      <c r="BP65" s="484">
        <f>IFERROR(IF($J65="Historical Average",INDEX('Monthly UPC'!$CM$2:$DJ$65,MATCH($D65,'Monthly UPC'!$D$2:$D$65,0),MATCH(BP$1,'Monthly UPC'!$CM$1:$DJ$1))*(INDEX('Monthly CUST'!$N$2:$CG$65,MATCH($D65,'Monthly CUST'!$D$2:$D$65,0),MATCH(BP$1,'Monthly CUST'!$N$1:$CG$1,0))),IF($J65="UPC Growth Rate",((BD65/INDEX('Monthly CUST'!$N$2:$CG$65,MATCH($D65,'Monthly CUST'!$D$2:$D$65,0),MATCH(BD$1,'Monthly CUST'!$N$1:$CG$1,0)))*(1+$L65)*INDEX('Monthly CUST'!$N$2:$CG$65,MATCH($D65,'Monthly CUST'!$D$2:$D$65,0),MATCH(BP$1,'Monthly CUST'!$N$1:$CG$1,0))),IF($J65="Modeled UPC",INDEX('Monthly CUST'!$N$2:$CG$65,MATCH($D65,'Monthly CUST'!$D$2:$D$65,0),MATCH(BP$1,'Monthly CUST'!$N$1:$CG$1,0))/12*$M65,IF($J65="Base Period",BD65,IF($J65="Adjusted",SUMIF('Input 15_Fcst Inputs'!$A:$A,$D65,'Input 15_Fcst Inputs'!$G:$G)/12))))),0)</f>
        <v>8344.25</v>
      </c>
      <c r="BQ65" s="484">
        <f>IFERROR(IF($J65="Historical Average",INDEX('Monthly UPC'!$CM$2:$DJ$65,MATCH($D65,'Monthly UPC'!$D$2:$D$65,0),MATCH(BQ$1,'Monthly UPC'!$CM$1:$DJ$1))*(INDEX('Monthly CUST'!$N$2:$CG$65,MATCH($D65,'Monthly CUST'!$D$2:$D$65,0),MATCH(BQ$1,'Monthly CUST'!$N$1:$CG$1,0))),IF($J65="UPC Growth Rate",((BE65/INDEX('Monthly CUST'!$N$2:$CG$65,MATCH($D65,'Monthly CUST'!$D$2:$D$65,0),MATCH(BE$1,'Monthly CUST'!$N$1:$CG$1,0)))*(1+$L65)*INDEX('Monthly CUST'!$N$2:$CG$65,MATCH($D65,'Monthly CUST'!$D$2:$D$65,0),MATCH(BQ$1,'Monthly CUST'!$N$1:$CG$1,0))),IF($J65="Modeled UPC",INDEX('Monthly CUST'!$N$2:$CG$65,MATCH($D65,'Monthly CUST'!$D$2:$D$65,0),MATCH(BQ$1,'Monthly CUST'!$N$1:$CG$1,0))/12*$M65,IF($J65="Base Period",BE65,IF($J65="Adjusted",SUMIF('Input 15_Fcst Inputs'!$A:$A,$D65,'Input 15_Fcst Inputs'!$G:$G)/12))))),0)</f>
        <v>8344.25</v>
      </c>
      <c r="BR65" s="484">
        <f>IFERROR(IF($J65="Historical Average",INDEX('Monthly UPC'!$CM$2:$DJ$65,MATCH($D65,'Monthly UPC'!$D$2:$D$65,0),MATCH(BR$1,'Monthly UPC'!$CM$1:$DJ$1))*(INDEX('Monthly CUST'!$N$2:$CG$65,MATCH($D65,'Monthly CUST'!$D$2:$D$65,0),MATCH(BR$1,'Monthly CUST'!$N$1:$CG$1,0))),IF($J65="UPC Growth Rate",((BF65/INDEX('Monthly CUST'!$N$2:$CG$65,MATCH($D65,'Monthly CUST'!$D$2:$D$65,0),MATCH(BF$1,'Monthly CUST'!$N$1:$CG$1,0)))*(1+$L65)*INDEX('Monthly CUST'!$N$2:$CG$65,MATCH($D65,'Monthly CUST'!$D$2:$D$65,0),MATCH(BR$1,'Monthly CUST'!$N$1:$CG$1,0))),IF($J65="Modeled UPC",INDEX('Monthly CUST'!$N$2:$CG$65,MATCH($D65,'Monthly CUST'!$D$2:$D$65,0),MATCH(BR$1,'Monthly CUST'!$N$1:$CG$1,0))/12*$M65,IF($J65="Base Period",BF65,IF($J65="Adjusted",SUMIF('Input 15_Fcst Inputs'!$A:$A,$D65,'Input 15_Fcst Inputs'!$G:$G)/12))))),0)</f>
        <v>8344.25</v>
      </c>
      <c r="BS65" s="484">
        <f>IFERROR(IF($J65="Historical Average",INDEX('Monthly UPC'!$CM$2:$DJ$65,MATCH($D65,'Monthly UPC'!$D$2:$D$65,0),MATCH(BS$1,'Monthly UPC'!$CM$1:$DJ$1))*(INDEX('Monthly CUST'!$N$2:$CG$65,MATCH($D65,'Monthly CUST'!$D$2:$D$65,0),MATCH(BS$1,'Monthly CUST'!$N$1:$CG$1,0))),IF($J65="UPC Growth Rate",((BG65/INDEX('Monthly CUST'!$N$2:$CG$65,MATCH($D65,'Monthly CUST'!$D$2:$D$65,0),MATCH(BG$1,'Monthly CUST'!$N$1:$CG$1,0)))*(1+$L65)*INDEX('Monthly CUST'!$N$2:$CG$65,MATCH($D65,'Monthly CUST'!$D$2:$D$65,0),MATCH(BS$1,'Monthly CUST'!$N$1:$CG$1,0))),IF($J65="Modeled UPC",INDEX('Monthly CUST'!$N$2:$CG$65,MATCH($D65,'Monthly CUST'!$D$2:$D$65,0),MATCH(BS$1,'Monthly CUST'!$N$1:$CG$1,0))/12*$M65,IF($J65="Base Period",BG65,IF($J65="Adjusted",SUMIF('Input 15_Fcst Inputs'!$A:$A,$D65,'Input 15_Fcst Inputs'!$G:$G)/12))))),0)</f>
        <v>8344.25</v>
      </c>
      <c r="BT65" s="484">
        <f>IFERROR(IF($J65="Historical Average",INDEX('Monthly UPC'!$CM$2:$DJ$65,MATCH($D65,'Monthly UPC'!$D$2:$D$65,0),MATCH(BT$1,'Monthly UPC'!$CM$1:$DJ$1))*(INDEX('Monthly CUST'!$N$2:$CG$65,MATCH($D65,'Monthly CUST'!$D$2:$D$65,0),MATCH(BT$1,'Monthly CUST'!$N$1:$CG$1,0))),IF($J65="UPC Growth Rate",((BH65/INDEX('Monthly CUST'!$N$2:$CG$65,MATCH($D65,'Monthly CUST'!$D$2:$D$65,0),MATCH(BH$1,'Monthly CUST'!$N$1:$CG$1,0)))*(1+$L65)*INDEX('Monthly CUST'!$N$2:$CG$65,MATCH($D65,'Monthly CUST'!$D$2:$D$65,0),MATCH(BT$1,'Monthly CUST'!$N$1:$CG$1,0))),IF($J65="Modeled UPC",INDEX('Monthly CUST'!$N$2:$CG$65,MATCH($D65,'Monthly CUST'!$D$2:$D$65,0),MATCH(BT$1,'Monthly CUST'!$N$1:$CG$1,0))/12*$M65,IF($J65="Base Period",BH65,IF($J65="Adjusted",SUMIF('Input 15_Fcst Inputs'!$A:$A,$D65,'Input 15_Fcst Inputs'!$G:$G)/12))))),0)</f>
        <v>8344.25</v>
      </c>
      <c r="BU65" s="484">
        <f>IFERROR(IF($J65="Historical Average",INDEX('Monthly UPC'!$CM$2:$DJ$65,MATCH($D65,'Monthly UPC'!$D$2:$D$65,0),MATCH(BU$1,'Monthly UPC'!$CM$1:$DJ$1))*(INDEX('Monthly CUST'!$N$2:$CG$65,MATCH($D65,'Monthly CUST'!$D$2:$D$65,0),MATCH(BU$1,'Monthly CUST'!$N$1:$CG$1,0))),IF($J65="UPC Growth Rate",((BI65/INDEX('Monthly CUST'!$N$2:$CG$65,MATCH($D65,'Monthly CUST'!$D$2:$D$65,0),MATCH(BI$1,'Monthly CUST'!$N$1:$CG$1,0)))*(1+$L65)*INDEX('Monthly CUST'!$N$2:$CG$65,MATCH($D65,'Monthly CUST'!$D$2:$D$65,0),MATCH(BU$1,'Monthly CUST'!$N$1:$CG$1,0))),IF($J65="Modeled UPC",INDEX('Monthly CUST'!$N$2:$CG$65,MATCH($D65,'Monthly CUST'!$D$2:$D$65,0),MATCH(BU$1,'Monthly CUST'!$N$1:$CG$1,0))/12*$M65,IF($J65="Base Period",BI65,IF($J65="Adjusted",SUMIF('Input 15_Fcst Inputs'!$A:$A,$D65,'Input 15_Fcst Inputs'!$G:$G)/12))))),0)</f>
        <v>8344.25</v>
      </c>
      <c r="BV65" s="484">
        <f>IFERROR(IF($J65="Historical Average",INDEX('Monthly UPC'!$CM$2:$DJ$65,MATCH($D65,'Monthly UPC'!$D$2:$D$65,0),MATCH(BV$1,'Monthly UPC'!$CM$1:$DJ$1))*(INDEX('Monthly CUST'!$N$2:$CG$65,MATCH($D65,'Monthly CUST'!$D$2:$D$65,0),MATCH(BV$1,'Monthly CUST'!$N$1:$CG$1,0))),IF($J65="UPC Growth Rate",((BJ65/INDEX('Monthly CUST'!$N$2:$CG$65,MATCH($D65,'Monthly CUST'!$D$2:$D$65,0),MATCH(BJ$1,'Monthly CUST'!$N$1:$CG$1,0)))*(1+$L65)*INDEX('Monthly CUST'!$N$2:$CG$65,MATCH($D65,'Monthly CUST'!$D$2:$D$65,0),MATCH(BV$1,'Monthly CUST'!$N$1:$CG$1,0))),IF($J65="Modeled UPC",INDEX('Monthly CUST'!$N$2:$CG$65,MATCH($D65,'Monthly CUST'!$D$2:$D$65,0),MATCH(BV$1,'Monthly CUST'!$N$1:$CG$1,0))/12*$M65,IF($J65="Base Period",BJ65,IF($J65="Adjusted",SUMIF('Input 15_Fcst Inputs'!$A:$A,$D65,'Input 15_Fcst Inputs'!$G:$G)/12))))),0)</f>
        <v>8344.25</v>
      </c>
      <c r="BW65" s="484">
        <f>IFERROR(IF($J65="Historical Average",INDEX('Monthly UPC'!$CM$2:$DJ$65,MATCH($D65,'Monthly UPC'!$D$2:$D$65,0),MATCH(BW$1,'Monthly UPC'!$CM$1:$DJ$1))*(INDEX('Monthly CUST'!$N$2:$CG$65,MATCH($D65,'Monthly CUST'!$D$2:$D$65,0),MATCH(BW$1,'Monthly CUST'!$N$1:$CG$1,0))),IF($J65="UPC Growth Rate",((BK65/INDEX('Monthly CUST'!$N$2:$CG$65,MATCH($D65,'Monthly CUST'!$D$2:$D$65,0),MATCH(BK$1,'Monthly CUST'!$N$1:$CG$1,0)))*(1+$L65)*INDEX('Monthly CUST'!$N$2:$CG$65,MATCH($D65,'Monthly CUST'!$D$2:$D$65,0),MATCH(BW$1,'Monthly CUST'!$N$1:$CG$1,0))),IF($J65="Modeled UPC",INDEX('Monthly CUST'!$N$2:$CG$65,MATCH($D65,'Monthly CUST'!$D$2:$D$65,0),MATCH(BW$1,'Monthly CUST'!$N$1:$CG$1,0))/12*$M65,IF($J65="Base Period",BK65,IF($J65="Adjusted",SUMIF('Input 15_Fcst Inputs'!$A:$A,$D65,'Input 15_Fcst Inputs'!$G:$G)/12))))),0)</f>
        <v>8344.25</v>
      </c>
      <c r="BX65" s="484">
        <f>IFERROR(IF($J65="Historical Average",INDEX('Monthly UPC'!$CM$2:$DJ$65,MATCH($D65,'Monthly UPC'!$D$2:$D$65,0),MATCH(BX$1,'Monthly UPC'!$CM$1:$DJ$1))*(INDEX('Monthly CUST'!$N$2:$CG$65,MATCH($D65,'Monthly CUST'!$D$2:$D$65,0),MATCH(BX$1,'Monthly CUST'!$N$1:$CG$1,0))),IF($J65="UPC Growth Rate",((BL65/INDEX('Monthly CUST'!$N$2:$CG$65,MATCH($D65,'Monthly CUST'!$D$2:$D$65,0),MATCH(BL$1,'Monthly CUST'!$N$1:$CG$1,0)))*(1+$L65)*INDEX('Monthly CUST'!$N$2:$CG$65,MATCH($D65,'Monthly CUST'!$D$2:$D$65,0),MATCH(BX$1,'Monthly CUST'!$N$1:$CG$1,0))),IF($J65="Modeled UPC",INDEX('Monthly CUST'!$N$2:$CG$65,MATCH($D65,'Monthly CUST'!$D$2:$D$65,0),MATCH(BX$1,'Monthly CUST'!$N$1:$CG$1,0))/12*$M65,IF($J65="Base Period",BL65,IF($J65="Adjusted",SUMIF('Input 15_Fcst Inputs'!$A:$A,$D65,'Input 15_Fcst Inputs'!$G:$G)/12))))),0)</f>
        <v>8344.25</v>
      </c>
      <c r="BY65" s="484">
        <f>IFERROR(IF($J65="Historical Average",INDEX('Monthly UPC'!$CM$2:$DJ$65,MATCH($D65,'Monthly UPC'!$D$2:$D$65,0),MATCH(BY$1,'Monthly UPC'!$CM$1:$DJ$1))*(INDEX('Monthly CUST'!$N$2:$CG$65,MATCH($D65,'Monthly CUST'!$D$2:$D$65,0),MATCH(BY$1,'Monthly CUST'!$N$1:$CG$1,0))),IF($J65="UPC Growth Rate",((BM65/INDEX('Monthly CUST'!$N$2:$CG$65,MATCH($D65,'Monthly CUST'!$D$2:$D$65,0),MATCH(BM$1,'Monthly CUST'!$N$1:$CG$1,0)))*(1+$L65)*INDEX('Monthly CUST'!$N$2:$CG$65,MATCH($D65,'Monthly CUST'!$D$2:$D$65,0),MATCH(BY$1,'Monthly CUST'!$N$1:$CG$1,0))),IF($J65="Modeled UPC",INDEX('Monthly CUST'!$N$2:$CG$65,MATCH($D65,'Monthly CUST'!$D$2:$D$65,0),MATCH(BY$1,'Monthly CUST'!$N$1:$CG$1,0))/12*$M65,IF($J65="Base Period",BM65,IF($J65="Adjusted",SUMIF('Input 15_Fcst Inputs'!$A:$A,$D65,'Input 15_Fcst Inputs'!$G:$G)/12))))),0)</f>
        <v>8344.25</v>
      </c>
      <c r="BZ65" s="484">
        <f>IFERROR(IF($J65="Historical Average",INDEX('Monthly UPC'!$CM$2:$DJ$65,MATCH($D65,'Monthly UPC'!$D$2:$D$65,0),MATCH(BZ$1,'Monthly UPC'!$CM$1:$DJ$1))*(INDEX('Monthly CUST'!$N$2:$CG$65,MATCH($D65,'Monthly CUST'!$D$2:$D$65,0),MATCH(BZ$1,'Monthly CUST'!$N$1:$CG$1,0))),IF($J65="UPC Growth Rate",((BN65/INDEX('Monthly CUST'!$N$2:$CG$65,MATCH($D65,'Monthly CUST'!$D$2:$D$65,0),MATCH(BN$1,'Monthly CUST'!$N$1:$CG$1,0)))*(1+$L65)*INDEX('Monthly CUST'!$N$2:$CG$65,MATCH($D65,'Monthly CUST'!$D$2:$D$65,0),MATCH(BZ$1,'Monthly CUST'!$N$1:$CG$1,0))),IF($J65="Modeled UPC",INDEX('Monthly CUST'!$N$2:$CG$65,MATCH($D65,'Monthly CUST'!$D$2:$D$65,0),MATCH(BZ$1,'Monthly CUST'!$N$1:$CG$1,0))/12*$M65,IF($J65="Base Period",BN65,IF($J65="Adjusted",SUMIF('Input 15_Fcst Inputs'!$A:$A,$D65,'Input 15_Fcst Inputs'!$G:$G)/12))))),0)</f>
        <v>8344.25</v>
      </c>
      <c r="CA65" s="484">
        <f>IFERROR(IF($J65="Historical Average",INDEX('Monthly UPC'!$CM$2:$DJ$65,MATCH($D65,'Monthly UPC'!$D$2:$D$65,0),MATCH(CA$1,'Monthly UPC'!$CM$1:$DJ$1))*(INDEX('Monthly CUST'!$N$2:$CG$65,MATCH($D65,'Monthly CUST'!$D$2:$D$65,0),MATCH(CA$1,'Monthly CUST'!$N$1:$CG$1,0))),IF($J65="UPC Growth Rate",((BO65/INDEX('Monthly CUST'!$N$2:$CG$65,MATCH($D65,'Monthly CUST'!$D$2:$D$65,0),MATCH(BO$1,'Monthly CUST'!$N$1:$CG$1,0)))*(1+$L65)*INDEX('Monthly CUST'!$N$2:$CG$65,MATCH($D65,'Monthly CUST'!$D$2:$D$65,0),MATCH(CA$1,'Monthly CUST'!$N$1:$CG$1,0))),IF($J65="Modeled UPC",INDEX('Monthly CUST'!$N$2:$CG$65,MATCH($D65,'Monthly CUST'!$D$2:$D$65,0),MATCH(CA$1,'Monthly CUST'!$N$1:$CG$1,0))/12*$M65,IF($J65="Base Period",BO65,IF($J65="Adjusted",SUMIF('Input 15_Fcst Inputs'!$A:$A,$D65,'Input 15_Fcst Inputs'!$G:$G)/12))))),0)</f>
        <v>8344.25</v>
      </c>
      <c r="CB65" s="484">
        <f>IFERROR(IF($J65="Historical Average",INDEX('Monthly UPC'!$CM$2:$DJ$65,MATCH($D65,'Monthly UPC'!$D$2:$D$65,0),MATCH(CB$1,'Monthly UPC'!$CM$1:$DJ$1))*(INDEX('Monthly CUST'!$N$2:$CG$65,MATCH($D65,'Monthly CUST'!$D$2:$D$65,0),MATCH(CB$1,'Monthly CUST'!$N$1:$CG$1,0))),IF($J65="UPC Growth Rate",((BP65/INDEX('Monthly CUST'!$N$2:$CG$65,MATCH($D65,'Monthly CUST'!$D$2:$D$65,0),MATCH(BP$1,'Monthly CUST'!$N$1:$CG$1,0)))*(1+$L65)*INDEX('Monthly CUST'!$N$2:$CG$65,MATCH($D65,'Monthly CUST'!$D$2:$D$65,0),MATCH(CB$1,'Monthly CUST'!$N$1:$CG$1,0))),IF($J65="Modeled UPC",INDEX('Monthly CUST'!$N$2:$CG$65,MATCH($D65,'Monthly CUST'!$D$2:$D$65,0),MATCH(CB$1,'Monthly CUST'!$N$1:$CG$1,0))/12*$M65,IF($J65="Base Period",BP65,IF($J65="Adjusted",SUMIF('Input 15_Fcst Inputs'!$A:$A,$D65,'Input 15_Fcst Inputs'!$G:$G)/12))))),0)</f>
        <v>8344.25</v>
      </c>
      <c r="CC65" s="484">
        <f>IFERROR(IF($J65="Historical Average",INDEX('Monthly UPC'!$CM$2:$DJ$65,MATCH($D65,'Monthly UPC'!$D$2:$D$65,0),MATCH(CC$1,'Monthly UPC'!$CM$1:$DJ$1))*(INDEX('Monthly CUST'!$N$2:$CG$65,MATCH($D65,'Monthly CUST'!$D$2:$D$65,0),MATCH(CC$1,'Monthly CUST'!$N$1:$CG$1,0))),IF($J65="UPC Growth Rate",((BQ65/INDEX('Monthly CUST'!$N$2:$CG$65,MATCH($D65,'Monthly CUST'!$D$2:$D$65,0),MATCH(BQ$1,'Monthly CUST'!$N$1:$CG$1,0)))*(1+$L65)*INDEX('Monthly CUST'!$N$2:$CG$65,MATCH($D65,'Monthly CUST'!$D$2:$D$65,0),MATCH(CC$1,'Monthly CUST'!$N$1:$CG$1,0))),IF($J65="Modeled UPC",INDEX('Monthly CUST'!$N$2:$CG$65,MATCH($D65,'Monthly CUST'!$D$2:$D$65,0),MATCH(CC$1,'Monthly CUST'!$N$1:$CG$1,0))/12*$M65,IF($J65="Base Period",BQ65,IF($J65="Adjusted",SUMIF('Input 15_Fcst Inputs'!$A:$A,$D65,'Input 15_Fcst Inputs'!$G:$G)/12))))),0)</f>
        <v>8344.25</v>
      </c>
      <c r="CD65" s="484">
        <f>IFERROR(IF($J65="Historical Average",INDEX('Monthly UPC'!$CM$2:$DJ$65,MATCH($D65,'Monthly UPC'!$D$2:$D$65,0),MATCH(CD$1,'Monthly UPC'!$CM$1:$DJ$1))*(INDEX('Monthly CUST'!$N$2:$CG$65,MATCH($D65,'Monthly CUST'!$D$2:$D$65,0),MATCH(CD$1,'Monthly CUST'!$N$1:$CG$1,0))),IF($J65="UPC Growth Rate",((BR65/INDEX('Monthly CUST'!$N$2:$CG$65,MATCH($D65,'Monthly CUST'!$D$2:$D$65,0),MATCH(BR$1,'Monthly CUST'!$N$1:$CG$1,0)))*(1+$L65)*INDEX('Monthly CUST'!$N$2:$CG$65,MATCH($D65,'Monthly CUST'!$D$2:$D$65,0),MATCH(CD$1,'Monthly CUST'!$N$1:$CG$1,0))),IF($J65="Modeled UPC",INDEX('Monthly CUST'!$N$2:$CG$65,MATCH($D65,'Monthly CUST'!$D$2:$D$65,0),MATCH(CD$1,'Monthly CUST'!$N$1:$CG$1,0))/12*$M65,IF($J65="Base Period",BR65,IF($J65="Adjusted",SUMIF('Input 15_Fcst Inputs'!$A:$A,$D65,'Input 15_Fcst Inputs'!$G:$G)/12))))),0)</f>
        <v>8344.25</v>
      </c>
      <c r="CE65" s="484">
        <f>IFERROR(IF($J65="Historical Average",INDEX('Monthly UPC'!$CM$2:$DJ$65,MATCH($D65,'Monthly UPC'!$D$2:$D$65,0),MATCH(CE$1,'Monthly UPC'!$CM$1:$DJ$1))*(INDEX('Monthly CUST'!$N$2:$CG$65,MATCH($D65,'Monthly CUST'!$D$2:$D$65,0),MATCH(CE$1,'Monthly CUST'!$N$1:$CG$1,0))),IF($J65="UPC Growth Rate",((BS65/INDEX('Monthly CUST'!$N$2:$CG$65,MATCH($D65,'Monthly CUST'!$D$2:$D$65,0),MATCH(BS$1,'Monthly CUST'!$N$1:$CG$1,0)))*(1+$L65)*INDEX('Monthly CUST'!$N$2:$CG$65,MATCH($D65,'Monthly CUST'!$D$2:$D$65,0),MATCH(CE$1,'Monthly CUST'!$N$1:$CG$1,0))),IF($J65="Modeled UPC",INDEX('Monthly CUST'!$N$2:$CG$65,MATCH($D65,'Monthly CUST'!$D$2:$D$65,0),MATCH(CE$1,'Monthly CUST'!$N$1:$CG$1,0))/12*$M65,IF($J65="Base Period",BS65,IF($J65="Adjusted",SUMIF('Input 15_Fcst Inputs'!$A:$A,$D65,'Input 15_Fcst Inputs'!$G:$G)/12))))),0)</f>
        <v>8344.25</v>
      </c>
      <c r="CF65" s="484">
        <f>IFERROR(IF($J65="Historical Average",INDEX('Monthly UPC'!$CM$2:$DJ$65,MATCH($D65,'Monthly UPC'!$D$2:$D$65,0),MATCH(CF$1,'Monthly UPC'!$CM$1:$DJ$1))*(INDEX('Monthly CUST'!$N$2:$CG$65,MATCH($D65,'Monthly CUST'!$D$2:$D$65,0),MATCH(CF$1,'Monthly CUST'!$N$1:$CG$1,0))),IF($J65="UPC Growth Rate",((BT65/INDEX('Monthly CUST'!$N$2:$CG$65,MATCH($D65,'Monthly CUST'!$D$2:$D$65,0),MATCH(BT$1,'Monthly CUST'!$N$1:$CG$1,0)))*(1+$L65)*INDEX('Monthly CUST'!$N$2:$CG$65,MATCH($D65,'Monthly CUST'!$D$2:$D$65,0),MATCH(CF$1,'Monthly CUST'!$N$1:$CG$1,0))),IF($J65="Modeled UPC",INDEX('Monthly CUST'!$N$2:$CG$65,MATCH($D65,'Monthly CUST'!$D$2:$D$65,0),MATCH(CF$1,'Monthly CUST'!$N$1:$CG$1,0))/12*$M65,IF($J65="Base Period",BT65,IF($J65="Adjusted",SUMIF('Input 15_Fcst Inputs'!$A:$A,$D65,'Input 15_Fcst Inputs'!$G:$G)/12))))),0)</f>
        <v>8344.25</v>
      </c>
      <c r="CG65" s="484">
        <f>IFERROR(IF($J65="Historical Average",INDEX('Monthly UPC'!$CM$2:$DJ$65,MATCH($D65,'Monthly UPC'!$D$2:$D$65,0),MATCH(CG$1,'Monthly UPC'!$CM$1:$DJ$1))*(INDEX('Monthly CUST'!$N$2:$CG$65,MATCH($D65,'Monthly CUST'!$D$2:$D$65,0),MATCH(CG$1,'Monthly CUST'!$N$1:$CG$1,0))),IF($J65="UPC Growth Rate",((BU65/INDEX('Monthly CUST'!$N$2:$CG$65,MATCH($D65,'Monthly CUST'!$D$2:$D$65,0),MATCH(BU$1,'Monthly CUST'!$N$1:$CG$1,0)))*(1+$L65)*INDEX('Monthly CUST'!$N$2:$CG$65,MATCH($D65,'Monthly CUST'!$D$2:$D$65,0),MATCH(CG$1,'Monthly CUST'!$N$1:$CG$1,0))),IF($J65="Modeled UPC",INDEX('Monthly CUST'!$N$2:$CG$65,MATCH($D65,'Monthly CUST'!$D$2:$D$65,0),MATCH(CG$1,'Monthly CUST'!$N$1:$CG$1,0))/12*$M65,IF($J65="Base Period",BU65,IF($J65="Adjusted",SUMIF('Input 15_Fcst Inputs'!$A:$A,$D65,'Input 15_Fcst Inputs'!$G:$G)/12))))),0)</f>
        <v>8344.25</v>
      </c>
      <c r="CH65" s="481"/>
      <c r="CI65" s="481">
        <f t="shared" si="8"/>
        <v>0</v>
      </c>
      <c r="CJ65" s="481">
        <f t="shared" si="9"/>
        <v>1645841.3499999999</v>
      </c>
      <c r="CK65" s="481">
        <f t="shared" si="10"/>
        <v>1625841.2699999998</v>
      </c>
      <c r="CL65" s="481">
        <f t="shared" si="11"/>
        <v>887806.67999999982</v>
      </c>
      <c r="CM65" s="481">
        <f t="shared" si="12"/>
        <v>100131</v>
      </c>
      <c r="CN65" s="481">
        <f t="shared" si="13"/>
        <v>100131</v>
      </c>
      <c r="CP65" s="479">
        <f>SUMIF('Master '!D:D,D65,'Master '!AH:AH)</f>
        <v>100131</v>
      </c>
      <c r="CQ65" s="479">
        <f>SUMIF('Master '!D:D,D65,'Master '!AI:AI)</f>
        <v>100131</v>
      </c>
      <c r="CR65" s="481">
        <f t="shared" si="14"/>
        <v>0</v>
      </c>
      <c r="CS65" s="481">
        <f t="shared" si="15"/>
        <v>0</v>
      </c>
      <c r="CT65" s="476" t="s">
        <v>287</v>
      </c>
      <c r="CV65" t="str">
        <f>VLOOKUP(G65,'Master '!G:CC,75,FALSE)</f>
        <v>NGV</v>
      </c>
    </row>
  </sheetData>
  <autoFilter ref="A1:DL65" xr:uid="{CE785622-EA9E-49A2-A04E-D930ECB3BB59}"/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7379C-D4A9-4A99-A686-90EC8738EFBC}">
  <dimension ref="A1:DJ103"/>
  <sheetViews>
    <sheetView topLeftCell="D1" workbookViewId="0"/>
  </sheetViews>
  <sheetFormatPr defaultRowHeight="12.75"/>
  <cols>
    <col min="1" max="1" width="11.42578125" hidden="1" customWidth="1"/>
    <col min="2" max="3" width="14.140625" hidden="1" customWidth="1"/>
    <col min="4" max="4" width="35.7109375" customWidth="1"/>
    <col min="5" max="5" width="6.42578125" customWidth="1"/>
    <col min="6" max="6" width="8.28515625" style="255" customWidth="1"/>
    <col min="7" max="7" width="14.5703125" hidden="1" customWidth="1"/>
    <col min="8" max="8" width="17" hidden="1" customWidth="1"/>
    <col min="9" max="9" width="18.5703125" hidden="1" customWidth="1"/>
    <col min="10" max="10" width="16.28515625" bestFit="1" customWidth="1"/>
    <col min="11" max="11" width="15.42578125" customWidth="1"/>
    <col min="12" max="12" width="12.42578125" customWidth="1"/>
    <col min="13" max="13" width="13" bestFit="1" customWidth="1"/>
    <col min="14" max="49" width="9.28515625" customWidth="1"/>
    <col min="50" max="61" width="10.42578125" customWidth="1"/>
    <col min="62" max="62" width="6.85546875" bestFit="1" customWidth="1"/>
    <col min="63" max="66" width="11.42578125" bestFit="1" customWidth="1"/>
    <col min="67" max="73" width="10.42578125" bestFit="1" customWidth="1"/>
    <col min="91" max="114" width="9.140625" style="45"/>
  </cols>
  <sheetData>
    <row r="1" spans="1:114" ht="25.5">
      <c r="A1" s="20" t="s">
        <v>997</v>
      </c>
      <c r="B1" s="20" t="s">
        <v>992</v>
      </c>
      <c r="C1" s="21" t="s">
        <v>1244</v>
      </c>
      <c r="D1" s="20" t="s">
        <v>1001</v>
      </c>
      <c r="E1" s="20" t="s">
        <v>11</v>
      </c>
      <c r="F1" s="21" t="s">
        <v>1285</v>
      </c>
      <c r="G1" s="20" t="s">
        <v>104</v>
      </c>
      <c r="H1" s="20" t="s">
        <v>1101</v>
      </c>
      <c r="I1" s="20" t="s">
        <v>1000</v>
      </c>
      <c r="J1" s="21" t="str">
        <f>'Master '!AD1</f>
        <v>Billing Det Fcst Calc Method</v>
      </c>
      <c r="K1" s="15" t="str">
        <f>'Master '!N1</f>
        <v>Customer Growth Rate (Modeled)</v>
      </c>
      <c r="L1" s="17" t="str">
        <f>'Master '!S1</f>
        <v>BP to TY UPC Modeled</v>
      </c>
      <c r="M1" s="23" t="str">
        <f>'Master '!W1</f>
        <v>UPC (Modeled)</v>
      </c>
      <c r="N1" s="457">
        <v>43101</v>
      </c>
      <c r="O1" s="457">
        <v>43132</v>
      </c>
      <c r="P1" s="457">
        <v>43160</v>
      </c>
      <c r="Q1" s="457">
        <v>43191</v>
      </c>
      <c r="R1" s="457">
        <v>43221</v>
      </c>
      <c r="S1" s="457">
        <v>43252</v>
      </c>
      <c r="T1" s="457">
        <v>43282</v>
      </c>
      <c r="U1" s="457">
        <v>43313</v>
      </c>
      <c r="V1" s="457">
        <v>43344</v>
      </c>
      <c r="W1" s="457">
        <v>43374</v>
      </c>
      <c r="X1" s="457">
        <v>43405</v>
      </c>
      <c r="Y1" s="457">
        <v>43435</v>
      </c>
      <c r="Z1" s="457">
        <v>43466</v>
      </c>
      <c r="AA1" s="457">
        <v>43497</v>
      </c>
      <c r="AB1" s="457">
        <v>43525</v>
      </c>
      <c r="AC1" s="457">
        <v>43556</v>
      </c>
      <c r="AD1" s="457">
        <v>43586</v>
      </c>
      <c r="AE1" s="457">
        <v>43617</v>
      </c>
      <c r="AF1" s="457">
        <v>43647</v>
      </c>
      <c r="AG1" s="457">
        <v>43678</v>
      </c>
      <c r="AH1" s="457">
        <v>43709</v>
      </c>
      <c r="AI1" s="457">
        <v>43739</v>
      </c>
      <c r="AJ1" s="457">
        <v>43770</v>
      </c>
      <c r="AK1" s="457">
        <v>43800</v>
      </c>
      <c r="AL1" s="457">
        <v>43831</v>
      </c>
      <c r="AM1" s="457">
        <v>43862</v>
      </c>
      <c r="AN1" s="457">
        <v>43891</v>
      </c>
      <c r="AO1" s="457">
        <v>43922</v>
      </c>
      <c r="AP1" s="457">
        <v>43952</v>
      </c>
      <c r="AQ1" s="457">
        <v>43983</v>
      </c>
      <c r="AR1" s="457">
        <v>44013</v>
      </c>
      <c r="AS1" s="457">
        <v>44044</v>
      </c>
      <c r="AT1" s="457">
        <v>44075</v>
      </c>
      <c r="AU1" s="457">
        <v>44105</v>
      </c>
      <c r="AV1" s="457">
        <v>44136</v>
      </c>
      <c r="AW1" s="457">
        <v>44166</v>
      </c>
      <c r="AX1" s="457">
        <v>44197</v>
      </c>
      <c r="AY1" s="457">
        <v>44228</v>
      </c>
      <c r="AZ1" s="457">
        <v>44256</v>
      </c>
      <c r="BA1" s="457">
        <v>44287</v>
      </c>
      <c r="BB1" s="457">
        <v>44317</v>
      </c>
      <c r="BC1" s="457">
        <v>44348</v>
      </c>
      <c r="BD1" s="457">
        <v>44378</v>
      </c>
      <c r="BE1" s="457">
        <v>44409</v>
      </c>
      <c r="BF1" s="457">
        <v>44440</v>
      </c>
      <c r="BG1" s="457">
        <v>44470</v>
      </c>
      <c r="BH1" s="457">
        <v>44501</v>
      </c>
      <c r="BI1" s="457">
        <v>44531</v>
      </c>
      <c r="BJ1" s="457">
        <v>44562</v>
      </c>
      <c r="BK1" s="457">
        <v>44593</v>
      </c>
      <c r="BL1" s="457">
        <v>44621</v>
      </c>
      <c r="BM1" s="457">
        <v>44652</v>
      </c>
      <c r="BN1" s="457">
        <v>44682</v>
      </c>
      <c r="BO1" s="457">
        <v>44713</v>
      </c>
      <c r="BP1" s="457">
        <v>44743</v>
      </c>
      <c r="BQ1" s="457">
        <v>44774</v>
      </c>
      <c r="BR1" s="457">
        <v>44805</v>
      </c>
      <c r="BS1" s="457">
        <v>44835</v>
      </c>
      <c r="BT1" s="457">
        <v>44866</v>
      </c>
      <c r="BU1" s="457">
        <v>44896</v>
      </c>
      <c r="BV1" s="457">
        <v>44927</v>
      </c>
      <c r="BW1" s="457">
        <v>44958</v>
      </c>
      <c r="BX1" s="457">
        <v>44986</v>
      </c>
      <c r="BY1" s="457">
        <v>45017</v>
      </c>
      <c r="BZ1" s="457">
        <v>45047</v>
      </c>
      <c r="CA1" s="457">
        <v>45078</v>
      </c>
      <c r="CB1" s="457">
        <v>45108</v>
      </c>
      <c r="CC1" s="457">
        <v>45139</v>
      </c>
      <c r="CD1" s="457">
        <v>45170</v>
      </c>
      <c r="CE1" s="457">
        <v>45200</v>
      </c>
      <c r="CF1" s="457">
        <v>45231</v>
      </c>
      <c r="CG1" s="457">
        <v>45261</v>
      </c>
      <c r="CI1" s="461"/>
      <c r="CJ1" s="460"/>
      <c r="CK1" s="460"/>
      <c r="CL1" s="460"/>
      <c r="CM1" s="462">
        <v>44562</v>
      </c>
      <c r="CN1" s="462">
        <v>44593</v>
      </c>
      <c r="CO1" s="462">
        <v>44621</v>
      </c>
      <c r="CP1" s="462">
        <v>44652</v>
      </c>
      <c r="CQ1" s="462">
        <v>44682</v>
      </c>
      <c r="CR1" s="462">
        <v>44713</v>
      </c>
      <c r="CS1" s="462">
        <v>44743</v>
      </c>
      <c r="CT1" s="462">
        <v>44774</v>
      </c>
      <c r="CU1" s="462">
        <v>44805</v>
      </c>
      <c r="CV1" s="462">
        <v>44835</v>
      </c>
      <c r="CW1" s="462">
        <v>44866</v>
      </c>
      <c r="CX1" s="462">
        <v>44896</v>
      </c>
      <c r="CY1" s="462">
        <v>44927</v>
      </c>
      <c r="CZ1" s="462">
        <v>44958</v>
      </c>
      <c r="DA1" s="462">
        <v>44986</v>
      </c>
      <c r="DB1" s="462">
        <v>45017</v>
      </c>
      <c r="DC1" s="462">
        <v>45047</v>
      </c>
      <c r="DD1" s="462">
        <v>45078</v>
      </c>
      <c r="DE1" s="462">
        <v>45108</v>
      </c>
      <c r="DF1" s="462">
        <v>45139</v>
      </c>
      <c r="DG1" s="462">
        <v>45170</v>
      </c>
      <c r="DH1" s="462">
        <v>45200</v>
      </c>
      <c r="DI1" s="462">
        <v>45231</v>
      </c>
      <c r="DJ1" s="462">
        <v>45261</v>
      </c>
    </row>
    <row r="2" spans="1:114" s="261" customFormat="1">
      <c r="A2" s="55" t="s">
        <v>12</v>
      </c>
      <c r="B2" s="55" t="s">
        <v>993</v>
      </c>
      <c r="C2" s="55" t="s">
        <v>8</v>
      </c>
      <c r="D2" s="55" t="s">
        <v>85</v>
      </c>
      <c r="E2" s="55" t="str">
        <f>VLOOKUP(D2,'Input 14_Ref Table'!C:D,2,FALSE)</f>
        <v>TS1R</v>
      </c>
      <c r="F2" s="172" t="s">
        <v>1286</v>
      </c>
      <c r="G2" s="55" t="str">
        <f>VLOOKUP(D2,'Input 14_Ref Table'!C:I,7,FALSE)</f>
        <v>IGC - IGC - TS1</v>
      </c>
      <c r="H2" s="55" t="str">
        <f>VLOOKUP(D2,'Input 14_Ref Table'!C:K,8,FALSE)</f>
        <v>TS_1</v>
      </c>
      <c r="I2" s="55" t="e">
        <f>INDEX(#REF!,MATCH(D2,#REF!,0))</f>
        <v>#REF!</v>
      </c>
      <c r="J2" s="261" t="str">
        <f>INDEX('Master '!$AD$2:AD$65,MATCH(D2,'Master '!$D$2:$D$65,0))</f>
        <v>Modeled UPC</v>
      </c>
      <c r="K2" s="567">
        <f>INDEX('Master '!$N$2:N$65,MATCH(D2,'Master '!$D$2:$D$65,0))</f>
        <v>2.5051703091705339E-3</v>
      </c>
      <c r="L2" s="290">
        <f>INDEX('Master '!$S$2:S$65,MATCH(D2,'Master '!$D$2:$D$65,0))</f>
        <v>-4.3943718717954036E-2</v>
      </c>
      <c r="M2" s="1">
        <f>INDEX('Master '!$W$2:W$65,MATCH(D2,'Master '!$D$2:$D$65,0))</f>
        <v>147.81172002816606</v>
      </c>
      <c r="N2" s="56">
        <f>IFERROR(INDEX('Monthly VOL'!$N$2:$CG$65,MATCH($D2,'Monthly VOL'!$D$2:$D$65,0),MATCH(N$1,'Monthly VOL'!$N$1:$CG$1,0))/INDEX('Monthly CUST'!$N$2:$CG$65,MATCH($D2,'Monthly CUST'!$D$2:$D$65,0),MATCH(N$1,'Monthly CUST'!$N$1:$CG$1,0)),0)</f>
        <v>18.706512667660231</v>
      </c>
      <c r="O2" s="56">
        <f>IFERROR(INDEX('Monthly VOL'!$N$2:$CG$65,MATCH($D2,'Monthly VOL'!$D$2:$D$65,0),MATCH(O$1,'Monthly VOL'!$N$1:$CG$1,0))/INDEX('Monthly CUST'!$N$2:$CG$65,MATCH($D2,'Monthly CUST'!$D$2:$D$65,0),MATCH(O$1,'Monthly CUST'!$N$1:$CG$1,0)),0)</f>
        <v>14.64906110283159</v>
      </c>
      <c r="P2" s="56">
        <f>IFERROR(INDEX('Monthly VOL'!$N$2:$CG$65,MATCH($D2,'Monthly VOL'!$D$2:$D$65,0),MATCH(P$1,'Monthly VOL'!$N$1:$CG$1,0))/INDEX('Monthly CUST'!$N$2:$CG$65,MATCH($D2,'Monthly CUST'!$D$2:$D$65,0),MATCH(P$1,'Monthly CUST'!$N$1:$CG$1,0)),0)</f>
        <v>14.996151560178287</v>
      </c>
      <c r="Q2" s="56">
        <f>IFERROR(INDEX('Monthly VOL'!$N$2:$CG$65,MATCH($D2,'Monthly VOL'!$D$2:$D$65,0),MATCH(Q$1,'Monthly VOL'!$N$1:$CG$1,0))/INDEX('Monthly CUST'!$N$2:$CG$65,MATCH($D2,'Monthly CUST'!$D$2:$D$65,0),MATCH(Q$1,'Monthly CUST'!$N$1:$CG$1,0)),0)</f>
        <v>14.471343283582073</v>
      </c>
      <c r="R2" s="56">
        <f>IFERROR(INDEX('Monthly VOL'!$N$2:$CG$65,MATCH($D2,'Monthly VOL'!$D$2:$D$65,0),MATCH(R$1,'Monthly VOL'!$N$1:$CG$1,0))/INDEX('Monthly CUST'!$N$2:$CG$65,MATCH($D2,'Monthly CUST'!$D$2:$D$65,0),MATCH(R$1,'Monthly CUST'!$N$1:$CG$1,0)),0)</f>
        <v>14.991043219075994</v>
      </c>
      <c r="S2" s="56">
        <f>IFERROR(INDEX('Monthly VOL'!$N$2:$CG$65,MATCH($D2,'Monthly VOL'!$D$2:$D$65,0),MATCH(S$1,'Monthly VOL'!$N$1:$CG$1,0))/INDEX('Monthly CUST'!$N$2:$CG$65,MATCH($D2,'Monthly CUST'!$D$2:$D$65,0),MATCH(S$1,'Monthly CUST'!$N$1:$CG$1,0)),0)</f>
        <v>13.368575712143928</v>
      </c>
      <c r="T2" s="56">
        <f>IFERROR(INDEX('Monthly VOL'!$N$2:$CG$65,MATCH($D2,'Monthly VOL'!$D$2:$D$65,0),MATCH(T$1,'Monthly VOL'!$N$1:$CG$1,0))/INDEX('Monthly CUST'!$N$2:$CG$65,MATCH($D2,'Monthly CUST'!$D$2:$D$65,0),MATCH(T$1,'Monthly CUST'!$N$1:$CG$1,0)),0)</f>
        <v>13.071479820627824</v>
      </c>
      <c r="U2" s="56">
        <f>IFERROR(INDEX('Monthly VOL'!$N$2:$CG$65,MATCH($D2,'Monthly VOL'!$D$2:$D$65,0),MATCH(U$1,'Monthly VOL'!$N$1:$CG$1,0))/INDEX('Monthly CUST'!$N$2:$CG$65,MATCH($D2,'Monthly CUST'!$D$2:$D$65,0),MATCH(U$1,'Monthly CUST'!$N$1:$CG$1,0)),0)</f>
        <v>12.459361069836536</v>
      </c>
      <c r="V2" s="56">
        <f>IFERROR(INDEX('Monthly VOL'!$N$2:$CG$65,MATCH($D2,'Monthly VOL'!$D$2:$D$65,0),MATCH(V$1,'Monthly VOL'!$N$1:$CG$1,0))/INDEX('Monthly CUST'!$N$2:$CG$65,MATCH($D2,'Monthly CUST'!$D$2:$D$65,0),MATCH(V$1,'Monthly CUST'!$N$1:$CG$1,0)),0)</f>
        <v>12.503010432190777</v>
      </c>
      <c r="W2" s="56">
        <f>IFERROR(INDEX('Monthly VOL'!$N$2:$CG$65,MATCH($D2,'Monthly VOL'!$D$2:$D$65,0),MATCH(W$1,'Monthly VOL'!$N$1:$CG$1,0))/INDEX('Monthly CUST'!$N$2:$CG$65,MATCH($D2,'Monthly CUST'!$D$2:$D$65,0),MATCH(W$1,'Monthly CUST'!$N$1:$CG$1,0)),0)</f>
        <v>12.959550898203579</v>
      </c>
      <c r="X2" s="56">
        <f>IFERROR(INDEX('Monthly VOL'!$N$2:$CG$65,MATCH($D2,'Monthly VOL'!$D$2:$D$65,0),MATCH(X$1,'Monthly VOL'!$N$1:$CG$1,0))/INDEX('Monthly CUST'!$N$2:$CG$65,MATCH($D2,'Monthly CUST'!$D$2:$D$65,0),MATCH(X$1,'Monthly CUST'!$N$1:$CG$1,0)),0)</f>
        <v>14.288169642857145</v>
      </c>
      <c r="Y2" s="56">
        <f>IFERROR(INDEX('Monthly VOL'!$N$2:$CG$65,MATCH($D2,'Monthly VOL'!$D$2:$D$65,0),MATCH(Y$1,'Monthly VOL'!$N$1:$CG$1,0))/INDEX('Monthly CUST'!$N$2:$CG$65,MATCH($D2,'Monthly CUST'!$D$2:$D$65,0),MATCH(Y$1,'Monthly CUST'!$N$1:$CG$1,0)),0)</f>
        <v>16.940164670658696</v>
      </c>
      <c r="Z2" s="56">
        <f>IFERROR(INDEX('Monthly VOL'!$N$2:$CG$65,MATCH($D2,'Monthly VOL'!$D$2:$D$65,0),MATCH(Z$1,'Monthly VOL'!$N$1:$CG$1,0))/INDEX('Monthly CUST'!$N$2:$CG$65,MATCH($D2,'Monthly CUST'!$D$2:$D$65,0),MATCH(Z$1,'Monthly CUST'!$N$1:$CG$1,0)),0)</f>
        <v>16.672690582959692</v>
      </c>
      <c r="AA2" s="56">
        <f>IFERROR(INDEX('Monthly VOL'!$N$2:$CG$65,MATCH($D2,'Monthly VOL'!$D$2:$D$65,0),MATCH(AA$1,'Monthly VOL'!$N$1:$CG$1,0))/INDEX('Monthly CUST'!$N$2:$CG$65,MATCH($D2,'Monthly CUST'!$D$2:$D$65,0),MATCH(AA$1,'Monthly CUST'!$N$1:$CG$1,0)),0)</f>
        <v>15.008980509745136</v>
      </c>
      <c r="AB2" s="56">
        <f>IFERROR(INDEX('Monthly VOL'!$N$2:$CG$65,MATCH($D2,'Monthly VOL'!$D$2:$D$65,0),MATCH(AB$1,'Monthly VOL'!$N$1:$CG$1,0))/INDEX('Monthly CUST'!$N$2:$CG$65,MATCH($D2,'Monthly CUST'!$D$2:$D$65,0),MATCH(AB$1,'Monthly CUST'!$N$1:$CG$1,0)),0)</f>
        <v>15.088462686567178</v>
      </c>
      <c r="AC2" s="56">
        <f>IFERROR(INDEX('Monthly VOL'!$N$2:$CG$65,MATCH($D2,'Monthly VOL'!$D$2:$D$65,0),MATCH(AC$1,'Monthly VOL'!$N$1:$CG$1,0))/INDEX('Monthly CUST'!$N$2:$CG$65,MATCH($D2,'Monthly CUST'!$D$2:$D$65,0),MATCH(AC$1,'Monthly CUST'!$N$1:$CG$1,0)),0)</f>
        <v>14.528014925373137</v>
      </c>
      <c r="AD2" s="56">
        <f>IFERROR(INDEX('Monthly VOL'!$N$2:$CG$65,MATCH($D2,'Monthly VOL'!$D$2:$D$65,0),MATCH(AD$1,'Monthly VOL'!$N$1:$CG$1,0))/INDEX('Monthly CUST'!$N$2:$CG$65,MATCH($D2,'Monthly CUST'!$D$2:$D$65,0),MATCH(AD$1,'Monthly CUST'!$N$1:$CG$1,0)),0)</f>
        <v>15.033871449925256</v>
      </c>
      <c r="AE2" s="56">
        <f>IFERROR(INDEX('Monthly VOL'!$N$2:$CG$65,MATCH($D2,'Monthly VOL'!$D$2:$D$65,0),MATCH(AE$1,'Monthly VOL'!$N$1:$CG$1,0))/INDEX('Monthly CUST'!$N$2:$CG$65,MATCH($D2,'Monthly CUST'!$D$2:$D$65,0),MATCH(AE$1,'Monthly CUST'!$N$1:$CG$1,0)),0)</f>
        <v>12.561475409836033</v>
      </c>
      <c r="AF2" s="56">
        <f>IFERROR(INDEX('Monthly VOL'!$N$2:$CG$65,MATCH($D2,'Monthly VOL'!$D$2:$D$65,0),MATCH(AF$1,'Monthly VOL'!$N$1:$CG$1,0))/INDEX('Monthly CUST'!$N$2:$CG$65,MATCH($D2,'Monthly CUST'!$D$2:$D$65,0),MATCH(AF$1,'Monthly CUST'!$N$1:$CG$1,0)),0)</f>
        <v>13.096158445440944</v>
      </c>
      <c r="AG2" s="56">
        <f>IFERROR(INDEX('Monthly VOL'!$N$2:$CG$65,MATCH($D2,'Monthly VOL'!$D$2:$D$65,0),MATCH(AG$1,'Monthly VOL'!$N$1:$CG$1,0))/INDEX('Monthly CUST'!$N$2:$CG$65,MATCH($D2,'Monthly CUST'!$D$2:$D$65,0),MATCH(AG$1,'Monthly CUST'!$N$1:$CG$1,0)),0)</f>
        <v>12.725784753363239</v>
      </c>
      <c r="AH2" s="56">
        <f>IFERROR(INDEX('Monthly VOL'!$N$2:$CG$65,MATCH($D2,'Monthly VOL'!$D$2:$D$65,0),MATCH(AH$1,'Monthly VOL'!$N$1:$CG$1,0))/INDEX('Monthly CUST'!$N$2:$CG$65,MATCH($D2,'Monthly CUST'!$D$2:$D$65,0),MATCH(AH$1,'Monthly CUST'!$N$1:$CG$1,0)),0)</f>
        <v>12.849670164917541</v>
      </c>
      <c r="AI2" s="56">
        <f>IFERROR(INDEX('Monthly VOL'!$N$2:$CG$65,MATCH($D2,'Monthly VOL'!$D$2:$D$65,0),MATCH(AI$1,'Monthly VOL'!$N$1:$CG$1,0))/INDEX('Monthly CUST'!$N$2:$CG$65,MATCH($D2,'Monthly CUST'!$D$2:$D$65,0),MATCH(AI$1,'Monthly CUST'!$N$1:$CG$1,0)),0)</f>
        <v>13.968278931750749</v>
      </c>
      <c r="AJ2" s="56">
        <f>IFERROR(INDEX('Monthly VOL'!$N$2:$CG$65,MATCH($D2,'Monthly VOL'!$D$2:$D$65,0),MATCH(AJ$1,'Monthly VOL'!$N$1:$CG$1,0))/INDEX('Monthly CUST'!$N$2:$CG$65,MATCH($D2,'Monthly CUST'!$D$2:$D$65,0),MATCH(AJ$1,'Monthly CUST'!$N$1:$CG$1,0)),0)</f>
        <v>13.753472429210134</v>
      </c>
      <c r="AK2" s="56">
        <f>IFERROR(INDEX('Monthly VOL'!$N$2:$CG$65,MATCH($D2,'Monthly VOL'!$D$2:$D$65,0),MATCH(AK$1,'Monthly VOL'!$N$1:$CG$1,0))/INDEX('Monthly CUST'!$N$2:$CG$65,MATCH($D2,'Monthly CUST'!$D$2:$D$65,0),MATCH(AK$1,'Monthly CUST'!$N$1:$CG$1,0)),0)</f>
        <v>16.004804804804813</v>
      </c>
      <c r="AL2" s="56">
        <f>IFERROR(INDEX('Monthly VOL'!$N$2:$CG$65,MATCH($D2,'Monthly VOL'!$D$2:$D$65,0),MATCH(AL$1,'Monthly VOL'!$N$1:$CG$1,0))/INDEX('Monthly CUST'!$N$2:$CG$65,MATCH($D2,'Monthly CUST'!$D$2:$D$65,0),MATCH(AL$1,'Monthly CUST'!$N$1:$CG$1,0)),0)</f>
        <v>17.892218934911245</v>
      </c>
      <c r="AM2" s="56">
        <f>IFERROR(INDEX('Monthly VOL'!$N$2:$CG$65,MATCH($D2,'Monthly VOL'!$D$2:$D$65,0),MATCH(AM$1,'Monthly VOL'!$N$1:$CG$1,0))/INDEX('Monthly CUST'!$N$2:$CG$65,MATCH($D2,'Monthly CUST'!$D$2:$D$65,0),MATCH(AM$1,'Monthly CUST'!$N$1:$CG$1,0)),0)</f>
        <v>14.589228486646892</v>
      </c>
      <c r="AN2" s="56">
        <f>IFERROR(INDEX('Monthly VOL'!$N$2:$CG$65,MATCH($D2,'Monthly VOL'!$D$2:$D$65,0),MATCH(AN$1,'Monthly VOL'!$N$1:$CG$1,0))/INDEX('Monthly CUST'!$N$2:$CG$65,MATCH($D2,'Monthly CUST'!$D$2:$D$65,0),MATCH(AN$1,'Monthly CUST'!$N$1:$CG$1,0)),0)</f>
        <v>15.085423476968799</v>
      </c>
      <c r="AO2" s="56">
        <f>IFERROR(INDEX('Monthly VOL'!$N$2:$CG$65,MATCH($D2,'Monthly VOL'!$D$2:$D$65,0),MATCH(AO$1,'Monthly VOL'!$N$1:$CG$1,0))/INDEX('Monthly CUST'!$N$2:$CG$65,MATCH($D2,'Monthly CUST'!$D$2:$D$65,0),MATCH(AO$1,'Monthly CUST'!$N$1:$CG$1,0)),0)</f>
        <v>16.149242199108446</v>
      </c>
      <c r="AP2" s="56">
        <f>IFERROR(INDEX('Monthly VOL'!$N$2:$CG$65,MATCH($D2,'Monthly VOL'!$D$2:$D$65,0),MATCH(AP$1,'Monthly VOL'!$N$1:$CG$1,0))/INDEX('Monthly CUST'!$N$2:$CG$65,MATCH($D2,'Monthly CUST'!$D$2:$D$65,0),MATCH(AP$1,'Monthly CUST'!$N$1:$CG$1,0)),0)</f>
        <v>14.993353115727006</v>
      </c>
      <c r="AQ2" s="56">
        <f>IFERROR(INDEX('Monthly VOL'!$N$2:$CG$65,MATCH($D2,'Monthly VOL'!$D$2:$D$65,0),MATCH(AQ$1,'Monthly VOL'!$N$1:$CG$1,0))/INDEX('Monthly CUST'!$N$2:$CG$65,MATCH($D2,'Monthly CUST'!$D$2:$D$65,0),MATCH(AQ$1,'Monthly CUST'!$N$1:$CG$1,0)),0)</f>
        <v>13.469865871833093</v>
      </c>
      <c r="AR2" s="56">
        <f>IFERROR(INDEX('Monthly VOL'!$N$2:$CG$65,MATCH($D2,'Monthly VOL'!$D$2:$D$65,0),MATCH(AR$1,'Monthly VOL'!$N$1:$CG$1,0))/INDEX('Monthly CUST'!$N$2:$CG$65,MATCH($D2,'Monthly CUST'!$D$2:$D$65,0),MATCH(AR$1,'Monthly CUST'!$N$1:$CG$1,0)),0)</f>
        <v>14.900401188707269</v>
      </c>
      <c r="AS2" s="56">
        <f>IFERROR(INDEX('Monthly VOL'!$N$2:$CG$65,MATCH($D2,'Monthly VOL'!$D$2:$D$65,0),MATCH(AS$1,'Monthly VOL'!$N$1:$CG$1,0))/INDEX('Monthly CUST'!$N$2:$CG$65,MATCH($D2,'Monthly CUST'!$D$2:$D$65,0),MATCH(AS$1,'Monthly CUST'!$N$1:$CG$1,0)),0)</f>
        <v>12.46127407407409</v>
      </c>
      <c r="AT2" s="56">
        <f>IFERROR(INDEX('Monthly VOL'!$N$2:$CG$65,MATCH($D2,'Monthly VOL'!$D$2:$D$65,0),MATCH(AT$1,'Monthly VOL'!$N$1:$CG$1,0))/INDEX('Monthly CUST'!$N$2:$CG$65,MATCH($D2,'Monthly CUST'!$D$2:$D$65,0),MATCH(AT$1,'Monthly CUST'!$N$1:$CG$1,0)),0)</f>
        <v>13.093091715976323</v>
      </c>
      <c r="AU2" s="56">
        <f>IFERROR(INDEX('Monthly VOL'!$N$2:$CG$65,MATCH($D2,'Monthly VOL'!$D$2:$D$65,0),MATCH(AU$1,'Monthly VOL'!$N$1:$CG$1,0))/INDEX('Monthly CUST'!$N$2:$CG$65,MATCH($D2,'Monthly CUST'!$D$2:$D$65,0),MATCH(AU$1,'Monthly CUST'!$N$1:$CG$1,0)),0)</f>
        <v>12.936074074074069</v>
      </c>
      <c r="AV2" s="56">
        <f>IFERROR(INDEX('Monthly VOL'!$N$2:$CG$65,MATCH($D2,'Monthly VOL'!$D$2:$D$65,0),MATCH(AV$1,'Monthly VOL'!$N$1:$CG$1,0))/INDEX('Monthly CUST'!$N$2:$CG$65,MATCH($D2,'Monthly CUST'!$D$2:$D$65,0),MATCH(AV$1,'Monthly CUST'!$N$1:$CG$1,0)),0)</f>
        <v>15.666602373887228</v>
      </c>
      <c r="AW2" s="56">
        <f>IFERROR(INDEX('Monthly VOL'!$N$2:$CG$65,MATCH($D2,'Monthly VOL'!$D$2:$D$65,0),MATCH(AW$1,'Monthly VOL'!$N$1:$CG$1,0))/INDEX('Monthly CUST'!$N$2:$CG$65,MATCH($D2,'Monthly CUST'!$D$2:$D$65,0),MATCH(AW$1,'Monthly CUST'!$N$1:$CG$1,0)),0)</f>
        <v>17.636398809523818</v>
      </c>
      <c r="AX2" s="56">
        <f>IFERROR(INDEX('Monthly VOL'!$N$2:$CG$65,MATCH($D2,'Monthly VOL'!$D$2:$D$65,0),MATCH(AX$1,'Monthly VOL'!$N$1:$CG$1,0))/INDEX('Monthly CUST'!$N$2:$CG$65,MATCH($D2,'Monthly CUST'!$D$2:$D$65,0),MATCH(AX$1,'Monthly CUST'!$N$1:$CG$1,0)),0)</f>
        <v>17.51724444444443</v>
      </c>
      <c r="AY2" s="56">
        <f>IFERROR(INDEX('Monthly VOL'!$N$2:$CG$65,MATCH($D2,'Monthly VOL'!$D$2:$D$65,0),MATCH(AY$1,'Monthly VOL'!$N$1:$CG$1,0))/INDEX('Monthly CUST'!$N$2:$CG$65,MATCH($D2,'Monthly CUST'!$D$2:$D$65,0),MATCH(AY$1,'Monthly CUST'!$N$1:$CG$1,0)),0)</f>
        <v>14.944218289085514</v>
      </c>
      <c r="AZ2" s="56">
        <f>IFERROR(INDEX('Monthly VOL'!$N$2:$CG$65,MATCH($D2,'Monthly VOL'!$D$2:$D$65,0),MATCH(AZ$1,'Monthly VOL'!$N$1:$CG$1,0))/INDEX('Monthly CUST'!$N$2:$CG$65,MATCH($D2,'Monthly CUST'!$D$2:$D$65,0),MATCH(AZ$1,'Monthly CUST'!$N$1:$CG$1,0)),0)</f>
        <v>15.724451038575674</v>
      </c>
      <c r="BA2" s="56">
        <f>IFERROR(INDEX('Monthly VOL'!$N$2:$CG$65,MATCH($D2,'Monthly VOL'!$D$2:$D$65,0),MATCH(BA$1,'Monthly VOL'!$N$1:$CG$1,0))/INDEX('Monthly CUST'!$N$2:$CG$65,MATCH($D2,'Monthly CUST'!$D$2:$D$65,0),MATCH(BA$1,'Monthly CUST'!$N$1:$CG$1,0)),0)</f>
        <v>14.542359882005883</v>
      </c>
      <c r="BB2" s="56">
        <f>IFERROR(INDEX('Monthly VOL'!$N$2:$CG$65,MATCH($D2,'Monthly VOL'!$D$2:$D$65,0),MATCH(BB$1,'Monthly VOL'!$N$1:$CG$1,0))/INDEX('Monthly CUST'!$N$2:$CG$65,MATCH($D2,'Monthly CUST'!$D$2:$D$65,0),MATCH(BB$1,'Monthly CUST'!$N$1:$CG$1,0)),0)</f>
        <v>13.266038575667647</v>
      </c>
      <c r="BC2" s="56">
        <f>IFERROR(INDEX('Monthly VOL'!$N$2:$CG$65,MATCH($D2,'Monthly VOL'!$D$2:$D$65,0),MATCH(BC$1,'Monthly VOL'!$N$1:$CG$1,0))/INDEX('Monthly CUST'!$N$2:$CG$65,MATCH($D2,'Monthly CUST'!$D$2:$D$65,0),MATCH(BC$1,'Monthly CUST'!$N$1:$CG$1,0)),0)</f>
        <v>13.813367952522229</v>
      </c>
      <c r="BD2" s="56">
        <f>IFERROR(INDEX('Monthly VOL'!$N$2:$CG$65,MATCH($D2,'Monthly VOL'!$D$2:$D$65,0),MATCH(BD$1,'Monthly VOL'!$N$1:$CG$1,0))/INDEX('Monthly CUST'!$N$2:$CG$65,MATCH($D2,'Monthly CUST'!$D$2:$D$65,0),MATCH(BD$1,'Monthly CUST'!$N$1:$CG$1,0)),0)</f>
        <v>13.347278106508881</v>
      </c>
      <c r="BE2" s="56">
        <f>IFERROR(INDEX('Monthly VOL'!$N$2:$CG$65,MATCH($D2,'Monthly VOL'!$D$2:$D$65,0),MATCH(BE$1,'Monthly VOL'!$N$1:$CG$1,0))/INDEX('Monthly CUST'!$N$2:$CG$65,MATCH($D2,'Monthly CUST'!$D$2:$D$65,0),MATCH(BE$1,'Monthly CUST'!$N$1:$CG$1,0)),0)</f>
        <v>11.896296296296308</v>
      </c>
      <c r="BF2" s="56">
        <f>IFERROR(INDEX('Monthly VOL'!$N$2:$CG$65,MATCH($D2,'Monthly VOL'!$D$2:$D$65,0),MATCH(BF$1,'Monthly VOL'!$N$1:$CG$1,0))/INDEX('Monthly CUST'!$N$2:$CG$65,MATCH($D2,'Monthly CUST'!$D$2:$D$65,0),MATCH(BF$1,'Monthly CUST'!$N$1:$CG$1,0)),0)</f>
        <v>13.567282127031016</v>
      </c>
      <c r="BG2" s="56">
        <f>IFERROR(INDEX('Monthly VOL'!$N$2:$CG$65,MATCH($D2,'Monthly VOL'!$D$2:$D$65,0),MATCH(BG$1,'Monthly VOL'!$N$1:$CG$1,0))/INDEX('Monthly CUST'!$N$2:$CG$65,MATCH($D2,'Monthly CUST'!$D$2:$D$65,0),MATCH(BG$1,'Monthly CUST'!$N$1:$CG$1,0)),0)</f>
        <v>12.286235294117649</v>
      </c>
      <c r="BH2" s="56">
        <f>IFERROR(INDEX('Monthly VOL'!$N$2:$CG$65,MATCH($D2,'Monthly VOL'!$D$2:$D$65,0),MATCH(BH$1,'Monthly VOL'!$N$1:$CG$1,0))/INDEX('Monthly CUST'!$N$2:$CG$65,MATCH($D2,'Monthly CUST'!$D$2:$D$65,0),MATCH(BH$1,'Monthly CUST'!$N$1:$CG$1,0)),0)</f>
        <v>11.906571856287417</v>
      </c>
      <c r="BI2" s="56">
        <f>IFERROR(INDEX('Monthly VOL'!$N$2:$CG$65,MATCH($D2,'Monthly VOL'!$D$2:$D$65,0),MATCH(BI$1,'Monthly VOL'!$N$1:$CG$1,0))/INDEX('Monthly CUST'!$N$2:$CG$65,MATCH($D2,'Monthly CUST'!$D$2:$D$65,0),MATCH(BI$1,'Monthly CUST'!$N$1:$CG$1,0)),0)</f>
        <v>18.962032884902829</v>
      </c>
      <c r="BJ2" s="56">
        <f>IFERROR(INDEX('Monthly VOL'!$N$2:$CG$65,MATCH($D2,'Monthly VOL'!$D$2:$D$65,0),MATCH(BJ$1,'Monthly VOL'!$N$1:$CG$1,0))/INDEX('Monthly CUST'!$N$2:$CG$65,MATCH($D2,'Monthly CUST'!$D$2:$D$65,0),MATCH(BJ$1,'Monthly CUST'!$N$1:$CG$1,0)),0)</f>
        <v>12.317643335680506</v>
      </c>
      <c r="BK2" s="56">
        <f>IFERROR(INDEX('Monthly VOL'!$N$2:$CG$65,MATCH($D2,'Monthly VOL'!$D$2:$D$65,0),MATCH(BK$1,'Monthly VOL'!$N$1:$CG$1,0))/INDEX('Monthly CUST'!$N$2:$CG$65,MATCH($D2,'Monthly CUST'!$D$2:$D$65,0),MATCH(BK$1,'Monthly CUST'!$N$1:$CG$1,0)),0)</f>
        <v>12.317643335680506</v>
      </c>
      <c r="BL2" s="56">
        <f>IFERROR(INDEX('Monthly VOL'!$N$2:$CG$65,MATCH($D2,'Monthly VOL'!$D$2:$D$65,0),MATCH(BL$1,'Monthly VOL'!$N$1:$CG$1,0))/INDEX('Monthly CUST'!$N$2:$CG$65,MATCH($D2,'Monthly CUST'!$D$2:$D$65,0),MATCH(BL$1,'Monthly CUST'!$N$1:$CG$1,0)),0)</f>
        <v>12.317643335680506</v>
      </c>
      <c r="BM2" s="56">
        <f>IFERROR(INDEX('Monthly VOL'!$N$2:$CG$65,MATCH($D2,'Monthly VOL'!$D$2:$D$65,0),MATCH(BM$1,'Monthly VOL'!$N$1:$CG$1,0))/INDEX('Monthly CUST'!$N$2:$CG$65,MATCH($D2,'Monthly CUST'!$D$2:$D$65,0),MATCH(BM$1,'Monthly CUST'!$N$1:$CG$1,0)),0)</f>
        <v>12.317643335680506</v>
      </c>
      <c r="BN2" s="56">
        <f>IFERROR(INDEX('Monthly VOL'!$N$2:$CG$65,MATCH($D2,'Monthly VOL'!$D$2:$D$65,0),MATCH(BN$1,'Monthly VOL'!$N$1:$CG$1,0))/INDEX('Monthly CUST'!$N$2:$CG$65,MATCH($D2,'Monthly CUST'!$D$2:$D$65,0),MATCH(BN$1,'Monthly CUST'!$N$1:$CG$1,0)),0)</f>
        <v>12.317643335680506</v>
      </c>
      <c r="BO2" s="56">
        <f>IFERROR(INDEX('Monthly VOL'!$N$2:$CG$65,MATCH($D2,'Monthly VOL'!$D$2:$D$65,0),MATCH(BO$1,'Monthly VOL'!$N$1:$CG$1,0))/INDEX('Monthly CUST'!$N$2:$CG$65,MATCH($D2,'Monthly CUST'!$D$2:$D$65,0),MATCH(BO$1,'Monthly CUST'!$N$1:$CG$1,0)),0)</f>
        <v>12.317643335680506</v>
      </c>
      <c r="BP2" s="56">
        <f>IFERROR(INDEX('Monthly VOL'!$N$2:$CG$65,MATCH($D2,'Monthly VOL'!$D$2:$D$65,0),MATCH(BP$1,'Monthly VOL'!$N$1:$CG$1,0))/INDEX('Monthly CUST'!$N$2:$CG$65,MATCH($D2,'Monthly CUST'!$D$2:$D$65,0),MATCH(BP$1,'Monthly CUST'!$N$1:$CG$1,0)),0)</f>
        <v>12.317643335680504</v>
      </c>
      <c r="BQ2" s="56">
        <f>IFERROR(INDEX('Monthly VOL'!$N$2:$CG$65,MATCH($D2,'Monthly VOL'!$D$2:$D$65,0),MATCH(BQ$1,'Monthly VOL'!$N$1:$CG$1,0))/INDEX('Monthly CUST'!$N$2:$CG$65,MATCH($D2,'Monthly CUST'!$D$2:$D$65,0),MATCH(BQ$1,'Monthly CUST'!$N$1:$CG$1,0)),0)</f>
        <v>12.317643335680506</v>
      </c>
      <c r="BR2" s="56">
        <f>IFERROR(INDEX('Monthly VOL'!$N$2:$CG$65,MATCH($D2,'Monthly VOL'!$D$2:$D$65,0),MATCH(BR$1,'Monthly VOL'!$N$1:$CG$1,0))/INDEX('Monthly CUST'!$N$2:$CG$65,MATCH($D2,'Monthly CUST'!$D$2:$D$65,0),MATCH(BR$1,'Monthly CUST'!$N$1:$CG$1,0)),0)</f>
        <v>12.317643335680504</v>
      </c>
      <c r="BS2" s="56">
        <f>IFERROR(INDEX('Monthly VOL'!$N$2:$CG$65,MATCH($D2,'Monthly VOL'!$D$2:$D$65,0),MATCH(BS$1,'Monthly VOL'!$N$1:$CG$1,0))/INDEX('Monthly CUST'!$N$2:$CG$65,MATCH($D2,'Monthly CUST'!$D$2:$D$65,0),MATCH(BS$1,'Monthly CUST'!$N$1:$CG$1,0)),0)</f>
        <v>12.317643335680504</v>
      </c>
      <c r="BT2" s="56">
        <f>IFERROR(INDEX('Monthly VOL'!$N$2:$CG$65,MATCH($D2,'Monthly VOL'!$D$2:$D$65,0),MATCH(BT$1,'Monthly VOL'!$N$1:$CG$1,0))/INDEX('Monthly CUST'!$N$2:$CG$65,MATCH($D2,'Monthly CUST'!$D$2:$D$65,0),MATCH(BT$1,'Monthly CUST'!$N$1:$CG$1,0)),0)</f>
        <v>12.317643335680506</v>
      </c>
      <c r="BU2" s="56">
        <f>IFERROR(INDEX('Monthly VOL'!$N$2:$CG$65,MATCH($D2,'Monthly VOL'!$D$2:$D$65,0),MATCH(BU$1,'Monthly VOL'!$N$1:$CG$1,0))/INDEX('Monthly CUST'!$N$2:$CG$65,MATCH($D2,'Monthly CUST'!$D$2:$D$65,0),MATCH(BU$1,'Monthly CUST'!$N$1:$CG$1,0)),0)</f>
        <v>12.317643335680504</v>
      </c>
      <c r="BV2" s="56">
        <f>IFERROR(INDEX('Monthly VOL'!$N$2:$CG$65,MATCH($D2,'Monthly VOL'!$D$2:$D$65,0),MATCH(BV$1,'Monthly VOL'!$N$1:$CG$1,0))/INDEX('Monthly CUST'!$N$2:$CG$65,MATCH($D2,'Monthly CUST'!$D$2:$D$65,0),MATCH(BV$1,'Monthly CUST'!$N$1:$CG$1,0)),0)</f>
        <v>12.317643335680504</v>
      </c>
      <c r="BW2" s="56">
        <f>IFERROR(INDEX('Monthly VOL'!$N$2:$CG$65,MATCH($D2,'Monthly VOL'!$D$2:$D$65,0),MATCH(BW$1,'Monthly VOL'!$N$1:$CG$1,0))/INDEX('Monthly CUST'!$N$2:$CG$65,MATCH($D2,'Monthly CUST'!$D$2:$D$65,0),MATCH(BW$1,'Monthly CUST'!$N$1:$CG$1,0)),0)</f>
        <v>12.317643335680504</v>
      </c>
      <c r="BX2" s="56">
        <f>IFERROR(INDEX('Monthly VOL'!$N$2:$CG$65,MATCH($D2,'Monthly VOL'!$D$2:$D$65,0),MATCH(BX$1,'Monthly VOL'!$N$1:$CG$1,0))/INDEX('Monthly CUST'!$N$2:$CG$65,MATCH($D2,'Monthly CUST'!$D$2:$D$65,0),MATCH(BX$1,'Monthly CUST'!$N$1:$CG$1,0)),0)</f>
        <v>12.317643335680506</v>
      </c>
      <c r="BY2" s="56">
        <f>IFERROR(INDEX('Monthly VOL'!$N$2:$CG$65,MATCH($D2,'Monthly VOL'!$D$2:$D$65,0),MATCH(BY$1,'Monthly VOL'!$N$1:$CG$1,0))/INDEX('Monthly CUST'!$N$2:$CG$65,MATCH($D2,'Monthly CUST'!$D$2:$D$65,0),MATCH(BY$1,'Monthly CUST'!$N$1:$CG$1,0)),0)</f>
        <v>12.317643335680504</v>
      </c>
      <c r="BZ2" s="56">
        <f>IFERROR(INDEX('Monthly VOL'!$N$2:$CG$65,MATCH($D2,'Monthly VOL'!$D$2:$D$65,0),MATCH(BZ$1,'Monthly VOL'!$N$1:$CG$1,0))/INDEX('Monthly CUST'!$N$2:$CG$65,MATCH($D2,'Monthly CUST'!$D$2:$D$65,0),MATCH(BZ$1,'Monthly CUST'!$N$1:$CG$1,0)),0)</f>
        <v>12.317643335680506</v>
      </c>
      <c r="CA2" s="56">
        <f>IFERROR(INDEX('Monthly VOL'!$N$2:$CG$65,MATCH($D2,'Monthly VOL'!$D$2:$D$65,0),MATCH(CA$1,'Monthly VOL'!$N$1:$CG$1,0))/INDEX('Monthly CUST'!$N$2:$CG$65,MATCH($D2,'Monthly CUST'!$D$2:$D$65,0),MATCH(CA$1,'Monthly CUST'!$N$1:$CG$1,0)),0)</f>
        <v>12.317643335680506</v>
      </c>
      <c r="CB2" s="56">
        <f>IFERROR(INDEX('Monthly VOL'!$N$2:$CG$65,MATCH($D2,'Monthly VOL'!$D$2:$D$65,0),MATCH(CB$1,'Monthly VOL'!$N$1:$CG$1,0))/INDEX('Monthly CUST'!$N$2:$CG$65,MATCH($D2,'Monthly CUST'!$D$2:$D$65,0),MATCH(CB$1,'Monthly CUST'!$N$1:$CG$1,0)),0)</f>
        <v>12.317643335680506</v>
      </c>
      <c r="CC2" s="56">
        <f>IFERROR(INDEX('Monthly VOL'!$N$2:$CG$65,MATCH($D2,'Monthly VOL'!$D$2:$D$65,0),MATCH(CC$1,'Monthly VOL'!$N$1:$CG$1,0))/INDEX('Monthly CUST'!$N$2:$CG$65,MATCH($D2,'Monthly CUST'!$D$2:$D$65,0),MATCH(CC$1,'Monthly CUST'!$N$1:$CG$1,0)),0)</f>
        <v>12.317643335680504</v>
      </c>
      <c r="CD2" s="56">
        <f>IFERROR(INDEX('Monthly VOL'!$N$2:$CG$65,MATCH($D2,'Monthly VOL'!$D$2:$D$65,0),MATCH(CD$1,'Monthly VOL'!$N$1:$CG$1,0))/INDEX('Monthly CUST'!$N$2:$CG$65,MATCH($D2,'Monthly CUST'!$D$2:$D$65,0),MATCH(CD$1,'Monthly CUST'!$N$1:$CG$1,0)),0)</f>
        <v>12.317643335680506</v>
      </c>
      <c r="CE2" s="56">
        <f>IFERROR(INDEX('Monthly VOL'!$N$2:$CG$65,MATCH($D2,'Monthly VOL'!$D$2:$D$65,0),MATCH(CE$1,'Monthly VOL'!$N$1:$CG$1,0))/INDEX('Monthly CUST'!$N$2:$CG$65,MATCH($D2,'Monthly CUST'!$D$2:$D$65,0),MATCH(CE$1,'Monthly CUST'!$N$1:$CG$1,0)),0)</f>
        <v>12.317643335680506</v>
      </c>
      <c r="CF2" s="56">
        <f>IFERROR(INDEX('Monthly VOL'!$N$2:$CG$65,MATCH($D2,'Monthly VOL'!$D$2:$D$65,0),MATCH(CF$1,'Monthly VOL'!$N$1:$CG$1,0))/INDEX('Monthly CUST'!$N$2:$CG$65,MATCH($D2,'Monthly CUST'!$D$2:$D$65,0),MATCH(CF$1,'Monthly CUST'!$N$1:$CG$1,0)),0)</f>
        <v>12.317643335680506</v>
      </c>
      <c r="CG2" s="56">
        <f>IFERROR(INDEX('Monthly VOL'!$N$2:$CG$65,MATCH($D2,'Monthly VOL'!$D$2:$D$65,0),MATCH(CG$1,'Monthly VOL'!$N$1:$CG$1,0))/INDEX('Monthly CUST'!$N$2:$CG$65,MATCH($D2,'Monthly CUST'!$D$2:$D$65,0),MATCH(CG$1,'Monthly CUST'!$N$1:$CG$1,0)),0)</f>
        <v>12.317643335680506</v>
      </c>
      <c r="CH2" s="264"/>
      <c r="CI2" s="264"/>
      <c r="CJ2" s="264"/>
      <c r="CM2" s="569">
        <f t="shared" ref="CM2:CM33" si="0">AVERAGE(Z2,AL2,AX2)</f>
        <v>17.360717987438456</v>
      </c>
      <c r="CN2" s="569">
        <f t="shared" ref="CN2:CN33" si="1">AVERAGE(AA2,AM2,AY2)</f>
        <v>14.847475761825848</v>
      </c>
      <c r="CO2" s="569">
        <f t="shared" ref="CO2:CO33" si="2">AVERAGE(AB2,AN2,AZ2)</f>
        <v>15.299445734037215</v>
      </c>
      <c r="CP2" s="569">
        <f t="shared" ref="CP2:CP33" si="3">AVERAGE(AC2,AO2,BA2)</f>
        <v>15.073205668829155</v>
      </c>
      <c r="CQ2" s="569">
        <f t="shared" ref="CQ2:CQ33" si="4">AVERAGE(AD2,AP2,BB2)</f>
        <v>14.431087713773303</v>
      </c>
      <c r="CR2" s="569">
        <f t="shared" ref="CR2:CR33" si="5">AVERAGE(AE2,AQ2,BC2)</f>
        <v>13.281569744730453</v>
      </c>
      <c r="CS2" s="569">
        <f t="shared" ref="CS2:CS33" si="6">AVERAGE(AF2,AR2,BD2)</f>
        <v>13.781279246885697</v>
      </c>
      <c r="CT2" s="569">
        <f t="shared" ref="CT2:CT33" si="7">AVERAGE(AG2,AS2,BE2)</f>
        <v>12.361118374577879</v>
      </c>
      <c r="CU2" s="569">
        <f t="shared" ref="CU2:CU33" si="8">AVERAGE(AH2,AT2,BF2)</f>
        <v>13.170014669308292</v>
      </c>
      <c r="CV2" s="569">
        <f t="shared" ref="CV2:CV33" si="9">AVERAGE(AI2,AU2,BG2)</f>
        <v>13.063529433314153</v>
      </c>
      <c r="CW2" s="569">
        <f t="shared" ref="CW2:CW33" si="10">AVERAGE(AJ2,AV2,BH2)</f>
        <v>13.775548886461593</v>
      </c>
      <c r="CX2" s="569">
        <f t="shared" ref="CX2:CX33" si="11">AVERAGE(AK2,AW2,BI2)</f>
        <v>17.534412166410487</v>
      </c>
      <c r="CY2" s="569">
        <f t="shared" ref="CY2:CY33" si="12">CM2</f>
        <v>17.360717987438456</v>
      </c>
      <c r="CZ2" s="569">
        <f t="shared" ref="CZ2:CZ33" si="13">CN2</f>
        <v>14.847475761825848</v>
      </c>
      <c r="DA2" s="569">
        <f t="shared" ref="DA2:DA33" si="14">CO2</f>
        <v>15.299445734037215</v>
      </c>
      <c r="DB2" s="569">
        <f t="shared" ref="DB2:DB33" si="15">CP2</f>
        <v>15.073205668829155</v>
      </c>
      <c r="DC2" s="569">
        <f t="shared" ref="DC2:DC33" si="16">CQ2</f>
        <v>14.431087713773303</v>
      </c>
      <c r="DD2" s="569">
        <f t="shared" ref="DD2:DD33" si="17">CR2</f>
        <v>13.281569744730453</v>
      </c>
      <c r="DE2" s="569">
        <f t="shared" ref="DE2:DE33" si="18">CS2</f>
        <v>13.781279246885697</v>
      </c>
      <c r="DF2" s="569">
        <f t="shared" ref="DF2:DF33" si="19">CT2</f>
        <v>12.361118374577879</v>
      </c>
      <c r="DG2" s="569">
        <f t="shared" ref="DG2:DG33" si="20">CU2</f>
        <v>13.170014669308292</v>
      </c>
      <c r="DH2" s="569">
        <f t="shared" ref="DH2:DH33" si="21">CV2</f>
        <v>13.063529433314153</v>
      </c>
      <c r="DI2" s="569">
        <f t="shared" ref="DI2:DI33" si="22">CW2</f>
        <v>13.775548886461593</v>
      </c>
      <c r="DJ2" s="569">
        <f t="shared" ref="DJ2:DJ33" si="23">CX2</f>
        <v>17.534412166410487</v>
      </c>
    </row>
    <row r="3" spans="1:114" s="261" customFormat="1">
      <c r="A3" s="55" t="s">
        <v>12</v>
      </c>
      <c r="B3" s="55" t="s">
        <v>993</v>
      </c>
      <c r="C3" s="55" t="s">
        <v>1245</v>
      </c>
      <c r="D3" s="55" t="s">
        <v>87</v>
      </c>
      <c r="E3" s="55" t="str">
        <f>VLOOKUP(D3,'Input 14_Ref Table'!C:D,2,FALSE)</f>
        <v>TS2C</v>
      </c>
      <c r="F3" s="172" t="s">
        <v>1286</v>
      </c>
      <c r="G3" s="55" t="str">
        <f>VLOOKUP(D3,'Input 14_Ref Table'!C:I,7,FALSE)</f>
        <v>IGC - IGC - TS2</v>
      </c>
      <c r="H3" s="55" t="str">
        <f>VLOOKUP(D3,'Input 14_Ref Table'!C:K,8,FALSE)</f>
        <v>Base Period</v>
      </c>
      <c r="I3" s="55" t="e">
        <f>INDEX(#REF!,MATCH(D3,#REF!,0))</f>
        <v>#REF!</v>
      </c>
      <c r="J3" s="261" t="str">
        <f>INDEX('Master '!$AD$2:AD$65,MATCH(D3,'Master '!$D$2:$D$65,0))</f>
        <v>Base Period</v>
      </c>
      <c r="K3" s="567">
        <f>INDEX('Master '!$N$2:N$65,MATCH(D3,'Master '!$D$2:$D$65,0))</f>
        <v>0</v>
      </c>
      <c r="L3" s="290">
        <f>INDEX('Master '!$S$2:S$65,MATCH(D3,'Master '!$D$2:$D$65,0))</f>
        <v>0</v>
      </c>
      <c r="M3" s="1">
        <f>INDEX('Master '!$W$2:W$65,MATCH(D3,'Master '!$D$2:$D$65,0))</f>
        <v>3722.1586206896554</v>
      </c>
      <c r="N3" s="56">
        <f>IFERROR(INDEX('Monthly VOL'!$N$2:$CG$65,MATCH($D3,'Monthly VOL'!$D$2:$D$65,0),MATCH(N$1,'Monthly VOL'!$N$1:$CG$1,0))/INDEX('Monthly CUST'!$N$2:$CG$65,MATCH($D3,'Monthly CUST'!$D$2:$D$65,0),MATCH(N$1,'Monthly CUST'!$N$1:$CG$1,0)),0)</f>
        <v>349.1013043478261</v>
      </c>
      <c r="O3" s="56">
        <f>IFERROR(INDEX('Monthly VOL'!$N$2:$CG$65,MATCH($D3,'Monthly VOL'!$D$2:$D$65,0),MATCH(O$1,'Monthly VOL'!$N$1:$CG$1,0))/INDEX('Monthly CUST'!$N$2:$CG$65,MATCH($D3,'Monthly CUST'!$D$2:$D$65,0),MATCH(O$1,'Monthly CUST'!$N$1:$CG$1,0)),0)</f>
        <v>299.42173913043479</v>
      </c>
      <c r="P3" s="56">
        <f>IFERROR(INDEX('Monthly VOL'!$N$2:$CG$65,MATCH($D3,'Monthly VOL'!$D$2:$D$65,0),MATCH(P$1,'Monthly VOL'!$N$1:$CG$1,0))/INDEX('Monthly CUST'!$N$2:$CG$65,MATCH($D3,'Monthly CUST'!$D$2:$D$65,0),MATCH(P$1,'Monthly CUST'!$N$1:$CG$1,0)),0)</f>
        <v>309.6108695652174</v>
      </c>
      <c r="Q3" s="56">
        <f>IFERROR(INDEX('Monthly VOL'!$N$2:$CG$65,MATCH($D3,'Monthly VOL'!$D$2:$D$65,0),MATCH(Q$1,'Monthly VOL'!$N$1:$CG$1,0))/INDEX('Monthly CUST'!$N$2:$CG$65,MATCH($D3,'Monthly CUST'!$D$2:$D$65,0),MATCH(Q$1,'Monthly CUST'!$N$1:$CG$1,0)),0)</f>
        <v>289.70416666666665</v>
      </c>
      <c r="R3" s="56">
        <f>IFERROR(INDEX('Monthly VOL'!$N$2:$CG$65,MATCH($D3,'Monthly VOL'!$D$2:$D$65,0),MATCH(R$1,'Monthly VOL'!$N$1:$CG$1,0))/INDEX('Monthly CUST'!$N$2:$CG$65,MATCH($D3,'Monthly CUST'!$D$2:$D$65,0),MATCH(R$1,'Monthly CUST'!$N$1:$CG$1,0)),0)</f>
        <v>327.78347826086957</v>
      </c>
      <c r="S3" s="56">
        <f>IFERROR(INDEX('Monthly VOL'!$N$2:$CG$65,MATCH($D3,'Monthly VOL'!$D$2:$D$65,0),MATCH(S$1,'Monthly VOL'!$N$1:$CG$1,0))/INDEX('Monthly CUST'!$N$2:$CG$65,MATCH($D3,'Monthly CUST'!$D$2:$D$65,0),MATCH(S$1,'Monthly CUST'!$N$1:$CG$1,0)),0)</f>
        <v>291.06826086956517</v>
      </c>
      <c r="T3" s="56">
        <f>IFERROR(INDEX('Monthly VOL'!$N$2:$CG$65,MATCH($D3,'Monthly VOL'!$D$2:$D$65,0),MATCH(T$1,'Monthly VOL'!$N$1:$CG$1,0))/INDEX('Monthly CUST'!$N$2:$CG$65,MATCH($D3,'Monthly CUST'!$D$2:$D$65,0),MATCH(T$1,'Monthly CUST'!$N$1:$CG$1,0)),0)</f>
        <v>307.17391304347825</v>
      </c>
      <c r="U3" s="56">
        <f>IFERROR(INDEX('Monthly VOL'!$N$2:$CG$65,MATCH($D3,'Monthly VOL'!$D$2:$D$65,0),MATCH(U$1,'Monthly VOL'!$N$1:$CG$1,0))/INDEX('Monthly CUST'!$N$2:$CG$65,MATCH($D3,'Monthly CUST'!$D$2:$D$65,0),MATCH(U$1,'Monthly CUST'!$N$1:$CG$1,0)),0)</f>
        <v>286.96391304347816</v>
      </c>
      <c r="V3" s="56">
        <f>IFERROR(INDEX('Monthly VOL'!$N$2:$CG$65,MATCH($D3,'Monthly VOL'!$D$2:$D$65,0),MATCH(V$1,'Monthly VOL'!$N$1:$CG$1,0))/INDEX('Monthly CUST'!$N$2:$CG$65,MATCH($D3,'Monthly CUST'!$D$2:$D$65,0),MATCH(V$1,'Monthly CUST'!$N$1:$CG$1,0)),0)</f>
        <v>285.13739130434783</v>
      </c>
      <c r="W3" s="56">
        <f>IFERROR(INDEX('Monthly VOL'!$N$2:$CG$65,MATCH($D3,'Monthly VOL'!$D$2:$D$65,0),MATCH(W$1,'Monthly VOL'!$N$1:$CG$1,0))/INDEX('Monthly CUST'!$N$2:$CG$65,MATCH($D3,'Monthly CUST'!$D$2:$D$65,0),MATCH(W$1,'Monthly CUST'!$N$1:$CG$1,0)),0)</f>
        <v>310.39130434782606</v>
      </c>
      <c r="X3" s="56">
        <f>IFERROR(INDEX('Monthly VOL'!$N$2:$CG$65,MATCH($D3,'Monthly VOL'!$D$2:$D$65,0),MATCH(X$1,'Monthly VOL'!$N$1:$CG$1,0))/INDEX('Monthly CUST'!$N$2:$CG$65,MATCH($D3,'Monthly CUST'!$D$2:$D$65,0),MATCH(X$1,'Monthly CUST'!$N$1:$CG$1,0)),0)</f>
        <v>312.14826086956515</v>
      </c>
      <c r="Y3" s="56">
        <f>IFERROR(INDEX('Monthly VOL'!$N$2:$CG$65,MATCH($D3,'Monthly VOL'!$D$2:$D$65,0),MATCH(Y$1,'Monthly VOL'!$N$1:$CG$1,0))/INDEX('Monthly CUST'!$N$2:$CG$65,MATCH($D3,'Monthly CUST'!$D$2:$D$65,0),MATCH(Y$1,'Monthly CUST'!$N$1:$CG$1,0)),0)</f>
        <v>332.60347826086957</v>
      </c>
      <c r="Z3" s="56">
        <f>IFERROR(INDEX('Monthly VOL'!$N$2:$CG$65,MATCH($D3,'Monthly VOL'!$D$2:$D$65,0),MATCH(Z$1,'Monthly VOL'!$N$1:$CG$1,0))/INDEX('Monthly CUST'!$N$2:$CG$65,MATCH($D3,'Monthly CUST'!$D$2:$D$65,0),MATCH(Z$1,'Monthly CUST'!$N$1:$CG$1,0)),0)</f>
        <v>307.78130434782605</v>
      </c>
      <c r="AA3" s="56">
        <f>IFERROR(INDEX('Monthly VOL'!$N$2:$CG$65,MATCH($D3,'Monthly VOL'!$D$2:$D$65,0),MATCH(AA$1,'Monthly VOL'!$N$1:$CG$1,0))/INDEX('Monthly CUST'!$N$2:$CG$65,MATCH($D3,'Monthly CUST'!$D$2:$D$65,0),MATCH(AA$1,'Monthly CUST'!$N$1:$CG$1,0)),0)</f>
        <v>298.47000000000003</v>
      </c>
      <c r="AB3" s="56">
        <f>IFERROR(INDEX('Monthly VOL'!$N$2:$CG$65,MATCH($D3,'Monthly VOL'!$D$2:$D$65,0),MATCH(AB$1,'Monthly VOL'!$N$1:$CG$1,0))/INDEX('Monthly CUST'!$N$2:$CG$65,MATCH($D3,'Monthly CUST'!$D$2:$D$65,0),MATCH(AB$1,'Monthly CUST'!$N$1:$CG$1,0)),0)</f>
        <v>308.31608695652176</v>
      </c>
      <c r="AC3" s="56">
        <f>IFERROR(INDEX('Monthly VOL'!$N$2:$CG$65,MATCH($D3,'Monthly VOL'!$D$2:$D$65,0),MATCH(AC$1,'Monthly VOL'!$N$1:$CG$1,0))/INDEX('Monthly CUST'!$N$2:$CG$65,MATCH($D3,'Monthly CUST'!$D$2:$D$65,0),MATCH(AC$1,'Monthly CUST'!$N$1:$CG$1,0)),0)</f>
        <v>302.32956521739129</v>
      </c>
      <c r="AD3" s="56">
        <f>IFERROR(INDEX('Monthly VOL'!$N$2:$CG$65,MATCH($D3,'Monthly VOL'!$D$2:$D$65,0),MATCH(AD$1,'Monthly VOL'!$N$1:$CG$1,0))/INDEX('Monthly CUST'!$N$2:$CG$65,MATCH($D3,'Monthly CUST'!$D$2:$D$65,0),MATCH(AD$1,'Monthly CUST'!$N$1:$CG$1,0)),0)</f>
        <v>319.47695652173917</v>
      </c>
      <c r="AE3" s="56">
        <f>IFERROR(INDEX('Monthly VOL'!$N$2:$CG$65,MATCH($D3,'Monthly VOL'!$D$2:$D$65,0),MATCH(AE$1,'Monthly VOL'!$N$1:$CG$1,0))/INDEX('Monthly CUST'!$N$2:$CG$65,MATCH($D3,'Monthly CUST'!$D$2:$D$65,0),MATCH(AE$1,'Monthly CUST'!$N$1:$CG$1,0)),0)</f>
        <v>283.16565217391309</v>
      </c>
      <c r="AF3" s="56">
        <f>IFERROR(INDEX('Monthly VOL'!$N$2:$CG$65,MATCH($D3,'Monthly VOL'!$D$2:$D$65,0),MATCH(AF$1,'Monthly VOL'!$N$1:$CG$1,0))/INDEX('Monthly CUST'!$N$2:$CG$65,MATCH($D3,'Monthly CUST'!$D$2:$D$65,0),MATCH(AF$1,'Monthly CUST'!$N$1:$CG$1,0)),0)</f>
        <v>304.76086956521743</v>
      </c>
      <c r="AG3" s="56">
        <f>IFERROR(INDEX('Monthly VOL'!$N$2:$CG$65,MATCH($D3,'Monthly VOL'!$D$2:$D$65,0),MATCH(AG$1,'Monthly VOL'!$N$1:$CG$1,0))/INDEX('Monthly CUST'!$N$2:$CG$65,MATCH($D3,'Monthly CUST'!$D$2:$D$65,0),MATCH(AG$1,'Monthly CUST'!$N$1:$CG$1,0)),0)</f>
        <v>268.02913043478253</v>
      </c>
      <c r="AH3" s="56">
        <f>IFERROR(INDEX('Monthly VOL'!$N$2:$CG$65,MATCH($D3,'Monthly VOL'!$D$2:$D$65,0),MATCH(AH$1,'Monthly VOL'!$N$1:$CG$1,0))/INDEX('Monthly CUST'!$N$2:$CG$65,MATCH($D3,'Monthly CUST'!$D$2:$D$65,0),MATCH(AH$1,'Monthly CUST'!$N$1:$CG$1,0)),0)</f>
        <v>296.99227272727273</v>
      </c>
      <c r="AI3" s="56">
        <f>IFERROR(INDEX('Monthly VOL'!$N$2:$CG$65,MATCH($D3,'Monthly VOL'!$D$2:$D$65,0),MATCH(AI$1,'Monthly VOL'!$N$1:$CG$1,0))/INDEX('Monthly CUST'!$N$2:$CG$65,MATCH($D3,'Monthly CUST'!$D$2:$D$65,0),MATCH(AI$1,'Monthly CUST'!$N$1:$CG$1,0)),0)</f>
        <v>331.64363636363646</v>
      </c>
      <c r="AJ3" s="56">
        <f>IFERROR(INDEX('Monthly VOL'!$N$2:$CG$65,MATCH($D3,'Monthly VOL'!$D$2:$D$65,0),MATCH(AJ$1,'Monthly VOL'!$N$1:$CG$1,0))/INDEX('Monthly CUST'!$N$2:$CG$65,MATCH($D3,'Monthly CUST'!$D$2:$D$65,0),MATCH(AJ$1,'Monthly CUST'!$N$1:$CG$1,0)),0)</f>
        <v>303.72545454545451</v>
      </c>
      <c r="AK3" s="56">
        <f>IFERROR(INDEX('Monthly VOL'!$N$2:$CG$65,MATCH($D3,'Monthly VOL'!$D$2:$D$65,0),MATCH(AK$1,'Monthly VOL'!$N$1:$CG$1,0))/INDEX('Monthly CUST'!$N$2:$CG$65,MATCH($D3,'Monthly CUST'!$D$2:$D$65,0),MATCH(AK$1,'Monthly CUST'!$N$1:$CG$1,0)),0)</f>
        <v>363.67318181818183</v>
      </c>
      <c r="AL3" s="56">
        <f>IFERROR(INDEX('Monthly VOL'!$N$2:$CG$65,MATCH($D3,'Monthly VOL'!$D$2:$D$65,0),MATCH(AL$1,'Monthly VOL'!$N$1:$CG$1,0))/INDEX('Monthly CUST'!$N$2:$CG$65,MATCH($D3,'Monthly CUST'!$D$2:$D$65,0),MATCH(AL$1,'Monthly CUST'!$N$1:$CG$1,0)),0)</f>
        <v>336.03727272727269</v>
      </c>
      <c r="AM3" s="56">
        <f>IFERROR(INDEX('Monthly VOL'!$N$2:$CG$65,MATCH($D3,'Monthly VOL'!$D$2:$D$65,0),MATCH(AM$1,'Monthly VOL'!$N$1:$CG$1,0))/INDEX('Monthly CUST'!$N$2:$CG$65,MATCH($D3,'Monthly CUST'!$D$2:$D$65,0),MATCH(AM$1,'Monthly CUST'!$N$1:$CG$1,0)),0)</f>
        <v>336.18727272727273</v>
      </c>
      <c r="AN3" s="56">
        <f>IFERROR(INDEX('Monthly VOL'!$N$2:$CG$65,MATCH($D3,'Monthly VOL'!$D$2:$D$65,0),MATCH(AN$1,'Monthly VOL'!$N$1:$CG$1,0))/INDEX('Monthly CUST'!$N$2:$CG$65,MATCH($D3,'Monthly CUST'!$D$2:$D$65,0),MATCH(AN$1,'Monthly CUST'!$N$1:$CG$1,0)),0)</f>
        <v>326.34090909090907</v>
      </c>
      <c r="AO3" s="56">
        <f>IFERROR(INDEX('Monthly VOL'!$N$2:$CG$65,MATCH($D3,'Monthly VOL'!$D$2:$D$65,0),MATCH(AO$1,'Monthly VOL'!$N$1:$CG$1,0))/INDEX('Monthly CUST'!$N$2:$CG$65,MATCH($D3,'Monthly CUST'!$D$2:$D$65,0),MATCH(AO$1,'Monthly CUST'!$N$1:$CG$1,0)),0)</f>
        <v>292.8804545454546</v>
      </c>
      <c r="AP3" s="56">
        <f>IFERROR(INDEX('Monthly VOL'!$N$2:$CG$65,MATCH($D3,'Monthly VOL'!$D$2:$D$65,0),MATCH(AP$1,'Monthly VOL'!$N$1:$CG$1,0))/INDEX('Monthly CUST'!$N$2:$CG$65,MATCH($D3,'Monthly CUST'!$D$2:$D$65,0),MATCH(AP$1,'Monthly CUST'!$N$1:$CG$1,0)),0)</f>
        <v>298.16818181818184</v>
      </c>
      <c r="AQ3" s="56">
        <f>IFERROR(INDEX('Monthly VOL'!$N$2:$CG$65,MATCH($D3,'Monthly VOL'!$D$2:$D$65,0),MATCH(AQ$1,'Monthly VOL'!$N$1:$CG$1,0))/INDEX('Monthly CUST'!$N$2:$CG$65,MATCH($D3,'Monthly CUST'!$D$2:$D$65,0),MATCH(AQ$1,'Monthly CUST'!$N$1:$CG$1,0)),0)</f>
        <v>277.67045454545456</v>
      </c>
      <c r="AR3" s="56">
        <f>IFERROR(INDEX('Monthly VOL'!$N$2:$CG$65,MATCH($D3,'Monthly VOL'!$D$2:$D$65,0),MATCH(AR$1,'Monthly VOL'!$N$1:$CG$1,0))/INDEX('Monthly CUST'!$N$2:$CG$65,MATCH($D3,'Monthly CUST'!$D$2:$D$65,0),MATCH(AR$1,'Monthly CUST'!$N$1:$CG$1,0)),0)</f>
        <v>310.61818181818182</v>
      </c>
      <c r="AS3" s="56">
        <f>IFERROR(INDEX('Monthly VOL'!$N$2:$CG$65,MATCH($D3,'Monthly VOL'!$D$2:$D$65,0),MATCH(AS$1,'Monthly VOL'!$N$1:$CG$1,0))/INDEX('Monthly CUST'!$N$2:$CG$65,MATCH($D3,'Monthly CUST'!$D$2:$D$65,0),MATCH(AS$1,'Monthly CUST'!$N$1:$CG$1,0)),0)</f>
        <v>272.54090909090905</v>
      </c>
      <c r="AT3" s="56">
        <f>IFERROR(INDEX('Monthly VOL'!$N$2:$CG$65,MATCH($D3,'Monthly VOL'!$D$2:$D$65,0),MATCH(AT$1,'Monthly VOL'!$N$1:$CG$1,0))/INDEX('Monthly CUST'!$N$2:$CG$65,MATCH($D3,'Monthly CUST'!$D$2:$D$65,0),MATCH(AT$1,'Monthly CUST'!$N$1:$CG$1,0)),0)</f>
        <v>312.49590909090904</v>
      </c>
      <c r="AU3" s="56">
        <f>IFERROR(INDEX('Monthly VOL'!$N$2:$CG$65,MATCH($D3,'Monthly VOL'!$D$2:$D$65,0),MATCH(AU$1,'Monthly VOL'!$N$1:$CG$1,0))/INDEX('Monthly CUST'!$N$2:$CG$65,MATCH($D3,'Monthly CUST'!$D$2:$D$65,0),MATCH(AU$1,'Monthly CUST'!$N$1:$CG$1,0)),0)</f>
        <v>282.68333333333334</v>
      </c>
      <c r="AV3" s="56">
        <f>IFERROR(INDEX('Monthly VOL'!$N$2:$CG$65,MATCH($D3,'Monthly VOL'!$D$2:$D$65,0),MATCH(AV$1,'Monthly VOL'!$N$1:$CG$1,0))/INDEX('Monthly CUST'!$N$2:$CG$65,MATCH($D3,'Monthly CUST'!$D$2:$D$65,0),MATCH(AV$1,'Monthly CUST'!$N$1:$CG$1,0)),0)</f>
        <v>333.897619047619</v>
      </c>
      <c r="AW3" s="56">
        <f>IFERROR(INDEX('Monthly VOL'!$N$2:$CG$65,MATCH($D3,'Monthly VOL'!$D$2:$D$65,0),MATCH(AW$1,'Monthly VOL'!$N$1:$CG$1,0))/INDEX('Monthly CUST'!$N$2:$CG$65,MATCH($D3,'Monthly CUST'!$D$2:$D$65,0),MATCH(AW$1,'Monthly CUST'!$N$1:$CG$1,0)),0)</f>
        <v>320.38523809523804</v>
      </c>
      <c r="AX3" s="56">
        <f>IFERROR(INDEX('Monthly VOL'!$N$2:$CG$65,MATCH($D3,'Monthly VOL'!$D$2:$D$65,0),MATCH(AX$1,'Monthly VOL'!$N$1:$CG$1,0))/INDEX('Monthly CUST'!$N$2:$CG$65,MATCH($D3,'Monthly CUST'!$D$2:$D$65,0),MATCH(AX$1,'Monthly CUST'!$N$1:$CG$1,0)),0)</f>
        <v>317.39238095238096</v>
      </c>
      <c r="AY3" s="56">
        <f>IFERROR(INDEX('Monthly VOL'!$N$2:$CG$65,MATCH($D3,'Monthly VOL'!$D$2:$D$65,0),MATCH(AY$1,'Monthly VOL'!$N$1:$CG$1,0))/INDEX('Monthly CUST'!$N$2:$CG$65,MATCH($D3,'Monthly CUST'!$D$2:$D$65,0),MATCH(AY$1,'Monthly CUST'!$N$1:$CG$1,0)),0)</f>
        <v>303.4190476190476</v>
      </c>
      <c r="AZ3" s="56">
        <f>IFERROR(INDEX('Monthly VOL'!$N$2:$CG$65,MATCH($D3,'Monthly VOL'!$D$2:$D$65,0),MATCH(AZ$1,'Monthly VOL'!$N$1:$CG$1,0))/INDEX('Monthly CUST'!$N$2:$CG$65,MATCH($D3,'Monthly CUST'!$D$2:$D$65,0),MATCH(AZ$1,'Monthly CUST'!$N$1:$CG$1,0)),0)</f>
        <v>335.67999999999995</v>
      </c>
      <c r="BA3" s="56">
        <f>IFERROR(INDEX('Monthly VOL'!$N$2:$CG$65,MATCH($D3,'Monthly VOL'!$D$2:$D$65,0),MATCH(BA$1,'Monthly VOL'!$N$1:$CG$1,0))/INDEX('Monthly CUST'!$N$2:$CG$65,MATCH($D3,'Monthly CUST'!$D$2:$D$65,0),MATCH(BA$1,'Monthly CUST'!$N$1:$CG$1,0)),0)</f>
        <v>329.01363636363635</v>
      </c>
      <c r="BB3" s="56">
        <f>IFERROR(INDEX('Monthly VOL'!$N$2:$CG$65,MATCH($D3,'Monthly VOL'!$D$2:$D$65,0),MATCH(BB$1,'Monthly VOL'!$N$1:$CG$1,0))/INDEX('Monthly CUST'!$N$2:$CG$65,MATCH($D3,'Monthly CUST'!$D$2:$D$65,0),MATCH(BB$1,'Monthly CUST'!$N$1:$CG$1,0)),0)</f>
        <v>303.46636363636367</v>
      </c>
      <c r="BC3" s="56">
        <f>IFERROR(INDEX('Monthly VOL'!$N$2:$CG$65,MATCH($D3,'Monthly VOL'!$D$2:$D$65,0),MATCH(BC$1,'Monthly VOL'!$N$1:$CG$1,0))/INDEX('Monthly CUST'!$N$2:$CG$65,MATCH($D3,'Monthly CUST'!$D$2:$D$65,0),MATCH(BC$1,'Monthly CUST'!$N$1:$CG$1,0)),0)</f>
        <v>317.67772727272722</v>
      </c>
      <c r="BD3" s="56">
        <f>IFERROR(INDEX('Monthly VOL'!$N$2:$CG$65,MATCH($D3,'Monthly VOL'!$D$2:$D$65,0),MATCH(BD$1,'Monthly VOL'!$N$1:$CG$1,0))/INDEX('Monthly CUST'!$N$2:$CG$65,MATCH($D3,'Monthly CUST'!$D$2:$D$65,0),MATCH(BD$1,'Monthly CUST'!$N$1:$CG$1,0)),0)</f>
        <v>300.61227272727274</v>
      </c>
      <c r="BE3" s="56">
        <f>IFERROR(INDEX('Monthly VOL'!$N$2:$CG$65,MATCH($D3,'Monthly VOL'!$D$2:$D$65,0),MATCH(BE$1,'Monthly VOL'!$N$1:$CG$1,0))/INDEX('Monthly CUST'!$N$2:$CG$65,MATCH($D3,'Monthly CUST'!$D$2:$D$65,0),MATCH(BE$1,'Monthly CUST'!$N$1:$CG$1,0)),0)</f>
        <v>287.90090909090901</v>
      </c>
      <c r="BF3" s="56">
        <f>IFERROR(INDEX('Monthly VOL'!$N$2:$CG$65,MATCH($D3,'Monthly VOL'!$D$2:$D$65,0),MATCH(BF$1,'Monthly VOL'!$N$1:$CG$1,0))/INDEX('Monthly CUST'!$N$2:$CG$65,MATCH($D3,'Monthly CUST'!$D$2:$D$65,0),MATCH(BF$1,'Monthly CUST'!$N$1:$CG$1,0)),0)</f>
        <v>333.21090909090901</v>
      </c>
      <c r="BG3" s="56">
        <f>IFERROR(INDEX('Monthly VOL'!$N$2:$CG$65,MATCH($D3,'Monthly VOL'!$D$2:$D$65,0),MATCH(BG$1,'Monthly VOL'!$N$1:$CG$1,0))/INDEX('Monthly CUST'!$N$2:$CG$65,MATCH($D3,'Monthly CUST'!$D$2:$D$65,0),MATCH(BG$1,'Monthly CUST'!$N$1:$CG$1,0)),0)</f>
        <v>255.68500000000003</v>
      </c>
      <c r="BH3" s="56">
        <f>IFERROR(INDEX('Monthly VOL'!$N$2:$CG$65,MATCH($D3,'Monthly VOL'!$D$2:$D$65,0),MATCH(BH$1,'Monthly VOL'!$N$1:$CG$1,0))/INDEX('Monthly CUST'!$N$2:$CG$65,MATCH($D3,'Monthly CUST'!$D$2:$D$65,0),MATCH(BH$1,'Monthly CUST'!$N$1:$CG$1,0)),0)</f>
        <v>332.20136363636362</v>
      </c>
      <c r="BI3" s="56">
        <f>IFERROR(INDEX('Monthly VOL'!$N$2:$CG$65,MATCH($D3,'Monthly VOL'!$D$2:$D$65,0),MATCH(BI$1,'Monthly VOL'!$N$1:$CG$1,0))/INDEX('Monthly CUST'!$N$2:$CG$65,MATCH($D3,'Monthly CUST'!$D$2:$D$65,0),MATCH(BI$1,'Monthly CUST'!$N$1:$CG$1,0)),0)</f>
        <v>307.07863636363635</v>
      </c>
      <c r="BJ3" s="56">
        <f>IFERROR(INDEX('Monthly VOL'!$N$2:$CG$65,MATCH($D3,'Monthly VOL'!$D$2:$D$65,0),MATCH(BJ$1,'Monthly VOL'!$N$1:$CG$1,0))/INDEX('Monthly CUST'!$N$2:$CG$65,MATCH($D3,'Monthly CUST'!$D$2:$D$65,0),MATCH(BJ$1,'Monthly CUST'!$N$1:$CG$1,0)),0)</f>
        <v>317.39238095238096</v>
      </c>
      <c r="BK3" s="56">
        <f>IFERROR(INDEX('Monthly VOL'!$N$2:$CG$65,MATCH($D3,'Monthly VOL'!$D$2:$D$65,0),MATCH(BK$1,'Monthly VOL'!$N$1:$CG$1,0))/INDEX('Monthly CUST'!$N$2:$CG$65,MATCH($D3,'Monthly CUST'!$D$2:$D$65,0),MATCH(BK$1,'Monthly CUST'!$N$1:$CG$1,0)),0)</f>
        <v>303.4190476190476</v>
      </c>
      <c r="BL3" s="56">
        <f>IFERROR(INDEX('Monthly VOL'!$N$2:$CG$65,MATCH($D3,'Monthly VOL'!$D$2:$D$65,0),MATCH(BL$1,'Monthly VOL'!$N$1:$CG$1,0))/INDEX('Monthly CUST'!$N$2:$CG$65,MATCH($D3,'Monthly CUST'!$D$2:$D$65,0),MATCH(BL$1,'Monthly CUST'!$N$1:$CG$1,0)),0)</f>
        <v>335.67999999999995</v>
      </c>
      <c r="BM3" s="56">
        <f>IFERROR(INDEX('Monthly VOL'!$N$2:$CG$65,MATCH($D3,'Monthly VOL'!$D$2:$D$65,0),MATCH(BM$1,'Monthly VOL'!$N$1:$CG$1,0))/INDEX('Monthly CUST'!$N$2:$CG$65,MATCH($D3,'Monthly CUST'!$D$2:$D$65,0),MATCH(BM$1,'Monthly CUST'!$N$1:$CG$1,0)),0)</f>
        <v>329.01363636363635</v>
      </c>
      <c r="BN3" s="56">
        <f>IFERROR(INDEX('Monthly VOL'!$N$2:$CG$65,MATCH($D3,'Monthly VOL'!$D$2:$D$65,0),MATCH(BN$1,'Monthly VOL'!$N$1:$CG$1,0))/INDEX('Monthly CUST'!$N$2:$CG$65,MATCH($D3,'Monthly CUST'!$D$2:$D$65,0),MATCH(BN$1,'Monthly CUST'!$N$1:$CG$1,0)),0)</f>
        <v>303.46636363636367</v>
      </c>
      <c r="BO3" s="56">
        <f>IFERROR(INDEX('Monthly VOL'!$N$2:$CG$65,MATCH($D3,'Monthly VOL'!$D$2:$D$65,0),MATCH(BO$1,'Monthly VOL'!$N$1:$CG$1,0))/INDEX('Monthly CUST'!$N$2:$CG$65,MATCH($D3,'Monthly CUST'!$D$2:$D$65,0),MATCH(BO$1,'Monthly CUST'!$N$1:$CG$1,0)),0)</f>
        <v>317.67772727272722</v>
      </c>
      <c r="BP3" s="56">
        <f>IFERROR(INDEX('Monthly VOL'!$N$2:$CG$65,MATCH($D3,'Monthly VOL'!$D$2:$D$65,0),MATCH(BP$1,'Monthly VOL'!$N$1:$CG$1,0))/INDEX('Monthly CUST'!$N$2:$CG$65,MATCH($D3,'Monthly CUST'!$D$2:$D$65,0),MATCH(BP$1,'Monthly CUST'!$N$1:$CG$1,0)),0)</f>
        <v>300.61227272727274</v>
      </c>
      <c r="BQ3" s="56">
        <f>IFERROR(INDEX('Monthly VOL'!$N$2:$CG$65,MATCH($D3,'Monthly VOL'!$D$2:$D$65,0),MATCH(BQ$1,'Monthly VOL'!$N$1:$CG$1,0))/INDEX('Monthly CUST'!$N$2:$CG$65,MATCH($D3,'Monthly CUST'!$D$2:$D$65,0),MATCH(BQ$1,'Monthly CUST'!$N$1:$CG$1,0)),0)</f>
        <v>287.90090909090901</v>
      </c>
      <c r="BR3" s="56">
        <f>IFERROR(INDEX('Monthly VOL'!$N$2:$CG$65,MATCH($D3,'Monthly VOL'!$D$2:$D$65,0),MATCH(BR$1,'Monthly VOL'!$N$1:$CG$1,0))/INDEX('Monthly CUST'!$N$2:$CG$65,MATCH($D3,'Monthly CUST'!$D$2:$D$65,0),MATCH(BR$1,'Monthly CUST'!$N$1:$CG$1,0)),0)</f>
        <v>333.21090909090901</v>
      </c>
      <c r="BS3" s="56">
        <f>IFERROR(INDEX('Monthly VOL'!$N$2:$CG$65,MATCH($D3,'Monthly VOL'!$D$2:$D$65,0),MATCH(BS$1,'Monthly VOL'!$N$1:$CG$1,0))/INDEX('Monthly CUST'!$N$2:$CG$65,MATCH($D3,'Monthly CUST'!$D$2:$D$65,0),MATCH(BS$1,'Monthly CUST'!$N$1:$CG$1,0)),0)</f>
        <v>255.68500000000003</v>
      </c>
      <c r="BT3" s="56">
        <f>IFERROR(INDEX('Monthly VOL'!$N$2:$CG$65,MATCH($D3,'Monthly VOL'!$D$2:$D$65,0),MATCH(BT$1,'Monthly VOL'!$N$1:$CG$1,0))/INDEX('Monthly CUST'!$N$2:$CG$65,MATCH($D3,'Monthly CUST'!$D$2:$D$65,0),MATCH(BT$1,'Monthly CUST'!$N$1:$CG$1,0)),0)</f>
        <v>332.20136363636362</v>
      </c>
      <c r="BU3" s="56">
        <f>IFERROR(INDEX('Monthly VOL'!$N$2:$CG$65,MATCH($D3,'Monthly VOL'!$D$2:$D$65,0),MATCH(BU$1,'Monthly VOL'!$N$1:$CG$1,0))/INDEX('Monthly CUST'!$N$2:$CG$65,MATCH($D3,'Monthly CUST'!$D$2:$D$65,0),MATCH(BU$1,'Monthly CUST'!$N$1:$CG$1,0)),0)</f>
        <v>307.07863636363635</v>
      </c>
      <c r="BV3" s="56">
        <f>IFERROR(INDEX('Monthly VOL'!$N$2:$CG$65,MATCH($D3,'Monthly VOL'!$D$2:$D$65,0),MATCH(BV$1,'Monthly VOL'!$N$1:$CG$1,0))/INDEX('Monthly CUST'!$N$2:$CG$65,MATCH($D3,'Monthly CUST'!$D$2:$D$65,0),MATCH(BV$1,'Monthly CUST'!$N$1:$CG$1,0)),0)</f>
        <v>317.39238095238096</v>
      </c>
      <c r="BW3" s="56">
        <f>IFERROR(INDEX('Monthly VOL'!$N$2:$CG$65,MATCH($D3,'Monthly VOL'!$D$2:$D$65,0),MATCH(BW$1,'Monthly VOL'!$N$1:$CG$1,0))/INDEX('Monthly CUST'!$N$2:$CG$65,MATCH($D3,'Monthly CUST'!$D$2:$D$65,0),MATCH(BW$1,'Monthly CUST'!$N$1:$CG$1,0)),0)</f>
        <v>303.4190476190476</v>
      </c>
      <c r="BX3" s="56">
        <f>IFERROR(INDEX('Monthly VOL'!$N$2:$CG$65,MATCH($D3,'Monthly VOL'!$D$2:$D$65,0),MATCH(BX$1,'Monthly VOL'!$N$1:$CG$1,0))/INDEX('Monthly CUST'!$N$2:$CG$65,MATCH($D3,'Monthly CUST'!$D$2:$D$65,0),MATCH(BX$1,'Monthly CUST'!$N$1:$CG$1,0)),0)</f>
        <v>335.67999999999995</v>
      </c>
      <c r="BY3" s="56">
        <f>IFERROR(INDEX('Monthly VOL'!$N$2:$CG$65,MATCH($D3,'Monthly VOL'!$D$2:$D$65,0),MATCH(BY$1,'Monthly VOL'!$N$1:$CG$1,0))/INDEX('Monthly CUST'!$N$2:$CG$65,MATCH($D3,'Monthly CUST'!$D$2:$D$65,0),MATCH(BY$1,'Monthly CUST'!$N$1:$CG$1,0)),0)</f>
        <v>329.01363636363635</v>
      </c>
      <c r="BZ3" s="56">
        <f>IFERROR(INDEX('Monthly VOL'!$N$2:$CG$65,MATCH($D3,'Monthly VOL'!$D$2:$D$65,0),MATCH(BZ$1,'Monthly VOL'!$N$1:$CG$1,0))/INDEX('Monthly CUST'!$N$2:$CG$65,MATCH($D3,'Monthly CUST'!$D$2:$D$65,0),MATCH(BZ$1,'Monthly CUST'!$N$1:$CG$1,0)),0)</f>
        <v>303.46636363636367</v>
      </c>
      <c r="CA3" s="56">
        <f>IFERROR(INDEX('Monthly VOL'!$N$2:$CG$65,MATCH($D3,'Monthly VOL'!$D$2:$D$65,0),MATCH(CA$1,'Monthly VOL'!$N$1:$CG$1,0))/INDEX('Monthly CUST'!$N$2:$CG$65,MATCH($D3,'Monthly CUST'!$D$2:$D$65,0),MATCH(CA$1,'Monthly CUST'!$N$1:$CG$1,0)),0)</f>
        <v>317.67772727272722</v>
      </c>
      <c r="CB3" s="56">
        <f>IFERROR(INDEX('Monthly VOL'!$N$2:$CG$65,MATCH($D3,'Monthly VOL'!$D$2:$D$65,0),MATCH(CB$1,'Monthly VOL'!$N$1:$CG$1,0))/INDEX('Monthly CUST'!$N$2:$CG$65,MATCH($D3,'Monthly CUST'!$D$2:$D$65,0),MATCH(CB$1,'Monthly CUST'!$N$1:$CG$1,0)),0)</f>
        <v>300.61227272727274</v>
      </c>
      <c r="CC3" s="56">
        <f>IFERROR(INDEX('Monthly VOL'!$N$2:$CG$65,MATCH($D3,'Monthly VOL'!$D$2:$D$65,0),MATCH(CC$1,'Monthly VOL'!$N$1:$CG$1,0))/INDEX('Monthly CUST'!$N$2:$CG$65,MATCH($D3,'Monthly CUST'!$D$2:$D$65,0),MATCH(CC$1,'Monthly CUST'!$N$1:$CG$1,0)),0)</f>
        <v>287.90090909090901</v>
      </c>
      <c r="CD3" s="56">
        <f>IFERROR(INDEX('Monthly VOL'!$N$2:$CG$65,MATCH($D3,'Monthly VOL'!$D$2:$D$65,0),MATCH(CD$1,'Monthly VOL'!$N$1:$CG$1,0))/INDEX('Monthly CUST'!$N$2:$CG$65,MATCH($D3,'Monthly CUST'!$D$2:$D$65,0),MATCH(CD$1,'Monthly CUST'!$N$1:$CG$1,0)),0)</f>
        <v>333.21090909090901</v>
      </c>
      <c r="CE3" s="56">
        <f>IFERROR(INDEX('Monthly VOL'!$N$2:$CG$65,MATCH($D3,'Monthly VOL'!$D$2:$D$65,0),MATCH(CE$1,'Monthly VOL'!$N$1:$CG$1,0))/INDEX('Monthly CUST'!$N$2:$CG$65,MATCH($D3,'Monthly CUST'!$D$2:$D$65,0),MATCH(CE$1,'Monthly CUST'!$N$1:$CG$1,0)),0)</f>
        <v>255.68500000000003</v>
      </c>
      <c r="CF3" s="56">
        <f>IFERROR(INDEX('Monthly VOL'!$N$2:$CG$65,MATCH($D3,'Monthly VOL'!$D$2:$D$65,0),MATCH(CF$1,'Monthly VOL'!$N$1:$CG$1,0))/INDEX('Monthly CUST'!$N$2:$CG$65,MATCH($D3,'Monthly CUST'!$D$2:$D$65,0),MATCH(CF$1,'Monthly CUST'!$N$1:$CG$1,0)),0)</f>
        <v>332.20136363636362</v>
      </c>
      <c r="CG3" s="56">
        <f>IFERROR(INDEX('Monthly VOL'!$N$2:$CG$65,MATCH($D3,'Monthly VOL'!$D$2:$D$65,0),MATCH(CG$1,'Monthly VOL'!$N$1:$CG$1,0))/INDEX('Monthly CUST'!$N$2:$CG$65,MATCH($D3,'Monthly CUST'!$D$2:$D$65,0),MATCH(CG$1,'Monthly CUST'!$N$1:$CG$1,0)),0)</f>
        <v>307.07863636363635</v>
      </c>
      <c r="CH3" s="264"/>
      <c r="CI3" s="264"/>
      <c r="CJ3" s="264"/>
      <c r="CM3" s="569">
        <f t="shared" si="0"/>
        <v>320.40365267582661</v>
      </c>
      <c r="CN3" s="569">
        <f t="shared" si="1"/>
        <v>312.6921067821068</v>
      </c>
      <c r="CO3" s="569">
        <f t="shared" si="2"/>
        <v>323.44566534914355</v>
      </c>
      <c r="CP3" s="569">
        <f t="shared" si="3"/>
        <v>308.07455204216075</v>
      </c>
      <c r="CQ3" s="569">
        <f t="shared" si="4"/>
        <v>307.03716732542824</v>
      </c>
      <c r="CR3" s="569">
        <f t="shared" si="5"/>
        <v>292.83794466403162</v>
      </c>
      <c r="CS3" s="569">
        <f t="shared" si="6"/>
        <v>305.33044137022398</v>
      </c>
      <c r="CT3" s="569">
        <f t="shared" si="7"/>
        <v>276.15698287220016</v>
      </c>
      <c r="CU3" s="569">
        <f t="shared" si="8"/>
        <v>314.23303030303026</v>
      </c>
      <c r="CV3" s="569">
        <f t="shared" si="9"/>
        <v>290.00398989898997</v>
      </c>
      <c r="CW3" s="569">
        <f t="shared" si="10"/>
        <v>323.27481240981234</v>
      </c>
      <c r="CX3" s="569">
        <f t="shared" si="11"/>
        <v>330.37901875901872</v>
      </c>
      <c r="CY3" s="569">
        <f t="shared" si="12"/>
        <v>320.40365267582661</v>
      </c>
      <c r="CZ3" s="569">
        <f t="shared" si="13"/>
        <v>312.6921067821068</v>
      </c>
      <c r="DA3" s="569">
        <f t="shared" si="14"/>
        <v>323.44566534914355</v>
      </c>
      <c r="DB3" s="569">
        <f t="shared" si="15"/>
        <v>308.07455204216075</v>
      </c>
      <c r="DC3" s="569">
        <f t="shared" si="16"/>
        <v>307.03716732542824</v>
      </c>
      <c r="DD3" s="569">
        <f t="shared" si="17"/>
        <v>292.83794466403162</v>
      </c>
      <c r="DE3" s="569">
        <f t="shared" si="18"/>
        <v>305.33044137022398</v>
      </c>
      <c r="DF3" s="569">
        <f t="shared" si="19"/>
        <v>276.15698287220016</v>
      </c>
      <c r="DG3" s="569">
        <f t="shared" si="20"/>
        <v>314.23303030303026</v>
      </c>
      <c r="DH3" s="569">
        <f t="shared" si="21"/>
        <v>290.00398989898997</v>
      </c>
      <c r="DI3" s="569">
        <f t="shared" si="22"/>
        <v>323.27481240981234</v>
      </c>
      <c r="DJ3" s="569">
        <f t="shared" si="23"/>
        <v>330.37901875901872</v>
      </c>
    </row>
    <row r="4" spans="1:114" s="261" customFormat="1">
      <c r="A4" s="55" t="s">
        <v>12</v>
      </c>
      <c r="B4" s="55" t="s">
        <v>993</v>
      </c>
      <c r="C4" s="55" t="s">
        <v>1245</v>
      </c>
      <c r="D4" s="55" t="s">
        <v>89</v>
      </c>
      <c r="E4" s="55" t="str">
        <f>VLOOKUP(D4,'Input 14_Ref Table'!C:D,2,FALSE)</f>
        <v>TS3C</v>
      </c>
      <c r="F4" s="172" t="s">
        <v>1286</v>
      </c>
      <c r="G4" s="55" t="str">
        <f>VLOOKUP(D4,'Input 14_Ref Table'!C:I,7,FALSE)</f>
        <v>IGC - IGC - TS3</v>
      </c>
      <c r="H4" s="55" t="str">
        <f>VLOOKUP(D4,'Input 14_Ref Table'!C:K,8,FALSE)</f>
        <v>Base Period</v>
      </c>
      <c r="I4" s="55" t="e">
        <f>INDEX(#REF!,MATCH(D4,#REF!,0))</f>
        <v>#REF!</v>
      </c>
      <c r="J4" s="261" t="str">
        <f>INDEX('Master '!$AD$2:AD$65,MATCH(D4,'Master '!$D$2:$D$65,0))</f>
        <v>Base Period</v>
      </c>
      <c r="K4" s="567">
        <f>INDEX('Master '!$N$2:N$65,MATCH(D4,'Master '!$D$2:$D$65,0))</f>
        <v>0</v>
      </c>
      <c r="L4" s="290">
        <f>INDEX('Master '!$S$2:S$65,MATCH(D4,'Master '!$D$2:$D$65,0))</f>
        <v>0</v>
      </c>
      <c r="M4" s="1">
        <f>INDEX('Master '!$W$2:W$65,MATCH(D4,'Master '!$D$2:$D$65,0))</f>
        <v>7985.92</v>
      </c>
      <c r="N4" s="56">
        <f>IFERROR(INDEX('Monthly VOL'!$N$2:$CG$65,MATCH($D4,'Monthly VOL'!$D$2:$D$65,0),MATCH(N$1,'Monthly VOL'!$N$1:$CG$1,0))/INDEX('Monthly CUST'!$N$2:$CG$65,MATCH($D4,'Monthly CUST'!$D$2:$D$65,0),MATCH(N$1,'Monthly CUST'!$N$1:$CG$1,0)),0)</f>
        <v>341.84</v>
      </c>
      <c r="O4" s="56">
        <f>IFERROR(INDEX('Monthly VOL'!$N$2:$CG$65,MATCH($D4,'Monthly VOL'!$D$2:$D$65,0),MATCH(O$1,'Monthly VOL'!$N$1:$CG$1,0))/INDEX('Monthly CUST'!$N$2:$CG$65,MATCH($D4,'Monthly CUST'!$D$2:$D$65,0),MATCH(O$1,'Monthly CUST'!$N$1:$CG$1,0)),0)</f>
        <v>274.42</v>
      </c>
      <c r="P4" s="56">
        <f>IFERROR(INDEX('Monthly VOL'!$N$2:$CG$65,MATCH($D4,'Monthly VOL'!$D$2:$D$65,0),MATCH(P$1,'Monthly VOL'!$N$1:$CG$1,0))/INDEX('Monthly CUST'!$N$2:$CG$65,MATCH($D4,'Monthly CUST'!$D$2:$D$65,0),MATCH(P$1,'Monthly CUST'!$N$1:$CG$1,0)),0)</f>
        <v>295.33</v>
      </c>
      <c r="Q4" s="56">
        <f>IFERROR(INDEX('Monthly VOL'!$N$2:$CG$65,MATCH($D4,'Monthly VOL'!$D$2:$D$65,0),MATCH(Q$1,'Monthly VOL'!$N$1:$CG$1,0))/INDEX('Monthly CUST'!$N$2:$CG$65,MATCH($D4,'Monthly CUST'!$D$2:$D$65,0),MATCH(Q$1,'Monthly CUST'!$N$1:$CG$1,0)),0)</f>
        <v>352.4</v>
      </c>
      <c r="R4" s="56">
        <f>IFERROR(INDEX('Monthly VOL'!$N$2:$CG$65,MATCH($D4,'Monthly VOL'!$D$2:$D$65,0),MATCH(R$1,'Monthly VOL'!$N$1:$CG$1,0))/INDEX('Monthly CUST'!$N$2:$CG$65,MATCH($D4,'Monthly CUST'!$D$2:$D$65,0),MATCH(R$1,'Monthly CUST'!$N$1:$CG$1,0)),0)</f>
        <v>294.93</v>
      </c>
      <c r="S4" s="56">
        <f>IFERROR(INDEX('Monthly VOL'!$N$2:$CG$65,MATCH($D4,'Monthly VOL'!$D$2:$D$65,0),MATCH(S$1,'Monthly VOL'!$N$1:$CG$1,0))/INDEX('Monthly CUST'!$N$2:$CG$65,MATCH($D4,'Monthly CUST'!$D$2:$D$65,0),MATCH(S$1,'Monthly CUST'!$N$1:$CG$1,0)),0)</f>
        <v>378.86</v>
      </c>
      <c r="T4" s="56">
        <f>IFERROR(INDEX('Monthly VOL'!$N$2:$CG$65,MATCH($D4,'Monthly VOL'!$D$2:$D$65,0),MATCH(T$1,'Monthly VOL'!$N$1:$CG$1,0))/INDEX('Monthly CUST'!$N$2:$CG$65,MATCH($D4,'Monthly CUST'!$D$2:$D$65,0),MATCH(T$1,'Monthly CUST'!$N$1:$CG$1,0)),0)</f>
        <v>265</v>
      </c>
      <c r="U4" s="56">
        <f>IFERROR(INDEX('Monthly VOL'!$N$2:$CG$65,MATCH($D4,'Monthly VOL'!$D$2:$D$65,0),MATCH(U$1,'Monthly VOL'!$N$1:$CG$1,0))/INDEX('Monthly CUST'!$N$2:$CG$65,MATCH($D4,'Monthly CUST'!$D$2:$D$65,0),MATCH(U$1,'Monthly CUST'!$N$1:$CG$1,0)),0)</f>
        <v>399.06</v>
      </c>
      <c r="V4" s="56">
        <f>IFERROR(INDEX('Monthly VOL'!$N$2:$CG$65,MATCH($D4,'Monthly VOL'!$D$2:$D$65,0),MATCH(V$1,'Monthly VOL'!$N$1:$CG$1,0))/INDEX('Monthly CUST'!$N$2:$CG$65,MATCH($D4,'Monthly CUST'!$D$2:$D$65,0),MATCH(V$1,'Monthly CUST'!$N$1:$CG$1,0)),0)</f>
        <v>322.02999999999997</v>
      </c>
      <c r="W4" s="56">
        <f>IFERROR(INDEX('Monthly VOL'!$N$2:$CG$65,MATCH($D4,'Monthly VOL'!$D$2:$D$65,0),MATCH(W$1,'Monthly VOL'!$N$1:$CG$1,0))/INDEX('Monthly CUST'!$N$2:$CG$65,MATCH($D4,'Monthly CUST'!$D$2:$D$65,0),MATCH(W$1,'Monthly CUST'!$N$1:$CG$1,0)),0)</f>
        <v>297</v>
      </c>
      <c r="X4" s="56">
        <f>IFERROR(INDEX('Monthly VOL'!$N$2:$CG$65,MATCH($D4,'Monthly VOL'!$D$2:$D$65,0),MATCH(X$1,'Monthly VOL'!$N$1:$CG$1,0))/INDEX('Monthly CUST'!$N$2:$CG$65,MATCH($D4,'Monthly CUST'!$D$2:$D$65,0),MATCH(X$1,'Monthly CUST'!$N$1:$CG$1,0)),0)</f>
        <v>189.74</v>
      </c>
      <c r="Y4" s="56">
        <f>IFERROR(INDEX('Monthly VOL'!$N$2:$CG$65,MATCH($D4,'Monthly VOL'!$D$2:$D$65,0),MATCH(Y$1,'Monthly VOL'!$N$1:$CG$1,0))/INDEX('Monthly CUST'!$N$2:$CG$65,MATCH($D4,'Monthly CUST'!$D$2:$D$65,0),MATCH(Y$1,'Monthly CUST'!$N$1:$CG$1,0)),0)</f>
        <v>422.62</v>
      </c>
      <c r="Z4" s="56">
        <f>IFERROR(INDEX('Monthly VOL'!$N$2:$CG$65,MATCH($D4,'Monthly VOL'!$D$2:$D$65,0),MATCH(Z$1,'Monthly VOL'!$N$1:$CG$1,0))/INDEX('Monthly CUST'!$N$2:$CG$65,MATCH($D4,'Monthly CUST'!$D$2:$D$65,0),MATCH(Z$1,'Monthly CUST'!$N$1:$CG$1,0)),0)</f>
        <v>445.11</v>
      </c>
      <c r="AA4" s="56">
        <f>IFERROR(INDEX('Monthly VOL'!$N$2:$CG$65,MATCH($D4,'Monthly VOL'!$D$2:$D$65,0),MATCH(AA$1,'Monthly VOL'!$N$1:$CG$1,0))/INDEX('Monthly CUST'!$N$2:$CG$65,MATCH($D4,'Monthly CUST'!$D$2:$D$65,0),MATCH(AA$1,'Monthly CUST'!$N$1:$CG$1,0)),0)</f>
        <v>341.07</v>
      </c>
      <c r="AB4" s="56">
        <f>IFERROR(INDEX('Monthly VOL'!$N$2:$CG$65,MATCH($D4,'Monthly VOL'!$D$2:$D$65,0),MATCH(AB$1,'Monthly VOL'!$N$1:$CG$1,0))/INDEX('Monthly CUST'!$N$2:$CG$65,MATCH($D4,'Monthly CUST'!$D$2:$D$65,0),MATCH(AB$1,'Monthly CUST'!$N$1:$CG$1,0)),0)</f>
        <v>222.51</v>
      </c>
      <c r="AC4" s="56">
        <f>IFERROR(INDEX('Monthly VOL'!$N$2:$CG$65,MATCH($D4,'Monthly VOL'!$D$2:$D$65,0),MATCH(AC$1,'Monthly VOL'!$N$1:$CG$1,0))/INDEX('Monthly CUST'!$N$2:$CG$65,MATCH($D4,'Monthly CUST'!$D$2:$D$65,0),MATCH(AC$1,'Monthly CUST'!$N$1:$CG$1,0)),0)</f>
        <v>235.01</v>
      </c>
      <c r="AD4" s="56">
        <f>IFERROR(INDEX('Monthly VOL'!$N$2:$CG$65,MATCH($D4,'Monthly VOL'!$D$2:$D$65,0),MATCH(AD$1,'Monthly VOL'!$N$1:$CG$1,0))/INDEX('Monthly CUST'!$N$2:$CG$65,MATCH($D4,'Monthly CUST'!$D$2:$D$65,0),MATCH(AD$1,'Monthly CUST'!$N$1:$CG$1,0)),0)</f>
        <v>382.05</v>
      </c>
      <c r="AE4" s="56">
        <f>IFERROR(INDEX('Monthly VOL'!$N$2:$CG$65,MATCH($D4,'Monthly VOL'!$D$2:$D$65,0),MATCH(AE$1,'Monthly VOL'!$N$1:$CG$1,0))/INDEX('Monthly CUST'!$N$2:$CG$65,MATCH($D4,'Monthly CUST'!$D$2:$D$65,0),MATCH(AE$1,'Monthly CUST'!$N$1:$CG$1,0)),0)</f>
        <v>406</v>
      </c>
      <c r="AF4" s="56">
        <f>IFERROR(INDEX('Monthly VOL'!$N$2:$CG$65,MATCH($D4,'Monthly VOL'!$D$2:$D$65,0),MATCH(AF$1,'Monthly VOL'!$N$1:$CG$1,0))/INDEX('Monthly CUST'!$N$2:$CG$65,MATCH($D4,'Monthly CUST'!$D$2:$D$65,0),MATCH(AF$1,'Monthly CUST'!$N$1:$CG$1,0)),0)</f>
        <v>430.46</v>
      </c>
      <c r="AG4" s="56">
        <f>IFERROR(INDEX('Monthly VOL'!$N$2:$CG$65,MATCH($D4,'Monthly VOL'!$D$2:$D$65,0),MATCH(AG$1,'Monthly VOL'!$N$1:$CG$1,0))/INDEX('Monthly CUST'!$N$2:$CG$65,MATCH($D4,'Monthly CUST'!$D$2:$D$65,0),MATCH(AG$1,'Monthly CUST'!$N$1:$CG$1,0)),0)</f>
        <v>266.26</v>
      </c>
      <c r="AH4" s="56">
        <f>IFERROR(INDEX('Monthly VOL'!$N$2:$CG$65,MATCH($D4,'Monthly VOL'!$D$2:$D$65,0),MATCH(AH$1,'Monthly VOL'!$N$1:$CG$1,0))/INDEX('Monthly CUST'!$N$2:$CG$65,MATCH($D4,'Monthly CUST'!$D$2:$D$65,0),MATCH(AH$1,'Monthly CUST'!$N$1:$CG$1,0)),0)</f>
        <v>411.79</v>
      </c>
      <c r="AI4" s="56">
        <f>IFERROR(INDEX('Monthly VOL'!$N$2:$CG$65,MATCH($D4,'Monthly VOL'!$D$2:$D$65,0),MATCH(AI$1,'Monthly VOL'!$N$1:$CG$1,0))/INDEX('Monthly CUST'!$N$2:$CG$65,MATCH($D4,'Monthly CUST'!$D$2:$D$65,0),MATCH(AI$1,'Monthly CUST'!$N$1:$CG$1,0)),0)</f>
        <v>196.56</v>
      </c>
      <c r="AJ4" s="56">
        <f>IFERROR(INDEX('Monthly VOL'!$N$2:$CG$65,MATCH($D4,'Monthly VOL'!$D$2:$D$65,0),MATCH(AJ$1,'Monthly VOL'!$N$1:$CG$1,0))/INDEX('Monthly CUST'!$N$2:$CG$65,MATCH($D4,'Monthly CUST'!$D$2:$D$65,0),MATCH(AJ$1,'Monthly CUST'!$N$1:$CG$1,0)),0)</f>
        <v>243.9</v>
      </c>
      <c r="AK4" s="56">
        <f>IFERROR(INDEX('Monthly VOL'!$N$2:$CG$65,MATCH($D4,'Monthly VOL'!$D$2:$D$65,0),MATCH(AK$1,'Monthly VOL'!$N$1:$CG$1,0))/INDEX('Monthly CUST'!$N$2:$CG$65,MATCH($D4,'Monthly CUST'!$D$2:$D$65,0),MATCH(AK$1,'Monthly CUST'!$N$1:$CG$1,0)),0)</f>
        <v>289.37</v>
      </c>
      <c r="AL4" s="56">
        <f>IFERROR(INDEX('Monthly VOL'!$N$2:$CG$65,MATCH($D4,'Monthly VOL'!$D$2:$D$65,0),MATCH(AL$1,'Monthly VOL'!$N$1:$CG$1,0))/INDEX('Monthly CUST'!$N$2:$CG$65,MATCH($D4,'Monthly CUST'!$D$2:$D$65,0),MATCH(AL$1,'Monthly CUST'!$N$1:$CG$1,0)),0)</f>
        <v>325.58999999999997</v>
      </c>
      <c r="AM4" s="56">
        <f>IFERROR(INDEX('Monthly VOL'!$N$2:$CG$65,MATCH($D4,'Monthly VOL'!$D$2:$D$65,0),MATCH(AM$1,'Monthly VOL'!$N$1:$CG$1,0))/INDEX('Monthly CUST'!$N$2:$CG$65,MATCH($D4,'Monthly CUST'!$D$2:$D$65,0),MATCH(AM$1,'Monthly CUST'!$N$1:$CG$1,0)),0)</f>
        <v>296.39999999999998</v>
      </c>
      <c r="AN4" s="56">
        <f>IFERROR(INDEX('Monthly VOL'!$N$2:$CG$65,MATCH($D4,'Monthly VOL'!$D$2:$D$65,0),MATCH(AN$1,'Monthly VOL'!$N$1:$CG$1,0))/INDEX('Monthly CUST'!$N$2:$CG$65,MATCH($D4,'Monthly CUST'!$D$2:$D$65,0),MATCH(AN$1,'Monthly CUST'!$N$1:$CG$1,0)),0)</f>
        <v>392.9</v>
      </c>
      <c r="AO4" s="56">
        <f>IFERROR(INDEX('Monthly VOL'!$N$2:$CG$65,MATCH($D4,'Monthly VOL'!$D$2:$D$65,0),MATCH(AO$1,'Monthly VOL'!$N$1:$CG$1,0))/INDEX('Monthly CUST'!$N$2:$CG$65,MATCH($D4,'Monthly CUST'!$D$2:$D$65,0),MATCH(AO$1,'Monthly CUST'!$N$1:$CG$1,0)),0)</f>
        <v>348.94</v>
      </c>
      <c r="AP4" s="56">
        <f>IFERROR(INDEX('Monthly VOL'!$N$2:$CG$65,MATCH($D4,'Monthly VOL'!$D$2:$D$65,0),MATCH(AP$1,'Monthly VOL'!$N$1:$CG$1,0))/INDEX('Monthly CUST'!$N$2:$CG$65,MATCH($D4,'Monthly CUST'!$D$2:$D$65,0),MATCH(AP$1,'Monthly CUST'!$N$1:$CG$1,0)),0)</f>
        <v>499.33</v>
      </c>
      <c r="AQ4" s="56">
        <f>IFERROR(INDEX('Monthly VOL'!$N$2:$CG$65,MATCH($D4,'Monthly VOL'!$D$2:$D$65,0),MATCH(AQ$1,'Monthly VOL'!$N$1:$CG$1,0))/INDEX('Monthly CUST'!$N$2:$CG$65,MATCH($D4,'Monthly CUST'!$D$2:$D$65,0),MATCH(AQ$1,'Monthly CUST'!$N$1:$CG$1,0)),0)</f>
        <v>354.32</v>
      </c>
      <c r="AR4" s="56">
        <f>IFERROR(INDEX('Monthly VOL'!$N$2:$CG$65,MATCH($D4,'Monthly VOL'!$D$2:$D$65,0),MATCH(AR$1,'Monthly VOL'!$N$1:$CG$1,0))/INDEX('Monthly CUST'!$N$2:$CG$65,MATCH($D4,'Monthly CUST'!$D$2:$D$65,0),MATCH(AR$1,'Monthly CUST'!$N$1:$CG$1,0)),0)</f>
        <v>445.32</v>
      </c>
      <c r="AS4" s="56">
        <f>IFERROR(INDEX('Monthly VOL'!$N$2:$CG$65,MATCH($D4,'Monthly VOL'!$D$2:$D$65,0),MATCH(AS$1,'Monthly VOL'!$N$1:$CG$1,0))/INDEX('Monthly CUST'!$N$2:$CG$65,MATCH($D4,'Monthly CUST'!$D$2:$D$65,0),MATCH(AS$1,'Monthly CUST'!$N$1:$CG$1,0)),0)</f>
        <v>406.96</v>
      </c>
      <c r="AT4" s="56">
        <f>IFERROR(INDEX('Monthly VOL'!$N$2:$CG$65,MATCH($D4,'Monthly VOL'!$D$2:$D$65,0),MATCH(AT$1,'Monthly VOL'!$N$1:$CG$1,0))/INDEX('Monthly CUST'!$N$2:$CG$65,MATCH($D4,'Monthly CUST'!$D$2:$D$65,0),MATCH(AT$1,'Monthly CUST'!$N$1:$CG$1,0)),0)</f>
        <v>342.1</v>
      </c>
      <c r="AU4" s="56">
        <f>IFERROR(INDEX('Monthly VOL'!$N$2:$CG$65,MATCH($D4,'Monthly VOL'!$D$2:$D$65,0),MATCH(AU$1,'Monthly VOL'!$N$1:$CG$1,0))/INDEX('Monthly CUST'!$N$2:$CG$65,MATCH($D4,'Monthly CUST'!$D$2:$D$65,0),MATCH(AU$1,'Monthly CUST'!$N$1:$CG$1,0)),0)</f>
        <v>262.31</v>
      </c>
      <c r="AV4" s="56">
        <f>IFERROR(INDEX('Monthly VOL'!$N$2:$CG$65,MATCH($D4,'Monthly VOL'!$D$2:$D$65,0),MATCH(AV$1,'Monthly VOL'!$N$1:$CG$1,0))/INDEX('Monthly CUST'!$N$2:$CG$65,MATCH($D4,'Monthly CUST'!$D$2:$D$65,0),MATCH(AV$1,'Monthly CUST'!$N$1:$CG$1,0)),0)</f>
        <v>421.06</v>
      </c>
      <c r="AW4" s="56">
        <f>IFERROR(INDEX('Monthly VOL'!$N$2:$CG$65,MATCH($D4,'Monthly VOL'!$D$2:$D$65,0),MATCH(AW$1,'Monthly VOL'!$N$1:$CG$1,0))/INDEX('Monthly CUST'!$N$2:$CG$65,MATCH($D4,'Monthly CUST'!$D$2:$D$65,0),MATCH(AW$1,'Monthly CUST'!$N$1:$CG$1,0)),0)</f>
        <v>571.37</v>
      </c>
      <c r="AX4" s="56">
        <f>IFERROR(INDEX('Monthly VOL'!$N$2:$CG$65,MATCH($D4,'Monthly VOL'!$D$2:$D$65,0),MATCH(AX$1,'Monthly VOL'!$N$1:$CG$1,0))/INDEX('Monthly CUST'!$N$2:$CG$65,MATCH($D4,'Monthly CUST'!$D$2:$D$65,0),MATCH(AX$1,'Monthly CUST'!$N$1:$CG$1,0)),0)</f>
        <v>944.37</v>
      </c>
      <c r="AY4" s="56">
        <f>IFERROR(INDEX('Monthly VOL'!$N$2:$CG$65,MATCH($D4,'Monthly VOL'!$D$2:$D$65,0),MATCH(AY$1,'Monthly VOL'!$N$1:$CG$1,0))/INDEX('Monthly CUST'!$N$2:$CG$65,MATCH($D4,'Monthly CUST'!$D$2:$D$65,0),MATCH(AY$1,'Monthly CUST'!$N$1:$CG$1,0)),0)</f>
        <v>755.21</v>
      </c>
      <c r="AZ4" s="56">
        <f>IFERROR(INDEX('Monthly VOL'!$N$2:$CG$65,MATCH($D4,'Monthly VOL'!$D$2:$D$65,0),MATCH(AZ$1,'Monthly VOL'!$N$1:$CG$1,0))/INDEX('Monthly CUST'!$N$2:$CG$65,MATCH($D4,'Monthly CUST'!$D$2:$D$65,0),MATCH(AZ$1,'Monthly CUST'!$N$1:$CG$1,0)),0)</f>
        <v>662.62</v>
      </c>
      <c r="BA4" s="56">
        <f>IFERROR(INDEX('Monthly VOL'!$N$2:$CG$65,MATCH($D4,'Monthly VOL'!$D$2:$D$65,0),MATCH(BA$1,'Monthly VOL'!$N$1:$CG$1,0))/INDEX('Monthly CUST'!$N$2:$CG$65,MATCH($D4,'Monthly CUST'!$D$2:$D$65,0),MATCH(BA$1,'Monthly CUST'!$N$1:$CG$1,0)),0)</f>
        <v>839.3</v>
      </c>
      <c r="BB4" s="56">
        <f>IFERROR(INDEX('Monthly VOL'!$N$2:$CG$65,MATCH($D4,'Monthly VOL'!$D$2:$D$65,0),MATCH(BB$1,'Monthly VOL'!$N$1:$CG$1,0))/INDEX('Monthly CUST'!$N$2:$CG$65,MATCH($D4,'Monthly CUST'!$D$2:$D$65,0),MATCH(BB$1,'Monthly CUST'!$N$1:$CG$1,0)),0)</f>
        <v>494.3</v>
      </c>
      <c r="BC4" s="56">
        <f>IFERROR(INDEX('Monthly VOL'!$N$2:$CG$65,MATCH($D4,'Monthly VOL'!$D$2:$D$65,0),MATCH(BC$1,'Monthly VOL'!$N$1:$CG$1,0))/INDEX('Monthly CUST'!$N$2:$CG$65,MATCH($D4,'Monthly CUST'!$D$2:$D$65,0),MATCH(BC$1,'Monthly CUST'!$N$1:$CG$1,0)),0)</f>
        <v>884.63</v>
      </c>
      <c r="BD4" s="56">
        <f>IFERROR(INDEX('Monthly VOL'!$N$2:$CG$65,MATCH($D4,'Monthly VOL'!$D$2:$D$65,0),MATCH(BD$1,'Monthly VOL'!$N$1:$CG$1,0))/INDEX('Monthly CUST'!$N$2:$CG$65,MATCH($D4,'Monthly CUST'!$D$2:$D$65,0),MATCH(BD$1,'Monthly CUST'!$N$1:$CG$1,0)),0)</f>
        <v>480.33</v>
      </c>
      <c r="BE4" s="56">
        <f>IFERROR(INDEX('Monthly VOL'!$N$2:$CG$65,MATCH($D4,'Monthly VOL'!$D$2:$D$65,0),MATCH(BE$1,'Monthly VOL'!$N$1:$CG$1,0))/INDEX('Monthly CUST'!$N$2:$CG$65,MATCH($D4,'Monthly CUST'!$D$2:$D$65,0),MATCH(BE$1,'Monthly CUST'!$N$1:$CG$1,0)),0)</f>
        <v>481.03</v>
      </c>
      <c r="BF4" s="56">
        <f>IFERROR(INDEX('Monthly VOL'!$N$2:$CG$65,MATCH($D4,'Monthly VOL'!$D$2:$D$65,0),MATCH(BF$1,'Monthly VOL'!$N$1:$CG$1,0))/INDEX('Monthly CUST'!$N$2:$CG$65,MATCH($D4,'Monthly CUST'!$D$2:$D$65,0),MATCH(BF$1,'Monthly CUST'!$N$1:$CG$1,0)),0)</f>
        <v>663.99</v>
      </c>
      <c r="BG4" s="56">
        <f>IFERROR(INDEX('Monthly VOL'!$N$2:$CG$65,MATCH($D4,'Monthly VOL'!$D$2:$D$65,0),MATCH(BG$1,'Monthly VOL'!$N$1:$CG$1,0))/INDEX('Monthly CUST'!$N$2:$CG$65,MATCH($D4,'Monthly CUST'!$D$2:$D$65,0),MATCH(BG$1,'Monthly CUST'!$N$1:$CG$1,0)),0)</f>
        <v>557.28</v>
      </c>
      <c r="BH4" s="56">
        <f>IFERROR(INDEX('Monthly VOL'!$N$2:$CG$65,MATCH($D4,'Monthly VOL'!$D$2:$D$65,0),MATCH(BH$1,'Monthly VOL'!$N$1:$CG$1,0))/INDEX('Monthly CUST'!$N$2:$CG$65,MATCH($D4,'Monthly CUST'!$D$2:$D$65,0),MATCH(BH$1,'Monthly CUST'!$N$1:$CG$1,0)),0)</f>
        <v>694.3</v>
      </c>
      <c r="BI4" s="56">
        <f>IFERROR(INDEX('Monthly VOL'!$N$2:$CG$65,MATCH($D4,'Monthly VOL'!$D$2:$D$65,0),MATCH(BI$1,'Monthly VOL'!$N$1:$CG$1,0))/INDEX('Monthly CUST'!$N$2:$CG$65,MATCH($D4,'Monthly CUST'!$D$2:$D$65,0),MATCH(BI$1,'Monthly CUST'!$N$1:$CG$1,0)),0)</f>
        <v>528.55999999999995</v>
      </c>
      <c r="BJ4" s="56">
        <f>IFERROR(INDEX('Monthly VOL'!$N$2:$CG$65,MATCH($D4,'Monthly VOL'!$D$2:$D$65,0),MATCH(BJ$1,'Monthly VOL'!$N$1:$CG$1,0))/INDEX('Monthly CUST'!$N$2:$CG$65,MATCH($D4,'Monthly CUST'!$D$2:$D$65,0),MATCH(BJ$1,'Monthly CUST'!$N$1:$CG$1,0)),0)</f>
        <v>944.37</v>
      </c>
      <c r="BK4" s="56">
        <f>IFERROR(INDEX('Monthly VOL'!$N$2:$CG$65,MATCH($D4,'Monthly VOL'!$D$2:$D$65,0),MATCH(BK$1,'Monthly VOL'!$N$1:$CG$1,0))/INDEX('Monthly CUST'!$N$2:$CG$65,MATCH($D4,'Monthly CUST'!$D$2:$D$65,0),MATCH(BK$1,'Monthly CUST'!$N$1:$CG$1,0)),0)</f>
        <v>755.21</v>
      </c>
      <c r="BL4" s="56">
        <f>IFERROR(INDEX('Monthly VOL'!$N$2:$CG$65,MATCH($D4,'Monthly VOL'!$D$2:$D$65,0),MATCH(BL$1,'Monthly VOL'!$N$1:$CG$1,0))/INDEX('Monthly CUST'!$N$2:$CG$65,MATCH($D4,'Monthly CUST'!$D$2:$D$65,0),MATCH(BL$1,'Monthly CUST'!$N$1:$CG$1,0)),0)</f>
        <v>662.62</v>
      </c>
      <c r="BM4" s="56">
        <f>IFERROR(INDEX('Monthly VOL'!$N$2:$CG$65,MATCH($D4,'Monthly VOL'!$D$2:$D$65,0),MATCH(BM$1,'Monthly VOL'!$N$1:$CG$1,0))/INDEX('Monthly CUST'!$N$2:$CG$65,MATCH($D4,'Monthly CUST'!$D$2:$D$65,0),MATCH(BM$1,'Monthly CUST'!$N$1:$CG$1,0)),0)</f>
        <v>839.3</v>
      </c>
      <c r="BN4" s="56">
        <f>IFERROR(INDEX('Monthly VOL'!$N$2:$CG$65,MATCH($D4,'Monthly VOL'!$D$2:$D$65,0),MATCH(BN$1,'Monthly VOL'!$N$1:$CG$1,0))/INDEX('Monthly CUST'!$N$2:$CG$65,MATCH($D4,'Monthly CUST'!$D$2:$D$65,0),MATCH(BN$1,'Monthly CUST'!$N$1:$CG$1,0)),0)</f>
        <v>494.3</v>
      </c>
      <c r="BO4" s="56">
        <f>IFERROR(INDEX('Monthly VOL'!$N$2:$CG$65,MATCH($D4,'Monthly VOL'!$D$2:$D$65,0),MATCH(BO$1,'Monthly VOL'!$N$1:$CG$1,0))/INDEX('Monthly CUST'!$N$2:$CG$65,MATCH($D4,'Monthly CUST'!$D$2:$D$65,0),MATCH(BO$1,'Monthly CUST'!$N$1:$CG$1,0)),0)</f>
        <v>884.63</v>
      </c>
      <c r="BP4" s="56">
        <f>IFERROR(INDEX('Monthly VOL'!$N$2:$CG$65,MATCH($D4,'Monthly VOL'!$D$2:$D$65,0),MATCH(BP$1,'Monthly VOL'!$N$1:$CG$1,0))/INDEX('Monthly CUST'!$N$2:$CG$65,MATCH($D4,'Monthly CUST'!$D$2:$D$65,0),MATCH(BP$1,'Monthly CUST'!$N$1:$CG$1,0)),0)</f>
        <v>480.33</v>
      </c>
      <c r="BQ4" s="56">
        <f>IFERROR(INDEX('Monthly VOL'!$N$2:$CG$65,MATCH($D4,'Monthly VOL'!$D$2:$D$65,0),MATCH(BQ$1,'Monthly VOL'!$N$1:$CG$1,0))/INDEX('Monthly CUST'!$N$2:$CG$65,MATCH($D4,'Monthly CUST'!$D$2:$D$65,0),MATCH(BQ$1,'Monthly CUST'!$N$1:$CG$1,0)),0)</f>
        <v>481.03</v>
      </c>
      <c r="BR4" s="56">
        <f>IFERROR(INDEX('Monthly VOL'!$N$2:$CG$65,MATCH($D4,'Monthly VOL'!$D$2:$D$65,0),MATCH(BR$1,'Monthly VOL'!$N$1:$CG$1,0))/INDEX('Monthly CUST'!$N$2:$CG$65,MATCH($D4,'Monthly CUST'!$D$2:$D$65,0),MATCH(BR$1,'Monthly CUST'!$N$1:$CG$1,0)),0)</f>
        <v>663.99</v>
      </c>
      <c r="BS4" s="56">
        <f>IFERROR(INDEX('Monthly VOL'!$N$2:$CG$65,MATCH($D4,'Monthly VOL'!$D$2:$D$65,0),MATCH(BS$1,'Monthly VOL'!$N$1:$CG$1,0))/INDEX('Monthly CUST'!$N$2:$CG$65,MATCH($D4,'Monthly CUST'!$D$2:$D$65,0),MATCH(BS$1,'Monthly CUST'!$N$1:$CG$1,0)),0)</f>
        <v>557.28</v>
      </c>
      <c r="BT4" s="56">
        <f>IFERROR(INDEX('Monthly VOL'!$N$2:$CG$65,MATCH($D4,'Monthly VOL'!$D$2:$D$65,0),MATCH(BT$1,'Monthly VOL'!$N$1:$CG$1,0))/INDEX('Monthly CUST'!$N$2:$CG$65,MATCH($D4,'Monthly CUST'!$D$2:$D$65,0),MATCH(BT$1,'Monthly CUST'!$N$1:$CG$1,0)),0)</f>
        <v>694.3</v>
      </c>
      <c r="BU4" s="56">
        <f>IFERROR(INDEX('Monthly VOL'!$N$2:$CG$65,MATCH($D4,'Monthly VOL'!$D$2:$D$65,0),MATCH(BU$1,'Monthly VOL'!$N$1:$CG$1,0))/INDEX('Monthly CUST'!$N$2:$CG$65,MATCH($D4,'Monthly CUST'!$D$2:$D$65,0),MATCH(BU$1,'Monthly CUST'!$N$1:$CG$1,0)),0)</f>
        <v>528.55999999999995</v>
      </c>
      <c r="BV4" s="56">
        <f>IFERROR(INDEX('Monthly VOL'!$N$2:$CG$65,MATCH($D4,'Monthly VOL'!$D$2:$D$65,0),MATCH(BV$1,'Monthly VOL'!$N$1:$CG$1,0))/INDEX('Monthly CUST'!$N$2:$CG$65,MATCH($D4,'Monthly CUST'!$D$2:$D$65,0),MATCH(BV$1,'Monthly CUST'!$N$1:$CG$1,0)),0)</f>
        <v>944.37</v>
      </c>
      <c r="BW4" s="56">
        <f>IFERROR(INDEX('Monthly VOL'!$N$2:$CG$65,MATCH($D4,'Monthly VOL'!$D$2:$D$65,0),MATCH(BW$1,'Monthly VOL'!$N$1:$CG$1,0))/INDEX('Monthly CUST'!$N$2:$CG$65,MATCH($D4,'Monthly CUST'!$D$2:$D$65,0),MATCH(BW$1,'Monthly CUST'!$N$1:$CG$1,0)),0)</f>
        <v>755.21</v>
      </c>
      <c r="BX4" s="56">
        <f>IFERROR(INDEX('Monthly VOL'!$N$2:$CG$65,MATCH($D4,'Monthly VOL'!$D$2:$D$65,0),MATCH(BX$1,'Monthly VOL'!$N$1:$CG$1,0))/INDEX('Monthly CUST'!$N$2:$CG$65,MATCH($D4,'Monthly CUST'!$D$2:$D$65,0),MATCH(BX$1,'Monthly CUST'!$N$1:$CG$1,0)),0)</f>
        <v>662.62</v>
      </c>
      <c r="BY4" s="56">
        <f>IFERROR(INDEX('Monthly VOL'!$N$2:$CG$65,MATCH($D4,'Monthly VOL'!$D$2:$D$65,0),MATCH(BY$1,'Monthly VOL'!$N$1:$CG$1,0))/INDEX('Monthly CUST'!$N$2:$CG$65,MATCH($D4,'Monthly CUST'!$D$2:$D$65,0),MATCH(BY$1,'Monthly CUST'!$N$1:$CG$1,0)),0)</f>
        <v>839.3</v>
      </c>
      <c r="BZ4" s="56">
        <f>IFERROR(INDEX('Monthly VOL'!$N$2:$CG$65,MATCH($D4,'Monthly VOL'!$D$2:$D$65,0),MATCH(BZ$1,'Monthly VOL'!$N$1:$CG$1,0))/INDEX('Monthly CUST'!$N$2:$CG$65,MATCH($D4,'Monthly CUST'!$D$2:$D$65,0),MATCH(BZ$1,'Monthly CUST'!$N$1:$CG$1,0)),0)</f>
        <v>494.3</v>
      </c>
      <c r="CA4" s="56">
        <f>IFERROR(INDEX('Monthly VOL'!$N$2:$CG$65,MATCH($D4,'Monthly VOL'!$D$2:$D$65,0),MATCH(CA$1,'Monthly VOL'!$N$1:$CG$1,0))/INDEX('Monthly CUST'!$N$2:$CG$65,MATCH($D4,'Monthly CUST'!$D$2:$D$65,0),MATCH(CA$1,'Monthly CUST'!$N$1:$CG$1,0)),0)</f>
        <v>884.63</v>
      </c>
      <c r="CB4" s="56">
        <f>IFERROR(INDEX('Monthly VOL'!$N$2:$CG$65,MATCH($D4,'Monthly VOL'!$D$2:$D$65,0),MATCH(CB$1,'Monthly VOL'!$N$1:$CG$1,0))/INDEX('Monthly CUST'!$N$2:$CG$65,MATCH($D4,'Monthly CUST'!$D$2:$D$65,0),MATCH(CB$1,'Monthly CUST'!$N$1:$CG$1,0)),0)</f>
        <v>480.33</v>
      </c>
      <c r="CC4" s="56">
        <f>IFERROR(INDEX('Monthly VOL'!$N$2:$CG$65,MATCH($D4,'Monthly VOL'!$D$2:$D$65,0),MATCH(CC$1,'Monthly VOL'!$N$1:$CG$1,0))/INDEX('Monthly CUST'!$N$2:$CG$65,MATCH($D4,'Monthly CUST'!$D$2:$D$65,0),MATCH(CC$1,'Monthly CUST'!$N$1:$CG$1,0)),0)</f>
        <v>481.03</v>
      </c>
      <c r="CD4" s="56">
        <f>IFERROR(INDEX('Monthly VOL'!$N$2:$CG$65,MATCH($D4,'Monthly VOL'!$D$2:$D$65,0),MATCH(CD$1,'Monthly VOL'!$N$1:$CG$1,0))/INDEX('Monthly CUST'!$N$2:$CG$65,MATCH($D4,'Monthly CUST'!$D$2:$D$65,0),MATCH(CD$1,'Monthly CUST'!$N$1:$CG$1,0)),0)</f>
        <v>663.99</v>
      </c>
      <c r="CE4" s="56">
        <f>IFERROR(INDEX('Monthly VOL'!$N$2:$CG$65,MATCH($D4,'Monthly VOL'!$D$2:$D$65,0),MATCH(CE$1,'Monthly VOL'!$N$1:$CG$1,0))/INDEX('Monthly CUST'!$N$2:$CG$65,MATCH($D4,'Monthly CUST'!$D$2:$D$65,0),MATCH(CE$1,'Monthly CUST'!$N$1:$CG$1,0)),0)</f>
        <v>557.28</v>
      </c>
      <c r="CF4" s="56">
        <f>IFERROR(INDEX('Monthly VOL'!$N$2:$CG$65,MATCH($D4,'Monthly VOL'!$D$2:$D$65,0),MATCH(CF$1,'Monthly VOL'!$N$1:$CG$1,0))/INDEX('Monthly CUST'!$N$2:$CG$65,MATCH($D4,'Monthly CUST'!$D$2:$D$65,0),MATCH(CF$1,'Monthly CUST'!$N$1:$CG$1,0)),0)</f>
        <v>694.3</v>
      </c>
      <c r="CG4" s="56">
        <f>IFERROR(INDEX('Monthly VOL'!$N$2:$CG$65,MATCH($D4,'Monthly VOL'!$D$2:$D$65,0),MATCH(CG$1,'Monthly VOL'!$N$1:$CG$1,0))/INDEX('Monthly CUST'!$N$2:$CG$65,MATCH($D4,'Monthly CUST'!$D$2:$D$65,0),MATCH(CG$1,'Monthly CUST'!$N$1:$CG$1,0)),0)</f>
        <v>528.55999999999995</v>
      </c>
      <c r="CH4" s="264"/>
      <c r="CI4" s="264"/>
      <c r="CJ4" s="264"/>
      <c r="CM4" s="569">
        <f t="shared" si="0"/>
        <v>571.69000000000005</v>
      </c>
      <c r="CN4" s="569">
        <f t="shared" si="1"/>
        <v>464.22666666666669</v>
      </c>
      <c r="CO4" s="569">
        <f t="shared" si="2"/>
        <v>426.01</v>
      </c>
      <c r="CP4" s="569">
        <f t="shared" si="3"/>
        <v>474.41666666666669</v>
      </c>
      <c r="CQ4" s="569">
        <f t="shared" si="4"/>
        <v>458.56</v>
      </c>
      <c r="CR4" s="569">
        <f t="shared" si="5"/>
        <v>548.31666666666661</v>
      </c>
      <c r="CS4" s="569">
        <f t="shared" si="6"/>
        <v>452.03666666666663</v>
      </c>
      <c r="CT4" s="569">
        <f t="shared" si="7"/>
        <v>384.75</v>
      </c>
      <c r="CU4" s="569">
        <f t="shared" si="8"/>
        <v>472.62666666666672</v>
      </c>
      <c r="CV4" s="569">
        <f t="shared" si="9"/>
        <v>338.71666666666664</v>
      </c>
      <c r="CW4" s="569">
        <f t="shared" si="10"/>
        <v>453.08666666666664</v>
      </c>
      <c r="CX4" s="569">
        <f t="shared" si="11"/>
        <v>463.09999999999997</v>
      </c>
      <c r="CY4" s="569">
        <f t="shared" si="12"/>
        <v>571.69000000000005</v>
      </c>
      <c r="CZ4" s="569">
        <f t="shared" si="13"/>
        <v>464.22666666666669</v>
      </c>
      <c r="DA4" s="569">
        <f t="shared" si="14"/>
        <v>426.01</v>
      </c>
      <c r="DB4" s="569">
        <f t="shared" si="15"/>
        <v>474.41666666666669</v>
      </c>
      <c r="DC4" s="569">
        <f t="shared" si="16"/>
        <v>458.56</v>
      </c>
      <c r="DD4" s="569">
        <f t="shared" si="17"/>
        <v>548.31666666666661</v>
      </c>
      <c r="DE4" s="569">
        <f t="shared" si="18"/>
        <v>452.03666666666663</v>
      </c>
      <c r="DF4" s="569">
        <f t="shared" si="19"/>
        <v>384.75</v>
      </c>
      <c r="DG4" s="569">
        <f t="shared" si="20"/>
        <v>472.62666666666672</v>
      </c>
      <c r="DH4" s="569">
        <f t="shared" si="21"/>
        <v>338.71666666666664</v>
      </c>
      <c r="DI4" s="569">
        <f t="shared" si="22"/>
        <v>453.08666666666664</v>
      </c>
      <c r="DJ4" s="569">
        <f t="shared" si="23"/>
        <v>463.09999999999997</v>
      </c>
    </row>
    <row r="5" spans="1:114" s="261" customFormat="1">
      <c r="A5" s="55" t="s">
        <v>12</v>
      </c>
      <c r="B5" s="55" t="s">
        <v>993</v>
      </c>
      <c r="C5" s="55" t="s">
        <v>1245</v>
      </c>
      <c r="D5" s="55" t="s">
        <v>91</v>
      </c>
      <c r="E5" s="55" t="str">
        <f>VLOOKUP(D5,'Input 14_Ref Table'!C:D,2,FALSE)</f>
        <v>TS4I</v>
      </c>
      <c r="F5" s="172" t="s">
        <v>1286</v>
      </c>
      <c r="G5" s="55" t="str">
        <f>VLOOKUP(D5,'Input 14_Ref Table'!C:I,7,FALSE)</f>
        <v>IGC - IGC - TS4</v>
      </c>
      <c r="H5" s="55" t="str">
        <f>VLOOKUP(D5,'Input 14_Ref Table'!C:K,8,FALSE)</f>
        <v>Base Period</v>
      </c>
      <c r="I5" s="55" t="e">
        <f>INDEX(#REF!,MATCH(D5,#REF!,0))</f>
        <v>#REF!</v>
      </c>
      <c r="J5" s="261" t="str">
        <f>INDEX('Master '!$AD$2:AD$65,MATCH(D5,'Master '!$D$2:$D$65,0))</f>
        <v>Base Period</v>
      </c>
      <c r="K5" s="567">
        <f>INDEX('Master '!$N$2:N$65,MATCH(D5,'Master '!$D$2:$D$65,0))</f>
        <v>0</v>
      </c>
      <c r="L5" s="290">
        <f>INDEX('Master '!$S$2:S$65,MATCH(D5,'Master '!$D$2:$D$65,0))</f>
        <v>0</v>
      </c>
      <c r="M5" s="1">
        <f>INDEX('Master '!$W$2:W$65,MATCH(D5,'Master '!$D$2:$D$65,0))</f>
        <v>0</v>
      </c>
      <c r="N5" s="56">
        <f>IFERROR(INDEX('Monthly VOL'!$N$2:$CG$65,MATCH($D5,'Monthly VOL'!$D$2:$D$65,0),MATCH(N$1,'Monthly VOL'!$N$1:$CG$1,0))/INDEX('Monthly CUST'!$N$2:$CG$65,MATCH($D5,'Monthly CUST'!$D$2:$D$65,0),MATCH(N$1,'Monthly CUST'!$N$1:$CG$1,0)),0)</f>
        <v>0</v>
      </c>
      <c r="O5" s="56">
        <f>IFERROR(INDEX('Monthly VOL'!$N$2:$CG$65,MATCH($D5,'Monthly VOL'!$D$2:$D$65,0),MATCH(O$1,'Monthly VOL'!$N$1:$CG$1,0))/INDEX('Monthly CUST'!$N$2:$CG$65,MATCH($D5,'Monthly CUST'!$D$2:$D$65,0),MATCH(O$1,'Monthly CUST'!$N$1:$CG$1,0)),0)</f>
        <v>0</v>
      </c>
      <c r="P5" s="56">
        <f>IFERROR(INDEX('Monthly VOL'!$N$2:$CG$65,MATCH($D5,'Monthly VOL'!$D$2:$D$65,0),MATCH(P$1,'Monthly VOL'!$N$1:$CG$1,0))/INDEX('Monthly CUST'!$N$2:$CG$65,MATCH($D5,'Monthly CUST'!$D$2:$D$65,0),MATCH(P$1,'Monthly CUST'!$N$1:$CG$1,0)),0)</f>
        <v>0</v>
      </c>
      <c r="Q5" s="56">
        <f>IFERROR(INDEX('Monthly VOL'!$N$2:$CG$65,MATCH($D5,'Monthly VOL'!$D$2:$D$65,0),MATCH(Q$1,'Monthly VOL'!$N$1:$CG$1,0))/INDEX('Monthly CUST'!$N$2:$CG$65,MATCH($D5,'Monthly CUST'!$D$2:$D$65,0),MATCH(Q$1,'Monthly CUST'!$N$1:$CG$1,0)),0)</f>
        <v>47058.415000000001</v>
      </c>
      <c r="R5" s="56">
        <f>IFERROR(INDEX('Monthly VOL'!$N$2:$CG$65,MATCH($D5,'Monthly VOL'!$D$2:$D$65,0),MATCH(R$1,'Monthly VOL'!$N$1:$CG$1,0))/INDEX('Monthly CUST'!$N$2:$CG$65,MATCH($D5,'Monthly CUST'!$D$2:$D$65,0),MATCH(R$1,'Monthly CUST'!$N$1:$CG$1,0)),0)</f>
        <v>55185.73</v>
      </c>
      <c r="S5" s="56">
        <f>IFERROR(INDEX('Monthly VOL'!$N$2:$CG$65,MATCH($D5,'Monthly VOL'!$D$2:$D$65,0),MATCH(S$1,'Monthly VOL'!$N$1:$CG$1,0))/INDEX('Monthly CUST'!$N$2:$CG$65,MATCH($D5,'Monthly CUST'!$D$2:$D$65,0),MATCH(S$1,'Monthly CUST'!$N$1:$CG$1,0)),0)</f>
        <v>0</v>
      </c>
      <c r="T5" s="56">
        <f>IFERROR(INDEX('Monthly VOL'!$N$2:$CG$65,MATCH($D5,'Monthly VOL'!$D$2:$D$65,0),MATCH(T$1,'Monthly VOL'!$N$1:$CG$1,0))/INDEX('Monthly CUST'!$N$2:$CG$65,MATCH($D5,'Monthly CUST'!$D$2:$D$65,0),MATCH(T$1,'Monthly CUST'!$N$1:$CG$1,0)),0)</f>
        <v>0</v>
      </c>
      <c r="U5" s="56">
        <f>IFERROR(INDEX('Monthly VOL'!$N$2:$CG$65,MATCH($D5,'Monthly VOL'!$D$2:$D$65,0),MATCH(U$1,'Monthly VOL'!$N$1:$CG$1,0))/INDEX('Monthly CUST'!$N$2:$CG$65,MATCH($D5,'Monthly CUST'!$D$2:$D$65,0),MATCH(U$1,'Monthly CUST'!$N$1:$CG$1,0)),0)</f>
        <v>0</v>
      </c>
      <c r="V5" s="56">
        <f>IFERROR(INDEX('Monthly VOL'!$N$2:$CG$65,MATCH($D5,'Monthly VOL'!$D$2:$D$65,0),MATCH(V$1,'Monthly VOL'!$N$1:$CG$1,0))/INDEX('Monthly CUST'!$N$2:$CG$65,MATCH($D5,'Monthly CUST'!$D$2:$D$65,0),MATCH(V$1,'Monthly CUST'!$N$1:$CG$1,0)),0)</f>
        <v>0</v>
      </c>
      <c r="W5" s="56">
        <f>IFERROR(INDEX('Monthly VOL'!$N$2:$CG$65,MATCH($D5,'Monthly VOL'!$D$2:$D$65,0),MATCH(W$1,'Monthly VOL'!$N$1:$CG$1,0))/INDEX('Monthly CUST'!$N$2:$CG$65,MATCH($D5,'Monthly CUST'!$D$2:$D$65,0),MATCH(W$1,'Monthly CUST'!$N$1:$CG$1,0)),0)</f>
        <v>0</v>
      </c>
      <c r="X5" s="56">
        <f>IFERROR(INDEX('Monthly VOL'!$N$2:$CG$65,MATCH($D5,'Monthly VOL'!$D$2:$D$65,0),MATCH(X$1,'Monthly VOL'!$N$1:$CG$1,0))/INDEX('Monthly CUST'!$N$2:$CG$65,MATCH($D5,'Monthly CUST'!$D$2:$D$65,0),MATCH(X$1,'Monthly CUST'!$N$1:$CG$1,0)),0)</f>
        <v>0</v>
      </c>
      <c r="Y5" s="56">
        <f>IFERROR(INDEX('Monthly VOL'!$N$2:$CG$65,MATCH($D5,'Monthly VOL'!$D$2:$D$65,0),MATCH(Y$1,'Monthly VOL'!$N$1:$CG$1,0))/INDEX('Monthly CUST'!$N$2:$CG$65,MATCH($D5,'Monthly CUST'!$D$2:$D$65,0),MATCH(Y$1,'Monthly CUST'!$N$1:$CG$1,0)),0)</f>
        <v>0</v>
      </c>
      <c r="Z5" s="56">
        <f>IFERROR(INDEX('Monthly VOL'!$N$2:$CG$65,MATCH($D5,'Monthly VOL'!$D$2:$D$65,0),MATCH(Z$1,'Monthly VOL'!$N$1:$CG$1,0))/INDEX('Monthly CUST'!$N$2:$CG$65,MATCH($D5,'Monthly CUST'!$D$2:$D$65,0),MATCH(Z$1,'Monthly CUST'!$N$1:$CG$1,0)),0)</f>
        <v>0</v>
      </c>
      <c r="AA5" s="56">
        <f>IFERROR(INDEX('Monthly VOL'!$N$2:$CG$65,MATCH($D5,'Monthly VOL'!$D$2:$D$65,0),MATCH(AA$1,'Monthly VOL'!$N$1:$CG$1,0))/INDEX('Monthly CUST'!$N$2:$CG$65,MATCH($D5,'Monthly CUST'!$D$2:$D$65,0),MATCH(AA$1,'Monthly CUST'!$N$1:$CG$1,0)),0)</f>
        <v>0</v>
      </c>
      <c r="AB5" s="56">
        <f>IFERROR(INDEX('Monthly VOL'!$N$2:$CG$65,MATCH($D5,'Monthly VOL'!$D$2:$D$65,0),MATCH(AB$1,'Monthly VOL'!$N$1:$CG$1,0))/INDEX('Monthly CUST'!$N$2:$CG$65,MATCH($D5,'Monthly CUST'!$D$2:$D$65,0),MATCH(AB$1,'Monthly CUST'!$N$1:$CG$1,0)),0)</f>
        <v>0</v>
      </c>
      <c r="AC5" s="56">
        <f>IFERROR(INDEX('Monthly VOL'!$N$2:$CG$65,MATCH($D5,'Monthly VOL'!$D$2:$D$65,0),MATCH(AC$1,'Monthly VOL'!$N$1:$CG$1,0))/INDEX('Monthly CUST'!$N$2:$CG$65,MATCH($D5,'Monthly CUST'!$D$2:$D$65,0),MATCH(AC$1,'Monthly CUST'!$N$1:$CG$1,0)),0)</f>
        <v>0</v>
      </c>
      <c r="AD5" s="56">
        <f>IFERROR(INDEX('Monthly VOL'!$N$2:$CG$65,MATCH($D5,'Monthly VOL'!$D$2:$D$65,0),MATCH(AD$1,'Monthly VOL'!$N$1:$CG$1,0))/INDEX('Monthly CUST'!$N$2:$CG$65,MATCH($D5,'Monthly CUST'!$D$2:$D$65,0),MATCH(AD$1,'Monthly CUST'!$N$1:$CG$1,0)),0)</f>
        <v>0</v>
      </c>
      <c r="AE5" s="56">
        <f>IFERROR(INDEX('Monthly VOL'!$N$2:$CG$65,MATCH($D5,'Monthly VOL'!$D$2:$D$65,0),MATCH(AE$1,'Monthly VOL'!$N$1:$CG$1,0))/INDEX('Monthly CUST'!$N$2:$CG$65,MATCH($D5,'Monthly CUST'!$D$2:$D$65,0),MATCH(AE$1,'Monthly CUST'!$N$1:$CG$1,0)),0)</f>
        <v>0</v>
      </c>
      <c r="AF5" s="56">
        <f>IFERROR(INDEX('Monthly VOL'!$N$2:$CG$65,MATCH($D5,'Monthly VOL'!$D$2:$D$65,0),MATCH(AF$1,'Monthly VOL'!$N$1:$CG$1,0))/INDEX('Monthly CUST'!$N$2:$CG$65,MATCH($D5,'Monthly CUST'!$D$2:$D$65,0),MATCH(AF$1,'Monthly CUST'!$N$1:$CG$1,0)),0)</f>
        <v>0</v>
      </c>
      <c r="AG5" s="56">
        <f>IFERROR(INDEX('Monthly VOL'!$N$2:$CG$65,MATCH($D5,'Monthly VOL'!$D$2:$D$65,0),MATCH(AG$1,'Monthly VOL'!$N$1:$CG$1,0))/INDEX('Monthly CUST'!$N$2:$CG$65,MATCH($D5,'Monthly CUST'!$D$2:$D$65,0),MATCH(AG$1,'Monthly CUST'!$N$1:$CG$1,0)),0)</f>
        <v>0</v>
      </c>
      <c r="AH5" s="56">
        <f>IFERROR(INDEX('Monthly VOL'!$N$2:$CG$65,MATCH($D5,'Monthly VOL'!$D$2:$D$65,0),MATCH(AH$1,'Monthly VOL'!$N$1:$CG$1,0))/INDEX('Monthly CUST'!$N$2:$CG$65,MATCH($D5,'Monthly CUST'!$D$2:$D$65,0),MATCH(AH$1,'Monthly CUST'!$N$1:$CG$1,0)),0)</f>
        <v>0</v>
      </c>
      <c r="AI5" s="56">
        <f>IFERROR(INDEX('Monthly VOL'!$N$2:$CG$65,MATCH($D5,'Monthly VOL'!$D$2:$D$65,0),MATCH(AI$1,'Monthly VOL'!$N$1:$CG$1,0))/INDEX('Monthly CUST'!$N$2:$CG$65,MATCH($D5,'Monthly CUST'!$D$2:$D$65,0),MATCH(AI$1,'Monthly CUST'!$N$1:$CG$1,0)),0)</f>
        <v>0</v>
      </c>
      <c r="AJ5" s="56">
        <f>IFERROR(INDEX('Monthly VOL'!$N$2:$CG$65,MATCH($D5,'Monthly VOL'!$D$2:$D$65,0),MATCH(AJ$1,'Monthly VOL'!$N$1:$CG$1,0))/INDEX('Monthly CUST'!$N$2:$CG$65,MATCH($D5,'Monthly CUST'!$D$2:$D$65,0),MATCH(AJ$1,'Monthly CUST'!$N$1:$CG$1,0)),0)</f>
        <v>0</v>
      </c>
      <c r="AK5" s="56">
        <f>IFERROR(INDEX('Monthly VOL'!$N$2:$CG$65,MATCH($D5,'Monthly VOL'!$D$2:$D$65,0),MATCH(AK$1,'Monthly VOL'!$N$1:$CG$1,0))/INDEX('Monthly CUST'!$N$2:$CG$65,MATCH($D5,'Monthly CUST'!$D$2:$D$65,0),MATCH(AK$1,'Monthly CUST'!$N$1:$CG$1,0)),0)</f>
        <v>0</v>
      </c>
      <c r="AL5" s="56">
        <f>IFERROR(INDEX('Monthly VOL'!$N$2:$CG$65,MATCH($D5,'Monthly VOL'!$D$2:$D$65,0),MATCH(AL$1,'Monthly VOL'!$N$1:$CG$1,0))/INDEX('Monthly CUST'!$N$2:$CG$65,MATCH($D5,'Monthly CUST'!$D$2:$D$65,0),MATCH(AL$1,'Monthly CUST'!$N$1:$CG$1,0)),0)</f>
        <v>0</v>
      </c>
      <c r="AM5" s="56">
        <f>IFERROR(INDEX('Monthly VOL'!$N$2:$CG$65,MATCH($D5,'Monthly VOL'!$D$2:$D$65,0),MATCH(AM$1,'Monthly VOL'!$N$1:$CG$1,0))/INDEX('Monthly CUST'!$N$2:$CG$65,MATCH($D5,'Monthly CUST'!$D$2:$D$65,0),MATCH(AM$1,'Monthly CUST'!$N$1:$CG$1,0)),0)</f>
        <v>0</v>
      </c>
      <c r="AN5" s="56">
        <f>IFERROR(INDEX('Monthly VOL'!$N$2:$CG$65,MATCH($D5,'Monthly VOL'!$D$2:$D$65,0),MATCH(AN$1,'Monthly VOL'!$N$1:$CG$1,0))/INDEX('Monthly CUST'!$N$2:$CG$65,MATCH($D5,'Monthly CUST'!$D$2:$D$65,0),MATCH(AN$1,'Monthly CUST'!$N$1:$CG$1,0)),0)</f>
        <v>0</v>
      </c>
      <c r="AO5" s="56">
        <f>IFERROR(INDEX('Monthly VOL'!$N$2:$CG$65,MATCH($D5,'Monthly VOL'!$D$2:$D$65,0),MATCH(AO$1,'Monthly VOL'!$N$1:$CG$1,0))/INDEX('Monthly CUST'!$N$2:$CG$65,MATCH($D5,'Monthly CUST'!$D$2:$D$65,0),MATCH(AO$1,'Monthly CUST'!$N$1:$CG$1,0)),0)</f>
        <v>0</v>
      </c>
      <c r="AP5" s="56">
        <f>IFERROR(INDEX('Monthly VOL'!$N$2:$CG$65,MATCH($D5,'Monthly VOL'!$D$2:$D$65,0),MATCH(AP$1,'Monthly VOL'!$N$1:$CG$1,0))/INDEX('Monthly CUST'!$N$2:$CG$65,MATCH($D5,'Monthly CUST'!$D$2:$D$65,0),MATCH(AP$1,'Monthly CUST'!$N$1:$CG$1,0)),0)</f>
        <v>0</v>
      </c>
      <c r="AQ5" s="56">
        <f>IFERROR(INDEX('Monthly VOL'!$N$2:$CG$65,MATCH($D5,'Monthly VOL'!$D$2:$D$65,0),MATCH(AQ$1,'Monthly VOL'!$N$1:$CG$1,0))/INDEX('Monthly CUST'!$N$2:$CG$65,MATCH($D5,'Monthly CUST'!$D$2:$D$65,0),MATCH(AQ$1,'Monthly CUST'!$N$1:$CG$1,0)),0)</f>
        <v>0</v>
      </c>
      <c r="AR5" s="56">
        <f>IFERROR(INDEX('Monthly VOL'!$N$2:$CG$65,MATCH($D5,'Monthly VOL'!$D$2:$D$65,0),MATCH(AR$1,'Monthly VOL'!$N$1:$CG$1,0))/INDEX('Monthly CUST'!$N$2:$CG$65,MATCH($D5,'Monthly CUST'!$D$2:$D$65,0),MATCH(AR$1,'Monthly CUST'!$N$1:$CG$1,0)),0)</f>
        <v>0</v>
      </c>
      <c r="AS5" s="56">
        <f>IFERROR(INDEX('Monthly VOL'!$N$2:$CG$65,MATCH($D5,'Monthly VOL'!$D$2:$D$65,0),MATCH(AS$1,'Monthly VOL'!$N$1:$CG$1,0))/INDEX('Monthly CUST'!$N$2:$CG$65,MATCH($D5,'Monthly CUST'!$D$2:$D$65,0),MATCH(AS$1,'Monthly CUST'!$N$1:$CG$1,0)),0)</f>
        <v>0</v>
      </c>
      <c r="AT5" s="56">
        <f>IFERROR(INDEX('Monthly VOL'!$N$2:$CG$65,MATCH($D5,'Monthly VOL'!$D$2:$D$65,0),MATCH(AT$1,'Monthly VOL'!$N$1:$CG$1,0))/INDEX('Monthly CUST'!$N$2:$CG$65,MATCH($D5,'Monthly CUST'!$D$2:$D$65,0),MATCH(AT$1,'Monthly CUST'!$N$1:$CG$1,0)),0)</f>
        <v>0</v>
      </c>
      <c r="AU5" s="56">
        <f>IFERROR(INDEX('Monthly VOL'!$N$2:$CG$65,MATCH($D5,'Monthly VOL'!$D$2:$D$65,0),MATCH(AU$1,'Monthly VOL'!$N$1:$CG$1,0))/INDEX('Monthly CUST'!$N$2:$CG$65,MATCH($D5,'Monthly CUST'!$D$2:$D$65,0),MATCH(AU$1,'Monthly CUST'!$N$1:$CG$1,0)),0)</f>
        <v>0</v>
      </c>
      <c r="AV5" s="56">
        <f>IFERROR(INDEX('Monthly VOL'!$N$2:$CG$65,MATCH($D5,'Monthly VOL'!$D$2:$D$65,0),MATCH(AV$1,'Monthly VOL'!$N$1:$CG$1,0))/INDEX('Monthly CUST'!$N$2:$CG$65,MATCH($D5,'Monthly CUST'!$D$2:$D$65,0),MATCH(AV$1,'Monthly CUST'!$N$1:$CG$1,0)),0)</f>
        <v>0</v>
      </c>
      <c r="AW5" s="56">
        <f>IFERROR(INDEX('Monthly VOL'!$N$2:$CG$65,MATCH($D5,'Monthly VOL'!$D$2:$D$65,0),MATCH(AW$1,'Monthly VOL'!$N$1:$CG$1,0))/INDEX('Monthly CUST'!$N$2:$CG$65,MATCH($D5,'Monthly CUST'!$D$2:$D$65,0),MATCH(AW$1,'Monthly CUST'!$N$1:$CG$1,0)),0)</f>
        <v>0</v>
      </c>
      <c r="AX5" s="56">
        <f>IFERROR(INDEX('Monthly VOL'!$N$2:$CG$65,MATCH($D5,'Monthly VOL'!$D$2:$D$65,0),MATCH(AX$1,'Monthly VOL'!$N$1:$CG$1,0))/INDEX('Monthly CUST'!$N$2:$CG$65,MATCH($D5,'Monthly CUST'!$D$2:$D$65,0),MATCH(AX$1,'Monthly CUST'!$N$1:$CG$1,0)),0)</f>
        <v>0</v>
      </c>
      <c r="AY5" s="56">
        <f>IFERROR(INDEX('Monthly VOL'!$N$2:$CG$65,MATCH($D5,'Monthly VOL'!$D$2:$D$65,0),MATCH(AY$1,'Monthly VOL'!$N$1:$CG$1,0))/INDEX('Monthly CUST'!$N$2:$CG$65,MATCH($D5,'Monthly CUST'!$D$2:$D$65,0),MATCH(AY$1,'Monthly CUST'!$N$1:$CG$1,0)),0)</f>
        <v>0</v>
      </c>
      <c r="AZ5" s="56">
        <f>IFERROR(INDEX('Monthly VOL'!$N$2:$CG$65,MATCH($D5,'Monthly VOL'!$D$2:$D$65,0),MATCH(AZ$1,'Monthly VOL'!$N$1:$CG$1,0))/INDEX('Monthly CUST'!$N$2:$CG$65,MATCH($D5,'Monthly CUST'!$D$2:$D$65,0),MATCH(AZ$1,'Monthly CUST'!$N$1:$CG$1,0)),0)</f>
        <v>0</v>
      </c>
      <c r="BA5" s="56">
        <f>IFERROR(INDEX('Monthly VOL'!$N$2:$CG$65,MATCH($D5,'Monthly VOL'!$D$2:$D$65,0),MATCH(BA$1,'Monthly VOL'!$N$1:$CG$1,0))/INDEX('Monthly CUST'!$N$2:$CG$65,MATCH($D5,'Monthly CUST'!$D$2:$D$65,0),MATCH(BA$1,'Monthly CUST'!$N$1:$CG$1,0)),0)</f>
        <v>0</v>
      </c>
      <c r="BB5" s="56">
        <f>IFERROR(INDEX('Monthly VOL'!$N$2:$CG$65,MATCH($D5,'Monthly VOL'!$D$2:$D$65,0),MATCH(BB$1,'Monthly VOL'!$N$1:$CG$1,0))/INDEX('Monthly CUST'!$N$2:$CG$65,MATCH($D5,'Monthly CUST'!$D$2:$D$65,0),MATCH(BB$1,'Monthly CUST'!$N$1:$CG$1,0)),0)</f>
        <v>0</v>
      </c>
      <c r="BC5" s="56">
        <f>IFERROR(INDEX('Monthly VOL'!$N$2:$CG$65,MATCH($D5,'Monthly VOL'!$D$2:$D$65,0),MATCH(BC$1,'Monthly VOL'!$N$1:$CG$1,0))/INDEX('Monthly CUST'!$N$2:$CG$65,MATCH($D5,'Monthly CUST'!$D$2:$D$65,0),MATCH(BC$1,'Monthly CUST'!$N$1:$CG$1,0)),0)</f>
        <v>0</v>
      </c>
      <c r="BD5" s="56">
        <f>IFERROR(INDEX('Monthly VOL'!$N$2:$CG$65,MATCH($D5,'Monthly VOL'!$D$2:$D$65,0),MATCH(BD$1,'Monthly VOL'!$N$1:$CG$1,0))/INDEX('Monthly CUST'!$N$2:$CG$65,MATCH($D5,'Monthly CUST'!$D$2:$D$65,0),MATCH(BD$1,'Monthly CUST'!$N$1:$CG$1,0)),0)</f>
        <v>0</v>
      </c>
      <c r="BE5" s="56">
        <f>IFERROR(INDEX('Monthly VOL'!$N$2:$CG$65,MATCH($D5,'Monthly VOL'!$D$2:$D$65,0),MATCH(BE$1,'Monthly VOL'!$N$1:$CG$1,0))/INDEX('Monthly CUST'!$N$2:$CG$65,MATCH($D5,'Monthly CUST'!$D$2:$D$65,0),MATCH(BE$1,'Monthly CUST'!$N$1:$CG$1,0)),0)</f>
        <v>0</v>
      </c>
      <c r="BF5" s="56">
        <f>IFERROR(INDEX('Monthly VOL'!$N$2:$CG$65,MATCH($D5,'Monthly VOL'!$D$2:$D$65,0),MATCH(BF$1,'Monthly VOL'!$N$1:$CG$1,0))/INDEX('Monthly CUST'!$N$2:$CG$65,MATCH($D5,'Monthly CUST'!$D$2:$D$65,0),MATCH(BF$1,'Monthly CUST'!$N$1:$CG$1,0)),0)</f>
        <v>0</v>
      </c>
      <c r="BG5" s="56">
        <f>IFERROR(INDEX('Monthly VOL'!$N$2:$CG$65,MATCH($D5,'Monthly VOL'!$D$2:$D$65,0),MATCH(BG$1,'Monthly VOL'!$N$1:$CG$1,0))/INDEX('Monthly CUST'!$N$2:$CG$65,MATCH($D5,'Monthly CUST'!$D$2:$D$65,0),MATCH(BG$1,'Monthly CUST'!$N$1:$CG$1,0)),0)</f>
        <v>0</v>
      </c>
      <c r="BH5" s="56">
        <f>IFERROR(INDEX('Monthly VOL'!$N$2:$CG$65,MATCH($D5,'Monthly VOL'!$D$2:$D$65,0),MATCH(BH$1,'Monthly VOL'!$N$1:$CG$1,0))/INDEX('Monthly CUST'!$N$2:$CG$65,MATCH($D5,'Monthly CUST'!$D$2:$D$65,0),MATCH(BH$1,'Monthly CUST'!$N$1:$CG$1,0)),0)</f>
        <v>0</v>
      </c>
      <c r="BI5" s="56">
        <f>IFERROR(INDEX('Monthly VOL'!$N$2:$CG$65,MATCH($D5,'Monthly VOL'!$D$2:$D$65,0),MATCH(BI$1,'Monthly VOL'!$N$1:$CG$1,0))/INDEX('Monthly CUST'!$N$2:$CG$65,MATCH($D5,'Monthly CUST'!$D$2:$D$65,0),MATCH(BI$1,'Monthly CUST'!$N$1:$CG$1,0)),0)</f>
        <v>0</v>
      </c>
      <c r="BJ5" s="56">
        <f>IFERROR(INDEX('Monthly VOL'!$N$2:$CG$65,MATCH($D5,'Monthly VOL'!$D$2:$D$65,0),MATCH(BJ$1,'Monthly VOL'!$N$1:$CG$1,0))/INDEX('Monthly CUST'!$N$2:$CG$65,MATCH($D5,'Monthly CUST'!$D$2:$D$65,0),MATCH(BJ$1,'Monthly CUST'!$N$1:$CG$1,0)),0)</f>
        <v>0</v>
      </c>
      <c r="BK5" s="56">
        <f>IFERROR(INDEX('Monthly VOL'!$N$2:$CG$65,MATCH($D5,'Monthly VOL'!$D$2:$D$65,0),MATCH(BK$1,'Monthly VOL'!$N$1:$CG$1,0))/INDEX('Monthly CUST'!$N$2:$CG$65,MATCH($D5,'Monthly CUST'!$D$2:$D$65,0),MATCH(BK$1,'Monthly CUST'!$N$1:$CG$1,0)),0)</f>
        <v>0</v>
      </c>
      <c r="BL5" s="56">
        <f>IFERROR(INDEX('Monthly VOL'!$N$2:$CG$65,MATCH($D5,'Monthly VOL'!$D$2:$D$65,0),MATCH(BL$1,'Monthly VOL'!$N$1:$CG$1,0))/INDEX('Monthly CUST'!$N$2:$CG$65,MATCH($D5,'Monthly CUST'!$D$2:$D$65,0),MATCH(BL$1,'Monthly CUST'!$N$1:$CG$1,0)),0)</f>
        <v>0</v>
      </c>
      <c r="BM5" s="56">
        <f>IFERROR(INDEX('Monthly VOL'!$N$2:$CG$65,MATCH($D5,'Monthly VOL'!$D$2:$D$65,0),MATCH(BM$1,'Monthly VOL'!$N$1:$CG$1,0))/INDEX('Monthly CUST'!$N$2:$CG$65,MATCH($D5,'Monthly CUST'!$D$2:$D$65,0),MATCH(BM$1,'Monthly CUST'!$N$1:$CG$1,0)),0)</f>
        <v>0</v>
      </c>
      <c r="BN5" s="56">
        <f>IFERROR(INDEX('Monthly VOL'!$N$2:$CG$65,MATCH($D5,'Monthly VOL'!$D$2:$D$65,0),MATCH(BN$1,'Monthly VOL'!$N$1:$CG$1,0))/INDEX('Monthly CUST'!$N$2:$CG$65,MATCH($D5,'Monthly CUST'!$D$2:$D$65,0),MATCH(BN$1,'Monthly CUST'!$N$1:$CG$1,0)),0)</f>
        <v>0</v>
      </c>
      <c r="BO5" s="56">
        <f>IFERROR(INDEX('Monthly VOL'!$N$2:$CG$65,MATCH($D5,'Monthly VOL'!$D$2:$D$65,0),MATCH(BO$1,'Monthly VOL'!$N$1:$CG$1,0))/INDEX('Monthly CUST'!$N$2:$CG$65,MATCH($D5,'Monthly CUST'!$D$2:$D$65,0),MATCH(BO$1,'Monthly CUST'!$N$1:$CG$1,0)),0)</f>
        <v>0</v>
      </c>
      <c r="BP5" s="56">
        <f>IFERROR(INDEX('Monthly VOL'!$N$2:$CG$65,MATCH($D5,'Monthly VOL'!$D$2:$D$65,0),MATCH(BP$1,'Monthly VOL'!$N$1:$CG$1,0))/INDEX('Monthly CUST'!$N$2:$CG$65,MATCH($D5,'Monthly CUST'!$D$2:$D$65,0),MATCH(BP$1,'Monthly CUST'!$N$1:$CG$1,0)),0)</f>
        <v>0</v>
      </c>
      <c r="BQ5" s="56">
        <f>IFERROR(INDEX('Monthly VOL'!$N$2:$CG$65,MATCH($D5,'Monthly VOL'!$D$2:$D$65,0),MATCH(BQ$1,'Monthly VOL'!$N$1:$CG$1,0))/INDEX('Monthly CUST'!$N$2:$CG$65,MATCH($D5,'Monthly CUST'!$D$2:$D$65,0),MATCH(BQ$1,'Monthly CUST'!$N$1:$CG$1,0)),0)</f>
        <v>0</v>
      </c>
      <c r="BR5" s="56">
        <f>IFERROR(INDEX('Monthly VOL'!$N$2:$CG$65,MATCH($D5,'Monthly VOL'!$D$2:$D$65,0),MATCH(BR$1,'Monthly VOL'!$N$1:$CG$1,0))/INDEX('Monthly CUST'!$N$2:$CG$65,MATCH($D5,'Monthly CUST'!$D$2:$D$65,0),MATCH(BR$1,'Monthly CUST'!$N$1:$CG$1,0)),0)</f>
        <v>0</v>
      </c>
      <c r="BS5" s="56">
        <f>IFERROR(INDEX('Monthly VOL'!$N$2:$CG$65,MATCH($D5,'Monthly VOL'!$D$2:$D$65,0),MATCH(BS$1,'Monthly VOL'!$N$1:$CG$1,0))/INDEX('Monthly CUST'!$N$2:$CG$65,MATCH($D5,'Monthly CUST'!$D$2:$D$65,0),MATCH(BS$1,'Monthly CUST'!$N$1:$CG$1,0)),0)</f>
        <v>0</v>
      </c>
      <c r="BT5" s="56">
        <f>IFERROR(INDEX('Monthly VOL'!$N$2:$CG$65,MATCH($D5,'Monthly VOL'!$D$2:$D$65,0),MATCH(BT$1,'Monthly VOL'!$N$1:$CG$1,0))/INDEX('Monthly CUST'!$N$2:$CG$65,MATCH($D5,'Monthly CUST'!$D$2:$D$65,0),MATCH(BT$1,'Monthly CUST'!$N$1:$CG$1,0)),0)</f>
        <v>0</v>
      </c>
      <c r="BU5" s="56">
        <f>IFERROR(INDEX('Monthly VOL'!$N$2:$CG$65,MATCH($D5,'Monthly VOL'!$D$2:$D$65,0),MATCH(BU$1,'Monthly VOL'!$N$1:$CG$1,0))/INDEX('Monthly CUST'!$N$2:$CG$65,MATCH($D5,'Monthly CUST'!$D$2:$D$65,0),MATCH(BU$1,'Monthly CUST'!$N$1:$CG$1,0)),0)</f>
        <v>0</v>
      </c>
      <c r="BV5" s="56">
        <f>IFERROR(INDEX('Monthly VOL'!$N$2:$CG$65,MATCH($D5,'Monthly VOL'!$D$2:$D$65,0),MATCH(BV$1,'Monthly VOL'!$N$1:$CG$1,0))/INDEX('Monthly CUST'!$N$2:$CG$65,MATCH($D5,'Monthly CUST'!$D$2:$D$65,0),MATCH(BV$1,'Monthly CUST'!$N$1:$CG$1,0)),0)</f>
        <v>0</v>
      </c>
      <c r="BW5" s="56">
        <f>IFERROR(INDEX('Monthly VOL'!$N$2:$CG$65,MATCH($D5,'Monthly VOL'!$D$2:$D$65,0),MATCH(BW$1,'Monthly VOL'!$N$1:$CG$1,0))/INDEX('Monthly CUST'!$N$2:$CG$65,MATCH($D5,'Monthly CUST'!$D$2:$D$65,0),MATCH(BW$1,'Monthly CUST'!$N$1:$CG$1,0)),0)</f>
        <v>0</v>
      </c>
      <c r="BX5" s="56">
        <f>IFERROR(INDEX('Monthly VOL'!$N$2:$CG$65,MATCH($D5,'Monthly VOL'!$D$2:$D$65,0),MATCH(BX$1,'Monthly VOL'!$N$1:$CG$1,0))/INDEX('Monthly CUST'!$N$2:$CG$65,MATCH($D5,'Monthly CUST'!$D$2:$D$65,0),MATCH(BX$1,'Monthly CUST'!$N$1:$CG$1,0)),0)</f>
        <v>0</v>
      </c>
      <c r="BY5" s="56">
        <f>IFERROR(INDEX('Monthly VOL'!$N$2:$CG$65,MATCH($D5,'Monthly VOL'!$D$2:$D$65,0),MATCH(BY$1,'Monthly VOL'!$N$1:$CG$1,0))/INDEX('Monthly CUST'!$N$2:$CG$65,MATCH($D5,'Monthly CUST'!$D$2:$D$65,0),MATCH(BY$1,'Monthly CUST'!$N$1:$CG$1,0)),0)</f>
        <v>0</v>
      </c>
      <c r="BZ5" s="56">
        <f>IFERROR(INDEX('Monthly VOL'!$N$2:$CG$65,MATCH($D5,'Monthly VOL'!$D$2:$D$65,0),MATCH(BZ$1,'Monthly VOL'!$N$1:$CG$1,0))/INDEX('Monthly CUST'!$N$2:$CG$65,MATCH($D5,'Monthly CUST'!$D$2:$D$65,0),MATCH(BZ$1,'Monthly CUST'!$N$1:$CG$1,0)),0)</f>
        <v>0</v>
      </c>
      <c r="CA5" s="56">
        <f>IFERROR(INDEX('Monthly VOL'!$N$2:$CG$65,MATCH($D5,'Monthly VOL'!$D$2:$D$65,0),MATCH(CA$1,'Monthly VOL'!$N$1:$CG$1,0))/INDEX('Monthly CUST'!$N$2:$CG$65,MATCH($D5,'Monthly CUST'!$D$2:$D$65,0),MATCH(CA$1,'Monthly CUST'!$N$1:$CG$1,0)),0)</f>
        <v>0</v>
      </c>
      <c r="CB5" s="56">
        <f>IFERROR(INDEX('Monthly VOL'!$N$2:$CG$65,MATCH($D5,'Monthly VOL'!$D$2:$D$65,0),MATCH(CB$1,'Monthly VOL'!$N$1:$CG$1,0))/INDEX('Monthly CUST'!$N$2:$CG$65,MATCH($D5,'Monthly CUST'!$D$2:$D$65,0),MATCH(CB$1,'Monthly CUST'!$N$1:$CG$1,0)),0)</f>
        <v>0</v>
      </c>
      <c r="CC5" s="56">
        <f>IFERROR(INDEX('Monthly VOL'!$N$2:$CG$65,MATCH($D5,'Monthly VOL'!$D$2:$D$65,0),MATCH(CC$1,'Monthly VOL'!$N$1:$CG$1,0))/INDEX('Monthly CUST'!$N$2:$CG$65,MATCH($D5,'Monthly CUST'!$D$2:$D$65,0),MATCH(CC$1,'Monthly CUST'!$N$1:$CG$1,0)),0)</f>
        <v>0</v>
      </c>
      <c r="CD5" s="56">
        <f>IFERROR(INDEX('Monthly VOL'!$N$2:$CG$65,MATCH($D5,'Monthly VOL'!$D$2:$D$65,0),MATCH(CD$1,'Monthly VOL'!$N$1:$CG$1,0))/INDEX('Monthly CUST'!$N$2:$CG$65,MATCH($D5,'Monthly CUST'!$D$2:$D$65,0),MATCH(CD$1,'Monthly CUST'!$N$1:$CG$1,0)),0)</f>
        <v>0</v>
      </c>
      <c r="CE5" s="56">
        <f>IFERROR(INDEX('Monthly VOL'!$N$2:$CG$65,MATCH($D5,'Monthly VOL'!$D$2:$D$65,0),MATCH(CE$1,'Monthly VOL'!$N$1:$CG$1,0))/INDEX('Monthly CUST'!$N$2:$CG$65,MATCH($D5,'Monthly CUST'!$D$2:$D$65,0),MATCH(CE$1,'Monthly CUST'!$N$1:$CG$1,0)),0)</f>
        <v>0</v>
      </c>
      <c r="CF5" s="56">
        <f>IFERROR(INDEX('Monthly VOL'!$N$2:$CG$65,MATCH($D5,'Monthly VOL'!$D$2:$D$65,0),MATCH(CF$1,'Monthly VOL'!$N$1:$CG$1,0))/INDEX('Monthly CUST'!$N$2:$CG$65,MATCH($D5,'Monthly CUST'!$D$2:$D$65,0),MATCH(CF$1,'Monthly CUST'!$N$1:$CG$1,0)),0)</f>
        <v>0</v>
      </c>
      <c r="CG5" s="56">
        <f>IFERROR(INDEX('Monthly VOL'!$N$2:$CG$65,MATCH($D5,'Monthly VOL'!$D$2:$D$65,0),MATCH(CG$1,'Monthly VOL'!$N$1:$CG$1,0))/INDEX('Monthly CUST'!$N$2:$CG$65,MATCH($D5,'Monthly CUST'!$D$2:$D$65,0),MATCH(CG$1,'Monthly CUST'!$N$1:$CG$1,0)),0)</f>
        <v>0</v>
      </c>
      <c r="CH5" s="264"/>
      <c r="CI5" s="264"/>
      <c r="CJ5" s="264"/>
      <c r="CM5" s="569">
        <f t="shared" si="0"/>
        <v>0</v>
      </c>
      <c r="CN5" s="569">
        <f t="shared" si="1"/>
        <v>0</v>
      </c>
      <c r="CO5" s="569">
        <f t="shared" si="2"/>
        <v>0</v>
      </c>
      <c r="CP5" s="569">
        <f t="shared" si="3"/>
        <v>0</v>
      </c>
      <c r="CQ5" s="569">
        <f t="shared" si="4"/>
        <v>0</v>
      </c>
      <c r="CR5" s="569">
        <f t="shared" si="5"/>
        <v>0</v>
      </c>
      <c r="CS5" s="569">
        <f t="shared" si="6"/>
        <v>0</v>
      </c>
      <c r="CT5" s="569">
        <f t="shared" si="7"/>
        <v>0</v>
      </c>
      <c r="CU5" s="569">
        <f t="shared" si="8"/>
        <v>0</v>
      </c>
      <c r="CV5" s="569">
        <f t="shared" si="9"/>
        <v>0</v>
      </c>
      <c r="CW5" s="569">
        <f t="shared" si="10"/>
        <v>0</v>
      </c>
      <c r="CX5" s="569">
        <f t="shared" si="11"/>
        <v>0</v>
      </c>
      <c r="CY5" s="569">
        <f t="shared" si="12"/>
        <v>0</v>
      </c>
      <c r="CZ5" s="569">
        <f t="shared" si="13"/>
        <v>0</v>
      </c>
      <c r="DA5" s="569">
        <f t="shared" si="14"/>
        <v>0</v>
      </c>
      <c r="DB5" s="569">
        <f t="shared" si="15"/>
        <v>0</v>
      </c>
      <c r="DC5" s="569">
        <f t="shared" si="16"/>
        <v>0</v>
      </c>
      <c r="DD5" s="569">
        <f t="shared" si="17"/>
        <v>0</v>
      </c>
      <c r="DE5" s="569">
        <f t="shared" si="18"/>
        <v>0</v>
      </c>
      <c r="DF5" s="569">
        <f t="shared" si="19"/>
        <v>0</v>
      </c>
      <c r="DG5" s="569">
        <f t="shared" si="20"/>
        <v>0</v>
      </c>
      <c r="DH5" s="569">
        <f t="shared" si="21"/>
        <v>0</v>
      </c>
      <c r="DI5" s="569">
        <f t="shared" si="22"/>
        <v>0</v>
      </c>
      <c r="DJ5" s="569">
        <f t="shared" si="23"/>
        <v>0</v>
      </c>
    </row>
    <row r="6" spans="1:114" s="261" customFormat="1">
      <c r="A6" s="55" t="s">
        <v>12</v>
      </c>
      <c r="B6" s="55" t="s">
        <v>993</v>
      </c>
      <c r="C6" s="55" t="s">
        <v>1245</v>
      </c>
      <c r="D6" s="55" t="s">
        <v>93</v>
      </c>
      <c r="E6" s="55" t="str">
        <f>VLOOKUP(D6,'Input 14_Ref Table'!C:D,2,FALSE)</f>
        <v>TSNGV</v>
      </c>
      <c r="F6" s="172" t="s">
        <v>1286</v>
      </c>
      <c r="G6" s="55" t="str">
        <f>VLOOKUP(D6,'Input 14_Ref Table'!C:I,7,FALSE)</f>
        <v>TSNGV</v>
      </c>
      <c r="H6" s="55" t="str">
        <f>VLOOKUP(D6,'Input 14_Ref Table'!C:K,8,FALSE)</f>
        <v>Base Period</v>
      </c>
      <c r="I6" s="55" t="e">
        <f>INDEX(#REF!,MATCH(D6,#REF!,0))</f>
        <v>#REF!</v>
      </c>
      <c r="J6" s="261" t="str">
        <f>INDEX('Master '!$AD$2:AD$65,MATCH(D6,'Master '!$D$2:$D$65,0))</f>
        <v>Base Period</v>
      </c>
      <c r="K6" s="567">
        <f>INDEX('Master '!$N$2:N$65,MATCH(D6,'Master '!$D$2:$D$65,0))</f>
        <v>0</v>
      </c>
      <c r="L6" s="290">
        <f>INDEX('Master '!$S$2:S$65,MATCH(D6,'Master '!$D$2:$D$65,0))</f>
        <v>0</v>
      </c>
      <c r="M6" s="1">
        <f>INDEX('Master '!$W$2:W$65,MATCH(D6,'Master '!$D$2:$D$65,0))</f>
        <v>0</v>
      </c>
      <c r="N6" s="56">
        <f>IFERROR(INDEX('Monthly VOL'!$N$2:$CG$65,MATCH($D6,'Monthly VOL'!$D$2:$D$65,0),MATCH(N$1,'Monthly VOL'!$N$1:$CG$1,0))/INDEX('Monthly CUST'!$N$2:$CG$65,MATCH($D6,'Monthly CUST'!$D$2:$D$65,0),MATCH(N$1,'Monthly CUST'!$N$1:$CG$1,0)),0)</f>
        <v>0</v>
      </c>
      <c r="O6" s="56">
        <f>IFERROR(INDEX('Monthly VOL'!$N$2:$CG$65,MATCH($D6,'Monthly VOL'!$D$2:$D$65,0),MATCH(O$1,'Monthly VOL'!$N$1:$CG$1,0))/INDEX('Monthly CUST'!$N$2:$CG$65,MATCH($D6,'Monthly CUST'!$D$2:$D$65,0),MATCH(O$1,'Monthly CUST'!$N$1:$CG$1,0)),0)</f>
        <v>0</v>
      </c>
      <c r="P6" s="56">
        <f>IFERROR(INDEX('Monthly VOL'!$N$2:$CG$65,MATCH($D6,'Monthly VOL'!$D$2:$D$65,0),MATCH(P$1,'Monthly VOL'!$N$1:$CG$1,0))/INDEX('Monthly CUST'!$N$2:$CG$65,MATCH($D6,'Monthly CUST'!$D$2:$D$65,0),MATCH(P$1,'Monthly CUST'!$N$1:$CG$1,0)),0)</f>
        <v>0</v>
      </c>
      <c r="Q6" s="56">
        <f>IFERROR(INDEX('Monthly VOL'!$N$2:$CG$65,MATCH($D6,'Monthly VOL'!$D$2:$D$65,0),MATCH(Q$1,'Monthly VOL'!$N$1:$CG$1,0))/INDEX('Monthly CUST'!$N$2:$CG$65,MATCH($D6,'Monthly CUST'!$D$2:$D$65,0),MATCH(Q$1,'Monthly CUST'!$N$1:$CG$1,0)),0)</f>
        <v>0</v>
      </c>
      <c r="R6" s="56">
        <f>IFERROR(INDEX('Monthly VOL'!$N$2:$CG$65,MATCH($D6,'Monthly VOL'!$D$2:$D$65,0),MATCH(R$1,'Monthly VOL'!$N$1:$CG$1,0))/INDEX('Monthly CUST'!$N$2:$CG$65,MATCH($D6,'Monthly CUST'!$D$2:$D$65,0),MATCH(R$1,'Monthly CUST'!$N$1:$CG$1,0)),0)</f>
        <v>0</v>
      </c>
      <c r="S6" s="56">
        <f>IFERROR(INDEX('Monthly VOL'!$N$2:$CG$65,MATCH($D6,'Monthly VOL'!$D$2:$D$65,0),MATCH(S$1,'Monthly VOL'!$N$1:$CG$1,0))/INDEX('Monthly CUST'!$N$2:$CG$65,MATCH($D6,'Monthly CUST'!$D$2:$D$65,0),MATCH(S$1,'Monthly CUST'!$N$1:$CG$1,0)),0)</f>
        <v>0</v>
      </c>
      <c r="T6" s="56">
        <f>IFERROR(INDEX('Monthly VOL'!$N$2:$CG$65,MATCH($D6,'Monthly VOL'!$D$2:$D$65,0),MATCH(T$1,'Monthly VOL'!$N$1:$CG$1,0))/INDEX('Monthly CUST'!$N$2:$CG$65,MATCH($D6,'Monthly CUST'!$D$2:$D$65,0),MATCH(T$1,'Monthly CUST'!$N$1:$CG$1,0)),0)</f>
        <v>0</v>
      </c>
      <c r="U6" s="56">
        <f>IFERROR(INDEX('Monthly VOL'!$N$2:$CG$65,MATCH($D6,'Monthly VOL'!$D$2:$D$65,0),MATCH(U$1,'Monthly VOL'!$N$1:$CG$1,0))/INDEX('Monthly CUST'!$N$2:$CG$65,MATCH($D6,'Monthly CUST'!$D$2:$D$65,0),MATCH(U$1,'Monthly CUST'!$N$1:$CG$1,0)),0)</f>
        <v>0</v>
      </c>
      <c r="V6" s="56">
        <f>IFERROR(INDEX('Monthly VOL'!$N$2:$CG$65,MATCH($D6,'Monthly VOL'!$D$2:$D$65,0),MATCH(V$1,'Monthly VOL'!$N$1:$CG$1,0))/INDEX('Monthly CUST'!$N$2:$CG$65,MATCH($D6,'Monthly CUST'!$D$2:$D$65,0),MATCH(V$1,'Monthly CUST'!$N$1:$CG$1,0)),0)</f>
        <v>0</v>
      </c>
      <c r="W6" s="56">
        <f>IFERROR(INDEX('Monthly VOL'!$N$2:$CG$65,MATCH($D6,'Monthly VOL'!$D$2:$D$65,0),MATCH(W$1,'Monthly VOL'!$N$1:$CG$1,0))/INDEX('Monthly CUST'!$N$2:$CG$65,MATCH($D6,'Monthly CUST'!$D$2:$D$65,0),MATCH(W$1,'Monthly CUST'!$N$1:$CG$1,0)),0)</f>
        <v>0</v>
      </c>
      <c r="X6" s="56">
        <f>IFERROR(INDEX('Monthly VOL'!$N$2:$CG$65,MATCH($D6,'Monthly VOL'!$D$2:$D$65,0),MATCH(X$1,'Monthly VOL'!$N$1:$CG$1,0))/INDEX('Monthly CUST'!$N$2:$CG$65,MATCH($D6,'Monthly CUST'!$D$2:$D$65,0),MATCH(X$1,'Monthly CUST'!$N$1:$CG$1,0)),0)</f>
        <v>0</v>
      </c>
      <c r="Y6" s="56">
        <f>IFERROR(INDEX('Monthly VOL'!$N$2:$CG$65,MATCH($D6,'Monthly VOL'!$D$2:$D$65,0),MATCH(Y$1,'Monthly VOL'!$N$1:$CG$1,0))/INDEX('Monthly CUST'!$N$2:$CG$65,MATCH($D6,'Monthly CUST'!$D$2:$D$65,0),MATCH(Y$1,'Monthly CUST'!$N$1:$CG$1,0)),0)</f>
        <v>0</v>
      </c>
      <c r="Z6" s="56">
        <f>IFERROR(INDEX('Monthly VOL'!$N$2:$CG$65,MATCH($D6,'Monthly VOL'!$D$2:$D$65,0),MATCH(Z$1,'Monthly VOL'!$N$1:$CG$1,0))/INDEX('Monthly CUST'!$N$2:$CG$65,MATCH($D6,'Monthly CUST'!$D$2:$D$65,0),MATCH(Z$1,'Monthly CUST'!$N$1:$CG$1,0)),0)</f>
        <v>0</v>
      </c>
      <c r="AA6" s="56">
        <f>IFERROR(INDEX('Monthly VOL'!$N$2:$CG$65,MATCH($D6,'Monthly VOL'!$D$2:$D$65,0),MATCH(AA$1,'Monthly VOL'!$N$1:$CG$1,0))/INDEX('Monthly CUST'!$N$2:$CG$65,MATCH($D6,'Monthly CUST'!$D$2:$D$65,0),MATCH(AA$1,'Monthly CUST'!$N$1:$CG$1,0)),0)</f>
        <v>0</v>
      </c>
      <c r="AB6" s="56">
        <f>IFERROR(INDEX('Monthly VOL'!$N$2:$CG$65,MATCH($D6,'Monthly VOL'!$D$2:$D$65,0),MATCH(AB$1,'Monthly VOL'!$N$1:$CG$1,0))/INDEX('Monthly CUST'!$N$2:$CG$65,MATCH($D6,'Monthly CUST'!$D$2:$D$65,0),MATCH(AB$1,'Monthly CUST'!$N$1:$CG$1,0)),0)</f>
        <v>0</v>
      </c>
      <c r="AC6" s="56">
        <f>IFERROR(INDEX('Monthly VOL'!$N$2:$CG$65,MATCH($D6,'Monthly VOL'!$D$2:$D$65,0),MATCH(AC$1,'Monthly VOL'!$N$1:$CG$1,0))/INDEX('Monthly CUST'!$N$2:$CG$65,MATCH($D6,'Monthly CUST'!$D$2:$D$65,0),MATCH(AC$1,'Monthly CUST'!$N$1:$CG$1,0)),0)</f>
        <v>0</v>
      </c>
      <c r="AD6" s="56">
        <f>IFERROR(INDEX('Monthly VOL'!$N$2:$CG$65,MATCH($D6,'Monthly VOL'!$D$2:$D$65,0),MATCH(AD$1,'Monthly VOL'!$N$1:$CG$1,0))/INDEX('Monthly CUST'!$N$2:$CG$65,MATCH($D6,'Monthly CUST'!$D$2:$D$65,0),MATCH(AD$1,'Monthly CUST'!$N$1:$CG$1,0)),0)</f>
        <v>0</v>
      </c>
      <c r="AE6" s="56">
        <f>IFERROR(INDEX('Monthly VOL'!$N$2:$CG$65,MATCH($D6,'Monthly VOL'!$D$2:$D$65,0),MATCH(AE$1,'Monthly VOL'!$N$1:$CG$1,0))/INDEX('Monthly CUST'!$N$2:$CG$65,MATCH($D6,'Monthly CUST'!$D$2:$D$65,0),MATCH(AE$1,'Monthly CUST'!$N$1:$CG$1,0)),0)</f>
        <v>0</v>
      </c>
      <c r="AF6" s="56">
        <f>IFERROR(INDEX('Monthly VOL'!$N$2:$CG$65,MATCH($D6,'Monthly VOL'!$D$2:$D$65,0),MATCH(AF$1,'Monthly VOL'!$N$1:$CG$1,0))/INDEX('Monthly CUST'!$N$2:$CG$65,MATCH($D6,'Monthly CUST'!$D$2:$D$65,0),MATCH(AF$1,'Monthly CUST'!$N$1:$CG$1,0)),0)</f>
        <v>0</v>
      </c>
      <c r="AG6" s="56">
        <f>IFERROR(INDEX('Monthly VOL'!$N$2:$CG$65,MATCH($D6,'Monthly VOL'!$D$2:$D$65,0),MATCH(AG$1,'Monthly VOL'!$N$1:$CG$1,0))/INDEX('Monthly CUST'!$N$2:$CG$65,MATCH($D6,'Monthly CUST'!$D$2:$D$65,0),MATCH(AG$1,'Monthly CUST'!$N$1:$CG$1,0)),0)</f>
        <v>0</v>
      </c>
      <c r="AH6" s="56">
        <f>IFERROR(INDEX('Monthly VOL'!$N$2:$CG$65,MATCH($D6,'Monthly VOL'!$D$2:$D$65,0),MATCH(AH$1,'Monthly VOL'!$N$1:$CG$1,0))/INDEX('Monthly CUST'!$N$2:$CG$65,MATCH($D6,'Monthly CUST'!$D$2:$D$65,0),MATCH(AH$1,'Monthly CUST'!$N$1:$CG$1,0)),0)</f>
        <v>0</v>
      </c>
      <c r="AI6" s="56">
        <f>IFERROR(INDEX('Monthly VOL'!$N$2:$CG$65,MATCH($D6,'Monthly VOL'!$D$2:$D$65,0),MATCH(AI$1,'Monthly VOL'!$N$1:$CG$1,0))/INDEX('Monthly CUST'!$N$2:$CG$65,MATCH($D6,'Monthly CUST'!$D$2:$D$65,0),MATCH(AI$1,'Monthly CUST'!$N$1:$CG$1,0)),0)</f>
        <v>0</v>
      </c>
      <c r="AJ6" s="56">
        <f>IFERROR(INDEX('Monthly VOL'!$N$2:$CG$65,MATCH($D6,'Monthly VOL'!$D$2:$D$65,0),MATCH(AJ$1,'Monthly VOL'!$N$1:$CG$1,0))/INDEX('Monthly CUST'!$N$2:$CG$65,MATCH($D6,'Monthly CUST'!$D$2:$D$65,0),MATCH(AJ$1,'Monthly CUST'!$N$1:$CG$1,0)),0)</f>
        <v>0</v>
      </c>
      <c r="AK6" s="56">
        <f>IFERROR(INDEX('Monthly VOL'!$N$2:$CG$65,MATCH($D6,'Monthly VOL'!$D$2:$D$65,0),MATCH(AK$1,'Monthly VOL'!$N$1:$CG$1,0))/INDEX('Monthly CUST'!$N$2:$CG$65,MATCH($D6,'Monthly CUST'!$D$2:$D$65,0),MATCH(AK$1,'Monthly CUST'!$N$1:$CG$1,0)),0)</f>
        <v>0</v>
      </c>
      <c r="AL6" s="56">
        <f>IFERROR(INDEX('Monthly VOL'!$N$2:$CG$65,MATCH($D6,'Monthly VOL'!$D$2:$D$65,0),MATCH(AL$1,'Monthly VOL'!$N$1:$CG$1,0))/INDEX('Monthly CUST'!$N$2:$CG$65,MATCH($D6,'Monthly CUST'!$D$2:$D$65,0),MATCH(AL$1,'Monthly CUST'!$N$1:$CG$1,0)),0)</f>
        <v>0</v>
      </c>
      <c r="AM6" s="56">
        <f>IFERROR(INDEX('Monthly VOL'!$N$2:$CG$65,MATCH($D6,'Monthly VOL'!$D$2:$D$65,0),MATCH(AM$1,'Monthly VOL'!$N$1:$CG$1,0))/INDEX('Monthly CUST'!$N$2:$CG$65,MATCH($D6,'Monthly CUST'!$D$2:$D$65,0),MATCH(AM$1,'Monthly CUST'!$N$1:$CG$1,0)),0)</f>
        <v>0</v>
      </c>
      <c r="AN6" s="56">
        <f>IFERROR(INDEX('Monthly VOL'!$N$2:$CG$65,MATCH($D6,'Monthly VOL'!$D$2:$D$65,0),MATCH(AN$1,'Monthly VOL'!$N$1:$CG$1,0))/INDEX('Monthly CUST'!$N$2:$CG$65,MATCH($D6,'Monthly CUST'!$D$2:$D$65,0),MATCH(AN$1,'Monthly CUST'!$N$1:$CG$1,0)),0)</f>
        <v>0</v>
      </c>
      <c r="AO6" s="56">
        <f>IFERROR(INDEX('Monthly VOL'!$N$2:$CG$65,MATCH($D6,'Monthly VOL'!$D$2:$D$65,0),MATCH(AO$1,'Monthly VOL'!$N$1:$CG$1,0))/INDEX('Monthly CUST'!$N$2:$CG$65,MATCH($D6,'Monthly CUST'!$D$2:$D$65,0),MATCH(AO$1,'Monthly CUST'!$N$1:$CG$1,0)),0)</f>
        <v>0</v>
      </c>
      <c r="AP6" s="56">
        <f>IFERROR(INDEX('Monthly VOL'!$N$2:$CG$65,MATCH($D6,'Monthly VOL'!$D$2:$D$65,0),MATCH(AP$1,'Monthly VOL'!$N$1:$CG$1,0))/INDEX('Monthly CUST'!$N$2:$CG$65,MATCH($D6,'Monthly CUST'!$D$2:$D$65,0),MATCH(AP$1,'Monthly CUST'!$N$1:$CG$1,0)),0)</f>
        <v>0</v>
      </c>
      <c r="AQ6" s="56">
        <f>IFERROR(INDEX('Monthly VOL'!$N$2:$CG$65,MATCH($D6,'Monthly VOL'!$D$2:$D$65,0),MATCH(AQ$1,'Monthly VOL'!$N$1:$CG$1,0))/INDEX('Monthly CUST'!$N$2:$CG$65,MATCH($D6,'Monthly CUST'!$D$2:$D$65,0),MATCH(AQ$1,'Monthly CUST'!$N$1:$CG$1,0)),0)</f>
        <v>0</v>
      </c>
      <c r="AR6" s="56">
        <f>IFERROR(INDEX('Monthly VOL'!$N$2:$CG$65,MATCH($D6,'Monthly VOL'!$D$2:$D$65,0),MATCH(AR$1,'Monthly VOL'!$N$1:$CG$1,0))/INDEX('Monthly CUST'!$N$2:$CG$65,MATCH($D6,'Monthly CUST'!$D$2:$D$65,0),MATCH(AR$1,'Monthly CUST'!$N$1:$CG$1,0)),0)</f>
        <v>0</v>
      </c>
      <c r="AS6" s="56">
        <f>IFERROR(INDEX('Monthly VOL'!$N$2:$CG$65,MATCH($D6,'Monthly VOL'!$D$2:$D$65,0),MATCH(AS$1,'Monthly VOL'!$N$1:$CG$1,0))/INDEX('Monthly CUST'!$N$2:$CG$65,MATCH($D6,'Monthly CUST'!$D$2:$D$65,0),MATCH(AS$1,'Monthly CUST'!$N$1:$CG$1,0)),0)</f>
        <v>0</v>
      </c>
      <c r="AT6" s="56">
        <f>IFERROR(INDEX('Monthly VOL'!$N$2:$CG$65,MATCH($D6,'Monthly VOL'!$D$2:$D$65,0),MATCH(AT$1,'Monthly VOL'!$N$1:$CG$1,0))/INDEX('Monthly CUST'!$N$2:$CG$65,MATCH($D6,'Monthly CUST'!$D$2:$D$65,0),MATCH(AT$1,'Monthly CUST'!$N$1:$CG$1,0)),0)</f>
        <v>0</v>
      </c>
      <c r="AU6" s="56">
        <f>IFERROR(INDEX('Monthly VOL'!$N$2:$CG$65,MATCH($D6,'Monthly VOL'!$D$2:$D$65,0),MATCH(AU$1,'Monthly VOL'!$N$1:$CG$1,0))/INDEX('Monthly CUST'!$N$2:$CG$65,MATCH($D6,'Monthly CUST'!$D$2:$D$65,0),MATCH(AU$1,'Monthly CUST'!$N$1:$CG$1,0)),0)</f>
        <v>0</v>
      </c>
      <c r="AV6" s="56">
        <f>IFERROR(INDEX('Monthly VOL'!$N$2:$CG$65,MATCH($D6,'Monthly VOL'!$D$2:$D$65,0),MATCH(AV$1,'Monthly VOL'!$N$1:$CG$1,0))/INDEX('Monthly CUST'!$N$2:$CG$65,MATCH($D6,'Monthly CUST'!$D$2:$D$65,0),MATCH(AV$1,'Monthly CUST'!$N$1:$CG$1,0)),0)</f>
        <v>0</v>
      </c>
      <c r="AW6" s="56">
        <f>IFERROR(INDEX('Monthly VOL'!$N$2:$CG$65,MATCH($D6,'Monthly VOL'!$D$2:$D$65,0),MATCH(AW$1,'Monthly VOL'!$N$1:$CG$1,0))/INDEX('Monthly CUST'!$N$2:$CG$65,MATCH($D6,'Monthly CUST'!$D$2:$D$65,0),MATCH(AW$1,'Monthly CUST'!$N$1:$CG$1,0)),0)</f>
        <v>0</v>
      </c>
      <c r="AX6" s="56">
        <f>IFERROR(INDEX('Monthly VOL'!$N$2:$CG$65,MATCH($D6,'Monthly VOL'!$D$2:$D$65,0),MATCH(AX$1,'Monthly VOL'!$N$1:$CG$1,0))/INDEX('Monthly CUST'!$N$2:$CG$65,MATCH($D6,'Monthly CUST'!$D$2:$D$65,0),MATCH(AX$1,'Monthly CUST'!$N$1:$CG$1,0)),0)</f>
        <v>0</v>
      </c>
      <c r="AY6" s="56">
        <f>IFERROR(INDEX('Monthly VOL'!$N$2:$CG$65,MATCH($D6,'Monthly VOL'!$D$2:$D$65,0),MATCH(AY$1,'Monthly VOL'!$N$1:$CG$1,0))/INDEX('Monthly CUST'!$N$2:$CG$65,MATCH($D6,'Monthly CUST'!$D$2:$D$65,0),MATCH(AY$1,'Monthly CUST'!$N$1:$CG$1,0)),0)</f>
        <v>0</v>
      </c>
      <c r="AZ6" s="56">
        <f>IFERROR(INDEX('Monthly VOL'!$N$2:$CG$65,MATCH($D6,'Monthly VOL'!$D$2:$D$65,0),MATCH(AZ$1,'Monthly VOL'!$N$1:$CG$1,0))/INDEX('Monthly CUST'!$N$2:$CG$65,MATCH($D6,'Monthly CUST'!$D$2:$D$65,0),MATCH(AZ$1,'Monthly CUST'!$N$1:$CG$1,0)),0)</f>
        <v>0</v>
      </c>
      <c r="BA6" s="56">
        <f>IFERROR(INDEX('Monthly VOL'!$N$2:$CG$65,MATCH($D6,'Monthly VOL'!$D$2:$D$65,0),MATCH(BA$1,'Monthly VOL'!$N$1:$CG$1,0))/INDEX('Monthly CUST'!$N$2:$CG$65,MATCH($D6,'Monthly CUST'!$D$2:$D$65,0),MATCH(BA$1,'Monthly CUST'!$N$1:$CG$1,0)),0)</f>
        <v>0</v>
      </c>
      <c r="BB6" s="56">
        <f>IFERROR(INDEX('Monthly VOL'!$N$2:$CG$65,MATCH($D6,'Monthly VOL'!$D$2:$D$65,0),MATCH(BB$1,'Monthly VOL'!$N$1:$CG$1,0))/INDEX('Monthly CUST'!$N$2:$CG$65,MATCH($D6,'Monthly CUST'!$D$2:$D$65,0),MATCH(BB$1,'Monthly CUST'!$N$1:$CG$1,0)),0)</f>
        <v>0</v>
      </c>
      <c r="BC6" s="56">
        <f>IFERROR(INDEX('Monthly VOL'!$N$2:$CG$65,MATCH($D6,'Monthly VOL'!$D$2:$D$65,0),MATCH(BC$1,'Monthly VOL'!$N$1:$CG$1,0))/INDEX('Monthly CUST'!$N$2:$CG$65,MATCH($D6,'Monthly CUST'!$D$2:$D$65,0),MATCH(BC$1,'Monthly CUST'!$N$1:$CG$1,0)),0)</f>
        <v>0</v>
      </c>
      <c r="BD6" s="56">
        <f>IFERROR(INDEX('Monthly VOL'!$N$2:$CG$65,MATCH($D6,'Monthly VOL'!$D$2:$D$65,0),MATCH(BD$1,'Monthly VOL'!$N$1:$CG$1,0))/INDEX('Monthly CUST'!$N$2:$CG$65,MATCH($D6,'Monthly CUST'!$D$2:$D$65,0),MATCH(BD$1,'Monthly CUST'!$N$1:$CG$1,0)),0)</f>
        <v>0</v>
      </c>
      <c r="BE6" s="56">
        <f>IFERROR(INDEX('Monthly VOL'!$N$2:$CG$65,MATCH($D6,'Monthly VOL'!$D$2:$D$65,0),MATCH(BE$1,'Monthly VOL'!$N$1:$CG$1,0))/INDEX('Monthly CUST'!$N$2:$CG$65,MATCH($D6,'Monthly CUST'!$D$2:$D$65,0),MATCH(BE$1,'Monthly CUST'!$N$1:$CG$1,0)),0)</f>
        <v>0</v>
      </c>
      <c r="BF6" s="56">
        <f>IFERROR(INDEX('Monthly VOL'!$N$2:$CG$65,MATCH($D6,'Monthly VOL'!$D$2:$D$65,0),MATCH(BF$1,'Monthly VOL'!$N$1:$CG$1,0))/INDEX('Monthly CUST'!$N$2:$CG$65,MATCH($D6,'Monthly CUST'!$D$2:$D$65,0),MATCH(BF$1,'Monthly CUST'!$N$1:$CG$1,0)),0)</f>
        <v>0</v>
      </c>
      <c r="BG6" s="56">
        <f>IFERROR(INDEX('Monthly VOL'!$N$2:$CG$65,MATCH($D6,'Monthly VOL'!$D$2:$D$65,0),MATCH(BG$1,'Monthly VOL'!$N$1:$CG$1,0))/INDEX('Monthly CUST'!$N$2:$CG$65,MATCH($D6,'Monthly CUST'!$D$2:$D$65,0),MATCH(BG$1,'Monthly CUST'!$N$1:$CG$1,0)),0)</f>
        <v>0</v>
      </c>
      <c r="BH6" s="56">
        <f>IFERROR(INDEX('Monthly VOL'!$N$2:$CG$65,MATCH($D6,'Monthly VOL'!$D$2:$D$65,0),MATCH(BH$1,'Monthly VOL'!$N$1:$CG$1,0))/INDEX('Monthly CUST'!$N$2:$CG$65,MATCH($D6,'Monthly CUST'!$D$2:$D$65,0),MATCH(BH$1,'Monthly CUST'!$N$1:$CG$1,0)),0)</f>
        <v>0</v>
      </c>
      <c r="BI6" s="56">
        <f>IFERROR(INDEX('Monthly VOL'!$N$2:$CG$65,MATCH($D6,'Monthly VOL'!$D$2:$D$65,0),MATCH(BI$1,'Monthly VOL'!$N$1:$CG$1,0))/INDEX('Monthly CUST'!$N$2:$CG$65,MATCH($D6,'Monthly CUST'!$D$2:$D$65,0),MATCH(BI$1,'Monthly CUST'!$N$1:$CG$1,0)),0)</f>
        <v>0</v>
      </c>
      <c r="BJ6" s="56">
        <f>IFERROR(INDEX('Monthly VOL'!$N$2:$CG$65,MATCH($D6,'Monthly VOL'!$D$2:$D$65,0),MATCH(BJ$1,'Monthly VOL'!$N$1:$CG$1,0))/INDEX('Monthly CUST'!$N$2:$CG$65,MATCH($D6,'Monthly CUST'!$D$2:$D$65,0),MATCH(BJ$1,'Monthly CUST'!$N$1:$CG$1,0)),0)</f>
        <v>0</v>
      </c>
      <c r="BK6" s="56">
        <f>IFERROR(INDEX('Monthly VOL'!$N$2:$CG$65,MATCH($D6,'Monthly VOL'!$D$2:$D$65,0),MATCH(BK$1,'Monthly VOL'!$N$1:$CG$1,0))/INDEX('Monthly CUST'!$N$2:$CG$65,MATCH($D6,'Monthly CUST'!$D$2:$D$65,0),MATCH(BK$1,'Monthly CUST'!$N$1:$CG$1,0)),0)</f>
        <v>0</v>
      </c>
      <c r="BL6" s="56">
        <f>IFERROR(INDEX('Monthly VOL'!$N$2:$CG$65,MATCH($D6,'Monthly VOL'!$D$2:$D$65,0),MATCH(BL$1,'Monthly VOL'!$N$1:$CG$1,0))/INDEX('Monthly CUST'!$N$2:$CG$65,MATCH($D6,'Monthly CUST'!$D$2:$D$65,0),MATCH(BL$1,'Monthly CUST'!$N$1:$CG$1,0)),0)</f>
        <v>0</v>
      </c>
      <c r="BM6" s="56">
        <f>IFERROR(INDEX('Monthly VOL'!$N$2:$CG$65,MATCH($D6,'Monthly VOL'!$D$2:$D$65,0),MATCH(BM$1,'Monthly VOL'!$N$1:$CG$1,0))/INDEX('Monthly CUST'!$N$2:$CG$65,MATCH($D6,'Monthly CUST'!$D$2:$D$65,0),MATCH(BM$1,'Monthly CUST'!$N$1:$CG$1,0)),0)</f>
        <v>0</v>
      </c>
      <c r="BN6" s="56">
        <f>IFERROR(INDEX('Monthly VOL'!$N$2:$CG$65,MATCH($D6,'Monthly VOL'!$D$2:$D$65,0),MATCH(BN$1,'Monthly VOL'!$N$1:$CG$1,0))/INDEX('Monthly CUST'!$N$2:$CG$65,MATCH($D6,'Monthly CUST'!$D$2:$D$65,0),MATCH(BN$1,'Monthly CUST'!$N$1:$CG$1,0)),0)</f>
        <v>0</v>
      </c>
      <c r="BO6" s="56">
        <f>IFERROR(INDEX('Monthly VOL'!$N$2:$CG$65,MATCH($D6,'Monthly VOL'!$D$2:$D$65,0),MATCH(BO$1,'Monthly VOL'!$N$1:$CG$1,0))/INDEX('Monthly CUST'!$N$2:$CG$65,MATCH($D6,'Monthly CUST'!$D$2:$D$65,0),MATCH(BO$1,'Monthly CUST'!$N$1:$CG$1,0)),0)</f>
        <v>0</v>
      </c>
      <c r="BP6" s="56">
        <f>IFERROR(INDEX('Monthly VOL'!$N$2:$CG$65,MATCH($D6,'Monthly VOL'!$D$2:$D$65,0),MATCH(BP$1,'Monthly VOL'!$N$1:$CG$1,0))/INDEX('Monthly CUST'!$N$2:$CG$65,MATCH($D6,'Monthly CUST'!$D$2:$D$65,0),MATCH(BP$1,'Monthly CUST'!$N$1:$CG$1,0)),0)</f>
        <v>0</v>
      </c>
      <c r="BQ6" s="56">
        <f>IFERROR(INDEX('Monthly VOL'!$N$2:$CG$65,MATCH($D6,'Monthly VOL'!$D$2:$D$65,0),MATCH(BQ$1,'Monthly VOL'!$N$1:$CG$1,0))/INDEX('Monthly CUST'!$N$2:$CG$65,MATCH($D6,'Monthly CUST'!$D$2:$D$65,0),MATCH(BQ$1,'Monthly CUST'!$N$1:$CG$1,0)),0)</f>
        <v>0</v>
      </c>
      <c r="BR6" s="56">
        <f>IFERROR(INDEX('Monthly VOL'!$N$2:$CG$65,MATCH($D6,'Monthly VOL'!$D$2:$D$65,0),MATCH(BR$1,'Monthly VOL'!$N$1:$CG$1,0))/INDEX('Monthly CUST'!$N$2:$CG$65,MATCH($D6,'Monthly CUST'!$D$2:$D$65,0),MATCH(BR$1,'Monthly CUST'!$N$1:$CG$1,0)),0)</f>
        <v>0</v>
      </c>
      <c r="BS6" s="56">
        <f>IFERROR(INDEX('Monthly VOL'!$N$2:$CG$65,MATCH($D6,'Monthly VOL'!$D$2:$D$65,0),MATCH(BS$1,'Monthly VOL'!$N$1:$CG$1,0))/INDEX('Monthly CUST'!$N$2:$CG$65,MATCH($D6,'Monthly CUST'!$D$2:$D$65,0),MATCH(BS$1,'Monthly CUST'!$N$1:$CG$1,0)),0)</f>
        <v>0</v>
      </c>
      <c r="BT6" s="56">
        <f>IFERROR(INDEX('Monthly VOL'!$N$2:$CG$65,MATCH($D6,'Monthly VOL'!$D$2:$D$65,0),MATCH(BT$1,'Monthly VOL'!$N$1:$CG$1,0))/INDEX('Monthly CUST'!$N$2:$CG$65,MATCH($D6,'Monthly CUST'!$D$2:$D$65,0),MATCH(BT$1,'Monthly CUST'!$N$1:$CG$1,0)),0)</f>
        <v>0</v>
      </c>
      <c r="BU6" s="56">
        <f>IFERROR(INDEX('Monthly VOL'!$N$2:$CG$65,MATCH($D6,'Monthly VOL'!$D$2:$D$65,0),MATCH(BU$1,'Monthly VOL'!$N$1:$CG$1,0))/INDEX('Monthly CUST'!$N$2:$CG$65,MATCH($D6,'Monthly CUST'!$D$2:$D$65,0),MATCH(BU$1,'Monthly CUST'!$N$1:$CG$1,0)),0)</f>
        <v>0</v>
      </c>
      <c r="BV6" s="56">
        <f>IFERROR(INDEX('Monthly VOL'!$N$2:$CG$65,MATCH($D6,'Monthly VOL'!$D$2:$D$65,0),MATCH(BV$1,'Monthly VOL'!$N$1:$CG$1,0))/INDEX('Monthly CUST'!$N$2:$CG$65,MATCH($D6,'Monthly CUST'!$D$2:$D$65,0),MATCH(BV$1,'Monthly CUST'!$N$1:$CG$1,0)),0)</f>
        <v>0</v>
      </c>
      <c r="BW6" s="56">
        <f>IFERROR(INDEX('Monthly VOL'!$N$2:$CG$65,MATCH($D6,'Monthly VOL'!$D$2:$D$65,0),MATCH(BW$1,'Monthly VOL'!$N$1:$CG$1,0))/INDEX('Monthly CUST'!$N$2:$CG$65,MATCH($D6,'Monthly CUST'!$D$2:$D$65,0),MATCH(BW$1,'Monthly CUST'!$N$1:$CG$1,0)),0)</f>
        <v>0</v>
      </c>
      <c r="BX6" s="56">
        <f>IFERROR(INDEX('Monthly VOL'!$N$2:$CG$65,MATCH($D6,'Monthly VOL'!$D$2:$D$65,0),MATCH(BX$1,'Monthly VOL'!$N$1:$CG$1,0))/INDEX('Monthly CUST'!$N$2:$CG$65,MATCH($D6,'Monthly CUST'!$D$2:$D$65,0),MATCH(BX$1,'Monthly CUST'!$N$1:$CG$1,0)),0)</f>
        <v>0</v>
      </c>
      <c r="BY6" s="56">
        <f>IFERROR(INDEX('Monthly VOL'!$N$2:$CG$65,MATCH($D6,'Monthly VOL'!$D$2:$D$65,0),MATCH(BY$1,'Monthly VOL'!$N$1:$CG$1,0))/INDEX('Monthly CUST'!$N$2:$CG$65,MATCH($D6,'Monthly CUST'!$D$2:$D$65,0),MATCH(BY$1,'Monthly CUST'!$N$1:$CG$1,0)),0)</f>
        <v>0</v>
      </c>
      <c r="BZ6" s="56">
        <f>IFERROR(INDEX('Monthly VOL'!$N$2:$CG$65,MATCH($D6,'Monthly VOL'!$D$2:$D$65,0),MATCH(BZ$1,'Monthly VOL'!$N$1:$CG$1,0))/INDEX('Monthly CUST'!$N$2:$CG$65,MATCH($D6,'Monthly CUST'!$D$2:$D$65,0),MATCH(BZ$1,'Monthly CUST'!$N$1:$CG$1,0)),0)</f>
        <v>0</v>
      </c>
      <c r="CA6" s="56">
        <f>IFERROR(INDEX('Monthly VOL'!$N$2:$CG$65,MATCH($D6,'Monthly VOL'!$D$2:$D$65,0),MATCH(CA$1,'Monthly VOL'!$N$1:$CG$1,0))/INDEX('Monthly CUST'!$N$2:$CG$65,MATCH($D6,'Monthly CUST'!$D$2:$D$65,0),MATCH(CA$1,'Monthly CUST'!$N$1:$CG$1,0)),0)</f>
        <v>0</v>
      </c>
      <c r="CB6" s="56">
        <f>IFERROR(INDEX('Monthly VOL'!$N$2:$CG$65,MATCH($D6,'Monthly VOL'!$D$2:$D$65,0),MATCH(CB$1,'Monthly VOL'!$N$1:$CG$1,0))/INDEX('Monthly CUST'!$N$2:$CG$65,MATCH($D6,'Monthly CUST'!$D$2:$D$65,0),MATCH(CB$1,'Monthly CUST'!$N$1:$CG$1,0)),0)</f>
        <v>0</v>
      </c>
      <c r="CC6" s="56">
        <f>IFERROR(INDEX('Monthly VOL'!$N$2:$CG$65,MATCH($D6,'Monthly VOL'!$D$2:$D$65,0),MATCH(CC$1,'Monthly VOL'!$N$1:$CG$1,0))/INDEX('Monthly CUST'!$N$2:$CG$65,MATCH($D6,'Monthly CUST'!$D$2:$D$65,0),MATCH(CC$1,'Monthly CUST'!$N$1:$CG$1,0)),0)</f>
        <v>0</v>
      </c>
      <c r="CD6" s="56">
        <f>IFERROR(INDEX('Monthly VOL'!$N$2:$CG$65,MATCH($D6,'Monthly VOL'!$D$2:$D$65,0),MATCH(CD$1,'Monthly VOL'!$N$1:$CG$1,0))/INDEX('Monthly CUST'!$N$2:$CG$65,MATCH($D6,'Monthly CUST'!$D$2:$D$65,0),MATCH(CD$1,'Monthly CUST'!$N$1:$CG$1,0)),0)</f>
        <v>0</v>
      </c>
      <c r="CE6" s="56">
        <f>IFERROR(INDEX('Monthly VOL'!$N$2:$CG$65,MATCH($D6,'Monthly VOL'!$D$2:$D$65,0),MATCH(CE$1,'Monthly VOL'!$N$1:$CG$1,0))/INDEX('Monthly CUST'!$N$2:$CG$65,MATCH($D6,'Monthly CUST'!$D$2:$D$65,0),MATCH(CE$1,'Monthly CUST'!$N$1:$CG$1,0)),0)</f>
        <v>0</v>
      </c>
      <c r="CF6" s="56">
        <f>IFERROR(INDEX('Monthly VOL'!$N$2:$CG$65,MATCH($D6,'Monthly VOL'!$D$2:$D$65,0),MATCH(CF$1,'Monthly VOL'!$N$1:$CG$1,0))/INDEX('Monthly CUST'!$N$2:$CG$65,MATCH($D6,'Monthly CUST'!$D$2:$D$65,0),MATCH(CF$1,'Monthly CUST'!$N$1:$CG$1,0)),0)</f>
        <v>0</v>
      </c>
      <c r="CG6" s="56">
        <f>IFERROR(INDEX('Monthly VOL'!$N$2:$CG$65,MATCH($D6,'Monthly VOL'!$D$2:$D$65,0),MATCH(CG$1,'Monthly VOL'!$N$1:$CG$1,0))/INDEX('Monthly CUST'!$N$2:$CG$65,MATCH($D6,'Monthly CUST'!$D$2:$D$65,0),MATCH(CG$1,'Monthly CUST'!$N$1:$CG$1,0)),0)</f>
        <v>0</v>
      </c>
      <c r="CH6" s="264"/>
      <c r="CI6" s="264"/>
      <c r="CJ6" s="264"/>
      <c r="CM6" s="569">
        <f t="shared" si="0"/>
        <v>0</v>
      </c>
      <c r="CN6" s="569">
        <f t="shared" si="1"/>
        <v>0</v>
      </c>
      <c r="CO6" s="569">
        <f t="shared" si="2"/>
        <v>0</v>
      </c>
      <c r="CP6" s="569">
        <f t="shared" si="3"/>
        <v>0</v>
      </c>
      <c r="CQ6" s="569">
        <f t="shared" si="4"/>
        <v>0</v>
      </c>
      <c r="CR6" s="569">
        <f t="shared" si="5"/>
        <v>0</v>
      </c>
      <c r="CS6" s="569">
        <f t="shared" si="6"/>
        <v>0</v>
      </c>
      <c r="CT6" s="569">
        <f t="shared" si="7"/>
        <v>0</v>
      </c>
      <c r="CU6" s="569">
        <f t="shared" si="8"/>
        <v>0</v>
      </c>
      <c r="CV6" s="569">
        <f t="shared" si="9"/>
        <v>0</v>
      </c>
      <c r="CW6" s="569">
        <f t="shared" si="10"/>
        <v>0</v>
      </c>
      <c r="CX6" s="569">
        <f t="shared" si="11"/>
        <v>0</v>
      </c>
      <c r="CY6" s="569">
        <f t="shared" si="12"/>
        <v>0</v>
      </c>
      <c r="CZ6" s="569">
        <f t="shared" si="13"/>
        <v>0</v>
      </c>
      <c r="DA6" s="569">
        <f t="shared" si="14"/>
        <v>0</v>
      </c>
      <c r="DB6" s="569">
        <f t="shared" si="15"/>
        <v>0</v>
      </c>
      <c r="DC6" s="569">
        <f t="shared" si="16"/>
        <v>0</v>
      </c>
      <c r="DD6" s="569">
        <f t="shared" si="17"/>
        <v>0</v>
      </c>
      <c r="DE6" s="569">
        <f t="shared" si="18"/>
        <v>0</v>
      </c>
      <c r="DF6" s="569">
        <f t="shared" si="19"/>
        <v>0</v>
      </c>
      <c r="DG6" s="569">
        <f t="shared" si="20"/>
        <v>0</v>
      </c>
      <c r="DH6" s="569">
        <f t="shared" si="21"/>
        <v>0</v>
      </c>
      <c r="DI6" s="569">
        <f t="shared" si="22"/>
        <v>0</v>
      </c>
      <c r="DJ6" s="569">
        <f t="shared" si="23"/>
        <v>0</v>
      </c>
    </row>
    <row r="7" spans="1:114" s="261" customFormat="1">
      <c r="A7" s="55" t="s">
        <v>996</v>
      </c>
      <c r="B7" s="55" t="s">
        <v>994</v>
      </c>
      <c r="C7" s="55" t="s">
        <v>8</v>
      </c>
      <c r="D7" s="55" t="s">
        <v>94</v>
      </c>
      <c r="E7" s="55" t="str">
        <f>VLOOKUP(D7,'Input 14_Ref Table'!C:D,2,FALSE)</f>
        <v>FMRES</v>
      </c>
      <c r="F7" s="172" t="s">
        <v>1286</v>
      </c>
      <c r="G7" s="55" t="str">
        <f>VLOOKUP(D7,'Input 14_Ref Table'!C:I,7,FALSE)</f>
        <v>FT - FT-RS</v>
      </c>
      <c r="H7" s="55" t="str">
        <f>VLOOKUP(D7,'Input 14_Ref Table'!C:K,8,FALSE)</f>
        <v>FortMeade_RS</v>
      </c>
      <c r="I7" s="55" t="e">
        <f>INDEX(#REF!,MATCH(D7,#REF!,0))</f>
        <v>#REF!</v>
      </c>
      <c r="J7" s="261" t="str">
        <f>INDEX('Master '!$AD$2:AD$65,MATCH(D7,'Master '!$D$2:$D$65,0))</f>
        <v>Modeled UPC</v>
      </c>
      <c r="K7" s="567">
        <f>INDEX('Master '!$N$2:N$65,MATCH(D7,'Master '!$D$2:$D$65,0))</f>
        <v>-5.2281762574494024E-2</v>
      </c>
      <c r="L7" s="290">
        <f>INDEX('Master '!$S$2:S$65,MATCH(D7,'Master '!$D$2:$D$65,0))</f>
        <v>-1.1031629750926494E-2</v>
      </c>
      <c r="M7" s="1">
        <f>INDEX('Master '!$W$2:W$65,MATCH(D7,'Master '!$D$2:$D$65,0))</f>
        <v>114.75</v>
      </c>
      <c r="N7" s="56">
        <f>IFERROR(INDEX('Monthly VOL'!$N$2:$CG$65,MATCH($D7,'Monthly VOL'!$D$2:$D$65,0),MATCH(N$1,'Monthly VOL'!$N$1:$CG$1,0))/INDEX('Monthly CUST'!$N$2:$CG$65,MATCH($D7,'Monthly CUST'!$D$2:$D$65,0),MATCH(N$1,'Monthly CUST'!$N$1:$CG$1,0)),0)</f>
        <v>21.605670103092862</v>
      </c>
      <c r="O7" s="56">
        <f>IFERROR(INDEX('Monthly VOL'!$N$2:$CG$65,MATCH($D7,'Monthly VOL'!$D$2:$D$65,0),MATCH(O$1,'Monthly VOL'!$N$1:$CG$1,0))/INDEX('Monthly CUST'!$N$2:$CG$65,MATCH($D7,'Monthly CUST'!$D$2:$D$65,0),MATCH(O$1,'Monthly CUST'!$N$1:$CG$1,0)),0)</f>
        <v>14.367762478485323</v>
      </c>
      <c r="P7" s="56">
        <f>IFERROR(INDEX('Monthly VOL'!$N$2:$CG$65,MATCH($D7,'Monthly VOL'!$D$2:$D$65,0),MATCH(P$1,'Monthly VOL'!$N$1:$CG$1,0))/INDEX('Monthly CUST'!$N$2:$CG$65,MATCH($D7,'Monthly CUST'!$D$2:$D$65,0),MATCH(P$1,'Monthly CUST'!$N$1:$CG$1,0)),0)</f>
        <v>10.03267123287665</v>
      </c>
      <c r="Q7" s="56">
        <f>IFERROR(INDEX('Monthly VOL'!$N$2:$CG$65,MATCH($D7,'Monthly VOL'!$D$2:$D$65,0),MATCH(Q$1,'Monthly VOL'!$N$1:$CG$1,0))/INDEX('Monthly CUST'!$N$2:$CG$65,MATCH($D7,'Monthly CUST'!$D$2:$D$65,0),MATCH(Q$1,'Monthly CUST'!$N$1:$CG$1,0)),0)</f>
        <v>11.113102253032853</v>
      </c>
      <c r="R7" s="56">
        <f>IFERROR(INDEX('Monthly VOL'!$N$2:$CG$65,MATCH($D7,'Monthly VOL'!$D$2:$D$65,0),MATCH(R$1,'Monthly VOL'!$N$1:$CG$1,0))/INDEX('Monthly CUST'!$N$2:$CG$65,MATCH($D7,'Monthly CUST'!$D$2:$D$65,0),MATCH(R$1,'Monthly CUST'!$N$1:$CG$1,0)),0)</f>
        <v>8.3978761061946834</v>
      </c>
      <c r="S7" s="56">
        <f>IFERROR(INDEX('Monthly VOL'!$N$2:$CG$65,MATCH($D7,'Monthly VOL'!$D$2:$D$65,0),MATCH(S$1,'Monthly VOL'!$N$1:$CG$1,0))/INDEX('Monthly CUST'!$N$2:$CG$65,MATCH($D7,'Monthly CUST'!$D$2:$D$65,0),MATCH(S$1,'Monthly CUST'!$N$1:$CG$1,0)),0)</f>
        <v>9.5020499108733869</v>
      </c>
      <c r="T7" s="56">
        <f>IFERROR(INDEX('Monthly VOL'!$N$2:$CG$65,MATCH($D7,'Monthly VOL'!$D$2:$D$65,0),MATCH(T$1,'Monthly VOL'!$N$1:$CG$1,0))/INDEX('Monthly CUST'!$N$2:$CG$65,MATCH($D7,'Monthly CUST'!$D$2:$D$65,0),MATCH(T$1,'Monthly CUST'!$N$1:$CG$1,0)),0)</f>
        <v>7.4063992869875266</v>
      </c>
      <c r="U7" s="56">
        <f>IFERROR(INDEX('Monthly VOL'!$N$2:$CG$65,MATCH($D7,'Monthly VOL'!$D$2:$D$65,0),MATCH(U$1,'Monthly VOL'!$N$1:$CG$1,0))/INDEX('Monthly CUST'!$N$2:$CG$65,MATCH($D7,'Monthly CUST'!$D$2:$D$65,0),MATCH(U$1,'Monthly CUST'!$N$1:$CG$1,0)),0)</f>
        <v>7.9694793536804305</v>
      </c>
      <c r="V7" s="56">
        <f>IFERROR(INDEX('Monthly VOL'!$N$2:$CG$65,MATCH($D7,'Monthly VOL'!$D$2:$D$65,0),MATCH(V$1,'Monthly VOL'!$N$1:$CG$1,0))/INDEX('Monthly CUST'!$N$2:$CG$65,MATCH($D7,'Monthly CUST'!$D$2:$D$65,0),MATCH(V$1,'Monthly CUST'!$N$1:$CG$1,0)),0)</f>
        <v>8.0303214285714191</v>
      </c>
      <c r="W7" s="56">
        <f>IFERROR(INDEX('Monthly VOL'!$N$2:$CG$65,MATCH($D7,'Monthly VOL'!$D$2:$D$65,0),MATCH(W$1,'Monthly VOL'!$N$1:$CG$1,0))/INDEX('Monthly CUST'!$N$2:$CG$65,MATCH($D7,'Monthly CUST'!$D$2:$D$65,0),MATCH(W$1,'Monthly CUST'!$N$1:$CG$1,0)),0)</f>
        <v>7.0414157706093272</v>
      </c>
      <c r="X7" s="56">
        <f>IFERROR(INDEX('Monthly VOL'!$N$2:$CG$65,MATCH($D7,'Monthly VOL'!$D$2:$D$65,0),MATCH(X$1,'Monthly VOL'!$N$1:$CG$1,0))/INDEX('Monthly CUST'!$N$2:$CG$65,MATCH($D7,'Monthly CUST'!$D$2:$D$65,0),MATCH(X$1,'Monthly CUST'!$N$1:$CG$1,0)),0)</f>
        <v>8.6823035714285535</v>
      </c>
      <c r="Y7" s="56">
        <f>IFERROR(INDEX('Monthly VOL'!$N$2:$CG$65,MATCH($D7,'Monthly VOL'!$D$2:$D$65,0),MATCH(Y$1,'Monthly VOL'!$N$1:$CG$1,0))/INDEX('Monthly CUST'!$N$2:$CG$65,MATCH($D7,'Monthly CUST'!$D$2:$D$65,0),MATCH(Y$1,'Monthly CUST'!$N$1:$CG$1,0)),0)</f>
        <v>13.049910714285666</v>
      </c>
      <c r="Z7" s="56">
        <f>IFERROR(INDEX('Monthly VOL'!$N$2:$CG$65,MATCH($D7,'Monthly VOL'!$D$2:$D$65,0),MATCH(Z$1,'Monthly VOL'!$N$1:$CG$1,0))/INDEX('Monthly CUST'!$N$2:$CG$65,MATCH($D7,'Monthly CUST'!$D$2:$D$65,0),MATCH(Z$1,'Monthly CUST'!$N$1:$CG$1,0)),0)</f>
        <v>16.963439716312099</v>
      </c>
      <c r="AA7" s="56">
        <f>IFERROR(INDEX('Monthly VOL'!$N$2:$CG$65,MATCH($D7,'Monthly VOL'!$D$2:$D$65,0),MATCH(AA$1,'Monthly VOL'!$N$1:$CG$1,0))/INDEX('Monthly CUST'!$N$2:$CG$65,MATCH($D7,'Monthly CUST'!$D$2:$D$65,0),MATCH(AA$1,'Monthly CUST'!$N$1:$CG$1,0)),0)</f>
        <v>15.957816901408471</v>
      </c>
      <c r="AB7" s="56">
        <f>IFERROR(INDEX('Monthly VOL'!$N$2:$CG$65,MATCH($D7,'Monthly VOL'!$D$2:$D$65,0),MATCH(AB$1,'Monthly VOL'!$N$1:$CG$1,0))/INDEX('Monthly CUST'!$N$2:$CG$65,MATCH($D7,'Monthly CUST'!$D$2:$D$65,0),MATCH(AB$1,'Monthly CUST'!$N$1:$CG$1,0)),0)</f>
        <v>10.375026455026397</v>
      </c>
      <c r="AC7" s="56">
        <f>IFERROR(INDEX('Monthly VOL'!$N$2:$CG$65,MATCH($D7,'Monthly VOL'!$D$2:$D$65,0),MATCH(AC$1,'Monthly VOL'!$N$1:$CG$1,0))/INDEX('Monthly CUST'!$N$2:$CG$65,MATCH($D7,'Monthly CUST'!$D$2:$D$65,0),MATCH(AC$1,'Monthly CUST'!$N$1:$CG$1,0)),0)</f>
        <v>10.187350877192927</v>
      </c>
      <c r="AD7" s="56">
        <f>IFERROR(INDEX('Monthly VOL'!$N$2:$CG$65,MATCH($D7,'Monthly VOL'!$D$2:$D$65,0),MATCH(AD$1,'Monthly VOL'!$N$1:$CG$1,0))/INDEX('Monthly CUST'!$N$2:$CG$65,MATCH($D7,'Monthly CUST'!$D$2:$D$65,0),MATCH(AD$1,'Monthly CUST'!$N$1:$CG$1,0)),0)</f>
        <v>9.2674688057040715</v>
      </c>
      <c r="AE7" s="56">
        <f>IFERROR(INDEX('Monthly VOL'!$N$2:$CG$65,MATCH($D7,'Monthly VOL'!$D$2:$D$65,0),MATCH(AE$1,'Monthly VOL'!$N$1:$CG$1,0))/INDEX('Monthly CUST'!$N$2:$CG$65,MATCH($D7,'Monthly CUST'!$D$2:$D$65,0),MATCH(AE$1,'Monthly CUST'!$N$1:$CG$1,0)),0)</f>
        <v>8.2666666666666657</v>
      </c>
      <c r="AF7" s="56">
        <f>IFERROR(INDEX('Monthly VOL'!$N$2:$CG$65,MATCH($D7,'Monthly VOL'!$D$2:$D$65,0),MATCH(AF$1,'Monthly VOL'!$N$1:$CG$1,0))/INDEX('Monthly CUST'!$N$2:$CG$65,MATCH($D7,'Monthly CUST'!$D$2:$D$65,0),MATCH(AF$1,'Monthly CUST'!$N$1:$CG$1,0)),0)</f>
        <v>7.1314440433213111</v>
      </c>
      <c r="AG7" s="56">
        <f>IFERROR(INDEX('Monthly VOL'!$N$2:$CG$65,MATCH($D7,'Monthly VOL'!$D$2:$D$65,0),MATCH(AG$1,'Monthly VOL'!$N$1:$CG$1,0))/INDEX('Monthly CUST'!$N$2:$CG$65,MATCH($D7,'Monthly CUST'!$D$2:$D$65,0),MATCH(AG$1,'Monthly CUST'!$N$1:$CG$1,0)),0)</f>
        <v>7.741245487364627</v>
      </c>
      <c r="AH7" s="56">
        <f>IFERROR(INDEX('Monthly VOL'!$N$2:$CG$65,MATCH($D7,'Monthly VOL'!$D$2:$D$65,0),MATCH(AH$1,'Monthly VOL'!$N$1:$CG$1,0))/INDEX('Monthly CUST'!$N$2:$CG$65,MATCH($D7,'Monthly CUST'!$D$2:$D$65,0),MATCH(AH$1,'Monthly CUST'!$N$1:$CG$1,0)),0)</f>
        <v>7.5763110307414099</v>
      </c>
      <c r="AI7" s="56">
        <f>IFERROR(INDEX('Monthly VOL'!$N$2:$CG$65,MATCH($D7,'Monthly VOL'!$D$2:$D$65,0),MATCH(AI$1,'Monthly VOL'!$N$1:$CG$1,0))/INDEX('Monthly CUST'!$N$2:$CG$65,MATCH($D7,'Monthly CUST'!$D$2:$D$65,0),MATCH(AI$1,'Monthly CUST'!$N$1:$CG$1,0)),0)</f>
        <v>7.8651079136690649</v>
      </c>
      <c r="AJ7" s="56">
        <f>IFERROR(INDEX('Monthly VOL'!$N$2:$CG$65,MATCH($D7,'Monthly VOL'!$D$2:$D$65,0),MATCH(AJ$1,'Monthly VOL'!$N$1:$CG$1,0))/INDEX('Monthly CUST'!$N$2:$CG$65,MATCH($D7,'Monthly CUST'!$D$2:$D$65,0),MATCH(AJ$1,'Monthly CUST'!$N$1:$CG$1,0)),0)</f>
        <v>8.7423646209386057</v>
      </c>
      <c r="AK7" s="56">
        <f>IFERROR(INDEX('Monthly VOL'!$N$2:$CG$65,MATCH($D7,'Monthly VOL'!$D$2:$D$65,0),MATCH(AK$1,'Monthly VOL'!$N$1:$CG$1,0))/INDEX('Monthly CUST'!$N$2:$CG$65,MATCH($D7,'Monthly CUST'!$D$2:$D$65,0),MATCH(AK$1,'Monthly CUST'!$N$1:$CG$1,0)),0)</f>
        <v>13.777344028520499</v>
      </c>
      <c r="AL7" s="56">
        <f>IFERROR(INDEX('Monthly VOL'!$N$2:$CG$65,MATCH($D7,'Monthly VOL'!$D$2:$D$65,0),MATCH(AL$1,'Monthly VOL'!$N$1:$CG$1,0))/INDEX('Monthly CUST'!$N$2:$CG$65,MATCH($D7,'Monthly CUST'!$D$2:$D$65,0),MATCH(AL$1,'Monthly CUST'!$N$1:$CG$1,0)),0)</f>
        <v>14.428053097345094</v>
      </c>
      <c r="AM7" s="56">
        <f>IFERROR(INDEX('Monthly VOL'!$N$2:$CG$65,MATCH($D7,'Monthly VOL'!$D$2:$D$65,0),MATCH(AM$1,'Monthly VOL'!$N$1:$CG$1,0))/INDEX('Monthly CUST'!$N$2:$CG$65,MATCH($D7,'Monthly CUST'!$D$2:$D$65,0),MATCH(AM$1,'Monthly CUST'!$N$1:$CG$1,0)),0)</f>
        <v>13.385567375886467</v>
      </c>
      <c r="AN7" s="56">
        <f>IFERROR(INDEX('Monthly VOL'!$N$2:$CG$65,MATCH($D7,'Monthly VOL'!$D$2:$D$65,0),MATCH(AN$1,'Monthly VOL'!$N$1:$CG$1,0))/INDEX('Monthly CUST'!$N$2:$CG$65,MATCH($D7,'Monthly CUST'!$D$2:$D$65,0),MATCH(AN$1,'Monthly CUST'!$N$1:$CG$1,0)),0)</f>
        <v>12.074316163410247</v>
      </c>
      <c r="AO7" s="56">
        <f>IFERROR(INDEX('Monthly VOL'!$N$2:$CG$65,MATCH($D7,'Monthly VOL'!$D$2:$D$65,0),MATCH(AO$1,'Monthly VOL'!$N$1:$CG$1,0))/INDEX('Monthly CUST'!$N$2:$CG$65,MATCH($D7,'Monthly CUST'!$D$2:$D$65,0),MATCH(AO$1,'Monthly CUST'!$N$1:$CG$1,0)),0)</f>
        <v>10.807823741007146</v>
      </c>
      <c r="AP7" s="56">
        <f>IFERROR(INDEX('Monthly VOL'!$N$2:$CG$65,MATCH($D7,'Monthly VOL'!$D$2:$D$65,0),MATCH(AP$1,'Monthly VOL'!$N$1:$CG$1,0))/INDEX('Monthly CUST'!$N$2:$CG$65,MATCH($D7,'Monthly CUST'!$D$2:$D$65,0),MATCH(AP$1,'Monthly CUST'!$N$1:$CG$1,0)),0)</f>
        <v>9.6962477231329842</v>
      </c>
      <c r="AQ7" s="56">
        <f>IFERROR(INDEX('Monthly VOL'!$N$2:$CG$65,MATCH($D7,'Monthly VOL'!$D$2:$D$65,0),MATCH(AQ$1,'Monthly VOL'!$N$1:$CG$1,0))/INDEX('Monthly CUST'!$N$2:$CG$65,MATCH($D7,'Monthly CUST'!$D$2:$D$65,0),MATCH(AQ$1,'Monthly CUST'!$N$1:$CG$1,0)),0)</f>
        <v>8.396018348623846</v>
      </c>
      <c r="AR7" s="56">
        <f>IFERROR(INDEX('Monthly VOL'!$N$2:$CG$65,MATCH($D7,'Monthly VOL'!$D$2:$D$65,0),MATCH(AR$1,'Monthly VOL'!$N$1:$CG$1,0))/INDEX('Monthly CUST'!$N$2:$CG$65,MATCH($D7,'Monthly CUST'!$D$2:$D$65,0),MATCH(AR$1,'Monthly CUST'!$N$1:$CG$1,0)),0)</f>
        <v>8.5610382513661101</v>
      </c>
      <c r="AS7" s="56">
        <f>IFERROR(INDEX('Monthly VOL'!$N$2:$CG$65,MATCH($D7,'Monthly VOL'!$D$2:$D$65,0),MATCH(AS$1,'Monthly VOL'!$N$1:$CG$1,0))/INDEX('Monthly CUST'!$N$2:$CG$65,MATCH($D7,'Monthly CUST'!$D$2:$D$65,0),MATCH(AS$1,'Monthly CUST'!$N$1:$CG$1,0)),0)</f>
        <v>7.4769581056466476</v>
      </c>
      <c r="AT7" s="56">
        <f>IFERROR(INDEX('Monthly VOL'!$N$2:$CG$65,MATCH($D7,'Monthly VOL'!$D$2:$D$65,0),MATCH(AT$1,'Monthly VOL'!$N$1:$CG$1,0))/INDEX('Monthly CUST'!$N$2:$CG$65,MATCH($D7,'Monthly CUST'!$D$2:$D$65,0),MATCH(AT$1,'Monthly CUST'!$N$1:$CG$1,0)),0)</f>
        <v>8.4433212341197788</v>
      </c>
      <c r="AU7" s="56">
        <f>IFERROR(INDEX('Monthly VOL'!$N$2:$CG$65,MATCH($D7,'Monthly VOL'!$D$2:$D$65,0),MATCH(AU$1,'Monthly VOL'!$N$1:$CG$1,0))/INDEX('Monthly CUST'!$N$2:$CG$65,MATCH($D7,'Monthly CUST'!$D$2:$D$65,0),MATCH(AU$1,'Monthly CUST'!$N$1:$CG$1,0)),0)</f>
        <v>8.4270577617328435</v>
      </c>
      <c r="AV7" s="56">
        <f>IFERROR(INDEX('Monthly VOL'!$N$2:$CG$65,MATCH($D7,'Monthly VOL'!$D$2:$D$65,0),MATCH(AV$1,'Monthly VOL'!$N$1:$CG$1,0))/INDEX('Monthly CUST'!$N$2:$CG$65,MATCH($D7,'Monthly CUST'!$D$2:$D$65,0),MATCH(AV$1,'Monthly CUST'!$N$1:$CG$1,0)),0)</f>
        <v>9.4188788426763548</v>
      </c>
      <c r="AW7" s="56">
        <f>IFERROR(INDEX('Monthly VOL'!$N$2:$CG$65,MATCH($D7,'Monthly VOL'!$D$2:$D$65,0),MATCH(AW$1,'Monthly VOL'!$N$1:$CG$1,0))/INDEX('Monthly CUST'!$N$2:$CG$65,MATCH($D7,'Monthly CUST'!$D$2:$D$65,0),MATCH(AW$1,'Monthly CUST'!$N$1:$CG$1,0)),0)</f>
        <v>14.303574007220172</v>
      </c>
      <c r="AX7" s="56">
        <f>IFERROR(INDEX('Monthly VOL'!$N$2:$CG$65,MATCH($D7,'Monthly VOL'!$D$2:$D$65,0),MATCH(AX$1,'Monthly VOL'!$N$1:$CG$1,0))/INDEX('Monthly CUST'!$N$2:$CG$65,MATCH($D7,'Monthly CUST'!$D$2:$D$65,0),MATCH(AX$1,'Monthly CUST'!$N$1:$CG$1,0)),0)</f>
        <v>17.402196428571411</v>
      </c>
      <c r="AY7" s="56">
        <f>IFERROR(INDEX('Monthly VOL'!$N$2:$CG$65,MATCH($D7,'Monthly VOL'!$D$2:$D$65,0),MATCH(AY$1,'Monthly VOL'!$N$1:$CG$1,0))/INDEX('Monthly CUST'!$N$2:$CG$65,MATCH($D7,'Monthly CUST'!$D$2:$D$65,0),MATCH(AY$1,'Monthly CUST'!$N$1:$CG$1,0)),0)</f>
        <v>14.013203539823051</v>
      </c>
      <c r="AZ7" s="56">
        <f>IFERROR(INDEX('Monthly VOL'!$N$2:$CG$65,MATCH($D7,'Monthly VOL'!$D$2:$D$65,0),MATCH(AZ$1,'Monthly VOL'!$N$1:$CG$1,0))/INDEX('Monthly CUST'!$N$2:$CG$65,MATCH($D7,'Monthly CUST'!$D$2:$D$65,0),MATCH(AZ$1,'Monthly CUST'!$N$1:$CG$1,0)),0)</f>
        <v>10.79971580817053</v>
      </c>
      <c r="BA7" s="56">
        <f>IFERROR(INDEX('Monthly VOL'!$N$2:$CG$65,MATCH($D7,'Monthly VOL'!$D$2:$D$65,0),MATCH(BA$1,'Monthly VOL'!$N$1:$CG$1,0))/INDEX('Monthly CUST'!$N$2:$CG$65,MATCH($D7,'Monthly CUST'!$D$2:$D$65,0),MATCH(BA$1,'Monthly CUST'!$N$1:$CG$1,0)),0)</f>
        <v>11.483818827708715</v>
      </c>
      <c r="BB7" s="56">
        <f>IFERROR(INDEX('Monthly VOL'!$N$2:$CG$65,MATCH($D7,'Monthly VOL'!$D$2:$D$65,0),MATCH(BB$1,'Monthly VOL'!$N$1:$CG$1,0))/INDEX('Monthly CUST'!$N$2:$CG$65,MATCH($D7,'Monthly CUST'!$D$2:$D$65,0),MATCH(BB$1,'Monthly CUST'!$N$1:$CG$1,0)),0)</f>
        <v>8.8077818181818017</v>
      </c>
      <c r="BC7" s="56">
        <f>IFERROR(INDEX('Monthly VOL'!$N$2:$CG$65,MATCH($D7,'Monthly VOL'!$D$2:$D$65,0),MATCH(BC$1,'Monthly VOL'!$N$1:$CG$1,0))/INDEX('Monthly CUST'!$N$2:$CG$65,MATCH($D7,'Monthly CUST'!$D$2:$D$65,0),MATCH(BC$1,'Monthly CUST'!$N$1:$CG$1,0)),0)</f>
        <v>7.7808759124087574</v>
      </c>
      <c r="BD7" s="56">
        <f>IFERROR(INDEX('Monthly VOL'!$N$2:$CG$65,MATCH($D7,'Monthly VOL'!$D$2:$D$65,0),MATCH(BD$1,'Monthly VOL'!$N$1:$CG$1,0))/INDEX('Monthly CUST'!$N$2:$CG$65,MATCH($D7,'Monthly CUST'!$D$2:$D$65,0),MATCH(BD$1,'Monthly CUST'!$N$1:$CG$1,0)),0)</f>
        <v>8.089184782608692</v>
      </c>
      <c r="BE7" s="56">
        <f>IFERROR(INDEX('Monthly VOL'!$N$2:$CG$65,MATCH($D7,'Monthly VOL'!$D$2:$D$65,0),MATCH(BE$1,'Monthly VOL'!$N$1:$CG$1,0))/INDEX('Monthly CUST'!$N$2:$CG$65,MATCH($D7,'Monthly CUST'!$D$2:$D$65,0),MATCH(BE$1,'Monthly CUST'!$N$1:$CG$1,0)),0)</f>
        <v>6.6936928702011045</v>
      </c>
      <c r="BF7" s="56">
        <f>IFERROR(INDEX('Monthly VOL'!$N$2:$CG$65,MATCH($D7,'Monthly VOL'!$D$2:$D$65,0),MATCH(BF$1,'Monthly VOL'!$N$1:$CG$1,0))/INDEX('Monthly CUST'!$N$2:$CG$65,MATCH($D7,'Monthly CUST'!$D$2:$D$65,0),MATCH(BF$1,'Monthly CUST'!$N$1:$CG$1,0)),0)</f>
        <v>8.0308576642335936</v>
      </c>
      <c r="BG7" s="56">
        <f>IFERROR(INDEX('Monthly VOL'!$N$2:$CG$65,MATCH($D7,'Monthly VOL'!$D$2:$D$65,0),MATCH(BG$1,'Monthly VOL'!$N$1:$CG$1,0))/INDEX('Monthly CUST'!$N$2:$CG$65,MATCH($D7,'Monthly CUST'!$D$2:$D$65,0),MATCH(BG$1,'Monthly CUST'!$N$1:$CG$1,0)),0)</f>
        <v>7.3314495412844218</v>
      </c>
      <c r="BH7" s="56">
        <f>IFERROR(INDEX('Monthly VOL'!$N$2:$CG$65,MATCH($D7,'Monthly VOL'!$D$2:$D$65,0),MATCH(BH$1,'Monthly VOL'!$N$1:$CG$1,0))/INDEX('Monthly CUST'!$N$2:$CG$65,MATCH($D7,'Monthly CUST'!$D$2:$D$65,0),MATCH(BH$1,'Monthly CUST'!$N$1:$CG$1,0)),0)</f>
        <v>8.762426470588224</v>
      </c>
      <c r="BI7" s="56">
        <f>IFERROR(INDEX('Monthly VOL'!$N$2:$CG$65,MATCH($D7,'Monthly VOL'!$D$2:$D$65,0),MATCH(BI$1,'Monthly VOL'!$N$1:$CG$1,0))/INDEX('Monthly CUST'!$N$2:$CG$65,MATCH($D7,'Monthly CUST'!$D$2:$D$65,0),MATCH(BI$1,'Monthly CUST'!$N$1:$CG$1,0)),0)</f>
        <v>12.482051282051216</v>
      </c>
      <c r="BJ7" s="56">
        <f>IFERROR(INDEX('Monthly VOL'!$N$2:$CG$65,MATCH($D7,'Monthly VOL'!$D$2:$D$65,0),MATCH(BJ$1,'Monthly VOL'!$N$1:$CG$1,0))/INDEX('Monthly CUST'!$N$2:$CG$65,MATCH($D7,'Monthly CUST'!$D$2:$D$65,0),MATCH(BJ$1,'Monthly CUST'!$N$1:$CG$1,0)),0)</f>
        <v>9.5625</v>
      </c>
      <c r="BK7" s="56">
        <f>IFERROR(INDEX('Monthly VOL'!$N$2:$CG$65,MATCH($D7,'Monthly VOL'!$D$2:$D$65,0),MATCH(BK$1,'Monthly VOL'!$N$1:$CG$1,0))/INDEX('Monthly CUST'!$N$2:$CG$65,MATCH($D7,'Monthly CUST'!$D$2:$D$65,0),MATCH(BK$1,'Monthly CUST'!$N$1:$CG$1,0)),0)</f>
        <v>9.5625</v>
      </c>
      <c r="BL7" s="56">
        <f>IFERROR(INDEX('Monthly VOL'!$N$2:$CG$65,MATCH($D7,'Monthly VOL'!$D$2:$D$65,0),MATCH(BL$1,'Monthly VOL'!$N$1:$CG$1,0))/INDEX('Monthly CUST'!$N$2:$CG$65,MATCH($D7,'Monthly CUST'!$D$2:$D$65,0),MATCH(BL$1,'Monthly CUST'!$N$1:$CG$1,0)),0)</f>
        <v>9.5625</v>
      </c>
      <c r="BM7" s="56">
        <f>IFERROR(INDEX('Monthly VOL'!$N$2:$CG$65,MATCH($D7,'Monthly VOL'!$D$2:$D$65,0),MATCH(BM$1,'Monthly VOL'!$N$1:$CG$1,0))/INDEX('Monthly CUST'!$N$2:$CG$65,MATCH($D7,'Monthly CUST'!$D$2:$D$65,0),MATCH(BM$1,'Monthly CUST'!$N$1:$CG$1,0)),0)</f>
        <v>9.5625</v>
      </c>
      <c r="BN7" s="56">
        <f>IFERROR(INDEX('Monthly VOL'!$N$2:$CG$65,MATCH($D7,'Monthly VOL'!$D$2:$D$65,0),MATCH(BN$1,'Monthly VOL'!$N$1:$CG$1,0))/INDEX('Monthly CUST'!$N$2:$CG$65,MATCH($D7,'Monthly CUST'!$D$2:$D$65,0),MATCH(BN$1,'Monthly CUST'!$N$1:$CG$1,0)),0)</f>
        <v>9.5624999999999982</v>
      </c>
      <c r="BO7" s="56">
        <f>IFERROR(INDEX('Monthly VOL'!$N$2:$CG$65,MATCH($D7,'Monthly VOL'!$D$2:$D$65,0),MATCH(BO$1,'Monthly VOL'!$N$1:$CG$1,0))/INDEX('Monthly CUST'!$N$2:$CG$65,MATCH($D7,'Monthly CUST'!$D$2:$D$65,0),MATCH(BO$1,'Monthly CUST'!$N$1:$CG$1,0)),0)</f>
        <v>9.5625</v>
      </c>
      <c r="BP7" s="56">
        <f>IFERROR(INDEX('Monthly VOL'!$N$2:$CG$65,MATCH($D7,'Monthly VOL'!$D$2:$D$65,0),MATCH(BP$1,'Monthly VOL'!$N$1:$CG$1,0))/INDEX('Monthly CUST'!$N$2:$CG$65,MATCH($D7,'Monthly CUST'!$D$2:$D$65,0),MATCH(BP$1,'Monthly CUST'!$N$1:$CG$1,0)),0)</f>
        <v>9.5624999999999982</v>
      </c>
      <c r="BQ7" s="56">
        <f>IFERROR(INDEX('Monthly VOL'!$N$2:$CG$65,MATCH($D7,'Monthly VOL'!$D$2:$D$65,0),MATCH(BQ$1,'Monthly VOL'!$N$1:$CG$1,0))/INDEX('Monthly CUST'!$N$2:$CG$65,MATCH($D7,'Monthly CUST'!$D$2:$D$65,0),MATCH(BQ$1,'Monthly CUST'!$N$1:$CG$1,0)),0)</f>
        <v>9.5625000000000018</v>
      </c>
      <c r="BR7" s="56">
        <f>IFERROR(INDEX('Monthly VOL'!$N$2:$CG$65,MATCH($D7,'Monthly VOL'!$D$2:$D$65,0),MATCH(BR$1,'Monthly VOL'!$N$1:$CG$1,0))/INDEX('Monthly CUST'!$N$2:$CG$65,MATCH($D7,'Monthly CUST'!$D$2:$D$65,0),MATCH(BR$1,'Monthly CUST'!$N$1:$CG$1,0)),0)</f>
        <v>9.5625</v>
      </c>
      <c r="BS7" s="56">
        <f>IFERROR(INDEX('Monthly VOL'!$N$2:$CG$65,MATCH($D7,'Monthly VOL'!$D$2:$D$65,0),MATCH(BS$1,'Monthly VOL'!$N$1:$CG$1,0))/INDEX('Monthly CUST'!$N$2:$CG$65,MATCH($D7,'Monthly CUST'!$D$2:$D$65,0),MATCH(BS$1,'Monthly CUST'!$N$1:$CG$1,0)),0)</f>
        <v>9.5625</v>
      </c>
      <c r="BT7" s="56">
        <f>IFERROR(INDEX('Monthly VOL'!$N$2:$CG$65,MATCH($D7,'Monthly VOL'!$D$2:$D$65,0),MATCH(BT$1,'Monthly VOL'!$N$1:$CG$1,0))/INDEX('Monthly CUST'!$N$2:$CG$65,MATCH($D7,'Monthly CUST'!$D$2:$D$65,0),MATCH(BT$1,'Monthly CUST'!$N$1:$CG$1,0)),0)</f>
        <v>9.5625</v>
      </c>
      <c r="BU7" s="56">
        <f>IFERROR(INDEX('Monthly VOL'!$N$2:$CG$65,MATCH($D7,'Monthly VOL'!$D$2:$D$65,0),MATCH(BU$1,'Monthly VOL'!$N$1:$CG$1,0))/INDEX('Monthly CUST'!$N$2:$CG$65,MATCH($D7,'Monthly CUST'!$D$2:$D$65,0),MATCH(BU$1,'Monthly CUST'!$N$1:$CG$1,0)),0)</f>
        <v>9.5625</v>
      </c>
      <c r="BV7" s="56">
        <f>IFERROR(INDEX('Monthly VOL'!$N$2:$CG$65,MATCH($D7,'Monthly VOL'!$D$2:$D$65,0),MATCH(BV$1,'Monthly VOL'!$N$1:$CG$1,0))/INDEX('Monthly CUST'!$N$2:$CG$65,MATCH($D7,'Monthly CUST'!$D$2:$D$65,0),MATCH(BV$1,'Monthly CUST'!$N$1:$CG$1,0)),0)</f>
        <v>9.5625000000000018</v>
      </c>
      <c r="BW7" s="56">
        <f>IFERROR(INDEX('Monthly VOL'!$N$2:$CG$65,MATCH($D7,'Monthly VOL'!$D$2:$D$65,0),MATCH(BW$1,'Monthly VOL'!$N$1:$CG$1,0))/INDEX('Monthly CUST'!$N$2:$CG$65,MATCH($D7,'Monthly CUST'!$D$2:$D$65,0),MATCH(BW$1,'Monthly CUST'!$N$1:$CG$1,0)),0)</f>
        <v>9.5625</v>
      </c>
      <c r="BX7" s="56">
        <f>IFERROR(INDEX('Monthly VOL'!$N$2:$CG$65,MATCH($D7,'Monthly VOL'!$D$2:$D$65,0),MATCH(BX$1,'Monthly VOL'!$N$1:$CG$1,0))/INDEX('Monthly CUST'!$N$2:$CG$65,MATCH($D7,'Monthly CUST'!$D$2:$D$65,0),MATCH(BX$1,'Monthly CUST'!$N$1:$CG$1,0)),0)</f>
        <v>9.5625</v>
      </c>
      <c r="BY7" s="56">
        <f>IFERROR(INDEX('Monthly VOL'!$N$2:$CG$65,MATCH($D7,'Monthly VOL'!$D$2:$D$65,0),MATCH(BY$1,'Monthly VOL'!$N$1:$CG$1,0))/INDEX('Monthly CUST'!$N$2:$CG$65,MATCH($D7,'Monthly CUST'!$D$2:$D$65,0),MATCH(BY$1,'Monthly CUST'!$N$1:$CG$1,0)),0)</f>
        <v>9.5625</v>
      </c>
      <c r="BZ7" s="56">
        <f>IFERROR(INDEX('Monthly VOL'!$N$2:$CG$65,MATCH($D7,'Monthly VOL'!$D$2:$D$65,0),MATCH(BZ$1,'Monthly VOL'!$N$1:$CG$1,0))/INDEX('Monthly CUST'!$N$2:$CG$65,MATCH($D7,'Monthly CUST'!$D$2:$D$65,0),MATCH(BZ$1,'Monthly CUST'!$N$1:$CG$1,0)),0)</f>
        <v>9.5625</v>
      </c>
      <c r="CA7" s="56">
        <f>IFERROR(INDEX('Monthly VOL'!$N$2:$CG$65,MATCH($D7,'Monthly VOL'!$D$2:$D$65,0),MATCH(CA$1,'Monthly VOL'!$N$1:$CG$1,0))/INDEX('Monthly CUST'!$N$2:$CG$65,MATCH($D7,'Monthly CUST'!$D$2:$D$65,0),MATCH(CA$1,'Monthly CUST'!$N$1:$CG$1,0)),0)</f>
        <v>9.5625</v>
      </c>
      <c r="CB7" s="56">
        <f>IFERROR(INDEX('Monthly VOL'!$N$2:$CG$65,MATCH($D7,'Monthly VOL'!$D$2:$D$65,0),MATCH(CB$1,'Monthly VOL'!$N$1:$CG$1,0))/INDEX('Monthly CUST'!$N$2:$CG$65,MATCH($D7,'Monthly CUST'!$D$2:$D$65,0),MATCH(CB$1,'Monthly CUST'!$N$1:$CG$1,0)),0)</f>
        <v>9.5625</v>
      </c>
      <c r="CC7" s="56">
        <f>IFERROR(INDEX('Monthly VOL'!$N$2:$CG$65,MATCH($D7,'Monthly VOL'!$D$2:$D$65,0),MATCH(CC$1,'Monthly VOL'!$N$1:$CG$1,0))/INDEX('Monthly CUST'!$N$2:$CG$65,MATCH($D7,'Monthly CUST'!$D$2:$D$65,0),MATCH(CC$1,'Monthly CUST'!$N$1:$CG$1,0)),0)</f>
        <v>9.5625000000000018</v>
      </c>
      <c r="CD7" s="56">
        <f>IFERROR(INDEX('Monthly VOL'!$N$2:$CG$65,MATCH($D7,'Monthly VOL'!$D$2:$D$65,0),MATCH(CD$1,'Monthly VOL'!$N$1:$CG$1,0))/INDEX('Monthly CUST'!$N$2:$CG$65,MATCH($D7,'Monthly CUST'!$D$2:$D$65,0),MATCH(CD$1,'Monthly CUST'!$N$1:$CG$1,0)),0)</f>
        <v>9.5625</v>
      </c>
      <c r="CE7" s="56">
        <f>IFERROR(INDEX('Monthly VOL'!$N$2:$CG$65,MATCH($D7,'Monthly VOL'!$D$2:$D$65,0),MATCH(CE$1,'Monthly VOL'!$N$1:$CG$1,0))/INDEX('Monthly CUST'!$N$2:$CG$65,MATCH($D7,'Monthly CUST'!$D$2:$D$65,0),MATCH(CE$1,'Monthly CUST'!$N$1:$CG$1,0)),0)</f>
        <v>9.5625</v>
      </c>
      <c r="CF7" s="56">
        <f>IFERROR(INDEX('Monthly VOL'!$N$2:$CG$65,MATCH($D7,'Monthly VOL'!$D$2:$D$65,0),MATCH(CF$1,'Monthly VOL'!$N$1:$CG$1,0))/INDEX('Monthly CUST'!$N$2:$CG$65,MATCH($D7,'Monthly CUST'!$D$2:$D$65,0),MATCH(CF$1,'Monthly CUST'!$N$1:$CG$1,0)),0)</f>
        <v>9.5625</v>
      </c>
      <c r="CG7" s="56">
        <f>IFERROR(INDEX('Monthly VOL'!$N$2:$CG$65,MATCH($D7,'Monthly VOL'!$D$2:$D$65,0),MATCH(CG$1,'Monthly VOL'!$N$1:$CG$1,0))/INDEX('Monthly CUST'!$N$2:$CG$65,MATCH($D7,'Monthly CUST'!$D$2:$D$65,0),MATCH(CG$1,'Monthly CUST'!$N$1:$CG$1,0)),0)</f>
        <v>9.5625</v>
      </c>
      <c r="CH7" s="264"/>
      <c r="CI7" s="264"/>
      <c r="CJ7" s="264"/>
      <c r="CM7" s="569">
        <f t="shared" si="0"/>
        <v>16.264563080742871</v>
      </c>
      <c r="CN7" s="569">
        <f t="shared" si="1"/>
        <v>14.45219593903933</v>
      </c>
      <c r="CO7" s="569">
        <f t="shared" si="2"/>
        <v>11.083019475535727</v>
      </c>
      <c r="CP7" s="569">
        <f t="shared" si="3"/>
        <v>10.826331148636264</v>
      </c>
      <c r="CQ7" s="569">
        <f t="shared" si="4"/>
        <v>9.2571661156729519</v>
      </c>
      <c r="CR7" s="569">
        <f t="shared" si="5"/>
        <v>8.1478536425664227</v>
      </c>
      <c r="CS7" s="569">
        <f t="shared" si="6"/>
        <v>7.9272223590987041</v>
      </c>
      <c r="CT7" s="569">
        <f t="shared" si="7"/>
        <v>7.30396548773746</v>
      </c>
      <c r="CU7" s="569">
        <f t="shared" si="8"/>
        <v>8.0168299763649262</v>
      </c>
      <c r="CV7" s="569">
        <f t="shared" si="9"/>
        <v>7.8745384055621095</v>
      </c>
      <c r="CW7" s="569">
        <f t="shared" si="10"/>
        <v>8.9745566447343936</v>
      </c>
      <c r="CX7" s="569">
        <f t="shared" si="11"/>
        <v>13.520989772597297</v>
      </c>
      <c r="CY7" s="569">
        <f t="shared" si="12"/>
        <v>16.264563080742871</v>
      </c>
      <c r="CZ7" s="569">
        <f t="shared" si="13"/>
        <v>14.45219593903933</v>
      </c>
      <c r="DA7" s="569">
        <f t="shared" si="14"/>
        <v>11.083019475535727</v>
      </c>
      <c r="DB7" s="569">
        <f t="shared" si="15"/>
        <v>10.826331148636264</v>
      </c>
      <c r="DC7" s="569">
        <f t="shared" si="16"/>
        <v>9.2571661156729519</v>
      </c>
      <c r="DD7" s="569">
        <f t="shared" si="17"/>
        <v>8.1478536425664227</v>
      </c>
      <c r="DE7" s="569">
        <f t="shared" si="18"/>
        <v>7.9272223590987041</v>
      </c>
      <c r="DF7" s="569">
        <f t="shared" si="19"/>
        <v>7.30396548773746</v>
      </c>
      <c r="DG7" s="569">
        <f t="shared" si="20"/>
        <v>8.0168299763649262</v>
      </c>
      <c r="DH7" s="569">
        <f t="shared" si="21"/>
        <v>7.8745384055621095</v>
      </c>
      <c r="DI7" s="569">
        <f t="shared" si="22"/>
        <v>8.9745566447343936</v>
      </c>
      <c r="DJ7" s="569">
        <f t="shared" si="23"/>
        <v>13.520989772597297</v>
      </c>
    </row>
    <row r="8" spans="1:114" s="261" customFormat="1">
      <c r="A8" s="55" t="s">
        <v>996</v>
      </c>
      <c r="B8" s="55" t="s">
        <v>994</v>
      </c>
      <c r="C8" s="55" t="s">
        <v>1245</v>
      </c>
      <c r="D8" s="55" t="s">
        <v>96</v>
      </c>
      <c r="E8" s="55" t="str">
        <f>VLOOKUP(D8,'Input 14_Ref Table'!C:D,2,FALSE)</f>
        <v>FMCS1</v>
      </c>
      <c r="F8" s="172" t="s">
        <v>1286</v>
      </c>
      <c r="G8" s="55" t="str">
        <f>VLOOKUP(D8,'Input 14_Ref Table'!C:I,7,FALSE)</f>
        <v>FMCS1</v>
      </c>
      <c r="H8" s="55" t="str">
        <f>VLOOKUP(D8,'Input 14_Ref Table'!C:K,8,FALSE)</f>
        <v>GS1_FortMeade</v>
      </c>
      <c r="I8" s="55" t="e">
        <f>INDEX(#REF!,MATCH(D8,#REF!,0))</f>
        <v>#REF!</v>
      </c>
      <c r="J8" s="261" t="str">
        <f>INDEX('Master '!$AD$2:AD$65,MATCH(D8,'Master '!$D$2:$D$65,0))</f>
        <v>UPC Growth Rate</v>
      </c>
      <c r="K8" s="567">
        <f>INDEX('Master '!$N$2:N$65,MATCH(D8,'Master '!$D$2:$D$65,0))</f>
        <v>-2.7622859351881829E-2</v>
      </c>
      <c r="L8" s="290">
        <f>INDEX('Master '!$S$2:S$65,MATCH(D8,'Master '!$D$2:$D$65,0))</f>
        <v>-6.3629918468627502E-3</v>
      </c>
      <c r="M8" s="1">
        <f>INDEX('Master '!$W$2:W$65,MATCH(D8,'Master '!$D$2:$D$65,0))</f>
        <v>2803.05</v>
      </c>
      <c r="N8" s="56">
        <f>IFERROR(INDEX('Monthly VOL'!$N$2:$CG$65,MATCH($D8,'Monthly VOL'!$D$2:$D$65,0),MATCH(N$1,'Monthly VOL'!$N$1:$CG$1,0))/INDEX('Monthly CUST'!$N$2:$CG$65,MATCH($D8,'Monthly CUST'!$D$2:$D$65,0),MATCH(N$1,'Monthly CUST'!$N$1:$CG$1,0)),0)</f>
        <v>326.38894736842104</v>
      </c>
      <c r="O8" s="56">
        <f>IFERROR(INDEX('Monthly VOL'!$N$2:$CG$65,MATCH($D8,'Monthly VOL'!$D$2:$D$65,0),MATCH(O$1,'Monthly VOL'!$N$1:$CG$1,0))/INDEX('Monthly CUST'!$N$2:$CG$65,MATCH($D8,'Monthly CUST'!$D$2:$D$65,0),MATCH(O$1,'Monthly CUST'!$N$1:$CG$1,0)),0)</f>
        <v>293.94736842105266</v>
      </c>
      <c r="P8" s="56">
        <f>IFERROR(INDEX('Monthly VOL'!$N$2:$CG$65,MATCH($D8,'Monthly VOL'!$D$2:$D$65,0),MATCH(P$1,'Monthly VOL'!$N$1:$CG$1,0))/INDEX('Monthly CUST'!$N$2:$CG$65,MATCH($D8,'Monthly CUST'!$D$2:$D$65,0),MATCH(P$1,'Monthly CUST'!$N$1:$CG$1,0)),0)</f>
        <v>197.0104761904762</v>
      </c>
      <c r="Q8" s="56">
        <f>IFERROR(INDEX('Monthly VOL'!$N$2:$CG$65,MATCH($D8,'Monthly VOL'!$D$2:$D$65,0),MATCH(Q$1,'Monthly VOL'!$N$1:$CG$1,0))/INDEX('Monthly CUST'!$N$2:$CG$65,MATCH($D8,'Monthly CUST'!$D$2:$D$65,0),MATCH(Q$1,'Monthly CUST'!$N$1:$CG$1,0)),0)</f>
        <v>217.11380952380949</v>
      </c>
      <c r="R8" s="56">
        <f>IFERROR(INDEX('Monthly VOL'!$N$2:$CG$65,MATCH($D8,'Monthly VOL'!$D$2:$D$65,0),MATCH(R$1,'Monthly VOL'!$N$1:$CG$1,0))/INDEX('Monthly CUST'!$N$2:$CG$65,MATCH($D8,'Monthly CUST'!$D$2:$D$65,0),MATCH(R$1,'Monthly CUST'!$N$1:$CG$1,0)),0)</f>
        <v>144.12047619047618</v>
      </c>
      <c r="S8" s="56">
        <f>IFERROR(INDEX('Monthly VOL'!$N$2:$CG$65,MATCH($D8,'Monthly VOL'!$D$2:$D$65,0),MATCH(S$1,'Monthly VOL'!$N$1:$CG$1,0))/INDEX('Monthly CUST'!$N$2:$CG$65,MATCH($D8,'Monthly CUST'!$D$2:$D$65,0),MATCH(S$1,'Monthly CUST'!$N$1:$CG$1,0)),0)</f>
        <v>113.35600000000002</v>
      </c>
      <c r="T8" s="56">
        <f>IFERROR(INDEX('Monthly VOL'!$N$2:$CG$65,MATCH($D8,'Monthly VOL'!$D$2:$D$65,0),MATCH(T$1,'Monthly VOL'!$N$1:$CG$1,0))/INDEX('Monthly CUST'!$N$2:$CG$65,MATCH($D8,'Monthly CUST'!$D$2:$D$65,0),MATCH(T$1,'Monthly CUST'!$N$1:$CG$1,0)),0)</f>
        <v>54.119500000000002</v>
      </c>
      <c r="U8" s="56">
        <f>IFERROR(INDEX('Monthly VOL'!$N$2:$CG$65,MATCH($D8,'Monthly VOL'!$D$2:$D$65,0),MATCH(U$1,'Monthly VOL'!$N$1:$CG$1,0))/INDEX('Monthly CUST'!$N$2:$CG$65,MATCH($D8,'Monthly CUST'!$D$2:$D$65,0),MATCH(U$1,'Monthly CUST'!$N$1:$CG$1,0)),0)</f>
        <v>56.092000000000006</v>
      </c>
      <c r="V8" s="56">
        <f>IFERROR(INDEX('Monthly VOL'!$N$2:$CG$65,MATCH($D8,'Monthly VOL'!$D$2:$D$65,0),MATCH(V$1,'Monthly VOL'!$N$1:$CG$1,0))/INDEX('Monthly CUST'!$N$2:$CG$65,MATCH($D8,'Monthly CUST'!$D$2:$D$65,0),MATCH(V$1,'Monthly CUST'!$N$1:$CG$1,0)),0)</f>
        <v>67.218500000000006</v>
      </c>
      <c r="W8" s="56">
        <f>IFERROR(INDEX('Monthly VOL'!$N$2:$CG$65,MATCH($D8,'Monthly VOL'!$D$2:$D$65,0),MATCH(W$1,'Monthly VOL'!$N$1:$CG$1,0))/INDEX('Monthly CUST'!$N$2:$CG$65,MATCH($D8,'Monthly CUST'!$D$2:$D$65,0),MATCH(W$1,'Monthly CUST'!$N$1:$CG$1,0)),0)</f>
        <v>80.557000000000002</v>
      </c>
      <c r="X8" s="56">
        <f>IFERROR(INDEX('Monthly VOL'!$N$2:$CG$65,MATCH($D8,'Monthly VOL'!$D$2:$D$65,0),MATCH(X$1,'Monthly VOL'!$N$1:$CG$1,0))/INDEX('Monthly CUST'!$N$2:$CG$65,MATCH($D8,'Monthly CUST'!$D$2:$D$65,0),MATCH(X$1,'Monthly CUST'!$N$1:$CG$1,0)),0)</f>
        <v>88.822000000000003</v>
      </c>
      <c r="Y8" s="56">
        <f>IFERROR(INDEX('Monthly VOL'!$N$2:$CG$65,MATCH($D8,'Monthly VOL'!$D$2:$D$65,0),MATCH(Y$1,'Monthly VOL'!$N$1:$CG$1,0))/INDEX('Monthly CUST'!$N$2:$CG$65,MATCH($D8,'Monthly CUST'!$D$2:$D$65,0),MATCH(Y$1,'Monthly CUST'!$N$1:$CG$1,0)),0)</f>
        <v>294.97500000000002</v>
      </c>
      <c r="Z8" s="56">
        <f>IFERROR(INDEX('Monthly VOL'!$N$2:$CG$65,MATCH($D8,'Monthly VOL'!$D$2:$D$65,0),MATCH(Z$1,'Monthly VOL'!$N$1:$CG$1,0))/INDEX('Monthly CUST'!$N$2:$CG$65,MATCH($D8,'Monthly CUST'!$D$2:$D$65,0),MATCH(Z$1,'Monthly CUST'!$N$1:$CG$1,0)),0)</f>
        <v>376.23450000000003</v>
      </c>
      <c r="AA8" s="56">
        <f>IFERROR(INDEX('Monthly VOL'!$N$2:$CG$65,MATCH($D8,'Monthly VOL'!$D$2:$D$65,0),MATCH(AA$1,'Monthly VOL'!$N$1:$CG$1,0))/INDEX('Monthly CUST'!$N$2:$CG$65,MATCH($D8,'Monthly CUST'!$D$2:$D$65,0),MATCH(AA$1,'Monthly CUST'!$N$1:$CG$1,0)),0)</f>
        <v>320.42631578947368</v>
      </c>
      <c r="AB8" s="56">
        <f>IFERROR(INDEX('Monthly VOL'!$N$2:$CG$65,MATCH($D8,'Monthly VOL'!$D$2:$D$65,0),MATCH(AB$1,'Monthly VOL'!$N$1:$CG$1,0))/INDEX('Monthly CUST'!$N$2:$CG$65,MATCH($D8,'Monthly CUST'!$D$2:$D$65,0),MATCH(AB$1,'Monthly CUST'!$N$1:$CG$1,0)),0)</f>
        <v>212.24947368421053</v>
      </c>
      <c r="AC8" s="56">
        <f>IFERROR(INDEX('Monthly VOL'!$N$2:$CG$65,MATCH($D8,'Monthly VOL'!$D$2:$D$65,0),MATCH(AC$1,'Monthly VOL'!$N$1:$CG$1,0))/INDEX('Monthly CUST'!$N$2:$CG$65,MATCH($D8,'Monthly CUST'!$D$2:$D$65,0),MATCH(AC$1,'Monthly CUST'!$N$1:$CG$1,0)),0)</f>
        <v>222.32210526315788</v>
      </c>
      <c r="AD8" s="56">
        <f>IFERROR(INDEX('Monthly VOL'!$N$2:$CG$65,MATCH($D8,'Monthly VOL'!$D$2:$D$65,0),MATCH(AD$1,'Monthly VOL'!$N$1:$CG$1,0))/INDEX('Monthly CUST'!$N$2:$CG$65,MATCH($D8,'Monthly CUST'!$D$2:$D$65,0),MATCH(AD$1,'Monthly CUST'!$N$1:$CG$1,0)),0)</f>
        <v>164.93052631578948</v>
      </c>
      <c r="AE8" s="56">
        <f>IFERROR(INDEX('Monthly VOL'!$N$2:$CG$65,MATCH($D8,'Monthly VOL'!$D$2:$D$65,0),MATCH(AE$1,'Monthly VOL'!$N$1:$CG$1,0))/INDEX('Monthly CUST'!$N$2:$CG$65,MATCH($D8,'Monthly CUST'!$D$2:$D$65,0),MATCH(AE$1,'Monthly CUST'!$N$1:$CG$1,0)),0)</f>
        <v>133.57600000000002</v>
      </c>
      <c r="AF8" s="56">
        <f>IFERROR(INDEX('Monthly VOL'!$N$2:$CG$65,MATCH($D8,'Monthly VOL'!$D$2:$D$65,0),MATCH(AF$1,'Monthly VOL'!$N$1:$CG$1,0))/INDEX('Monthly CUST'!$N$2:$CG$65,MATCH($D8,'Monthly CUST'!$D$2:$D$65,0),MATCH(AF$1,'Monthly CUST'!$N$1:$CG$1,0)),0)</f>
        <v>67.944499999999991</v>
      </c>
      <c r="AG8" s="56">
        <f>IFERROR(INDEX('Monthly VOL'!$N$2:$CG$65,MATCH($D8,'Monthly VOL'!$D$2:$D$65,0),MATCH(AG$1,'Monthly VOL'!$N$1:$CG$1,0))/INDEX('Monthly CUST'!$N$2:$CG$65,MATCH($D8,'Monthly CUST'!$D$2:$D$65,0),MATCH(AG$1,'Monthly CUST'!$N$1:$CG$1,0)),0)</f>
        <v>65.1935</v>
      </c>
      <c r="AH8" s="56">
        <f>IFERROR(INDEX('Monthly VOL'!$N$2:$CG$65,MATCH($D8,'Monthly VOL'!$D$2:$D$65,0),MATCH(AH$1,'Monthly VOL'!$N$1:$CG$1,0))/INDEX('Monthly CUST'!$N$2:$CG$65,MATCH($D8,'Monthly CUST'!$D$2:$D$65,0),MATCH(AH$1,'Monthly CUST'!$N$1:$CG$1,0)),0)</f>
        <v>64.994499999999988</v>
      </c>
      <c r="AI8" s="56">
        <f>IFERROR(INDEX('Monthly VOL'!$N$2:$CG$65,MATCH($D8,'Monthly VOL'!$D$2:$D$65,0),MATCH(AI$1,'Monthly VOL'!$N$1:$CG$1,0))/INDEX('Monthly CUST'!$N$2:$CG$65,MATCH($D8,'Monthly CUST'!$D$2:$D$65,0),MATCH(AI$1,'Monthly CUST'!$N$1:$CG$1,0)),0)</f>
        <v>69.358499999999992</v>
      </c>
      <c r="AJ8" s="56">
        <f>IFERROR(INDEX('Monthly VOL'!$N$2:$CG$65,MATCH($D8,'Monthly VOL'!$D$2:$D$65,0),MATCH(AJ$1,'Monthly VOL'!$N$1:$CG$1,0))/INDEX('Monthly CUST'!$N$2:$CG$65,MATCH($D8,'Monthly CUST'!$D$2:$D$65,0),MATCH(AJ$1,'Monthly CUST'!$N$1:$CG$1,0)),0)</f>
        <v>148.39238095238096</v>
      </c>
      <c r="AK8" s="56">
        <f>IFERROR(INDEX('Monthly VOL'!$N$2:$CG$65,MATCH($D8,'Monthly VOL'!$D$2:$D$65,0),MATCH(AK$1,'Monthly VOL'!$N$1:$CG$1,0))/INDEX('Monthly CUST'!$N$2:$CG$65,MATCH($D8,'Monthly CUST'!$D$2:$D$65,0),MATCH(AK$1,'Monthly CUST'!$N$1:$CG$1,0)),0)</f>
        <v>315.52285714285711</v>
      </c>
      <c r="AL8" s="56">
        <f>IFERROR(INDEX('Monthly VOL'!$N$2:$CG$65,MATCH($D8,'Monthly VOL'!$D$2:$D$65,0),MATCH(AL$1,'Monthly VOL'!$N$1:$CG$1,0))/INDEX('Monthly CUST'!$N$2:$CG$65,MATCH($D8,'Monthly CUST'!$D$2:$D$65,0),MATCH(AL$1,'Monthly CUST'!$N$1:$CG$1,0)),0)</f>
        <v>276.54571428571433</v>
      </c>
      <c r="AM8" s="56">
        <f>IFERROR(INDEX('Monthly VOL'!$N$2:$CG$65,MATCH($D8,'Monthly VOL'!$D$2:$D$65,0),MATCH(AM$1,'Monthly VOL'!$N$1:$CG$1,0))/INDEX('Monthly CUST'!$N$2:$CG$65,MATCH($D8,'Monthly CUST'!$D$2:$D$65,0),MATCH(AM$1,'Monthly CUST'!$N$1:$CG$1,0)),0)</f>
        <v>253.15952380952382</v>
      </c>
      <c r="AN8" s="56">
        <f>IFERROR(INDEX('Monthly VOL'!$N$2:$CG$65,MATCH($D8,'Monthly VOL'!$D$2:$D$65,0),MATCH(AN$1,'Monthly VOL'!$N$1:$CG$1,0))/INDEX('Monthly CUST'!$N$2:$CG$65,MATCH($D8,'Monthly CUST'!$D$2:$D$65,0),MATCH(AN$1,'Monthly CUST'!$N$1:$CG$1,0)),0)</f>
        <v>255.13285714285715</v>
      </c>
      <c r="AO8" s="56">
        <f>IFERROR(INDEX('Monthly VOL'!$N$2:$CG$65,MATCH($D8,'Monthly VOL'!$D$2:$D$65,0),MATCH(AO$1,'Monthly VOL'!$N$1:$CG$1,0))/INDEX('Monthly CUST'!$N$2:$CG$65,MATCH($D8,'Monthly CUST'!$D$2:$D$65,0),MATCH(AO$1,'Monthly CUST'!$N$1:$CG$1,0)),0)</f>
        <v>189.96285714285713</v>
      </c>
      <c r="AP8" s="56">
        <f>IFERROR(INDEX('Monthly VOL'!$N$2:$CG$65,MATCH($D8,'Monthly VOL'!$D$2:$D$65,0),MATCH(AP$1,'Monthly VOL'!$N$1:$CG$1,0))/INDEX('Monthly CUST'!$N$2:$CG$65,MATCH($D8,'Monthly CUST'!$D$2:$D$65,0),MATCH(AP$1,'Monthly CUST'!$N$1:$CG$1,0)),0)</f>
        <v>149.19095238095238</v>
      </c>
      <c r="AQ8" s="56">
        <f>IFERROR(INDEX('Monthly VOL'!$N$2:$CG$65,MATCH($D8,'Monthly VOL'!$D$2:$D$65,0),MATCH(AQ$1,'Monthly VOL'!$N$1:$CG$1,0))/INDEX('Monthly CUST'!$N$2:$CG$65,MATCH($D8,'Monthly CUST'!$D$2:$D$65,0),MATCH(AQ$1,'Monthly CUST'!$N$1:$CG$1,0)),0)</f>
        <v>79.050000000000011</v>
      </c>
      <c r="AR8" s="56">
        <f>IFERROR(INDEX('Monthly VOL'!$N$2:$CG$65,MATCH($D8,'Monthly VOL'!$D$2:$D$65,0),MATCH(AR$1,'Monthly VOL'!$N$1:$CG$1,0))/INDEX('Monthly CUST'!$N$2:$CG$65,MATCH($D8,'Monthly CUST'!$D$2:$D$65,0),MATCH(AR$1,'Monthly CUST'!$N$1:$CG$1,0)),0)</f>
        <v>57.098095238095233</v>
      </c>
      <c r="AS8" s="56">
        <f>IFERROR(INDEX('Monthly VOL'!$N$2:$CG$65,MATCH($D8,'Monthly VOL'!$D$2:$D$65,0),MATCH(AS$1,'Monthly VOL'!$N$1:$CG$1,0))/INDEX('Monthly CUST'!$N$2:$CG$65,MATCH($D8,'Monthly CUST'!$D$2:$D$65,0),MATCH(AS$1,'Monthly CUST'!$N$1:$CG$1,0)),0)</f>
        <v>57.868571428571428</v>
      </c>
      <c r="AT8" s="56">
        <f>IFERROR(INDEX('Monthly VOL'!$N$2:$CG$65,MATCH($D8,'Monthly VOL'!$D$2:$D$65,0),MATCH(AT$1,'Monthly VOL'!$N$1:$CG$1,0))/INDEX('Monthly CUST'!$N$2:$CG$65,MATCH($D8,'Monthly CUST'!$D$2:$D$65,0),MATCH(AT$1,'Monthly CUST'!$N$1:$CG$1,0)),0)</f>
        <v>62.827619047619052</v>
      </c>
      <c r="AU8" s="56">
        <f>IFERROR(INDEX('Monthly VOL'!$N$2:$CG$65,MATCH($D8,'Monthly VOL'!$D$2:$D$65,0),MATCH(AU$1,'Monthly VOL'!$N$1:$CG$1,0))/INDEX('Monthly CUST'!$N$2:$CG$65,MATCH($D8,'Monthly CUST'!$D$2:$D$65,0),MATCH(AU$1,'Monthly CUST'!$N$1:$CG$1,0)),0)</f>
        <v>73.927727272727267</v>
      </c>
      <c r="AV8" s="56">
        <f>IFERROR(INDEX('Monthly VOL'!$N$2:$CG$65,MATCH($D8,'Monthly VOL'!$D$2:$D$65,0),MATCH(AV$1,'Monthly VOL'!$N$1:$CG$1,0))/INDEX('Monthly CUST'!$N$2:$CG$65,MATCH($D8,'Monthly CUST'!$D$2:$D$65,0),MATCH(AV$1,'Monthly CUST'!$N$1:$CG$1,0)),0)</f>
        <v>156.34681818181818</v>
      </c>
      <c r="AW8" s="56">
        <f>IFERROR(INDEX('Monthly VOL'!$N$2:$CG$65,MATCH($D8,'Monthly VOL'!$D$2:$D$65,0),MATCH(AW$1,'Monthly VOL'!$N$1:$CG$1,0))/INDEX('Monthly CUST'!$N$2:$CG$65,MATCH($D8,'Monthly CUST'!$D$2:$D$65,0),MATCH(AW$1,'Monthly CUST'!$N$1:$CG$1,0)),0)</f>
        <v>285.34045454545452</v>
      </c>
      <c r="AX8" s="56">
        <f>IFERROR(INDEX('Monthly VOL'!$N$2:$CG$65,MATCH($D8,'Monthly VOL'!$D$2:$D$65,0),MATCH(AX$1,'Monthly VOL'!$N$1:$CG$1,0))/INDEX('Monthly CUST'!$N$2:$CG$65,MATCH($D8,'Monthly CUST'!$D$2:$D$65,0),MATCH(AX$1,'Monthly CUST'!$N$1:$CG$1,0)),0)</f>
        <v>324.17695652173916</v>
      </c>
      <c r="AY8" s="56">
        <f>IFERROR(INDEX('Monthly VOL'!$N$2:$CG$65,MATCH($D8,'Monthly VOL'!$D$2:$D$65,0),MATCH(AY$1,'Monthly VOL'!$N$1:$CG$1,0))/INDEX('Monthly CUST'!$N$2:$CG$65,MATCH($D8,'Monthly CUST'!$D$2:$D$65,0),MATCH(AY$1,'Monthly CUST'!$N$1:$CG$1,0)),0)</f>
        <v>292.3773913043479</v>
      </c>
      <c r="AZ8" s="56">
        <f>IFERROR(INDEX('Monthly VOL'!$N$2:$CG$65,MATCH($D8,'Monthly VOL'!$D$2:$D$65,0),MATCH(AZ$1,'Monthly VOL'!$N$1:$CG$1,0))/INDEX('Monthly CUST'!$N$2:$CG$65,MATCH($D8,'Monthly CUST'!$D$2:$D$65,0),MATCH(AZ$1,'Monthly CUST'!$N$1:$CG$1,0)),0)</f>
        <v>225.13304347826087</v>
      </c>
      <c r="BA8" s="56">
        <f>IFERROR(INDEX('Monthly VOL'!$N$2:$CG$65,MATCH($D8,'Monthly VOL'!$D$2:$D$65,0),MATCH(BA$1,'Monthly VOL'!$N$1:$CG$1,0))/INDEX('Monthly CUST'!$N$2:$CG$65,MATCH($D8,'Monthly CUST'!$D$2:$D$65,0),MATCH(BA$1,'Monthly CUST'!$N$1:$CG$1,0)),0)</f>
        <v>191.48434782608692</v>
      </c>
      <c r="BB8" s="56">
        <f>IFERROR(INDEX('Monthly VOL'!$N$2:$CG$65,MATCH($D8,'Monthly VOL'!$D$2:$D$65,0),MATCH(BB$1,'Monthly VOL'!$N$1:$CG$1,0))/INDEX('Monthly CUST'!$N$2:$CG$65,MATCH($D8,'Monthly CUST'!$D$2:$D$65,0),MATCH(BB$1,'Monthly CUST'!$N$1:$CG$1,0)),0)</f>
        <v>134.90826086956523</v>
      </c>
      <c r="BC8" s="56">
        <f>IFERROR(INDEX('Monthly VOL'!$N$2:$CG$65,MATCH($D8,'Monthly VOL'!$D$2:$D$65,0),MATCH(BC$1,'Monthly VOL'!$N$1:$CG$1,0))/INDEX('Monthly CUST'!$N$2:$CG$65,MATCH($D8,'Monthly CUST'!$D$2:$D$65,0),MATCH(BC$1,'Monthly CUST'!$N$1:$CG$1,0)),0)</f>
        <v>75.487391304347824</v>
      </c>
      <c r="BD8" s="56">
        <f>IFERROR(INDEX('Monthly VOL'!$N$2:$CG$65,MATCH($D8,'Monthly VOL'!$D$2:$D$65,0),MATCH(BD$1,'Monthly VOL'!$N$1:$CG$1,0))/INDEX('Monthly CUST'!$N$2:$CG$65,MATCH($D8,'Monthly CUST'!$D$2:$D$65,0),MATCH(BD$1,'Monthly CUST'!$N$1:$CG$1,0)),0)</f>
        <v>60.732173913043475</v>
      </c>
      <c r="BE8" s="56">
        <f>IFERROR(INDEX('Monthly VOL'!$N$2:$CG$65,MATCH($D8,'Monthly VOL'!$D$2:$D$65,0),MATCH(BE$1,'Monthly VOL'!$N$1:$CG$1,0))/INDEX('Monthly CUST'!$N$2:$CG$65,MATCH($D8,'Monthly CUST'!$D$2:$D$65,0),MATCH(BE$1,'Monthly CUST'!$N$1:$CG$1,0)),0)</f>
        <v>50.892173913043479</v>
      </c>
      <c r="BF8" s="56">
        <f>IFERROR(INDEX('Monthly VOL'!$N$2:$CG$65,MATCH($D8,'Monthly VOL'!$D$2:$D$65,0),MATCH(BF$1,'Monthly VOL'!$N$1:$CG$1,0))/INDEX('Monthly CUST'!$N$2:$CG$65,MATCH($D8,'Monthly CUST'!$D$2:$D$65,0),MATCH(BF$1,'Monthly CUST'!$N$1:$CG$1,0)),0)</f>
        <v>61.125652173913046</v>
      </c>
      <c r="BG8" s="56">
        <f>IFERROR(INDEX('Monthly VOL'!$N$2:$CG$65,MATCH($D8,'Monthly VOL'!$D$2:$D$65,0),MATCH(BG$1,'Monthly VOL'!$N$1:$CG$1,0))/INDEX('Monthly CUST'!$N$2:$CG$65,MATCH($D8,'Monthly CUST'!$D$2:$D$65,0),MATCH(BG$1,'Monthly CUST'!$N$1:$CG$1,0)),0)</f>
        <v>81.402173913043484</v>
      </c>
      <c r="BH8" s="56">
        <f>IFERROR(INDEX('Monthly VOL'!$N$2:$CG$65,MATCH($D8,'Monthly VOL'!$D$2:$D$65,0),MATCH(BH$1,'Monthly VOL'!$N$1:$CG$1,0))/INDEX('Monthly CUST'!$N$2:$CG$65,MATCH($D8,'Monthly CUST'!$D$2:$D$65,0),MATCH(BH$1,'Monthly CUST'!$N$1:$CG$1,0)),0)</f>
        <v>171.58869565217393</v>
      </c>
      <c r="BI8" s="56">
        <f>IFERROR(INDEX('Monthly VOL'!$N$2:$CG$65,MATCH($D8,'Monthly VOL'!$D$2:$D$65,0),MATCH(BI$1,'Monthly VOL'!$N$1:$CG$1,0))/INDEX('Monthly CUST'!$N$2:$CG$65,MATCH($D8,'Monthly CUST'!$D$2:$D$65,0),MATCH(BI$1,'Monthly CUST'!$N$1:$CG$1,0)),0)</f>
        <v>263.14173913043481</v>
      </c>
      <c r="BJ8" s="56">
        <f>IFERROR(INDEX('Monthly VOL'!$N$2:$CG$65,MATCH($D8,'Monthly VOL'!$D$2:$D$65,0),MATCH(BJ$1,'Monthly VOL'!$N$1:$CG$1,0))/INDEX('Monthly CUST'!$N$2:$CG$65,MATCH($D8,'Monthly CUST'!$D$2:$D$65,0),MATCH(BJ$1,'Monthly CUST'!$N$1:$CG$1,0)),0)</f>
        <v>322.11422119045056</v>
      </c>
      <c r="BK8" s="56">
        <f>IFERROR(INDEX('Monthly VOL'!$N$2:$CG$65,MATCH($D8,'Monthly VOL'!$D$2:$D$65,0),MATCH(BK$1,'Monthly VOL'!$N$1:$CG$1,0))/INDEX('Monthly CUST'!$N$2:$CG$65,MATCH($D8,'Monthly CUST'!$D$2:$D$65,0),MATCH(BK$1,'Monthly CUST'!$N$1:$CG$1,0)),0)</f>
        <v>290.51699634727134</v>
      </c>
      <c r="BL8" s="56">
        <f>IFERROR(INDEX('Monthly VOL'!$N$2:$CG$65,MATCH($D8,'Monthly VOL'!$D$2:$D$65,0),MATCH(BL$1,'Monthly VOL'!$N$1:$CG$1,0))/INDEX('Monthly CUST'!$N$2:$CG$65,MATCH($D8,'Monthly CUST'!$D$2:$D$65,0),MATCH(BL$1,'Monthly CUST'!$N$1:$CG$1,0)),0)</f>
        <v>223.7005237581493</v>
      </c>
      <c r="BM8" s="56">
        <f>IFERROR(INDEX('Monthly VOL'!$N$2:$CG$65,MATCH($D8,'Monthly VOL'!$D$2:$D$65,0),MATCH(BM$1,'Monthly VOL'!$N$1:$CG$1,0))/INDEX('Monthly CUST'!$N$2:$CG$65,MATCH($D8,'Monthly CUST'!$D$2:$D$65,0),MATCH(BM$1,'Monthly CUST'!$N$1:$CG$1,0)),0)</f>
        <v>190.26593448206771</v>
      </c>
      <c r="BN8" s="56">
        <f>IFERROR(INDEX('Monthly VOL'!$N$2:$CG$65,MATCH($D8,'Monthly VOL'!$D$2:$D$65,0),MATCH(BN$1,'Monthly VOL'!$N$1:$CG$1,0))/INDEX('Monthly CUST'!$N$2:$CG$65,MATCH($D8,'Monthly CUST'!$D$2:$D$65,0),MATCH(BN$1,'Monthly CUST'!$N$1:$CG$1,0)),0)</f>
        <v>134.04984070557776</v>
      </c>
      <c r="BO8" s="56">
        <f>IFERROR(INDEX('Monthly VOL'!$N$2:$CG$65,MATCH($D8,'Monthly VOL'!$D$2:$D$65,0),MATCH(BO$1,'Monthly VOL'!$N$1:$CG$1,0))/INDEX('Monthly CUST'!$N$2:$CG$65,MATCH($D8,'Monthly CUST'!$D$2:$D$65,0),MATCH(BO$1,'Monthly CUST'!$N$1:$CG$1,0)),0)</f>
        <v>75.007065648937328</v>
      </c>
      <c r="BP8" s="56">
        <f>IFERROR(INDEX('Monthly VOL'!$N$2:$CG$65,MATCH($D8,'Monthly VOL'!$D$2:$D$65,0),MATCH(BP$1,'Monthly VOL'!$N$1:$CG$1,0))/INDEX('Monthly CUST'!$N$2:$CG$65,MATCH($D8,'Monthly CUST'!$D$2:$D$65,0),MATCH(BP$1,'Monthly CUST'!$N$1:$CG$1,0)),0)</f>
        <v>60.345735585592529</v>
      </c>
      <c r="BQ8" s="56">
        <f>IFERROR(INDEX('Monthly VOL'!$N$2:$CG$65,MATCH($D8,'Monthly VOL'!$D$2:$D$65,0),MATCH(BQ$1,'Monthly VOL'!$N$1:$CG$1,0))/INDEX('Monthly CUST'!$N$2:$CG$65,MATCH($D8,'Monthly CUST'!$D$2:$D$65,0),MATCH(BQ$1,'Monthly CUST'!$N$1:$CG$1,0)),0)</f>
        <v>50.568347425365666</v>
      </c>
      <c r="BR8" s="56">
        <f>IFERROR(INDEX('Monthly VOL'!$N$2:$CG$65,MATCH($D8,'Monthly VOL'!$D$2:$D$65,0),MATCH(BR$1,'Monthly VOL'!$N$1:$CG$1,0))/INDEX('Monthly CUST'!$N$2:$CG$65,MATCH($D8,'Monthly CUST'!$D$2:$D$65,0),MATCH(BR$1,'Monthly CUST'!$N$1:$CG$1,0)),0)</f>
        <v>60.736710147496268</v>
      </c>
      <c r="BS8" s="56">
        <f>IFERROR(INDEX('Monthly VOL'!$N$2:$CG$65,MATCH($D8,'Monthly VOL'!$D$2:$D$65,0),MATCH(BS$1,'Monthly VOL'!$N$1:$CG$1,0))/INDEX('Monthly CUST'!$N$2:$CG$65,MATCH($D8,'Monthly CUST'!$D$2:$D$65,0),MATCH(BS$1,'Monthly CUST'!$N$1:$CG$1,0)),0)</f>
        <v>80.884212544117887</v>
      </c>
      <c r="BT8" s="56">
        <f>IFERROR(INDEX('Monthly VOL'!$N$2:$CG$65,MATCH($D8,'Monthly VOL'!$D$2:$D$65,0),MATCH(BT$1,'Monthly VOL'!$N$1:$CG$1,0))/INDEX('Monthly CUST'!$N$2:$CG$65,MATCH($D8,'Monthly CUST'!$D$2:$D$65,0),MATCH(BT$1,'Monthly CUST'!$N$1:$CG$1,0)),0)</f>
        <v>170.49687818072533</v>
      </c>
      <c r="BU8" s="56">
        <f>IFERROR(INDEX('Monthly VOL'!$N$2:$CG$65,MATCH($D8,'Monthly VOL'!$D$2:$D$65,0),MATCH(BU$1,'Monthly VOL'!$N$1:$CG$1,0))/INDEX('Monthly CUST'!$N$2:$CG$65,MATCH($D8,'Monthly CUST'!$D$2:$D$65,0),MATCH(BU$1,'Monthly CUST'!$N$1:$CG$1,0)),0)</f>
        <v>261.46737038977858</v>
      </c>
      <c r="BV8" s="56">
        <f>IFERROR(INDEX('Monthly VOL'!$N$2:$CG$65,MATCH($D8,'Monthly VOL'!$D$2:$D$65,0),MATCH(BV$1,'Monthly VOL'!$N$1:$CG$1,0))/INDEX('Monthly CUST'!$N$2:$CG$65,MATCH($D8,'Monthly CUST'!$D$2:$D$65,0),MATCH(BV$1,'Monthly CUST'!$N$1:$CG$1,0)),0)</f>
        <v>320.06461102725717</v>
      </c>
      <c r="BW8" s="56">
        <f>IFERROR(INDEX('Monthly VOL'!$N$2:$CG$65,MATCH($D8,'Monthly VOL'!$D$2:$D$65,0),MATCH(BW$1,'Monthly VOL'!$N$1:$CG$1,0))/INDEX('Monthly CUST'!$N$2:$CG$65,MATCH($D8,'Monthly CUST'!$D$2:$D$65,0),MATCH(BW$1,'Monthly CUST'!$N$1:$CG$1,0)),0)</f>
        <v>288.66843906813858</v>
      </c>
      <c r="BX8" s="56">
        <f>IFERROR(INDEX('Monthly VOL'!$N$2:$CG$65,MATCH($D8,'Monthly VOL'!$D$2:$D$65,0),MATCH(BX$1,'Monthly VOL'!$N$1:$CG$1,0))/INDEX('Monthly CUST'!$N$2:$CG$65,MATCH($D8,'Monthly CUST'!$D$2:$D$65,0),MATCH(BX$1,'Monthly CUST'!$N$1:$CG$1,0)),0)</f>
        <v>222.27711914933724</v>
      </c>
      <c r="BY8" s="56">
        <f>IFERROR(INDEX('Monthly VOL'!$N$2:$CG$65,MATCH($D8,'Monthly VOL'!$D$2:$D$65,0),MATCH(BY$1,'Monthly VOL'!$N$1:$CG$1,0))/INDEX('Monthly CUST'!$N$2:$CG$65,MATCH($D8,'Monthly CUST'!$D$2:$D$65,0),MATCH(BY$1,'Monthly CUST'!$N$1:$CG$1,0)),0)</f>
        <v>189.0552738922226</v>
      </c>
      <c r="BZ8" s="56">
        <f>IFERROR(INDEX('Monthly VOL'!$N$2:$CG$65,MATCH($D8,'Monthly VOL'!$D$2:$D$65,0),MATCH(BZ$1,'Monthly VOL'!$N$1:$CG$1,0))/INDEX('Monthly CUST'!$N$2:$CG$65,MATCH($D8,'Monthly CUST'!$D$2:$D$65,0),MATCH(BZ$1,'Monthly CUST'!$N$1:$CG$1,0)),0)</f>
        <v>133.19688266209494</v>
      </c>
      <c r="CA8" s="56">
        <f>IFERROR(INDEX('Monthly VOL'!$N$2:$CG$65,MATCH($D8,'Monthly VOL'!$D$2:$D$65,0),MATCH(CA$1,'Monthly VOL'!$N$1:$CG$1,0))/INDEX('Monthly CUST'!$N$2:$CG$65,MATCH($D8,'Monthly CUST'!$D$2:$D$65,0),MATCH(CA$1,'Monthly CUST'!$N$1:$CG$1,0)),0)</f>
        <v>74.529796301756036</v>
      </c>
      <c r="CB8" s="56">
        <f>IFERROR(INDEX('Monthly VOL'!$N$2:$CG$65,MATCH($D8,'Monthly VOL'!$D$2:$D$65,0),MATCH(CB$1,'Monthly VOL'!$N$1:$CG$1,0))/INDEX('Monthly CUST'!$N$2:$CG$65,MATCH($D8,'Monthly CUST'!$D$2:$D$65,0),MATCH(CB$1,'Monthly CUST'!$N$1:$CG$1,0)),0)</f>
        <v>59.961756162068468</v>
      </c>
      <c r="CC8" s="56">
        <f>IFERROR(INDEX('Monthly VOL'!$N$2:$CG$65,MATCH($D8,'Monthly VOL'!$D$2:$D$65,0),MATCH(CC$1,'Monthly VOL'!$N$1:$CG$1,0))/INDEX('Monthly CUST'!$N$2:$CG$65,MATCH($D8,'Monthly CUST'!$D$2:$D$65,0),MATCH(CC$1,'Monthly CUST'!$N$1:$CG$1,0)),0)</f>
        <v>50.246581442988742</v>
      </c>
      <c r="CD8" s="56">
        <f>IFERROR(INDEX('Monthly VOL'!$N$2:$CG$65,MATCH($D8,'Monthly VOL'!$D$2:$D$65,0),MATCH(CD$1,'Monthly VOL'!$N$1:$CG$1,0))/INDEX('Monthly CUST'!$N$2:$CG$65,MATCH($D8,'Monthly CUST'!$D$2:$D$65,0),MATCH(CD$1,'Monthly CUST'!$N$1:$CG$1,0)),0)</f>
        <v>60.350242956022484</v>
      </c>
      <c r="CE8" s="56">
        <f>IFERROR(INDEX('Monthly VOL'!$N$2:$CG$65,MATCH($D8,'Monthly VOL'!$D$2:$D$65,0),MATCH(CE$1,'Monthly VOL'!$N$1:$CG$1,0))/INDEX('Monthly CUST'!$N$2:$CG$65,MATCH($D8,'Monthly CUST'!$D$2:$D$65,0),MATCH(CE$1,'Monthly CUST'!$N$1:$CG$1,0)),0)</f>
        <v>80.369546959159749</v>
      </c>
      <c r="CF8" s="56">
        <f>IFERROR(INDEX('Monthly VOL'!$N$2:$CG$65,MATCH($D8,'Monthly VOL'!$D$2:$D$65,0),MATCH(CF$1,'Monthly VOL'!$N$1:$CG$1,0))/INDEX('Monthly CUST'!$N$2:$CG$65,MATCH($D8,'Monthly CUST'!$D$2:$D$65,0),MATCH(CF$1,'Monthly CUST'!$N$1:$CG$1,0)),0)</f>
        <v>169.41200793494582</v>
      </c>
      <c r="CG8" s="56">
        <f>IFERROR(INDEX('Monthly VOL'!$N$2:$CG$65,MATCH($D8,'Monthly VOL'!$D$2:$D$65,0),MATCH(CG$1,'Monthly VOL'!$N$1:$CG$1,0))/INDEX('Monthly CUST'!$N$2:$CG$65,MATCH($D8,'Monthly CUST'!$D$2:$D$65,0),MATCH(CG$1,'Monthly CUST'!$N$1:$CG$1,0)),0)</f>
        <v>259.8036556437678</v>
      </c>
      <c r="CH8" s="264"/>
      <c r="CI8" s="264"/>
      <c r="CJ8" s="264"/>
      <c r="CM8" s="569">
        <f t="shared" si="0"/>
        <v>325.65239026915117</v>
      </c>
      <c r="CN8" s="569">
        <f t="shared" si="1"/>
        <v>288.65441030111515</v>
      </c>
      <c r="CO8" s="569">
        <f t="shared" si="2"/>
        <v>230.83845810177618</v>
      </c>
      <c r="CP8" s="569">
        <f t="shared" si="3"/>
        <v>201.25643674403398</v>
      </c>
      <c r="CQ8" s="569">
        <f t="shared" si="4"/>
        <v>149.67657985543568</v>
      </c>
      <c r="CR8" s="569">
        <f t="shared" si="5"/>
        <v>96.037797101449272</v>
      </c>
      <c r="CS8" s="569">
        <f t="shared" si="6"/>
        <v>61.924923050379569</v>
      </c>
      <c r="CT8" s="569">
        <f t="shared" si="7"/>
        <v>57.984748447204971</v>
      </c>
      <c r="CU8" s="569">
        <f t="shared" si="8"/>
        <v>62.982590407177362</v>
      </c>
      <c r="CV8" s="569">
        <f t="shared" si="9"/>
        <v>74.896133728590257</v>
      </c>
      <c r="CW8" s="569">
        <f t="shared" si="10"/>
        <v>158.77596492879101</v>
      </c>
      <c r="CX8" s="569">
        <f t="shared" si="11"/>
        <v>288.00168360624883</v>
      </c>
      <c r="CY8" s="569">
        <f t="shared" si="12"/>
        <v>325.65239026915117</v>
      </c>
      <c r="CZ8" s="569">
        <f t="shared" si="13"/>
        <v>288.65441030111515</v>
      </c>
      <c r="DA8" s="569">
        <f t="shared" si="14"/>
        <v>230.83845810177618</v>
      </c>
      <c r="DB8" s="569">
        <f t="shared" si="15"/>
        <v>201.25643674403398</v>
      </c>
      <c r="DC8" s="569">
        <f t="shared" si="16"/>
        <v>149.67657985543568</v>
      </c>
      <c r="DD8" s="569">
        <f t="shared" si="17"/>
        <v>96.037797101449272</v>
      </c>
      <c r="DE8" s="569">
        <f t="shared" si="18"/>
        <v>61.924923050379569</v>
      </c>
      <c r="DF8" s="569">
        <f t="shared" si="19"/>
        <v>57.984748447204971</v>
      </c>
      <c r="DG8" s="569">
        <f t="shared" si="20"/>
        <v>62.982590407177362</v>
      </c>
      <c r="DH8" s="569">
        <f t="shared" si="21"/>
        <v>74.896133728590257</v>
      </c>
      <c r="DI8" s="569">
        <f t="shared" si="22"/>
        <v>158.77596492879101</v>
      </c>
      <c r="DJ8" s="569">
        <f t="shared" si="23"/>
        <v>288.00168360624883</v>
      </c>
    </row>
    <row r="9" spans="1:114" s="261" customFormat="1">
      <c r="A9" s="55" t="s">
        <v>996</v>
      </c>
      <c r="B9" s="55" t="s">
        <v>993</v>
      </c>
      <c r="C9" s="55" t="s">
        <v>1245</v>
      </c>
      <c r="D9" s="55" t="s">
        <v>97</v>
      </c>
      <c r="E9" s="55" t="str">
        <f>VLOOKUP(D9,'Input 14_Ref Table'!C:D,2,FALSE)</f>
        <v>FMCT1</v>
      </c>
      <c r="F9" s="172" t="s">
        <v>1286</v>
      </c>
      <c r="G9" s="55" t="str">
        <f>VLOOKUP(D9,'Input 14_Ref Table'!C:I,7,FALSE)</f>
        <v>FMCT1</v>
      </c>
      <c r="H9" s="55" t="str">
        <f>VLOOKUP(D9,'Input 14_Ref Table'!C:K,8,FALSE)</f>
        <v>GS1_FortMeade</v>
      </c>
      <c r="I9" s="55" t="e">
        <f>INDEX(#REF!,MATCH(D9,#REF!,0))</f>
        <v>#REF!</v>
      </c>
      <c r="J9" s="261" t="str">
        <f>INDEX('Master '!$AD$2:AD$65,MATCH(D9,'Master '!$D$2:$D$65,0))</f>
        <v>UPC Growth Rate</v>
      </c>
      <c r="K9" s="567">
        <f>INDEX('Master '!$N$2:N$65,MATCH(D9,'Master '!$D$2:$D$65,0))</f>
        <v>-2.7622859351881829E-2</v>
      </c>
      <c r="L9" s="290">
        <f>INDEX('Master '!$S$2:S$65,MATCH(D9,'Master '!$D$2:$D$65,0))</f>
        <v>-6.3629918468627502E-3</v>
      </c>
      <c r="M9" s="1">
        <f>INDEX('Master '!$W$2:W$65,MATCH(D9,'Master '!$D$2:$D$65,0))</f>
        <v>2803.05</v>
      </c>
      <c r="N9" s="56">
        <f>IFERROR(INDEX('Monthly VOL'!$N$2:$CG$65,MATCH($D9,'Monthly VOL'!$D$2:$D$65,0),MATCH(N$1,'Monthly VOL'!$N$1:$CG$1,0))/INDEX('Monthly CUST'!$N$2:$CG$65,MATCH($D9,'Monthly CUST'!$D$2:$D$65,0),MATCH(N$1,'Monthly CUST'!$N$1:$CG$1,0)),0)</f>
        <v>329.96857142857141</v>
      </c>
      <c r="O9" s="56">
        <f>IFERROR(INDEX('Monthly VOL'!$N$2:$CG$65,MATCH($D9,'Monthly VOL'!$D$2:$D$65,0),MATCH(O$1,'Monthly VOL'!$N$1:$CG$1,0))/INDEX('Monthly CUST'!$N$2:$CG$65,MATCH($D9,'Monthly CUST'!$D$2:$D$65,0),MATCH(O$1,'Monthly CUST'!$N$1:$CG$1,0)),0)</f>
        <v>334.34142857142854</v>
      </c>
      <c r="P9" s="56">
        <f>IFERROR(INDEX('Monthly VOL'!$N$2:$CG$65,MATCH($D9,'Monthly VOL'!$D$2:$D$65,0),MATCH(P$1,'Monthly VOL'!$N$1:$CG$1,0))/INDEX('Monthly CUST'!$N$2:$CG$65,MATCH($D9,'Monthly CUST'!$D$2:$D$65,0),MATCH(P$1,'Monthly CUST'!$N$1:$CG$1,0)),0)</f>
        <v>310.24571428571426</v>
      </c>
      <c r="Q9" s="56">
        <f>IFERROR(INDEX('Monthly VOL'!$N$2:$CG$65,MATCH($D9,'Monthly VOL'!$D$2:$D$65,0),MATCH(Q$1,'Monthly VOL'!$N$1:$CG$1,0))/INDEX('Monthly CUST'!$N$2:$CG$65,MATCH($D9,'Monthly CUST'!$D$2:$D$65,0),MATCH(Q$1,'Monthly CUST'!$N$1:$CG$1,0)),0)</f>
        <v>318.54714285714283</v>
      </c>
      <c r="R9" s="56">
        <f>IFERROR(INDEX('Monthly VOL'!$N$2:$CG$65,MATCH($D9,'Monthly VOL'!$D$2:$D$65,0),MATCH(R$1,'Monthly VOL'!$N$1:$CG$1,0))/INDEX('Monthly CUST'!$N$2:$CG$65,MATCH($D9,'Monthly CUST'!$D$2:$D$65,0),MATCH(R$1,'Monthly CUST'!$N$1:$CG$1,0)),0)</f>
        <v>319.00857142857143</v>
      </c>
      <c r="S9" s="56">
        <f>IFERROR(INDEX('Monthly VOL'!$N$2:$CG$65,MATCH($D9,'Monthly VOL'!$D$2:$D$65,0),MATCH(S$1,'Monthly VOL'!$N$1:$CG$1,0))/INDEX('Monthly CUST'!$N$2:$CG$65,MATCH($D9,'Monthly CUST'!$D$2:$D$65,0),MATCH(S$1,'Monthly CUST'!$N$1:$CG$1,0)),0)</f>
        <v>298.86857142857144</v>
      </c>
      <c r="T9" s="56">
        <f>IFERROR(INDEX('Monthly VOL'!$N$2:$CG$65,MATCH($D9,'Monthly VOL'!$D$2:$D$65,0),MATCH(T$1,'Monthly VOL'!$N$1:$CG$1,0))/INDEX('Monthly CUST'!$N$2:$CG$65,MATCH($D9,'Monthly CUST'!$D$2:$D$65,0),MATCH(T$1,'Monthly CUST'!$N$1:$CG$1,0)),0)</f>
        <v>232.52</v>
      </c>
      <c r="U9" s="56">
        <f>IFERROR(INDEX('Monthly VOL'!$N$2:$CG$65,MATCH($D9,'Monthly VOL'!$D$2:$D$65,0),MATCH(U$1,'Monthly VOL'!$N$1:$CG$1,0))/INDEX('Monthly CUST'!$N$2:$CG$65,MATCH($D9,'Monthly CUST'!$D$2:$D$65,0),MATCH(U$1,'Monthly CUST'!$N$1:$CG$1,0)),0)</f>
        <v>275.81571428571431</v>
      </c>
      <c r="V9" s="56">
        <f>IFERROR(INDEX('Monthly VOL'!$N$2:$CG$65,MATCH($D9,'Monthly VOL'!$D$2:$D$65,0),MATCH(V$1,'Monthly VOL'!$N$1:$CG$1,0))/INDEX('Monthly CUST'!$N$2:$CG$65,MATCH($D9,'Monthly CUST'!$D$2:$D$65,0),MATCH(V$1,'Monthly CUST'!$N$1:$CG$1,0)),0)</f>
        <v>313.84142857142859</v>
      </c>
      <c r="W9" s="56">
        <f>IFERROR(INDEX('Monthly VOL'!$N$2:$CG$65,MATCH($D9,'Monthly VOL'!$D$2:$D$65,0),MATCH(W$1,'Monthly VOL'!$N$1:$CG$1,0))/INDEX('Monthly CUST'!$N$2:$CG$65,MATCH($D9,'Monthly CUST'!$D$2:$D$65,0),MATCH(W$1,'Monthly CUST'!$N$1:$CG$1,0)),0)</f>
        <v>272.28000000000003</v>
      </c>
      <c r="X9" s="56">
        <f>IFERROR(INDEX('Monthly VOL'!$N$2:$CG$65,MATCH($D9,'Monthly VOL'!$D$2:$D$65,0),MATCH(X$1,'Monthly VOL'!$N$1:$CG$1,0))/INDEX('Monthly CUST'!$N$2:$CG$65,MATCH($D9,'Monthly CUST'!$D$2:$D$65,0),MATCH(X$1,'Monthly CUST'!$N$1:$CG$1,0)),0)</f>
        <v>335.7714285714286</v>
      </c>
      <c r="Y9" s="56">
        <f>IFERROR(INDEX('Monthly VOL'!$N$2:$CG$65,MATCH($D9,'Monthly VOL'!$D$2:$D$65,0),MATCH(Y$1,'Monthly VOL'!$N$1:$CG$1,0))/INDEX('Monthly CUST'!$N$2:$CG$65,MATCH($D9,'Monthly CUST'!$D$2:$D$65,0),MATCH(Y$1,'Monthly CUST'!$N$1:$CG$1,0)),0)</f>
        <v>328.35571428571433</v>
      </c>
      <c r="Z9" s="56">
        <f>IFERROR(INDEX('Monthly VOL'!$N$2:$CG$65,MATCH($D9,'Monthly VOL'!$D$2:$D$65,0),MATCH(Z$1,'Monthly VOL'!$N$1:$CG$1,0))/INDEX('Monthly CUST'!$N$2:$CG$65,MATCH($D9,'Monthly CUST'!$D$2:$D$65,0),MATCH(Z$1,'Monthly CUST'!$N$1:$CG$1,0)),0)</f>
        <v>360.35714285714283</v>
      </c>
      <c r="AA9" s="56">
        <f>IFERROR(INDEX('Monthly VOL'!$N$2:$CG$65,MATCH($D9,'Monthly VOL'!$D$2:$D$65,0),MATCH(AA$1,'Monthly VOL'!$N$1:$CG$1,0))/INDEX('Monthly CUST'!$N$2:$CG$65,MATCH($D9,'Monthly CUST'!$D$2:$D$65,0),MATCH(AA$1,'Monthly CUST'!$N$1:$CG$1,0)),0)</f>
        <v>318.86714285714288</v>
      </c>
      <c r="AB9" s="56">
        <f>IFERROR(INDEX('Monthly VOL'!$N$2:$CG$65,MATCH($D9,'Monthly VOL'!$D$2:$D$65,0),MATCH(AB$1,'Monthly VOL'!$N$1:$CG$1,0))/INDEX('Monthly CUST'!$N$2:$CG$65,MATCH($D9,'Monthly CUST'!$D$2:$D$65,0),MATCH(AB$1,'Monthly CUST'!$N$1:$CG$1,0)),0)</f>
        <v>350.05714285714282</v>
      </c>
      <c r="AC9" s="56">
        <f>IFERROR(INDEX('Monthly VOL'!$N$2:$CG$65,MATCH($D9,'Monthly VOL'!$D$2:$D$65,0),MATCH(AC$1,'Monthly VOL'!$N$1:$CG$1,0))/INDEX('Monthly CUST'!$N$2:$CG$65,MATCH($D9,'Monthly CUST'!$D$2:$D$65,0),MATCH(AC$1,'Monthly CUST'!$N$1:$CG$1,0)),0)</f>
        <v>312.43428571428569</v>
      </c>
      <c r="AD9" s="56">
        <f>IFERROR(INDEX('Monthly VOL'!$N$2:$CG$65,MATCH($D9,'Monthly VOL'!$D$2:$D$65,0),MATCH(AD$1,'Monthly VOL'!$N$1:$CG$1,0))/INDEX('Monthly CUST'!$N$2:$CG$65,MATCH($D9,'Monthly CUST'!$D$2:$D$65,0),MATCH(AD$1,'Monthly CUST'!$N$1:$CG$1,0)),0)</f>
        <v>339.76625000000001</v>
      </c>
      <c r="AE9" s="56">
        <f>IFERROR(INDEX('Monthly VOL'!$N$2:$CG$65,MATCH($D9,'Monthly VOL'!$D$2:$D$65,0),MATCH(AE$1,'Monthly VOL'!$N$1:$CG$1,0))/INDEX('Monthly CUST'!$N$2:$CG$65,MATCH($D9,'Monthly CUST'!$D$2:$D$65,0),MATCH(AE$1,'Monthly CUST'!$N$1:$CG$1,0)),0)</f>
        <v>344.01875000000001</v>
      </c>
      <c r="AF9" s="56">
        <f>IFERROR(INDEX('Monthly VOL'!$N$2:$CG$65,MATCH($D9,'Monthly VOL'!$D$2:$D$65,0),MATCH(AF$1,'Monthly VOL'!$N$1:$CG$1,0))/INDEX('Monthly CUST'!$N$2:$CG$65,MATCH($D9,'Monthly CUST'!$D$2:$D$65,0),MATCH(AF$1,'Monthly CUST'!$N$1:$CG$1,0)),0)</f>
        <v>290.49874999999997</v>
      </c>
      <c r="AG9" s="56">
        <f>IFERROR(INDEX('Monthly VOL'!$N$2:$CG$65,MATCH($D9,'Monthly VOL'!$D$2:$D$65,0),MATCH(AG$1,'Monthly VOL'!$N$1:$CG$1,0))/INDEX('Monthly CUST'!$N$2:$CG$65,MATCH($D9,'Monthly CUST'!$D$2:$D$65,0),MATCH(AG$1,'Monthly CUST'!$N$1:$CG$1,0)),0)</f>
        <v>337.72125</v>
      </c>
      <c r="AH9" s="56">
        <f>IFERROR(INDEX('Monthly VOL'!$N$2:$CG$65,MATCH($D9,'Monthly VOL'!$D$2:$D$65,0),MATCH(AH$1,'Monthly VOL'!$N$1:$CG$1,0))/INDEX('Monthly CUST'!$N$2:$CG$65,MATCH($D9,'Monthly CUST'!$D$2:$D$65,0),MATCH(AH$1,'Monthly CUST'!$N$1:$CG$1,0)),0)</f>
        <v>356.96375</v>
      </c>
      <c r="AI9" s="56">
        <f>IFERROR(INDEX('Monthly VOL'!$N$2:$CG$65,MATCH($D9,'Monthly VOL'!$D$2:$D$65,0),MATCH(AI$1,'Monthly VOL'!$N$1:$CG$1,0))/INDEX('Monthly CUST'!$N$2:$CG$65,MATCH($D9,'Monthly CUST'!$D$2:$D$65,0),MATCH(AI$1,'Monthly CUST'!$N$1:$CG$1,0)),0)</f>
        <v>360.31625000000003</v>
      </c>
      <c r="AJ9" s="56">
        <f>IFERROR(INDEX('Monthly VOL'!$N$2:$CG$65,MATCH($D9,'Monthly VOL'!$D$2:$D$65,0),MATCH(AJ$1,'Monthly VOL'!$N$1:$CG$1,0))/INDEX('Monthly CUST'!$N$2:$CG$65,MATCH($D9,'Monthly CUST'!$D$2:$D$65,0),MATCH(AJ$1,'Monthly CUST'!$N$1:$CG$1,0)),0)</f>
        <v>354.80874999999997</v>
      </c>
      <c r="AK9" s="56">
        <f>IFERROR(INDEX('Monthly VOL'!$N$2:$CG$65,MATCH($D9,'Monthly VOL'!$D$2:$D$65,0),MATCH(AK$1,'Monthly VOL'!$N$1:$CG$1,0))/INDEX('Monthly CUST'!$N$2:$CG$65,MATCH($D9,'Monthly CUST'!$D$2:$D$65,0),MATCH(AK$1,'Monthly CUST'!$N$1:$CG$1,0)),0)</f>
        <v>359.17375000000004</v>
      </c>
      <c r="AL9" s="56">
        <f>IFERROR(INDEX('Monthly VOL'!$N$2:$CG$65,MATCH($D9,'Monthly VOL'!$D$2:$D$65,0),MATCH(AL$1,'Monthly VOL'!$N$1:$CG$1,0))/INDEX('Monthly CUST'!$N$2:$CG$65,MATCH($D9,'Monthly CUST'!$D$2:$D$65,0),MATCH(AL$1,'Monthly CUST'!$N$1:$CG$1,0)),0)</f>
        <v>379.07875000000007</v>
      </c>
      <c r="AM9" s="56">
        <f>IFERROR(INDEX('Monthly VOL'!$N$2:$CG$65,MATCH($D9,'Monthly VOL'!$D$2:$D$65,0),MATCH(AM$1,'Monthly VOL'!$N$1:$CG$1,0))/INDEX('Monthly CUST'!$N$2:$CG$65,MATCH($D9,'Monthly CUST'!$D$2:$D$65,0),MATCH(AM$1,'Monthly CUST'!$N$1:$CG$1,0)),0)</f>
        <v>361.49874999999997</v>
      </c>
      <c r="AN9" s="56">
        <f>IFERROR(INDEX('Monthly VOL'!$N$2:$CG$65,MATCH($D9,'Monthly VOL'!$D$2:$D$65,0),MATCH(AN$1,'Monthly VOL'!$N$1:$CG$1,0))/INDEX('Monthly CUST'!$N$2:$CG$65,MATCH($D9,'Monthly CUST'!$D$2:$D$65,0),MATCH(AN$1,'Monthly CUST'!$N$1:$CG$1,0)),0)</f>
        <v>351.44</v>
      </c>
      <c r="AO9" s="56">
        <f>IFERROR(INDEX('Monthly VOL'!$N$2:$CG$65,MATCH($D9,'Monthly VOL'!$D$2:$D$65,0),MATCH(AO$1,'Monthly VOL'!$N$1:$CG$1,0))/INDEX('Monthly CUST'!$N$2:$CG$65,MATCH($D9,'Monthly CUST'!$D$2:$D$65,0),MATCH(AO$1,'Monthly CUST'!$N$1:$CG$1,0)),0)</f>
        <v>288.86</v>
      </c>
      <c r="AP9" s="56">
        <f>IFERROR(INDEX('Monthly VOL'!$N$2:$CG$65,MATCH($D9,'Monthly VOL'!$D$2:$D$65,0),MATCH(AP$1,'Monthly VOL'!$N$1:$CG$1,0))/INDEX('Monthly CUST'!$N$2:$CG$65,MATCH($D9,'Monthly CUST'!$D$2:$D$65,0),MATCH(AP$1,'Monthly CUST'!$N$1:$CG$1,0)),0)</f>
        <v>249.11250000000001</v>
      </c>
      <c r="AQ9" s="56">
        <f>IFERROR(INDEX('Monthly VOL'!$N$2:$CG$65,MATCH($D9,'Monthly VOL'!$D$2:$D$65,0),MATCH(AQ$1,'Monthly VOL'!$N$1:$CG$1,0))/INDEX('Monthly CUST'!$N$2:$CG$65,MATCH($D9,'Monthly CUST'!$D$2:$D$65,0),MATCH(AQ$1,'Monthly CUST'!$N$1:$CG$1,0)),0)</f>
        <v>250.39250000000001</v>
      </c>
      <c r="AR9" s="56">
        <f>IFERROR(INDEX('Monthly VOL'!$N$2:$CG$65,MATCH($D9,'Monthly VOL'!$D$2:$D$65,0),MATCH(AR$1,'Monthly VOL'!$N$1:$CG$1,0))/INDEX('Monthly CUST'!$N$2:$CG$65,MATCH($D9,'Monthly CUST'!$D$2:$D$65,0),MATCH(AR$1,'Monthly CUST'!$N$1:$CG$1,0)),0)</f>
        <v>271.27000000000004</v>
      </c>
      <c r="AS9" s="56">
        <f>IFERROR(INDEX('Monthly VOL'!$N$2:$CG$65,MATCH($D9,'Monthly VOL'!$D$2:$D$65,0),MATCH(AS$1,'Monthly VOL'!$N$1:$CG$1,0))/INDEX('Monthly CUST'!$N$2:$CG$65,MATCH($D9,'Monthly CUST'!$D$2:$D$65,0),MATCH(AS$1,'Monthly CUST'!$N$1:$CG$1,0)),0)</f>
        <v>242.07875000000001</v>
      </c>
      <c r="AT9" s="56">
        <f>IFERROR(INDEX('Monthly VOL'!$N$2:$CG$65,MATCH($D9,'Monthly VOL'!$D$2:$D$65,0),MATCH(AT$1,'Monthly VOL'!$N$1:$CG$1,0))/INDEX('Monthly CUST'!$N$2:$CG$65,MATCH($D9,'Monthly CUST'!$D$2:$D$65,0),MATCH(AT$1,'Monthly CUST'!$N$1:$CG$1,0)),0)</f>
        <v>309.21249999999998</v>
      </c>
      <c r="AU9" s="56">
        <f>IFERROR(INDEX('Monthly VOL'!$N$2:$CG$65,MATCH($D9,'Monthly VOL'!$D$2:$D$65,0),MATCH(AU$1,'Monthly VOL'!$N$1:$CG$1,0))/INDEX('Monthly CUST'!$N$2:$CG$65,MATCH($D9,'Monthly CUST'!$D$2:$D$65,0),MATCH(AU$1,'Monthly CUST'!$N$1:$CG$1,0)),0)</f>
        <v>279.02250000000004</v>
      </c>
      <c r="AV9" s="56">
        <f>IFERROR(INDEX('Monthly VOL'!$N$2:$CG$65,MATCH($D9,'Monthly VOL'!$D$2:$D$65,0),MATCH(AV$1,'Monthly VOL'!$N$1:$CG$1,0))/INDEX('Monthly CUST'!$N$2:$CG$65,MATCH($D9,'Monthly CUST'!$D$2:$D$65,0),MATCH(AV$1,'Monthly CUST'!$N$1:$CG$1,0)),0)</f>
        <v>352.16249999999997</v>
      </c>
      <c r="AW9" s="56">
        <f>IFERROR(INDEX('Monthly VOL'!$N$2:$CG$65,MATCH($D9,'Monthly VOL'!$D$2:$D$65,0),MATCH(AW$1,'Monthly VOL'!$N$1:$CG$1,0))/INDEX('Monthly CUST'!$N$2:$CG$65,MATCH($D9,'Monthly CUST'!$D$2:$D$65,0),MATCH(AW$1,'Monthly CUST'!$N$1:$CG$1,0)),0)</f>
        <v>352.09375</v>
      </c>
      <c r="AX9" s="56">
        <f>IFERROR(INDEX('Monthly VOL'!$N$2:$CG$65,MATCH($D9,'Monthly VOL'!$D$2:$D$65,0),MATCH(AX$1,'Monthly VOL'!$N$1:$CG$1,0))/INDEX('Monthly CUST'!$N$2:$CG$65,MATCH($D9,'Monthly CUST'!$D$2:$D$65,0),MATCH(AX$1,'Monthly CUST'!$N$1:$CG$1,0)),0)</f>
        <v>293.10444444444443</v>
      </c>
      <c r="AY9" s="56">
        <f>IFERROR(INDEX('Monthly VOL'!$N$2:$CG$65,MATCH($D9,'Monthly VOL'!$D$2:$D$65,0),MATCH(AY$1,'Monthly VOL'!$N$1:$CG$1,0))/INDEX('Monthly CUST'!$N$2:$CG$65,MATCH($D9,'Monthly CUST'!$D$2:$D$65,0),MATCH(AY$1,'Monthly CUST'!$N$1:$CG$1,0)),0)</f>
        <v>310.87222222222221</v>
      </c>
      <c r="AZ9" s="56">
        <f>IFERROR(INDEX('Monthly VOL'!$N$2:$CG$65,MATCH($D9,'Monthly VOL'!$D$2:$D$65,0),MATCH(AZ$1,'Monthly VOL'!$N$1:$CG$1,0))/INDEX('Monthly CUST'!$N$2:$CG$65,MATCH($D9,'Monthly CUST'!$D$2:$D$65,0),MATCH(AZ$1,'Monthly CUST'!$N$1:$CG$1,0)),0)</f>
        <v>301.84444444444443</v>
      </c>
      <c r="BA9" s="56">
        <f>IFERROR(INDEX('Monthly VOL'!$N$2:$CG$65,MATCH($D9,'Monthly VOL'!$D$2:$D$65,0),MATCH(BA$1,'Monthly VOL'!$N$1:$CG$1,0))/INDEX('Monthly CUST'!$N$2:$CG$65,MATCH($D9,'Monthly CUST'!$D$2:$D$65,0),MATCH(BA$1,'Monthly CUST'!$N$1:$CG$1,0)),0)</f>
        <v>327.16666666666669</v>
      </c>
      <c r="BB9" s="56">
        <f>IFERROR(INDEX('Monthly VOL'!$N$2:$CG$65,MATCH($D9,'Monthly VOL'!$D$2:$D$65,0),MATCH(BB$1,'Monthly VOL'!$N$1:$CG$1,0))/INDEX('Monthly CUST'!$N$2:$CG$65,MATCH($D9,'Monthly CUST'!$D$2:$D$65,0),MATCH(BB$1,'Monthly CUST'!$N$1:$CG$1,0)),0)</f>
        <v>352.92666666666668</v>
      </c>
      <c r="BC9" s="56">
        <f>IFERROR(INDEX('Monthly VOL'!$N$2:$CG$65,MATCH($D9,'Monthly VOL'!$D$2:$D$65,0),MATCH(BC$1,'Monthly VOL'!$N$1:$CG$1,0))/INDEX('Monthly CUST'!$N$2:$CG$65,MATCH($D9,'Monthly CUST'!$D$2:$D$65,0),MATCH(BC$1,'Monthly CUST'!$N$1:$CG$1,0)),0)</f>
        <v>306.81888888888886</v>
      </c>
      <c r="BD9" s="56">
        <f>IFERROR(INDEX('Monthly VOL'!$N$2:$CG$65,MATCH($D9,'Monthly VOL'!$D$2:$D$65,0),MATCH(BD$1,'Monthly VOL'!$N$1:$CG$1,0))/INDEX('Monthly CUST'!$N$2:$CG$65,MATCH($D9,'Monthly CUST'!$D$2:$D$65,0),MATCH(BD$1,'Monthly CUST'!$N$1:$CG$1,0)),0)</f>
        <v>281.88666666666666</v>
      </c>
      <c r="BE9" s="56">
        <f>IFERROR(INDEX('Monthly VOL'!$N$2:$CG$65,MATCH($D9,'Monthly VOL'!$D$2:$D$65,0),MATCH(BE$1,'Monthly VOL'!$N$1:$CG$1,0))/INDEX('Monthly CUST'!$N$2:$CG$65,MATCH($D9,'Monthly CUST'!$D$2:$D$65,0),MATCH(BE$1,'Monthly CUST'!$N$1:$CG$1,0)),0)</f>
        <v>257.20666666666665</v>
      </c>
      <c r="BF9" s="56">
        <f>IFERROR(INDEX('Monthly VOL'!$N$2:$CG$65,MATCH($D9,'Monthly VOL'!$D$2:$D$65,0),MATCH(BF$1,'Monthly VOL'!$N$1:$CG$1,0))/INDEX('Monthly CUST'!$N$2:$CG$65,MATCH($D9,'Monthly CUST'!$D$2:$D$65,0),MATCH(BF$1,'Monthly CUST'!$N$1:$CG$1,0)),0)</f>
        <v>369.15777777777771</v>
      </c>
      <c r="BG9" s="56">
        <f>IFERROR(INDEX('Monthly VOL'!$N$2:$CG$65,MATCH($D9,'Monthly VOL'!$D$2:$D$65,0),MATCH(BG$1,'Monthly VOL'!$N$1:$CG$1,0))/INDEX('Monthly CUST'!$N$2:$CG$65,MATCH($D9,'Monthly CUST'!$D$2:$D$65,0),MATCH(BG$1,'Monthly CUST'!$N$1:$CG$1,0)),0)</f>
        <v>333.39111111111112</v>
      </c>
      <c r="BH9" s="56">
        <f>IFERROR(INDEX('Monthly VOL'!$N$2:$CG$65,MATCH($D9,'Monthly VOL'!$D$2:$D$65,0),MATCH(BH$1,'Monthly VOL'!$N$1:$CG$1,0))/INDEX('Monthly CUST'!$N$2:$CG$65,MATCH($D9,'Monthly CUST'!$D$2:$D$65,0),MATCH(BH$1,'Monthly CUST'!$N$1:$CG$1,0)),0)</f>
        <v>333.29777777777775</v>
      </c>
      <c r="BI9" s="56">
        <f>IFERROR(INDEX('Monthly VOL'!$N$2:$CG$65,MATCH($D9,'Monthly VOL'!$D$2:$D$65,0),MATCH(BI$1,'Monthly VOL'!$N$1:$CG$1,0))/INDEX('Monthly CUST'!$N$2:$CG$65,MATCH($D9,'Monthly CUST'!$D$2:$D$65,0),MATCH(BI$1,'Monthly CUST'!$N$1:$CG$1,0)),0)</f>
        <v>374.97777777777776</v>
      </c>
      <c r="BJ9" s="56">
        <f>IFERROR(INDEX('Monthly VOL'!$N$2:$CG$65,MATCH($D9,'Monthly VOL'!$D$2:$D$65,0),MATCH(BJ$1,'Monthly VOL'!$N$1:$CG$1,0))/INDEX('Monthly CUST'!$N$2:$CG$65,MATCH($D9,'Monthly CUST'!$D$2:$D$65,0),MATCH(BJ$1,'Monthly CUST'!$N$1:$CG$1,0)),0)</f>
        <v>291.23942325416522</v>
      </c>
      <c r="BK9" s="56">
        <f>IFERROR(INDEX('Monthly VOL'!$N$2:$CG$65,MATCH($D9,'Monthly VOL'!$D$2:$D$65,0),MATCH(BK$1,'Monthly VOL'!$N$1:$CG$1,0))/INDEX('Monthly CUST'!$N$2:$CG$65,MATCH($D9,'Monthly CUST'!$D$2:$D$65,0),MATCH(BK$1,'Monthly CUST'!$N$1:$CG$1,0)),0)</f>
        <v>308.89414480680608</v>
      </c>
      <c r="BL9" s="56">
        <f>IFERROR(INDEX('Monthly VOL'!$N$2:$CG$65,MATCH($D9,'Monthly VOL'!$D$2:$D$65,0),MATCH(BL$1,'Monthly VOL'!$N$1:$CG$1,0))/INDEX('Monthly CUST'!$N$2:$CG$65,MATCH($D9,'Monthly CUST'!$D$2:$D$65,0),MATCH(BL$1,'Monthly CUST'!$N$1:$CG$1,0)),0)</f>
        <v>299.92381070542365</v>
      </c>
      <c r="BM9" s="56">
        <f>IFERROR(INDEX('Monthly VOL'!$N$2:$CG$65,MATCH($D9,'Monthly VOL'!$D$2:$D$65,0),MATCH(BM$1,'Monthly VOL'!$N$1:$CG$1,0))/INDEX('Monthly CUST'!$N$2:$CG$65,MATCH($D9,'Monthly CUST'!$D$2:$D$65,0),MATCH(BM$1,'Monthly CUST'!$N$1:$CG$1,0)),0)</f>
        <v>325.08490783410144</v>
      </c>
      <c r="BN9" s="56">
        <f>IFERROR(INDEX('Monthly VOL'!$N$2:$CG$65,MATCH($D9,'Monthly VOL'!$D$2:$D$65,0),MATCH(BN$1,'Monthly VOL'!$N$1:$CG$1,0))/INDEX('Monthly CUST'!$N$2:$CG$65,MATCH($D9,'Monthly CUST'!$D$2:$D$65,0),MATCH(BN$1,'Monthly CUST'!$N$1:$CG$1,0)),0)</f>
        <v>350.68099716412621</v>
      </c>
      <c r="BO9" s="56">
        <f>IFERROR(INDEX('Monthly VOL'!$N$2:$CG$65,MATCH($D9,'Monthly VOL'!$D$2:$D$65,0),MATCH(BO$1,'Monthly VOL'!$N$1:$CG$1,0))/INDEX('Monthly CUST'!$N$2:$CG$65,MATCH($D9,'Monthly CUST'!$D$2:$D$65,0),MATCH(BO$1,'Monthly CUST'!$N$1:$CG$1,0)),0)</f>
        <v>304.86660280042537</v>
      </c>
      <c r="BP9" s="56">
        <f>IFERROR(INDEX('Monthly VOL'!$N$2:$CG$65,MATCH($D9,'Monthly VOL'!$D$2:$D$65,0),MATCH(BP$1,'Monthly VOL'!$N$1:$CG$1,0))/INDEX('Monthly CUST'!$N$2:$CG$65,MATCH($D9,'Monthly CUST'!$D$2:$D$65,0),MATCH(BP$1,'Monthly CUST'!$N$1:$CG$1,0)),0)</f>
        <v>280.09302410492734</v>
      </c>
      <c r="BQ9" s="56">
        <f>IFERROR(INDEX('Monthly VOL'!$N$2:$CG$65,MATCH($D9,'Monthly VOL'!$D$2:$D$65,0),MATCH(BQ$1,'Monthly VOL'!$N$1:$CG$1,0))/INDEX('Monthly CUST'!$N$2:$CG$65,MATCH($D9,'Monthly CUST'!$D$2:$D$65,0),MATCH(BQ$1,'Monthly CUST'!$N$1:$CG$1,0)),0)</f>
        <v>255.57006274370795</v>
      </c>
      <c r="BR9" s="56">
        <f>IFERROR(INDEX('Monthly VOL'!$N$2:$CG$65,MATCH($D9,'Monthly VOL'!$D$2:$D$65,0),MATCH(BR$1,'Monthly VOL'!$N$1:$CG$1,0))/INDEX('Monthly CUST'!$N$2:$CG$65,MATCH($D9,'Monthly CUST'!$D$2:$D$65,0),MATCH(BR$1,'Monthly CUST'!$N$1:$CG$1,0)),0)</f>
        <v>366.80882984757176</v>
      </c>
      <c r="BS9" s="56">
        <f>IFERROR(INDEX('Monthly VOL'!$N$2:$CG$65,MATCH($D9,'Monthly VOL'!$D$2:$D$65,0),MATCH(BS$1,'Monthly VOL'!$N$1:$CG$1,0))/INDEX('Monthly CUST'!$N$2:$CG$65,MATCH($D9,'Monthly CUST'!$D$2:$D$65,0),MATCH(BS$1,'Monthly CUST'!$N$1:$CG$1,0)),0)</f>
        <v>331.26974618929461</v>
      </c>
      <c r="BT9" s="56">
        <f>IFERROR(INDEX('Monthly VOL'!$N$2:$CG$65,MATCH($D9,'Monthly VOL'!$D$2:$D$65,0),MATCH(BT$1,'Monthly VOL'!$N$1:$CG$1,0))/INDEX('Monthly CUST'!$N$2:$CG$65,MATCH($D9,'Monthly CUST'!$D$2:$D$65,0),MATCH(BT$1,'Monthly CUST'!$N$1:$CG$1,0)),0)</f>
        <v>331.17700673520028</v>
      </c>
      <c r="BU9" s="56">
        <f>IFERROR(INDEX('Monthly VOL'!$N$2:$CG$65,MATCH($D9,'Monthly VOL'!$D$2:$D$65,0),MATCH(BU$1,'Monthly VOL'!$N$1:$CG$1,0))/INDEX('Monthly CUST'!$N$2:$CG$65,MATCH($D9,'Monthly CUST'!$D$2:$D$65,0),MATCH(BU$1,'Monthly CUST'!$N$1:$CG$1,0)),0)</f>
        <v>372.59179723502308</v>
      </c>
      <c r="BV9" s="56">
        <f>IFERROR(INDEX('Monthly VOL'!$N$2:$CG$65,MATCH($D9,'Monthly VOL'!$D$2:$D$65,0),MATCH(BV$1,'Monthly VOL'!$N$1:$CG$1,0))/INDEX('Monthly CUST'!$N$2:$CG$65,MATCH($D9,'Monthly CUST'!$D$2:$D$65,0),MATCH(BV$1,'Monthly CUST'!$N$1:$CG$1,0)),0)</f>
        <v>289.38626917851394</v>
      </c>
      <c r="BW9" s="56">
        <f>IFERROR(INDEX('Monthly VOL'!$N$2:$CG$65,MATCH($D9,'Monthly VOL'!$D$2:$D$65,0),MATCH(BW$1,'Monthly VOL'!$N$1:$CG$1,0))/INDEX('Monthly CUST'!$N$2:$CG$65,MATCH($D9,'Monthly CUST'!$D$2:$D$65,0),MATCH(BW$1,'Monthly CUST'!$N$1:$CG$1,0)),0)</f>
        <v>306.92865388185675</v>
      </c>
      <c r="BX9" s="56">
        <f>IFERROR(INDEX('Monthly VOL'!$N$2:$CG$65,MATCH($D9,'Monthly VOL'!$D$2:$D$65,0),MATCH(BX$1,'Monthly VOL'!$N$1:$CG$1,0))/INDEX('Monthly CUST'!$N$2:$CG$65,MATCH($D9,'Monthly CUST'!$D$2:$D$65,0),MATCH(BX$1,'Monthly CUST'!$N$1:$CG$1,0)),0)</f>
        <v>298.01539794322503</v>
      </c>
      <c r="BY9" s="56">
        <f>IFERROR(INDEX('Monthly VOL'!$N$2:$CG$65,MATCH($D9,'Monthly VOL'!$D$2:$D$65,0),MATCH(BY$1,'Monthly VOL'!$N$1:$CG$1,0))/INDEX('Monthly CUST'!$N$2:$CG$65,MATCH($D9,'Monthly CUST'!$D$2:$D$65,0),MATCH(BY$1,'Monthly CUST'!$N$1:$CG$1,0)),0)</f>
        <v>323.01639521601493</v>
      </c>
      <c r="BZ9" s="56">
        <f>IFERROR(INDEX('Monthly VOL'!$N$2:$CG$65,MATCH($D9,'Monthly VOL'!$D$2:$D$65,0),MATCH(BZ$1,'Monthly VOL'!$N$1:$CG$1,0))/INDEX('Monthly CUST'!$N$2:$CG$65,MATCH($D9,'Monthly CUST'!$D$2:$D$65,0),MATCH(BZ$1,'Monthly CUST'!$N$1:$CG$1,0)),0)</f>
        <v>348.44961683832116</v>
      </c>
      <c r="CA9" s="56">
        <f>IFERROR(INDEX('Monthly VOL'!$N$2:$CG$65,MATCH($D9,'Monthly VOL'!$D$2:$D$65,0),MATCH(CA$1,'Monthly VOL'!$N$1:$CG$1,0))/INDEX('Monthly CUST'!$N$2:$CG$65,MATCH($D9,'Monthly CUST'!$D$2:$D$65,0),MATCH(CA$1,'Monthly CUST'!$N$1:$CG$1,0)),0)</f>
        <v>302.92673909242552</v>
      </c>
      <c r="CB9" s="56">
        <f>IFERROR(INDEX('Monthly VOL'!$N$2:$CG$65,MATCH($D9,'Monthly VOL'!$D$2:$D$65,0),MATCH(CB$1,'Monthly VOL'!$N$1:$CG$1,0))/INDEX('Monthly CUST'!$N$2:$CG$65,MATCH($D9,'Monthly CUST'!$D$2:$D$65,0),MATCH(CB$1,'Monthly CUST'!$N$1:$CG$1,0)),0)</f>
        <v>278.31079447618458</v>
      </c>
      <c r="CC9" s="56">
        <f>IFERROR(INDEX('Monthly VOL'!$N$2:$CG$65,MATCH($D9,'Monthly VOL'!$D$2:$D$65,0),MATCH(CC$1,'Monthly VOL'!$N$1:$CG$1,0))/INDEX('Monthly CUST'!$N$2:$CG$65,MATCH($D9,'Monthly CUST'!$D$2:$D$65,0),MATCH(CC$1,'Monthly CUST'!$N$1:$CG$1,0)),0)</f>
        <v>253.94387251816755</v>
      </c>
      <c r="CD9" s="56">
        <f>IFERROR(INDEX('Monthly VOL'!$N$2:$CG$65,MATCH($D9,'Monthly VOL'!$D$2:$D$65,0),MATCH(CD$1,'Monthly VOL'!$N$1:$CG$1,0))/INDEX('Monthly CUST'!$N$2:$CG$65,MATCH($D9,'Monthly CUST'!$D$2:$D$65,0),MATCH(CD$1,'Monthly CUST'!$N$1:$CG$1,0)),0)</f>
        <v>364.47482825389437</v>
      </c>
      <c r="CE9" s="56">
        <f>IFERROR(INDEX('Monthly VOL'!$N$2:$CG$65,MATCH($D9,'Monthly VOL'!$D$2:$D$65,0),MATCH(CE$1,'Monthly VOL'!$N$1:$CG$1,0))/INDEX('Monthly CUST'!$N$2:$CG$65,MATCH($D9,'Monthly CUST'!$D$2:$D$65,0),MATCH(CE$1,'Monthly CUST'!$N$1:$CG$1,0)),0)</f>
        <v>329.16187949517985</v>
      </c>
      <c r="CF9" s="56">
        <f>IFERROR(INDEX('Monthly VOL'!$N$2:$CG$65,MATCH($D9,'Monthly VOL'!$D$2:$D$65,0),MATCH(CF$1,'Monthly VOL'!$N$1:$CG$1,0))/INDEX('Monthly CUST'!$N$2:$CG$65,MATCH($D9,'Monthly CUST'!$D$2:$D$65,0),MATCH(CF$1,'Monthly CUST'!$N$1:$CG$1,0)),0)</f>
        <v>329.06973014147582</v>
      </c>
      <c r="CG9" s="56">
        <f>IFERROR(INDEX('Monthly VOL'!$N$2:$CG$65,MATCH($D9,'Monthly VOL'!$D$2:$D$65,0),MATCH(CG$1,'Monthly VOL'!$N$1:$CG$1,0))/INDEX('Monthly CUST'!$N$2:$CG$65,MATCH($D9,'Monthly CUST'!$D$2:$D$65,0),MATCH(CG$1,'Monthly CUST'!$N$1:$CG$1,0)),0)</f>
        <v>370.2209986670087</v>
      </c>
      <c r="CH9" s="264"/>
      <c r="CI9" s="264"/>
      <c r="CJ9" s="264"/>
      <c r="CM9" s="569">
        <f t="shared" si="0"/>
        <v>344.18011243386246</v>
      </c>
      <c r="CN9" s="569">
        <f t="shared" si="1"/>
        <v>330.41270502645506</v>
      </c>
      <c r="CO9" s="569">
        <f t="shared" si="2"/>
        <v>334.44719576719575</v>
      </c>
      <c r="CP9" s="569">
        <f t="shared" si="3"/>
        <v>309.48698412698417</v>
      </c>
      <c r="CQ9" s="569">
        <f t="shared" si="4"/>
        <v>313.93513888888896</v>
      </c>
      <c r="CR9" s="569">
        <f t="shared" si="5"/>
        <v>300.41004629629629</v>
      </c>
      <c r="CS9" s="569">
        <f t="shared" si="6"/>
        <v>281.2184722222222</v>
      </c>
      <c r="CT9" s="569">
        <f t="shared" si="7"/>
        <v>279.0022222222222</v>
      </c>
      <c r="CU9" s="569">
        <f t="shared" si="8"/>
        <v>345.11134259259256</v>
      </c>
      <c r="CV9" s="569">
        <f t="shared" si="9"/>
        <v>324.24328703703708</v>
      </c>
      <c r="CW9" s="569">
        <f t="shared" si="10"/>
        <v>346.75634259259255</v>
      </c>
      <c r="CX9" s="569">
        <f t="shared" si="11"/>
        <v>362.08175925925929</v>
      </c>
      <c r="CY9" s="569">
        <f t="shared" si="12"/>
        <v>344.18011243386246</v>
      </c>
      <c r="CZ9" s="569">
        <f t="shared" si="13"/>
        <v>330.41270502645506</v>
      </c>
      <c r="DA9" s="569">
        <f t="shared" si="14"/>
        <v>334.44719576719575</v>
      </c>
      <c r="DB9" s="569">
        <f t="shared" si="15"/>
        <v>309.48698412698417</v>
      </c>
      <c r="DC9" s="569">
        <f t="shared" si="16"/>
        <v>313.93513888888896</v>
      </c>
      <c r="DD9" s="569">
        <f t="shared" si="17"/>
        <v>300.41004629629629</v>
      </c>
      <c r="DE9" s="569">
        <f t="shared" si="18"/>
        <v>281.2184722222222</v>
      </c>
      <c r="DF9" s="569">
        <f t="shared" si="19"/>
        <v>279.0022222222222</v>
      </c>
      <c r="DG9" s="569">
        <f t="shared" si="20"/>
        <v>345.11134259259256</v>
      </c>
      <c r="DH9" s="569">
        <f t="shared" si="21"/>
        <v>324.24328703703708</v>
      </c>
      <c r="DI9" s="569">
        <f t="shared" si="22"/>
        <v>346.75634259259255</v>
      </c>
      <c r="DJ9" s="569">
        <f t="shared" si="23"/>
        <v>362.08175925925929</v>
      </c>
    </row>
    <row r="10" spans="1:114" s="261" customFormat="1">
      <c r="A10" s="55" t="s">
        <v>996</v>
      </c>
      <c r="B10" s="55" t="s">
        <v>994</v>
      </c>
      <c r="C10" s="55" t="s">
        <v>1245</v>
      </c>
      <c r="D10" s="55" t="s">
        <v>98</v>
      </c>
      <c r="E10" s="55" t="str">
        <f>VLOOKUP(D10,'Input 14_Ref Table'!C:D,2,FALSE)</f>
        <v>FMLV1</v>
      </c>
      <c r="F10" s="172" t="s">
        <v>1286</v>
      </c>
      <c r="G10" s="55" t="str">
        <f>VLOOKUP(D10,'Input 14_Ref Table'!C:I,7,FALSE)</f>
        <v>FMLV1</v>
      </c>
      <c r="H10" s="55" t="str">
        <f>VLOOKUP(D10,'Input 14_Ref Table'!C:K,8,FALSE)</f>
        <v>Base Period</v>
      </c>
      <c r="I10" s="55" t="e">
        <f>INDEX(#REF!,MATCH(D10,#REF!,0))</f>
        <v>#REF!</v>
      </c>
      <c r="J10" s="261" t="str">
        <f>INDEX('Master '!$AD$2:AD$65,MATCH(D10,'Master '!$D$2:$D$65,0))</f>
        <v>Base Period</v>
      </c>
      <c r="K10" s="567">
        <f>INDEX('Master '!$N$2:N$65,MATCH(D10,'Master '!$D$2:$D$65,0))</f>
        <v>0</v>
      </c>
      <c r="L10" s="290">
        <f>INDEX('Master '!$S$2:S$65,MATCH(D10,'Master '!$D$2:$D$65,0))</f>
        <v>0</v>
      </c>
      <c r="M10" s="1">
        <f>INDEX('Master '!$W$2:W$65,MATCH(D10,'Master '!$D$2:$D$65,0))</f>
        <v>13662.630000000001</v>
      </c>
      <c r="N10" s="56">
        <f>IFERROR(INDEX('Monthly VOL'!$N$2:$CG$65,MATCH($D10,'Monthly VOL'!$D$2:$D$65,0),MATCH(N$1,'Monthly VOL'!$N$1:$CG$1,0))/INDEX('Monthly CUST'!$N$2:$CG$65,MATCH($D10,'Monthly CUST'!$D$2:$D$65,0),MATCH(N$1,'Monthly CUST'!$N$1:$CG$1,0)),0)</f>
        <v>0</v>
      </c>
      <c r="O10" s="56">
        <f>IFERROR(INDEX('Monthly VOL'!$N$2:$CG$65,MATCH($D10,'Monthly VOL'!$D$2:$D$65,0),MATCH(O$1,'Monthly VOL'!$N$1:$CG$1,0))/INDEX('Monthly CUST'!$N$2:$CG$65,MATCH($D10,'Monthly CUST'!$D$2:$D$65,0),MATCH(O$1,'Monthly CUST'!$N$1:$CG$1,0)),0)</f>
        <v>0</v>
      </c>
      <c r="P10" s="56">
        <f>IFERROR(INDEX('Monthly VOL'!$N$2:$CG$65,MATCH($D10,'Monthly VOL'!$D$2:$D$65,0),MATCH(P$1,'Monthly VOL'!$N$1:$CG$1,0))/INDEX('Monthly CUST'!$N$2:$CG$65,MATCH($D10,'Monthly CUST'!$D$2:$D$65,0),MATCH(P$1,'Monthly CUST'!$N$1:$CG$1,0)),0)</f>
        <v>0</v>
      </c>
      <c r="Q10" s="56">
        <f>IFERROR(INDEX('Monthly VOL'!$N$2:$CG$65,MATCH($D10,'Monthly VOL'!$D$2:$D$65,0),MATCH(Q$1,'Monthly VOL'!$N$1:$CG$1,0))/INDEX('Monthly CUST'!$N$2:$CG$65,MATCH($D10,'Monthly CUST'!$D$2:$D$65,0),MATCH(Q$1,'Monthly CUST'!$N$1:$CG$1,0)),0)</f>
        <v>0</v>
      </c>
      <c r="R10" s="56">
        <f>IFERROR(INDEX('Monthly VOL'!$N$2:$CG$65,MATCH($D10,'Monthly VOL'!$D$2:$D$65,0),MATCH(R$1,'Monthly VOL'!$N$1:$CG$1,0))/INDEX('Monthly CUST'!$N$2:$CG$65,MATCH($D10,'Monthly CUST'!$D$2:$D$65,0),MATCH(R$1,'Monthly CUST'!$N$1:$CG$1,0)),0)</f>
        <v>0</v>
      </c>
      <c r="S10" s="56">
        <f>IFERROR(INDEX('Monthly VOL'!$N$2:$CG$65,MATCH($D10,'Monthly VOL'!$D$2:$D$65,0),MATCH(S$1,'Monthly VOL'!$N$1:$CG$1,0))/INDEX('Monthly CUST'!$N$2:$CG$65,MATCH($D10,'Monthly CUST'!$D$2:$D$65,0),MATCH(S$1,'Monthly CUST'!$N$1:$CG$1,0)),0)</f>
        <v>0</v>
      </c>
      <c r="T10" s="56">
        <f>IFERROR(INDEX('Monthly VOL'!$N$2:$CG$65,MATCH($D10,'Monthly VOL'!$D$2:$D$65,0),MATCH(T$1,'Monthly VOL'!$N$1:$CG$1,0))/INDEX('Monthly CUST'!$N$2:$CG$65,MATCH($D10,'Monthly CUST'!$D$2:$D$65,0),MATCH(T$1,'Monthly CUST'!$N$1:$CG$1,0)),0)</f>
        <v>0</v>
      </c>
      <c r="U10" s="56">
        <f>IFERROR(INDEX('Monthly VOL'!$N$2:$CG$65,MATCH($D10,'Monthly VOL'!$D$2:$D$65,0),MATCH(U$1,'Monthly VOL'!$N$1:$CG$1,0))/INDEX('Monthly CUST'!$N$2:$CG$65,MATCH($D10,'Monthly CUST'!$D$2:$D$65,0),MATCH(U$1,'Monthly CUST'!$N$1:$CG$1,0)),0)</f>
        <v>0</v>
      </c>
      <c r="V10" s="56">
        <f>IFERROR(INDEX('Monthly VOL'!$N$2:$CG$65,MATCH($D10,'Monthly VOL'!$D$2:$D$65,0),MATCH(V$1,'Monthly VOL'!$N$1:$CG$1,0))/INDEX('Monthly CUST'!$N$2:$CG$65,MATCH($D10,'Monthly CUST'!$D$2:$D$65,0),MATCH(V$1,'Monthly CUST'!$N$1:$CG$1,0)),0)</f>
        <v>0</v>
      </c>
      <c r="W10" s="56">
        <f>IFERROR(INDEX('Monthly VOL'!$N$2:$CG$65,MATCH($D10,'Monthly VOL'!$D$2:$D$65,0),MATCH(W$1,'Monthly VOL'!$N$1:$CG$1,0))/INDEX('Monthly CUST'!$N$2:$CG$65,MATCH($D10,'Monthly CUST'!$D$2:$D$65,0),MATCH(W$1,'Monthly CUST'!$N$1:$CG$1,0)),0)</f>
        <v>0</v>
      </c>
      <c r="X10" s="56">
        <f>IFERROR(INDEX('Monthly VOL'!$N$2:$CG$65,MATCH($D10,'Monthly VOL'!$D$2:$D$65,0),MATCH(X$1,'Monthly VOL'!$N$1:$CG$1,0))/INDEX('Monthly CUST'!$N$2:$CG$65,MATCH($D10,'Monthly CUST'!$D$2:$D$65,0),MATCH(X$1,'Monthly CUST'!$N$1:$CG$1,0)),0)</f>
        <v>0</v>
      </c>
      <c r="Y10" s="56">
        <f>IFERROR(INDEX('Monthly VOL'!$N$2:$CG$65,MATCH($D10,'Monthly VOL'!$D$2:$D$65,0),MATCH(Y$1,'Monthly VOL'!$N$1:$CG$1,0))/INDEX('Monthly CUST'!$N$2:$CG$65,MATCH($D10,'Monthly CUST'!$D$2:$D$65,0),MATCH(Y$1,'Monthly CUST'!$N$1:$CG$1,0)),0)</f>
        <v>0</v>
      </c>
      <c r="Z10" s="56">
        <f>IFERROR(INDEX('Monthly VOL'!$N$2:$CG$65,MATCH($D10,'Monthly VOL'!$D$2:$D$65,0),MATCH(Z$1,'Monthly VOL'!$N$1:$CG$1,0))/INDEX('Monthly CUST'!$N$2:$CG$65,MATCH($D10,'Monthly CUST'!$D$2:$D$65,0),MATCH(Z$1,'Monthly CUST'!$N$1:$CG$1,0)),0)</f>
        <v>0</v>
      </c>
      <c r="AA10" s="56">
        <f>IFERROR(INDEX('Monthly VOL'!$N$2:$CG$65,MATCH($D10,'Monthly VOL'!$D$2:$D$65,0),MATCH(AA$1,'Monthly VOL'!$N$1:$CG$1,0))/INDEX('Monthly CUST'!$N$2:$CG$65,MATCH($D10,'Monthly CUST'!$D$2:$D$65,0),MATCH(AA$1,'Monthly CUST'!$N$1:$CG$1,0)),0)</f>
        <v>0</v>
      </c>
      <c r="AB10" s="56">
        <f>IFERROR(INDEX('Monthly VOL'!$N$2:$CG$65,MATCH($D10,'Monthly VOL'!$D$2:$D$65,0),MATCH(AB$1,'Monthly VOL'!$N$1:$CG$1,0))/INDEX('Monthly CUST'!$N$2:$CG$65,MATCH($D10,'Monthly CUST'!$D$2:$D$65,0),MATCH(AB$1,'Monthly CUST'!$N$1:$CG$1,0)),0)</f>
        <v>0</v>
      </c>
      <c r="AC10" s="56">
        <f>IFERROR(INDEX('Monthly VOL'!$N$2:$CG$65,MATCH($D10,'Monthly VOL'!$D$2:$D$65,0),MATCH(AC$1,'Monthly VOL'!$N$1:$CG$1,0))/INDEX('Monthly CUST'!$N$2:$CG$65,MATCH($D10,'Monthly CUST'!$D$2:$D$65,0),MATCH(AC$1,'Monthly CUST'!$N$1:$CG$1,0)),0)</f>
        <v>0</v>
      </c>
      <c r="AD10" s="56">
        <f>IFERROR(INDEX('Monthly VOL'!$N$2:$CG$65,MATCH($D10,'Monthly VOL'!$D$2:$D$65,0),MATCH(AD$1,'Monthly VOL'!$N$1:$CG$1,0))/INDEX('Monthly CUST'!$N$2:$CG$65,MATCH($D10,'Monthly CUST'!$D$2:$D$65,0),MATCH(AD$1,'Monthly CUST'!$N$1:$CG$1,0)),0)</f>
        <v>1321.25</v>
      </c>
      <c r="AE10" s="56">
        <f>IFERROR(INDEX('Monthly VOL'!$N$2:$CG$65,MATCH($D10,'Monthly VOL'!$D$2:$D$65,0),MATCH(AE$1,'Monthly VOL'!$N$1:$CG$1,0))/INDEX('Monthly CUST'!$N$2:$CG$65,MATCH($D10,'Monthly CUST'!$D$2:$D$65,0),MATCH(AE$1,'Monthly CUST'!$N$1:$CG$1,0)),0)</f>
        <v>3450.91</v>
      </c>
      <c r="AF10" s="56">
        <f>IFERROR(INDEX('Monthly VOL'!$N$2:$CG$65,MATCH($D10,'Monthly VOL'!$D$2:$D$65,0),MATCH(AF$1,'Monthly VOL'!$N$1:$CG$1,0))/INDEX('Monthly CUST'!$N$2:$CG$65,MATCH($D10,'Monthly CUST'!$D$2:$D$65,0),MATCH(AF$1,'Monthly CUST'!$N$1:$CG$1,0)),0)</f>
        <v>2746.1633333333334</v>
      </c>
      <c r="AG10" s="56">
        <f>IFERROR(INDEX('Monthly VOL'!$N$2:$CG$65,MATCH($D10,'Monthly VOL'!$D$2:$D$65,0),MATCH(AG$1,'Monthly VOL'!$N$1:$CG$1,0))/INDEX('Monthly CUST'!$N$2:$CG$65,MATCH($D10,'Monthly CUST'!$D$2:$D$65,0),MATCH(AG$1,'Monthly CUST'!$N$1:$CG$1,0)),0)</f>
        <v>2128.6224999999999</v>
      </c>
      <c r="AH10" s="56">
        <f>IFERROR(INDEX('Monthly VOL'!$N$2:$CG$65,MATCH($D10,'Monthly VOL'!$D$2:$D$65,0),MATCH(AH$1,'Monthly VOL'!$N$1:$CG$1,0))/INDEX('Monthly CUST'!$N$2:$CG$65,MATCH($D10,'Monthly CUST'!$D$2:$D$65,0),MATCH(AH$1,'Monthly CUST'!$N$1:$CG$1,0)),0)</f>
        <v>1951.69</v>
      </c>
      <c r="AI10" s="56">
        <f>IFERROR(INDEX('Monthly VOL'!$N$2:$CG$65,MATCH($D10,'Monthly VOL'!$D$2:$D$65,0),MATCH(AI$1,'Monthly VOL'!$N$1:$CG$1,0))/INDEX('Monthly CUST'!$N$2:$CG$65,MATCH($D10,'Monthly CUST'!$D$2:$D$65,0),MATCH(AI$1,'Monthly CUST'!$N$1:$CG$1,0)),0)</f>
        <v>2711.6025</v>
      </c>
      <c r="AJ10" s="56">
        <f>IFERROR(INDEX('Monthly VOL'!$N$2:$CG$65,MATCH($D10,'Monthly VOL'!$D$2:$D$65,0),MATCH(AJ$1,'Monthly VOL'!$N$1:$CG$1,0))/INDEX('Monthly CUST'!$N$2:$CG$65,MATCH($D10,'Monthly CUST'!$D$2:$D$65,0),MATCH(AJ$1,'Monthly CUST'!$N$1:$CG$1,0)),0)</f>
        <v>3157.3975</v>
      </c>
      <c r="AK10" s="56">
        <f>IFERROR(INDEX('Monthly VOL'!$N$2:$CG$65,MATCH($D10,'Monthly VOL'!$D$2:$D$65,0),MATCH(AK$1,'Monthly VOL'!$N$1:$CG$1,0))/INDEX('Monthly CUST'!$N$2:$CG$65,MATCH($D10,'Monthly CUST'!$D$2:$D$65,0),MATCH(AK$1,'Monthly CUST'!$N$1:$CG$1,0)),0)</f>
        <v>4418.0974999999999</v>
      </c>
      <c r="AL10" s="56">
        <f>IFERROR(INDEX('Monthly VOL'!$N$2:$CG$65,MATCH($D10,'Monthly VOL'!$D$2:$D$65,0),MATCH(AL$1,'Monthly VOL'!$N$1:$CG$1,0))/INDEX('Monthly CUST'!$N$2:$CG$65,MATCH($D10,'Monthly CUST'!$D$2:$D$65,0),MATCH(AL$1,'Monthly CUST'!$N$1:$CG$1,0)),0)</f>
        <v>4188.34</v>
      </c>
      <c r="AM10" s="56">
        <f>IFERROR(INDEX('Monthly VOL'!$N$2:$CG$65,MATCH($D10,'Monthly VOL'!$D$2:$D$65,0),MATCH(AM$1,'Monthly VOL'!$N$1:$CG$1,0))/INDEX('Monthly CUST'!$N$2:$CG$65,MATCH($D10,'Monthly CUST'!$D$2:$D$65,0),MATCH(AM$1,'Monthly CUST'!$N$1:$CG$1,0)),0)</f>
        <v>5091.6274999999996</v>
      </c>
      <c r="AN10" s="56">
        <f>IFERROR(INDEX('Monthly VOL'!$N$2:$CG$65,MATCH($D10,'Monthly VOL'!$D$2:$D$65,0),MATCH(AN$1,'Monthly VOL'!$N$1:$CG$1,0))/INDEX('Monthly CUST'!$N$2:$CG$65,MATCH($D10,'Monthly CUST'!$D$2:$D$65,0),MATCH(AN$1,'Monthly CUST'!$N$1:$CG$1,0)),0)</f>
        <v>4417.3975</v>
      </c>
      <c r="AO10" s="56">
        <f>IFERROR(INDEX('Monthly VOL'!$N$2:$CG$65,MATCH($D10,'Monthly VOL'!$D$2:$D$65,0),MATCH(AO$1,'Monthly VOL'!$N$1:$CG$1,0))/INDEX('Monthly CUST'!$N$2:$CG$65,MATCH($D10,'Monthly CUST'!$D$2:$D$65,0),MATCH(AO$1,'Monthly CUST'!$N$1:$CG$1,0)),0)</f>
        <v>2755.18</v>
      </c>
      <c r="AP10" s="56">
        <f>IFERROR(INDEX('Monthly VOL'!$N$2:$CG$65,MATCH($D10,'Monthly VOL'!$D$2:$D$65,0),MATCH(AP$1,'Monthly VOL'!$N$1:$CG$1,0))/INDEX('Monthly CUST'!$N$2:$CG$65,MATCH($D10,'Monthly CUST'!$D$2:$D$65,0),MATCH(AP$1,'Monthly CUST'!$N$1:$CG$1,0)),0)</f>
        <v>559.37749999999994</v>
      </c>
      <c r="AQ10" s="56">
        <f>IFERROR(INDEX('Monthly VOL'!$N$2:$CG$65,MATCH($D10,'Monthly VOL'!$D$2:$D$65,0),MATCH(AQ$1,'Monthly VOL'!$N$1:$CG$1,0))/INDEX('Monthly CUST'!$N$2:$CG$65,MATCH($D10,'Monthly CUST'!$D$2:$D$65,0),MATCH(AQ$1,'Monthly CUST'!$N$1:$CG$1,0)),0)</f>
        <v>1182.615</v>
      </c>
      <c r="AR10" s="56">
        <f>IFERROR(INDEX('Monthly VOL'!$N$2:$CG$65,MATCH($D10,'Monthly VOL'!$D$2:$D$65,0),MATCH(AR$1,'Monthly VOL'!$N$1:$CG$1,0))/INDEX('Monthly CUST'!$N$2:$CG$65,MATCH($D10,'Monthly CUST'!$D$2:$D$65,0),MATCH(AR$1,'Monthly CUST'!$N$1:$CG$1,0)),0)</f>
        <v>1540.3500000000001</v>
      </c>
      <c r="AS10" s="56">
        <f>IFERROR(INDEX('Monthly VOL'!$N$2:$CG$65,MATCH($D10,'Monthly VOL'!$D$2:$D$65,0),MATCH(AS$1,'Monthly VOL'!$N$1:$CG$1,0))/INDEX('Monthly CUST'!$N$2:$CG$65,MATCH($D10,'Monthly CUST'!$D$2:$D$65,0),MATCH(AS$1,'Monthly CUST'!$N$1:$CG$1,0)),0)</f>
        <v>1031.2325000000001</v>
      </c>
      <c r="AT10" s="56">
        <f>IFERROR(INDEX('Monthly VOL'!$N$2:$CG$65,MATCH($D10,'Monthly VOL'!$D$2:$D$65,0),MATCH(AT$1,'Monthly VOL'!$N$1:$CG$1,0))/INDEX('Monthly CUST'!$N$2:$CG$65,MATCH($D10,'Monthly CUST'!$D$2:$D$65,0),MATCH(AT$1,'Monthly CUST'!$N$1:$CG$1,0)),0)</f>
        <v>1270.9475</v>
      </c>
      <c r="AU10" s="56">
        <f>IFERROR(INDEX('Monthly VOL'!$N$2:$CG$65,MATCH($D10,'Monthly VOL'!$D$2:$D$65,0),MATCH(AU$1,'Monthly VOL'!$N$1:$CG$1,0))/INDEX('Monthly CUST'!$N$2:$CG$65,MATCH($D10,'Monthly CUST'!$D$2:$D$65,0),MATCH(AU$1,'Monthly CUST'!$N$1:$CG$1,0)),0)</f>
        <v>2230.3275000000003</v>
      </c>
      <c r="AV10" s="56">
        <f>IFERROR(INDEX('Monthly VOL'!$N$2:$CG$65,MATCH($D10,'Monthly VOL'!$D$2:$D$65,0),MATCH(AV$1,'Monthly VOL'!$N$1:$CG$1,0))/INDEX('Monthly CUST'!$N$2:$CG$65,MATCH($D10,'Monthly CUST'!$D$2:$D$65,0),MATCH(AV$1,'Monthly CUST'!$N$1:$CG$1,0)),0)</f>
        <v>2754.4949999999999</v>
      </c>
      <c r="AW10" s="56">
        <f>IFERROR(INDEX('Monthly VOL'!$N$2:$CG$65,MATCH($D10,'Monthly VOL'!$D$2:$D$65,0),MATCH(AW$1,'Monthly VOL'!$N$1:$CG$1,0))/INDEX('Monthly CUST'!$N$2:$CG$65,MATCH($D10,'Monthly CUST'!$D$2:$D$65,0),MATCH(AW$1,'Monthly CUST'!$N$1:$CG$1,0)),0)</f>
        <v>4436.5275000000001</v>
      </c>
      <c r="AX10" s="56">
        <f>IFERROR(INDEX('Monthly VOL'!$N$2:$CG$65,MATCH($D10,'Monthly VOL'!$D$2:$D$65,0),MATCH(AX$1,'Monthly VOL'!$N$1:$CG$1,0))/INDEX('Monthly CUST'!$N$2:$CG$65,MATCH($D10,'Monthly CUST'!$D$2:$D$65,0),MATCH(AX$1,'Monthly CUST'!$N$1:$CG$1,0)),0)</f>
        <v>1342.7049999999999</v>
      </c>
      <c r="AY10" s="56">
        <f>IFERROR(INDEX('Monthly VOL'!$N$2:$CG$65,MATCH($D10,'Monthly VOL'!$D$2:$D$65,0),MATCH(AY$1,'Monthly VOL'!$N$1:$CG$1,0))/INDEX('Monthly CUST'!$N$2:$CG$65,MATCH($D10,'Monthly CUST'!$D$2:$D$65,0),MATCH(AY$1,'Monthly CUST'!$N$1:$CG$1,0)),0)</f>
        <v>1645.4699999999998</v>
      </c>
      <c r="AZ10" s="56">
        <f>IFERROR(INDEX('Monthly VOL'!$N$2:$CG$65,MATCH($D10,'Monthly VOL'!$D$2:$D$65,0),MATCH(AZ$1,'Monthly VOL'!$N$1:$CG$1,0))/INDEX('Monthly CUST'!$N$2:$CG$65,MATCH($D10,'Monthly CUST'!$D$2:$D$65,0),MATCH(AZ$1,'Monthly CUST'!$N$1:$CG$1,0)),0)</f>
        <v>1338.84</v>
      </c>
      <c r="BA10" s="56">
        <f>IFERROR(INDEX('Monthly VOL'!$N$2:$CG$65,MATCH($D10,'Monthly VOL'!$D$2:$D$65,0),MATCH(BA$1,'Monthly VOL'!$N$1:$CG$1,0))/INDEX('Monthly CUST'!$N$2:$CG$65,MATCH($D10,'Monthly CUST'!$D$2:$D$65,0),MATCH(BA$1,'Monthly CUST'!$N$1:$CG$1,0)),0)</f>
        <v>1282.4749999999999</v>
      </c>
      <c r="BB10" s="56">
        <f>IFERROR(INDEX('Monthly VOL'!$N$2:$CG$65,MATCH($D10,'Monthly VOL'!$D$2:$D$65,0),MATCH(BB$1,'Monthly VOL'!$N$1:$CG$1,0))/INDEX('Monthly CUST'!$N$2:$CG$65,MATCH($D10,'Monthly CUST'!$D$2:$D$65,0),MATCH(BB$1,'Monthly CUST'!$N$1:$CG$1,0)),0)</f>
        <v>1207.76</v>
      </c>
      <c r="BC10" s="56">
        <f>IFERROR(INDEX('Monthly VOL'!$N$2:$CG$65,MATCH($D10,'Monthly VOL'!$D$2:$D$65,0),MATCH(BC$1,'Monthly VOL'!$N$1:$CG$1,0))/INDEX('Monthly CUST'!$N$2:$CG$65,MATCH($D10,'Monthly CUST'!$D$2:$D$65,0),MATCH(BC$1,'Monthly CUST'!$N$1:$CG$1,0)),0)</f>
        <v>1055.395</v>
      </c>
      <c r="BD10" s="56">
        <f>IFERROR(INDEX('Monthly VOL'!$N$2:$CG$65,MATCH($D10,'Monthly VOL'!$D$2:$D$65,0),MATCH(BD$1,'Monthly VOL'!$N$1:$CG$1,0))/INDEX('Monthly CUST'!$N$2:$CG$65,MATCH($D10,'Monthly CUST'!$D$2:$D$65,0),MATCH(BD$1,'Monthly CUST'!$N$1:$CG$1,0)),0)</f>
        <v>720.28499999999997</v>
      </c>
      <c r="BE10" s="56">
        <f>IFERROR(INDEX('Monthly VOL'!$N$2:$CG$65,MATCH($D10,'Monthly VOL'!$D$2:$D$65,0),MATCH(BE$1,'Monthly VOL'!$N$1:$CG$1,0))/INDEX('Monthly CUST'!$N$2:$CG$65,MATCH($D10,'Monthly CUST'!$D$2:$D$65,0),MATCH(BE$1,'Monthly CUST'!$N$1:$CG$1,0)),0)</f>
        <v>917.51</v>
      </c>
      <c r="BF10" s="56">
        <f>IFERROR(INDEX('Monthly VOL'!$N$2:$CG$65,MATCH($D10,'Monthly VOL'!$D$2:$D$65,0),MATCH(BF$1,'Monthly VOL'!$N$1:$CG$1,0))/INDEX('Monthly CUST'!$N$2:$CG$65,MATCH($D10,'Monthly CUST'!$D$2:$D$65,0),MATCH(BF$1,'Monthly CUST'!$N$1:$CG$1,0)),0)</f>
        <v>697.48500000000001</v>
      </c>
      <c r="BG10" s="56">
        <f>IFERROR(INDEX('Monthly VOL'!$N$2:$CG$65,MATCH($D10,'Monthly VOL'!$D$2:$D$65,0),MATCH(BG$1,'Monthly VOL'!$N$1:$CG$1,0))/INDEX('Monthly CUST'!$N$2:$CG$65,MATCH($D10,'Monthly CUST'!$D$2:$D$65,0),MATCH(BG$1,'Monthly CUST'!$N$1:$CG$1,0)),0)</f>
        <v>899.05500000000006</v>
      </c>
      <c r="BH10" s="56">
        <f>IFERROR(INDEX('Monthly VOL'!$N$2:$CG$65,MATCH($D10,'Monthly VOL'!$D$2:$D$65,0),MATCH(BH$1,'Monthly VOL'!$N$1:$CG$1,0))/INDEX('Monthly CUST'!$N$2:$CG$65,MATCH($D10,'Monthly CUST'!$D$2:$D$65,0),MATCH(BH$1,'Monthly CUST'!$N$1:$CG$1,0)),0)</f>
        <v>1068.45</v>
      </c>
      <c r="BI10" s="56">
        <f>IFERROR(INDEX('Monthly VOL'!$N$2:$CG$65,MATCH($D10,'Monthly VOL'!$D$2:$D$65,0),MATCH(BI$1,'Monthly VOL'!$N$1:$CG$1,0))/INDEX('Monthly CUST'!$N$2:$CG$65,MATCH($D10,'Monthly CUST'!$D$2:$D$65,0),MATCH(BI$1,'Monthly CUST'!$N$1:$CG$1,0)),0)</f>
        <v>1487.2</v>
      </c>
      <c r="BJ10" s="56">
        <f>IFERROR(INDEX('Monthly VOL'!$N$2:$CG$65,MATCH($D10,'Monthly VOL'!$D$2:$D$65,0),MATCH(BJ$1,'Monthly VOL'!$N$1:$CG$1,0))/INDEX('Monthly CUST'!$N$2:$CG$65,MATCH($D10,'Monthly CUST'!$D$2:$D$65,0),MATCH(BJ$1,'Monthly CUST'!$N$1:$CG$1,0)),0)</f>
        <v>1342.7049999999999</v>
      </c>
      <c r="BK10" s="56">
        <f>IFERROR(INDEX('Monthly VOL'!$N$2:$CG$65,MATCH($D10,'Monthly VOL'!$D$2:$D$65,0),MATCH(BK$1,'Monthly VOL'!$N$1:$CG$1,0))/INDEX('Monthly CUST'!$N$2:$CG$65,MATCH($D10,'Monthly CUST'!$D$2:$D$65,0),MATCH(BK$1,'Monthly CUST'!$N$1:$CG$1,0)),0)</f>
        <v>1645.4699999999998</v>
      </c>
      <c r="BL10" s="56">
        <f>IFERROR(INDEX('Monthly VOL'!$N$2:$CG$65,MATCH($D10,'Monthly VOL'!$D$2:$D$65,0),MATCH(BL$1,'Monthly VOL'!$N$1:$CG$1,0))/INDEX('Monthly CUST'!$N$2:$CG$65,MATCH($D10,'Monthly CUST'!$D$2:$D$65,0),MATCH(BL$1,'Monthly CUST'!$N$1:$CG$1,0)),0)</f>
        <v>1338.84</v>
      </c>
      <c r="BM10" s="56">
        <f>IFERROR(INDEX('Monthly VOL'!$N$2:$CG$65,MATCH($D10,'Monthly VOL'!$D$2:$D$65,0),MATCH(BM$1,'Monthly VOL'!$N$1:$CG$1,0))/INDEX('Monthly CUST'!$N$2:$CG$65,MATCH($D10,'Monthly CUST'!$D$2:$D$65,0),MATCH(BM$1,'Monthly CUST'!$N$1:$CG$1,0)),0)</f>
        <v>1282.4749999999999</v>
      </c>
      <c r="BN10" s="56">
        <f>IFERROR(INDEX('Monthly VOL'!$N$2:$CG$65,MATCH($D10,'Monthly VOL'!$D$2:$D$65,0),MATCH(BN$1,'Monthly VOL'!$N$1:$CG$1,0))/INDEX('Monthly CUST'!$N$2:$CG$65,MATCH($D10,'Monthly CUST'!$D$2:$D$65,0),MATCH(BN$1,'Monthly CUST'!$N$1:$CG$1,0)),0)</f>
        <v>1207.76</v>
      </c>
      <c r="BO10" s="56">
        <f>IFERROR(INDEX('Monthly VOL'!$N$2:$CG$65,MATCH($D10,'Monthly VOL'!$D$2:$D$65,0),MATCH(BO$1,'Monthly VOL'!$N$1:$CG$1,0))/INDEX('Monthly CUST'!$N$2:$CG$65,MATCH($D10,'Monthly CUST'!$D$2:$D$65,0),MATCH(BO$1,'Monthly CUST'!$N$1:$CG$1,0)),0)</f>
        <v>1055.395</v>
      </c>
      <c r="BP10" s="56">
        <f>IFERROR(INDEX('Monthly VOL'!$N$2:$CG$65,MATCH($D10,'Monthly VOL'!$D$2:$D$65,0),MATCH(BP$1,'Monthly VOL'!$N$1:$CG$1,0))/INDEX('Monthly CUST'!$N$2:$CG$65,MATCH($D10,'Monthly CUST'!$D$2:$D$65,0),MATCH(BP$1,'Monthly CUST'!$N$1:$CG$1,0)),0)</f>
        <v>720.28499999999997</v>
      </c>
      <c r="BQ10" s="56">
        <f>IFERROR(INDEX('Monthly VOL'!$N$2:$CG$65,MATCH($D10,'Monthly VOL'!$D$2:$D$65,0),MATCH(BQ$1,'Monthly VOL'!$N$1:$CG$1,0))/INDEX('Monthly CUST'!$N$2:$CG$65,MATCH($D10,'Monthly CUST'!$D$2:$D$65,0),MATCH(BQ$1,'Monthly CUST'!$N$1:$CG$1,0)),0)</f>
        <v>917.51</v>
      </c>
      <c r="BR10" s="56">
        <f>IFERROR(INDEX('Monthly VOL'!$N$2:$CG$65,MATCH($D10,'Monthly VOL'!$D$2:$D$65,0),MATCH(BR$1,'Monthly VOL'!$N$1:$CG$1,0))/INDEX('Monthly CUST'!$N$2:$CG$65,MATCH($D10,'Monthly CUST'!$D$2:$D$65,0),MATCH(BR$1,'Monthly CUST'!$N$1:$CG$1,0)),0)</f>
        <v>697.48500000000001</v>
      </c>
      <c r="BS10" s="56">
        <f>IFERROR(INDEX('Monthly VOL'!$N$2:$CG$65,MATCH($D10,'Monthly VOL'!$D$2:$D$65,0),MATCH(BS$1,'Monthly VOL'!$N$1:$CG$1,0))/INDEX('Monthly CUST'!$N$2:$CG$65,MATCH($D10,'Monthly CUST'!$D$2:$D$65,0),MATCH(BS$1,'Monthly CUST'!$N$1:$CG$1,0)),0)</f>
        <v>899.05500000000006</v>
      </c>
      <c r="BT10" s="56">
        <f>IFERROR(INDEX('Monthly VOL'!$N$2:$CG$65,MATCH($D10,'Monthly VOL'!$D$2:$D$65,0),MATCH(BT$1,'Monthly VOL'!$N$1:$CG$1,0))/INDEX('Monthly CUST'!$N$2:$CG$65,MATCH($D10,'Monthly CUST'!$D$2:$D$65,0),MATCH(BT$1,'Monthly CUST'!$N$1:$CG$1,0)),0)</f>
        <v>1068.45</v>
      </c>
      <c r="BU10" s="56">
        <f>IFERROR(INDEX('Monthly VOL'!$N$2:$CG$65,MATCH($D10,'Monthly VOL'!$D$2:$D$65,0),MATCH(BU$1,'Monthly VOL'!$N$1:$CG$1,0))/INDEX('Monthly CUST'!$N$2:$CG$65,MATCH($D10,'Monthly CUST'!$D$2:$D$65,0),MATCH(BU$1,'Monthly CUST'!$N$1:$CG$1,0)),0)</f>
        <v>1487.2</v>
      </c>
      <c r="BV10" s="56">
        <f>IFERROR(INDEX('Monthly VOL'!$N$2:$CG$65,MATCH($D10,'Monthly VOL'!$D$2:$D$65,0),MATCH(BV$1,'Monthly VOL'!$N$1:$CG$1,0))/INDEX('Monthly CUST'!$N$2:$CG$65,MATCH($D10,'Monthly CUST'!$D$2:$D$65,0),MATCH(BV$1,'Monthly CUST'!$N$1:$CG$1,0)),0)</f>
        <v>1342.7049999999999</v>
      </c>
      <c r="BW10" s="56">
        <f>IFERROR(INDEX('Monthly VOL'!$N$2:$CG$65,MATCH($D10,'Monthly VOL'!$D$2:$D$65,0),MATCH(BW$1,'Monthly VOL'!$N$1:$CG$1,0))/INDEX('Monthly CUST'!$N$2:$CG$65,MATCH($D10,'Monthly CUST'!$D$2:$D$65,0),MATCH(BW$1,'Monthly CUST'!$N$1:$CG$1,0)),0)</f>
        <v>1645.4699999999998</v>
      </c>
      <c r="BX10" s="56">
        <f>IFERROR(INDEX('Monthly VOL'!$N$2:$CG$65,MATCH($D10,'Monthly VOL'!$D$2:$D$65,0),MATCH(BX$1,'Monthly VOL'!$N$1:$CG$1,0))/INDEX('Monthly CUST'!$N$2:$CG$65,MATCH($D10,'Monthly CUST'!$D$2:$D$65,0),MATCH(BX$1,'Monthly CUST'!$N$1:$CG$1,0)),0)</f>
        <v>1338.84</v>
      </c>
      <c r="BY10" s="56">
        <f>IFERROR(INDEX('Monthly VOL'!$N$2:$CG$65,MATCH($D10,'Monthly VOL'!$D$2:$D$65,0),MATCH(BY$1,'Monthly VOL'!$N$1:$CG$1,0))/INDEX('Monthly CUST'!$N$2:$CG$65,MATCH($D10,'Monthly CUST'!$D$2:$D$65,0),MATCH(BY$1,'Monthly CUST'!$N$1:$CG$1,0)),0)</f>
        <v>1282.4749999999999</v>
      </c>
      <c r="BZ10" s="56">
        <f>IFERROR(INDEX('Monthly VOL'!$N$2:$CG$65,MATCH($D10,'Monthly VOL'!$D$2:$D$65,0),MATCH(BZ$1,'Monthly VOL'!$N$1:$CG$1,0))/INDEX('Monthly CUST'!$N$2:$CG$65,MATCH($D10,'Monthly CUST'!$D$2:$D$65,0),MATCH(BZ$1,'Monthly CUST'!$N$1:$CG$1,0)),0)</f>
        <v>1207.76</v>
      </c>
      <c r="CA10" s="56">
        <f>IFERROR(INDEX('Monthly VOL'!$N$2:$CG$65,MATCH($D10,'Monthly VOL'!$D$2:$D$65,0),MATCH(CA$1,'Monthly VOL'!$N$1:$CG$1,0))/INDEX('Monthly CUST'!$N$2:$CG$65,MATCH($D10,'Monthly CUST'!$D$2:$D$65,0),MATCH(CA$1,'Monthly CUST'!$N$1:$CG$1,0)),0)</f>
        <v>1055.395</v>
      </c>
      <c r="CB10" s="56">
        <f>IFERROR(INDEX('Monthly VOL'!$N$2:$CG$65,MATCH($D10,'Monthly VOL'!$D$2:$D$65,0),MATCH(CB$1,'Monthly VOL'!$N$1:$CG$1,0))/INDEX('Monthly CUST'!$N$2:$CG$65,MATCH($D10,'Monthly CUST'!$D$2:$D$65,0),MATCH(CB$1,'Monthly CUST'!$N$1:$CG$1,0)),0)</f>
        <v>720.28499999999997</v>
      </c>
      <c r="CC10" s="56">
        <f>IFERROR(INDEX('Monthly VOL'!$N$2:$CG$65,MATCH($D10,'Monthly VOL'!$D$2:$D$65,0),MATCH(CC$1,'Monthly VOL'!$N$1:$CG$1,0))/INDEX('Monthly CUST'!$N$2:$CG$65,MATCH($D10,'Monthly CUST'!$D$2:$D$65,0),MATCH(CC$1,'Monthly CUST'!$N$1:$CG$1,0)),0)</f>
        <v>917.51</v>
      </c>
      <c r="CD10" s="56">
        <f>IFERROR(INDEX('Monthly VOL'!$N$2:$CG$65,MATCH($D10,'Monthly VOL'!$D$2:$D$65,0),MATCH(CD$1,'Monthly VOL'!$N$1:$CG$1,0))/INDEX('Monthly CUST'!$N$2:$CG$65,MATCH($D10,'Monthly CUST'!$D$2:$D$65,0),MATCH(CD$1,'Monthly CUST'!$N$1:$CG$1,0)),0)</f>
        <v>697.48500000000001</v>
      </c>
      <c r="CE10" s="56">
        <f>IFERROR(INDEX('Monthly VOL'!$N$2:$CG$65,MATCH($D10,'Monthly VOL'!$D$2:$D$65,0),MATCH(CE$1,'Monthly VOL'!$N$1:$CG$1,0))/INDEX('Monthly CUST'!$N$2:$CG$65,MATCH($D10,'Monthly CUST'!$D$2:$D$65,0),MATCH(CE$1,'Monthly CUST'!$N$1:$CG$1,0)),0)</f>
        <v>899.05500000000006</v>
      </c>
      <c r="CF10" s="56">
        <f>IFERROR(INDEX('Monthly VOL'!$N$2:$CG$65,MATCH($D10,'Monthly VOL'!$D$2:$D$65,0),MATCH(CF$1,'Monthly VOL'!$N$1:$CG$1,0))/INDEX('Monthly CUST'!$N$2:$CG$65,MATCH($D10,'Monthly CUST'!$D$2:$D$65,0),MATCH(CF$1,'Monthly CUST'!$N$1:$CG$1,0)),0)</f>
        <v>1068.45</v>
      </c>
      <c r="CG10" s="56">
        <f>IFERROR(INDEX('Monthly VOL'!$N$2:$CG$65,MATCH($D10,'Monthly VOL'!$D$2:$D$65,0),MATCH(CG$1,'Monthly VOL'!$N$1:$CG$1,0))/INDEX('Monthly CUST'!$N$2:$CG$65,MATCH($D10,'Monthly CUST'!$D$2:$D$65,0),MATCH(CG$1,'Monthly CUST'!$N$1:$CG$1,0)),0)</f>
        <v>1487.2</v>
      </c>
      <c r="CH10" s="264"/>
      <c r="CI10" s="264"/>
      <c r="CJ10" s="264"/>
      <c r="CM10" s="569">
        <f t="shared" si="0"/>
        <v>1843.6816666666666</v>
      </c>
      <c r="CN10" s="569">
        <f t="shared" si="1"/>
        <v>2245.6991666666668</v>
      </c>
      <c r="CO10" s="569">
        <f t="shared" si="2"/>
        <v>1918.7458333333334</v>
      </c>
      <c r="CP10" s="569">
        <f t="shared" si="3"/>
        <v>1345.885</v>
      </c>
      <c r="CQ10" s="569">
        <f t="shared" si="4"/>
        <v>1029.4624999999999</v>
      </c>
      <c r="CR10" s="569">
        <f t="shared" si="5"/>
        <v>1896.3066666666666</v>
      </c>
      <c r="CS10" s="569">
        <f t="shared" si="6"/>
        <v>1668.9327777777778</v>
      </c>
      <c r="CT10" s="569">
        <f t="shared" si="7"/>
        <v>1359.1216666666667</v>
      </c>
      <c r="CU10" s="569">
        <f t="shared" si="8"/>
        <v>1306.7075</v>
      </c>
      <c r="CV10" s="569">
        <f t="shared" si="9"/>
        <v>1946.9950000000001</v>
      </c>
      <c r="CW10" s="569">
        <f t="shared" si="10"/>
        <v>2326.7808333333332</v>
      </c>
      <c r="CX10" s="569">
        <f t="shared" si="11"/>
        <v>3447.2750000000001</v>
      </c>
      <c r="CY10" s="569">
        <f t="shared" si="12"/>
        <v>1843.6816666666666</v>
      </c>
      <c r="CZ10" s="569">
        <f t="shared" si="13"/>
        <v>2245.6991666666668</v>
      </c>
      <c r="DA10" s="569">
        <f t="shared" si="14"/>
        <v>1918.7458333333334</v>
      </c>
      <c r="DB10" s="569">
        <f t="shared" si="15"/>
        <v>1345.885</v>
      </c>
      <c r="DC10" s="569">
        <f t="shared" si="16"/>
        <v>1029.4624999999999</v>
      </c>
      <c r="DD10" s="569">
        <f t="shared" si="17"/>
        <v>1896.3066666666666</v>
      </c>
      <c r="DE10" s="569">
        <f t="shared" si="18"/>
        <v>1668.9327777777778</v>
      </c>
      <c r="DF10" s="569">
        <f t="shared" si="19"/>
        <v>1359.1216666666667</v>
      </c>
      <c r="DG10" s="569">
        <f t="shared" si="20"/>
        <v>1306.7075</v>
      </c>
      <c r="DH10" s="569">
        <f t="shared" si="21"/>
        <v>1946.9950000000001</v>
      </c>
      <c r="DI10" s="569">
        <f t="shared" si="22"/>
        <v>2326.7808333333332</v>
      </c>
      <c r="DJ10" s="569">
        <f t="shared" si="23"/>
        <v>3447.2750000000001</v>
      </c>
    </row>
    <row r="11" spans="1:114" s="261" customFormat="1">
      <c r="A11" s="55" t="s">
        <v>996</v>
      </c>
      <c r="B11" s="55" t="s">
        <v>993</v>
      </c>
      <c r="C11" s="55" t="s">
        <v>1245</v>
      </c>
      <c r="D11" s="55" t="s">
        <v>99</v>
      </c>
      <c r="E11" s="55" t="str">
        <f>VLOOKUP(D11,'Input 14_Ref Table'!C:D,2,FALSE)</f>
        <v>FMLT1</v>
      </c>
      <c r="F11" s="172" t="s">
        <v>1286</v>
      </c>
      <c r="G11" s="55" t="str">
        <f>VLOOKUP(D11,'Input 14_Ref Table'!C:I,7,FALSE)</f>
        <v>FMLT1</v>
      </c>
      <c r="H11" s="55" t="str">
        <f>VLOOKUP(D11,'Input 14_Ref Table'!C:K,8,FALSE)</f>
        <v>Base Period</v>
      </c>
      <c r="I11" s="55" t="e">
        <f>INDEX(#REF!,MATCH(D11,#REF!,0))</f>
        <v>#REF!</v>
      </c>
      <c r="J11" s="261" t="str">
        <f>INDEX('Master '!$AD$2:AD$65,MATCH(D11,'Master '!$D$2:$D$65,0))</f>
        <v>Base Period</v>
      </c>
      <c r="K11" s="567">
        <f>INDEX('Master '!$N$2:N$65,MATCH(D11,'Master '!$D$2:$D$65,0))</f>
        <v>0</v>
      </c>
      <c r="L11" s="290">
        <f>INDEX('Master '!$S$2:S$65,MATCH(D11,'Master '!$D$2:$D$65,0))</f>
        <v>0</v>
      </c>
      <c r="M11" s="1">
        <f>INDEX('Master '!$W$2:W$65,MATCH(D11,'Master '!$D$2:$D$65,0))</f>
        <v>70919.389999999985</v>
      </c>
      <c r="N11" s="56">
        <f>IFERROR(INDEX('Monthly VOL'!$N$2:$CG$65,MATCH($D11,'Monthly VOL'!$D$2:$D$65,0),MATCH(N$1,'Monthly VOL'!$N$1:$CG$1,0))/INDEX('Monthly CUST'!$N$2:$CG$65,MATCH($D11,'Monthly CUST'!$D$2:$D$65,0),MATCH(N$1,'Monthly CUST'!$N$1:$CG$1,0)),0)</f>
        <v>0</v>
      </c>
      <c r="O11" s="56">
        <f>IFERROR(INDEX('Monthly VOL'!$N$2:$CG$65,MATCH($D11,'Monthly VOL'!$D$2:$D$65,0),MATCH(O$1,'Monthly VOL'!$N$1:$CG$1,0))/INDEX('Monthly CUST'!$N$2:$CG$65,MATCH($D11,'Monthly CUST'!$D$2:$D$65,0),MATCH(O$1,'Monthly CUST'!$N$1:$CG$1,0)),0)</f>
        <v>0</v>
      </c>
      <c r="P11" s="56">
        <f>IFERROR(INDEX('Monthly VOL'!$N$2:$CG$65,MATCH($D11,'Monthly VOL'!$D$2:$D$65,0),MATCH(P$1,'Monthly VOL'!$N$1:$CG$1,0))/INDEX('Monthly CUST'!$N$2:$CG$65,MATCH($D11,'Monthly CUST'!$D$2:$D$65,0),MATCH(P$1,'Monthly CUST'!$N$1:$CG$1,0)),0)</f>
        <v>0</v>
      </c>
      <c r="Q11" s="56">
        <f>IFERROR(INDEX('Monthly VOL'!$N$2:$CG$65,MATCH($D11,'Monthly VOL'!$D$2:$D$65,0),MATCH(Q$1,'Monthly VOL'!$N$1:$CG$1,0))/INDEX('Monthly CUST'!$N$2:$CG$65,MATCH($D11,'Monthly CUST'!$D$2:$D$65,0),MATCH(Q$1,'Monthly CUST'!$N$1:$CG$1,0)),0)</f>
        <v>0</v>
      </c>
      <c r="R11" s="56">
        <f>IFERROR(INDEX('Monthly VOL'!$N$2:$CG$65,MATCH($D11,'Monthly VOL'!$D$2:$D$65,0),MATCH(R$1,'Monthly VOL'!$N$1:$CG$1,0))/INDEX('Monthly CUST'!$N$2:$CG$65,MATCH($D11,'Monthly CUST'!$D$2:$D$65,0),MATCH(R$1,'Monthly CUST'!$N$1:$CG$1,0)),0)</f>
        <v>0</v>
      </c>
      <c r="S11" s="56">
        <f>IFERROR(INDEX('Monthly VOL'!$N$2:$CG$65,MATCH($D11,'Monthly VOL'!$D$2:$D$65,0),MATCH(S$1,'Monthly VOL'!$N$1:$CG$1,0))/INDEX('Monthly CUST'!$N$2:$CG$65,MATCH($D11,'Monthly CUST'!$D$2:$D$65,0),MATCH(S$1,'Monthly CUST'!$N$1:$CG$1,0)),0)</f>
        <v>0</v>
      </c>
      <c r="T11" s="56">
        <f>IFERROR(INDEX('Monthly VOL'!$N$2:$CG$65,MATCH($D11,'Monthly VOL'!$D$2:$D$65,0),MATCH(T$1,'Monthly VOL'!$N$1:$CG$1,0))/INDEX('Monthly CUST'!$N$2:$CG$65,MATCH($D11,'Monthly CUST'!$D$2:$D$65,0),MATCH(T$1,'Monthly CUST'!$N$1:$CG$1,0)),0)</f>
        <v>0</v>
      </c>
      <c r="U11" s="56">
        <f>IFERROR(INDEX('Monthly VOL'!$N$2:$CG$65,MATCH($D11,'Monthly VOL'!$D$2:$D$65,0),MATCH(U$1,'Monthly VOL'!$N$1:$CG$1,0))/INDEX('Monthly CUST'!$N$2:$CG$65,MATCH($D11,'Monthly CUST'!$D$2:$D$65,0),MATCH(U$1,'Monthly CUST'!$N$1:$CG$1,0)),0)</f>
        <v>0</v>
      </c>
      <c r="V11" s="56">
        <f>IFERROR(INDEX('Monthly VOL'!$N$2:$CG$65,MATCH($D11,'Monthly VOL'!$D$2:$D$65,0),MATCH(V$1,'Monthly VOL'!$N$1:$CG$1,0))/INDEX('Monthly CUST'!$N$2:$CG$65,MATCH($D11,'Monthly CUST'!$D$2:$D$65,0),MATCH(V$1,'Monthly CUST'!$N$1:$CG$1,0)),0)</f>
        <v>0</v>
      </c>
      <c r="W11" s="56">
        <f>IFERROR(INDEX('Monthly VOL'!$N$2:$CG$65,MATCH($D11,'Monthly VOL'!$D$2:$D$65,0),MATCH(W$1,'Monthly VOL'!$N$1:$CG$1,0))/INDEX('Monthly CUST'!$N$2:$CG$65,MATCH($D11,'Monthly CUST'!$D$2:$D$65,0),MATCH(W$1,'Monthly CUST'!$N$1:$CG$1,0)),0)</f>
        <v>0</v>
      </c>
      <c r="X11" s="56">
        <f>IFERROR(INDEX('Monthly VOL'!$N$2:$CG$65,MATCH($D11,'Monthly VOL'!$D$2:$D$65,0),MATCH(X$1,'Monthly VOL'!$N$1:$CG$1,0))/INDEX('Monthly CUST'!$N$2:$CG$65,MATCH($D11,'Monthly CUST'!$D$2:$D$65,0),MATCH(X$1,'Monthly CUST'!$N$1:$CG$1,0)),0)</f>
        <v>0</v>
      </c>
      <c r="Y11" s="56">
        <f>IFERROR(INDEX('Monthly VOL'!$N$2:$CG$65,MATCH($D11,'Monthly VOL'!$D$2:$D$65,0),MATCH(Y$1,'Monthly VOL'!$N$1:$CG$1,0))/INDEX('Monthly CUST'!$N$2:$CG$65,MATCH($D11,'Monthly CUST'!$D$2:$D$65,0),MATCH(Y$1,'Monthly CUST'!$N$1:$CG$1,0)),0)</f>
        <v>0</v>
      </c>
      <c r="Z11" s="56">
        <f>IFERROR(INDEX('Monthly VOL'!$N$2:$CG$65,MATCH($D11,'Monthly VOL'!$D$2:$D$65,0),MATCH(Z$1,'Monthly VOL'!$N$1:$CG$1,0))/INDEX('Monthly CUST'!$N$2:$CG$65,MATCH($D11,'Monthly CUST'!$D$2:$D$65,0),MATCH(Z$1,'Monthly CUST'!$N$1:$CG$1,0)),0)</f>
        <v>0</v>
      </c>
      <c r="AA11" s="56">
        <f>IFERROR(INDEX('Monthly VOL'!$N$2:$CG$65,MATCH($D11,'Monthly VOL'!$D$2:$D$65,0),MATCH(AA$1,'Monthly VOL'!$N$1:$CG$1,0))/INDEX('Monthly CUST'!$N$2:$CG$65,MATCH($D11,'Monthly CUST'!$D$2:$D$65,0),MATCH(AA$1,'Monthly CUST'!$N$1:$CG$1,0)),0)</f>
        <v>0</v>
      </c>
      <c r="AB11" s="56">
        <f>IFERROR(INDEX('Monthly VOL'!$N$2:$CG$65,MATCH($D11,'Monthly VOL'!$D$2:$D$65,0),MATCH(AB$1,'Monthly VOL'!$N$1:$CG$1,0))/INDEX('Monthly CUST'!$N$2:$CG$65,MATCH($D11,'Monthly CUST'!$D$2:$D$65,0),MATCH(AB$1,'Monthly CUST'!$N$1:$CG$1,0)),0)</f>
        <v>0</v>
      </c>
      <c r="AC11" s="56">
        <f>IFERROR(INDEX('Monthly VOL'!$N$2:$CG$65,MATCH($D11,'Monthly VOL'!$D$2:$D$65,0),MATCH(AC$1,'Monthly VOL'!$N$1:$CG$1,0))/INDEX('Monthly CUST'!$N$2:$CG$65,MATCH($D11,'Monthly CUST'!$D$2:$D$65,0),MATCH(AC$1,'Monthly CUST'!$N$1:$CG$1,0)),0)</f>
        <v>0</v>
      </c>
      <c r="AD11" s="56">
        <f>IFERROR(INDEX('Monthly VOL'!$N$2:$CG$65,MATCH($D11,'Monthly VOL'!$D$2:$D$65,0),MATCH(AD$1,'Monthly VOL'!$N$1:$CG$1,0))/INDEX('Monthly CUST'!$N$2:$CG$65,MATCH($D11,'Monthly CUST'!$D$2:$D$65,0),MATCH(AD$1,'Monthly CUST'!$N$1:$CG$1,0)),0)</f>
        <v>0</v>
      </c>
      <c r="AE11" s="56">
        <f>IFERROR(INDEX('Monthly VOL'!$N$2:$CG$65,MATCH($D11,'Monthly VOL'!$D$2:$D$65,0),MATCH(AE$1,'Monthly VOL'!$N$1:$CG$1,0))/INDEX('Monthly CUST'!$N$2:$CG$65,MATCH($D11,'Monthly CUST'!$D$2:$D$65,0),MATCH(AE$1,'Monthly CUST'!$N$1:$CG$1,0)),0)</f>
        <v>0</v>
      </c>
      <c r="AF11" s="56">
        <f>IFERROR(INDEX('Monthly VOL'!$N$2:$CG$65,MATCH($D11,'Monthly VOL'!$D$2:$D$65,0),MATCH(AF$1,'Monthly VOL'!$N$1:$CG$1,0))/INDEX('Monthly CUST'!$N$2:$CG$65,MATCH($D11,'Monthly CUST'!$D$2:$D$65,0),MATCH(AF$1,'Monthly CUST'!$N$1:$CG$1,0)),0)</f>
        <v>0</v>
      </c>
      <c r="AG11" s="56">
        <f>IFERROR(INDEX('Monthly VOL'!$N$2:$CG$65,MATCH($D11,'Monthly VOL'!$D$2:$D$65,0),MATCH(AG$1,'Monthly VOL'!$N$1:$CG$1,0))/INDEX('Monthly CUST'!$N$2:$CG$65,MATCH($D11,'Monthly CUST'!$D$2:$D$65,0),MATCH(AG$1,'Monthly CUST'!$N$1:$CG$1,0)),0)</f>
        <v>0</v>
      </c>
      <c r="AH11" s="56">
        <f>IFERROR(INDEX('Monthly VOL'!$N$2:$CG$65,MATCH($D11,'Monthly VOL'!$D$2:$D$65,0),MATCH(AH$1,'Monthly VOL'!$N$1:$CG$1,0))/INDEX('Monthly CUST'!$N$2:$CG$65,MATCH($D11,'Monthly CUST'!$D$2:$D$65,0),MATCH(AH$1,'Monthly CUST'!$N$1:$CG$1,0)),0)</f>
        <v>0</v>
      </c>
      <c r="AI11" s="56">
        <f>IFERROR(INDEX('Monthly VOL'!$N$2:$CG$65,MATCH($D11,'Monthly VOL'!$D$2:$D$65,0),MATCH(AI$1,'Monthly VOL'!$N$1:$CG$1,0))/INDEX('Monthly CUST'!$N$2:$CG$65,MATCH($D11,'Monthly CUST'!$D$2:$D$65,0),MATCH(AI$1,'Monthly CUST'!$N$1:$CG$1,0)),0)</f>
        <v>0</v>
      </c>
      <c r="AJ11" s="56">
        <f>IFERROR(INDEX('Monthly VOL'!$N$2:$CG$65,MATCH($D11,'Monthly VOL'!$D$2:$D$65,0),MATCH(AJ$1,'Monthly VOL'!$N$1:$CG$1,0))/INDEX('Monthly CUST'!$N$2:$CG$65,MATCH($D11,'Monthly CUST'!$D$2:$D$65,0),MATCH(AJ$1,'Monthly CUST'!$N$1:$CG$1,0)),0)</f>
        <v>0</v>
      </c>
      <c r="AK11" s="56">
        <f>IFERROR(INDEX('Monthly VOL'!$N$2:$CG$65,MATCH($D11,'Monthly VOL'!$D$2:$D$65,0),MATCH(AK$1,'Monthly VOL'!$N$1:$CG$1,0))/INDEX('Monthly CUST'!$N$2:$CG$65,MATCH($D11,'Monthly CUST'!$D$2:$D$65,0),MATCH(AK$1,'Monthly CUST'!$N$1:$CG$1,0)),0)</f>
        <v>0</v>
      </c>
      <c r="AL11" s="56">
        <f>IFERROR(INDEX('Monthly VOL'!$N$2:$CG$65,MATCH($D11,'Monthly VOL'!$D$2:$D$65,0),MATCH(AL$1,'Monthly VOL'!$N$1:$CG$1,0))/INDEX('Monthly CUST'!$N$2:$CG$65,MATCH($D11,'Monthly CUST'!$D$2:$D$65,0),MATCH(AL$1,'Monthly CUST'!$N$1:$CG$1,0)),0)</f>
        <v>0</v>
      </c>
      <c r="AM11" s="56">
        <f>IFERROR(INDEX('Monthly VOL'!$N$2:$CG$65,MATCH($D11,'Monthly VOL'!$D$2:$D$65,0),MATCH(AM$1,'Monthly VOL'!$N$1:$CG$1,0))/INDEX('Monthly CUST'!$N$2:$CG$65,MATCH($D11,'Monthly CUST'!$D$2:$D$65,0),MATCH(AM$1,'Monthly CUST'!$N$1:$CG$1,0)),0)</f>
        <v>0</v>
      </c>
      <c r="AN11" s="56">
        <f>IFERROR(INDEX('Monthly VOL'!$N$2:$CG$65,MATCH($D11,'Monthly VOL'!$D$2:$D$65,0),MATCH(AN$1,'Monthly VOL'!$N$1:$CG$1,0))/INDEX('Monthly CUST'!$N$2:$CG$65,MATCH($D11,'Monthly CUST'!$D$2:$D$65,0),MATCH(AN$1,'Monthly CUST'!$N$1:$CG$1,0)),0)</f>
        <v>0</v>
      </c>
      <c r="AO11" s="56">
        <f>IFERROR(INDEX('Monthly VOL'!$N$2:$CG$65,MATCH($D11,'Monthly VOL'!$D$2:$D$65,0),MATCH(AO$1,'Monthly VOL'!$N$1:$CG$1,0))/INDEX('Monthly CUST'!$N$2:$CG$65,MATCH($D11,'Monthly CUST'!$D$2:$D$65,0),MATCH(AO$1,'Monthly CUST'!$N$1:$CG$1,0)),0)</f>
        <v>0</v>
      </c>
      <c r="AP11" s="56">
        <f>IFERROR(INDEX('Monthly VOL'!$N$2:$CG$65,MATCH($D11,'Monthly VOL'!$D$2:$D$65,0),MATCH(AP$1,'Monthly VOL'!$N$1:$CG$1,0))/INDEX('Monthly CUST'!$N$2:$CG$65,MATCH($D11,'Monthly CUST'!$D$2:$D$65,0),MATCH(AP$1,'Monthly CUST'!$N$1:$CG$1,0)),0)</f>
        <v>0</v>
      </c>
      <c r="AQ11" s="56">
        <f>IFERROR(INDEX('Monthly VOL'!$N$2:$CG$65,MATCH($D11,'Monthly VOL'!$D$2:$D$65,0),MATCH(AQ$1,'Monthly VOL'!$N$1:$CG$1,0))/INDEX('Monthly CUST'!$N$2:$CG$65,MATCH($D11,'Monthly CUST'!$D$2:$D$65,0),MATCH(AQ$1,'Monthly CUST'!$N$1:$CG$1,0)),0)</f>
        <v>0</v>
      </c>
      <c r="AR11" s="56">
        <f>IFERROR(INDEX('Monthly VOL'!$N$2:$CG$65,MATCH($D11,'Monthly VOL'!$D$2:$D$65,0),MATCH(AR$1,'Monthly VOL'!$N$1:$CG$1,0))/INDEX('Monthly CUST'!$N$2:$CG$65,MATCH($D11,'Monthly CUST'!$D$2:$D$65,0),MATCH(AR$1,'Monthly CUST'!$N$1:$CG$1,0)),0)</f>
        <v>0</v>
      </c>
      <c r="AS11" s="56">
        <f>IFERROR(INDEX('Monthly VOL'!$N$2:$CG$65,MATCH($D11,'Monthly VOL'!$D$2:$D$65,0),MATCH(AS$1,'Monthly VOL'!$N$1:$CG$1,0))/INDEX('Monthly CUST'!$N$2:$CG$65,MATCH($D11,'Monthly CUST'!$D$2:$D$65,0),MATCH(AS$1,'Monthly CUST'!$N$1:$CG$1,0)),0)</f>
        <v>0</v>
      </c>
      <c r="AT11" s="56">
        <f>IFERROR(INDEX('Monthly VOL'!$N$2:$CG$65,MATCH($D11,'Monthly VOL'!$D$2:$D$65,0),MATCH(AT$1,'Monthly VOL'!$N$1:$CG$1,0))/INDEX('Monthly CUST'!$N$2:$CG$65,MATCH($D11,'Monthly CUST'!$D$2:$D$65,0),MATCH(AT$1,'Monthly CUST'!$N$1:$CG$1,0)),0)</f>
        <v>0</v>
      </c>
      <c r="AU11" s="56">
        <f>IFERROR(INDEX('Monthly VOL'!$N$2:$CG$65,MATCH($D11,'Monthly VOL'!$D$2:$D$65,0),MATCH(AU$1,'Monthly VOL'!$N$1:$CG$1,0))/INDEX('Monthly CUST'!$N$2:$CG$65,MATCH($D11,'Monthly CUST'!$D$2:$D$65,0),MATCH(AU$1,'Monthly CUST'!$N$1:$CG$1,0)),0)</f>
        <v>0</v>
      </c>
      <c r="AV11" s="56">
        <f>IFERROR(INDEX('Monthly VOL'!$N$2:$CG$65,MATCH($D11,'Monthly VOL'!$D$2:$D$65,0),MATCH(AV$1,'Monthly VOL'!$N$1:$CG$1,0))/INDEX('Monthly CUST'!$N$2:$CG$65,MATCH($D11,'Monthly CUST'!$D$2:$D$65,0),MATCH(AV$1,'Monthly CUST'!$N$1:$CG$1,0)),0)</f>
        <v>0</v>
      </c>
      <c r="AW11" s="56">
        <f>IFERROR(INDEX('Monthly VOL'!$N$2:$CG$65,MATCH($D11,'Monthly VOL'!$D$2:$D$65,0),MATCH(AW$1,'Monthly VOL'!$N$1:$CG$1,0))/INDEX('Monthly CUST'!$N$2:$CG$65,MATCH($D11,'Monthly CUST'!$D$2:$D$65,0),MATCH(AW$1,'Monthly CUST'!$N$1:$CG$1,0)),0)</f>
        <v>0</v>
      </c>
      <c r="AX11" s="56">
        <f>IFERROR(INDEX('Monthly VOL'!$N$2:$CG$65,MATCH($D11,'Monthly VOL'!$D$2:$D$65,0),MATCH(AX$1,'Monthly VOL'!$N$1:$CG$1,0))/INDEX('Monthly CUST'!$N$2:$CG$65,MATCH($D11,'Monthly CUST'!$D$2:$D$65,0),MATCH(AX$1,'Monthly CUST'!$N$1:$CG$1,0)),0)</f>
        <v>7477.89</v>
      </c>
      <c r="AY11" s="56">
        <f>IFERROR(INDEX('Monthly VOL'!$N$2:$CG$65,MATCH($D11,'Monthly VOL'!$D$2:$D$65,0),MATCH(AY$1,'Monthly VOL'!$N$1:$CG$1,0))/INDEX('Monthly CUST'!$N$2:$CG$65,MATCH($D11,'Monthly CUST'!$D$2:$D$65,0),MATCH(AY$1,'Monthly CUST'!$N$1:$CG$1,0)),0)</f>
        <v>6908.29</v>
      </c>
      <c r="AZ11" s="56">
        <f>IFERROR(INDEX('Monthly VOL'!$N$2:$CG$65,MATCH($D11,'Monthly VOL'!$D$2:$D$65,0),MATCH(AZ$1,'Monthly VOL'!$N$1:$CG$1,0))/INDEX('Monthly CUST'!$N$2:$CG$65,MATCH($D11,'Monthly CUST'!$D$2:$D$65,0),MATCH(AZ$1,'Monthly CUST'!$N$1:$CG$1,0)),0)</f>
        <v>5480.78</v>
      </c>
      <c r="BA11" s="56">
        <f>IFERROR(INDEX('Monthly VOL'!$N$2:$CG$65,MATCH($D11,'Monthly VOL'!$D$2:$D$65,0),MATCH(BA$1,'Monthly VOL'!$N$1:$CG$1,0))/INDEX('Monthly CUST'!$N$2:$CG$65,MATCH($D11,'Monthly CUST'!$D$2:$D$65,0),MATCH(BA$1,'Monthly CUST'!$N$1:$CG$1,0)),0)</f>
        <v>6510.28</v>
      </c>
      <c r="BB11" s="56">
        <f>IFERROR(INDEX('Monthly VOL'!$N$2:$CG$65,MATCH($D11,'Monthly VOL'!$D$2:$D$65,0),MATCH(BB$1,'Monthly VOL'!$N$1:$CG$1,0))/INDEX('Monthly CUST'!$N$2:$CG$65,MATCH($D11,'Monthly CUST'!$D$2:$D$65,0),MATCH(BB$1,'Monthly CUST'!$N$1:$CG$1,0)),0)</f>
        <v>5957.2349999999997</v>
      </c>
      <c r="BC11" s="56">
        <f>IFERROR(INDEX('Monthly VOL'!$N$2:$CG$65,MATCH($D11,'Monthly VOL'!$D$2:$D$65,0),MATCH(BC$1,'Monthly VOL'!$N$1:$CG$1,0))/INDEX('Monthly CUST'!$N$2:$CG$65,MATCH($D11,'Monthly CUST'!$D$2:$D$65,0),MATCH(BC$1,'Monthly CUST'!$N$1:$CG$1,0)),0)</f>
        <v>5663.6149999999998</v>
      </c>
      <c r="BD11" s="56">
        <f>IFERROR(INDEX('Monthly VOL'!$N$2:$CG$65,MATCH($D11,'Monthly VOL'!$D$2:$D$65,0),MATCH(BD$1,'Monthly VOL'!$N$1:$CG$1,0))/INDEX('Monthly CUST'!$N$2:$CG$65,MATCH($D11,'Monthly CUST'!$D$2:$D$65,0),MATCH(BD$1,'Monthly CUST'!$N$1:$CG$1,0)),0)</f>
        <v>1724.605</v>
      </c>
      <c r="BE11" s="56">
        <f>IFERROR(INDEX('Monthly VOL'!$N$2:$CG$65,MATCH($D11,'Monthly VOL'!$D$2:$D$65,0),MATCH(BE$1,'Monthly VOL'!$N$1:$CG$1,0))/INDEX('Monthly CUST'!$N$2:$CG$65,MATCH($D11,'Monthly CUST'!$D$2:$D$65,0),MATCH(BE$1,'Monthly CUST'!$N$1:$CG$1,0)),0)</f>
        <v>6915.6749999999993</v>
      </c>
      <c r="BF11" s="56">
        <f>IFERROR(INDEX('Monthly VOL'!$N$2:$CG$65,MATCH($D11,'Monthly VOL'!$D$2:$D$65,0),MATCH(BF$1,'Monthly VOL'!$N$1:$CG$1,0))/INDEX('Monthly CUST'!$N$2:$CG$65,MATCH($D11,'Monthly CUST'!$D$2:$D$65,0),MATCH(BF$1,'Monthly CUST'!$N$1:$CG$1,0)),0)</f>
        <v>4245.9549999999999</v>
      </c>
      <c r="BG11" s="56">
        <f>IFERROR(INDEX('Monthly VOL'!$N$2:$CG$65,MATCH($D11,'Monthly VOL'!$D$2:$D$65,0),MATCH(BG$1,'Monthly VOL'!$N$1:$CG$1,0))/INDEX('Monthly CUST'!$N$2:$CG$65,MATCH($D11,'Monthly CUST'!$D$2:$D$65,0),MATCH(BG$1,'Monthly CUST'!$N$1:$CG$1,0)),0)</f>
        <v>5517.74</v>
      </c>
      <c r="BH11" s="56">
        <f>IFERROR(INDEX('Monthly VOL'!$N$2:$CG$65,MATCH($D11,'Monthly VOL'!$D$2:$D$65,0),MATCH(BH$1,'Monthly VOL'!$N$1:$CG$1,0))/INDEX('Monthly CUST'!$N$2:$CG$65,MATCH($D11,'Monthly CUST'!$D$2:$D$65,0),MATCH(BH$1,'Monthly CUST'!$N$1:$CG$1,0)),0)</f>
        <v>6743.5950000000003</v>
      </c>
      <c r="BI11" s="56">
        <f>IFERROR(INDEX('Monthly VOL'!$N$2:$CG$65,MATCH($D11,'Monthly VOL'!$D$2:$D$65,0),MATCH(BI$1,'Monthly VOL'!$N$1:$CG$1,0))/INDEX('Monthly CUST'!$N$2:$CG$65,MATCH($D11,'Monthly CUST'!$D$2:$D$65,0),MATCH(BI$1,'Monthly CUST'!$N$1:$CG$1,0)),0)</f>
        <v>7773.73</v>
      </c>
      <c r="BJ11" s="56">
        <f>IFERROR(INDEX('Monthly VOL'!$N$2:$CG$65,MATCH($D11,'Monthly VOL'!$D$2:$D$65,0),MATCH(BJ$1,'Monthly VOL'!$N$1:$CG$1,0))/INDEX('Monthly CUST'!$N$2:$CG$65,MATCH($D11,'Monthly CUST'!$D$2:$D$65,0),MATCH(BJ$1,'Monthly CUST'!$N$1:$CG$1,0)),0)</f>
        <v>7477.89</v>
      </c>
      <c r="BK11" s="56">
        <f>IFERROR(INDEX('Monthly VOL'!$N$2:$CG$65,MATCH($D11,'Monthly VOL'!$D$2:$D$65,0),MATCH(BK$1,'Monthly VOL'!$N$1:$CG$1,0))/INDEX('Monthly CUST'!$N$2:$CG$65,MATCH($D11,'Monthly CUST'!$D$2:$D$65,0),MATCH(BK$1,'Monthly CUST'!$N$1:$CG$1,0)),0)</f>
        <v>6908.29</v>
      </c>
      <c r="BL11" s="56">
        <f>IFERROR(INDEX('Monthly VOL'!$N$2:$CG$65,MATCH($D11,'Monthly VOL'!$D$2:$D$65,0),MATCH(BL$1,'Monthly VOL'!$N$1:$CG$1,0))/INDEX('Monthly CUST'!$N$2:$CG$65,MATCH($D11,'Monthly CUST'!$D$2:$D$65,0),MATCH(BL$1,'Monthly CUST'!$N$1:$CG$1,0)),0)</f>
        <v>5480.78</v>
      </c>
      <c r="BM11" s="56">
        <f>IFERROR(INDEX('Monthly VOL'!$N$2:$CG$65,MATCH($D11,'Monthly VOL'!$D$2:$D$65,0),MATCH(BM$1,'Monthly VOL'!$N$1:$CG$1,0))/INDEX('Monthly CUST'!$N$2:$CG$65,MATCH($D11,'Monthly CUST'!$D$2:$D$65,0),MATCH(BM$1,'Monthly CUST'!$N$1:$CG$1,0)),0)</f>
        <v>6510.28</v>
      </c>
      <c r="BN11" s="56">
        <f>IFERROR(INDEX('Monthly VOL'!$N$2:$CG$65,MATCH($D11,'Monthly VOL'!$D$2:$D$65,0),MATCH(BN$1,'Monthly VOL'!$N$1:$CG$1,0))/INDEX('Monthly CUST'!$N$2:$CG$65,MATCH($D11,'Monthly CUST'!$D$2:$D$65,0),MATCH(BN$1,'Monthly CUST'!$N$1:$CG$1,0)),0)</f>
        <v>5957.2349999999997</v>
      </c>
      <c r="BO11" s="56">
        <f>IFERROR(INDEX('Monthly VOL'!$N$2:$CG$65,MATCH($D11,'Monthly VOL'!$D$2:$D$65,0),MATCH(BO$1,'Monthly VOL'!$N$1:$CG$1,0))/INDEX('Monthly CUST'!$N$2:$CG$65,MATCH($D11,'Monthly CUST'!$D$2:$D$65,0),MATCH(BO$1,'Monthly CUST'!$N$1:$CG$1,0)),0)</f>
        <v>5663.6149999999998</v>
      </c>
      <c r="BP11" s="56">
        <f>IFERROR(INDEX('Monthly VOL'!$N$2:$CG$65,MATCH($D11,'Monthly VOL'!$D$2:$D$65,0),MATCH(BP$1,'Monthly VOL'!$N$1:$CG$1,0))/INDEX('Monthly CUST'!$N$2:$CG$65,MATCH($D11,'Monthly CUST'!$D$2:$D$65,0),MATCH(BP$1,'Monthly CUST'!$N$1:$CG$1,0)),0)</f>
        <v>1724.605</v>
      </c>
      <c r="BQ11" s="56">
        <f>IFERROR(INDEX('Monthly VOL'!$N$2:$CG$65,MATCH($D11,'Monthly VOL'!$D$2:$D$65,0),MATCH(BQ$1,'Monthly VOL'!$N$1:$CG$1,0))/INDEX('Monthly CUST'!$N$2:$CG$65,MATCH($D11,'Monthly CUST'!$D$2:$D$65,0),MATCH(BQ$1,'Monthly CUST'!$N$1:$CG$1,0)),0)</f>
        <v>6915.6749999999993</v>
      </c>
      <c r="BR11" s="56">
        <f>IFERROR(INDEX('Monthly VOL'!$N$2:$CG$65,MATCH($D11,'Monthly VOL'!$D$2:$D$65,0),MATCH(BR$1,'Monthly VOL'!$N$1:$CG$1,0))/INDEX('Monthly CUST'!$N$2:$CG$65,MATCH($D11,'Monthly CUST'!$D$2:$D$65,0),MATCH(BR$1,'Monthly CUST'!$N$1:$CG$1,0)),0)</f>
        <v>4245.9549999999999</v>
      </c>
      <c r="BS11" s="56">
        <f>IFERROR(INDEX('Monthly VOL'!$N$2:$CG$65,MATCH($D11,'Monthly VOL'!$D$2:$D$65,0),MATCH(BS$1,'Monthly VOL'!$N$1:$CG$1,0))/INDEX('Monthly CUST'!$N$2:$CG$65,MATCH($D11,'Monthly CUST'!$D$2:$D$65,0),MATCH(BS$1,'Monthly CUST'!$N$1:$CG$1,0)),0)</f>
        <v>5517.74</v>
      </c>
      <c r="BT11" s="56">
        <f>IFERROR(INDEX('Monthly VOL'!$N$2:$CG$65,MATCH($D11,'Monthly VOL'!$D$2:$D$65,0),MATCH(BT$1,'Monthly VOL'!$N$1:$CG$1,0))/INDEX('Monthly CUST'!$N$2:$CG$65,MATCH($D11,'Monthly CUST'!$D$2:$D$65,0),MATCH(BT$1,'Monthly CUST'!$N$1:$CG$1,0)),0)</f>
        <v>6743.5950000000003</v>
      </c>
      <c r="BU11" s="56">
        <f>IFERROR(INDEX('Monthly VOL'!$N$2:$CG$65,MATCH($D11,'Monthly VOL'!$D$2:$D$65,0),MATCH(BU$1,'Monthly VOL'!$N$1:$CG$1,0))/INDEX('Monthly CUST'!$N$2:$CG$65,MATCH($D11,'Monthly CUST'!$D$2:$D$65,0),MATCH(BU$1,'Monthly CUST'!$N$1:$CG$1,0)),0)</f>
        <v>7773.73</v>
      </c>
      <c r="BV11" s="56">
        <f>IFERROR(INDEX('Monthly VOL'!$N$2:$CG$65,MATCH($D11,'Monthly VOL'!$D$2:$D$65,0),MATCH(BV$1,'Monthly VOL'!$N$1:$CG$1,0))/INDEX('Monthly CUST'!$N$2:$CG$65,MATCH($D11,'Monthly CUST'!$D$2:$D$65,0),MATCH(BV$1,'Monthly CUST'!$N$1:$CG$1,0)),0)</f>
        <v>7477.89</v>
      </c>
      <c r="BW11" s="56">
        <f>IFERROR(INDEX('Monthly VOL'!$N$2:$CG$65,MATCH($D11,'Monthly VOL'!$D$2:$D$65,0),MATCH(BW$1,'Monthly VOL'!$N$1:$CG$1,0))/INDEX('Monthly CUST'!$N$2:$CG$65,MATCH($D11,'Monthly CUST'!$D$2:$D$65,0),MATCH(BW$1,'Monthly CUST'!$N$1:$CG$1,0)),0)</f>
        <v>6908.29</v>
      </c>
      <c r="BX11" s="56">
        <f>IFERROR(INDEX('Monthly VOL'!$N$2:$CG$65,MATCH($D11,'Monthly VOL'!$D$2:$D$65,0),MATCH(BX$1,'Monthly VOL'!$N$1:$CG$1,0))/INDEX('Monthly CUST'!$N$2:$CG$65,MATCH($D11,'Monthly CUST'!$D$2:$D$65,0),MATCH(BX$1,'Monthly CUST'!$N$1:$CG$1,0)),0)</f>
        <v>5480.78</v>
      </c>
      <c r="BY11" s="56">
        <f>IFERROR(INDEX('Monthly VOL'!$N$2:$CG$65,MATCH($D11,'Monthly VOL'!$D$2:$D$65,0),MATCH(BY$1,'Monthly VOL'!$N$1:$CG$1,0))/INDEX('Monthly CUST'!$N$2:$CG$65,MATCH($D11,'Monthly CUST'!$D$2:$D$65,0),MATCH(BY$1,'Monthly CUST'!$N$1:$CG$1,0)),0)</f>
        <v>6510.28</v>
      </c>
      <c r="BZ11" s="56">
        <f>IFERROR(INDEX('Monthly VOL'!$N$2:$CG$65,MATCH($D11,'Monthly VOL'!$D$2:$D$65,0),MATCH(BZ$1,'Monthly VOL'!$N$1:$CG$1,0))/INDEX('Monthly CUST'!$N$2:$CG$65,MATCH($D11,'Monthly CUST'!$D$2:$D$65,0),MATCH(BZ$1,'Monthly CUST'!$N$1:$CG$1,0)),0)</f>
        <v>5957.2349999999997</v>
      </c>
      <c r="CA11" s="56">
        <f>IFERROR(INDEX('Monthly VOL'!$N$2:$CG$65,MATCH($D11,'Monthly VOL'!$D$2:$D$65,0),MATCH(CA$1,'Monthly VOL'!$N$1:$CG$1,0))/INDEX('Monthly CUST'!$N$2:$CG$65,MATCH($D11,'Monthly CUST'!$D$2:$D$65,0),MATCH(CA$1,'Monthly CUST'!$N$1:$CG$1,0)),0)</f>
        <v>5663.6149999999998</v>
      </c>
      <c r="CB11" s="56">
        <f>IFERROR(INDEX('Monthly VOL'!$N$2:$CG$65,MATCH($D11,'Monthly VOL'!$D$2:$D$65,0),MATCH(CB$1,'Monthly VOL'!$N$1:$CG$1,0))/INDEX('Monthly CUST'!$N$2:$CG$65,MATCH($D11,'Monthly CUST'!$D$2:$D$65,0),MATCH(CB$1,'Monthly CUST'!$N$1:$CG$1,0)),0)</f>
        <v>1724.605</v>
      </c>
      <c r="CC11" s="56">
        <f>IFERROR(INDEX('Monthly VOL'!$N$2:$CG$65,MATCH($D11,'Monthly VOL'!$D$2:$D$65,0),MATCH(CC$1,'Monthly VOL'!$N$1:$CG$1,0))/INDEX('Monthly CUST'!$N$2:$CG$65,MATCH($D11,'Monthly CUST'!$D$2:$D$65,0),MATCH(CC$1,'Monthly CUST'!$N$1:$CG$1,0)),0)</f>
        <v>6915.6749999999993</v>
      </c>
      <c r="CD11" s="56">
        <f>IFERROR(INDEX('Monthly VOL'!$N$2:$CG$65,MATCH($D11,'Monthly VOL'!$D$2:$D$65,0),MATCH(CD$1,'Monthly VOL'!$N$1:$CG$1,0))/INDEX('Monthly CUST'!$N$2:$CG$65,MATCH($D11,'Monthly CUST'!$D$2:$D$65,0),MATCH(CD$1,'Monthly CUST'!$N$1:$CG$1,0)),0)</f>
        <v>4245.9549999999999</v>
      </c>
      <c r="CE11" s="56">
        <f>IFERROR(INDEX('Monthly VOL'!$N$2:$CG$65,MATCH($D11,'Monthly VOL'!$D$2:$D$65,0),MATCH(CE$1,'Monthly VOL'!$N$1:$CG$1,0))/INDEX('Monthly CUST'!$N$2:$CG$65,MATCH($D11,'Monthly CUST'!$D$2:$D$65,0),MATCH(CE$1,'Monthly CUST'!$N$1:$CG$1,0)),0)</f>
        <v>5517.74</v>
      </c>
      <c r="CF11" s="56">
        <f>IFERROR(INDEX('Monthly VOL'!$N$2:$CG$65,MATCH($D11,'Monthly VOL'!$D$2:$D$65,0),MATCH(CF$1,'Monthly VOL'!$N$1:$CG$1,0))/INDEX('Monthly CUST'!$N$2:$CG$65,MATCH($D11,'Monthly CUST'!$D$2:$D$65,0),MATCH(CF$1,'Monthly CUST'!$N$1:$CG$1,0)),0)</f>
        <v>6743.5950000000003</v>
      </c>
      <c r="CG11" s="56">
        <f>IFERROR(INDEX('Monthly VOL'!$N$2:$CG$65,MATCH($D11,'Monthly VOL'!$D$2:$D$65,0),MATCH(CG$1,'Monthly VOL'!$N$1:$CG$1,0))/INDEX('Monthly CUST'!$N$2:$CG$65,MATCH($D11,'Monthly CUST'!$D$2:$D$65,0),MATCH(CG$1,'Monthly CUST'!$N$1:$CG$1,0)),0)</f>
        <v>7773.73</v>
      </c>
      <c r="CH11" s="264"/>
      <c r="CI11" s="264"/>
      <c r="CJ11" s="264"/>
      <c r="CM11" s="569">
        <f t="shared" si="0"/>
        <v>2492.63</v>
      </c>
      <c r="CN11" s="569">
        <f t="shared" si="1"/>
        <v>2302.7633333333333</v>
      </c>
      <c r="CO11" s="569">
        <f t="shared" si="2"/>
        <v>1826.9266666666665</v>
      </c>
      <c r="CP11" s="569">
        <f t="shared" si="3"/>
        <v>2170.0933333333332</v>
      </c>
      <c r="CQ11" s="569">
        <f t="shared" si="4"/>
        <v>1985.7449999999999</v>
      </c>
      <c r="CR11" s="569">
        <f t="shared" si="5"/>
        <v>1887.8716666666667</v>
      </c>
      <c r="CS11" s="569">
        <f t="shared" si="6"/>
        <v>574.86833333333334</v>
      </c>
      <c r="CT11" s="569">
        <f t="shared" si="7"/>
        <v>2305.2249999999999</v>
      </c>
      <c r="CU11" s="569">
        <f t="shared" si="8"/>
        <v>1415.3183333333334</v>
      </c>
      <c r="CV11" s="569">
        <f t="shared" si="9"/>
        <v>1839.2466666666667</v>
      </c>
      <c r="CW11" s="569">
        <f t="shared" si="10"/>
        <v>2247.8650000000002</v>
      </c>
      <c r="CX11" s="569">
        <f t="shared" si="11"/>
        <v>2591.2433333333333</v>
      </c>
      <c r="CY11" s="569">
        <f t="shared" si="12"/>
        <v>2492.63</v>
      </c>
      <c r="CZ11" s="569">
        <f t="shared" si="13"/>
        <v>2302.7633333333333</v>
      </c>
      <c r="DA11" s="569">
        <f t="shared" si="14"/>
        <v>1826.9266666666665</v>
      </c>
      <c r="DB11" s="569">
        <f t="shared" si="15"/>
        <v>2170.0933333333332</v>
      </c>
      <c r="DC11" s="569">
        <f t="shared" si="16"/>
        <v>1985.7449999999999</v>
      </c>
      <c r="DD11" s="569">
        <f t="shared" si="17"/>
        <v>1887.8716666666667</v>
      </c>
      <c r="DE11" s="569">
        <f t="shared" si="18"/>
        <v>574.86833333333334</v>
      </c>
      <c r="DF11" s="569">
        <f t="shared" si="19"/>
        <v>2305.2249999999999</v>
      </c>
      <c r="DG11" s="569">
        <f t="shared" si="20"/>
        <v>1415.3183333333334</v>
      </c>
      <c r="DH11" s="569">
        <f t="shared" si="21"/>
        <v>1839.2466666666667</v>
      </c>
      <c r="DI11" s="569">
        <f t="shared" si="22"/>
        <v>2247.8650000000002</v>
      </c>
      <c r="DJ11" s="569">
        <f t="shared" si="23"/>
        <v>2591.2433333333333</v>
      </c>
    </row>
    <row r="12" spans="1:114" s="261" customFormat="1">
      <c r="A12" s="55" t="s">
        <v>996</v>
      </c>
      <c r="B12" s="55" t="s">
        <v>994</v>
      </c>
      <c r="C12" s="55" t="s">
        <v>8</v>
      </c>
      <c r="D12" s="55" t="s">
        <v>995</v>
      </c>
      <c r="E12" s="55" t="str">
        <f>VLOOKUP(D12,'Input 14_Ref Table'!C:D,2,FALSE)</f>
        <v>FMPA1</v>
      </c>
      <c r="F12" s="172" t="s">
        <v>1286</v>
      </c>
      <c r="G12" s="55" t="str">
        <f>VLOOKUP(D12,'Input 14_Ref Table'!C:I,7,FALSE)</f>
        <v>GCNGV</v>
      </c>
      <c r="H12" s="55" t="str">
        <f>VLOOKUP(D12,'Input 14_Ref Table'!C:K,8,FALSE)</f>
        <v>Base Period</v>
      </c>
      <c r="I12" s="55" t="e">
        <f>INDEX(#REF!,MATCH(D12,#REF!,0))</f>
        <v>#REF!</v>
      </c>
      <c r="J12" s="261" t="str">
        <f>INDEX('Master '!$AD$2:AD$65,MATCH(D12,'Master '!$D$2:$D$65,0))</f>
        <v>Base Period</v>
      </c>
      <c r="K12" s="567">
        <f>INDEX('Master '!$N$2:N$65,MATCH(D12,'Master '!$D$2:$D$65,0))</f>
        <v>0</v>
      </c>
      <c r="L12" s="290">
        <f>INDEX('Master '!$S$2:S$65,MATCH(D12,'Master '!$D$2:$D$65,0))</f>
        <v>0</v>
      </c>
      <c r="M12" s="1">
        <f>INDEX('Master '!$W$2:W$65,MATCH(D12,'Master '!$D$2:$D$65,0))</f>
        <v>0</v>
      </c>
      <c r="N12" s="56">
        <f>IFERROR(INDEX('Monthly VOL'!$N$2:$CG$65,MATCH($D12,'Monthly VOL'!$D$2:$D$65,0),MATCH(N$1,'Monthly VOL'!$N$1:$CG$1,0))/INDEX('Monthly CUST'!$N$2:$CG$65,MATCH($D12,'Monthly CUST'!$D$2:$D$65,0),MATCH(N$1,'Monthly CUST'!$N$1:$CG$1,0)),0)</f>
        <v>0</v>
      </c>
      <c r="O12" s="56">
        <f>IFERROR(INDEX('Monthly VOL'!$N$2:$CG$65,MATCH($D12,'Monthly VOL'!$D$2:$D$65,0),MATCH(O$1,'Monthly VOL'!$N$1:$CG$1,0))/INDEX('Monthly CUST'!$N$2:$CG$65,MATCH($D12,'Monthly CUST'!$D$2:$D$65,0),MATCH(O$1,'Monthly CUST'!$N$1:$CG$1,0)),0)</f>
        <v>0</v>
      </c>
      <c r="P12" s="56">
        <f>IFERROR(INDEX('Monthly VOL'!$N$2:$CG$65,MATCH($D12,'Monthly VOL'!$D$2:$D$65,0),MATCH(P$1,'Monthly VOL'!$N$1:$CG$1,0))/INDEX('Monthly CUST'!$N$2:$CG$65,MATCH($D12,'Monthly CUST'!$D$2:$D$65,0),MATCH(P$1,'Monthly CUST'!$N$1:$CG$1,0)),0)</f>
        <v>0</v>
      </c>
      <c r="Q12" s="56">
        <f>IFERROR(INDEX('Monthly VOL'!$N$2:$CG$65,MATCH($D12,'Monthly VOL'!$D$2:$D$65,0),MATCH(Q$1,'Monthly VOL'!$N$1:$CG$1,0))/INDEX('Monthly CUST'!$N$2:$CG$65,MATCH($D12,'Monthly CUST'!$D$2:$D$65,0),MATCH(Q$1,'Monthly CUST'!$N$1:$CG$1,0)),0)</f>
        <v>0</v>
      </c>
      <c r="R12" s="56">
        <f>IFERROR(INDEX('Monthly VOL'!$N$2:$CG$65,MATCH($D12,'Monthly VOL'!$D$2:$D$65,0),MATCH(R$1,'Monthly VOL'!$N$1:$CG$1,0))/INDEX('Monthly CUST'!$N$2:$CG$65,MATCH($D12,'Monthly CUST'!$D$2:$D$65,0),MATCH(R$1,'Monthly CUST'!$N$1:$CG$1,0)),0)</f>
        <v>0</v>
      </c>
      <c r="S12" s="56">
        <f>IFERROR(INDEX('Monthly VOL'!$N$2:$CG$65,MATCH($D12,'Monthly VOL'!$D$2:$D$65,0),MATCH(S$1,'Monthly VOL'!$N$1:$CG$1,0))/INDEX('Monthly CUST'!$N$2:$CG$65,MATCH($D12,'Monthly CUST'!$D$2:$D$65,0),MATCH(S$1,'Monthly CUST'!$N$1:$CG$1,0)),0)</f>
        <v>0</v>
      </c>
      <c r="T12" s="56">
        <f>IFERROR(INDEX('Monthly VOL'!$N$2:$CG$65,MATCH($D12,'Monthly VOL'!$D$2:$D$65,0),MATCH(T$1,'Monthly VOL'!$N$1:$CG$1,0))/INDEX('Monthly CUST'!$N$2:$CG$65,MATCH($D12,'Monthly CUST'!$D$2:$D$65,0),MATCH(T$1,'Monthly CUST'!$N$1:$CG$1,0)),0)</f>
        <v>0</v>
      </c>
      <c r="U12" s="56">
        <f>IFERROR(INDEX('Monthly VOL'!$N$2:$CG$65,MATCH($D12,'Monthly VOL'!$D$2:$D$65,0),MATCH(U$1,'Monthly VOL'!$N$1:$CG$1,0))/INDEX('Monthly CUST'!$N$2:$CG$65,MATCH($D12,'Monthly CUST'!$D$2:$D$65,0),MATCH(U$1,'Monthly CUST'!$N$1:$CG$1,0)),0)</f>
        <v>0</v>
      </c>
      <c r="V12" s="56">
        <f>IFERROR(INDEX('Monthly VOL'!$N$2:$CG$65,MATCH($D12,'Monthly VOL'!$D$2:$D$65,0),MATCH(V$1,'Monthly VOL'!$N$1:$CG$1,0))/INDEX('Monthly CUST'!$N$2:$CG$65,MATCH($D12,'Monthly CUST'!$D$2:$D$65,0),MATCH(V$1,'Monthly CUST'!$N$1:$CG$1,0)),0)</f>
        <v>0</v>
      </c>
      <c r="W12" s="56">
        <f>IFERROR(INDEX('Monthly VOL'!$N$2:$CG$65,MATCH($D12,'Monthly VOL'!$D$2:$D$65,0),MATCH(W$1,'Monthly VOL'!$N$1:$CG$1,0))/INDEX('Monthly CUST'!$N$2:$CG$65,MATCH($D12,'Monthly CUST'!$D$2:$D$65,0),MATCH(W$1,'Monthly CUST'!$N$1:$CG$1,0)),0)</f>
        <v>0</v>
      </c>
      <c r="X12" s="56">
        <f>IFERROR(INDEX('Monthly VOL'!$N$2:$CG$65,MATCH($D12,'Monthly VOL'!$D$2:$D$65,0),MATCH(X$1,'Monthly VOL'!$N$1:$CG$1,0))/INDEX('Monthly CUST'!$N$2:$CG$65,MATCH($D12,'Monthly CUST'!$D$2:$D$65,0),MATCH(X$1,'Monthly CUST'!$N$1:$CG$1,0)),0)</f>
        <v>0</v>
      </c>
      <c r="Y12" s="56">
        <f>IFERROR(INDEX('Monthly VOL'!$N$2:$CG$65,MATCH($D12,'Monthly VOL'!$D$2:$D$65,0),MATCH(Y$1,'Monthly VOL'!$N$1:$CG$1,0))/INDEX('Monthly CUST'!$N$2:$CG$65,MATCH($D12,'Monthly CUST'!$D$2:$D$65,0),MATCH(Y$1,'Monthly CUST'!$N$1:$CG$1,0)),0)</f>
        <v>0</v>
      </c>
      <c r="Z12" s="56">
        <f>IFERROR(INDEX('Monthly VOL'!$N$2:$CG$65,MATCH($D12,'Monthly VOL'!$D$2:$D$65,0),MATCH(Z$1,'Monthly VOL'!$N$1:$CG$1,0))/INDEX('Monthly CUST'!$N$2:$CG$65,MATCH($D12,'Monthly CUST'!$D$2:$D$65,0),MATCH(Z$1,'Monthly CUST'!$N$1:$CG$1,0)),0)</f>
        <v>0</v>
      </c>
      <c r="AA12" s="56">
        <f>IFERROR(INDEX('Monthly VOL'!$N$2:$CG$65,MATCH($D12,'Monthly VOL'!$D$2:$D$65,0),MATCH(AA$1,'Monthly VOL'!$N$1:$CG$1,0))/INDEX('Monthly CUST'!$N$2:$CG$65,MATCH($D12,'Monthly CUST'!$D$2:$D$65,0),MATCH(AA$1,'Monthly CUST'!$N$1:$CG$1,0)),0)</f>
        <v>0</v>
      </c>
      <c r="AB12" s="56">
        <f>IFERROR(INDEX('Monthly VOL'!$N$2:$CG$65,MATCH($D12,'Monthly VOL'!$D$2:$D$65,0),MATCH(AB$1,'Monthly VOL'!$N$1:$CG$1,0))/INDEX('Monthly CUST'!$N$2:$CG$65,MATCH($D12,'Monthly CUST'!$D$2:$D$65,0),MATCH(AB$1,'Monthly CUST'!$N$1:$CG$1,0)),0)</f>
        <v>0</v>
      </c>
      <c r="AC12" s="56">
        <f>IFERROR(INDEX('Monthly VOL'!$N$2:$CG$65,MATCH($D12,'Monthly VOL'!$D$2:$D$65,0),MATCH(AC$1,'Monthly VOL'!$N$1:$CG$1,0))/INDEX('Monthly CUST'!$N$2:$CG$65,MATCH($D12,'Monthly CUST'!$D$2:$D$65,0),MATCH(AC$1,'Monthly CUST'!$N$1:$CG$1,0)),0)</f>
        <v>0</v>
      </c>
      <c r="AD12" s="56">
        <f>IFERROR(INDEX('Monthly VOL'!$N$2:$CG$65,MATCH($D12,'Monthly VOL'!$D$2:$D$65,0),MATCH(AD$1,'Monthly VOL'!$N$1:$CG$1,0))/INDEX('Monthly CUST'!$N$2:$CG$65,MATCH($D12,'Monthly CUST'!$D$2:$D$65,0),MATCH(AD$1,'Monthly CUST'!$N$1:$CG$1,0)),0)</f>
        <v>0</v>
      </c>
      <c r="AE12" s="56">
        <f>IFERROR(INDEX('Monthly VOL'!$N$2:$CG$65,MATCH($D12,'Monthly VOL'!$D$2:$D$65,0),MATCH(AE$1,'Monthly VOL'!$N$1:$CG$1,0))/INDEX('Monthly CUST'!$N$2:$CG$65,MATCH($D12,'Monthly CUST'!$D$2:$D$65,0),MATCH(AE$1,'Monthly CUST'!$N$1:$CG$1,0)),0)</f>
        <v>0</v>
      </c>
      <c r="AF12" s="56">
        <f>IFERROR(INDEX('Monthly VOL'!$N$2:$CG$65,MATCH($D12,'Monthly VOL'!$D$2:$D$65,0),MATCH(AF$1,'Monthly VOL'!$N$1:$CG$1,0))/INDEX('Monthly CUST'!$N$2:$CG$65,MATCH($D12,'Monthly CUST'!$D$2:$D$65,0),MATCH(AF$1,'Monthly CUST'!$N$1:$CG$1,0)),0)</f>
        <v>0</v>
      </c>
      <c r="AG12" s="56">
        <f>IFERROR(INDEX('Monthly VOL'!$N$2:$CG$65,MATCH($D12,'Monthly VOL'!$D$2:$D$65,0),MATCH(AG$1,'Monthly VOL'!$N$1:$CG$1,0))/INDEX('Monthly CUST'!$N$2:$CG$65,MATCH($D12,'Monthly CUST'!$D$2:$D$65,0),MATCH(AG$1,'Monthly CUST'!$N$1:$CG$1,0)),0)</f>
        <v>0</v>
      </c>
      <c r="AH12" s="56">
        <f>IFERROR(INDEX('Monthly VOL'!$N$2:$CG$65,MATCH($D12,'Monthly VOL'!$D$2:$D$65,0),MATCH(AH$1,'Monthly VOL'!$N$1:$CG$1,0))/INDEX('Monthly CUST'!$N$2:$CG$65,MATCH($D12,'Monthly CUST'!$D$2:$D$65,0),MATCH(AH$1,'Monthly CUST'!$N$1:$CG$1,0)),0)</f>
        <v>0</v>
      </c>
      <c r="AI12" s="56">
        <f>IFERROR(INDEX('Monthly VOL'!$N$2:$CG$65,MATCH($D12,'Monthly VOL'!$D$2:$D$65,0),MATCH(AI$1,'Monthly VOL'!$N$1:$CG$1,0))/INDEX('Monthly CUST'!$N$2:$CG$65,MATCH($D12,'Monthly CUST'!$D$2:$D$65,0),MATCH(AI$1,'Monthly CUST'!$N$1:$CG$1,0)),0)</f>
        <v>0</v>
      </c>
      <c r="AJ12" s="56">
        <f>IFERROR(INDEX('Monthly VOL'!$N$2:$CG$65,MATCH($D12,'Monthly VOL'!$D$2:$D$65,0),MATCH(AJ$1,'Monthly VOL'!$N$1:$CG$1,0))/INDEX('Monthly CUST'!$N$2:$CG$65,MATCH($D12,'Monthly CUST'!$D$2:$D$65,0),MATCH(AJ$1,'Monthly CUST'!$N$1:$CG$1,0)),0)</f>
        <v>0</v>
      </c>
      <c r="AK12" s="56">
        <f>IFERROR(INDEX('Monthly VOL'!$N$2:$CG$65,MATCH($D12,'Monthly VOL'!$D$2:$D$65,0),MATCH(AK$1,'Monthly VOL'!$N$1:$CG$1,0))/INDEX('Monthly CUST'!$N$2:$CG$65,MATCH($D12,'Monthly CUST'!$D$2:$D$65,0),MATCH(AK$1,'Monthly CUST'!$N$1:$CG$1,0)),0)</f>
        <v>0</v>
      </c>
      <c r="AL12" s="56">
        <f>IFERROR(INDEX('Monthly VOL'!$N$2:$CG$65,MATCH($D12,'Monthly VOL'!$D$2:$D$65,0),MATCH(AL$1,'Monthly VOL'!$N$1:$CG$1,0))/INDEX('Monthly CUST'!$N$2:$CG$65,MATCH($D12,'Monthly CUST'!$D$2:$D$65,0),MATCH(AL$1,'Monthly CUST'!$N$1:$CG$1,0)),0)</f>
        <v>0</v>
      </c>
      <c r="AM12" s="56">
        <f>IFERROR(INDEX('Monthly VOL'!$N$2:$CG$65,MATCH($D12,'Monthly VOL'!$D$2:$D$65,0),MATCH(AM$1,'Monthly VOL'!$N$1:$CG$1,0))/INDEX('Monthly CUST'!$N$2:$CG$65,MATCH($D12,'Monthly CUST'!$D$2:$D$65,0),MATCH(AM$1,'Monthly CUST'!$N$1:$CG$1,0)),0)</f>
        <v>0</v>
      </c>
      <c r="AN12" s="56">
        <f>IFERROR(INDEX('Monthly VOL'!$N$2:$CG$65,MATCH($D12,'Monthly VOL'!$D$2:$D$65,0),MATCH(AN$1,'Monthly VOL'!$N$1:$CG$1,0))/INDEX('Monthly CUST'!$N$2:$CG$65,MATCH($D12,'Monthly CUST'!$D$2:$D$65,0),MATCH(AN$1,'Monthly CUST'!$N$1:$CG$1,0)),0)</f>
        <v>0</v>
      </c>
      <c r="AO12" s="56">
        <f>IFERROR(INDEX('Monthly VOL'!$N$2:$CG$65,MATCH($D12,'Monthly VOL'!$D$2:$D$65,0),MATCH(AO$1,'Monthly VOL'!$N$1:$CG$1,0))/INDEX('Monthly CUST'!$N$2:$CG$65,MATCH($D12,'Monthly CUST'!$D$2:$D$65,0),MATCH(AO$1,'Monthly CUST'!$N$1:$CG$1,0)),0)</f>
        <v>0</v>
      </c>
      <c r="AP12" s="56">
        <f>IFERROR(INDEX('Monthly VOL'!$N$2:$CG$65,MATCH($D12,'Monthly VOL'!$D$2:$D$65,0),MATCH(AP$1,'Monthly VOL'!$N$1:$CG$1,0))/INDEX('Monthly CUST'!$N$2:$CG$65,MATCH($D12,'Monthly CUST'!$D$2:$D$65,0),MATCH(AP$1,'Monthly CUST'!$N$1:$CG$1,0)),0)</f>
        <v>0</v>
      </c>
      <c r="AQ12" s="56">
        <f>IFERROR(INDEX('Monthly VOL'!$N$2:$CG$65,MATCH($D12,'Monthly VOL'!$D$2:$D$65,0),MATCH(AQ$1,'Monthly VOL'!$N$1:$CG$1,0))/INDEX('Monthly CUST'!$N$2:$CG$65,MATCH($D12,'Monthly CUST'!$D$2:$D$65,0),MATCH(AQ$1,'Monthly CUST'!$N$1:$CG$1,0)),0)</f>
        <v>0</v>
      </c>
      <c r="AR12" s="56">
        <f>IFERROR(INDEX('Monthly VOL'!$N$2:$CG$65,MATCH($D12,'Monthly VOL'!$D$2:$D$65,0),MATCH(AR$1,'Monthly VOL'!$N$1:$CG$1,0))/INDEX('Monthly CUST'!$N$2:$CG$65,MATCH($D12,'Monthly CUST'!$D$2:$D$65,0),MATCH(AR$1,'Monthly CUST'!$N$1:$CG$1,0)),0)</f>
        <v>0</v>
      </c>
      <c r="AS12" s="56">
        <f>IFERROR(INDEX('Monthly VOL'!$N$2:$CG$65,MATCH($D12,'Monthly VOL'!$D$2:$D$65,0),MATCH(AS$1,'Monthly VOL'!$N$1:$CG$1,0))/INDEX('Monthly CUST'!$N$2:$CG$65,MATCH($D12,'Monthly CUST'!$D$2:$D$65,0),MATCH(AS$1,'Monthly CUST'!$N$1:$CG$1,0)),0)</f>
        <v>0</v>
      </c>
      <c r="AT12" s="56">
        <f>IFERROR(INDEX('Monthly VOL'!$N$2:$CG$65,MATCH($D12,'Monthly VOL'!$D$2:$D$65,0),MATCH(AT$1,'Monthly VOL'!$N$1:$CG$1,0))/INDEX('Monthly CUST'!$N$2:$CG$65,MATCH($D12,'Monthly CUST'!$D$2:$D$65,0),MATCH(AT$1,'Monthly CUST'!$N$1:$CG$1,0)),0)</f>
        <v>0</v>
      </c>
      <c r="AU12" s="56">
        <f>IFERROR(INDEX('Monthly VOL'!$N$2:$CG$65,MATCH($D12,'Monthly VOL'!$D$2:$D$65,0),MATCH(AU$1,'Monthly VOL'!$N$1:$CG$1,0))/INDEX('Monthly CUST'!$N$2:$CG$65,MATCH($D12,'Monthly CUST'!$D$2:$D$65,0),MATCH(AU$1,'Monthly CUST'!$N$1:$CG$1,0)),0)</f>
        <v>0</v>
      </c>
      <c r="AV12" s="56">
        <f>IFERROR(INDEX('Monthly VOL'!$N$2:$CG$65,MATCH($D12,'Monthly VOL'!$D$2:$D$65,0),MATCH(AV$1,'Monthly VOL'!$N$1:$CG$1,0))/INDEX('Monthly CUST'!$N$2:$CG$65,MATCH($D12,'Monthly CUST'!$D$2:$D$65,0),MATCH(AV$1,'Monthly CUST'!$N$1:$CG$1,0)),0)</f>
        <v>0</v>
      </c>
      <c r="AW12" s="56">
        <f>IFERROR(INDEX('Monthly VOL'!$N$2:$CG$65,MATCH($D12,'Monthly VOL'!$D$2:$D$65,0),MATCH(AW$1,'Monthly VOL'!$N$1:$CG$1,0))/INDEX('Monthly CUST'!$N$2:$CG$65,MATCH($D12,'Monthly CUST'!$D$2:$D$65,0),MATCH(AW$1,'Monthly CUST'!$N$1:$CG$1,0)),0)</f>
        <v>0</v>
      </c>
      <c r="AX12" s="56">
        <f>IFERROR(INDEX('Monthly VOL'!$N$2:$CG$65,MATCH($D12,'Monthly VOL'!$D$2:$D$65,0),MATCH(AX$1,'Monthly VOL'!$N$1:$CG$1,0))/INDEX('Monthly CUST'!$N$2:$CG$65,MATCH($D12,'Monthly CUST'!$D$2:$D$65,0),MATCH(AX$1,'Monthly CUST'!$N$1:$CG$1,0)),0)</f>
        <v>0</v>
      </c>
      <c r="AY12" s="56">
        <f>IFERROR(INDEX('Monthly VOL'!$N$2:$CG$65,MATCH($D12,'Monthly VOL'!$D$2:$D$65,0),MATCH(AY$1,'Monthly VOL'!$N$1:$CG$1,0))/INDEX('Monthly CUST'!$N$2:$CG$65,MATCH($D12,'Monthly CUST'!$D$2:$D$65,0),MATCH(AY$1,'Monthly CUST'!$N$1:$CG$1,0)),0)</f>
        <v>0</v>
      </c>
      <c r="AZ12" s="56">
        <f>IFERROR(INDEX('Monthly VOL'!$N$2:$CG$65,MATCH($D12,'Monthly VOL'!$D$2:$D$65,0),MATCH(AZ$1,'Monthly VOL'!$N$1:$CG$1,0))/INDEX('Monthly CUST'!$N$2:$CG$65,MATCH($D12,'Monthly CUST'!$D$2:$D$65,0),MATCH(AZ$1,'Monthly CUST'!$N$1:$CG$1,0)),0)</f>
        <v>0</v>
      </c>
      <c r="BA12" s="56">
        <f>IFERROR(INDEX('Monthly VOL'!$N$2:$CG$65,MATCH($D12,'Monthly VOL'!$D$2:$D$65,0),MATCH(BA$1,'Monthly VOL'!$N$1:$CG$1,0))/INDEX('Monthly CUST'!$N$2:$CG$65,MATCH($D12,'Monthly CUST'!$D$2:$D$65,0),MATCH(BA$1,'Monthly CUST'!$N$1:$CG$1,0)),0)</f>
        <v>0</v>
      </c>
      <c r="BB12" s="56">
        <f>IFERROR(INDEX('Monthly VOL'!$N$2:$CG$65,MATCH($D12,'Monthly VOL'!$D$2:$D$65,0),MATCH(BB$1,'Monthly VOL'!$N$1:$CG$1,0))/INDEX('Monthly CUST'!$N$2:$CG$65,MATCH($D12,'Monthly CUST'!$D$2:$D$65,0),MATCH(BB$1,'Monthly CUST'!$N$1:$CG$1,0)),0)</f>
        <v>0</v>
      </c>
      <c r="BC12" s="56">
        <f>IFERROR(INDEX('Monthly VOL'!$N$2:$CG$65,MATCH($D12,'Monthly VOL'!$D$2:$D$65,0),MATCH(BC$1,'Monthly VOL'!$N$1:$CG$1,0))/INDEX('Monthly CUST'!$N$2:$CG$65,MATCH($D12,'Monthly CUST'!$D$2:$D$65,0),MATCH(BC$1,'Monthly CUST'!$N$1:$CG$1,0)),0)</f>
        <v>0</v>
      </c>
      <c r="BD12" s="56">
        <f>IFERROR(INDEX('Monthly VOL'!$N$2:$CG$65,MATCH($D12,'Monthly VOL'!$D$2:$D$65,0),MATCH(BD$1,'Monthly VOL'!$N$1:$CG$1,0))/INDEX('Monthly CUST'!$N$2:$CG$65,MATCH($D12,'Monthly CUST'!$D$2:$D$65,0),MATCH(BD$1,'Monthly CUST'!$N$1:$CG$1,0)),0)</f>
        <v>0</v>
      </c>
      <c r="BE12" s="56">
        <f>IFERROR(INDEX('Monthly VOL'!$N$2:$CG$65,MATCH($D12,'Monthly VOL'!$D$2:$D$65,0),MATCH(BE$1,'Monthly VOL'!$N$1:$CG$1,0))/INDEX('Monthly CUST'!$N$2:$CG$65,MATCH($D12,'Monthly CUST'!$D$2:$D$65,0),MATCH(BE$1,'Monthly CUST'!$N$1:$CG$1,0)),0)</f>
        <v>0</v>
      </c>
      <c r="BF12" s="56">
        <f>IFERROR(INDEX('Monthly VOL'!$N$2:$CG$65,MATCH($D12,'Monthly VOL'!$D$2:$D$65,0),MATCH(BF$1,'Monthly VOL'!$N$1:$CG$1,0))/INDEX('Monthly CUST'!$N$2:$CG$65,MATCH($D12,'Monthly CUST'!$D$2:$D$65,0),MATCH(BF$1,'Monthly CUST'!$N$1:$CG$1,0)),0)</f>
        <v>0</v>
      </c>
      <c r="BG12" s="56">
        <f>IFERROR(INDEX('Monthly VOL'!$N$2:$CG$65,MATCH($D12,'Monthly VOL'!$D$2:$D$65,0),MATCH(BG$1,'Monthly VOL'!$N$1:$CG$1,0))/INDEX('Monthly CUST'!$N$2:$CG$65,MATCH($D12,'Monthly CUST'!$D$2:$D$65,0),MATCH(BG$1,'Monthly CUST'!$N$1:$CG$1,0)),0)</f>
        <v>0</v>
      </c>
      <c r="BH12" s="56">
        <f>IFERROR(INDEX('Monthly VOL'!$N$2:$CG$65,MATCH($D12,'Monthly VOL'!$D$2:$D$65,0),MATCH(BH$1,'Monthly VOL'!$N$1:$CG$1,0))/INDEX('Monthly CUST'!$N$2:$CG$65,MATCH($D12,'Monthly CUST'!$D$2:$D$65,0),MATCH(BH$1,'Monthly CUST'!$N$1:$CG$1,0)),0)</f>
        <v>0</v>
      </c>
      <c r="BI12" s="56">
        <f>IFERROR(INDEX('Monthly VOL'!$N$2:$CG$65,MATCH($D12,'Monthly VOL'!$D$2:$D$65,0),MATCH(BI$1,'Monthly VOL'!$N$1:$CG$1,0))/INDEX('Monthly CUST'!$N$2:$CG$65,MATCH($D12,'Monthly CUST'!$D$2:$D$65,0),MATCH(BI$1,'Monthly CUST'!$N$1:$CG$1,0)),0)</f>
        <v>0</v>
      </c>
      <c r="BJ12" s="56">
        <f>IFERROR(INDEX('Monthly VOL'!$N$2:$CG$65,MATCH($D12,'Monthly VOL'!$D$2:$D$65,0),MATCH(BJ$1,'Monthly VOL'!$N$1:$CG$1,0))/INDEX('Monthly CUST'!$N$2:$CG$65,MATCH($D12,'Monthly CUST'!$D$2:$D$65,0),MATCH(BJ$1,'Monthly CUST'!$N$1:$CG$1,0)),0)</f>
        <v>0</v>
      </c>
      <c r="BK12" s="56">
        <f>IFERROR(INDEX('Monthly VOL'!$N$2:$CG$65,MATCH($D12,'Monthly VOL'!$D$2:$D$65,0),MATCH(BK$1,'Monthly VOL'!$N$1:$CG$1,0))/INDEX('Monthly CUST'!$N$2:$CG$65,MATCH($D12,'Monthly CUST'!$D$2:$D$65,0),MATCH(BK$1,'Monthly CUST'!$N$1:$CG$1,0)),0)</f>
        <v>0</v>
      </c>
      <c r="BL12" s="56">
        <f>IFERROR(INDEX('Monthly VOL'!$N$2:$CG$65,MATCH($D12,'Monthly VOL'!$D$2:$D$65,0),MATCH(BL$1,'Monthly VOL'!$N$1:$CG$1,0))/INDEX('Monthly CUST'!$N$2:$CG$65,MATCH($D12,'Monthly CUST'!$D$2:$D$65,0),MATCH(BL$1,'Monthly CUST'!$N$1:$CG$1,0)),0)</f>
        <v>0</v>
      </c>
      <c r="BM12" s="56">
        <f>IFERROR(INDEX('Monthly VOL'!$N$2:$CG$65,MATCH($D12,'Monthly VOL'!$D$2:$D$65,0),MATCH(BM$1,'Monthly VOL'!$N$1:$CG$1,0))/INDEX('Monthly CUST'!$N$2:$CG$65,MATCH($D12,'Monthly CUST'!$D$2:$D$65,0),MATCH(BM$1,'Monthly CUST'!$N$1:$CG$1,0)),0)</f>
        <v>0</v>
      </c>
      <c r="BN12" s="56">
        <f>IFERROR(INDEX('Monthly VOL'!$N$2:$CG$65,MATCH($D12,'Monthly VOL'!$D$2:$D$65,0),MATCH(BN$1,'Monthly VOL'!$N$1:$CG$1,0))/INDEX('Monthly CUST'!$N$2:$CG$65,MATCH($D12,'Monthly CUST'!$D$2:$D$65,0),MATCH(BN$1,'Monthly CUST'!$N$1:$CG$1,0)),0)</f>
        <v>0</v>
      </c>
      <c r="BO12" s="56">
        <f>IFERROR(INDEX('Monthly VOL'!$N$2:$CG$65,MATCH($D12,'Monthly VOL'!$D$2:$D$65,0),MATCH(BO$1,'Monthly VOL'!$N$1:$CG$1,0))/INDEX('Monthly CUST'!$N$2:$CG$65,MATCH($D12,'Monthly CUST'!$D$2:$D$65,0),MATCH(BO$1,'Monthly CUST'!$N$1:$CG$1,0)),0)</f>
        <v>0</v>
      </c>
      <c r="BP12" s="56">
        <f>IFERROR(INDEX('Monthly VOL'!$N$2:$CG$65,MATCH($D12,'Monthly VOL'!$D$2:$D$65,0),MATCH(BP$1,'Monthly VOL'!$N$1:$CG$1,0))/INDEX('Monthly CUST'!$N$2:$CG$65,MATCH($D12,'Monthly CUST'!$D$2:$D$65,0),MATCH(BP$1,'Monthly CUST'!$N$1:$CG$1,0)),0)</f>
        <v>0</v>
      </c>
      <c r="BQ12" s="56">
        <f>IFERROR(INDEX('Monthly VOL'!$N$2:$CG$65,MATCH($D12,'Monthly VOL'!$D$2:$D$65,0),MATCH(BQ$1,'Monthly VOL'!$N$1:$CG$1,0))/INDEX('Monthly CUST'!$N$2:$CG$65,MATCH($D12,'Monthly CUST'!$D$2:$D$65,0),MATCH(BQ$1,'Monthly CUST'!$N$1:$CG$1,0)),0)</f>
        <v>0</v>
      </c>
      <c r="BR12" s="56">
        <f>IFERROR(INDEX('Monthly VOL'!$N$2:$CG$65,MATCH($D12,'Monthly VOL'!$D$2:$D$65,0),MATCH(BR$1,'Monthly VOL'!$N$1:$CG$1,0))/INDEX('Monthly CUST'!$N$2:$CG$65,MATCH($D12,'Monthly CUST'!$D$2:$D$65,0),MATCH(BR$1,'Monthly CUST'!$N$1:$CG$1,0)),0)</f>
        <v>0</v>
      </c>
      <c r="BS12" s="56">
        <f>IFERROR(INDEX('Monthly VOL'!$N$2:$CG$65,MATCH($D12,'Monthly VOL'!$D$2:$D$65,0),MATCH(BS$1,'Monthly VOL'!$N$1:$CG$1,0))/INDEX('Monthly CUST'!$N$2:$CG$65,MATCH($D12,'Monthly CUST'!$D$2:$D$65,0),MATCH(BS$1,'Monthly CUST'!$N$1:$CG$1,0)),0)</f>
        <v>0</v>
      </c>
      <c r="BT12" s="56">
        <f>IFERROR(INDEX('Monthly VOL'!$N$2:$CG$65,MATCH($D12,'Monthly VOL'!$D$2:$D$65,0),MATCH(BT$1,'Monthly VOL'!$N$1:$CG$1,0))/INDEX('Monthly CUST'!$N$2:$CG$65,MATCH($D12,'Monthly CUST'!$D$2:$D$65,0),MATCH(BT$1,'Monthly CUST'!$N$1:$CG$1,0)),0)</f>
        <v>0</v>
      </c>
      <c r="BU12" s="56">
        <f>IFERROR(INDEX('Monthly VOL'!$N$2:$CG$65,MATCH($D12,'Monthly VOL'!$D$2:$D$65,0),MATCH(BU$1,'Monthly VOL'!$N$1:$CG$1,0))/INDEX('Monthly CUST'!$N$2:$CG$65,MATCH($D12,'Monthly CUST'!$D$2:$D$65,0),MATCH(BU$1,'Monthly CUST'!$N$1:$CG$1,0)),0)</f>
        <v>0</v>
      </c>
      <c r="BV12" s="56">
        <f>IFERROR(INDEX('Monthly VOL'!$N$2:$CG$65,MATCH($D12,'Monthly VOL'!$D$2:$D$65,0),MATCH(BV$1,'Monthly VOL'!$N$1:$CG$1,0))/INDEX('Monthly CUST'!$N$2:$CG$65,MATCH($D12,'Monthly CUST'!$D$2:$D$65,0),MATCH(BV$1,'Monthly CUST'!$N$1:$CG$1,0)),0)</f>
        <v>0</v>
      </c>
      <c r="BW12" s="56">
        <f>IFERROR(INDEX('Monthly VOL'!$N$2:$CG$65,MATCH($D12,'Monthly VOL'!$D$2:$D$65,0),MATCH(BW$1,'Monthly VOL'!$N$1:$CG$1,0))/INDEX('Monthly CUST'!$N$2:$CG$65,MATCH($D12,'Monthly CUST'!$D$2:$D$65,0),MATCH(BW$1,'Monthly CUST'!$N$1:$CG$1,0)),0)</f>
        <v>0</v>
      </c>
      <c r="BX12" s="56">
        <f>IFERROR(INDEX('Monthly VOL'!$N$2:$CG$65,MATCH($D12,'Monthly VOL'!$D$2:$D$65,0),MATCH(BX$1,'Monthly VOL'!$N$1:$CG$1,0))/INDEX('Monthly CUST'!$N$2:$CG$65,MATCH($D12,'Monthly CUST'!$D$2:$D$65,0),MATCH(BX$1,'Monthly CUST'!$N$1:$CG$1,0)),0)</f>
        <v>0</v>
      </c>
      <c r="BY12" s="56">
        <f>IFERROR(INDEX('Monthly VOL'!$N$2:$CG$65,MATCH($D12,'Monthly VOL'!$D$2:$D$65,0),MATCH(BY$1,'Monthly VOL'!$N$1:$CG$1,0))/INDEX('Monthly CUST'!$N$2:$CG$65,MATCH($D12,'Monthly CUST'!$D$2:$D$65,0),MATCH(BY$1,'Monthly CUST'!$N$1:$CG$1,0)),0)</f>
        <v>0</v>
      </c>
      <c r="BZ12" s="56">
        <f>IFERROR(INDEX('Monthly VOL'!$N$2:$CG$65,MATCH($D12,'Monthly VOL'!$D$2:$D$65,0),MATCH(BZ$1,'Monthly VOL'!$N$1:$CG$1,0))/INDEX('Monthly CUST'!$N$2:$CG$65,MATCH($D12,'Monthly CUST'!$D$2:$D$65,0),MATCH(BZ$1,'Monthly CUST'!$N$1:$CG$1,0)),0)</f>
        <v>0</v>
      </c>
      <c r="CA12" s="56">
        <f>IFERROR(INDEX('Monthly VOL'!$N$2:$CG$65,MATCH($D12,'Monthly VOL'!$D$2:$D$65,0),MATCH(CA$1,'Monthly VOL'!$N$1:$CG$1,0))/INDEX('Monthly CUST'!$N$2:$CG$65,MATCH($D12,'Monthly CUST'!$D$2:$D$65,0),MATCH(CA$1,'Monthly CUST'!$N$1:$CG$1,0)),0)</f>
        <v>0</v>
      </c>
      <c r="CB12" s="56">
        <f>IFERROR(INDEX('Monthly VOL'!$N$2:$CG$65,MATCH($D12,'Monthly VOL'!$D$2:$D$65,0),MATCH(CB$1,'Monthly VOL'!$N$1:$CG$1,0))/INDEX('Monthly CUST'!$N$2:$CG$65,MATCH($D12,'Monthly CUST'!$D$2:$D$65,0),MATCH(CB$1,'Monthly CUST'!$N$1:$CG$1,0)),0)</f>
        <v>0</v>
      </c>
      <c r="CC12" s="56">
        <f>IFERROR(INDEX('Monthly VOL'!$N$2:$CG$65,MATCH($D12,'Monthly VOL'!$D$2:$D$65,0),MATCH(CC$1,'Monthly VOL'!$N$1:$CG$1,0))/INDEX('Monthly CUST'!$N$2:$CG$65,MATCH($D12,'Monthly CUST'!$D$2:$D$65,0),MATCH(CC$1,'Monthly CUST'!$N$1:$CG$1,0)),0)</f>
        <v>0</v>
      </c>
      <c r="CD12" s="56">
        <f>IFERROR(INDEX('Monthly VOL'!$N$2:$CG$65,MATCH($D12,'Monthly VOL'!$D$2:$D$65,0),MATCH(CD$1,'Monthly VOL'!$N$1:$CG$1,0))/INDEX('Monthly CUST'!$N$2:$CG$65,MATCH($D12,'Monthly CUST'!$D$2:$D$65,0),MATCH(CD$1,'Monthly CUST'!$N$1:$CG$1,0)),0)</f>
        <v>0</v>
      </c>
      <c r="CE12" s="56">
        <f>IFERROR(INDEX('Monthly VOL'!$N$2:$CG$65,MATCH($D12,'Monthly VOL'!$D$2:$D$65,0),MATCH(CE$1,'Monthly VOL'!$N$1:$CG$1,0))/INDEX('Monthly CUST'!$N$2:$CG$65,MATCH($D12,'Monthly CUST'!$D$2:$D$65,0),MATCH(CE$1,'Monthly CUST'!$N$1:$CG$1,0)),0)</f>
        <v>0</v>
      </c>
      <c r="CF12" s="56">
        <f>IFERROR(INDEX('Monthly VOL'!$N$2:$CG$65,MATCH($D12,'Monthly VOL'!$D$2:$D$65,0),MATCH(CF$1,'Monthly VOL'!$N$1:$CG$1,0))/INDEX('Monthly CUST'!$N$2:$CG$65,MATCH($D12,'Monthly CUST'!$D$2:$D$65,0),MATCH(CF$1,'Monthly CUST'!$N$1:$CG$1,0)),0)</f>
        <v>0</v>
      </c>
      <c r="CG12" s="56">
        <f>IFERROR(INDEX('Monthly VOL'!$N$2:$CG$65,MATCH($D12,'Monthly VOL'!$D$2:$D$65,0),MATCH(CG$1,'Monthly VOL'!$N$1:$CG$1,0))/INDEX('Monthly CUST'!$N$2:$CG$65,MATCH($D12,'Monthly CUST'!$D$2:$D$65,0),MATCH(CG$1,'Monthly CUST'!$N$1:$CG$1,0)),0)</f>
        <v>0</v>
      </c>
      <c r="CH12" s="264"/>
      <c r="CI12" s="264"/>
      <c r="CJ12" s="264"/>
      <c r="CM12" s="569">
        <f t="shared" si="0"/>
        <v>0</v>
      </c>
      <c r="CN12" s="569">
        <f t="shared" si="1"/>
        <v>0</v>
      </c>
      <c r="CO12" s="569">
        <f t="shared" si="2"/>
        <v>0</v>
      </c>
      <c r="CP12" s="569">
        <f t="shared" si="3"/>
        <v>0</v>
      </c>
      <c r="CQ12" s="569">
        <f t="shared" si="4"/>
        <v>0</v>
      </c>
      <c r="CR12" s="569">
        <f t="shared" si="5"/>
        <v>0</v>
      </c>
      <c r="CS12" s="569">
        <f t="shared" si="6"/>
        <v>0</v>
      </c>
      <c r="CT12" s="569">
        <f t="shared" si="7"/>
        <v>0</v>
      </c>
      <c r="CU12" s="569">
        <f t="shared" si="8"/>
        <v>0</v>
      </c>
      <c r="CV12" s="569">
        <f t="shared" si="9"/>
        <v>0</v>
      </c>
      <c r="CW12" s="569">
        <f t="shared" si="10"/>
        <v>0</v>
      </c>
      <c r="CX12" s="569">
        <f t="shared" si="11"/>
        <v>0</v>
      </c>
      <c r="CY12" s="569">
        <f t="shared" si="12"/>
        <v>0</v>
      </c>
      <c r="CZ12" s="569">
        <f t="shared" si="13"/>
        <v>0</v>
      </c>
      <c r="DA12" s="569">
        <f t="shared" si="14"/>
        <v>0</v>
      </c>
      <c r="DB12" s="569">
        <f t="shared" si="15"/>
        <v>0</v>
      </c>
      <c r="DC12" s="569">
        <f t="shared" si="16"/>
        <v>0</v>
      </c>
      <c r="DD12" s="569">
        <f t="shared" si="17"/>
        <v>0</v>
      </c>
      <c r="DE12" s="569">
        <f t="shared" si="18"/>
        <v>0</v>
      </c>
      <c r="DF12" s="569">
        <f t="shared" si="19"/>
        <v>0</v>
      </c>
      <c r="DG12" s="569">
        <f t="shared" si="20"/>
        <v>0</v>
      </c>
      <c r="DH12" s="569">
        <f t="shared" si="21"/>
        <v>0</v>
      </c>
      <c r="DI12" s="569">
        <f t="shared" si="22"/>
        <v>0</v>
      </c>
      <c r="DJ12" s="569">
        <f t="shared" si="23"/>
        <v>0</v>
      </c>
    </row>
    <row r="13" spans="1:114" s="261" customFormat="1">
      <c r="A13" s="55" t="s">
        <v>996</v>
      </c>
      <c r="B13" s="55" t="s">
        <v>993</v>
      </c>
      <c r="C13" s="55" t="s">
        <v>1245</v>
      </c>
      <c r="D13" s="55" t="s">
        <v>103</v>
      </c>
      <c r="E13" s="55" t="str">
        <f>VLOOKUP(D13,'Input 14_Ref Table'!C:D,2,FALSE)</f>
        <v>FMPT1</v>
      </c>
      <c r="F13" s="172" t="s">
        <v>1286</v>
      </c>
      <c r="G13" s="55" t="str">
        <f>VLOOKUP(D13,'Input 14_Ref Table'!C:I,7,FALSE)</f>
        <v>GTNGV</v>
      </c>
      <c r="H13" s="55" t="str">
        <f>VLOOKUP(D13,'Input 14_Ref Table'!C:K,8,FALSE)</f>
        <v>Base Period</v>
      </c>
      <c r="I13" s="55" t="e">
        <f>INDEX(#REF!,MATCH(D13,#REF!,0))</f>
        <v>#REF!</v>
      </c>
      <c r="J13" s="261" t="str">
        <f>INDEX('Master '!$AD$2:AD$65,MATCH(D13,'Master '!$D$2:$D$65,0))</f>
        <v>Base Period</v>
      </c>
      <c r="K13" s="567">
        <f>INDEX('Master '!$N$2:N$65,MATCH(D13,'Master '!$D$2:$D$65,0))</f>
        <v>0</v>
      </c>
      <c r="L13" s="290">
        <f>INDEX('Master '!$S$2:S$65,MATCH(D13,'Master '!$D$2:$D$65,0))</f>
        <v>0</v>
      </c>
      <c r="M13" s="1">
        <f>INDEX('Master '!$W$2:W$65,MATCH(D13,'Master '!$D$2:$D$65,0))</f>
        <v>0</v>
      </c>
      <c r="N13" s="56">
        <f>IFERROR(INDEX('Monthly VOL'!$N$2:$CG$65,MATCH($D13,'Monthly VOL'!$D$2:$D$65,0),MATCH(N$1,'Monthly VOL'!$N$1:$CG$1,0))/INDEX('Monthly CUST'!$N$2:$CG$65,MATCH($D13,'Monthly CUST'!$D$2:$D$65,0),MATCH(N$1,'Monthly CUST'!$N$1:$CG$1,0)),0)</f>
        <v>0</v>
      </c>
      <c r="O13" s="56">
        <f>IFERROR(INDEX('Monthly VOL'!$N$2:$CG$65,MATCH($D13,'Monthly VOL'!$D$2:$D$65,0),MATCH(O$1,'Monthly VOL'!$N$1:$CG$1,0))/INDEX('Monthly CUST'!$N$2:$CG$65,MATCH($D13,'Monthly CUST'!$D$2:$D$65,0),MATCH(O$1,'Monthly CUST'!$N$1:$CG$1,0)),0)</f>
        <v>0</v>
      </c>
      <c r="P13" s="56">
        <f>IFERROR(INDEX('Monthly VOL'!$N$2:$CG$65,MATCH($D13,'Monthly VOL'!$D$2:$D$65,0),MATCH(P$1,'Monthly VOL'!$N$1:$CG$1,0))/INDEX('Monthly CUST'!$N$2:$CG$65,MATCH($D13,'Monthly CUST'!$D$2:$D$65,0),MATCH(P$1,'Monthly CUST'!$N$1:$CG$1,0)),0)</f>
        <v>0</v>
      </c>
      <c r="Q13" s="56">
        <f>IFERROR(INDEX('Monthly VOL'!$N$2:$CG$65,MATCH($D13,'Monthly VOL'!$D$2:$D$65,0),MATCH(Q$1,'Monthly VOL'!$N$1:$CG$1,0))/INDEX('Monthly CUST'!$N$2:$CG$65,MATCH($D13,'Monthly CUST'!$D$2:$D$65,0),MATCH(Q$1,'Monthly CUST'!$N$1:$CG$1,0)),0)</f>
        <v>0</v>
      </c>
      <c r="R13" s="56">
        <f>IFERROR(INDEX('Monthly VOL'!$N$2:$CG$65,MATCH($D13,'Monthly VOL'!$D$2:$D$65,0),MATCH(R$1,'Monthly VOL'!$N$1:$CG$1,0))/INDEX('Monthly CUST'!$N$2:$CG$65,MATCH($D13,'Monthly CUST'!$D$2:$D$65,0),MATCH(R$1,'Monthly CUST'!$N$1:$CG$1,0)),0)</f>
        <v>0</v>
      </c>
      <c r="S13" s="56">
        <f>IFERROR(INDEX('Monthly VOL'!$N$2:$CG$65,MATCH($D13,'Monthly VOL'!$D$2:$D$65,0),MATCH(S$1,'Monthly VOL'!$N$1:$CG$1,0))/INDEX('Monthly CUST'!$N$2:$CG$65,MATCH($D13,'Monthly CUST'!$D$2:$D$65,0),MATCH(S$1,'Monthly CUST'!$N$1:$CG$1,0)),0)</f>
        <v>0</v>
      </c>
      <c r="T13" s="56">
        <f>IFERROR(INDEX('Monthly VOL'!$N$2:$CG$65,MATCH($D13,'Monthly VOL'!$D$2:$D$65,0),MATCH(T$1,'Monthly VOL'!$N$1:$CG$1,0))/INDEX('Monthly CUST'!$N$2:$CG$65,MATCH($D13,'Monthly CUST'!$D$2:$D$65,0),MATCH(T$1,'Monthly CUST'!$N$1:$CG$1,0)),0)</f>
        <v>0</v>
      </c>
      <c r="U13" s="56">
        <f>IFERROR(INDEX('Monthly VOL'!$N$2:$CG$65,MATCH($D13,'Monthly VOL'!$D$2:$D$65,0),MATCH(U$1,'Monthly VOL'!$N$1:$CG$1,0))/INDEX('Monthly CUST'!$N$2:$CG$65,MATCH($D13,'Monthly CUST'!$D$2:$D$65,0),MATCH(U$1,'Monthly CUST'!$N$1:$CG$1,0)),0)</f>
        <v>0</v>
      </c>
      <c r="V13" s="56">
        <f>IFERROR(INDEX('Monthly VOL'!$N$2:$CG$65,MATCH($D13,'Monthly VOL'!$D$2:$D$65,0),MATCH(V$1,'Monthly VOL'!$N$1:$CG$1,0))/INDEX('Monthly CUST'!$N$2:$CG$65,MATCH($D13,'Monthly CUST'!$D$2:$D$65,0),MATCH(V$1,'Monthly CUST'!$N$1:$CG$1,0)),0)</f>
        <v>0</v>
      </c>
      <c r="W13" s="56">
        <f>IFERROR(INDEX('Monthly VOL'!$N$2:$CG$65,MATCH($D13,'Monthly VOL'!$D$2:$D$65,0),MATCH(W$1,'Monthly VOL'!$N$1:$CG$1,0))/INDEX('Monthly CUST'!$N$2:$CG$65,MATCH($D13,'Monthly CUST'!$D$2:$D$65,0),MATCH(W$1,'Monthly CUST'!$N$1:$CG$1,0)),0)</f>
        <v>0</v>
      </c>
      <c r="X13" s="56">
        <f>IFERROR(INDEX('Monthly VOL'!$N$2:$CG$65,MATCH($D13,'Monthly VOL'!$D$2:$D$65,0),MATCH(X$1,'Monthly VOL'!$N$1:$CG$1,0))/INDEX('Monthly CUST'!$N$2:$CG$65,MATCH($D13,'Monthly CUST'!$D$2:$D$65,0),MATCH(X$1,'Monthly CUST'!$N$1:$CG$1,0)),0)</f>
        <v>0</v>
      </c>
      <c r="Y13" s="56">
        <f>IFERROR(INDEX('Monthly VOL'!$N$2:$CG$65,MATCH($D13,'Monthly VOL'!$D$2:$D$65,0),MATCH(Y$1,'Monthly VOL'!$N$1:$CG$1,0))/INDEX('Monthly CUST'!$N$2:$CG$65,MATCH($D13,'Monthly CUST'!$D$2:$D$65,0),MATCH(Y$1,'Monthly CUST'!$N$1:$CG$1,0)),0)</f>
        <v>0</v>
      </c>
      <c r="Z13" s="56">
        <f>IFERROR(INDEX('Monthly VOL'!$N$2:$CG$65,MATCH($D13,'Monthly VOL'!$D$2:$D$65,0),MATCH(Z$1,'Monthly VOL'!$N$1:$CG$1,0))/INDEX('Monthly CUST'!$N$2:$CG$65,MATCH($D13,'Monthly CUST'!$D$2:$D$65,0),MATCH(Z$1,'Monthly CUST'!$N$1:$CG$1,0)),0)</f>
        <v>0</v>
      </c>
      <c r="AA13" s="56">
        <f>IFERROR(INDEX('Monthly VOL'!$N$2:$CG$65,MATCH($D13,'Monthly VOL'!$D$2:$D$65,0),MATCH(AA$1,'Monthly VOL'!$N$1:$CG$1,0))/INDEX('Monthly CUST'!$N$2:$CG$65,MATCH($D13,'Monthly CUST'!$D$2:$D$65,0),MATCH(AA$1,'Monthly CUST'!$N$1:$CG$1,0)),0)</f>
        <v>0</v>
      </c>
      <c r="AB13" s="56">
        <f>IFERROR(INDEX('Monthly VOL'!$N$2:$CG$65,MATCH($D13,'Monthly VOL'!$D$2:$D$65,0),MATCH(AB$1,'Monthly VOL'!$N$1:$CG$1,0))/INDEX('Monthly CUST'!$N$2:$CG$65,MATCH($D13,'Monthly CUST'!$D$2:$D$65,0),MATCH(AB$1,'Monthly CUST'!$N$1:$CG$1,0)),0)</f>
        <v>0</v>
      </c>
      <c r="AC13" s="56">
        <f>IFERROR(INDEX('Monthly VOL'!$N$2:$CG$65,MATCH($D13,'Monthly VOL'!$D$2:$D$65,0),MATCH(AC$1,'Monthly VOL'!$N$1:$CG$1,0))/INDEX('Monthly CUST'!$N$2:$CG$65,MATCH($D13,'Monthly CUST'!$D$2:$D$65,0),MATCH(AC$1,'Monthly CUST'!$N$1:$CG$1,0)),0)</f>
        <v>0</v>
      </c>
      <c r="AD13" s="56">
        <f>IFERROR(INDEX('Monthly VOL'!$N$2:$CG$65,MATCH($D13,'Monthly VOL'!$D$2:$D$65,0),MATCH(AD$1,'Monthly VOL'!$N$1:$CG$1,0))/INDEX('Monthly CUST'!$N$2:$CG$65,MATCH($D13,'Monthly CUST'!$D$2:$D$65,0),MATCH(AD$1,'Monthly CUST'!$N$1:$CG$1,0)),0)</f>
        <v>0</v>
      </c>
      <c r="AE13" s="56">
        <f>IFERROR(INDEX('Monthly VOL'!$N$2:$CG$65,MATCH($D13,'Monthly VOL'!$D$2:$D$65,0),MATCH(AE$1,'Monthly VOL'!$N$1:$CG$1,0))/INDEX('Monthly CUST'!$N$2:$CG$65,MATCH($D13,'Monthly CUST'!$D$2:$D$65,0),MATCH(AE$1,'Monthly CUST'!$N$1:$CG$1,0)),0)</f>
        <v>0</v>
      </c>
      <c r="AF13" s="56">
        <f>IFERROR(INDEX('Monthly VOL'!$N$2:$CG$65,MATCH($D13,'Monthly VOL'!$D$2:$D$65,0),MATCH(AF$1,'Monthly VOL'!$N$1:$CG$1,0))/INDEX('Monthly CUST'!$N$2:$CG$65,MATCH($D13,'Monthly CUST'!$D$2:$D$65,0),MATCH(AF$1,'Monthly CUST'!$N$1:$CG$1,0)),0)</f>
        <v>0</v>
      </c>
      <c r="AG13" s="56">
        <f>IFERROR(INDEX('Monthly VOL'!$N$2:$CG$65,MATCH($D13,'Monthly VOL'!$D$2:$D$65,0),MATCH(AG$1,'Monthly VOL'!$N$1:$CG$1,0))/INDEX('Monthly CUST'!$N$2:$CG$65,MATCH($D13,'Monthly CUST'!$D$2:$D$65,0),MATCH(AG$1,'Monthly CUST'!$N$1:$CG$1,0)),0)</f>
        <v>0</v>
      </c>
      <c r="AH13" s="56">
        <f>IFERROR(INDEX('Monthly VOL'!$N$2:$CG$65,MATCH($D13,'Monthly VOL'!$D$2:$D$65,0),MATCH(AH$1,'Monthly VOL'!$N$1:$CG$1,0))/INDEX('Monthly CUST'!$N$2:$CG$65,MATCH($D13,'Monthly CUST'!$D$2:$D$65,0),MATCH(AH$1,'Monthly CUST'!$N$1:$CG$1,0)),0)</f>
        <v>0</v>
      </c>
      <c r="AI13" s="56">
        <f>IFERROR(INDEX('Monthly VOL'!$N$2:$CG$65,MATCH($D13,'Monthly VOL'!$D$2:$D$65,0),MATCH(AI$1,'Monthly VOL'!$N$1:$CG$1,0))/INDEX('Monthly CUST'!$N$2:$CG$65,MATCH($D13,'Monthly CUST'!$D$2:$D$65,0),MATCH(AI$1,'Monthly CUST'!$N$1:$CG$1,0)),0)</f>
        <v>0</v>
      </c>
      <c r="AJ13" s="56">
        <f>IFERROR(INDEX('Monthly VOL'!$N$2:$CG$65,MATCH($D13,'Monthly VOL'!$D$2:$D$65,0),MATCH(AJ$1,'Monthly VOL'!$N$1:$CG$1,0))/INDEX('Monthly CUST'!$N$2:$CG$65,MATCH($D13,'Monthly CUST'!$D$2:$D$65,0),MATCH(AJ$1,'Monthly CUST'!$N$1:$CG$1,0)),0)</f>
        <v>0</v>
      </c>
      <c r="AK13" s="56">
        <f>IFERROR(INDEX('Monthly VOL'!$N$2:$CG$65,MATCH($D13,'Monthly VOL'!$D$2:$D$65,0),MATCH(AK$1,'Monthly VOL'!$N$1:$CG$1,0))/INDEX('Monthly CUST'!$N$2:$CG$65,MATCH($D13,'Monthly CUST'!$D$2:$D$65,0),MATCH(AK$1,'Monthly CUST'!$N$1:$CG$1,0)),0)</f>
        <v>0</v>
      </c>
      <c r="AL13" s="56">
        <f>IFERROR(INDEX('Monthly VOL'!$N$2:$CG$65,MATCH($D13,'Monthly VOL'!$D$2:$D$65,0),MATCH(AL$1,'Monthly VOL'!$N$1:$CG$1,0))/INDEX('Monthly CUST'!$N$2:$CG$65,MATCH($D13,'Monthly CUST'!$D$2:$D$65,0),MATCH(AL$1,'Monthly CUST'!$N$1:$CG$1,0)),0)</f>
        <v>0</v>
      </c>
      <c r="AM13" s="56">
        <f>IFERROR(INDEX('Monthly VOL'!$N$2:$CG$65,MATCH($D13,'Monthly VOL'!$D$2:$D$65,0),MATCH(AM$1,'Monthly VOL'!$N$1:$CG$1,0))/INDEX('Monthly CUST'!$N$2:$CG$65,MATCH($D13,'Monthly CUST'!$D$2:$D$65,0),MATCH(AM$1,'Monthly CUST'!$N$1:$CG$1,0)),0)</f>
        <v>0</v>
      </c>
      <c r="AN13" s="56">
        <f>IFERROR(INDEX('Monthly VOL'!$N$2:$CG$65,MATCH($D13,'Monthly VOL'!$D$2:$D$65,0),MATCH(AN$1,'Monthly VOL'!$N$1:$CG$1,0))/INDEX('Monthly CUST'!$N$2:$CG$65,MATCH($D13,'Monthly CUST'!$D$2:$D$65,0),MATCH(AN$1,'Monthly CUST'!$N$1:$CG$1,0)),0)</f>
        <v>0</v>
      </c>
      <c r="AO13" s="56">
        <f>IFERROR(INDEX('Monthly VOL'!$N$2:$CG$65,MATCH($D13,'Monthly VOL'!$D$2:$D$65,0),MATCH(AO$1,'Monthly VOL'!$N$1:$CG$1,0))/INDEX('Monthly CUST'!$N$2:$CG$65,MATCH($D13,'Monthly CUST'!$D$2:$D$65,0),MATCH(AO$1,'Monthly CUST'!$N$1:$CG$1,0)),0)</f>
        <v>0</v>
      </c>
      <c r="AP13" s="56">
        <f>IFERROR(INDEX('Monthly VOL'!$N$2:$CG$65,MATCH($D13,'Monthly VOL'!$D$2:$D$65,0),MATCH(AP$1,'Monthly VOL'!$N$1:$CG$1,0))/INDEX('Monthly CUST'!$N$2:$CG$65,MATCH($D13,'Monthly CUST'!$D$2:$D$65,0),MATCH(AP$1,'Monthly CUST'!$N$1:$CG$1,0)),0)</f>
        <v>0</v>
      </c>
      <c r="AQ13" s="56">
        <f>IFERROR(INDEX('Monthly VOL'!$N$2:$CG$65,MATCH($D13,'Monthly VOL'!$D$2:$D$65,0),MATCH(AQ$1,'Monthly VOL'!$N$1:$CG$1,0))/INDEX('Monthly CUST'!$N$2:$CG$65,MATCH($D13,'Monthly CUST'!$D$2:$D$65,0),MATCH(AQ$1,'Monthly CUST'!$N$1:$CG$1,0)),0)</f>
        <v>0</v>
      </c>
      <c r="AR13" s="56">
        <f>IFERROR(INDEX('Monthly VOL'!$N$2:$CG$65,MATCH($D13,'Monthly VOL'!$D$2:$D$65,0),MATCH(AR$1,'Monthly VOL'!$N$1:$CG$1,0))/INDEX('Monthly CUST'!$N$2:$CG$65,MATCH($D13,'Monthly CUST'!$D$2:$D$65,0),MATCH(AR$1,'Monthly CUST'!$N$1:$CG$1,0)),0)</f>
        <v>0</v>
      </c>
      <c r="AS13" s="56">
        <f>IFERROR(INDEX('Monthly VOL'!$N$2:$CG$65,MATCH($D13,'Monthly VOL'!$D$2:$D$65,0),MATCH(AS$1,'Monthly VOL'!$N$1:$CG$1,0))/INDEX('Monthly CUST'!$N$2:$CG$65,MATCH($D13,'Monthly CUST'!$D$2:$D$65,0),MATCH(AS$1,'Monthly CUST'!$N$1:$CG$1,0)),0)</f>
        <v>0</v>
      </c>
      <c r="AT13" s="56">
        <f>IFERROR(INDEX('Monthly VOL'!$N$2:$CG$65,MATCH($D13,'Monthly VOL'!$D$2:$D$65,0),MATCH(AT$1,'Monthly VOL'!$N$1:$CG$1,0))/INDEX('Monthly CUST'!$N$2:$CG$65,MATCH($D13,'Monthly CUST'!$D$2:$D$65,0),MATCH(AT$1,'Monthly CUST'!$N$1:$CG$1,0)),0)</f>
        <v>0</v>
      </c>
      <c r="AU13" s="56">
        <f>IFERROR(INDEX('Monthly VOL'!$N$2:$CG$65,MATCH($D13,'Monthly VOL'!$D$2:$D$65,0),MATCH(AU$1,'Monthly VOL'!$N$1:$CG$1,0))/INDEX('Monthly CUST'!$N$2:$CG$65,MATCH($D13,'Monthly CUST'!$D$2:$D$65,0),MATCH(AU$1,'Monthly CUST'!$N$1:$CG$1,0)),0)</f>
        <v>0</v>
      </c>
      <c r="AV13" s="56">
        <f>IFERROR(INDEX('Monthly VOL'!$N$2:$CG$65,MATCH($D13,'Monthly VOL'!$D$2:$D$65,0),MATCH(AV$1,'Monthly VOL'!$N$1:$CG$1,0))/INDEX('Monthly CUST'!$N$2:$CG$65,MATCH($D13,'Monthly CUST'!$D$2:$D$65,0),MATCH(AV$1,'Monthly CUST'!$N$1:$CG$1,0)),0)</f>
        <v>0</v>
      </c>
      <c r="AW13" s="56">
        <f>IFERROR(INDEX('Monthly VOL'!$N$2:$CG$65,MATCH($D13,'Monthly VOL'!$D$2:$D$65,0),MATCH(AW$1,'Monthly VOL'!$N$1:$CG$1,0))/INDEX('Monthly CUST'!$N$2:$CG$65,MATCH($D13,'Monthly CUST'!$D$2:$D$65,0),MATCH(AW$1,'Monthly CUST'!$N$1:$CG$1,0)),0)</f>
        <v>0</v>
      </c>
      <c r="AX13" s="56">
        <f>IFERROR(INDEX('Monthly VOL'!$N$2:$CG$65,MATCH($D13,'Monthly VOL'!$D$2:$D$65,0),MATCH(AX$1,'Monthly VOL'!$N$1:$CG$1,0))/INDEX('Monthly CUST'!$N$2:$CG$65,MATCH($D13,'Monthly CUST'!$D$2:$D$65,0),MATCH(AX$1,'Monthly CUST'!$N$1:$CG$1,0)),0)</f>
        <v>0</v>
      </c>
      <c r="AY13" s="56">
        <f>IFERROR(INDEX('Monthly VOL'!$N$2:$CG$65,MATCH($D13,'Monthly VOL'!$D$2:$D$65,0),MATCH(AY$1,'Monthly VOL'!$N$1:$CG$1,0))/INDEX('Monthly CUST'!$N$2:$CG$65,MATCH($D13,'Monthly CUST'!$D$2:$D$65,0),MATCH(AY$1,'Monthly CUST'!$N$1:$CG$1,0)),0)</f>
        <v>0</v>
      </c>
      <c r="AZ13" s="56">
        <f>IFERROR(INDEX('Monthly VOL'!$N$2:$CG$65,MATCH($D13,'Monthly VOL'!$D$2:$D$65,0),MATCH(AZ$1,'Monthly VOL'!$N$1:$CG$1,0))/INDEX('Monthly CUST'!$N$2:$CG$65,MATCH($D13,'Monthly CUST'!$D$2:$D$65,0),MATCH(AZ$1,'Monthly CUST'!$N$1:$CG$1,0)),0)</f>
        <v>0</v>
      </c>
      <c r="BA13" s="56">
        <f>IFERROR(INDEX('Monthly VOL'!$N$2:$CG$65,MATCH($D13,'Monthly VOL'!$D$2:$D$65,0),MATCH(BA$1,'Monthly VOL'!$N$1:$CG$1,0))/INDEX('Monthly CUST'!$N$2:$CG$65,MATCH($D13,'Monthly CUST'!$D$2:$D$65,0),MATCH(BA$1,'Monthly CUST'!$N$1:$CG$1,0)),0)</f>
        <v>0</v>
      </c>
      <c r="BB13" s="56">
        <f>IFERROR(INDEX('Monthly VOL'!$N$2:$CG$65,MATCH($D13,'Monthly VOL'!$D$2:$D$65,0),MATCH(BB$1,'Monthly VOL'!$N$1:$CG$1,0))/INDEX('Monthly CUST'!$N$2:$CG$65,MATCH($D13,'Monthly CUST'!$D$2:$D$65,0),MATCH(BB$1,'Monthly CUST'!$N$1:$CG$1,0)),0)</f>
        <v>0</v>
      </c>
      <c r="BC13" s="56">
        <f>IFERROR(INDEX('Monthly VOL'!$N$2:$CG$65,MATCH($D13,'Monthly VOL'!$D$2:$D$65,0),MATCH(BC$1,'Monthly VOL'!$N$1:$CG$1,0))/INDEX('Monthly CUST'!$N$2:$CG$65,MATCH($D13,'Monthly CUST'!$D$2:$D$65,0),MATCH(BC$1,'Monthly CUST'!$N$1:$CG$1,0)),0)</f>
        <v>0</v>
      </c>
      <c r="BD13" s="56">
        <f>IFERROR(INDEX('Monthly VOL'!$N$2:$CG$65,MATCH($D13,'Monthly VOL'!$D$2:$D$65,0),MATCH(BD$1,'Monthly VOL'!$N$1:$CG$1,0))/INDEX('Monthly CUST'!$N$2:$CG$65,MATCH($D13,'Monthly CUST'!$D$2:$D$65,0),MATCH(BD$1,'Monthly CUST'!$N$1:$CG$1,0)),0)</f>
        <v>0</v>
      </c>
      <c r="BE13" s="56">
        <f>IFERROR(INDEX('Monthly VOL'!$N$2:$CG$65,MATCH($D13,'Monthly VOL'!$D$2:$D$65,0),MATCH(BE$1,'Monthly VOL'!$N$1:$CG$1,0))/INDEX('Monthly CUST'!$N$2:$CG$65,MATCH($D13,'Monthly CUST'!$D$2:$D$65,0),MATCH(BE$1,'Monthly CUST'!$N$1:$CG$1,0)),0)</f>
        <v>0</v>
      </c>
      <c r="BF13" s="56">
        <f>IFERROR(INDEX('Monthly VOL'!$N$2:$CG$65,MATCH($D13,'Monthly VOL'!$D$2:$D$65,0),MATCH(BF$1,'Monthly VOL'!$N$1:$CG$1,0))/INDEX('Monthly CUST'!$N$2:$CG$65,MATCH($D13,'Monthly CUST'!$D$2:$D$65,0),MATCH(BF$1,'Monthly CUST'!$N$1:$CG$1,0)),0)</f>
        <v>0</v>
      </c>
      <c r="BG13" s="56">
        <f>IFERROR(INDEX('Monthly VOL'!$N$2:$CG$65,MATCH($D13,'Monthly VOL'!$D$2:$D$65,0),MATCH(BG$1,'Monthly VOL'!$N$1:$CG$1,0))/INDEX('Monthly CUST'!$N$2:$CG$65,MATCH($D13,'Monthly CUST'!$D$2:$D$65,0),MATCH(BG$1,'Monthly CUST'!$N$1:$CG$1,0)),0)</f>
        <v>0</v>
      </c>
      <c r="BH13" s="56">
        <f>IFERROR(INDEX('Monthly VOL'!$N$2:$CG$65,MATCH($D13,'Monthly VOL'!$D$2:$D$65,0),MATCH(BH$1,'Monthly VOL'!$N$1:$CG$1,0))/INDEX('Monthly CUST'!$N$2:$CG$65,MATCH($D13,'Monthly CUST'!$D$2:$D$65,0),MATCH(BH$1,'Monthly CUST'!$N$1:$CG$1,0)),0)</f>
        <v>0</v>
      </c>
      <c r="BI13" s="56">
        <f>IFERROR(INDEX('Monthly VOL'!$N$2:$CG$65,MATCH($D13,'Monthly VOL'!$D$2:$D$65,0),MATCH(BI$1,'Monthly VOL'!$N$1:$CG$1,0))/INDEX('Monthly CUST'!$N$2:$CG$65,MATCH($D13,'Monthly CUST'!$D$2:$D$65,0),MATCH(BI$1,'Monthly CUST'!$N$1:$CG$1,0)),0)</f>
        <v>0</v>
      </c>
      <c r="BJ13" s="56">
        <f>IFERROR(INDEX('Monthly VOL'!$N$2:$CG$65,MATCH($D13,'Monthly VOL'!$D$2:$D$65,0),MATCH(BJ$1,'Monthly VOL'!$N$1:$CG$1,0))/INDEX('Monthly CUST'!$N$2:$CG$65,MATCH($D13,'Monthly CUST'!$D$2:$D$65,0),MATCH(BJ$1,'Monthly CUST'!$N$1:$CG$1,0)),0)</f>
        <v>0</v>
      </c>
      <c r="BK13" s="56">
        <f>IFERROR(INDEX('Monthly VOL'!$N$2:$CG$65,MATCH($D13,'Monthly VOL'!$D$2:$D$65,0),MATCH(BK$1,'Monthly VOL'!$N$1:$CG$1,0))/INDEX('Monthly CUST'!$N$2:$CG$65,MATCH($D13,'Monthly CUST'!$D$2:$D$65,0),MATCH(BK$1,'Monthly CUST'!$N$1:$CG$1,0)),0)</f>
        <v>0</v>
      </c>
      <c r="BL13" s="56">
        <f>IFERROR(INDEX('Monthly VOL'!$N$2:$CG$65,MATCH($D13,'Monthly VOL'!$D$2:$D$65,0),MATCH(BL$1,'Monthly VOL'!$N$1:$CG$1,0))/INDEX('Monthly CUST'!$N$2:$CG$65,MATCH($D13,'Monthly CUST'!$D$2:$D$65,0),MATCH(BL$1,'Monthly CUST'!$N$1:$CG$1,0)),0)</f>
        <v>0</v>
      </c>
      <c r="BM13" s="56">
        <f>IFERROR(INDEX('Monthly VOL'!$N$2:$CG$65,MATCH($D13,'Monthly VOL'!$D$2:$D$65,0),MATCH(BM$1,'Monthly VOL'!$N$1:$CG$1,0))/INDEX('Monthly CUST'!$N$2:$CG$65,MATCH($D13,'Monthly CUST'!$D$2:$D$65,0),MATCH(BM$1,'Monthly CUST'!$N$1:$CG$1,0)),0)</f>
        <v>0</v>
      </c>
      <c r="BN13" s="56">
        <f>IFERROR(INDEX('Monthly VOL'!$N$2:$CG$65,MATCH($D13,'Monthly VOL'!$D$2:$D$65,0),MATCH(BN$1,'Monthly VOL'!$N$1:$CG$1,0))/INDEX('Monthly CUST'!$N$2:$CG$65,MATCH($D13,'Monthly CUST'!$D$2:$D$65,0),MATCH(BN$1,'Monthly CUST'!$N$1:$CG$1,0)),0)</f>
        <v>0</v>
      </c>
      <c r="BO13" s="56">
        <f>IFERROR(INDEX('Monthly VOL'!$N$2:$CG$65,MATCH($D13,'Monthly VOL'!$D$2:$D$65,0),MATCH(BO$1,'Monthly VOL'!$N$1:$CG$1,0))/INDEX('Monthly CUST'!$N$2:$CG$65,MATCH($D13,'Monthly CUST'!$D$2:$D$65,0),MATCH(BO$1,'Monthly CUST'!$N$1:$CG$1,0)),0)</f>
        <v>0</v>
      </c>
      <c r="BP13" s="56">
        <f>IFERROR(INDEX('Monthly VOL'!$N$2:$CG$65,MATCH($D13,'Monthly VOL'!$D$2:$D$65,0),MATCH(BP$1,'Monthly VOL'!$N$1:$CG$1,0))/INDEX('Monthly CUST'!$N$2:$CG$65,MATCH($D13,'Monthly CUST'!$D$2:$D$65,0),MATCH(BP$1,'Monthly CUST'!$N$1:$CG$1,0)),0)</f>
        <v>0</v>
      </c>
      <c r="BQ13" s="56">
        <f>IFERROR(INDEX('Monthly VOL'!$N$2:$CG$65,MATCH($D13,'Monthly VOL'!$D$2:$D$65,0),MATCH(BQ$1,'Monthly VOL'!$N$1:$CG$1,0))/INDEX('Monthly CUST'!$N$2:$CG$65,MATCH($D13,'Monthly CUST'!$D$2:$D$65,0),MATCH(BQ$1,'Monthly CUST'!$N$1:$CG$1,0)),0)</f>
        <v>0</v>
      </c>
      <c r="BR13" s="56">
        <f>IFERROR(INDEX('Monthly VOL'!$N$2:$CG$65,MATCH($D13,'Monthly VOL'!$D$2:$D$65,0),MATCH(BR$1,'Monthly VOL'!$N$1:$CG$1,0))/INDEX('Monthly CUST'!$N$2:$CG$65,MATCH($D13,'Monthly CUST'!$D$2:$D$65,0),MATCH(BR$1,'Monthly CUST'!$N$1:$CG$1,0)),0)</f>
        <v>0</v>
      </c>
      <c r="BS13" s="56">
        <f>IFERROR(INDEX('Monthly VOL'!$N$2:$CG$65,MATCH($D13,'Monthly VOL'!$D$2:$D$65,0),MATCH(BS$1,'Monthly VOL'!$N$1:$CG$1,0))/INDEX('Monthly CUST'!$N$2:$CG$65,MATCH($D13,'Monthly CUST'!$D$2:$D$65,0),MATCH(BS$1,'Monthly CUST'!$N$1:$CG$1,0)),0)</f>
        <v>0</v>
      </c>
      <c r="BT13" s="56">
        <f>IFERROR(INDEX('Monthly VOL'!$N$2:$CG$65,MATCH($D13,'Monthly VOL'!$D$2:$D$65,0),MATCH(BT$1,'Monthly VOL'!$N$1:$CG$1,0))/INDEX('Monthly CUST'!$N$2:$CG$65,MATCH($D13,'Monthly CUST'!$D$2:$D$65,0),MATCH(BT$1,'Monthly CUST'!$N$1:$CG$1,0)),0)</f>
        <v>0</v>
      </c>
      <c r="BU13" s="56">
        <f>IFERROR(INDEX('Monthly VOL'!$N$2:$CG$65,MATCH($D13,'Monthly VOL'!$D$2:$D$65,0),MATCH(BU$1,'Monthly VOL'!$N$1:$CG$1,0))/INDEX('Monthly CUST'!$N$2:$CG$65,MATCH($D13,'Monthly CUST'!$D$2:$D$65,0),MATCH(BU$1,'Monthly CUST'!$N$1:$CG$1,0)),0)</f>
        <v>0</v>
      </c>
      <c r="BV13" s="56">
        <f>IFERROR(INDEX('Monthly VOL'!$N$2:$CG$65,MATCH($D13,'Monthly VOL'!$D$2:$D$65,0),MATCH(BV$1,'Monthly VOL'!$N$1:$CG$1,0))/INDEX('Monthly CUST'!$N$2:$CG$65,MATCH($D13,'Monthly CUST'!$D$2:$D$65,0),MATCH(BV$1,'Monthly CUST'!$N$1:$CG$1,0)),0)</f>
        <v>0</v>
      </c>
      <c r="BW13" s="56">
        <f>IFERROR(INDEX('Monthly VOL'!$N$2:$CG$65,MATCH($D13,'Monthly VOL'!$D$2:$D$65,0),MATCH(BW$1,'Monthly VOL'!$N$1:$CG$1,0))/INDEX('Monthly CUST'!$N$2:$CG$65,MATCH($D13,'Monthly CUST'!$D$2:$D$65,0),MATCH(BW$1,'Monthly CUST'!$N$1:$CG$1,0)),0)</f>
        <v>0</v>
      </c>
      <c r="BX13" s="56">
        <f>IFERROR(INDEX('Monthly VOL'!$N$2:$CG$65,MATCH($D13,'Monthly VOL'!$D$2:$D$65,0),MATCH(BX$1,'Monthly VOL'!$N$1:$CG$1,0))/INDEX('Monthly CUST'!$N$2:$CG$65,MATCH($D13,'Monthly CUST'!$D$2:$D$65,0),MATCH(BX$1,'Monthly CUST'!$N$1:$CG$1,0)),0)</f>
        <v>0</v>
      </c>
      <c r="BY13" s="56">
        <f>IFERROR(INDEX('Monthly VOL'!$N$2:$CG$65,MATCH($D13,'Monthly VOL'!$D$2:$D$65,0),MATCH(BY$1,'Monthly VOL'!$N$1:$CG$1,0))/INDEX('Monthly CUST'!$N$2:$CG$65,MATCH($D13,'Monthly CUST'!$D$2:$D$65,0),MATCH(BY$1,'Monthly CUST'!$N$1:$CG$1,0)),0)</f>
        <v>0</v>
      </c>
      <c r="BZ13" s="56">
        <f>IFERROR(INDEX('Monthly VOL'!$N$2:$CG$65,MATCH($D13,'Monthly VOL'!$D$2:$D$65,0),MATCH(BZ$1,'Monthly VOL'!$N$1:$CG$1,0))/INDEX('Monthly CUST'!$N$2:$CG$65,MATCH($D13,'Monthly CUST'!$D$2:$D$65,0),MATCH(BZ$1,'Monthly CUST'!$N$1:$CG$1,0)),0)</f>
        <v>0</v>
      </c>
      <c r="CA13" s="56">
        <f>IFERROR(INDEX('Monthly VOL'!$N$2:$CG$65,MATCH($D13,'Monthly VOL'!$D$2:$D$65,0),MATCH(CA$1,'Monthly VOL'!$N$1:$CG$1,0))/INDEX('Monthly CUST'!$N$2:$CG$65,MATCH($D13,'Monthly CUST'!$D$2:$D$65,0),MATCH(CA$1,'Monthly CUST'!$N$1:$CG$1,0)),0)</f>
        <v>0</v>
      </c>
      <c r="CB13" s="56">
        <f>IFERROR(INDEX('Monthly VOL'!$N$2:$CG$65,MATCH($D13,'Monthly VOL'!$D$2:$D$65,0),MATCH(CB$1,'Monthly VOL'!$N$1:$CG$1,0))/INDEX('Monthly CUST'!$N$2:$CG$65,MATCH($D13,'Monthly CUST'!$D$2:$D$65,0),MATCH(CB$1,'Monthly CUST'!$N$1:$CG$1,0)),0)</f>
        <v>0</v>
      </c>
      <c r="CC13" s="56">
        <f>IFERROR(INDEX('Monthly VOL'!$N$2:$CG$65,MATCH($D13,'Monthly VOL'!$D$2:$D$65,0),MATCH(CC$1,'Monthly VOL'!$N$1:$CG$1,0))/INDEX('Monthly CUST'!$N$2:$CG$65,MATCH($D13,'Monthly CUST'!$D$2:$D$65,0),MATCH(CC$1,'Monthly CUST'!$N$1:$CG$1,0)),0)</f>
        <v>0</v>
      </c>
      <c r="CD13" s="56">
        <f>IFERROR(INDEX('Monthly VOL'!$N$2:$CG$65,MATCH($D13,'Monthly VOL'!$D$2:$D$65,0),MATCH(CD$1,'Monthly VOL'!$N$1:$CG$1,0))/INDEX('Monthly CUST'!$N$2:$CG$65,MATCH($D13,'Monthly CUST'!$D$2:$D$65,0),MATCH(CD$1,'Monthly CUST'!$N$1:$CG$1,0)),0)</f>
        <v>0</v>
      </c>
      <c r="CE13" s="56">
        <f>IFERROR(INDEX('Monthly VOL'!$N$2:$CG$65,MATCH($D13,'Monthly VOL'!$D$2:$D$65,0),MATCH(CE$1,'Monthly VOL'!$N$1:$CG$1,0))/INDEX('Monthly CUST'!$N$2:$CG$65,MATCH($D13,'Monthly CUST'!$D$2:$D$65,0),MATCH(CE$1,'Monthly CUST'!$N$1:$CG$1,0)),0)</f>
        <v>0</v>
      </c>
      <c r="CF13" s="56">
        <f>IFERROR(INDEX('Monthly VOL'!$N$2:$CG$65,MATCH($D13,'Monthly VOL'!$D$2:$D$65,0),MATCH(CF$1,'Monthly VOL'!$N$1:$CG$1,0))/INDEX('Monthly CUST'!$N$2:$CG$65,MATCH($D13,'Monthly CUST'!$D$2:$D$65,0),MATCH(CF$1,'Monthly CUST'!$N$1:$CG$1,0)),0)</f>
        <v>0</v>
      </c>
      <c r="CG13" s="56">
        <f>IFERROR(INDEX('Monthly VOL'!$N$2:$CG$65,MATCH($D13,'Monthly VOL'!$D$2:$D$65,0),MATCH(CG$1,'Monthly VOL'!$N$1:$CG$1,0))/INDEX('Monthly CUST'!$N$2:$CG$65,MATCH($D13,'Monthly CUST'!$D$2:$D$65,0),MATCH(CG$1,'Monthly CUST'!$N$1:$CG$1,0)),0)</f>
        <v>0</v>
      </c>
      <c r="CH13" s="264"/>
      <c r="CI13" s="264"/>
      <c r="CJ13" s="264"/>
      <c r="CM13" s="569">
        <f t="shared" si="0"/>
        <v>0</v>
      </c>
      <c r="CN13" s="569">
        <f t="shared" si="1"/>
        <v>0</v>
      </c>
      <c r="CO13" s="569">
        <f t="shared" si="2"/>
        <v>0</v>
      </c>
      <c r="CP13" s="569">
        <f t="shared" si="3"/>
        <v>0</v>
      </c>
      <c r="CQ13" s="569">
        <f t="shared" si="4"/>
        <v>0</v>
      </c>
      <c r="CR13" s="569">
        <f t="shared" si="5"/>
        <v>0</v>
      </c>
      <c r="CS13" s="569">
        <f t="shared" si="6"/>
        <v>0</v>
      </c>
      <c r="CT13" s="569">
        <f t="shared" si="7"/>
        <v>0</v>
      </c>
      <c r="CU13" s="569">
        <f t="shared" si="8"/>
        <v>0</v>
      </c>
      <c r="CV13" s="569">
        <f t="shared" si="9"/>
        <v>0</v>
      </c>
      <c r="CW13" s="569">
        <f t="shared" si="10"/>
        <v>0</v>
      </c>
      <c r="CX13" s="569">
        <f t="shared" si="11"/>
        <v>0</v>
      </c>
      <c r="CY13" s="569">
        <f t="shared" si="12"/>
        <v>0</v>
      </c>
      <c r="CZ13" s="569">
        <f t="shared" si="13"/>
        <v>0</v>
      </c>
      <c r="DA13" s="569">
        <f t="shared" si="14"/>
        <v>0</v>
      </c>
      <c r="DB13" s="569">
        <f t="shared" si="15"/>
        <v>0</v>
      </c>
      <c r="DC13" s="569">
        <f t="shared" si="16"/>
        <v>0</v>
      </c>
      <c r="DD13" s="569">
        <f t="shared" si="17"/>
        <v>0</v>
      </c>
      <c r="DE13" s="569">
        <f t="shared" si="18"/>
        <v>0</v>
      </c>
      <c r="DF13" s="569">
        <f t="shared" si="19"/>
        <v>0</v>
      </c>
      <c r="DG13" s="569">
        <f t="shared" si="20"/>
        <v>0</v>
      </c>
      <c r="DH13" s="569">
        <f t="shared" si="21"/>
        <v>0</v>
      </c>
      <c r="DI13" s="569">
        <f t="shared" si="22"/>
        <v>0</v>
      </c>
      <c r="DJ13" s="569">
        <f t="shared" si="23"/>
        <v>0</v>
      </c>
    </row>
    <row r="14" spans="1:114" s="261" customFormat="1">
      <c r="A14" s="55" t="s">
        <v>15</v>
      </c>
      <c r="B14" s="55" t="s">
        <v>994</v>
      </c>
      <c r="C14" s="55" t="s">
        <v>8</v>
      </c>
      <c r="D14" s="55" t="s">
        <v>29</v>
      </c>
      <c r="E14" s="55" t="str">
        <f>VLOOKUP(D14,'Input 14_Ref Table'!C:D,2,FALSE)</f>
        <v>GRS31</v>
      </c>
      <c r="F14" s="172" t="s">
        <v>1286</v>
      </c>
      <c r="G14" s="55" t="str">
        <f>VLOOKUP(D14,'Input 14_Ref Table'!C:I,7,FALSE)</f>
        <v>FPU - FPU - RS</v>
      </c>
      <c r="H14" s="55" t="str">
        <f>VLOOKUP(D14,'Input 14_Ref Table'!C:K,8,FALSE)</f>
        <v>FPU_RS</v>
      </c>
      <c r="I14" s="55" t="e">
        <f>INDEX(#REF!,MATCH(D14,#REF!,0))</f>
        <v>#REF!</v>
      </c>
      <c r="J14" s="261" t="str">
        <f>INDEX('Master '!$AD$2:AD$65,MATCH(D14,'Master '!$D$2:$D$65,0))</f>
        <v>Modeled UPC</v>
      </c>
      <c r="K14" s="567">
        <f>INDEX('Master '!$N$2:N$65,MATCH(D14,'Master '!$D$2:$D$65,0))</f>
        <v>2.8823680628474693E-2</v>
      </c>
      <c r="L14" s="290">
        <f>INDEX('Master '!$S$2:S$65,MATCH(D14,'Master '!$D$2:$D$65,0))</f>
        <v>0</v>
      </c>
      <c r="M14" s="1">
        <f>INDEX('Master '!$W$2:W$65,MATCH(D14,'Master '!$D$2:$D$65,0))</f>
        <v>250.70017607354299</v>
      </c>
      <c r="N14" s="56">
        <f>IFERROR(INDEX('Monthly VOL'!$N$2:$CG$65,MATCH($D14,'Monthly VOL'!$D$2:$D$65,0),MATCH(N$1,'Monthly VOL'!$N$1:$CG$1,0))/INDEX('Monthly CUST'!$N$2:$CG$65,MATCH($D14,'Monthly CUST'!$D$2:$D$65,0),MATCH(N$1,'Monthly CUST'!$N$1:$CG$1,0)),0)</f>
        <v>40.980899456064925</v>
      </c>
      <c r="O14" s="56">
        <f>IFERROR(INDEX('Monthly VOL'!$N$2:$CG$65,MATCH($D14,'Monthly VOL'!$D$2:$D$65,0),MATCH(O$1,'Monthly VOL'!$N$1:$CG$1,0))/INDEX('Monthly CUST'!$N$2:$CG$65,MATCH($D14,'Monthly CUST'!$D$2:$D$65,0),MATCH(O$1,'Monthly CUST'!$N$1:$CG$1,0)),0)</f>
        <v>28.923396187629052</v>
      </c>
      <c r="P14" s="56">
        <f>IFERROR(INDEX('Monthly VOL'!$N$2:$CG$65,MATCH($D14,'Monthly VOL'!$D$2:$D$65,0),MATCH(P$1,'Monthly VOL'!$N$1:$CG$1,0))/INDEX('Monthly CUST'!$N$2:$CG$65,MATCH($D14,'Monthly CUST'!$D$2:$D$65,0),MATCH(P$1,'Monthly CUST'!$N$1:$CG$1,0)),0)</f>
        <v>26.269121733470083</v>
      </c>
      <c r="Q14" s="56">
        <f>IFERROR(INDEX('Monthly VOL'!$N$2:$CG$65,MATCH($D14,'Monthly VOL'!$D$2:$D$65,0),MATCH(Q$1,'Monthly VOL'!$N$1:$CG$1,0))/INDEX('Monthly CUST'!$N$2:$CG$65,MATCH($D14,'Monthly CUST'!$D$2:$D$65,0),MATCH(Q$1,'Monthly CUST'!$N$1:$CG$1,0)),0)</f>
        <v>25.542381031985098</v>
      </c>
      <c r="R14" s="56">
        <f>IFERROR(INDEX('Monthly VOL'!$N$2:$CG$65,MATCH($D14,'Monthly VOL'!$D$2:$D$65,0),MATCH(R$1,'Monthly VOL'!$N$1:$CG$1,0))/INDEX('Monthly CUST'!$N$2:$CG$65,MATCH($D14,'Monthly CUST'!$D$2:$D$65,0),MATCH(R$1,'Monthly CUST'!$N$1:$CG$1,0)),0)</f>
        <v>18.403963080580322</v>
      </c>
      <c r="S14" s="56">
        <f>IFERROR(INDEX('Monthly VOL'!$N$2:$CG$65,MATCH($D14,'Monthly VOL'!$D$2:$D$65,0),MATCH(S$1,'Monthly VOL'!$N$1:$CG$1,0))/INDEX('Monthly CUST'!$N$2:$CG$65,MATCH($D14,'Monthly CUST'!$D$2:$D$65,0),MATCH(S$1,'Monthly CUST'!$N$1:$CG$1,0)),0)</f>
        <v>16.099307918757827</v>
      </c>
      <c r="T14" s="56">
        <f>IFERROR(INDEX('Monthly VOL'!$N$2:$CG$65,MATCH($D14,'Monthly VOL'!$D$2:$D$65,0),MATCH(T$1,'Monthly VOL'!$N$1:$CG$1,0))/INDEX('Monthly CUST'!$N$2:$CG$65,MATCH($D14,'Monthly CUST'!$D$2:$D$65,0),MATCH(T$1,'Monthly CUST'!$N$1:$CG$1,0)),0)</f>
        <v>12.994031510658017</v>
      </c>
      <c r="U14" s="56">
        <f>IFERROR(INDEX('Monthly VOL'!$N$2:$CG$65,MATCH($D14,'Monthly VOL'!$D$2:$D$65,0),MATCH(U$1,'Monthly VOL'!$N$1:$CG$1,0))/INDEX('Monthly CUST'!$N$2:$CG$65,MATCH($D14,'Monthly CUST'!$D$2:$D$65,0),MATCH(U$1,'Monthly CUST'!$N$1:$CG$1,0)),0)</f>
        <v>12.328489038412229</v>
      </c>
      <c r="V14" s="56">
        <f>IFERROR(INDEX('Monthly VOL'!$N$2:$CG$65,MATCH($D14,'Monthly VOL'!$D$2:$D$65,0),MATCH(V$1,'Monthly VOL'!$N$1:$CG$1,0))/INDEX('Monthly CUST'!$N$2:$CG$65,MATCH($D14,'Monthly CUST'!$D$2:$D$65,0),MATCH(V$1,'Monthly CUST'!$N$1:$CG$1,0)),0)</f>
        <v>13.435435477021647</v>
      </c>
      <c r="W14" s="56">
        <f>IFERROR(INDEX('Monthly VOL'!$N$2:$CG$65,MATCH($D14,'Monthly VOL'!$D$2:$D$65,0),MATCH(W$1,'Monthly VOL'!$N$1:$CG$1,0))/INDEX('Monthly CUST'!$N$2:$CG$65,MATCH($D14,'Monthly CUST'!$D$2:$D$65,0),MATCH(W$1,'Monthly CUST'!$N$1:$CG$1,0)),0)</f>
        <v>12.391974643365028</v>
      </c>
      <c r="X14" s="56">
        <f>IFERROR(INDEX('Monthly VOL'!$N$2:$CG$65,MATCH($D14,'Monthly VOL'!$D$2:$D$65,0),MATCH(X$1,'Monthly VOL'!$N$1:$CG$1,0))/INDEX('Monthly CUST'!$N$2:$CG$65,MATCH($D14,'Monthly CUST'!$D$2:$D$65,0),MATCH(X$1,'Monthly CUST'!$N$1:$CG$1,0)),0)</f>
        <v>18.357123669725148</v>
      </c>
      <c r="Y14" s="56">
        <f>IFERROR(INDEX('Monthly VOL'!$N$2:$CG$65,MATCH($D14,'Monthly VOL'!$D$2:$D$65,0),MATCH(Y$1,'Monthly VOL'!$N$1:$CG$1,0))/INDEX('Monthly CUST'!$N$2:$CG$65,MATCH($D14,'Monthly CUST'!$D$2:$D$65,0),MATCH(Y$1,'Monthly CUST'!$N$1:$CG$1,0)),0)</f>
        <v>28.196368025457701</v>
      </c>
      <c r="Z14" s="56">
        <f>IFERROR(INDEX('Monthly VOL'!$N$2:$CG$65,MATCH($D14,'Monthly VOL'!$D$2:$D$65,0),MATCH(Z$1,'Monthly VOL'!$N$1:$CG$1,0))/INDEX('Monthly CUST'!$N$2:$CG$65,MATCH($D14,'Monthly CUST'!$D$2:$D$65,0),MATCH(Z$1,'Monthly CUST'!$N$1:$CG$1,0)),0)</f>
        <v>35.310483947206386</v>
      </c>
      <c r="AA14" s="56">
        <f>IFERROR(INDEX('Monthly VOL'!$N$2:$CG$65,MATCH($D14,'Monthly VOL'!$D$2:$D$65,0),MATCH(AA$1,'Monthly VOL'!$N$1:$CG$1,0))/INDEX('Monthly CUST'!$N$2:$CG$65,MATCH($D14,'Monthly CUST'!$D$2:$D$65,0),MATCH(AA$1,'Monthly CUST'!$N$1:$CG$1,0)),0)</f>
        <v>30.60797376834773</v>
      </c>
      <c r="AB14" s="56">
        <f>IFERROR(INDEX('Monthly VOL'!$N$2:$CG$65,MATCH($D14,'Monthly VOL'!$D$2:$D$65,0),MATCH(AB$1,'Monthly VOL'!$N$1:$CG$1,0))/INDEX('Monthly CUST'!$N$2:$CG$65,MATCH($D14,'Monthly CUST'!$D$2:$D$65,0),MATCH(AB$1,'Monthly CUST'!$N$1:$CG$1,0)),0)</f>
        <v>24.428681039949513</v>
      </c>
      <c r="AC14" s="56">
        <f>IFERROR(INDEX('Monthly VOL'!$N$2:$CG$65,MATCH($D14,'Monthly VOL'!$D$2:$D$65,0),MATCH(AC$1,'Monthly VOL'!$N$1:$CG$1,0))/INDEX('Monthly CUST'!$N$2:$CG$65,MATCH($D14,'Monthly CUST'!$D$2:$D$65,0),MATCH(AC$1,'Monthly CUST'!$N$1:$CG$1,0)),0)</f>
        <v>22.968566834351833</v>
      </c>
      <c r="AD14" s="56">
        <f>IFERROR(INDEX('Monthly VOL'!$N$2:$CG$65,MATCH($D14,'Monthly VOL'!$D$2:$D$65,0),MATCH(AD$1,'Monthly VOL'!$N$1:$CG$1,0))/INDEX('Monthly CUST'!$N$2:$CG$65,MATCH($D14,'Monthly CUST'!$D$2:$D$65,0),MATCH(AD$1,'Monthly CUST'!$N$1:$CG$1,0)),0)</f>
        <v>18.40351031383744</v>
      </c>
      <c r="AE14" s="56">
        <f>IFERROR(INDEX('Monthly VOL'!$N$2:$CG$65,MATCH($D14,'Monthly VOL'!$D$2:$D$65,0),MATCH(AE$1,'Monthly VOL'!$N$1:$CG$1,0))/INDEX('Monthly CUST'!$N$2:$CG$65,MATCH($D14,'Monthly CUST'!$D$2:$D$65,0),MATCH(AE$1,'Monthly CUST'!$N$1:$CG$1,0)),0)</f>
        <v>14.543945503990285</v>
      </c>
      <c r="AF14" s="56">
        <f>IFERROR(INDEX('Monthly VOL'!$N$2:$CG$65,MATCH($D14,'Monthly VOL'!$D$2:$D$65,0),MATCH(AF$1,'Monthly VOL'!$N$1:$CG$1,0))/INDEX('Monthly CUST'!$N$2:$CG$65,MATCH($D14,'Monthly CUST'!$D$2:$D$65,0),MATCH(AF$1,'Monthly CUST'!$N$1:$CG$1,0)),0)</f>
        <v>11.821299326105374</v>
      </c>
      <c r="AG14" s="56">
        <f>IFERROR(INDEX('Monthly VOL'!$N$2:$CG$65,MATCH($D14,'Monthly VOL'!$D$2:$D$65,0),MATCH(AG$1,'Monthly VOL'!$N$1:$CG$1,0))/INDEX('Monthly CUST'!$N$2:$CG$65,MATCH($D14,'Monthly CUST'!$D$2:$D$65,0),MATCH(AG$1,'Monthly CUST'!$N$1:$CG$1,0)),0)</f>
        <v>12.248504400921616</v>
      </c>
      <c r="AH14" s="56">
        <f>IFERROR(INDEX('Monthly VOL'!$N$2:$CG$65,MATCH($D14,'Monthly VOL'!$D$2:$D$65,0),MATCH(AH$1,'Monthly VOL'!$N$1:$CG$1,0))/INDEX('Monthly CUST'!$N$2:$CG$65,MATCH($D14,'Monthly CUST'!$D$2:$D$65,0),MATCH(AH$1,'Monthly CUST'!$N$1:$CG$1,0)),0)</f>
        <v>13.270916945771233</v>
      </c>
      <c r="AI14" s="56">
        <f>IFERROR(INDEX('Monthly VOL'!$N$2:$CG$65,MATCH($D14,'Monthly VOL'!$D$2:$D$65,0),MATCH(AI$1,'Monthly VOL'!$N$1:$CG$1,0))/INDEX('Monthly CUST'!$N$2:$CG$65,MATCH($D14,'Monthly CUST'!$D$2:$D$65,0),MATCH(AI$1,'Monthly CUST'!$N$1:$CG$1,0)),0)</f>
        <v>13.898740353941827</v>
      </c>
      <c r="AJ14" s="56">
        <f>IFERROR(INDEX('Monthly VOL'!$N$2:$CG$65,MATCH($D14,'Monthly VOL'!$D$2:$D$65,0),MATCH(AJ$1,'Monthly VOL'!$N$1:$CG$1,0))/INDEX('Monthly CUST'!$N$2:$CG$65,MATCH($D14,'Monthly CUST'!$D$2:$D$65,0),MATCH(AJ$1,'Monthly CUST'!$N$1:$CG$1,0)),0)</f>
        <v>18.568282152092131</v>
      </c>
      <c r="AK14" s="56">
        <f>IFERROR(INDEX('Monthly VOL'!$N$2:$CG$65,MATCH($D14,'Monthly VOL'!$D$2:$D$65,0),MATCH(AK$1,'Monthly VOL'!$N$1:$CG$1,0))/INDEX('Monthly CUST'!$N$2:$CG$65,MATCH($D14,'Monthly CUST'!$D$2:$D$65,0),MATCH(AK$1,'Monthly CUST'!$N$1:$CG$1,0)),0)</f>
        <v>29.316491150832746</v>
      </c>
      <c r="AL14" s="56">
        <f>IFERROR(INDEX('Monthly VOL'!$N$2:$CG$65,MATCH($D14,'Monthly VOL'!$D$2:$D$65,0),MATCH(AL$1,'Monthly VOL'!$N$1:$CG$1,0))/INDEX('Monthly CUST'!$N$2:$CG$65,MATCH($D14,'Monthly CUST'!$D$2:$D$65,0),MATCH(AL$1,'Monthly CUST'!$N$1:$CG$1,0)),0)</f>
        <v>33.202974894663456</v>
      </c>
      <c r="AM14" s="56">
        <f>IFERROR(INDEX('Monthly VOL'!$N$2:$CG$65,MATCH($D14,'Monthly VOL'!$D$2:$D$65,0),MATCH(AM$1,'Monthly VOL'!$N$1:$CG$1,0))/INDEX('Monthly CUST'!$N$2:$CG$65,MATCH($D14,'Monthly CUST'!$D$2:$D$65,0),MATCH(AM$1,'Monthly CUST'!$N$1:$CG$1,0)),0)</f>
        <v>29.376598501296169</v>
      </c>
      <c r="AN14" s="56">
        <f>IFERROR(INDEX('Monthly VOL'!$N$2:$CG$65,MATCH($D14,'Monthly VOL'!$D$2:$D$65,0),MATCH(AN$1,'Monthly VOL'!$N$1:$CG$1,0))/INDEX('Monthly CUST'!$N$2:$CG$65,MATCH($D14,'Monthly CUST'!$D$2:$D$65,0),MATCH(AN$1,'Monthly CUST'!$N$1:$CG$1,0)),0)</f>
        <v>26.543987788922937</v>
      </c>
      <c r="AO14" s="56">
        <f>IFERROR(INDEX('Monthly VOL'!$N$2:$CG$65,MATCH($D14,'Monthly VOL'!$D$2:$D$65,0),MATCH(AO$1,'Monthly VOL'!$N$1:$CG$1,0))/INDEX('Monthly CUST'!$N$2:$CG$65,MATCH($D14,'Monthly CUST'!$D$2:$D$65,0),MATCH(AO$1,'Monthly CUST'!$N$1:$CG$1,0)),0)</f>
        <v>24.274547865426111</v>
      </c>
      <c r="AP14" s="56">
        <f>IFERROR(INDEX('Monthly VOL'!$N$2:$CG$65,MATCH($D14,'Monthly VOL'!$D$2:$D$65,0),MATCH(AP$1,'Monthly VOL'!$N$1:$CG$1,0))/INDEX('Monthly CUST'!$N$2:$CG$65,MATCH($D14,'Monthly CUST'!$D$2:$D$65,0),MATCH(AP$1,'Monthly CUST'!$N$1:$CG$1,0)),0)</f>
        <v>22.621140463248803</v>
      </c>
      <c r="AQ14" s="56">
        <f>IFERROR(INDEX('Monthly VOL'!$N$2:$CG$65,MATCH($D14,'Monthly VOL'!$D$2:$D$65,0),MATCH(AQ$1,'Monthly VOL'!$N$1:$CG$1,0))/INDEX('Monthly CUST'!$N$2:$CG$65,MATCH($D14,'Monthly CUST'!$D$2:$D$65,0),MATCH(AQ$1,'Monthly CUST'!$N$1:$CG$1,0)),0)</f>
        <v>17.123476199507781</v>
      </c>
      <c r="AR14" s="56">
        <f>IFERROR(INDEX('Monthly VOL'!$N$2:$CG$65,MATCH($D14,'Monthly VOL'!$D$2:$D$65,0),MATCH(AR$1,'Monthly VOL'!$N$1:$CG$1,0))/INDEX('Monthly CUST'!$N$2:$CG$65,MATCH($D14,'Monthly CUST'!$D$2:$D$65,0),MATCH(AR$1,'Monthly CUST'!$N$1:$CG$1,0)),0)</f>
        <v>14.617715900334394</v>
      </c>
      <c r="AS14" s="56">
        <f>IFERROR(INDEX('Monthly VOL'!$N$2:$CG$65,MATCH($D14,'Monthly VOL'!$D$2:$D$65,0),MATCH(AS$1,'Monthly VOL'!$N$1:$CG$1,0))/INDEX('Monthly CUST'!$N$2:$CG$65,MATCH($D14,'Monthly CUST'!$D$2:$D$65,0),MATCH(AS$1,'Monthly CUST'!$N$1:$CG$1,0)),0)</f>
        <v>13.11551365765334</v>
      </c>
      <c r="AT14" s="56">
        <f>IFERROR(INDEX('Monthly VOL'!$N$2:$CG$65,MATCH($D14,'Monthly VOL'!$D$2:$D$65,0),MATCH(AT$1,'Monthly VOL'!$N$1:$CG$1,0))/INDEX('Monthly CUST'!$N$2:$CG$65,MATCH($D14,'Monthly CUST'!$D$2:$D$65,0),MATCH(AT$1,'Monthly CUST'!$N$1:$CG$1,0)),0)</f>
        <v>13.006196585565748</v>
      </c>
      <c r="AU14" s="56">
        <f>IFERROR(INDEX('Monthly VOL'!$N$2:$CG$65,MATCH($D14,'Monthly VOL'!$D$2:$D$65,0),MATCH(AU$1,'Monthly VOL'!$N$1:$CG$1,0))/INDEX('Monthly CUST'!$N$2:$CG$65,MATCH($D14,'Monthly CUST'!$D$2:$D$65,0),MATCH(AU$1,'Monthly CUST'!$N$1:$CG$1,0)),0)</f>
        <v>14.097863485393717</v>
      </c>
      <c r="AV14" s="56">
        <f>IFERROR(INDEX('Monthly VOL'!$N$2:$CG$65,MATCH($D14,'Monthly VOL'!$D$2:$D$65,0),MATCH(AV$1,'Monthly VOL'!$N$1:$CG$1,0))/INDEX('Monthly CUST'!$N$2:$CG$65,MATCH($D14,'Monthly CUST'!$D$2:$D$65,0),MATCH(AV$1,'Monthly CUST'!$N$1:$CG$1,0)),0)</f>
        <v>19.823812245036226</v>
      </c>
      <c r="AW14" s="56">
        <f>IFERROR(INDEX('Monthly VOL'!$N$2:$CG$65,MATCH($D14,'Monthly VOL'!$D$2:$D$65,0),MATCH(AW$1,'Monthly VOL'!$N$1:$CG$1,0))/INDEX('Monthly CUST'!$N$2:$CG$65,MATCH($D14,'Monthly CUST'!$D$2:$D$65,0),MATCH(AW$1,'Monthly CUST'!$N$1:$CG$1,0)),0)</f>
        <v>31.796948374953882</v>
      </c>
      <c r="AX14" s="56">
        <f>IFERROR(INDEX('Monthly VOL'!$N$2:$CG$65,MATCH($D14,'Monthly VOL'!$D$2:$D$65,0),MATCH(AX$1,'Monthly VOL'!$N$1:$CG$1,0))/INDEX('Monthly CUST'!$N$2:$CG$65,MATCH($D14,'Monthly CUST'!$D$2:$D$65,0),MATCH(AX$1,'Monthly CUST'!$N$1:$CG$1,0)),0)</f>
        <v>41.778947870630972</v>
      </c>
      <c r="AY14" s="56">
        <f>IFERROR(INDEX('Monthly VOL'!$N$2:$CG$65,MATCH($D14,'Monthly VOL'!$D$2:$D$65,0),MATCH(AY$1,'Monthly VOL'!$N$1:$CG$1,0))/INDEX('Monthly CUST'!$N$2:$CG$65,MATCH($D14,'Monthly CUST'!$D$2:$D$65,0),MATCH(AY$1,'Monthly CUST'!$N$1:$CG$1,0)),0)</f>
        <v>32.03679367409557</v>
      </c>
      <c r="AZ14" s="56">
        <f>IFERROR(INDEX('Monthly VOL'!$N$2:$CG$65,MATCH($D14,'Monthly VOL'!$D$2:$D$65,0),MATCH(AZ$1,'Monthly VOL'!$N$1:$CG$1,0))/INDEX('Monthly CUST'!$N$2:$CG$65,MATCH($D14,'Monthly CUST'!$D$2:$D$65,0),MATCH(AZ$1,'Monthly CUST'!$N$1:$CG$1,0)),0)</f>
        <v>27.363505305282228</v>
      </c>
      <c r="BA14" s="56">
        <f>IFERROR(INDEX('Monthly VOL'!$N$2:$CG$65,MATCH($D14,'Monthly VOL'!$D$2:$D$65,0),MATCH(BA$1,'Monthly VOL'!$N$1:$CG$1,0))/INDEX('Monthly CUST'!$N$2:$CG$65,MATCH($D14,'Monthly CUST'!$D$2:$D$65,0),MATCH(BA$1,'Monthly CUST'!$N$1:$CG$1,0)),0)</f>
        <v>25.962221709082943</v>
      </c>
      <c r="BB14" s="56">
        <f>IFERROR(INDEX('Monthly VOL'!$N$2:$CG$65,MATCH($D14,'Monthly VOL'!$D$2:$D$65,0),MATCH(BB$1,'Monthly VOL'!$N$1:$CG$1,0))/INDEX('Monthly CUST'!$N$2:$CG$65,MATCH($D14,'Monthly CUST'!$D$2:$D$65,0),MATCH(BB$1,'Monthly CUST'!$N$1:$CG$1,0)),0)</f>
        <v>19.667431508542034</v>
      </c>
      <c r="BC14" s="56">
        <f>IFERROR(INDEX('Monthly VOL'!$N$2:$CG$65,MATCH($D14,'Monthly VOL'!$D$2:$D$65,0),MATCH(BC$1,'Monthly VOL'!$N$1:$CG$1,0))/INDEX('Monthly CUST'!$N$2:$CG$65,MATCH($D14,'Monthly CUST'!$D$2:$D$65,0),MATCH(BC$1,'Monthly CUST'!$N$1:$CG$1,0)),0)</f>
        <v>15.57852119365876</v>
      </c>
      <c r="BD14" s="56">
        <f>IFERROR(INDEX('Monthly VOL'!$N$2:$CG$65,MATCH($D14,'Monthly VOL'!$D$2:$D$65,0),MATCH(BD$1,'Monthly VOL'!$N$1:$CG$1,0))/INDEX('Monthly CUST'!$N$2:$CG$65,MATCH($D14,'Monthly CUST'!$D$2:$D$65,0),MATCH(BD$1,'Monthly CUST'!$N$1:$CG$1,0)),0)</f>
        <v>14.302660613385273</v>
      </c>
      <c r="BE14" s="56">
        <f>IFERROR(INDEX('Monthly VOL'!$N$2:$CG$65,MATCH($D14,'Monthly VOL'!$D$2:$D$65,0),MATCH(BE$1,'Monthly VOL'!$N$1:$CG$1,0))/INDEX('Monthly CUST'!$N$2:$CG$65,MATCH($D14,'Monthly CUST'!$D$2:$D$65,0),MATCH(BE$1,'Monthly CUST'!$N$1:$CG$1,0)),0)</f>
        <v>12.266667481942191</v>
      </c>
      <c r="BF14" s="56">
        <f>IFERROR(INDEX('Monthly VOL'!$N$2:$CG$65,MATCH($D14,'Monthly VOL'!$D$2:$D$65,0),MATCH(BF$1,'Monthly VOL'!$N$1:$CG$1,0))/INDEX('Monthly CUST'!$N$2:$CG$65,MATCH($D14,'Monthly CUST'!$D$2:$D$65,0),MATCH(BF$1,'Monthly CUST'!$N$1:$CG$1,0)),0)</f>
        <v>13.378750995854572</v>
      </c>
      <c r="BG14" s="56">
        <f>IFERROR(INDEX('Monthly VOL'!$N$2:$CG$65,MATCH($D14,'Monthly VOL'!$D$2:$D$65,0),MATCH(BG$1,'Monthly VOL'!$N$1:$CG$1,0))/INDEX('Monthly CUST'!$N$2:$CG$65,MATCH($D14,'Monthly CUST'!$D$2:$D$65,0),MATCH(BG$1,'Monthly CUST'!$N$1:$CG$1,0)),0)</f>
        <v>13.871538187760301</v>
      </c>
      <c r="BH14" s="56">
        <f>IFERROR(INDEX('Monthly VOL'!$N$2:$CG$65,MATCH($D14,'Monthly VOL'!$D$2:$D$65,0),MATCH(BH$1,'Monthly VOL'!$N$1:$CG$1,0))/INDEX('Monthly CUST'!$N$2:$CG$65,MATCH($D14,'Monthly CUST'!$D$2:$D$65,0),MATCH(BH$1,'Monthly CUST'!$N$1:$CG$1,0)),0)</f>
        <v>19.491983367381675</v>
      </c>
      <c r="BI14" s="56">
        <f>IFERROR(INDEX('Monthly VOL'!$N$2:$CG$65,MATCH($D14,'Monthly VOL'!$D$2:$D$65,0),MATCH(BI$1,'Monthly VOL'!$N$1:$CG$1,0))/INDEX('Monthly CUST'!$N$2:$CG$65,MATCH($D14,'Monthly CUST'!$D$2:$D$65,0),MATCH(BI$1,'Monthly CUST'!$N$1:$CG$1,0)),0)</f>
        <v>27.349357102796112</v>
      </c>
      <c r="BJ14" s="56">
        <f>IFERROR(INDEX('Monthly VOL'!$N$2:$CG$65,MATCH($D14,'Monthly VOL'!$D$2:$D$65,0),MATCH(BJ$1,'Monthly VOL'!$N$1:$CG$1,0))/INDEX('Monthly CUST'!$N$2:$CG$65,MATCH($D14,'Monthly CUST'!$D$2:$D$65,0),MATCH(BJ$1,'Monthly CUST'!$N$1:$CG$1,0)),0)</f>
        <v>20.891681339461918</v>
      </c>
      <c r="BK14" s="56">
        <f>IFERROR(INDEX('Monthly VOL'!$N$2:$CG$65,MATCH($D14,'Monthly VOL'!$D$2:$D$65,0),MATCH(BK$1,'Monthly VOL'!$N$1:$CG$1,0))/INDEX('Monthly CUST'!$N$2:$CG$65,MATCH($D14,'Monthly CUST'!$D$2:$D$65,0),MATCH(BK$1,'Monthly CUST'!$N$1:$CG$1,0)),0)</f>
        <v>20.891681339461915</v>
      </c>
      <c r="BL14" s="56">
        <f>IFERROR(INDEX('Monthly VOL'!$N$2:$CG$65,MATCH($D14,'Monthly VOL'!$D$2:$D$65,0),MATCH(BL$1,'Monthly VOL'!$N$1:$CG$1,0))/INDEX('Monthly CUST'!$N$2:$CG$65,MATCH($D14,'Monthly CUST'!$D$2:$D$65,0),MATCH(BL$1,'Monthly CUST'!$N$1:$CG$1,0)),0)</f>
        <v>20.891681339461915</v>
      </c>
      <c r="BM14" s="56">
        <f>IFERROR(INDEX('Monthly VOL'!$N$2:$CG$65,MATCH($D14,'Monthly VOL'!$D$2:$D$65,0),MATCH(BM$1,'Monthly VOL'!$N$1:$CG$1,0))/INDEX('Monthly CUST'!$N$2:$CG$65,MATCH($D14,'Monthly CUST'!$D$2:$D$65,0),MATCH(BM$1,'Monthly CUST'!$N$1:$CG$1,0)),0)</f>
        <v>20.891681339461915</v>
      </c>
      <c r="BN14" s="56">
        <f>IFERROR(INDEX('Monthly VOL'!$N$2:$CG$65,MATCH($D14,'Monthly VOL'!$D$2:$D$65,0),MATCH(BN$1,'Monthly VOL'!$N$1:$CG$1,0))/INDEX('Monthly CUST'!$N$2:$CG$65,MATCH($D14,'Monthly CUST'!$D$2:$D$65,0),MATCH(BN$1,'Monthly CUST'!$N$1:$CG$1,0)),0)</f>
        <v>20.891681339461915</v>
      </c>
      <c r="BO14" s="56">
        <f>IFERROR(INDEX('Monthly VOL'!$N$2:$CG$65,MATCH($D14,'Monthly VOL'!$D$2:$D$65,0),MATCH(BO$1,'Monthly VOL'!$N$1:$CG$1,0))/INDEX('Monthly CUST'!$N$2:$CG$65,MATCH($D14,'Monthly CUST'!$D$2:$D$65,0),MATCH(BO$1,'Monthly CUST'!$N$1:$CG$1,0)),0)</f>
        <v>20.891681339461918</v>
      </c>
      <c r="BP14" s="56">
        <f>IFERROR(INDEX('Monthly VOL'!$N$2:$CG$65,MATCH($D14,'Monthly VOL'!$D$2:$D$65,0),MATCH(BP$1,'Monthly VOL'!$N$1:$CG$1,0))/INDEX('Monthly CUST'!$N$2:$CG$65,MATCH($D14,'Monthly CUST'!$D$2:$D$65,0),MATCH(BP$1,'Monthly CUST'!$N$1:$CG$1,0)),0)</f>
        <v>20.891681339461915</v>
      </c>
      <c r="BQ14" s="56">
        <f>IFERROR(INDEX('Monthly VOL'!$N$2:$CG$65,MATCH($D14,'Monthly VOL'!$D$2:$D$65,0),MATCH(BQ$1,'Monthly VOL'!$N$1:$CG$1,0))/INDEX('Monthly CUST'!$N$2:$CG$65,MATCH($D14,'Monthly CUST'!$D$2:$D$65,0),MATCH(BQ$1,'Monthly CUST'!$N$1:$CG$1,0)),0)</f>
        <v>20.891681339461918</v>
      </c>
      <c r="BR14" s="56">
        <f>IFERROR(INDEX('Monthly VOL'!$N$2:$CG$65,MATCH($D14,'Monthly VOL'!$D$2:$D$65,0),MATCH(BR$1,'Monthly VOL'!$N$1:$CG$1,0))/INDEX('Monthly CUST'!$N$2:$CG$65,MATCH($D14,'Monthly CUST'!$D$2:$D$65,0),MATCH(BR$1,'Monthly CUST'!$N$1:$CG$1,0)),0)</f>
        <v>20.891681339461915</v>
      </c>
      <c r="BS14" s="56">
        <f>IFERROR(INDEX('Monthly VOL'!$N$2:$CG$65,MATCH($D14,'Monthly VOL'!$D$2:$D$65,0),MATCH(BS$1,'Monthly VOL'!$N$1:$CG$1,0))/INDEX('Monthly CUST'!$N$2:$CG$65,MATCH($D14,'Monthly CUST'!$D$2:$D$65,0),MATCH(BS$1,'Monthly CUST'!$N$1:$CG$1,0)),0)</f>
        <v>20.891681339461918</v>
      </c>
      <c r="BT14" s="56">
        <f>IFERROR(INDEX('Monthly VOL'!$N$2:$CG$65,MATCH($D14,'Monthly VOL'!$D$2:$D$65,0),MATCH(BT$1,'Monthly VOL'!$N$1:$CG$1,0))/INDEX('Monthly CUST'!$N$2:$CG$65,MATCH($D14,'Monthly CUST'!$D$2:$D$65,0),MATCH(BT$1,'Monthly CUST'!$N$1:$CG$1,0)),0)</f>
        <v>20.891681339461915</v>
      </c>
      <c r="BU14" s="56">
        <f>IFERROR(INDEX('Monthly VOL'!$N$2:$CG$65,MATCH($D14,'Monthly VOL'!$D$2:$D$65,0),MATCH(BU$1,'Monthly VOL'!$N$1:$CG$1,0))/INDEX('Monthly CUST'!$N$2:$CG$65,MATCH($D14,'Monthly CUST'!$D$2:$D$65,0),MATCH(BU$1,'Monthly CUST'!$N$1:$CG$1,0)),0)</f>
        <v>20.891681339461915</v>
      </c>
      <c r="BV14" s="56">
        <f>IFERROR(INDEX('Monthly VOL'!$N$2:$CG$65,MATCH($D14,'Monthly VOL'!$D$2:$D$65,0),MATCH(BV$1,'Monthly VOL'!$N$1:$CG$1,0))/INDEX('Monthly CUST'!$N$2:$CG$65,MATCH($D14,'Monthly CUST'!$D$2:$D$65,0),MATCH(BV$1,'Monthly CUST'!$N$1:$CG$1,0)),0)</f>
        <v>20.891681339461915</v>
      </c>
      <c r="BW14" s="56">
        <f>IFERROR(INDEX('Monthly VOL'!$N$2:$CG$65,MATCH($D14,'Monthly VOL'!$D$2:$D$65,0),MATCH(BW$1,'Monthly VOL'!$N$1:$CG$1,0))/INDEX('Monthly CUST'!$N$2:$CG$65,MATCH($D14,'Monthly CUST'!$D$2:$D$65,0),MATCH(BW$1,'Monthly CUST'!$N$1:$CG$1,0)),0)</f>
        <v>20.891681339461915</v>
      </c>
      <c r="BX14" s="56">
        <f>IFERROR(INDEX('Monthly VOL'!$N$2:$CG$65,MATCH($D14,'Monthly VOL'!$D$2:$D$65,0),MATCH(BX$1,'Monthly VOL'!$N$1:$CG$1,0))/INDEX('Monthly CUST'!$N$2:$CG$65,MATCH($D14,'Monthly CUST'!$D$2:$D$65,0),MATCH(BX$1,'Monthly CUST'!$N$1:$CG$1,0)),0)</f>
        <v>20.891681339461918</v>
      </c>
      <c r="BY14" s="56">
        <f>IFERROR(INDEX('Monthly VOL'!$N$2:$CG$65,MATCH($D14,'Monthly VOL'!$D$2:$D$65,0),MATCH(BY$1,'Monthly VOL'!$N$1:$CG$1,0))/INDEX('Monthly CUST'!$N$2:$CG$65,MATCH($D14,'Monthly CUST'!$D$2:$D$65,0),MATCH(BY$1,'Monthly CUST'!$N$1:$CG$1,0)),0)</f>
        <v>20.891681339461918</v>
      </c>
      <c r="BZ14" s="56">
        <f>IFERROR(INDEX('Monthly VOL'!$N$2:$CG$65,MATCH($D14,'Monthly VOL'!$D$2:$D$65,0),MATCH(BZ$1,'Monthly VOL'!$N$1:$CG$1,0))/INDEX('Monthly CUST'!$N$2:$CG$65,MATCH($D14,'Monthly CUST'!$D$2:$D$65,0),MATCH(BZ$1,'Monthly CUST'!$N$1:$CG$1,0)),0)</f>
        <v>20.891681339461915</v>
      </c>
      <c r="CA14" s="56">
        <f>IFERROR(INDEX('Monthly VOL'!$N$2:$CG$65,MATCH($D14,'Monthly VOL'!$D$2:$D$65,0),MATCH(CA$1,'Monthly VOL'!$N$1:$CG$1,0))/INDEX('Monthly CUST'!$N$2:$CG$65,MATCH($D14,'Monthly CUST'!$D$2:$D$65,0),MATCH(CA$1,'Monthly CUST'!$N$1:$CG$1,0)),0)</f>
        <v>20.891681339461918</v>
      </c>
      <c r="CB14" s="56">
        <f>IFERROR(INDEX('Monthly VOL'!$N$2:$CG$65,MATCH($D14,'Monthly VOL'!$D$2:$D$65,0),MATCH(CB$1,'Monthly VOL'!$N$1:$CG$1,0))/INDEX('Monthly CUST'!$N$2:$CG$65,MATCH($D14,'Monthly CUST'!$D$2:$D$65,0),MATCH(CB$1,'Monthly CUST'!$N$1:$CG$1,0)),0)</f>
        <v>20.891681339461915</v>
      </c>
      <c r="CC14" s="56">
        <f>IFERROR(INDEX('Monthly VOL'!$N$2:$CG$65,MATCH($D14,'Monthly VOL'!$D$2:$D$65,0),MATCH(CC$1,'Monthly VOL'!$N$1:$CG$1,0))/INDEX('Monthly CUST'!$N$2:$CG$65,MATCH($D14,'Monthly CUST'!$D$2:$D$65,0),MATCH(CC$1,'Monthly CUST'!$N$1:$CG$1,0)),0)</f>
        <v>20.891681339461915</v>
      </c>
      <c r="CD14" s="56">
        <f>IFERROR(INDEX('Monthly VOL'!$N$2:$CG$65,MATCH($D14,'Monthly VOL'!$D$2:$D$65,0),MATCH(CD$1,'Monthly VOL'!$N$1:$CG$1,0))/INDEX('Monthly CUST'!$N$2:$CG$65,MATCH($D14,'Monthly CUST'!$D$2:$D$65,0),MATCH(CD$1,'Monthly CUST'!$N$1:$CG$1,0)),0)</f>
        <v>20.891681339461915</v>
      </c>
      <c r="CE14" s="56">
        <f>IFERROR(INDEX('Monthly VOL'!$N$2:$CG$65,MATCH($D14,'Monthly VOL'!$D$2:$D$65,0),MATCH(CE$1,'Monthly VOL'!$N$1:$CG$1,0))/INDEX('Monthly CUST'!$N$2:$CG$65,MATCH($D14,'Monthly CUST'!$D$2:$D$65,0),MATCH(CE$1,'Monthly CUST'!$N$1:$CG$1,0)),0)</f>
        <v>20.891681339461915</v>
      </c>
      <c r="CF14" s="56">
        <f>IFERROR(INDEX('Monthly VOL'!$N$2:$CG$65,MATCH($D14,'Monthly VOL'!$D$2:$D$65,0),MATCH(CF$1,'Monthly VOL'!$N$1:$CG$1,0))/INDEX('Monthly CUST'!$N$2:$CG$65,MATCH($D14,'Monthly CUST'!$D$2:$D$65,0),MATCH(CF$1,'Monthly CUST'!$N$1:$CG$1,0)),0)</f>
        <v>20.891681339461918</v>
      </c>
      <c r="CG14" s="56">
        <f>IFERROR(INDEX('Monthly VOL'!$N$2:$CG$65,MATCH($D14,'Monthly VOL'!$D$2:$D$65,0),MATCH(CG$1,'Monthly VOL'!$N$1:$CG$1,0))/INDEX('Monthly CUST'!$N$2:$CG$65,MATCH($D14,'Monthly CUST'!$D$2:$D$65,0),MATCH(CG$1,'Monthly CUST'!$N$1:$CG$1,0)),0)</f>
        <v>20.891681339461915</v>
      </c>
      <c r="CH14" s="264"/>
      <c r="CI14" s="264"/>
      <c r="CJ14" s="264"/>
      <c r="CM14" s="569">
        <f t="shared" si="0"/>
        <v>36.764135570833602</v>
      </c>
      <c r="CN14" s="569">
        <f t="shared" si="1"/>
        <v>30.673788647913156</v>
      </c>
      <c r="CO14" s="569">
        <f t="shared" si="2"/>
        <v>26.112058044718225</v>
      </c>
      <c r="CP14" s="569">
        <f t="shared" si="3"/>
        <v>24.401778802953629</v>
      </c>
      <c r="CQ14" s="569">
        <f t="shared" si="4"/>
        <v>20.230694095209426</v>
      </c>
      <c r="CR14" s="569">
        <f t="shared" si="5"/>
        <v>15.748647632385607</v>
      </c>
      <c r="CS14" s="569">
        <f t="shared" si="6"/>
        <v>13.580558613275015</v>
      </c>
      <c r="CT14" s="569">
        <f t="shared" si="7"/>
        <v>12.543561846839049</v>
      </c>
      <c r="CU14" s="569">
        <f t="shared" si="8"/>
        <v>13.218621509063851</v>
      </c>
      <c r="CV14" s="569">
        <f t="shared" si="9"/>
        <v>13.956047342365281</v>
      </c>
      <c r="CW14" s="569">
        <f t="shared" si="10"/>
        <v>19.294692588170012</v>
      </c>
      <c r="CX14" s="569">
        <f t="shared" si="11"/>
        <v>29.487598876194244</v>
      </c>
      <c r="CY14" s="569">
        <f t="shared" si="12"/>
        <v>36.764135570833602</v>
      </c>
      <c r="CZ14" s="569">
        <f t="shared" si="13"/>
        <v>30.673788647913156</v>
      </c>
      <c r="DA14" s="569">
        <f t="shared" si="14"/>
        <v>26.112058044718225</v>
      </c>
      <c r="DB14" s="569">
        <f t="shared" si="15"/>
        <v>24.401778802953629</v>
      </c>
      <c r="DC14" s="569">
        <f t="shared" si="16"/>
        <v>20.230694095209426</v>
      </c>
      <c r="DD14" s="569">
        <f t="shared" si="17"/>
        <v>15.748647632385607</v>
      </c>
      <c r="DE14" s="569">
        <f t="shared" si="18"/>
        <v>13.580558613275015</v>
      </c>
      <c r="DF14" s="569">
        <f t="shared" si="19"/>
        <v>12.543561846839049</v>
      </c>
      <c r="DG14" s="569">
        <f t="shared" si="20"/>
        <v>13.218621509063851</v>
      </c>
      <c r="DH14" s="569">
        <f t="shared" si="21"/>
        <v>13.956047342365281</v>
      </c>
      <c r="DI14" s="569">
        <f t="shared" si="22"/>
        <v>19.294692588170012</v>
      </c>
      <c r="DJ14" s="569">
        <f t="shared" si="23"/>
        <v>29.487598876194244</v>
      </c>
    </row>
    <row r="15" spans="1:114" s="261" customFormat="1">
      <c r="A15" s="55" t="s">
        <v>15</v>
      </c>
      <c r="B15" s="55" t="s">
        <v>994</v>
      </c>
      <c r="C15" s="55" t="s">
        <v>8</v>
      </c>
      <c r="D15" s="55" t="s">
        <v>32</v>
      </c>
      <c r="E15" s="55" t="str">
        <f>VLOOKUP(D15,'Input 14_Ref Table'!C:D,2,FALSE)</f>
        <v>GEN31</v>
      </c>
      <c r="F15" s="172" t="s">
        <v>1286</v>
      </c>
      <c r="G15" s="55" t="str">
        <f>VLOOKUP(D15,'Input 14_Ref Table'!C:I,7,FALSE)</f>
        <v>FPU - FPU - RS-GS</v>
      </c>
      <c r="H15" s="55" t="str">
        <f>VLOOKUP(D15,'Input 14_Ref Table'!C:K,8,FALSE)</f>
        <v>RS_GS</v>
      </c>
      <c r="I15" s="55" t="e">
        <f>INDEX(#REF!,MATCH(D15,#REF!,0))</f>
        <v>#REF!</v>
      </c>
      <c r="J15" s="261" t="str">
        <f>INDEX('Master '!$AD$2:AD$65,MATCH(D15,'Master '!$D$2:$D$65,0))</f>
        <v>Historical Average</v>
      </c>
      <c r="K15" s="567">
        <f>INDEX('Master '!$N$2:N$65,MATCH(D15,'Master '!$D$2:$D$65,0))</f>
        <v>0.10817508987692429</v>
      </c>
      <c r="L15" s="290">
        <f>INDEX('Master '!$S$2:S$65,MATCH(D15,'Master '!$D$2:$D$65,0))</f>
        <v>-6.5016495904125227E-3</v>
      </c>
      <c r="M15" s="1">
        <f>INDEX('Master '!$W$2:W$65,MATCH(D15,'Master '!$D$2:$D$65,0))</f>
        <v>80.956336657055985</v>
      </c>
      <c r="N15" s="56">
        <f>IFERROR(INDEX('Monthly VOL'!$N$2:$CG$65,MATCH($D15,'Monthly VOL'!$D$2:$D$65,0),MATCH(N$1,'Monthly VOL'!$N$1:$CG$1,0))/INDEX('Monthly CUST'!$N$2:$CG$65,MATCH($D15,'Monthly CUST'!$D$2:$D$65,0),MATCH(N$1,'Monthly CUST'!$N$1:$CG$1,0)),0)</f>
        <v>19.199608294930883</v>
      </c>
      <c r="O15" s="56">
        <f>IFERROR(INDEX('Monthly VOL'!$N$2:$CG$65,MATCH($D15,'Monthly VOL'!$D$2:$D$65,0),MATCH(O$1,'Monthly VOL'!$N$1:$CG$1,0))/INDEX('Monthly CUST'!$N$2:$CG$65,MATCH($D15,'Monthly CUST'!$D$2:$D$65,0),MATCH(O$1,'Monthly CUST'!$N$1:$CG$1,0)),0)</f>
        <v>11.000719257540597</v>
      </c>
      <c r="P15" s="56">
        <f>IFERROR(INDEX('Monthly VOL'!$N$2:$CG$65,MATCH($D15,'Monthly VOL'!$D$2:$D$65,0),MATCH(P$1,'Monthly VOL'!$N$1:$CG$1,0))/INDEX('Monthly CUST'!$N$2:$CG$65,MATCH($D15,'Monthly CUST'!$D$2:$D$65,0),MATCH(P$1,'Monthly CUST'!$N$1:$CG$1,0)),0)</f>
        <v>13.182568181818171</v>
      </c>
      <c r="Q15" s="56">
        <f>IFERROR(INDEX('Monthly VOL'!$N$2:$CG$65,MATCH($D15,'Monthly VOL'!$D$2:$D$65,0),MATCH(Q$1,'Monthly VOL'!$N$1:$CG$1,0))/INDEX('Monthly CUST'!$N$2:$CG$65,MATCH($D15,'Monthly CUST'!$D$2:$D$65,0),MATCH(Q$1,'Monthly CUST'!$N$1:$CG$1,0)),0)</f>
        <v>11.997139639639649</v>
      </c>
      <c r="R15" s="56">
        <f>IFERROR(INDEX('Monthly VOL'!$N$2:$CG$65,MATCH($D15,'Monthly VOL'!$D$2:$D$65,0),MATCH(R$1,'Monthly VOL'!$N$1:$CG$1,0))/INDEX('Monthly CUST'!$N$2:$CG$65,MATCH($D15,'Monthly CUST'!$D$2:$D$65,0),MATCH(R$1,'Monthly CUST'!$N$1:$CG$1,0)),0)</f>
        <v>8.1329024943310664</v>
      </c>
      <c r="S15" s="56">
        <f>IFERROR(INDEX('Monthly VOL'!$N$2:$CG$65,MATCH($D15,'Monthly VOL'!$D$2:$D$65,0),MATCH(S$1,'Monthly VOL'!$N$1:$CG$1,0))/INDEX('Monthly CUST'!$N$2:$CG$65,MATCH($D15,'Monthly CUST'!$D$2:$D$65,0),MATCH(S$1,'Monthly CUST'!$N$1:$CG$1,0)),0)</f>
        <v>6.8668080357142811</v>
      </c>
      <c r="T15" s="56">
        <f>IFERROR(INDEX('Monthly VOL'!$N$2:$CG$65,MATCH($D15,'Monthly VOL'!$D$2:$D$65,0),MATCH(T$1,'Monthly VOL'!$N$1:$CG$1,0))/INDEX('Monthly CUST'!$N$2:$CG$65,MATCH($D15,'Monthly CUST'!$D$2:$D$65,0),MATCH(T$1,'Monthly CUST'!$N$1:$CG$1,0)),0)</f>
        <v>4.6027152317880775</v>
      </c>
      <c r="U15" s="56">
        <f>IFERROR(INDEX('Monthly VOL'!$N$2:$CG$65,MATCH($D15,'Monthly VOL'!$D$2:$D$65,0),MATCH(U$1,'Monthly VOL'!$N$1:$CG$1,0))/INDEX('Monthly CUST'!$N$2:$CG$65,MATCH($D15,'Monthly CUST'!$D$2:$D$65,0),MATCH(U$1,'Monthly CUST'!$N$1:$CG$1,0)),0)</f>
        <v>4.1379956427015196</v>
      </c>
      <c r="V15" s="56">
        <f>IFERROR(INDEX('Monthly VOL'!$N$2:$CG$65,MATCH($D15,'Monthly VOL'!$D$2:$D$65,0),MATCH(V$1,'Monthly VOL'!$N$1:$CG$1,0))/INDEX('Monthly CUST'!$N$2:$CG$65,MATCH($D15,'Monthly CUST'!$D$2:$D$65,0),MATCH(V$1,'Monthly CUST'!$N$1:$CG$1,0)),0)</f>
        <v>8.1753765690376579</v>
      </c>
      <c r="W15" s="56">
        <f>IFERROR(INDEX('Monthly VOL'!$N$2:$CG$65,MATCH($D15,'Monthly VOL'!$D$2:$D$65,0),MATCH(W$1,'Monthly VOL'!$N$1:$CG$1,0))/INDEX('Monthly CUST'!$N$2:$CG$65,MATCH($D15,'Monthly CUST'!$D$2:$D$65,0),MATCH(W$1,'Monthly CUST'!$N$1:$CG$1,0)),0)</f>
        <v>3.6007755102040808</v>
      </c>
      <c r="X15" s="56">
        <f>IFERROR(INDEX('Monthly VOL'!$N$2:$CG$65,MATCH($D15,'Monthly VOL'!$D$2:$D$65,0),MATCH(X$1,'Monthly VOL'!$N$1:$CG$1,0))/INDEX('Monthly CUST'!$N$2:$CG$65,MATCH($D15,'Monthly CUST'!$D$2:$D$65,0),MATCH(X$1,'Monthly CUST'!$N$1:$CG$1,0)),0)</f>
        <v>7.8849898989899021</v>
      </c>
      <c r="Y15" s="56">
        <f>IFERROR(INDEX('Monthly VOL'!$N$2:$CG$65,MATCH($D15,'Monthly VOL'!$D$2:$D$65,0),MATCH(Y$1,'Monthly VOL'!$N$1:$CG$1,0))/INDEX('Monthly CUST'!$N$2:$CG$65,MATCH($D15,'Monthly CUST'!$D$2:$D$65,0),MATCH(Y$1,'Monthly CUST'!$N$1:$CG$1,0)),0)</f>
        <v>14.191881188118822</v>
      </c>
      <c r="Z15" s="56">
        <f>IFERROR(INDEX('Monthly VOL'!$N$2:$CG$65,MATCH($D15,'Monthly VOL'!$D$2:$D$65,0),MATCH(Z$1,'Monthly VOL'!$N$1:$CG$1,0))/INDEX('Monthly CUST'!$N$2:$CG$65,MATCH($D15,'Monthly CUST'!$D$2:$D$65,0),MATCH(Z$1,'Monthly CUST'!$N$1:$CG$1,0)),0)</f>
        <v>18.588472222222229</v>
      </c>
      <c r="AA15" s="56">
        <f>IFERROR(INDEX('Monthly VOL'!$N$2:$CG$65,MATCH($D15,'Monthly VOL'!$D$2:$D$65,0),MATCH(AA$1,'Monthly VOL'!$N$1:$CG$1,0))/INDEX('Monthly CUST'!$N$2:$CG$65,MATCH($D15,'Monthly CUST'!$D$2:$D$65,0),MATCH(AA$1,'Monthly CUST'!$N$1:$CG$1,0)),0)</f>
        <v>12.698657587548649</v>
      </c>
      <c r="AB15" s="56">
        <f>IFERROR(INDEX('Monthly VOL'!$N$2:$CG$65,MATCH($D15,'Monthly VOL'!$D$2:$D$65,0),MATCH(AB$1,'Monthly VOL'!$N$1:$CG$1,0))/INDEX('Monthly CUST'!$N$2:$CG$65,MATCH($D15,'Monthly CUST'!$D$2:$D$65,0),MATCH(AB$1,'Monthly CUST'!$N$1:$CG$1,0)),0)</f>
        <v>11.719689320388344</v>
      </c>
      <c r="AC15" s="56">
        <f>IFERROR(INDEX('Monthly VOL'!$N$2:$CG$65,MATCH($D15,'Monthly VOL'!$D$2:$D$65,0),MATCH(AC$1,'Monthly VOL'!$N$1:$CG$1,0))/INDEX('Monthly CUST'!$N$2:$CG$65,MATCH($D15,'Monthly CUST'!$D$2:$D$65,0),MATCH(AC$1,'Monthly CUST'!$N$1:$CG$1,0)),0)</f>
        <v>12.475234521575992</v>
      </c>
      <c r="AD15" s="56">
        <f>IFERROR(INDEX('Monthly VOL'!$N$2:$CG$65,MATCH($D15,'Monthly VOL'!$D$2:$D$65,0),MATCH(AD$1,'Monthly VOL'!$N$1:$CG$1,0))/INDEX('Monthly CUST'!$N$2:$CG$65,MATCH($D15,'Monthly CUST'!$D$2:$D$65,0),MATCH(AD$1,'Monthly CUST'!$N$1:$CG$1,0)),0)</f>
        <v>6.7674840357599173</v>
      </c>
      <c r="AE15" s="56">
        <f>IFERROR(INDEX('Monthly VOL'!$N$2:$CG$65,MATCH($D15,'Monthly VOL'!$D$2:$D$65,0),MATCH(AE$1,'Monthly VOL'!$N$1:$CG$1,0))/INDEX('Monthly CUST'!$N$2:$CG$65,MATCH($D15,'Monthly CUST'!$D$2:$D$65,0),MATCH(AE$1,'Monthly CUST'!$N$1:$CG$1,0)),0)</f>
        <v>6.3289265536723187</v>
      </c>
      <c r="AF15" s="56">
        <f>IFERROR(INDEX('Monthly VOL'!$N$2:$CG$65,MATCH($D15,'Monthly VOL'!$D$2:$D$65,0),MATCH(AF$1,'Monthly VOL'!$N$1:$CG$1,0))/INDEX('Monthly CUST'!$N$2:$CG$65,MATCH($D15,'Monthly CUST'!$D$2:$D$65,0),MATCH(AF$1,'Monthly CUST'!$N$1:$CG$1,0)),0)</f>
        <v>3.8956746765249521</v>
      </c>
      <c r="AG15" s="56">
        <f>IFERROR(INDEX('Monthly VOL'!$N$2:$CG$65,MATCH($D15,'Monthly VOL'!$D$2:$D$65,0),MATCH(AG$1,'Monthly VOL'!$N$1:$CG$1,0))/INDEX('Monthly CUST'!$N$2:$CG$65,MATCH($D15,'Monthly CUST'!$D$2:$D$65,0),MATCH(AG$1,'Monthly CUST'!$N$1:$CG$1,0)),0)</f>
        <v>4.2421778584391978</v>
      </c>
      <c r="AH15" s="56">
        <f>IFERROR(INDEX('Monthly VOL'!$N$2:$CG$65,MATCH($D15,'Monthly VOL'!$D$2:$D$65,0),MATCH(AH$1,'Monthly VOL'!$N$1:$CG$1,0))/INDEX('Monthly CUST'!$N$2:$CG$65,MATCH($D15,'Monthly CUST'!$D$2:$D$65,0),MATCH(AH$1,'Monthly CUST'!$N$1:$CG$1,0)),0)</f>
        <v>5.6997670250896011</v>
      </c>
      <c r="AI15" s="56">
        <f>IFERROR(INDEX('Monthly VOL'!$N$2:$CG$65,MATCH($D15,'Monthly VOL'!$D$2:$D$65,0),MATCH(AI$1,'Monthly VOL'!$N$1:$CG$1,0))/INDEX('Monthly CUST'!$N$2:$CG$65,MATCH($D15,'Monthly CUST'!$D$2:$D$65,0),MATCH(AI$1,'Monthly CUST'!$N$1:$CG$1,0)),0)</f>
        <v>4.6471005917159758</v>
      </c>
      <c r="AJ15" s="56">
        <f>IFERROR(INDEX('Monthly VOL'!$N$2:$CG$65,MATCH($D15,'Monthly VOL'!$D$2:$D$65,0),MATCH(AJ$1,'Monthly VOL'!$N$1:$CG$1,0))/INDEX('Monthly CUST'!$N$2:$CG$65,MATCH($D15,'Monthly CUST'!$D$2:$D$65,0),MATCH(AJ$1,'Monthly CUST'!$N$1:$CG$1,0)),0)</f>
        <v>8.8361032028469797</v>
      </c>
      <c r="AK15" s="56">
        <f>IFERROR(INDEX('Monthly VOL'!$N$2:$CG$65,MATCH($D15,'Monthly VOL'!$D$2:$D$65,0),MATCH(AK$1,'Monthly VOL'!$N$1:$CG$1,0))/INDEX('Monthly CUST'!$N$2:$CG$65,MATCH($D15,'Monthly CUST'!$D$2:$D$65,0),MATCH(AK$1,'Monthly CUST'!$N$1:$CG$1,0)),0)</f>
        <v>13.717638640429339</v>
      </c>
      <c r="AL15" s="56">
        <f>IFERROR(INDEX('Monthly VOL'!$N$2:$CG$65,MATCH($D15,'Monthly VOL'!$D$2:$D$65,0),MATCH(AL$1,'Monthly VOL'!$N$1:$CG$1,0))/INDEX('Monthly CUST'!$N$2:$CG$65,MATCH($D15,'Monthly CUST'!$D$2:$D$65,0),MATCH(AL$1,'Monthly CUST'!$N$1:$CG$1,0)),0)</f>
        <v>15.744042553191498</v>
      </c>
      <c r="AM15" s="56">
        <f>IFERROR(INDEX('Monthly VOL'!$N$2:$CG$65,MATCH($D15,'Monthly VOL'!$D$2:$D$65,0),MATCH(AM$1,'Monthly VOL'!$N$1:$CG$1,0))/INDEX('Monthly CUST'!$N$2:$CG$65,MATCH($D15,'Monthly CUST'!$D$2:$D$65,0),MATCH(AM$1,'Monthly CUST'!$N$1:$CG$1,0)),0)</f>
        <v>14.544920071047953</v>
      </c>
      <c r="AN15" s="56">
        <f>IFERROR(INDEX('Monthly VOL'!$N$2:$CG$65,MATCH($D15,'Monthly VOL'!$D$2:$D$65,0),MATCH(AN$1,'Monthly VOL'!$N$1:$CG$1,0))/INDEX('Monthly CUST'!$N$2:$CG$65,MATCH($D15,'Monthly CUST'!$D$2:$D$65,0),MATCH(AN$1,'Monthly CUST'!$N$1:$CG$1,0)),0)</f>
        <v>12.197640845070421</v>
      </c>
      <c r="AO15" s="56">
        <f>IFERROR(INDEX('Monthly VOL'!$N$2:$CG$65,MATCH($D15,'Monthly VOL'!$D$2:$D$65,0),MATCH(AO$1,'Monthly VOL'!$N$1:$CG$1,0))/INDEX('Monthly CUST'!$N$2:$CG$65,MATCH($D15,'Monthly CUST'!$D$2:$D$65,0),MATCH(AO$1,'Monthly CUST'!$N$1:$CG$1,0)),0)</f>
        <v>11.811712802768172</v>
      </c>
      <c r="AP15" s="56">
        <f>IFERROR(INDEX('Monthly VOL'!$N$2:$CG$65,MATCH($D15,'Monthly VOL'!$D$2:$D$65,0),MATCH(AP$1,'Monthly VOL'!$N$1:$CG$1,0))/INDEX('Monthly CUST'!$N$2:$CG$65,MATCH($D15,'Monthly CUST'!$D$2:$D$65,0),MATCH(AP$1,'Monthly CUST'!$N$1:$CG$1,0)),0)</f>
        <v>10.85744347826086</v>
      </c>
      <c r="AQ15" s="56">
        <f>IFERROR(INDEX('Monthly VOL'!$N$2:$CG$65,MATCH($D15,'Monthly VOL'!$D$2:$D$65,0),MATCH(AQ$1,'Monthly VOL'!$N$1:$CG$1,0))/INDEX('Monthly CUST'!$N$2:$CG$65,MATCH($D15,'Monthly CUST'!$D$2:$D$65,0),MATCH(AQ$1,'Monthly CUST'!$N$1:$CG$1,0)),0)</f>
        <v>7.0076068376068292</v>
      </c>
      <c r="AR15" s="56">
        <f>IFERROR(INDEX('Monthly VOL'!$N$2:$CG$65,MATCH($D15,'Monthly VOL'!$D$2:$D$65,0),MATCH(AR$1,'Monthly VOL'!$N$1:$CG$1,0))/INDEX('Monthly CUST'!$N$2:$CG$65,MATCH($D15,'Monthly CUST'!$D$2:$D$65,0),MATCH(AR$1,'Monthly CUST'!$N$1:$CG$1,0)),0)</f>
        <v>4.4203204047217488</v>
      </c>
      <c r="AS15" s="56">
        <f>IFERROR(INDEX('Monthly VOL'!$N$2:$CG$65,MATCH($D15,'Monthly VOL'!$D$2:$D$65,0),MATCH(AS$1,'Monthly VOL'!$N$1:$CG$1,0))/INDEX('Monthly CUST'!$N$2:$CG$65,MATCH($D15,'Monthly CUST'!$D$2:$D$65,0),MATCH(AS$1,'Monthly CUST'!$N$1:$CG$1,0)),0)</f>
        <v>4.1018686868686816</v>
      </c>
      <c r="AT15" s="56">
        <f>IFERROR(INDEX('Monthly VOL'!$N$2:$CG$65,MATCH($D15,'Monthly VOL'!$D$2:$D$65,0),MATCH(AT$1,'Monthly VOL'!$N$1:$CG$1,0))/INDEX('Monthly CUST'!$N$2:$CG$65,MATCH($D15,'Monthly CUST'!$D$2:$D$65,0),MATCH(AT$1,'Monthly CUST'!$N$1:$CG$1,0)),0)</f>
        <v>4.079132569558098</v>
      </c>
      <c r="AU15" s="56">
        <f>IFERROR(INDEX('Monthly VOL'!$N$2:$CG$65,MATCH($D15,'Monthly VOL'!$D$2:$D$65,0),MATCH(AU$1,'Monthly VOL'!$N$1:$CG$1,0))/INDEX('Monthly CUST'!$N$2:$CG$65,MATCH($D15,'Monthly CUST'!$D$2:$D$65,0),MATCH(AU$1,'Monthly CUST'!$N$1:$CG$1,0)),0)</f>
        <v>4.8962639109697914</v>
      </c>
      <c r="AV15" s="56">
        <f>IFERROR(INDEX('Monthly VOL'!$N$2:$CG$65,MATCH($D15,'Monthly VOL'!$D$2:$D$65,0),MATCH(AV$1,'Monthly VOL'!$N$1:$CG$1,0))/INDEX('Monthly CUST'!$N$2:$CG$65,MATCH($D15,'Monthly CUST'!$D$2:$D$65,0),MATCH(AV$1,'Monthly CUST'!$N$1:$CG$1,0)),0)</f>
        <v>10.811728395061728</v>
      </c>
      <c r="AW15" s="56">
        <f>IFERROR(INDEX('Monthly VOL'!$N$2:$CG$65,MATCH($D15,'Monthly VOL'!$D$2:$D$65,0),MATCH(AW$1,'Monthly VOL'!$N$1:$CG$1,0))/INDEX('Monthly CUST'!$N$2:$CG$65,MATCH($D15,'Monthly CUST'!$D$2:$D$65,0),MATCH(AW$1,'Monthly CUST'!$N$1:$CG$1,0)),0)</f>
        <v>13.325375191424198</v>
      </c>
      <c r="AX15" s="56">
        <f>IFERROR(INDEX('Monthly VOL'!$N$2:$CG$65,MATCH($D15,'Monthly VOL'!$D$2:$D$65,0),MATCH(AX$1,'Monthly VOL'!$N$1:$CG$1,0))/INDEX('Monthly CUST'!$N$2:$CG$65,MATCH($D15,'Monthly CUST'!$D$2:$D$65,0),MATCH(AX$1,'Monthly CUST'!$N$1:$CG$1,0)),0)</f>
        <v>15.235575757575763</v>
      </c>
      <c r="AY15" s="56">
        <f>IFERROR(INDEX('Monthly VOL'!$N$2:$CG$65,MATCH($D15,'Monthly VOL'!$D$2:$D$65,0),MATCH(AY$1,'Monthly VOL'!$N$1:$CG$1,0))/INDEX('Monthly CUST'!$N$2:$CG$65,MATCH($D15,'Monthly CUST'!$D$2:$D$65,0),MATCH(AY$1,'Monthly CUST'!$N$1:$CG$1,0)),0)</f>
        <v>17.888965517241392</v>
      </c>
      <c r="AZ15" s="56">
        <f>IFERROR(INDEX('Monthly VOL'!$N$2:$CG$65,MATCH($D15,'Monthly VOL'!$D$2:$D$65,0),MATCH(AZ$1,'Monthly VOL'!$N$1:$CG$1,0))/INDEX('Monthly CUST'!$N$2:$CG$65,MATCH($D15,'Monthly CUST'!$D$2:$D$65,0),MATCH(AZ$1,'Monthly CUST'!$N$1:$CG$1,0)),0)</f>
        <v>13.131815476190473</v>
      </c>
      <c r="BA15" s="56">
        <f>IFERROR(INDEX('Monthly VOL'!$N$2:$CG$65,MATCH($D15,'Monthly VOL'!$D$2:$D$65,0),MATCH(BA$1,'Monthly VOL'!$N$1:$CG$1,0))/INDEX('Monthly CUST'!$N$2:$CG$65,MATCH($D15,'Monthly CUST'!$D$2:$D$65,0),MATCH(BA$1,'Monthly CUST'!$N$1:$CG$1,0)),0)</f>
        <v>10.891020408163264</v>
      </c>
      <c r="BB15" s="56">
        <f>IFERROR(INDEX('Monthly VOL'!$N$2:$CG$65,MATCH($D15,'Monthly VOL'!$D$2:$D$65,0),MATCH(BB$1,'Monthly VOL'!$N$1:$CG$1,0))/INDEX('Monthly CUST'!$N$2:$CG$65,MATCH($D15,'Monthly CUST'!$D$2:$D$65,0),MATCH(BB$1,'Monthly CUST'!$N$1:$CG$1,0)),0)</f>
        <v>8.7166666666666632</v>
      </c>
      <c r="BC15" s="56">
        <f>IFERROR(INDEX('Monthly VOL'!$N$2:$CG$65,MATCH($D15,'Monthly VOL'!$D$2:$D$65,0),MATCH(BC$1,'Monthly VOL'!$N$1:$CG$1,0))/INDEX('Monthly CUST'!$N$2:$CG$65,MATCH($D15,'Monthly CUST'!$D$2:$D$65,0),MATCH(BC$1,'Monthly CUST'!$N$1:$CG$1,0)),0)</f>
        <v>4.141703910614523</v>
      </c>
      <c r="BD15" s="56">
        <f>IFERROR(INDEX('Monthly VOL'!$N$2:$CG$65,MATCH($D15,'Monthly VOL'!$D$2:$D$65,0),MATCH(BD$1,'Monthly VOL'!$N$1:$CG$1,0))/INDEX('Monthly CUST'!$N$2:$CG$65,MATCH($D15,'Monthly CUST'!$D$2:$D$65,0),MATCH(BD$1,'Monthly CUST'!$N$1:$CG$1,0)),0)</f>
        <v>4.2327884615384592</v>
      </c>
      <c r="BE15" s="56">
        <f>IFERROR(INDEX('Monthly VOL'!$N$2:$CG$65,MATCH($D15,'Monthly VOL'!$D$2:$D$65,0),MATCH(BE$1,'Monthly VOL'!$N$1:$CG$1,0))/INDEX('Monthly CUST'!$N$2:$CG$65,MATCH($D15,'Monthly CUST'!$D$2:$D$65,0),MATCH(BE$1,'Monthly CUST'!$N$1:$CG$1,0)),0)</f>
        <v>3.2132536520584312</v>
      </c>
      <c r="BF15" s="56">
        <f>IFERROR(INDEX('Monthly VOL'!$N$2:$CG$65,MATCH($D15,'Monthly VOL'!$D$2:$D$65,0),MATCH(BF$1,'Monthly VOL'!$N$1:$CG$1,0))/INDEX('Monthly CUST'!$N$2:$CG$65,MATCH($D15,'Monthly CUST'!$D$2:$D$65,0),MATCH(BF$1,'Monthly CUST'!$N$1:$CG$1,0)),0)</f>
        <v>4.1036144578313234</v>
      </c>
      <c r="BG15" s="56">
        <f>IFERROR(INDEX('Monthly VOL'!$N$2:$CG$65,MATCH($D15,'Monthly VOL'!$D$2:$D$65,0),MATCH(BG$1,'Monthly VOL'!$N$1:$CG$1,0))/INDEX('Monthly CUST'!$N$2:$CG$65,MATCH($D15,'Monthly CUST'!$D$2:$D$65,0),MATCH(BG$1,'Monthly CUST'!$N$1:$CG$1,0)),0)</f>
        <v>5.7204359313077866</v>
      </c>
      <c r="BH15" s="56">
        <f>IFERROR(INDEX('Monthly VOL'!$N$2:$CG$65,MATCH($D15,'Monthly VOL'!$D$2:$D$65,0),MATCH(BH$1,'Monthly VOL'!$N$1:$CG$1,0))/INDEX('Monthly CUST'!$N$2:$CG$65,MATCH($D15,'Monthly CUST'!$D$2:$D$65,0),MATCH(BH$1,'Monthly CUST'!$N$1:$CG$1,0)),0)</f>
        <v>9.6386996098829698</v>
      </c>
      <c r="BI15" s="56">
        <f>IFERROR(INDEX('Monthly VOL'!$N$2:$CG$65,MATCH($D15,'Monthly VOL'!$D$2:$D$65,0),MATCH(BI$1,'Monthly VOL'!$N$1:$CG$1,0))/INDEX('Monthly CUST'!$N$2:$CG$65,MATCH($D15,'Monthly CUST'!$D$2:$D$65,0),MATCH(BI$1,'Monthly CUST'!$N$1:$CG$1,0)),0)</f>
        <v>12.001976744186043</v>
      </c>
      <c r="BJ15" s="56">
        <f>IFERROR(INDEX('Monthly VOL'!$N$2:$CG$65,MATCH($D15,'Monthly VOL'!$D$2:$D$65,0),MATCH(BJ$1,'Monthly VOL'!$N$1:$CG$1,0))/INDEX('Monthly CUST'!$N$2:$CG$65,MATCH($D15,'Monthly CUST'!$D$2:$D$65,0),MATCH(BJ$1,'Monthly CUST'!$N$1:$CG$1,0)),0)</f>
        <v>16.522696844329829</v>
      </c>
      <c r="BK15" s="56">
        <f>IFERROR(INDEX('Monthly VOL'!$N$2:$CG$65,MATCH($D15,'Monthly VOL'!$D$2:$D$65,0),MATCH(BK$1,'Monthly VOL'!$N$1:$CG$1,0))/INDEX('Monthly CUST'!$N$2:$CG$65,MATCH($D15,'Monthly CUST'!$D$2:$D$65,0),MATCH(BK$1,'Monthly CUST'!$N$1:$CG$1,0)),0)</f>
        <v>15.044181058612667</v>
      </c>
      <c r="BL15" s="56">
        <f>IFERROR(INDEX('Monthly VOL'!$N$2:$CG$65,MATCH($D15,'Monthly VOL'!$D$2:$D$65,0),MATCH(BL$1,'Monthly VOL'!$N$1:$CG$1,0))/INDEX('Monthly CUST'!$N$2:$CG$65,MATCH($D15,'Monthly CUST'!$D$2:$D$65,0),MATCH(BL$1,'Monthly CUST'!$N$1:$CG$1,0)),0)</f>
        <v>12.34971521388308</v>
      </c>
      <c r="BM15" s="56">
        <f>IFERROR(INDEX('Monthly VOL'!$N$2:$CG$65,MATCH($D15,'Monthly VOL'!$D$2:$D$65,0),MATCH(BM$1,'Monthly VOL'!$N$1:$CG$1,0))/INDEX('Monthly CUST'!$N$2:$CG$65,MATCH($D15,'Monthly CUST'!$D$2:$D$65,0),MATCH(BM$1,'Monthly CUST'!$N$1:$CG$1,0)),0)</f>
        <v>11.725989244169142</v>
      </c>
      <c r="BN15" s="56">
        <f>IFERROR(INDEX('Monthly VOL'!$N$2:$CG$65,MATCH($D15,'Monthly VOL'!$D$2:$D$65,0),MATCH(BN$1,'Monthly VOL'!$N$1:$CG$1,0))/INDEX('Monthly CUST'!$N$2:$CG$65,MATCH($D15,'Monthly CUST'!$D$2:$D$65,0),MATCH(BN$1,'Monthly CUST'!$N$1:$CG$1,0)),0)</f>
        <v>8.7805313935624785</v>
      </c>
      <c r="BO15" s="56">
        <f>IFERROR(INDEX('Monthly VOL'!$N$2:$CG$65,MATCH($D15,'Monthly VOL'!$D$2:$D$65,0),MATCH(BO$1,'Monthly VOL'!$N$1:$CG$1,0))/INDEX('Monthly CUST'!$N$2:$CG$65,MATCH($D15,'Monthly CUST'!$D$2:$D$65,0),MATCH(BO$1,'Monthly CUST'!$N$1:$CG$1,0)),0)</f>
        <v>5.8260791006312234</v>
      </c>
      <c r="BP15" s="56">
        <f>IFERROR(INDEX('Monthly VOL'!$N$2:$CG$65,MATCH($D15,'Monthly VOL'!$D$2:$D$65,0),MATCH(BP$1,'Monthly VOL'!$N$1:$CG$1,0))/INDEX('Monthly CUST'!$N$2:$CG$65,MATCH($D15,'Monthly CUST'!$D$2:$D$65,0),MATCH(BP$1,'Monthly CUST'!$N$1:$CG$1,0)),0)</f>
        <v>4.1829278475950531</v>
      </c>
      <c r="BQ15" s="56">
        <f>IFERROR(INDEX('Monthly VOL'!$N$2:$CG$65,MATCH($D15,'Monthly VOL'!$D$2:$D$65,0),MATCH(BQ$1,'Monthly VOL'!$N$1:$CG$1,0))/INDEX('Monthly CUST'!$N$2:$CG$65,MATCH($D15,'Monthly CUST'!$D$2:$D$65,0),MATCH(BQ$1,'Monthly CUST'!$N$1:$CG$1,0)),0)</f>
        <v>3.8524333991221034</v>
      </c>
      <c r="BR15" s="56">
        <f>IFERROR(INDEX('Monthly VOL'!$N$2:$CG$65,MATCH($D15,'Monthly VOL'!$D$2:$D$65,0),MATCH(BR$1,'Monthly VOL'!$N$1:$CG$1,0))/INDEX('Monthly CUST'!$N$2:$CG$65,MATCH($D15,'Monthly CUST'!$D$2:$D$65,0),MATCH(BR$1,'Monthly CUST'!$N$1:$CG$1,0)),0)</f>
        <v>4.6275046841596739</v>
      </c>
      <c r="BS15" s="56">
        <f>IFERROR(INDEX('Monthly VOL'!$N$2:$CG$65,MATCH($D15,'Monthly VOL'!$D$2:$D$65,0),MATCH(BS$1,'Monthly VOL'!$N$1:$CG$1,0))/INDEX('Monthly CUST'!$N$2:$CG$65,MATCH($D15,'Monthly CUST'!$D$2:$D$65,0),MATCH(BS$1,'Monthly CUST'!$N$1:$CG$1,0)),0)</f>
        <v>5.0879334779978516</v>
      </c>
      <c r="BT15" s="56">
        <f>IFERROR(INDEX('Monthly VOL'!$N$2:$CG$65,MATCH($D15,'Monthly VOL'!$D$2:$D$65,0),MATCH(BT$1,'Monthly VOL'!$N$1:$CG$1,0))/INDEX('Monthly CUST'!$N$2:$CG$65,MATCH($D15,'Monthly CUST'!$D$2:$D$65,0),MATCH(BT$1,'Monthly CUST'!$N$1:$CG$1,0)),0)</f>
        <v>9.7621770692638918</v>
      </c>
      <c r="BU15" s="56">
        <f>IFERROR(INDEX('Monthly VOL'!$N$2:$CG$65,MATCH($D15,'Monthly VOL'!$D$2:$D$65,0),MATCH(BU$1,'Monthly VOL'!$N$1:$CG$1,0))/INDEX('Monthly CUST'!$N$2:$CG$65,MATCH($D15,'Monthly CUST'!$D$2:$D$65,0),MATCH(BU$1,'Monthly CUST'!$N$1:$CG$1,0)),0)</f>
        <v>13.01499685867986</v>
      </c>
      <c r="BV15" s="56">
        <f>IFERROR(INDEX('Monthly VOL'!$N$2:$CG$65,MATCH($D15,'Monthly VOL'!$D$2:$D$65,0),MATCH(BV$1,'Monthly VOL'!$N$1:$CG$1,0))/INDEX('Monthly CUST'!$N$2:$CG$65,MATCH($D15,'Monthly CUST'!$D$2:$D$65,0),MATCH(BV$1,'Monthly CUST'!$N$1:$CG$1,0)),0)</f>
        <v>16.522696844329829</v>
      </c>
      <c r="BW15" s="56">
        <f>IFERROR(INDEX('Monthly VOL'!$N$2:$CG$65,MATCH($D15,'Monthly VOL'!$D$2:$D$65,0),MATCH(BW$1,'Monthly VOL'!$N$1:$CG$1,0))/INDEX('Monthly CUST'!$N$2:$CG$65,MATCH($D15,'Monthly CUST'!$D$2:$D$65,0),MATCH(BW$1,'Monthly CUST'!$N$1:$CG$1,0)),0)</f>
        <v>15.044181058612665</v>
      </c>
      <c r="BX15" s="56">
        <f>IFERROR(INDEX('Monthly VOL'!$N$2:$CG$65,MATCH($D15,'Monthly VOL'!$D$2:$D$65,0),MATCH(BX$1,'Monthly VOL'!$N$1:$CG$1,0))/INDEX('Monthly CUST'!$N$2:$CG$65,MATCH($D15,'Monthly CUST'!$D$2:$D$65,0),MATCH(BX$1,'Monthly CUST'!$N$1:$CG$1,0)),0)</f>
        <v>12.349715213883082</v>
      </c>
      <c r="BY15" s="56">
        <f>IFERROR(INDEX('Monthly VOL'!$N$2:$CG$65,MATCH($D15,'Monthly VOL'!$D$2:$D$65,0),MATCH(BY$1,'Monthly VOL'!$N$1:$CG$1,0))/INDEX('Monthly CUST'!$N$2:$CG$65,MATCH($D15,'Monthly CUST'!$D$2:$D$65,0),MATCH(BY$1,'Monthly CUST'!$N$1:$CG$1,0)),0)</f>
        <v>11.725989244169142</v>
      </c>
      <c r="BZ15" s="56">
        <f>IFERROR(INDEX('Monthly VOL'!$N$2:$CG$65,MATCH($D15,'Monthly VOL'!$D$2:$D$65,0),MATCH(BZ$1,'Monthly VOL'!$N$1:$CG$1,0))/INDEX('Monthly CUST'!$N$2:$CG$65,MATCH($D15,'Monthly CUST'!$D$2:$D$65,0),MATCH(BZ$1,'Monthly CUST'!$N$1:$CG$1,0)),0)</f>
        <v>8.7805313935624785</v>
      </c>
      <c r="CA15" s="56">
        <f>IFERROR(INDEX('Monthly VOL'!$N$2:$CG$65,MATCH($D15,'Monthly VOL'!$D$2:$D$65,0),MATCH(CA$1,'Monthly VOL'!$N$1:$CG$1,0))/INDEX('Monthly CUST'!$N$2:$CG$65,MATCH($D15,'Monthly CUST'!$D$2:$D$65,0),MATCH(CA$1,'Monthly CUST'!$N$1:$CG$1,0)),0)</f>
        <v>5.8260791006312234</v>
      </c>
      <c r="CB15" s="56">
        <f>IFERROR(INDEX('Monthly VOL'!$N$2:$CG$65,MATCH($D15,'Monthly VOL'!$D$2:$D$65,0),MATCH(CB$1,'Monthly VOL'!$N$1:$CG$1,0))/INDEX('Monthly CUST'!$N$2:$CG$65,MATCH($D15,'Monthly CUST'!$D$2:$D$65,0),MATCH(CB$1,'Monthly CUST'!$N$1:$CG$1,0)),0)</f>
        <v>4.1829278475950531</v>
      </c>
      <c r="CC15" s="56">
        <f>IFERROR(INDEX('Monthly VOL'!$N$2:$CG$65,MATCH($D15,'Monthly VOL'!$D$2:$D$65,0),MATCH(CC$1,'Monthly VOL'!$N$1:$CG$1,0))/INDEX('Monthly CUST'!$N$2:$CG$65,MATCH($D15,'Monthly CUST'!$D$2:$D$65,0),MATCH(CC$1,'Monthly CUST'!$N$1:$CG$1,0)),0)</f>
        <v>3.8524333991221034</v>
      </c>
      <c r="CD15" s="56">
        <f>IFERROR(INDEX('Monthly VOL'!$N$2:$CG$65,MATCH($D15,'Monthly VOL'!$D$2:$D$65,0),MATCH(CD$1,'Monthly VOL'!$N$1:$CG$1,0))/INDEX('Monthly CUST'!$N$2:$CG$65,MATCH($D15,'Monthly CUST'!$D$2:$D$65,0),MATCH(CD$1,'Monthly CUST'!$N$1:$CG$1,0)),0)</f>
        <v>4.6275046841596739</v>
      </c>
      <c r="CE15" s="56">
        <f>IFERROR(INDEX('Monthly VOL'!$N$2:$CG$65,MATCH($D15,'Monthly VOL'!$D$2:$D$65,0),MATCH(CE$1,'Monthly VOL'!$N$1:$CG$1,0))/INDEX('Monthly CUST'!$N$2:$CG$65,MATCH($D15,'Monthly CUST'!$D$2:$D$65,0),MATCH(CE$1,'Monthly CUST'!$N$1:$CG$1,0)),0)</f>
        <v>5.0879334779978516</v>
      </c>
      <c r="CF15" s="56">
        <f>IFERROR(INDEX('Monthly VOL'!$N$2:$CG$65,MATCH($D15,'Monthly VOL'!$D$2:$D$65,0),MATCH(CF$1,'Monthly VOL'!$N$1:$CG$1,0))/INDEX('Monthly CUST'!$N$2:$CG$65,MATCH($D15,'Monthly CUST'!$D$2:$D$65,0),MATCH(CF$1,'Monthly CUST'!$N$1:$CG$1,0)),0)</f>
        <v>9.7621770692638936</v>
      </c>
      <c r="CG15" s="56">
        <f>IFERROR(INDEX('Monthly VOL'!$N$2:$CG$65,MATCH($D15,'Monthly VOL'!$D$2:$D$65,0),MATCH(CG$1,'Monthly VOL'!$N$1:$CG$1,0))/INDEX('Monthly CUST'!$N$2:$CG$65,MATCH($D15,'Monthly CUST'!$D$2:$D$65,0),MATCH(CG$1,'Monthly CUST'!$N$1:$CG$1,0)),0)</f>
        <v>13.01499685867986</v>
      </c>
      <c r="CH15" s="264"/>
      <c r="CI15" s="264"/>
      <c r="CJ15" s="264"/>
      <c r="CM15" s="569">
        <f t="shared" si="0"/>
        <v>16.522696844329829</v>
      </c>
      <c r="CN15" s="569">
        <f t="shared" si="1"/>
        <v>15.044181058612665</v>
      </c>
      <c r="CO15" s="569">
        <f t="shared" si="2"/>
        <v>12.34971521388308</v>
      </c>
      <c r="CP15" s="569">
        <f t="shared" si="3"/>
        <v>11.725989244169142</v>
      </c>
      <c r="CQ15" s="569">
        <f t="shared" si="4"/>
        <v>8.7805313935624785</v>
      </c>
      <c r="CR15" s="569">
        <f t="shared" si="5"/>
        <v>5.8260791006312234</v>
      </c>
      <c r="CS15" s="569">
        <f t="shared" si="6"/>
        <v>4.1829278475950531</v>
      </c>
      <c r="CT15" s="569">
        <f t="shared" si="7"/>
        <v>3.8524333991221034</v>
      </c>
      <c r="CU15" s="569">
        <f t="shared" si="8"/>
        <v>4.6275046841596739</v>
      </c>
      <c r="CV15" s="569">
        <f t="shared" si="9"/>
        <v>5.0879334779978516</v>
      </c>
      <c r="CW15" s="569">
        <f t="shared" si="10"/>
        <v>9.7621770692638918</v>
      </c>
      <c r="CX15" s="569">
        <f t="shared" si="11"/>
        <v>13.01499685867986</v>
      </c>
      <c r="CY15" s="569">
        <f t="shared" si="12"/>
        <v>16.522696844329829</v>
      </c>
      <c r="CZ15" s="569">
        <f t="shared" si="13"/>
        <v>15.044181058612665</v>
      </c>
      <c r="DA15" s="569">
        <f t="shared" si="14"/>
        <v>12.34971521388308</v>
      </c>
      <c r="DB15" s="569">
        <f t="shared" si="15"/>
        <v>11.725989244169142</v>
      </c>
      <c r="DC15" s="569">
        <f t="shared" si="16"/>
        <v>8.7805313935624785</v>
      </c>
      <c r="DD15" s="569">
        <f t="shared" si="17"/>
        <v>5.8260791006312234</v>
      </c>
      <c r="DE15" s="569">
        <f t="shared" si="18"/>
        <v>4.1829278475950531</v>
      </c>
      <c r="DF15" s="569">
        <f t="shared" si="19"/>
        <v>3.8524333991221034</v>
      </c>
      <c r="DG15" s="569">
        <f t="shared" si="20"/>
        <v>4.6275046841596739</v>
      </c>
      <c r="DH15" s="569">
        <f t="shared" si="21"/>
        <v>5.0879334779978516</v>
      </c>
      <c r="DI15" s="569">
        <f t="shared" si="22"/>
        <v>9.7621770692638918</v>
      </c>
      <c r="DJ15" s="569">
        <f t="shared" si="23"/>
        <v>13.01499685867986</v>
      </c>
    </row>
    <row r="16" spans="1:114" s="261" customFormat="1">
      <c r="A16" s="55" t="s">
        <v>15</v>
      </c>
      <c r="B16" s="55" t="s">
        <v>994</v>
      </c>
      <c r="C16" s="55" t="s">
        <v>1245</v>
      </c>
      <c r="D16" s="55" t="s">
        <v>34</v>
      </c>
      <c r="E16" s="55" t="str">
        <f>VLOOKUP(D16,'Input 14_Ref Table'!C:D,2,FALSE)</f>
        <v>GEN11</v>
      </c>
      <c r="F16" s="172" t="s">
        <v>1286</v>
      </c>
      <c r="G16" s="55" t="str">
        <f>VLOOKUP(D16,'Input 14_Ref Table'!C:I,7,FALSE)</f>
        <v>FPU - FPU - CS - GS</v>
      </c>
      <c r="H16" s="55" t="str">
        <f>VLOOKUP(D16,'Input 14_Ref Table'!C:K,8,FALSE)</f>
        <v>CSGS</v>
      </c>
      <c r="I16" s="55" t="e">
        <f>INDEX(#REF!,MATCH(D16,#REF!,0))</f>
        <v>#REF!</v>
      </c>
      <c r="J16" s="261" t="str">
        <f>INDEX('Master '!$AD$2:AD$65,MATCH(D16,'Master '!$D$2:$D$65,0))</f>
        <v>Historical Average</v>
      </c>
      <c r="K16" s="567">
        <f>INDEX('Master '!$N$2:N$65,MATCH(D16,'Master '!$D$2:$D$65,0))</f>
        <v>6.0576162758234124E-2</v>
      </c>
      <c r="L16" s="290">
        <f>INDEX('Master '!$S$2:S$65,MATCH(D16,'Master '!$D$2:$D$65,0))</f>
        <v>-3.2834133097367192E-2</v>
      </c>
      <c r="M16" s="1">
        <f>INDEX('Master '!$W$2:W$65,MATCH(D16,'Master '!$D$2:$D$65,0))</f>
        <v>113.23523775289279</v>
      </c>
      <c r="N16" s="56">
        <f>IFERROR(INDEX('Monthly VOL'!$N$2:$CG$65,MATCH($D16,'Monthly VOL'!$D$2:$D$65,0),MATCH(N$1,'Monthly VOL'!$N$1:$CG$1,0))/INDEX('Monthly CUST'!$N$2:$CG$65,MATCH($D16,'Monthly CUST'!$D$2:$D$65,0),MATCH(N$1,'Monthly CUST'!$N$1:$CG$1,0)),0)</f>
        <v>22.484258373205734</v>
      </c>
      <c r="O16" s="56">
        <f>IFERROR(INDEX('Monthly VOL'!$N$2:$CG$65,MATCH($D16,'Monthly VOL'!$D$2:$D$65,0),MATCH(O$1,'Monthly VOL'!$N$1:$CG$1,0))/INDEX('Monthly CUST'!$N$2:$CG$65,MATCH($D16,'Monthly CUST'!$D$2:$D$65,0),MATCH(O$1,'Monthly CUST'!$N$1:$CG$1,0)),0)</f>
        <v>15.13818181818182</v>
      </c>
      <c r="P16" s="56">
        <f>IFERROR(INDEX('Monthly VOL'!$N$2:$CG$65,MATCH($D16,'Monthly VOL'!$D$2:$D$65,0),MATCH(P$1,'Monthly VOL'!$N$1:$CG$1,0))/INDEX('Monthly CUST'!$N$2:$CG$65,MATCH($D16,'Monthly CUST'!$D$2:$D$65,0),MATCH(P$1,'Monthly CUST'!$N$1:$CG$1,0)),0)</f>
        <v>14.08202830188679</v>
      </c>
      <c r="Q16" s="56">
        <f>IFERROR(INDEX('Monthly VOL'!$N$2:$CG$65,MATCH($D16,'Monthly VOL'!$D$2:$D$65,0),MATCH(Q$1,'Monthly VOL'!$N$1:$CG$1,0))/INDEX('Monthly CUST'!$N$2:$CG$65,MATCH($D16,'Monthly CUST'!$D$2:$D$65,0),MATCH(Q$1,'Monthly CUST'!$N$1:$CG$1,0)),0)</f>
        <v>12.636132075471696</v>
      </c>
      <c r="R16" s="56">
        <f>IFERROR(INDEX('Monthly VOL'!$N$2:$CG$65,MATCH($D16,'Monthly VOL'!$D$2:$D$65,0),MATCH(R$1,'Monthly VOL'!$N$1:$CG$1,0))/INDEX('Monthly CUST'!$N$2:$CG$65,MATCH($D16,'Monthly CUST'!$D$2:$D$65,0),MATCH(R$1,'Monthly CUST'!$N$1:$CG$1,0)),0)</f>
        <v>9.7782790697674429</v>
      </c>
      <c r="S16" s="56">
        <f>IFERROR(INDEX('Monthly VOL'!$N$2:$CG$65,MATCH($D16,'Monthly VOL'!$D$2:$D$65,0),MATCH(S$1,'Monthly VOL'!$N$1:$CG$1,0))/INDEX('Monthly CUST'!$N$2:$CG$65,MATCH($D16,'Monthly CUST'!$D$2:$D$65,0),MATCH(S$1,'Monthly CUST'!$N$1:$CG$1,0)),0)</f>
        <v>13.299953488372102</v>
      </c>
      <c r="T16" s="56">
        <f>IFERROR(INDEX('Monthly VOL'!$N$2:$CG$65,MATCH($D16,'Monthly VOL'!$D$2:$D$65,0),MATCH(T$1,'Monthly VOL'!$N$1:$CG$1,0))/INDEX('Monthly CUST'!$N$2:$CG$65,MATCH($D16,'Monthly CUST'!$D$2:$D$65,0),MATCH(T$1,'Monthly CUST'!$N$1:$CG$1,0)),0)</f>
        <v>9.7409090909090903</v>
      </c>
      <c r="U16" s="56">
        <f>IFERROR(INDEX('Monthly VOL'!$N$2:$CG$65,MATCH($D16,'Monthly VOL'!$D$2:$D$65,0),MATCH(U$1,'Monthly VOL'!$N$1:$CG$1,0))/INDEX('Monthly CUST'!$N$2:$CG$65,MATCH($D16,'Monthly CUST'!$D$2:$D$65,0),MATCH(U$1,'Monthly CUST'!$N$1:$CG$1,0)),0)</f>
        <v>12.073045454545451</v>
      </c>
      <c r="V16" s="56">
        <f>IFERROR(INDEX('Monthly VOL'!$N$2:$CG$65,MATCH($D16,'Monthly VOL'!$D$2:$D$65,0),MATCH(V$1,'Monthly VOL'!$N$1:$CG$1,0))/INDEX('Monthly CUST'!$N$2:$CG$65,MATCH($D16,'Monthly CUST'!$D$2:$D$65,0),MATCH(V$1,'Monthly CUST'!$N$1:$CG$1,0)),0)</f>
        <v>11.592062780269064</v>
      </c>
      <c r="W16" s="56">
        <f>IFERROR(INDEX('Monthly VOL'!$N$2:$CG$65,MATCH($D16,'Monthly VOL'!$D$2:$D$65,0),MATCH(W$1,'Monthly VOL'!$N$1:$CG$1,0))/INDEX('Monthly CUST'!$N$2:$CG$65,MATCH($D16,'Monthly CUST'!$D$2:$D$65,0),MATCH(W$1,'Monthly CUST'!$N$1:$CG$1,0)),0)</f>
        <v>8.0257805907173037</v>
      </c>
      <c r="X16" s="56">
        <f>IFERROR(INDEX('Monthly VOL'!$N$2:$CG$65,MATCH($D16,'Monthly VOL'!$D$2:$D$65,0),MATCH(X$1,'Monthly VOL'!$N$1:$CG$1,0))/INDEX('Monthly CUST'!$N$2:$CG$65,MATCH($D16,'Monthly CUST'!$D$2:$D$65,0),MATCH(X$1,'Monthly CUST'!$N$1:$CG$1,0)),0)</f>
        <v>12.092640692640696</v>
      </c>
      <c r="Y16" s="56">
        <f>IFERROR(INDEX('Monthly VOL'!$N$2:$CG$65,MATCH($D16,'Monthly VOL'!$D$2:$D$65,0),MATCH(Y$1,'Monthly VOL'!$N$1:$CG$1,0))/INDEX('Monthly CUST'!$N$2:$CG$65,MATCH($D16,'Monthly CUST'!$D$2:$D$65,0),MATCH(Y$1,'Monthly CUST'!$N$1:$CG$1,0)),0)</f>
        <v>12.903668122270746</v>
      </c>
      <c r="Z16" s="56">
        <f>IFERROR(INDEX('Monthly VOL'!$N$2:$CG$65,MATCH($D16,'Monthly VOL'!$D$2:$D$65,0),MATCH(Z$1,'Monthly VOL'!$N$1:$CG$1,0))/INDEX('Monthly CUST'!$N$2:$CG$65,MATCH($D16,'Monthly CUST'!$D$2:$D$65,0),MATCH(Z$1,'Monthly CUST'!$N$1:$CG$1,0)),0)</f>
        <v>15.893544303797466</v>
      </c>
      <c r="AA16" s="56">
        <f>IFERROR(INDEX('Monthly VOL'!$N$2:$CG$65,MATCH($D16,'Monthly VOL'!$D$2:$D$65,0),MATCH(AA$1,'Monthly VOL'!$N$1:$CG$1,0))/INDEX('Monthly CUST'!$N$2:$CG$65,MATCH($D16,'Monthly CUST'!$D$2:$D$65,0),MATCH(AA$1,'Monthly CUST'!$N$1:$CG$1,0)),0)</f>
        <v>15.253021276595744</v>
      </c>
      <c r="AB16" s="56">
        <f>IFERROR(INDEX('Monthly VOL'!$N$2:$CG$65,MATCH($D16,'Monthly VOL'!$D$2:$D$65,0),MATCH(AB$1,'Monthly VOL'!$N$1:$CG$1,0))/INDEX('Monthly CUST'!$N$2:$CG$65,MATCH($D16,'Monthly CUST'!$D$2:$D$65,0),MATCH(AB$1,'Monthly CUST'!$N$1:$CG$1,0)),0)</f>
        <v>13.989618644067805</v>
      </c>
      <c r="AC16" s="56">
        <f>IFERROR(INDEX('Monthly VOL'!$N$2:$CG$65,MATCH($D16,'Monthly VOL'!$D$2:$D$65,0),MATCH(AC$1,'Monthly VOL'!$N$1:$CG$1,0))/INDEX('Monthly CUST'!$N$2:$CG$65,MATCH($D16,'Monthly CUST'!$D$2:$D$65,0),MATCH(AC$1,'Monthly CUST'!$N$1:$CG$1,0)),0)</f>
        <v>13.45743801652892</v>
      </c>
      <c r="AD16" s="56">
        <f>IFERROR(INDEX('Monthly VOL'!$N$2:$CG$65,MATCH($D16,'Monthly VOL'!$D$2:$D$65,0),MATCH(AD$1,'Monthly VOL'!$N$1:$CG$1,0))/INDEX('Monthly CUST'!$N$2:$CG$65,MATCH($D16,'Monthly CUST'!$D$2:$D$65,0),MATCH(AD$1,'Monthly CUST'!$N$1:$CG$1,0)),0)</f>
        <v>15.959021276595745</v>
      </c>
      <c r="AE16" s="56">
        <f>IFERROR(INDEX('Monthly VOL'!$N$2:$CG$65,MATCH($D16,'Monthly VOL'!$D$2:$D$65,0),MATCH(AE$1,'Monthly VOL'!$N$1:$CG$1,0))/INDEX('Monthly CUST'!$N$2:$CG$65,MATCH($D16,'Monthly CUST'!$D$2:$D$65,0),MATCH(AE$1,'Monthly CUST'!$N$1:$CG$1,0)),0)</f>
        <v>14.439063829787234</v>
      </c>
      <c r="AF16" s="56">
        <f>IFERROR(INDEX('Monthly VOL'!$N$2:$CG$65,MATCH($D16,'Monthly VOL'!$D$2:$D$65,0),MATCH(AF$1,'Monthly VOL'!$N$1:$CG$1,0))/INDEX('Monthly CUST'!$N$2:$CG$65,MATCH($D16,'Monthly CUST'!$D$2:$D$65,0),MATCH(AF$1,'Monthly CUST'!$N$1:$CG$1,0)),0)</f>
        <v>11.647521008403359</v>
      </c>
      <c r="AG16" s="56">
        <f>IFERROR(INDEX('Monthly VOL'!$N$2:$CG$65,MATCH($D16,'Monthly VOL'!$D$2:$D$65,0),MATCH(AG$1,'Monthly VOL'!$N$1:$CG$1,0))/INDEX('Monthly CUST'!$N$2:$CG$65,MATCH($D16,'Monthly CUST'!$D$2:$D$65,0),MATCH(AG$1,'Monthly CUST'!$N$1:$CG$1,0)),0)</f>
        <v>13.819456066945607</v>
      </c>
      <c r="AH16" s="56">
        <f>IFERROR(INDEX('Monthly VOL'!$N$2:$CG$65,MATCH($D16,'Monthly VOL'!$D$2:$D$65,0),MATCH(AH$1,'Monthly VOL'!$N$1:$CG$1,0))/INDEX('Monthly CUST'!$N$2:$CG$65,MATCH($D16,'Monthly CUST'!$D$2:$D$65,0),MATCH(AH$1,'Monthly CUST'!$N$1:$CG$1,0)),0)</f>
        <v>15.343598326359823</v>
      </c>
      <c r="AI16" s="56">
        <f>IFERROR(INDEX('Monthly VOL'!$N$2:$CG$65,MATCH($D16,'Monthly VOL'!$D$2:$D$65,0),MATCH(AI$1,'Monthly VOL'!$N$1:$CG$1,0))/INDEX('Monthly CUST'!$N$2:$CG$65,MATCH($D16,'Monthly CUST'!$D$2:$D$65,0),MATCH(AI$1,'Monthly CUST'!$N$1:$CG$1,0)),0)</f>
        <v>19.047386363636367</v>
      </c>
      <c r="AJ16" s="56">
        <f>IFERROR(INDEX('Monthly VOL'!$N$2:$CG$65,MATCH($D16,'Monthly VOL'!$D$2:$D$65,0),MATCH(AJ$1,'Monthly VOL'!$N$1:$CG$1,0))/INDEX('Monthly CUST'!$N$2:$CG$65,MATCH($D16,'Monthly CUST'!$D$2:$D$65,0),MATCH(AJ$1,'Monthly CUST'!$N$1:$CG$1,0)),0)</f>
        <v>19.137327935222665</v>
      </c>
      <c r="AK16" s="56">
        <f>IFERROR(INDEX('Monthly VOL'!$N$2:$CG$65,MATCH($D16,'Monthly VOL'!$D$2:$D$65,0),MATCH(AK$1,'Monthly VOL'!$N$1:$CG$1,0))/INDEX('Monthly CUST'!$N$2:$CG$65,MATCH($D16,'Monthly CUST'!$D$2:$D$65,0),MATCH(AK$1,'Monthly CUST'!$N$1:$CG$1,0)),0)</f>
        <v>29.214156378600819</v>
      </c>
      <c r="AL16" s="56">
        <f>IFERROR(INDEX('Monthly VOL'!$N$2:$CG$65,MATCH($D16,'Monthly VOL'!$D$2:$D$65,0),MATCH(AL$1,'Monthly VOL'!$N$1:$CG$1,0))/INDEX('Monthly CUST'!$N$2:$CG$65,MATCH($D16,'Monthly CUST'!$D$2:$D$65,0),MATCH(AL$1,'Monthly CUST'!$N$1:$CG$1,0)),0)</f>
        <v>38.783967611336031</v>
      </c>
      <c r="AM16" s="56">
        <f>IFERROR(INDEX('Monthly VOL'!$N$2:$CG$65,MATCH($D16,'Monthly VOL'!$D$2:$D$65,0),MATCH(AM$1,'Monthly VOL'!$N$1:$CG$1,0))/INDEX('Monthly CUST'!$N$2:$CG$65,MATCH($D16,'Monthly CUST'!$D$2:$D$65,0),MATCH(AM$1,'Monthly CUST'!$N$1:$CG$1,0)),0)</f>
        <v>33.220239999999997</v>
      </c>
      <c r="AN16" s="56">
        <f>IFERROR(INDEX('Monthly VOL'!$N$2:$CG$65,MATCH($D16,'Monthly VOL'!$D$2:$D$65,0),MATCH(AN$1,'Monthly VOL'!$N$1:$CG$1,0))/INDEX('Monthly CUST'!$N$2:$CG$65,MATCH($D16,'Monthly CUST'!$D$2:$D$65,0),MATCH(AN$1,'Monthly CUST'!$N$1:$CG$1,0)),0)</f>
        <v>30.619190283400805</v>
      </c>
      <c r="AO16" s="56">
        <f>IFERROR(INDEX('Monthly VOL'!$N$2:$CG$65,MATCH($D16,'Monthly VOL'!$D$2:$D$65,0),MATCH(AO$1,'Monthly VOL'!$N$1:$CG$1,0))/INDEX('Monthly CUST'!$N$2:$CG$65,MATCH($D16,'Monthly CUST'!$D$2:$D$65,0),MATCH(AO$1,'Monthly CUST'!$N$1:$CG$1,0)),0)</f>
        <v>21.116812749003987</v>
      </c>
      <c r="AP16" s="56">
        <f>IFERROR(INDEX('Monthly VOL'!$N$2:$CG$65,MATCH($D16,'Monthly VOL'!$D$2:$D$65,0),MATCH(AP$1,'Monthly VOL'!$N$1:$CG$1,0))/INDEX('Monthly CUST'!$N$2:$CG$65,MATCH($D16,'Monthly CUST'!$D$2:$D$65,0),MATCH(AP$1,'Monthly CUST'!$N$1:$CG$1,0)),0)</f>
        <v>19.593636363636367</v>
      </c>
      <c r="AQ16" s="56">
        <f>IFERROR(INDEX('Monthly VOL'!$N$2:$CG$65,MATCH($D16,'Monthly VOL'!$D$2:$D$65,0),MATCH(AQ$1,'Monthly VOL'!$N$1:$CG$1,0))/INDEX('Monthly CUST'!$N$2:$CG$65,MATCH($D16,'Monthly CUST'!$D$2:$D$65,0),MATCH(AQ$1,'Monthly CUST'!$N$1:$CG$1,0)),0)</f>
        <v>13.654960937499997</v>
      </c>
      <c r="AR16" s="56">
        <f>IFERROR(INDEX('Monthly VOL'!$N$2:$CG$65,MATCH($D16,'Monthly VOL'!$D$2:$D$65,0),MATCH(AR$1,'Monthly VOL'!$N$1:$CG$1,0))/INDEX('Monthly CUST'!$N$2:$CG$65,MATCH($D16,'Monthly CUST'!$D$2:$D$65,0),MATCH(AR$1,'Monthly CUST'!$N$1:$CG$1,0)),0)</f>
        <v>13.064703557312251</v>
      </c>
      <c r="AS16" s="56">
        <f>IFERROR(INDEX('Monthly VOL'!$N$2:$CG$65,MATCH($D16,'Monthly VOL'!$D$2:$D$65,0),MATCH(AS$1,'Monthly VOL'!$N$1:$CG$1,0))/INDEX('Monthly CUST'!$N$2:$CG$65,MATCH($D16,'Monthly CUST'!$D$2:$D$65,0),MATCH(AS$1,'Monthly CUST'!$N$1:$CG$1,0)),0)</f>
        <v>9.9712790697674336</v>
      </c>
      <c r="AT16" s="56">
        <f>IFERROR(INDEX('Monthly VOL'!$N$2:$CG$65,MATCH($D16,'Monthly VOL'!$D$2:$D$65,0),MATCH(AT$1,'Monthly VOL'!$N$1:$CG$1,0))/INDEX('Monthly CUST'!$N$2:$CG$65,MATCH($D16,'Monthly CUST'!$D$2:$D$65,0),MATCH(AT$1,'Monthly CUST'!$N$1:$CG$1,0)),0)</f>
        <v>8.9495384615384665</v>
      </c>
      <c r="AU16" s="56">
        <f>IFERROR(INDEX('Monthly VOL'!$N$2:$CG$65,MATCH($D16,'Monthly VOL'!$D$2:$D$65,0),MATCH(AU$1,'Monthly VOL'!$N$1:$CG$1,0))/INDEX('Monthly CUST'!$N$2:$CG$65,MATCH($D16,'Monthly CUST'!$D$2:$D$65,0),MATCH(AU$1,'Monthly CUST'!$N$1:$CG$1,0)),0)</f>
        <v>8.6645801526717552</v>
      </c>
      <c r="AV16" s="56">
        <f>IFERROR(INDEX('Monthly VOL'!$N$2:$CG$65,MATCH($D16,'Monthly VOL'!$D$2:$D$65,0),MATCH(AV$1,'Monthly VOL'!$N$1:$CG$1,0))/INDEX('Monthly CUST'!$N$2:$CG$65,MATCH($D16,'Monthly CUST'!$D$2:$D$65,0),MATCH(AV$1,'Monthly CUST'!$N$1:$CG$1,0)),0)</f>
        <v>14.861072796934865</v>
      </c>
      <c r="AW16" s="56">
        <f>IFERROR(INDEX('Monthly VOL'!$N$2:$CG$65,MATCH($D16,'Monthly VOL'!$D$2:$D$65,0),MATCH(AW$1,'Monthly VOL'!$N$1:$CG$1,0))/INDEX('Monthly CUST'!$N$2:$CG$65,MATCH($D16,'Monthly CUST'!$D$2:$D$65,0),MATCH(AW$1,'Monthly CUST'!$N$1:$CG$1,0)),0)</f>
        <v>25.059285714285704</v>
      </c>
      <c r="AX16" s="56">
        <f>IFERROR(INDEX('Monthly VOL'!$N$2:$CG$65,MATCH($D16,'Monthly VOL'!$D$2:$D$65,0),MATCH(AX$1,'Monthly VOL'!$N$1:$CG$1,0))/INDEX('Monthly CUST'!$N$2:$CG$65,MATCH($D16,'Monthly CUST'!$D$2:$D$65,0),MATCH(AX$1,'Monthly CUST'!$N$1:$CG$1,0)),0)</f>
        <v>22.291358490566044</v>
      </c>
      <c r="AY16" s="56">
        <f>IFERROR(INDEX('Monthly VOL'!$N$2:$CG$65,MATCH($D16,'Monthly VOL'!$D$2:$D$65,0),MATCH(AY$1,'Monthly VOL'!$N$1:$CG$1,0))/INDEX('Monthly CUST'!$N$2:$CG$65,MATCH($D16,'Monthly CUST'!$D$2:$D$65,0),MATCH(AY$1,'Monthly CUST'!$N$1:$CG$1,0)),0)</f>
        <v>13.426287878787877</v>
      </c>
      <c r="AZ16" s="56">
        <f>IFERROR(INDEX('Monthly VOL'!$N$2:$CG$65,MATCH($D16,'Monthly VOL'!$D$2:$D$65,0),MATCH(AZ$1,'Monthly VOL'!$N$1:$CG$1,0))/INDEX('Monthly CUST'!$N$2:$CG$65,MATCH($D16,'Monthly CUST'!$D$2:$D$65,0),MATCH(AZ$1,'Monthly CUST'!$N$1:$CG$1,0)),0)</f>
        <v>14.20602272727273</v>
      </c>
      <c r="BA16" s="56">
        <f>IFERROR(INDEX('Monthly VOL'!$N$2:$CG$65,MATCH($D16,'Monthly VOL'!$D$2:$D$65,0),MATCH(BA$1,'Monthly VOL'!$N$1:$CG$1,0))/INDEX('Monthly CUST'!$N$2:$CG$65,MATCH($D16,'Monthly CUST'!$D$2:$D$65,0),MATCH(BA$1,'Monthly CUST'!$N$1:$CG$1,0)),0)</f>
        <v>12.811250000000001</v>
      </c>
      <c r="BB16" s="56">
        <f>IFERROR(INDEX('Monthly VOL'!$N$2:$CG$65,MATCH($D16,'Monthly VOL'!$D$2:$D$65,0),MATCH(BB$1,'Monthly VOL'!$N$1:$CG$1,0))/INDEX('Monthly CUST'!$N$2:$CG$65,MATCH($D16,'Monthly CUST'!$D$2:$D$65,0),MATCH(BB$1,'Monthly CUST'!$N$1:$CG$1,0)),0)</f>
        <v>38.023811320754703</v>
      </c>
      <c r="BC16" s="56">
        <f>IFERROR(INDEX('Monthly VOL'!$N$2:$CG$65,MATCH($D16,'Monthly VOL'!$D$2:$D$65,0),MATCH(BC$1,'Monthly VOL'!$N$1:$CG$1,0))/INDEX('Monthly CUST'!$N$2:$CG$65,MATCH($D16,'Monthly CUST'!$D$2:$D$65,0),MATCH(BC$1,'Monthly CUST'!$N$1:$CG$1,0)),0)</f>
        <v>18.44059701492538</v>
      </c>
      <c r="BD16" s="56">
        <f>IFERROR(INDEX('Monthly VOL'!$N$2:$CG$65,MATCH($D16,'Monthly VOL'!$D$2:$D$65,0),MATCH(BD$1,'Monthly VOL'!$N$1:$CG$1,0))/INDEX('Monthly CUST'!$N$2:$CG$65,MATCH($D16,'Monthly CUST'!$D$2:$D$65,0),MATCH(BD$1,'Monthly CUST'!$N$1:$CG$1,0)),0)</f>
        <v>11.455880149812737</v>
      </c>
      <c r="BE16" s="56">
        <f>IFERROR(INDEX('Monthly VOL'!$N$2:$CG$65,MATCH($D16,'Monthly VOL'!$D$2:$D$65,0),MATCH(BE$1,'Monthly VOL'!$N$1:$CG$1,0))/INDEX('Monthly CUST'!$N$2:$CG$65,MATCH($D16,'Monthly CUST'!$D$2:$D$65,0),MATCH(BE$1,'Monthly CUST'!$N$1:$CG$1,0)),0)</f>
        <v>9.9301872659176027</v>
      </c>
      <c r="BF16" s="56">
        <f>IFERROR(INDEX('Monthly VOL'!$N$2:$CG$65,MATCH($D16,'Monthly VOL'!$D$2:$D$65,0),MATCH(BF$1,'Monthly VOL'!$N$1:$CG$1,0))/INDEX('Monthly CUST'!$N$2:$CG$65,MATCH($D16,'Monthly CUST'!$D$2:$D$65,0),MATCH(BF$1,'Monthly CUST'!$N$1:$CG$1,0)),0)</f>
        <v>8.7899298245614013</v>
      </c>
      <c r="BG16" s="56">
        <f>IFERROR(INDEX('Monthly VOL'!$N$2:$CG$65,MATCH($D16,'Monthly VOL'!$D$2:$D$65,0),MATCH(BG$1,'Monthly VOL'!$N$1:$CG$1,0))/INDEX('Monthly CUST'!$N$2:$CG$65,MATCH($D16,'Monthly CUST'!$D$2:$D$65,0),MATCH(BG$1,'Monthly CUST'!$N$1:$CG$1,0)),0)</f>
        <v>10.116356877323426</v>
      </c>
      <c r="BH16" s="56">
        <f>IFERROR(INDEX('Monthly VOL'!$N$2:$CG$65,MATCH($D16,'Monthly VOL'!$D$2:$D$65,0),MATCH(BH$1,'Monthly VOL'!$N$1:$CG$1,0))/INDEX('Monthly CUST'!$N$2:$CG$65,MATCH($D16,'Monthly CUST'!$D$2:$D$65,0),MATCH(BH$1,'Monthly CUST'!$N$1:$CG$1,0)),0)</f>
        <v>13.450469314079426</v>
      </c>
      <c r="BI16" s="56">
        <f>IFERROR(INDEX('Monthly VOL'!$N$2:$CG$65,MATCH($D16,'Monthly VOL'!$D$2:$D$65,0),MATCH(BI$1,'Monthly VOL'!$N$1:$CG$1,0))/INDEX('Monthly CUST'!$N$2:$CG$65,MATCH($D16,'Monthly CUST'!$D$2:$D$65,0),MATCH(BI$1,'Monthly CUST'!$N$1:$CG$1,0)),0)</f>
        <v>13.562633451957286</v>
      </c>
      <c r="BJ16" s="56">
        <f>IFERROR(INDEX('Monthly VOL'!$N$2:$CG$65,MATCH($D16,'Monthly VOL'!$D$2:$D$65,0),MATCH(BJ$1,'Monthly VOL'!$N$1:$CG$1,0))/INDEX('Monthly CUST'!$N$2:$CG$65,MATCH($D16,'Monthly CUST'!$D$2:$D$65,0),MATCH(BJ$1,'Monthly CUST'!$N$1:$CG$1,0)),0)</f>
        <v>25.656290135233178</v>
      </c>
      <c r="BK16" s="56">
        <f>IFERROR(INDEX('Monthly VOL'!$N$2:$CG$65,MATCH($D16,'Monthly VOL'!$D$2:$D$65,0),MATCH(BK$1,'Monthly VOL'!$N$1:$CG$1,0))/INDEX('Monthly CUST'!$N$2:$CG$65,MATCH($D16,'Monthly CUST'!$D$2:$D$65,0),MATCH(BK$1,'Monthly CUST'!$N$1:$CG$1,0)),0)</f>
        <v>20.633183051794539</v>
      </c>
      <c r="BL16" s="56">
        <f>IFERROR(INDEX('Monthly VOL'!$N$2:$CG$65,MATCH($D16,'Monthly VOL'!$D$2:$D$65,0),MATCH(BL$1,'Monthly VOL'!$N$1:$CG$1,0))/INDEX('Monthly CUST'!$N$2:$CG$65,MATCH($D16,'Monthly CUST'!$D$2:$D$65,0),MATCH(BL$1,'Monthly CUST'!$N$1:$CG$1,0)),0)</f>
        <v>19.60494388491378</v>
      </c>
      <c r="BM16" s="56">
        <f>IFERROR(INDEX('Monthly VOL'!$N$2:$CG$65,MATCH($D16,'Monthly VOL'!$D$2:$D$65,0),MATCH(BM$1,'Monthly VOL'!$N$1:$CG$1,0))/INDEX('Monthly CUST'!$N$2:$CG$65,MATCH($D16,'Monthly CUST'!$D$2:$D$65,0),MATCH(BM$1,'Monthly CUST'!$N$1:$CG$1,0)),0)</f>
        <v>15.795166921844304</v>
      </c>
      <c r="BN16" s="56">
        <f>IFERROR(INDEX('Monthly VOL'!$N$2:$CG$65,MATCH($D16,'Monthly VOL'!$D$2:$D$65,0),MATCH(BN$1,'Monthly VOL'!$N$1:$CG$1,0))/INDEX('Monthly CUST'!$N$2:$CG$65,MATCH($D16,'Monthly CUST'!$D$2:$D$65,0),MATCH(BN$1,'Monthly CUST'!$N$1:$CG$1,0)),0)</f>
        <v>24.525489653662273</v>
      </c>
      <c r="BO16" s="56">
        <f>IFERROR(INDEX('Monthly VOL'!$N$2:$CG$65,MATCH($D16,'Monthly VOL'!$D$2:$D$65,0),MATCH(BO$1,'Monthly VOL'!$N$1:$CG$1,0))/INDEX('Monthly CUST'!$N$2:$CG$65,MATCH($D16,'Monthly CUST'!$D$2:$D$65,0),MATCH(BO$1,'Monthly CUST'!$N$1:$CG$1,0)),0)</f>
        <v>15.511540594070869</v>
      </c>
      <c r="BP16" s="56">
        <f>IFERROR(INDEX('Monthly VOL'!$N$2:$CG$65,MATCH($D16,'Monthly VOL'!$D$2:$D$65,0),MATCH(BP$1,'Monthly VOL'!$N$1:$CG$1,0))/INDEX('Monthly CUST'!$N$2:$CG$65,MATCH($D16,'Monthly CUST'!$D$2:$D$65,0),MATCH(BP$1,'Monthly CUST'!$N$1:$CG$1,0)),0)</f>
        <v>12.056034905176114</v>
      </c>
      <c r="BQ16" s="56">
        <f>IFERROR(INDEX('Monthly VOL'!$N$2:$CG$65,MATCH($D16,'Monthly VOL'!$D$2:$D$65,0),MATCH(BQ$1,'Monthly VOL'!$N$1:$CG$1,0))/INDEX('Monthly CUST'!$N$2:$CG$65,MATCH($D16,'Monthly CUST'!$D$2:$D$65,0),MATCH(BQ$1,'Monthly CUST'!$N$1:$CG$1,0)),0)</f>
        <v>11.240307467543547</v>
      </c>
      <c r="BR16" s="56">
        <f>IFERROR(INDEX('Monthly VOL'!$N$2:$CG$65,MATCH($D16,'Monthly VOL'!$D$2:$D$65,0),MATCH(BR$1,'Monthly VOL'!$N$1:$CG$1,0))/INDEX('Monthly CUST'!$N$2:$CG$65,MATCH($D16,'Monthly CUST'!$D$2:$D$65,0),MATCH(BR$1,'Monthly CUST'!$N$1:$CG$1,0)),0)</f>
        <v>11.027688870819896</v>
      </c>
      <c r="BS16" s="56">
        <f>IFERROR(INDEX('Monthly VOL'!$N$2:$CG$65,MATCH($D16,'Monthly VOL'!$D$2:$D$65,0),MATCH(BS$1,'Monthly VOL'!$N$1:$CG$1,0))/INDEX('Monthly CUST'!$N$2:$CG$65,MATCH($D16,'Monthly CUST'!$D$2:$D$65,0),MATCH(BS$1,'Monthly CUST'!$N$1:$CG$1,0)),0)</f>
        <v>12.609441131210517</v>
      </c>
      <c r="BT16" s="56">
        <f>IFERROR(INDEX('Monthly VOL'!$N$2:$CG$65,MATCH($D16,'Monthly VOL'!$D$2:$D$65,0),MATCH(BT$1,'Monthly VOL'!$N$1:$CG$1,0))/INDEX('Monthly CUST'!$N$2:$CG$65,MATCH($D16,'Monthly CUST'!$D$2:$D$65,0),MATCH(BT$1,'Monthly CUST'!$N$1:$CG$1,0)),0)</f>
        <v>15.816290015412319</v>
      </c>
      <c r="BU16" s="56">
        <f>IFERROR(INDEX('Monthly VOL'!$N$2:$CG$65,MATCH($D16,'Monthly VOL'!$D$2:$D$65,0),MATCH(BU$1,'Monthly VOL'!$N$1:$CG$1,0))/INDEX('Monthly CUST'!$N$2:$CG$65,MATCH($D16,'Monthly CUST'!$D$2:$D$65,0),MATCH(BU$1,'Monthly CUST'!$N$1:$CG$1,0)),0)</f>
        <v>22.612025181614602</v>
      </c>
      <c r="BV16" s="56">
        <f>IFERROR(INDEX('Monthly VOL'!$N$2:$CG$65,MATCH($D16,'Monthly VOL'!$D$2:$D$65,0),MATCH(BV$1,'Monthly VOL'!$N$1:$CG$1,0))/INDEX('Monthly CUST'!$N$2:$CG$65,MATCH($D16,'Monthly CUST'!$D$2:$D$65,0),MATCH(BV$1,'Monthly CUST'!$N$1:$CG$1,0)),0)</f>
        <v>25.656290135233178</v>
      </c>
      <c r="BW16" s="56">
        <f>IFERROR(INDEX('Monthly VOL'!$N$2:$CG$65,MATCH($D16,'Monthly VOL'!$D$2:$D$65,0),MATCH(BW$1,'Monthly VOL'!$N$1:$CG$1,0))/INDEX('Monthly CUST'!$N$2:$CG$65,MATCH($D16,'Monthly CUST'!$D$2:$D$65,0),MATCH(BW$1,'Monthly CUST'!$N$1:$CG$1,0)),0)</f>
        <v>20.633183051794539</v>
      </c>
      <c r="BX16" s="56">
        <f>IFERROR(INDEX('Monthly VOL'!$N$2:$CG$65,MATCH($D16,'Monthly VOL'!$D$2:$D$65,0),MATCH(BX$1,'Monthly VOL'!$N$1:$CG$1,0))/INDEX('Monthly CUST'!$N$2:$CG$65,MATCH($D16,'Monthly CUST'!$D$2:$D$65,0),MATCH(BX$1,'Monthly CUST'!$N$1:$CG$1,0)),0)</f>
        <v>19.60494388491378</v>
      </c>
      <c r="BY16" s="56">
        <f>IFERROR(INDEX('Monthly VOL'!$N$2:$CG$65,MATCH($D16,'Monthly VOL'!$D$2:$D$65,0),MATCH(BY$1,'Monthly VOL'!$N$1:$CG$1,0))/INDEX('Monthly CUST'!$N$2:$CG$65,MATCH($D16,'Monthly CUST'!$D$2:$D$65,0),MATCH(BY$1,'Monthly CUST'!$N$1:$CG$1,0)),0)</f>
        <v>15.795166921844302</v>
      </c>
      <c r="BZ16" s="56">
        <f>IFERROR(INDEX('Monthly VOL'!$N$2:$CG$65,MATCH($D16,'Monthly VOL'!$D$2:$D$65,0),MATCH(BZ$1,'Monthly VOL'!$N$1:$CG$1,0))/INDEX('Monthly CUST'!$N$2:$CG$65,MATCH($D16,'Monthly CUST'!$D$2:$D$65,0),MATCH(BZ$1,'Monthly CUST'!$N$1:$CG$1,0)),0)</f>
        <v>24.525489653662273</v>
      </c>
      <c r="CA16" s="56">
        <f>IFERROR(INDEX('Monthly VOL'!$N$2:$CG$65,MATCH($D16,'Monthly VOL'!$D$2:$D$65,0),MATCH(CA$1,'Monthly VOL'!$N$1:$CG$1,0))/INDEX('Monthly CUST'!$N$2:$CG$65,MATCH($D16,'Monthly CUST'!$D$2:$D$65,0),MATCH(CA$1,'Monthly CUST'!$N$1:$CG$1,0)),0)</f>
        <v>15.511540594070873</v>
      </c>
      <c r="CB16" s="56">
        <f>IFERROR(INDEX('Monthly VOL'!$N$2:$CG$65,MATCH($D16,'Monthly VOL'!$D$2:$D$65,0),MATCH(CB$1,'Monthly VOL'!$N$1:$CG$1,0))/INDEX('Monthly CUST'!$N$2:$CG$65,MATCH($D16,'Monthly CUST'!$D$2:$D$65,0),MATCH(CB$1,'Monthly CUST'!$N$1:$CG$1,0)),0)</f>
        <v>12.056034905176114</v>
      </c>
      <c r="CC16" s="56">
        <f>IFERROR(INDEX('Monthly VOL'!$N$2:$CG$65,MATCH($D16,'Monthly VOL'!$D$2:$D$65,0),MATCH(CC$1,'Monthly VOL'!$N$1:$CG$1,0))/INDEX('Monthly CUST'!$N$2:$CG$65,MATCH($D16,'Monthly CUST'!$D$2:$D$65,0),MATCH(CC$1,'Monthly CUST'!$N$1:$CG$1,0)),0)</f>
        <v>11.240307467543547</v>
      </c>
      <c r="CD16" s="56">
        <f>IFERROR(INDEX('Monthly VOL'!$N$2:$CG$65,MATCH($D16,'Monthly VOL'!$D$2:$D$65,0),MATCH(CD$1,'Monthly VOL'!$N$1:$CG$1,0))/INDEX('Monthly CUST'!$N$2:$CG$65,MATCH($D16,'Monthly CUST'!$D$2:$D$65,0),MATCH(CD$1,'Monthly CUST'!$N$1:$CG$1,0)),0)</f>
        <v>11.027688870819896</v>
      </c>
      <c r="CE16" s="56">
        <f>IFERROR(INDEX('Monthly VOL'!$N$2:$CG$65,MATCH($D16,'Monthly VOL'!$D$2:$D$65,0),MATCH(CE$1,'Monthly VOL'!$N$1:$CG$1,0))/INDEX('Monthly CUST'!$N$2:$CG$65,MATCH($D16,'Monthly CUST'!$D$2:$D$65,0),MATCH(CE$1,'Monthly CUST'!$N$1:$CG$1,0)),0)</f>
        <v>12.609441131210517</v>
      </c>
      <c r="CF16" s="56">
        <f>IFERROR(INDEX('Monthly VOL'!$N$2:$CG$65,MATCH($D16,'Monthly VOL'!$D$2:$D$65,0),MATCH(CF$1,'Monthly VOL'!$N$1:$CG$1,0))/INDEX('Monthly CUST'!$N$2:$CG$65,MATCH($D16,'Monthly CUST'!$D$2:$D$65,0),MATCH(CF$1,'Monthly CUST'!$N$1:$CG$1,0)),0)</f>
        <v>15.816290015412319</v>
      </c>
      <c r="CG16" s="56">
        <f>IFERROR(INDEX('Monthly VOL'!$N$2:$CG$65,MATCH($D16,'Monthly VOL'!$D$2:$D$65,0),MATCH(CG$1,'Monthly VOL'!$N$1:$CG$1,0))/INDEX('Monthly CUST'!$N$2:$CG$65,MATCH($D16,'Monthly CUST'!$D$2:$D$65,0),MATCH(CG$1,'Monthly CUST'!$N$1:$CG$1,0)),0)</f>
        <v>22.612025181614602</v>
      </c>
      <c r="CH16" s="264"/>
      <c r="CI16" s="264"/>
      <c r="CJ16" s="264"/>
      <c r="CM16" s="569">
        <f t="shared" si="0"/>
        <v>25.656290135233178</v>
      </c>
      <c r="CN16" s="569">
        <f t="shared" si="1"/>
        <v>20.633183051794539</v>
      </c>
      <c r="CO16" s="569">
        <f t="shared" si="2"/>
        <v>19.60494388491378</v>
      </c>
      <c r="CP16" s="569">
        <f t="shared" si="3"/>
        <v>15.795166921844304</v>
      </c>
      <c r="CQ16" s="569">
        <f t="shared" si="4"/>
        <v>24.525489653662273</v>
      </c>
      <c r="CR16" s="569">
        <f t="shared" si="5"/>
        <v>15.511540594070871</v>
      </c>
      <c r="CS16" s="569">
        <f t="shared" si="6"/>
        <v>12.056034905176114</v>
      </c>
      <c r="CT16" s="569">
        <f t="shared" si="7"/>
        <v>11.240307467543547</v>
      </c>
      <c r="CU16" s="569">
        <f t="shared" si="8"/>
        <v>11.027688870819896</v>
      </c>
      <c r="CV16" s="569">
        <f t="shared" si="9"/>
        <v>12.609441131210517</v>
      </c>
      <c r="CW16" s="569">
        <f t="shared" si="10"/>
        <v>15.816290015412319</v>
      </c>
      <c r="CX16" s="569">
        <f t="shared" si="11"/>
        <v>22.612025181614602</v>
      </c>
      <c r="CY16" s="569">
        <f t="shared" si="12"/>
        <v>25.656290135233178</v>
      </c>
      <c r="CZ16" s="569">
        <f t="shared" si="13"/>
        <v>20.633183051794539</v>
      </c>
      <c r="DA16" s="569">
        <f t="shared" si="14"/>
        <v>19.60494388491378</v>
      </c>
      <c r="DB16" s="569">
        <f t="shared" si="15"/>
        <v>15.795166921844304</v>
      </c>
      <c r="DC16" s="569">
        <f t="shared" si="16"/>
        <v>24.525489653662273</v>
      </c>
      <c r="DD16" s="569">
        <f t="shared" si="17"/>
        <v>15.511540594070871</v>
      </c>
      <c r="DE16" s="569">
        <f t="shared" si="18"/>
        <v>12.056034905176114</v>
      </c>
      <c r="DF16" s="569">
        <f t="shared" si="19"/>
        <v>11.240307467543547</v>
      </c>
      <c r="DG16" s="569">
        <f t="shared" si="20"/>
        <v>11.027688870819896</v>
      </c>
      <c r="DH16" s="569">
        <f t="shared" si="21"/>
        <v>12.609441131210517</v>
      </c>
      <c r="DI16" s="569">
        <f t="shared" si="22"/>
        <v>15.816290015412319</v>
      </c>
      <c r="DJ16" s="569">
        <f t="shared" si="23"/>
        <v>22.612025181614602</v>
      </c>
    </row>
    <row r="17" spans="1:114" s="261" customFormat="1">
      <c r="A17" s="55" t="s">
        <v>15</v>
      </c>
      <c r="B17" s="55" t="s">
        <v>994</v>
      </c>
      <c r="C17" s="55" t="s">
        <v>1245</v>
      </c>
      <c r="D17" s="55" t="s">
        <v>36</v>
      </c>
      <c r="E17" s="55" t="str">
        <f>VLOOKUP(D17,'Input 14_Ref Table'!C:D,2,FALSE)</f>
        <v>GCS11</v>
      </c>
      <c r="F17" s="172" t="s">
        <v>1286</v>
      </c>
      <c r="G17" s="55" t="str">
        <f>VLOOKUP(D17,'Input 14_Ref Table'!C:I,7,FALSE)</f>
        <v>FPU - FPU - GS - 1</v>
      </c>
      <c r="H17" s="55" t="str">
        <f>VLOOKUP(D17,'Input 14_Ref Table'!C:K,8,FALSE)</f>
        <v>GS1</v>
      </c>
      <c r="I17" s="55" t="e">
        <f>INDEX(#REF!,MATCH(D17,#REF!,0))</f>
        <v>#REF!</v>
      </c>
      <c r="J17" s="261" t="str">
        <f>INDEX('Master '!$AD$2:AD$65,MATCH(D17,'Master '!$D$2:$D$65,0))</f>
        <v>UPC Growth Rate</v>
      </c>
      <c r="K17" s="567">
        <f>INDEX('Master '!$N$2:N$65,MATCH(D17,'Master '!$D$2:$D$65,0))</f>
        <v>-3.3336450138164629E-2</v>
      </c>
      <c r="L17" s="290">
        <f>INDEX('Master '!$S$2:S$65,MATCH(D17,'Master '!$D$2:$D$65,0))</f>
        <v>3.989071854052504E-2</v>
      </c>
      <c r="M17" s="1">
        <f>INDEX('Master '!$W$2:W$65,MATCH(D17,'Master '!$D$2:$D$65,0))</f>
        <v>3482.75</v>
      </c>
      <c r="N17" s="56">
        <f>IFERROR(INDEX('Monthly VOL'!$N$2:$CG$65,MATCH($D17,'Monthly VOL'!$D$2:$D$65,0),MATCH(N$1,'Monthly VOL'!$N$1:$CG$1,0))/INDEX('Monthly CUST'!$N$2:$CG$65,MATCH($D17,'Monthly CUST'!$D$2:$D$65,0),MATCH(N$1,'Monthly CUST'!$N$1:$CG$1,0)),0)</f>
        <v>139.50054112554116</v>
      </c>
      <c r="O17" s="56">
        <f>IFERROR(INDEX('Monthly VOL'!$N$2:$CG$65,MATCH($D17,'Monthly VOL'!$D$2:$D$65,0),MATCH(O$1,'Monthly VOL'!$N$1:$CG$1,0))/INDEX('Monthly CUST'!$N$2:$CG$65,MATCH($D17,'Monthly CUST'!$D$2:$D$65,0),MATCH(O$1,'Monthly CUST'!$N$1:$CG$1,0)),0)</f>
        <v>121.68160831509847</v>
      </c>
      <c r="P17" s="56">
        <f>IFERROR(INDEX('Monthly VOL'!$N$2:$CG$65,MATCH($D17,'Monthly VOL'!$D$2:$D$65,0),MATCH(P$1,'Monthly VOL'!$N$1:$CG$1,0))/INDEX('Monthly CUST'!$N$2:$CG$65,MATCH($D17,'Monthly CUST'!$D$2:$D$65,0),MATCH(P$1,'Monthly CUST'!$N$1:$CG$1,0)),0)</f>
        <v>102.38930845225025</v>
      </c>
      <c r="Q17" s="56">
        <f>IFERROR(INDEX('Monthly VOL'!$N$2:$CG$65,MATCH($D17,'Monthly VOL'!$D$2:$D$65,0),MATCH(Q$1,'Monthly VOL'!$N$1:$CG$1,0))/INDEX('Monthly CUST'!$N$2:$CG$65,MATCH($D17,'Monthly CUST'!$D$2:$D$65,0),MATCH(Q$1,'Monthly CUST'!$N$1:$CG$1,0)),0)</f>
        <v>101.85356209150338</v>
      </c>
      <c r="R17" s="56">
        <f>IFERROR(INDEX('Monthly VOL'!$N$2:$CG$65,MATCH($D17,'Monthly VOL'!$D$2:$D$65,0),MATCH(R$1,'Monthly VOL'!$N$1:$CG$1,0))/INDEX('Monthly CUST'!$N$2:$CG$65,MATCH($D17,'Monthly CUST'!$D$2:$D$65,0),MATCH(R$1,'Monthly CUST'!$N$1:$CG$1,0)),0)</f>
        <v>85.592696132596657</v>
      </c>
      <c r="S17" s="56">
        <f>IFERROR(INDEX('Monthly VOL'!$N$2:$CG$65,MATCH($D17,'Monthly VOL'!$D$2:$D$65,0),MATCH(S$1,'Monthly VOL'!$N$1:$CG$1,0))/INDEX('Monthly CUST'!$N$2:$CG$65,MATCH($D17,'Monthly CUST'!$D$2:$D$65,0),MATCH(S$1,'Monthly CUST'!$N$1:$CG$1,0)),0)</f>
        <v>80.690811111111188</v>
      </c>
      <c r="T17" s="56">
        <f>IFERROR(INDEX('Monthly VOL'!$N$2:$CG$65,MATCH($D17,'Monthly VOL'!$D$2:$D$65,0),MATCH(T$1,'Monthly VOL'!$N$1:$CG$1,0))/INDEX('Monthly CUST'!$N$2:$CG$65,MATCH($D17,'Monthly CUST'!$D$2:$D$65,0),MATCH(T$1,'Monthly CUST'!$N$1:$CG$1,0)),0)</f>
        <v>66.825027685492799</v>
      </c>
      <c r="U17" s="56">
        <f>IFERROR(INDEX('Monthly VOL'!$N$2:$CG$65,MATCH($D17,'Monthly VOL'!$D$2:$D$65,0),MATCH(U$1,'Monthly VOL'!$N$1:$CG$1,0))/INDEX('Monthly CUST'!$N$2:$CG$65,MATCH($D17,'Monthly CUST'!$D$2:$D$65,0),MATCH(U$1,'Monthly CUST'!$N$1:$CG$1,0)),0)</f>
        <v>70.040100671140948</v>
      </c>
      <c r="V17" s="56">
        <f>IFERROR(INDEX('Monthly VOL'!$N$2:$CG$65,MATCH($D17,'Monthly VOL'!$D$2:$D$65,0),MATCH(V$1,'Monthly VOL'!$N$1:$CG$1,0))/INDEX('Monthly CUST'!$N$2:$CG$65,MATCH($D17,'Monthly CUST'!$D$2:$D$65,0),MATCH(V$1,'Monthly CUST'!$N$1:$CG$1,0)),0)</f>
        <v>66.730011185682386</v>
      </c>
      <c r="W17" s="56">
        <f>IFERROR(INDEX('Monthly VOL'!$N$2:$CG$65,MATCH($D17,'Monthly VOL'!$D$2:$D$65,0),MATCH(W$1,'Monthly VOL'!$N$1:$CG$1,0))/INDEX('Monthly CUST'!$N$2:$CG$65,MATCH($D17,'Monthly CUST'!$D$2:$D$65,0),MATCH(W$1,'Monthly CUST'!$N$1:$CG$1,0)),0)</f>
        <v>65.856153846153944</v>
      </c>
      <c r="X17" s="56">
        <f>IFERROR(INDEX('Monthly VOL'!$N$2:$CG$65,MATCH($D17,'Monthly VOL'!$D$2:$D$65,0),MATCH(X$1,'Monthly VOL'!$N$1:$CG$1,0))/INDEX('Monthly CUST'!$N$2:$CG$65,MATCH($D17,'Monthly CUST'!$D$2:$D$65,0),MATCH(X$1,'Monthly CUST'!$N$1:$CG$1,0)),0)</f>
        <v>88.030258426966299</v>
      </c>
      <c r="Y17" s="56">
        <f>IFERROR(INDEX('Monthly VOL'!$N$2:$CG$65,MATCH($D17,'Monthly VOL'!$D$2:$D$65,0),MATCH(Y$1,'Monthly VOL'!$N$1:$CG$1,0))/INDEX('Monthly CUST'!$N$2:$CG$65,MATCH($D17,'Monthly CUST'!$D$2:$D$65,0),MATCH(Y$1,'Monthly CUST'!$N$1:$CG$1,0)),0)</f>
        <v>116.93595959595973</v>
      </c>
      <c r="Z17" s="56">
        <f>IFERROR(INDEX('Monthly VOL'!$N$2:$CG$65,MATCH($D17,'Monthly VOL'!$D$2:$D$65,0),MATCH(Z$1,'Monthly VOL'!$N$1:$CG$1,0))/INDEX('Monthly CUST'!$N$2:$CG$65,MATCH($D17,'Monthly CUST'!$D$2:$D$65,0),MATCH(Z$1,'Monthly CUST'!$N$1:$CG$1,0)),0)</f>
        <v>117.97827896512935</v>
      </c>
      <c r="AA17" s="56">
        <f>IFERROR(INDEX('Monthly VOL'!$N$2:$CG$65,MATCH($D17,'Monthly VOL'!$D$2:$D$65,0),MATCH(AA$1,'Monthly VOL'!$N$1:$CG$1,0))/INDEX('Monthly CUST'!$N$2:$CG$65,MATCH($D17,'Monthly CUST'!$D$2:$D$65,0),MATCH(AA$1,'Monthly CUST'!$N$1:$CG$1,0)),0)</f>
        <v>113.37295045045036</v>
      </c>
      <c r="AB17" s="56">
        <f>IFERROR(INDEX('Monthly VOL'!$N$2:$CG$65,MATCH($D17,'Monthly VOL'!$D$2:$D$65,0),MATCH(AB$1,'Monthly VOL'!$N$1:$CG$1,0))/INDEX('Monthly CUST'!$N$2:$CG$65,MATCH($D17,'Monthly CUST'!$D$2:$D$65,0),MATCH(AB$1,'Monthly CUST'!$N$1:$CG$1,0)),0)</f>
        <v>94.436621621621583</v>
      </c>
      <c r="AC17" s="56">
        <f>IFERROR(INDEX('Monthly VOL'!$N$2:$CG$65,MATCH($D17,'Monthly VOL'!$D$2:$D$65,0),MATCH(AC$1,'Monthly VOL'!$N$1:$CG$1,0))/INDEX('Monthly CUST'!$N$2:$CG$65,MATCH($D17,'Monthly CUST'!$D$2:$D$65,0),MATCH(AC$1,'Monthly CUST'!$N$1:$CG$1,0)),0)</f>
        <v>100.77523489932879</v>
      </c>
      <c r="AD17" s="56">
        <f>IFERROR(INDEX('Monthly VOL'!$N$2:$CG$65,MATCH($D17,'Monthly VOL'!$D$2:$D$65,0),MATCH(AD$1,'Monthly VOL'!$N$1:$CG$1,0))/INDEX('Monthly CUST'!$N$2:$CG$65,MATCH($D17,'Monthly CUST'!$D$2:$D$65,0),MATCH(AD$1,'Monthly CUST'!$N$1:$CG$1,0)),0)</f>
        <v>85.559605855855978</v>
      </c>
      <c r="AE17" s="56">
        <f>IFERROR(INDEX('Monthly VOL'!$N$2:$CG$65,MATCH($D17,'Monthly VOL'!$D$2:$D$65,0),MATCH(AE$1,'Monthly VOL'!$N$1:$CG$1,0))/INDEX('Monthly CUST'!$N$2:$CG$65,MATCH($D17,'Monthly CUST'!$D$2:$D$65,0),MATCH(AE$1,'Monthly CUST'!$N$1:$CG$1,0)),0)</f>
        <v>78.713585118376514</v>
      </c>
      <c r="AF17" s="56">
        <f>IFERROR(INDEX('Monthly VOL'!$N$2:$CG$65,MATCH($D17,'Monthly VOL'!$D$2:$D$65,0),MATCH(AF$1,'Monthly VOL'!$N$1:$CG$1,0))/INDEX('Monthly CUST'!$N$2:$CG$65,MATCH($D17,'Monthly CUST'!$D$2:$D$65,0),MATCH(AF$1,'Monthly CUST'!$N$1:$CG$1,0)),0)</f>
        <v>61.953434684684659</v>
      </c>
      <c r="AG17" s="56">
        <f>IFERROR(INDEX('Monthly VOL'!$N$2:$CG$65,MATCH($D17,'Monthly VOL'!$D$2:$D$65,0),MATCH(AG$1,'Monthly VOL'!$N$1:$CG$1,0))/INDEX('Monthly CUST'!$N$2:$CG$65,MATCH($D17,'Monthly CUST'!$D$2:$D$65,0),MATCH(AG$1,'Monthly CUST'!$N$1:$CG$1,0)),0)</f>
        <v>71.467943502824838</v>
      </c>
      <c r="AH17" s="56">
        <f>IFERROR(INDEX('Monthly VOL'!$N$2:$CG$65,MATCH($D17,'Monthly VOL'!$D$2:$D$65,0),MATCH(AH$1,'Monthly VOL'!$N$1:$CG$1,0))/INDEX('Monthly CUST'!$N$2:$CG$65,MATCH($D17,'Monthly CUST'!$D$2:$D$65,0),MATCH(AH$1,'Monthly CUST'!$N$1:$CG$1,0)),0)</f>
        <v>77.771483146067439</v>
      </c>
      <c r="AI17" s="56">
        <f>IFERROR(INDEX('Monthly VOL'!$N$2:$CG$65,MATCH($D17,'Monthly VOL'!$D$2:$D$65,0),MATCH(AI$1,'Monthly VOL'!$N$1:$CG$1,0))/INDEX('Monthly CUST'!$N$2:$CG$65,MATCH($D17,'Monthly CUST'!$D$2:$D$65,0),MATCH(AI$1,'Monthly CUST'!$N$1:$CG$1,0)),0)</f>
        <v>75.265228891149519</v>
      </c>
      <c r="AJ17" s="56">
        <f>IFERROR(INDEX('Monthly VOL'!$N$2:$CG$65,MATCH($D17,'Monthly VOL'!$D$2:$D$65,0),MATCH(AJ$1,'Monthly VOL'!$N$1:$CG$1,0))/INDEX('Monthly CUST'!$N$2:$CG$65,MATCH($D17,'Monthly CUST'!$D$2:$D$65,0),MATCH(AJ$1,'Monthly CUST'!$N$1:$CG$1,0)),0)</f>
        <v>102.40652076318739</v>
      </c>
      <c r="AK17" s="56">
        <f>IFERROR(INDEX('Monthly VOL'!$N$2:$CG$65,MATCH($D17,'Monthly VOL'!$D$2:$D$65,0),MATCH(AK$1,'Monthly VOL'!$N$1:$CG$1,0))/INDEX('Monthly CUST'!$N$2:$CG$65,MATCH($D17,'Monthly CUST'!$D$2:$D$65,0),MATCH(AK$1,'Monthly CUST'!$N$1:$CG$1,0)),0)</f>
        <v>115.48807606263982</v>
      </c>
      <c r="AL17" s="56">
        <f>IFERROR(INDEX('Monthly VOL'!$N$2:$CG$65,MATCH($D17,'Monthly VOL'!$D$2:$D$65,0),MATCH(AL$1,'Monthly VOL'!$N$1:$CG$1,0))/INDEX('Monthly CUST'!$N$2:$CG$65,MATCH($D17,'Monthly CUST'!$D$2:$D$65,0),MATCH(AL$1,'Monthly CUST'!$N$1:$CG$1,0)),0)</f>
        <v>126.08586786114211</v>
      </c>
      <c r="AM17" s="56">
        <f>IFERROR(INDEX('Monthly VOL'!$N$2:$CG$65,MATCH($D17,'Monthly VOL'!$D$2:$D$65,0),MATCH(AM$1,'Monthly VOL'!$N$1:$CG$1,0))/INDEX('Monthly CUST'!$N$2:$CG$65,MATCH($D17,'Monthly CUST'!$D$2:$D$65,0),MATCH(AM$1,'Monthly CUST'!$N$1:$CG$1,0)),0)</f>
        <v>118.7715801354403</v>
      </c>
      <c r="AN17" s="56">
        <f>IFERROR(INDEX('Monthly VOL'!$N$2:$CG$65,MATCH($D17,'Monthly VOL'!$D$2:$D$65,0),MATCH(AN$1,'Monthly VOL'!$N$1:$CG$1,0))/INDEX('Monthly CUST'!$N$2:$CG$65,MATCH($D17,'Monthly CUST'!$D$2:$D$65,0),MATCH(AN$1,'Monthly CUST'!$N$1:$CG$1,0)),0)</f>
        <v>108.04521984216456</v>
      </c>
      <c r="AO17" s="56">
        <f>IFERROR(INDEX('Monthly VOL'!$N$2:$CG$65,MATCH($D17,'Monthly VOL'!$D$2:$D$65,0),MATCH(AO$1,'Monthly VOL'!$N$1:$CG$1,0))/INDEX('Monthly CUST'!$N$2:$CG$65,MATCH($D17,'Monthly CUST'!$D$2:$D$65,0),MATCH(AO$1,'Monthly CUST'!$N$1:$CG$1,0)),0)</f>
        <v>62.255446428571425</v>
      </c>
      <c r="AP17" s="56">
        <f>IFERROR(INDEX('Monthly VOL'!$N$2:$CG$65,MATCH($D17,'Monthly VOL'!$D$2:$D$65,0),MATCH(AP$1,'Monthly VOL'!$N$1:$CG$1,0))/INDEX('Monthly CUST'!$N$2:$CG$65,MATCH($D17,'Monthly CUST'!$D$2:$D$65,0),MATCH(AP$1,'Monthly CUST'!$N$1:$CG$1,0)),0)</f>
        <v>60.27391111111109</v>
      </c>
      <c r="AQ17" s="56">
        <f>IFERROR(INDEX('Monthly VOL'!$N$2:$CG$65,MATCH($D17,'Monthly VOL'!$D$2:$D$65,0),MATCH(AQ$1,'Monthly VOL'!$N$1:$CG$1,0))/INDEX('Monthly CUST'!$N$2:$CG$65,MATCH($D17,'Monthly CUST'!$D$2:$D$65,0),MATCH(AQ$1,'Monthly CUST'!$N$1:$CG$1,0)),0)</f>
        <v>62.72290109890114</v>
      </c>
      <c r="AR17" s="56">
        <f>IFERROR(INDEX('Monthly VOL'!$N$2:$CG$65,MATCH($D17,'Monthly VOL'!$D$2:$D$65,0),MATCH(AR$1,'Monthly VOL'!$N$1:$CG$1,0))/INDEX('Monthly CUST'!$N$2:$CG$65,MATCH($D17,'Monthly CUST'!$D$2:$D$65,0),MATCH(AR$1,'Monthly CUST'!$N$1:$CG$1,0)),0)</f>
        <v>61.145240761478199</v>
      </c>
      <c r="AS17" s="56">
        <f>IFERROR(INDEX('Monthly VOL'!$N$2:$CG$65,MATCH($D17,'Monthly VOL'!$D$2:$D$65,0),MATCH(AS$1,'Monthly VOL'!$N$1:$CG$1,0))/INDEX('Monthly CUST'!$N$2:$CG$65,MATCH($D17,'Monthly CUST'!$D$2:$D$65,0),MATCH(AS$1,'Monthly CUST'!$N$1:$CG$1,0)),0)</f>
        <v>64.209705549263774</v>
      </c>
      <c r="AT17" s="56">
        <f>IFERROR(INDEX('Monthly VOL'!$N$2:$CG$65,MATCH($D17,'Monthly VOL'!$D$2:$D$65,0),MATCH(AT$1,'Monthly VOL'!$N$1:$CG$1,0))/INDEX('Monthly CUST'!$N$2:$CG$65,MATCH($D17,'Monthly CUST'!$D$2:$D$65,0),MATCH(AT$1,'Monthly CUST'!$N$1:$CG$1,0)),0)</f>
        <v>63.278957399103113</v>
      </c>
      <c r="AU17" s="56">
        <f>IFERROR(INDEX('Monthly VOL'!$N$2:$CG$65,MATCH($D17,'Monthly VOL'!$D$2:$D$65,0),MATCH(AU$1,'Monthly VOL'!$N$1:$CG$1,0))/INDEX('Monthly CUST'!$N$2:$CG$65,MATCH($D17,'Monthly CUST'!$D$2:$D$65,0),MATCH(AU$1,'Monthly CUST'!$N$1:$CG$1,0)),0)</f>
        <v>75.306879194630994</v>
      </c>
      <c r="AV17" s="56">
        <f>IFERROR(INDEX('Monthly VOL'!$N$2:$CG$65,MATCH($D17,'Monthly VOL'!$D$2:$D$65,0),MATCH(AV$1,'Monthly VOL'!$N$1:$CG$1,0))/INDEX('Monthly CUST'!$N$2:$CG$65,MATCH($D17,'Monthly CUST'!$D$2:$D$65,0),MATCH(AV$1,'Monthly CUST'!$N$1:$CG$1,0)),0)</f>
        <v>87.124546472564347</v>
      </c>
      <c r="AW17" s="56">
        <f>IFERROR(INDEX('Monthly VOL'!$N$2:$CG$65,MATCH($D17,'Monthly VOL'!$D$2:$D$65,0),MATCH(AW$1,'Monthly VOL'!$N$1:$CG$1,0))/INDEX('Monthly CUST'!$N$2:$CG$65,MATCH($D17,'Monthly CUST'!$D$2:$D$65,0),MATCH(AW$1,'Monthly CUST'!$N$1:$CG$1,0)),0)</f>
        <v>99.412562076749495</v>
      </c>
      <c r="AX17" s="56">
        <f>IFERROR(INDEX('Monthly VOL'!$N$2:$CG$65,MATCH($D17,'Monthly VOL'!$D$2:$D$65,0),MATCH(AX$1,'Monthly VOL'!$N$1:$CG$1,0))/INDEX('Monthly CUST'!$N$2:$CG$65,MATCH($D17,'Monthly CUST'!$D$2:$D$65,0),MATCH(AX$1,'Monthly CUST'!$N$1:$CG$1,0)),0)</f>
        <v>133.92147356580415</v>
      </c>
      <c r="AY17" s="56">
        <f>IFERROR(INDEX('Monthly VOL'!$N$2:$CG$65,MATCH($D17,'Monthly VOL'!$D$2:$D$65,0),MATCH(AY$1,'Monthly VOL'!$N$1:$CG$1,0))/INDEX('Monthly CUST'!$N$2:$CG$65,MATCH($D17,'Monthly CUST'!$D$2:$D$65,0),MATCH(AY$1,'Monthly CUST'!$N$1:$CG$1,0)),0)</f>
        <v>100.53454853273146</v>
      </c>
      <c r="AZ17" s="56">
        <f>IFERROR(INDEX('Monthly VOL'!$N$2:$CG$65,MATCH($D17,'Monthly VOL'!$D$2:$D$65,0),MATCH(AZ$1,'Monthly VOL'!$N$1:$CG$1,0))/INDEX('Monthly CUST'!$N$2:$CG$65,MATCH($D17,'Monthly CUST'!$D$2:$D$65,0),MATCH(AZ$1,'Monthly CUST'!$N$1:$CG$1,0)),0)</f>
        <v>114.64103370786509</v>
      </c>
      <c r="BA17" s="56">
        <f>IFERROR(INDEX('Monthly VOL'!$N$2:$CG$65,MATCH($D17,'Monthly VOL'!$D$2:$D$65,0),MATCH(BA$1,'Monthly VOL'!$N$1:$CG$1,0))/INDEX('Monthly CUST'!$N$2:$CG$65,MATCH($D17,'Monthly CUST'!$D$2:$D$65,0),MATCH(BA$1,'Monthly CUST'!$N$1:$CG$1,0)),0)</f>
        <v>99.009604072398233</v>
      </c>
      <c r="BB17" s="56">
        <f>IFERROR(INDEX('Monthly VOL'!$N$2:$CG$65,MATCH($D17,'Monthly VOL'!$D$2:$D$65,0),MATCH(BB$1,'Monthly VOL'!$N$1:$CG$1,0))/INDEX('Monthly CUST'!$N$2:$CG$65,MATCH($D17,'Monthly CUST'!$D$2:$D$65,0),MATCH(BB$1,'Monthly CUST'!$N$1:$CG$1,0)),0)</f>
        <v>86.3408304891922</v>
      </c>
      <c r="BC17" s="56">
        <f>IFERROR(INDEX('Monthly VOL'!$N$2:$CG$65,MATCH($D17,'Monthly VOL'!$D$2:$D$65,0),MATCH(BC$1,'Monthly VOL'!$N$1:$CG$1,0))/INDEX('Monthly CUST'!$N$2:$CG$65,MATCH($D17,'Monthly CUST'!$D$2:$D$65,0),MATCH(BC$1,'Monthly CUST'!$N$1:$CG$1,0)),0)</f>
        <v>75.83110730593603</v>
      </c>
      <c r="BD17" s="56">
        <f>IFERROR(INDEX('Monthly VOL'!$N$2:$CG$65,MATCH($D17,'Monthly VOL'!$D$2:$D$65,0),MATCH(BD$1,'Monthly VOL'!$N$1:$CG$1,0))/INDEX('Monthly CUST'!$N$2:$CG$65,MATCH($D17,'Monthly CUST'!$D$2:$D$65,0),MATCH(BD$1,'Monthly CUST'!$N$1:$CG$1,0)),0)</f>
        <v>77.295503963759813</v>
      </c>
      <c r="BE17" s="56">
        <f>IFERROR(INDEX('Monthly VOL'!$N$2:$CG$65,MATCH($D17,'Monthly VOL'!$D$2:$D$65,0),MATCH(BE$1,'Monthly VOL'!$N$1:$CG$1,0))/INDEX('Monthly CUST'!$N$2:$CG$65,MATCH($D17,'Monthly CUST'!$D$2:$D$65,0),MATCH(BE$1,'Monthly CUST'!$N$1:$CG$1,0)),0)</f>
        <v>68.458540965207646</v>
      </c>
      <c r="BF17" s="56">
        <f>IFERROR(INDEX('Monthly VOL'!$N$2:$CG$65,MATCH($D17,'Monthly VOL'!$D$2:$D$65,0),MATCH(BF$1,'Monthly VOL'!$N$1:$CG$1,0))/INDEX('Monthly CUST'!$N$2:$CG$65,MATCH($D17,'Monthly CUST'!$D$2:$D$65,0),MATCH(BF$1,'Monthly CUST'!$N$1:$CG$1,0)),0)</f>
        <v>78.136274065685214</v>
      </c>
      <c r="BG17" s="56">
        <f>IFERROR(INDEX('Monthly VOL'!$N$2:$CG$65,MATCH($D17,'Monthly VOL'!$D$2:$D$65,0),MATCH(BG$1,'Monthly VOL'!$N$1:$CG$1,0))/INDEX('Monthly CUST'!$N$2:$CG$65,MATCH($D17,'Monthly CUST'!$D$2:$D$65,0),MATCH(BG$1,'Monthly CUST'!$N$1:$CG$1,0)),0)</f>
        <v>78.543822170900654</v>
      </c>
      <c r="BH17" s="56">
        <f>IFERROR(INDEX('Monthly VOL'!$N$2:$CG$65,MATCH($D17,'Monthly VOL'!$D$2:$D$65,0),MATCH(BH$1,'Monthly VOL'!$N$1:$CG$1,0))/INDEX('Monthly CUST'!$N$2:$CG$65,MATCH($D17,'Monthly CUST'!$D$2:$D$65,0),MATCH(BH$1,'Monthly CUST'!$N$1:$CG$1,0)),0)</f>
        <v>94.743012895662417</v>
      </c>
      <c r="BI17" s="56">
        <f>IFERROR(INDEX('Monthly VOL'!$N$2:$CG$65,MATCH($D17,'Monthly VOL'!$D$2:$D$65,0),MATCH(BI$1,'Monthly VOL'!$N$1:$CG$1,0))/INDEX('Monthly CUST'!$N$2:$CG$65,MATCH($D17,'Monthly CUST'!$D$2:$D$65,0),MATCH(BI$1,'Monthly CUST'!$N$1:$CG$1,0)),0)</f>
        <v>112.62567285382822</v>
      </c>
      <c r="BJ17" s="56">
        <f>IFERROR(INDEX('Monthly VOL'!$N$2:$CG$65,MATCH($D17,'Monthly VOL'!$D$2:$D$65,0),MATCH(BJ$1,'Monthly VOL'!$N$1:$CG$1,0))/INDEX('Monthly CUST'!$N$2:$CG$65,MATCH($D17,'Monthly CUST'!$D$2:$D$65,0),MATCH(BJ$1,'Monthly CUST'!$N$1:$CG$1,0)),0)</f>
        <v>139.26369737435002</v>
      </c>
      <c r="BK17" s="56">
        <f>IFERROR(INDEX('Monthly VOL'!$N$2:$CG$65,MATCH($D17,'Monthly VOL'!$D$2:$D$65,0),MATCH(BK$1,'Monthly VOL'!$N$1:$CG$1,0))/INDEX('Monthly CUST'!$N$2:$CG$65,MATCH($D17,'Monthly CUST'!$D$2:$D$65,0),MATCH(BK$1,'Monthly CUST'!$N$1:$CG$1,0)),0)</f>
        <v>104.54494391184942</v>
      </c>
      <c r="BL17" s="56">
        <f>IFERROR(INDEX('Monthly VOL'!$N$2:$CG$65,MATCH($D17,'Monthly VOL'!$D$2:$D$65,0),MATCH(BL$1,'Monthly VOL'!$N$1:$CG$1,0))/INDEX('Monthly CUST'!$N$2:$CG$65,MATCH($D17,'Monthly CUST'!$D$2:$D$65,0),MATCH(BL$1,'Monthly CUST'!$N$1:$CG$1,0)),0)</f>
        <v>119.21414691670039</v>
      </c>
      <c r="BM17" s="56">
        <f>IFERROR(INDEX('Monthly VOL'!$N$2:$CG$65,MATCH($D17,'Monthly VOL'!$D$2:$D$65,0),MATCH(BM$1,'Monthly VOL'!$N$1:$CG$1,0))/INDEX('Monthly CUST'!$N$2:$CG$65,MATCH($D17,'Monthly CUST'!$D$2:$D$65,0),MATCH(BM$1,'Monthly CUST'!$N$1:$CG$1,0)),0)</f>
        <v>102.9591683212591</v>
      </c>
      <c r="BN17" s="56">
        <f>IFERROR(INDEX('Monthly VOL'!$N$2:$CG$65,MATCH($D17,'Monthly VOL'!$D$2:$D$65,0),MATCH(BN$1,'Monthly VOL'!$N$1:$CG$1,0))/INDEX('Monthly CUST'!$N$2:$CG$65,MATCH($D17,'Monthly CUST'!$D$2:$D$65,0),MATCH(BN$1,'Monthly CUST'!$N$1:$CG$1,0)),0)</f>
        <v>89.785028256791747</v>
      </c>
      <c r="BO17" s="56">
        <f>IFERROR(INDEX('Monthly VOL'!$N$2:$CG$65,MATCH($D17,'Monthly VOL'!$D$2:$D$65,0),MATCH(BO$1,'Monthly VOL'!$N$1:$CG$1,0))/INDEX('Monthly CUST'!$N$2:$CG$65,MATCH($D17,'Monthly CUST'!$D$2:$D$65,0),MATCH(BO$1,'Monthly CUST'!$N$1:$CG$1,0)),0)</f>
        <v>78.856064664093481</v>
      </c>
      <c r="BP17" s="56">
        <f>IFERROR(INDEX('Monthly VOL'!$N$2:$CG$65,MATCH($D17,'Monthly VOL'!$D$2:$D$65,0),MATCH(BP$1,'Monthly VOL'!$N$1:$CG$1,0))/INDEX('Monthly CUST'!$N$2:$CG$65,MATCH($D17,'Monthly CUST'!$D$2:$D$65,0),MATCH(BP$1,'Monthly CUST'!$N$1:$CG$1,0)),0)</f>
        <v>80.378877156826192</v>
      </c>
      <c r="BQ17" s="56">
        <f>IFERROR(INDEX('Monthly VOL'!$N$2:$CG$65,MATCH($D17,'Monthly VOL'!$D$2:$D$65,0),MATCH(BQ$1,'Monthly VOL'!$N$1:$CG$1,0))/INDEX('Monthly CUST'!$N$2:$CG$65,MATCH($D17,'Monthly CUST'!$D$2:$D$65,0),MATCH(BQ$1,'Monthly CUST'!$N$1:$CG$1,0)),0)</f>
        <v>71.189401354545751</v>
      </c>
      <c r="BR17" s="56">
        <f>IFERROR(INDEX('Monthly VOL'!$N$2:$CG$65,MATCH($D17,'Monthly VOL'!$D$2:$D$65,0),MATCH(BR$1,'Monthly VOL'!$N$1:$CG$1,0))/INDEX('Monthly CUST'!$N$2:$CG$65,MATCH($D17,'Monthly CUST'!$D$2:$D$65,0),MATCH(BR$1,'Monthly CUST'!$N$1:$CG$1,0)),0)</f>
        <v>81.253186182244804</v>
      </c>
      <c r="BS17" s="56">
        <f>IFERROR(INDEX('Monthly VOL'!$N$2:$CG$65,MATCH($D17,'Monthly VOL'!$D$2:$D$65,0),MATCH(BS$1,'Monthly VOL'!$N$1:$CG$1,0))/INDEX('Monthly CUST'!$N$2:$CG$65,MATCH($D17,'Monthly CUST'!$D$2:$D$65,0),MATCH(BS$1,'Monthly CUST'!$N$1:$CG$1,0)),0)</f>
        <v>81.676991674217106</v>
      </c>
      <c r="BT17" s="56">
        <f>IFERROR(INDEX('Monthly VOL'!$N$2:$CG$65,MATCH($D17,'Monthly VOL'!$D$2:$D$65,0),MATCH(BT$1,'Monthly VOL'!$N$1:$CG$1,0))/INDEX('Monthly CUST'!$N$2:$CG$65,MATCH($D17,'Monthly CUST'!$D$2:$D$65,0),MATCH(BT$1,'Monthly CUST'!$N$1:$CG$1,0)),0)</f>
        <v>98.522379756764622</v>
      </c>
      <c r="BU17" s="56">
        <f>IFERROR(INDEX('Monthly VOL'!$N$2:$CG$65,MATCH($D17,'Monthly VOL'!$D$2:$D$65,0),MATCH(BU$1,'Monthly VOL'!$N$1:$CG$1,0))/INDEX('Monthly CUST'!$N$2:$CG$65,MATCH($D17,'Monthly CUST'!$D$2:$D$65,0),MATCH(BU$1,'Monthly CUST'!$N$1:$CG$1,0)),0)</f>
        <v>117.11839187007753</v>
      </c>
      <c r="BV17" s="56">
        <f>IFERROR(INDEX('Monthly VOL'!$N$2:$CG$65,MATCH($D17,'Monthly VOL'!$D$2:$D$65,0),MATCH(BV$1,'Monthly VOL'!$N$1:$CG$1,0))/INDEX('Monthly CUST'!$N$2:$CG$65,MATCH($D17,'Monthly CUST'!$D$2:$D$65,0),MATCH(BV$1,'Monthly CUST'!$N$1:$CG$1,0)),0)</f>
        <v>144.81902632922308</v>
      </c>
      <c r="BW17" s="56">
        <f>IFERROR(INDEX('Monthly VOL'!$N$2:$CG$65,MATCH($D17,'Monthly VOL'!$D$2:$D$65,0),MATCH(BW$1,'Monthly VOL'!$N$1:$CG$1,0))/INDEX('Monthly CUST'!$N$2:$CG$65,MATCH($D17,'Monthly CUST'!$D$2:$D$65,0),MATCH(BW$1,'Monthly CUST'!$N$1:$CG$1,0)),0)</f>
        <v>108.71531684427198</v>
      </c>
      <c r="BX17" s="56">
        <f>IFERROR(INDEX('Monthly VOL'!$N$2:$CG$65,MATCH($D17,'Monthly VOL'!$D$2:$D$65,0),MATCH(BX$1,'Monthly VOL'!$N$1:$CG$1,0))/INDEX('Monthly CUST'!$N$2:$CG$65,MATCH($D17,'Monthly CUST'!$D$2:$D$65,0),MATCH(BX$1,'Monthly CUST'!$N$1:$CG$1,0)),0)</f>
        <v>123.96968489740328</v>
      </c>
      <c r="BY17" s="56">
        <f>IFERROR(INDEX('Monthly VOL'!$N$2:$CG$65,MATCH($D17,'Monthly VOL'!$D$2:$D$65,0),MATCH(BY$1,'Monthly VOL'!$N$1:$CG$1,0))/INDEX('Monthly CUST'!$N$2:$CG$65,MATCH($D17,'Monthly CUST'!$D$2:$D$65,0),MATCH(BY$1,'Monthly CUST'!$N$1:$CG$1,0)),0)</f>
        <v>107.06628352592899</v>
      </c>
      <c r="BZ17" s="56">
        <f>IFERROR(INDEX('Monthly VOL'!$N$2:$CG$65,MATCH($D17,'Monthly VOL'!$D$2:$D$65,0),MATCH(BZ$1,'Monthly VOL'!$N$1:$CG$1,0))/INDEX('Monthly CUST'!$N$2:$CG$65,MATCH($D17,'Monthly CUST'!$D$2:$D$65,0),MATCH(BZ$1,'Monthly CUST'!$N$1:$CG$1,0)),0)</f>
        <v>93.366617548136517</v>
      </c>
      <c r="CA17" s="56">
        <f>IFERROR(INDEX('Monthly VOL'!$N$2:$CG$65,MATCH($D17,'Monthly VOL'!$D$2:$D$65,0),MATCH(CA$1,'Monthly VOL'!$N$1:$CG$1,0))/INDEX('Monthly CUST'!$N$2:$CG$65,MATCH($D17,'Monthly CUST'!$D$2:$D$65,0),MATCH(CA$1,'Monthly CUST'!$N$1:$CG$1,0)),0)</f>
        <v>82.001689744822272</v>
      </c>
      <c r="CB17" s="56">
        <f>IFERROR(INDEX('Monthly VOL'!$N$2:$CG$65,MATCH($D17,'Monthly VOL'!$D$2:$D$65,0),MATCH(CB$1,'Monthly VOL'!$N$1:$CG$1,0))/INDEX('Monthly CUST'!$N$2:$CG$65,MATCH($D17,'Monthly CUST'!$D$2:$D$65,0),MATCH(CB$1,'Monthly CUST'!$N$1:$CG$1,0)),0)</f>
        <v>83.585248322092582</v>
      </c>
      <c r="CC17" s="56">
        <f>IFERROR(INDEX('Monthly VOL'!$N$2:$CG$65,MATCH($D17,'Monthly VOL'!$D$2:$D$65,0),MATCH(CC$1,'Monthly VOL'!$N$1:$CG$1,0))/INDEX('Monthly CUST'!$N$2:$CG$65,MATCH($D17,'Monthly CUST'!$D$2:$D$65,0),MATCH(CC$1,'Monthly CUST'!$N$1:$CG$1,0)),0)</f>
        <v>74.029197727048413</v>
      </c>
      <c r="CD17" s="56">
        <f>IFERROR(INDEX('Monthly VOL'!$N$2:$CG$65,MATCH($D17,'Monthly VOL'!$D$2:$D$65,0),MATCH(CD$1,'Monthly VOL'!$N$1:$CG$1,0))/INDEX('Monthly CUST'!$N$2:$CG$65,MATCH($D17,'Monthly CUST'!$D$2:$D$65,0),MATCH(CD$1,'Monthly CUST'!$N$1:$CG$1,0)),0)</f>
        <v>84.494434162761607</v>
      </c>
      <c r="CE17" s="56">
        <f>IFERROR(INDEX('Monthly VOL'!$N$2:$CG$65,MATCH($D17,'Monthly VOL'!$D$2:$D$65,0),MATCH(CE$1,'Monthly VOL'!$N$1:$CG$1,0))/INDEX('Monthly CUST'!$N$2:$CG$65,MATCH($D17,'Monthly CUST'!$D$2:$D$65,0),MATCH(CE$1,'Monthly CUST'!$N$1:$CG$1,0)),0)</f>
        <v>84.935145560330113</v>
      </c>
      <c r="CF17" s="56">
        <f>IFERROR(INDEX('Monthly VOL'!$N$2:$CG$65,MATCH($D17,'Monthly VOL'!$D$2:$D$65,0),MATCH(CF$1,'Monthly VOL'!$N$1:$CG$1,0))/INDEX('Monthly CUST'!$N$2:$CG$65,MATCH($D17,'Monthly CUST'!$D$2:$D$65,0),MATCH(CF$1,'Monthly CUST'!$N$1:$CG$1,0)),0)</f>
        <v>102.45250827758443</v>
      </c>
      <c r="CG17" s="56">
        <f>IFERROR(INDEX('Monthly VOL'!$N$2:$CG$65,MATCH($D17,'Monthly VOL'!$D$2:$D$65,0),MATCH(CG$1,'Monthly VOL'!$N$1:$CG$1,0))/INDEX('Monthly CUST'!$N$2:$CG$65,MATCH($D17,'Monthly CUST'!$D$2:$D$65,0),MATCH(CG$1,'Monthly CUST'!$N$1:$CG$1,0)),0)</f>
        <v>121.79032867608572</v>
      </c>
      <c r="CH17" s="264"/>
      <c r="CI17" s="264"/>
      <c r="CJ17" s="264"/>
      <c r="CM17" s="569">
        <f t="shared" si="0"/>
        <v>125.99520679735853</v>
      </c>
      <c r="CN17" s="569">
        <f t="shared" si="1"/>
        <v>110.89302637287403</v>
      </c>
      <c r="CO17" s="569">
        <f t="shared" si="2"/>
        <v>105.70762505721707</v>
      </c>
      <c r="CP17" s="569">
        <f t="shared" si="3"/>
        <v>87.346761800099486</v>
      </c>
      <c r="CQ17" s="569">
        <f t="shared" si="4"/>
        <v>77.391449152053085</v>
      </c>
      <c r="CR17" s="569">
        <f t="shared" si="5"/>
        <v>72.422531174404568</v>
      </c>
      <c r="CS17" s="569">
        <f t="shared" si="6"/>
        <v>66.798059803307567</v>
      </c>
      <c r="CT17" s="569">
        <f t="shared" si="7"/>
        <v>68.045396672432091</v>
      </c>
      <c r="CU17" s="569">
        <f t="shared" si="8"/>
        <v>73.062238203618577</v>
      </c>
      <c r="CV17" s="569">
        <f t="shared" si="9"/>
        <v>76.371976752227056</v>
      </c>
      <c r="CW17" s="569">
        <f t="shared" si="10"/>
        <v>94.758026710471384</v>
      </c>
      <c r="CX17" s="569">
        <f t="shared" si="11"/>
        <v>109.17543699773917</v>
      </c>
      <c r="CY17" s="569">
        <f t="shared" si="12"/>
        <v>125.99520679735853</v>
      </c>
      <c r="CZ17" s="569">
        <f t="shared" si="13"/>
        <v>110.89302637287403</v>
      </c>
      <c r="DA17" s="569">
        <f t="shared" si="14"/>
        <v>105.70762505721707</v>
      </c>
      <c r="DB17" s="569">
        <f t="shared" si="15"/>
        <v>87.346761800099486</v>
      </c>
      <c r="DC17" s="569">
        <f t="shared" si="16"/>
        <v>77.391449152053085</v>
      </c>
      <c r="DD17" s="569">
        <f t="shared" si="17"/>
        <v>72.422531174404568</v>
      </c>
      <c r="DE17" s="569">
        <f t="shared" si="18"/>
        <v>66.798059803307567</v>
      </c>
      <c r="DF17" s="569">
        <f t="shared" si="19"/>
        <v>68.045396672432091</v>
      </c>
      <c r="DG17" s="569">
        <f t="shared" si="20"/>
        <v>73.062238203618577</v>
      </c>
      <c r="DH17" s="569">
        <f t="shared" si="21"/>
        <v>76.371976752227056</v>
      </c>
      <c r="DI17" s="569">
        <f t="shared" si="22"/>
        <v>94.758026710471384</v>
      </c>
      <c r="DJ17" s="569">
        <f t="shared" si="23"/>
        <v>109.17543699773917</v>
      </c>
    </row>
    <row r="18" spans="1:114" s="261" customFormat="1">
      <c r="A18" s="55" t="s">
        <v>15</v>
      </c>
      <c r="B18" s="55" t="s">
        <v>993</v>
      </c>
      <c r="C18" s="55" t="s">
        <v>1245</v>
      </c>
      <c r="D18" s="55" t="s">
        <v>38</v>
      </c>
      <c r="E18" s="55" t="str">
        <f>VLOOKUP(D18,'Input 14_Ref Table'!C:D,2,FALSE)</f>
        <v>GCPT1</v>
      </c>
      <c r="F18" s="172" t="s">
        <v>1286</v>
      </c>
      <c r="G18" s="55" t="str">
        <f>VLOOKUP(D18,'Input 14_Ref Table'!C:I,7,FALSE)</f>
        <v>FPU - FPU - GSTS - 1</v>
      </c>
      <c r="H18" s="55" t="str">
        <f>VLOOKUP(D18,'Input 14_Ref Table'!C:K,8,FALSE)</f>
        <v>GS1</v>
      </c>
      <c r="I18" s="55" t="e">
        <f>INDEX(#REF!,MATCH(D18,#REF!,0))</f>
        <v>#REF!</v>
      </c>
      <c r="J18" s="261" t="str">
        <f>INDEX('Master '!$AD$2:AD$65,MATCH(D18,'Master '!$D$2:$D$65,0))</f>
        <v>UPC Growth Rate</v>
      </c>
      <c r="K18" s="567">
        <f>INDEX('Master '!$N$2:N$65,MATCH(D18,'Master '!$D$2:$D$65,0))</f>
        <v>-3.3336450138164629E-2</v>
      </c>
      <c r="L18" s="290">
        <f>INDEX('Master '!$S$2:S$65,MATCH(D18,'Master '!$D$2:$D$65,0))</f>
        <v>3.989071854052504E-2</v>
      </c>
      <c r="M18" s="1">
        <f>INDEX('Master '!$W$2:W$65,MATCH(D18,'Master '!$D$2:$D$65,0))</f>
        <v>3482.75</v>
      </c>
      <c r="N18" s="56">
        <f>IFERROR(INDEX('Monthly VOL'!$N$2:$CG$65,MATCH($D18,'Monthly VOL'!$D$2:$D$65,0),MATCH(N$1,'Monthly VOL'!$N$1:$CG$1,0))/INDEX('Monthly CUST'!$N$2:$CG$65,MATCH($D18,'Monthly CUST'!$D$2:$D$65,0),MATCH(N$1,'Monthly CUST'!$N$1:$CG$1,0)),0)</f>
        <v>219.16590643274856</v>
      </c>
      <c r="O18" s="56">
        <f>IFERROR(INDEX('Monthly VOL'!$N$2:$CG$65,MATCH($D18,'Monthly VOL'!$D$2:$D$65,0),MATCH(O$1,'Monthly VOL'!$N$1:$CG$1,0))/INDEX('Monthly CUST'!$N$2:$CG$65,MATCH($D18,'Monthly CUST'!$D$2:$D$65,0),MATCH(O$1,'Monthly CUST'!$N$1:$CG$1,0)),0)</f>
        <v>198.94963585434178</v>
      </c>
      <c r="P18" s="56">
        <f>IFERROR(INDEX('Monthly VOL'!$N$2:$CG$65,MATCH($D18,'Monthly VOL'!$D$2:$D$65,0),MATCH(P$1,'Monthly VOL'!$N$1:$CG$1,0))/INDEX('Monthly CUST'!$N$2:$CG$65,MATCH($D18,'Monthly CUST'!$D$2:$D$65,0),MATCH(P$1,'Monthly CUST'!$N$1:$CG$1,0)),0)</f>
        <v>170.45067226890768</v>
      </c>
      <c r="Q18" s="56">
        <f>IFERROR(INDEX('Monthly VOL'!$N$2:$CG$65,MATCH($D18,'Monthly VOL'!$D$2:$D$65,0),MATCH(Q$1,'Monthly VOL'!$N$1:$CG$1,0))/INDEX('Monthly CUST'!$N$2:$CG$65,MATCH($D18,'Monthly CUST'!$D$2:$D$65,0),MATCH(Q$1,'Monthly CUST'!$N$1:$CG$1,0)),0)</f>
        <v>179.4164927536232</v>
      </c>
      <c r="R18" s="56">
        <f>IFERROR(INDEX('Monthly VOL'!$N$2:$CG$65,MATCH($D18,'Monthly VOL'!$D$2:$D$65,0),MATCH(R$1,'Monthly VOL'!$N$1:$CG$1,0))/INDEX('Monthly CUST'!$N$2:$CG$65,MATCH($D18,'Monthly CUST'!$D$2:$D$65,0),MATCH(R$1,'Monthly CUST'!$N$1:$CG$1,0)),0)</f>
        <v>154.34502873563216</v>
      </c>
      <c r="S18" s="56">
        <f>IFERROR(INDEX('Monthly VOL'!$N$2:$CG$65,MATCH($D18,'Monthly VOL'!$D$2:$D$65,0),MATCH(S$1,'Monthly VOL'!$N$1:$CG$1,0))/INDEX('Monthly CUST'!$N$2:$CG$65,MATCH($D18,'Monthly CUST'!$D$2:$D$65,0),MATCH(S$1,'Monthly CUST'!$N$1:$CG$1,0)),0)</f>
        <v>148.86756164383559</v>
      </c>
      <c r="T18" s="56">
        <f>IFERROR(INDEX('Monthly VOL'!$N$2:$CG$65,MATCH($D18,'Monthly VOL'!$D$2:$D$65,0),MATCH(T$1,'Monthly VOL'!$N$1:$CG$1,0))/INDEX('Monthly CUST'!$N$2:$CG$65,MATCH($D18,'Monthly CUST'!$D$2:$D$65,0),MATCH(T$1,'Monthly CUST'!$N$1:$CG$1,0)),0)</f>
        <v>125.03814713896458</v>
      </c>
      <c r="U18" s="56">
        <f>IFERROR(INDEX('Monthly VOL'!$N$2:$CG$65,MATCH($D18,'Monthly VOL'!$D$2:$D$65,0),MATCH(U$1,'Monthly VOL'!$N$1:$CG$1,0))/INDEX('Monthly CUST'!$N$2:$CG$65,MATCH($D18,'Monthly CUST'!$D$2:$D$65,0),MATCH(U$1,'Monthly CUST'!$N$1:$CG$1,0)),0)</f>
        <v>117.32274725274728</v>
      </c>
      <c r="V18" s="56">
        <f>IFERROR(INDEX('Monthly VOL'!$N$2:$CG$65,MATCH($D18,'Monthly VOL'!$D$2:$D$65,0),MATCH(V$1,'Monthly VOL'!$N$1:$CG$1,0))/INDEX('Monthly CUST'!$N$2:$CG$65,MATCH($D18,'Monthly CUST'!$D$2:$D$65,0),MATCH(V$1,'Monthly CUST'!$N$1:$CG$1,0)),0)</f>
        <v>131.45476839237051</v>
      </c>
      <c r="W18" s="56">
        <f>IFERROR(INDEX('Monthly VOL'!$N$2:$CG$65,MATCH($D18,'Monthly VOL'!$D$2:$D$65,0),MATCH(W$1,'Monthly VOL'!$N$1:$CG$1,0))/INDEX('Monthly CUST'!$N$2:$CG$65,MATCH($D18,'Monthly CUST'!$D$2:$D$65,0),MATCH(W$1,'Monthly CUST'!$N$1:$CG$1,0)),0)</f>
        <v>121.64186629526465</v>
      </c>
      <c r="X18" s="56">
        <f>IFERROR(INDEX('Monthly VOL'!$N$2:$CG$65,MATCH($D18,'Monthly VOL'!$D$2:$D$65,0),MATCH(X$1,'Monthly VOL'!$N$1:$CG$1,0))/INDEX('Monthly CUST'!$N$2:$CG$65,MATCH($D18,'Monthly CUST'!$D$2:$D$65,0),MATCH(X$1,'Monthly CUST'!$N$1:$CG$1,0)),0)</f>
        <v>160.04706371191136</v>
      </c>
      <c r="Y18" s="56">
        <f>IFERROR(INDEX('Monthly VOL'!$N$2:$CG$65,MATCH($D18,'Monthly VOL'!$D$2:$D$65,0),MATCH(Y$1,'Monthly VOL'!$N$1:$CG$1,0))/INDEX('Monthly CUST'!$N$2:$CG$65,MATCH($D18,'Monthly CUST'!$D$2:$D$65,0),MATCH(Y$1,'Monthly CUST'!$N$1:$CG$1,0)),0)</f>
        <v>175.51745257452569</v>
      </c>
      <c r="Z18" s="56">
        <f>IFERROR(INDEX('Monthly VOL'!$N$2:$CG$65,MATCH($D18,'Monthly VOL'!$D$2:$D$65,0),MATCH(Z$1,'Monthly VOL'!$N$1:$CG$1,0))/INDEX('Monthly CUST'!$N$2:$CG$65,MATCH($D18,'Monthly CUST'!$D$2:$D$65,0),MATCH(Z$1,'Monthly CUST'!$N$1:$CG$1,0)),0)</f>
        <v>204.59732044198898</v>
      </c>
      <c r="AA18" s="56">
        <f>IFERROR(INDEX('Monthly VOL'!$N$2:$CG$65,MATCH($D18,'Monthly VOL'!$D$2:$D$65,0),MATCH(AA$1,'Monthly VOL'!$N$1:$CG$1,0))/INDEX('Monthly CUST'!$N$2:$CG$65,MATCH($D18,'Monthly CUST'!$D$2:$D$65,0),MATCH(AA$1,'Monthly CUST'!$N$1:$CG$1,0)),0)</f>
        <v>204.89799450549447</v>
      </c>
      <c r="AB18" s="56">
        <f>IFERROR(INDEX('Monthly VOL'!$N$2:$CG$65,MATCH($D18,'Monthly VOL'!$D$2:$D$65,0),MATCH(AB$1,'Monthly VOL'!$N$1:$CG$1,0))/INDEX('Monthly CUST'!$N$2:$CG$65,MATCH($D18,'Monthly CUST'!$D$2:$D$65,0),MATCH(AB$1,'Monthly CUST'!$N$1:$CG$1,0)),0)</f>
        <v>175.14818941504177</v>
      </c>
      <c r="AC18" s="56">
        <f>IFERROR(INDEX('Monthly VOL'!$N$2:$CG$65,MATCH($D18,'Monthly VOL'!$D$2:$D$65,0),MATCH(AC$1,'Monthly VOL'!$N$1:$CG$1,0))/INDEX('Monthly CUST'!$N$2:$CG$65,MATCH($D18,'Monthly CUST'!$D$2:$D$65,0),MATCH(AC$1,'Monthly CUST'!$N$1:$CG$1,0)),0)</f>
        <v>165.8955913978495</v>
      </c>
      <c r="AD18" s="56">
        <f>IFERROR(INDEX('Monthly VOL'!$N$2:$CG$65,MATCH($D18,'Monthly VOL'!$D$2:$D$65,0),MATCH(AD$1,'Monthly VOL'!$N$1:$CG$1,0))/INDEX('Monthly CUST'!$N$2:$CG$65,MATCH($D18,'Monthly CUST'!$D$2:$D$65,0),MATCH(AD$1,'Monthly CUST'!$N$1:$CG$1,0)),0)</f>
        <v>150.42731638418073</v>
      </c>
      <c r="AE18" s="56">
        <f>IFERROR(INDEX('Monthly VOL'!$N$2:$CG$65,MATCH($D18,'Monthly VOL'!$D$2:$D$65,0),MATCH(AE$1,'Monthly VOL'!$N$1:$CG$1,0))/INDEX('Monthly CUST'!$N$2:$CG$65,MATCH($D18,'Monthly CUST'!$D$2:$D$65,0),MATCH(AE$1,'Monthly CUST'!$N$1:$CG$1,0)),0)</f>
        <v>131.0802785515321</v>
      </c>
      <c r="AF18" s="56">
        <f>IFERROR(INDEX('Monthly VOL'!$N$2:$CG$65,MATCH($D18,'Monthly VOL'!$D$2:$D$65,0),MATCH(AF$1,'Monthly VOL'!$N$1:$CG$1,0))/INDEX('Monthly CUST'!$N$2:$CG$65,MATCH($D18,'Monthly CUST'!$D$2:$D$65,0),MATCH(AF$1,'Monthly CUST'!$N$1:$CG$1,0)),0)</f>
        <v>121.25759668508286</v>
      </c>
      <c r="AG18" s="56">
        <f>IFERROR(INDEX('Monthly VOL'!$N$2:$CG$65,MATCH($D18,'Monthly VOL'!$D$2:$D$65,0),MATCH(AG$1,'Monthly VOL'!$N$1:$CG$1,0))/INDEX('Monthly CUST'!$N$2:$CG$65,MATCH($D18,'Monthly CUST'!$D$2:$D$65,0),MATCH(AG$1,'Monthly CUST'!$N$1:$CG$1,0)),0)</f>
        <v>144.07914835164831</v>
      </c>
      <c r="AH18" s="56">
        <f>IFERROR(INDEX('Monthly VOL'!$N$2:$CG$65,MATCH($D18,'Monthly VOL'!$D$2:$D$65,0),MATCH(AH$1,'Monthly VOL'!$N$1:$CG$1,0))/INDEX('Monthly CUST'!$N$2:$CG$65,MATCH($D18,'Monthly CUST'!$D$2:$D$65,0),MATCH(AH$1,'Monthly CUST'!$N$1:$CG$1,0)),0)</f>
        <v>132.18451523545704</v>
      </c>
      <c r="AI18" s="56">
        <f>IFERROR(INDEX('Monthly VOL'!$N$2:$CG$65,MATCH($D18,'Monthly VOL'!$D$2:$D$65,0),MATCH(AI$1,'Monthly VOL'!$N$1:$CG$1,0))/INDEX('Monthly CUST'!$N$2:$CG$65,MATCH($D18,'Monthly CUST'!$D$2:$D$65,0),MATCH(AI$1,'Monthly CUST'!$N$1:$CG$1,0)),0)</f>
        <v>124.05782722513098</v>
      </c>
      <c r="AJ18" s="56">
        <f>IFERROR(INDEX('Monthly VOL'!$N$2:$CG$65,MATCH($D18,'Monthly VOL'!$D$2:$D$65,0),MATCH(AJ$1,'Monthly VOL'!$N$1:$CG$1,0))/INDEX('Monthly CUST'!$N$2:$CG$65,MATCH($D18,'Monthly CUST'!$D$2:$D$65,0),MATCH(AJ$1,'Monthly CUST'!$N$1:$CG$1,0)),0)</f>
        <v>143.50082872928184</v>
      </c>
      <c r="AK18" s="56">
        <f>IFERROR(INDEX('Monthly VOL'!$N$2:$CG$65,MATCH($D18,'Monthly VOL'!$D$2:$D$65,0),MATCH(AK$1,'Monthly VOL'!$N$1:$CG$1,0))/INDEX('Monthly CUST'!$N$2:$CG$65,MATCH($D18,'Monthly CUST'!$D$2:$D$65,0),MATCH(AK$1,'Monthly CUST'!$N$1:$CG$1,0)),0)</f>
        <v>178.2459279778393</v>
      </c>
      <c r="AL18" s="56">
        <f>IFERROR(INDEX('Monthly VOL'!$N$2:$CG$65,MATCH($D18,'Monthly VOL'!$D$2:$D$65,0),MATCH(AL$1,'Monthly VOL'!$N$1:$CG$1,0))/INDEX('Monthly CUST'!$N$2:$CG$65,MATCH($D18,'Monthly CUST'!$D$2:$D$65,0),MATCH(AL$1,'Monthly CUST'!$N$1:$CG$1,0)),0)</f>
        <v>216.33707446808509</v>
      </c>
      <c r="AM18" s="56">
        <f>IFERROR(INDEX('Monthly VOL'!$N$2:$CG$65,MATCH($D18,'Monthly VOL'!$D$2:$D$65,0),MATCH(AM$1,'Monthly VOL'!$N$1:$CG$1,0))/INDEX('Monthly CUST'!$N$2:$CG$65,MATCH($D18,'Monthly CUST'!$D$2:$D$65,0),MATCH(AM$1,'Monthly CUST'!$N$1:$CG$1,0)),0)</f>
        <v>197.73023999999998</v>
      </c>
      <c r="AN18" s="56">
        <f>IFERROR(INDEX('Monthly VOL'!$N$2:$CG$65,MATCH($D18,'Monthly VOL'!$D$2:$D$65,0),MATCH(AN$1,'Monthly VOL'!$N$1:$CG$1,0))/INDEX('Monthly CUST'!$N$2:$CG$65,MATCH($D18,'Monthly CUST'!$D$2:$D$65,0),MATCH(AN$1,'Monthly CUST'!$N$1:$CG$1,0)),0)</f>
        <v>186.35027027027041</v>
      </c>
      <c r="AO18" s="56">
        <f>IFERROR(INDEX('Monthly VOL'!$N$2:$CG$65,MATCH($D18,'Monthly VOL'!$D$2:$D$65,0),MATCH(AO$1,'Monthly VOL'!$N$1:$CG$1,0))/INDEX('Monthly CUST'!$N$2:$CG$65,MATCH($D18,'Monthly CUST'!$D$2:$D$65,0),MATCH(AO$1,'Monthly CUST'!$N$1:$CG$1,0)),0)</f>
        <v>119.16494565217397</v>
      </c>
      <c r="AP18" s="56">
        <f>IFERROR(INDEX('Monthly VOL'!$N$2:$CG$65,MATCH($D18,'Monthly VOL'!$D$2:$D$65,0),MATCH(AP$1,'Monthly VOL'!$N$1:$CG$1,0))/INDEX('Monthly CUST'!$N$2:$CG$65,MATCH($D18,'Monthly CUST'!$D$2:$D$65,0),MATCH(AP$1,'Monthly CUST'!$N$1:$CG$1,0)),0)</f>
        <v>101.33170270270269</v>
      </c>
      <c r="AQ18" s="56">
        <f>IFERROR(INDEX('Monthly VOL'!$N$2:$CG$65,MATCH($D18,'Monthly VOL'!$D$2:$D$65,0),MATCH(AQ$1,'Monthly VOL'!$N$1:$CG$1,0))/INDEX('Monthly CUST'!$N$2:$CG$65,MATCH($D18,'Monthly CUST'!$D$2:$D$65,0),MATCH(AQ$1,'Monthly CUST'!$N$1:$CG$1,0)),0)</f>
        <v>111.99884408602158</v>
      </c>
      <c r="AR18" s="56">
        <f>IFERROR(INDEX('Monthly VOL'!$N$2:$CG$65,MATCH($D18,'Monthly VOL'!$D$2:$D$65,0),MATCH(AR$1,'Monthly VOL'!$N$1:$CG$1,0))/INDEX('Monthly CUST'!$N$2:$CG$65,MATCH($D18,'Monthly CUST'!$D$2:$D$65,0),MATCH(AR$1,'Monthly CUST'!$N$1:$CG$1,0)),0)</f>
        <v>115.02989189189196</v>
      </c>
      <c r="AS18" s="56">
        <f>IFERROR(INDEX('Monthly VOL'!$N$2:$CG$65,MATCH($D18,'Monthly VOL'!$D$2:$D$65,0),MATCH(AS$1,'Monthly VOL'!$N$1:$CG$1,0))/INDEX('Monthly CUST'!$N$2:$CG$65,MATCH($D18,'Monthly CUST'!$D$2:$D$65,0),MATCH(AS$1,'Monthly CUST'!$N$1:$CG$1,0)),0)</f>
        <v>106.78364361702134</v>
      </c>
      <c r="AT18" s="56">
        <f>IFERROR(INDEX('Monthly VOL'!$N$2:$CG$65,MATCH($D18,'Monthly VOL'!$D$2:$D$65,0),MATCH(AT$1,'Monthly VOL'!$N$1:$CG$1,0))/INDEX('Monthly CUST'!$N$2:$CG$65,MATCH($D18,'Monthly CUST'!$D$2:$D$65,0),MATCH(AT$1,'Monthly CUST'!$N$1:$CG$1,0)),0)</f>
        <v>111.42773333333338</v>
      </c>
      <c r="AU18" s="56">
        <f>IFERROR(INDEX('Monthly VOL'!$N$2:$CG$65,MATCH($D18,'Monthly VOL'!$D$2:$D$65,0),MATCH(AU$1,'Monthly VOL'!$N$1:$CG$1,0))/INDEX('Monthly CUST'!$N$2:$CG$65,MATCH($D18,'Monthly CUST'!$D$2:$D$65,0),MATCH(AU$1,'Monthly CUST'!$N$1:$CG$1,0)),0)</f>
        <v>125.19150134048257</v>
      </c>
      <c r="AV18" s="56">
        <f>IFERROR(INDEX('Monthly VOL'!$N$2:$CG$65,MATCH($D18,'Monthly VOL'!$D$2:$D$65,0),MATCH(AV$1,'Monthly VOL'!$N$1:$CG$1,0))/INDEX('Monthly CUST'!$N$2:$CG$65,MATCH($D18,'Monthly CUST'!$D$2:$D$65,0),MATCH(AV$1,'Monthly CUST'!$N$1:$CG$1,0)),0)</f>
        <v>149.24369272237197</v>
      </c>
      <c r="AW18" s="56">
        <f>IFERROR(INDEX('Monthly VOL'!$N$2:$CG$65,MATCH($D18,'Monthly VOL'!$D$2:$D$65,0),MATCH(AW$1,'Monthly VOL'!$N$1:$CG$1,0))/INDEX('Monthly CUST'!$N$2:$CG$65,MATCH($D18,'Monthly CUST'!$D$2:$D$65,0),MATCH(AW$1,'Monthly CUST'!$N$1:$CG$1,0)),0)</f>
        <v>177.1564227642277</v>
      </c>
      <c r="AX18" s="56">
        <f>IFERROR(INDEX('Monthly VOL'!$N$2:$CG$65,MATCH($D18,'Monthly VOL'!$D$2:$D$65,0),MATCH(AX$1,'Monthly VOL'!$N$1:$CG$1,0))/INDEX('Monthly CUST'!$N$2:$CG$65,MATCH($D18,'Monthly CUST'!$D$2:$D$65,0),MATCH(AX$1,'Monthly CUST'!$N$1:$CG$1,0)),0)</f>
        <v>359.30817331551845</v>
      </c>
      <c r="AY18" s="56">
        <f>IFERROR(INDEX('Monthly VOL'!$N$2:$CG$65,MATCH($D18,'Monthly VOL'!$D$2:$D$65,0),MATCH(AY$1,'Monthly VOL'!$N$1:$CG$1,0))/INDEX('Monthly CUST'!$N$2:$CG$65,MATCH($D18,'Monthly CUST'!$D$2:$D$65,0),MATCH(AY$1,'Monthly CUST'!$N$1:$CG$1,0)),0)</f>
        <v>343.1630311128078</v>
      </c>
      <c r="AZ18" s="56">
        <f>IFERROR(INDEX('Monthly VOL'!$N$2:$CG$65,MATCH($D18,'Monthly VOL'!$D$2:$D$65,0),MATCH(AZ$1,'Monthly VOL'!$N$1:$CG$1,0))/INDEX('Monthly CUST'!$N$2:$CG$65,MATCH($D18,'Monthly CUST'!$D$2:$D$65,0),MATCH(AZ$1,'Monthly CUST'!$N$1:$CG$1,0)),0)</f>
        <v>270.28498568429086</v>
      </c>
      <c r="BA18" s="56">
        <f>IFERROR(INDEX('Monthly VOL'!$N$2:$CG$65,MATCH($D18,'Monthly VOL'!$D$2:$D$65,0),MATCH(BA$1,'Monthly VOL'!$N$1:$CG$1,0))/INDEX('Monthly CUST'!$N$2:$CG$65,MATCH($D18,'Monthly CUST'!$D$2:$D$65,0),MATCH(BA$1,'Monthly CUST'!$N$1:$CG$1,0)),0)</f>
        <v>293.47689253674355</v>
      </c>
      <c r="BB18" s="56">
        <f>IFERROR(INDEX('Monthly VOL'!$N$2:$CG$65,MATCH($D18,'Monthly VOL'!$D$2:$D$65,0),MATCH(BB$1,'Monthly VOL'!$N$1:$CG$1,0))/INDEX('Monthly CUST'!$N$2:$CG$65,MATCH($D18,'Monthly CUST'!$D$2:$D$65,0),MATCH(BB$1,'Monthly CUST'!$N$1:$CG$1,0)),0)</f>
        <v>254.86158427180763</v>
      </c>
      <c r="BC18" s="56">
        <f>IFERROR(INDEX('Monthly VOL'!$N$2:$CG$65,MATCH($D18,'Monthly VOL'!$D$2:$D$65,0),MATCH(BC$1,'Monthly VOL'!$N$1:$CG$1,0))/INDEX('Monthly CUST'!$N$2:$CG$65,MATCH($D18,'Monthly CUST'!$D$2:$D$65,0),MATCH(BC$1,'Monthly CUST'!$N$1:$CG$1,0)),0)</f>
        <v>276.59425081122333</v>
      </c>
      <c r="BD18" s="56">
        <f>IFERROR(INDEX('Monthly VOL'!$N$2:$CG$65,MATCH($D18,'Monthly VOL'!$D$2:$D$65,0),MATCH(BD$1,'Monthly VOL'!$N$1:$CG$1,0))/INDEX('Monthly CUST'!$N$2:$CG$65,MATCH($D18,'Monthly CUST'!$D$2:$D$65,0),MATCH(BD$1,'Monthly CUST'!$N$1:$CG$1,0)),0)</f>
        <v>140.22014888337469</v>
      </c>
      <c r="BE18" s="56">
        <f>IFERROR(INDEX('Monthly VOL'!$N$2:$CG$65,MATCH($D18,'Monthly VOL'!$D$2:$D$65,0),MATCH(BE$1,'Monthly VOL'!$N$1:$CG$1,0))/INDEX('Monthly CUST'!$N$2:$CG$65,MATCH($D18,'Monthly CUST'!$D$2:$D$65,0),MATCH(BE$1,'Monthly CUST'!$N$1:$CG$1,0)),0)</f>
        <v>179.66553922504303</v>
      </c>
      <c r="BF18" s="56">
        <f>IFERROR(INDEX('Monthly VOL'!$N$2:$CG$65,MATCH($D18,'Monthly VOL'!$D$2:$D$65,0),MATCH(BF$1,'Monthly VOL'!$N$1:$CG$1,0))/INDEX('Monthly CUST'!$N$2:$CG$65,MATCH($D18,'Monthly CUST'!$D$2:$D$65,0),MATCH(BF$1,'Monthly CUST'!$N$1:$CG$1,0)),0)</f>
        <v>214.3124871158619</v>
      </c>
      <c r="BG18" s="56">
        <f>IFERROR(INDEX('Monthly VOL'!$N$2:$CG$65,MATCH($D18,'Monthly VOL'!$D$2:$D$65,0),MATCH(BG$1,'Monthly VOL'!$N$1:$CG$1,0))/INDEX('Monthly CUST'!$N$2:$CG$65,MATCH($D18,'Monthly CUST'!$D$2:$D$65,0),MATCH(BG$1,'Monthly CUST'!$N$1:$CG$1,0)),0)</f>
        <v>236.80033594197369</v>
      </c>
      <c r="BH18" s="56">
        <f>IFERROR(INDEX('Monthly VOL'!$N$2:$CG$65,MATCH($D18,'Monthly VOL'!$D$2:$D$65,0),MATCH(BH$1,'Monthly VOL'!$N$1:$CG$1,0))/INDEX('Monthly CUST'!$N$2:$CG$65,MATCH($D18,'Monthly CUST'!$D$2:$D$65,0),MATCH(BH$1,'Monthly CUST'!$N$1:$CG$1,0)),0)</f>
        <v>298.57209391105187</v>
      </c>
      <c r="BI18" s="56">
        <f>IFERROR(INDEX('Monthly VOL'!$N$2:$CG$65,MATCH($D18,'Monthly VOL'!$D$2:$D$65,0),MATCH(BI$1,'Monthly VOL'!$N$1:$CG$1,0))/INDEX('Monthly CUST'!$N$2:$CG$65,MATCH($D18,'Monthly CUST'!$D$2:$D$65,0),MATCH(BI$1,'Monthly CUST'!$N$1:$CG$1,0)),0)</f>
        <v>363.89506394350053</v>
      </c>
      <c r="BJ18" s="56">
        <f>IFERROR(INDEX('Monthly VOL'!$N$2:$CG$65,MATCH($D18,'Monthly VOL'!$D$2:$D$65,0),MATCH(BJ$1,'Monthly VOL'!$N$1:$CG$1,0))/INDEX('Monthly CUST'!$N$2:$CG$65,MATCH($D18,'Monthly CUST'!$D$2:$D$65,0),MATCH(BJ$1,'Monthly CUST'!$N$1:$CG$1,0)),0)</f>
        <v>373.64123452655798</v>
      </c>
      <c r="BK18" s="56">
        <f>IFERROR(INDEX('Monthly VOL'!$N$2:$CG$65,MATCH($D18,'Monthly VOL'!$D$2:$D$65,0),MATCH(BK$1,'Monthly VOL'!$N$1:$CG$1,0))/INDEX('Monthly CUST'!$N$2:$CG$65,MATCH($D18,'Monthly CUST'!$D$2:$D$65,0),MATCH(BK$1,'Monthly CUST'!$N$1:$CG$1,0)),0)</f>
        <v>356.85205100044232</v>
      </c>
      <c r="BL18" s="56">
        <f>IFERROR(INDEX('Monthly VOL'!$N$2:$CG$65,MATCH($D18,'Monthly VOL'!$D$2:$D$65,0),MATCH(BL$1,'Monthly VOL'!$N$1:$CG$1,0))/INDEX('Monthly CUST'!$N$2:$CG$65,MATCH($D18,'Monthly CUST'!$D$2:$D$65,0),MATCH(BL$1,'Monthly CUST'!$N$1:$CG$1,0)),0)</f>
        <v>281.06684797395275</v>
      </c>
      <c r="BM18" s="56">
        <f>IFERROR(INDEX('Monthly VOL'!$N$2:$CG$65,MATCH($D18,'Monthly VOL'!$D$2:$D$65,0),MATCH(BM$1,'Monthly VOL'!$N$1:$CG$1,0))/INDEX('Monthly CUST'!$N$2:$CG$65,MATCH($D18,'Monthly CUST'!$D$2:$D$65,0),MATCH(BM$1,'Monthly CUST'!$N$1:$CG$1,0)),0)</f>
        <v>305.1838966550747</v>
      </c>
      <c r="BN18" s="56">
        <f>IFERROR(INDEX('Monthly VOL'!$N$2:$CG$65,MATCH($D18,'Monthly VOL'!$D$2:$D$65,0),MATCH(BN$1,'Monthly VOL'!$N$1:$CG$1,0))/INDEX('Monthly CUST'!$N$2:$CG$65,MATCH($D18,'Monthly CUST'!$D$2:$D$65,0),MATCH(BN$1,'Monthly CUST'!$N$1:$CG$1,0)),0)</f>
        <v>265.02819599678662</v>
      </c>
      <c r="BO18" s="56">
        <f>IFERROR(INDEX('Monthly VOL'!$N$2:$CG$65,MATCH($D18,'Monthly VOL'!$D$2:$D$65,0),MATCH(BO$1,'Monthly VOL'!$N$1:$CG$1,0))/INDEX('Monthly CUST'!$N$2:$CG$65,MATCH($D18,'Monthly CUST'!$D$2:$D$65,0),MATCH(BO$1,'Monthly CUST'!$N$1:$CG$1,0)),0)</f>
        <v>287.62779422026125</v>
      </c>
      <c r="BP18" s="56">
        <f>IFERROR(INDEX('Monthly VOL'!$N$2:$CG$65,MATCH($D18,'Monthly VOL'!$D$2:$D$65,0),MATCH(BP$1,'Monthly VOL'!$N$1:$CG$1,0))/INDEX('Monthly CUST'!$N$2:$CG$65,MATCH($D18,'Monthly CUST'!$D$2:$D$65,0),MATCH(BP$1,'Monthly CUST'!$N$1:$CG$1,0)),0)</f>
        <v>145.81363137619192</v>
      </c>
      <c r="BQ18" s="56">
        <f>IFERROR(INDEX('Monthly VOL'!$N$2:$CG$65,MATCH($D18,'Monthly VOL'!$D$2:$D$65,0),MATCH(BQ$1,'Monthly VOL'!$N$1:$CG$1,0))/INDEX('Monthly CUST'!$N$2:$CG$65,MATCH($D18,'Monthly CUST'!$D$2:$D$65,0),MATCH(BQ$1,'Monthly CUST'!$N$1:$CG$1,0)),0)</f>
        <v>186.8325266817009</v>
      </c>
      <c r="BR18" s="56">
        <f>IFERROR(INDEX('Monthly VOL'!$N$2:$CG$65,MATCH($D18,'Monthly VOL'!$D$2:$D$65,0),MATCH(BR$1,'Monthly VOL'!$N$1:$CG$1,0))/INDEX('Monthly CUST'!$N$2:$CG$65,MATCH($D18,'Monthly CUST'!$D$2:$D$65,0),MATCH(BR$1,'Monthly CUST'!$N$1:$CG$1,0)),0)</f>
        <v>222.86156621912065</v>
      </c>
      <c r="BS18" s="56">
        <f>IFERROR(INDEX('Monthly VOL'!$N$2:$CG$65,MATCH($D18,'Monthly VOL'!$D$2:$D$65,0),MATCH(BS$1,'Monthly VOL'!$N$1:$CG$1,0))/INDEX('Monthly CUST'!$N$2:$CG$65,MATCH($D18,'Monthly CUST'!$D$2:$D$65,0),MATCH(BS$1,'Monthly CUST'!$N$1:$CG$1,0)),0)</f>
        <v>246.24647149333674</v>
      </c>
      <c r="BT18" s="56">
        <f>IFERROR(INDEX('Monthly VOL'!$N$2:$CG$65,MATCH($D18,'Monthly VOL'!$D$2:$D$65,0),MATCH(BT$1,'Monthly VOL'!$N$1:$CG$1,0))/INDEX('Monthly CUST'!$N$2:$CG$65,MATCH($D18,'Monthly CUST'!$D$2:$D$65,0),MATCH(BT$1,'Monthly CUST'!$N$1:$CG$1,0)),0)</f>
        <v>310.48234927331288</v>
      </c>
      <c r="BU18" s="56">
        <f>IFERROR(INDEX('Monthly VOL'!$N$2:$CG$65,MATCH($D18,'Monthly VOL'!$D$2:$D$65,0),MATCH(BU$1,'Monthly VOL'!$N$1:$CG$1,0))/INDEX('Monthly CUST'!$N$2:$CG$65,MATCH($D18,'Monthly CUST'!$D$2:$D$65,0),MATCH(BU$1,'Monthly CUST'!$N$1:$CG$1,0)),0)</f>
        <v>378.41109951755709</v>
      </c>
      <c r="BV18" s="56">
        <f>IFERROR(INDEX('Monthly VOL'!$N$2:$CG$65,MATCH($D18,'Monthly VOL'!$D$2:$D$65,0),MATCH(BV$1,'Monthly VOL'!$N$1:$CG$1,0))/INDEX('Monthly CUST'!$N$2:$CG$65,MATCH($D18,'Monthly CUST'!$D$2:$D$65,0),MATCH(BV$1,'Monthly CUST'!$N$1:$CG$1,0)),0)</f>
        <v>388.54605184819121</v>
      </c>
      <c r="BW18" s="56">
        <f>IFERROR(INDEX('Monthly VOL'!$N$2:$CG$65,MATCH($D18,'Monthly VOL'!$D$2:$D$65,0),MATCH(BW$1,'Monthly VOL'!$N$1:$CG$1,0))/INDEX('Monthly CUST'!$N$2:$CG$65,MATCH($D18,'Monthly CUST'!$D$2:$D$65,0),MATCH(BW$1,'Monthly CUST'!$N$1:$CG$1,0)),0)</f>
        <v>371.08713572751003</v>
      </c>
      <c r="BX18" s="56">
        <f>IFERROR(INDEX('Monthly VOL'!$N$2:$CG$65,MATCH($D18,'Monthly VOL'!$D$2:$D$65,0),MATCH(BX$1,'Monthly VOL'!$N$1:$CG$1,0))/INDEX('Monthly CUST'!$N$2:$CG$65,MATCH($D18,'Monthly CUST'!$D$2:$D$65,0),MATCH(BX$1,'Monthly CUST'!$N$1:$CG$1,0)),0)</f>
        <v>292.27880649755423</v>
      </c>
      <c r="BY18" s="56">
        <f>IFERROR(INDEX('Monthly VOL'!$N$2:$CG$65,MATCH($D18,'Monthly VOL'!$D$2:$D$65,0),MATCH(BY$1,'Monthly VOL'!$N$1:$CG$1,0))/INDEX('Monthly CUST'!$N$2:$CG$65,MATCH($D18,'Monthly CUST'!$D$2:$D$65,0),MATCH(BY$1,'Monthly CUST'!$N$1:$CG$1,0)),0)</f>
        <v>317.357901579643</v>
      </c>
      <c r="BZ18" s="56">
        <f>IFERROR(INDEX('Monthly VOL'!$N$2:$CG$65,MATCH($D18,'Monthly VOL'!$D$2:$D$65,0),MATCH(BZ$1,'Monthly VOL'!$N$1:$CG$1,0))/INDEX('Monthly CUST'!$N$2:$CG$65,MATCH($D18,'Monthly CUST'!$D$2:$D$65,0),MATCH(BZ$1,'Monthly CUST'!$N$1:$CG$1,0)),0)</f>
        <v>275.60036116859754</v>
      </c>
      <c r="CA18" s="56">
        <f>IFERROR(INDEX('Monthly VOL'!$N$2:$CG$65,MATCH($D18,'Monthly VOL'!$D$2:$D$65,0),MATCH(CA$1,'Monthly VOL'!$N$1:$CG$1,0))/INDEX('Monthly CUST'!$N$2:$CG$65,MATCH($D18,'Monthly CUST'!$D$2:$D$65,0),MATCH(CA$1,'Monthly CUST'!$N$1:$CG$1,0)),0)</f>
        <v>299.10147360393375</v>
      </c>
      <c r="CB18" s="56">
        <f>IFERROR(INDEX('Monthly VOL'!$N$2:$CG$65,MATCH($D18,'Monthly VOL'!$D$2:$D$65,0),MATCH(CB$1,'Monthly VOL'!$N$1:$CG$1,0))/INDEX('Monthly CUST'!$N$2:$CG$65,MATCH($D18,'Monthly CUST'!$D$2:$D$65,0),MATCH(CB$1,'Monthly CUST'!$N$1:$CG$1,0)),0)</f>
        <v>151.63024190479146</v>
      </c>
      <c r="CC18" s="56">
        <f>IFERROR(INDEX('Monthly VOL'!$N$2:$CG$65,MATCH($D18,'Monthly VOL'!$D$2:$D$65,0),MATCH(CC$1,'Monthly VOL'!$N$1:$CG$1,0))/INDEX('Monthly CUST'!$N$2:$CG$65,MATCH($D18,'Monthly CUST'!$D$2:$D$65,0),MATCH(CC$1,'Monthly CUST'!$N$1:$CG$1,0)),0)</f>
        <v>194.28541041777578</v>
      </c>
      <c r="CD18" s="56">
        <f>IFERROR(INDEX('Monthly VOL'!$N$2:$CG$65,MATCH($D18,'Monthly VOL'!$D$2:$D$65,0),MATCH(CD$1,'Monthly VOL'!$N$1:$CG$1,0))/INDEX('Monthly CUST'!$N$2:$CG$65,MATCH($D18,'Monthly CUST'!$D$2:$D$65,0),MATCH(CD$1,'Monthly CUST'!$N$1:$CG$1,0)),0)</f>
        <v>231.75167423066819</v>
      </c>
      <c r="CE18" s="56">
        <f>IFERROR(INDEX('Monthly VOL'!$N$2:$CG$65,MATCH($D18,'Monthly VOL'!$D$2:$D$65,0),MATCH(CE$1,'Monthly VOL'!$N$1:$CG$1,0))/INDEX('Monthly CUST'!$N$2:$CG$65,MATCH($D18,'Monthly CUST'!$D$2:$D$65,0),MATCH(CE$1,'Monthly CUST'!$N$1:$CG$1,0)),0)</f>
        <v>256.06942017927486</v>
      </c>
      <c r="CF18" s="56">
        <f>IFERROR(INDEX('Monthly VOL'!$N$2:$CG$65,MATCH($D18,'Monthly VOL'!$D$2:$D$65,0),MATCH(CF$1,'Monthly VOL'!$N$1:$CG$1,0))/INDEX('Monthly CUST'!$N$2:$CG$65,MATCH($D18,'Monthly CUST'!$D$2:$D$65,0),MATCH(CF$1,'Monthly CUST'!$N$1:$CG$1,0)),0)</f>
        <v>322.86771327997559</v>
      </c>
      <c r="CG18" s="56">
        <f>IFERROR(INDEX('Monthly VOL'!$N$2:$CG$65,MATCH($D18,'Monthly VOL'!$D$2:$D$65,0),MATCH(CG$1,'Monthly VOL'!$N$1:$CG$1,0))/INDEX('Monthly CUST'!$N$2:$CG$65,MATCH($D18,'Monthly CUST'!$D$2:$D$65,0),MATCH(CG$1,'Monthly CUST'!$N$1:$CG$1,0)),0)</f>
        <v>393.50619018102259</v>
      </c>
      <c r="CH18" s="264"/>
      <c r="CI18" s="264"/>
      <c r="CJ18" s="264"/>
      <c r="CM18" s="569">
        <f t="shared" si="0"/>
        <v>260.08085607519752</v>
      </c>
      <c r="CN18" s="569">
        <f t="shared" si="1"/>
        <v>248.59708853943411</v>
      </c>
      <c r="CO18" s="569">
        <f t="shared" si="2"/>
        <v>210.59448178986767</v>
      </c>
      <c r="CP18" s="569">
        <f t="shared" si="3"/>
        <v>192.84580986225569</v>
      </c>
      <c r="CQ18" s="569">
        <f t="shared" si="4"/>
        <v>168.87353445289702</v>
      </c>
      <c r="CR18" s="569">
        <f t="shared" si="5"/>
        <v>173.22445781625902</v>
      </c>
      <c r="CS18" s="569">
        <f t="shared" si="6"/>
        <v>125.50254582011651</v>
      </c>
      <c r="CT18" s="569">
        <f t="shared" si="7"/>
        <v>143.50944373123755</v>
      </c>
      <c r="CU18" s="569">
        <f t="shared" si="8"/>
        <v>152.64157856155077</v>
      </c>
      <c r="CV18" s="569">
        <f t="shared" si="9"/>
        <v>162.01655483586242</v>
      </c>
      <c r="CW18" s="569">
        <f t="shared" si="10"/>
        <v>197.10553845423522</v>
      </c>
      <c r="CX18" s="569">
        <f t="shared" si="11"/>
        <v>239.76580489518918</v>
      </c>
      <c r="CY18" s="569">
        <f t="shared" si="12"/>
        <v>260.08085607519752</v>
      </c>
      <c r="CZ18" s="569">
        <f t="shared" si="13"/>
        <v>248.59708853943411</v>
      </c>
      <c r="DA18" s="569">
        <f t="shared" si="14"/>
        <v>210.59448178986767</v>
      </c>
      <c r="DB18" s="569">
        <f t="shared" si="15"/>
        <v>192.84580986225569</v>
      </c>
      <c r="DC18" s="569">
        <f t="shared" si="16"/>
        <v>168.87353445289702</v>
      </c>
      <c r="DD18" s="569">
        <f t="shared" si="17"/>
        <v>173.22445781625902</v>
      </c>
      <c r="DE18" s="569">
        <f t="shared" si="18"/>
        <v>125.50254582011651</v>
      </c>
      <c r="DF18" s="569">
        <f t="shared" si="19"/>
        <v>143.50944373123755</v>
      </c>
      <c r="DG18" s="569">
        <f t="shared" si="20"/>
        <v>152.64157856155077</v>
      </c>
      <c r="DH18" s="569">
        <f t="shared" si="21"/>
        <v>162.01655483586242</v>
      </c>
      <c r="DI18" s="569">
        <f t="shared" si="22"/>
        <v>197.10553845423522</v>
      </c>
      <c r="DJ18" s="569">
        <f t="shared" si="23"/>
        <v>239.76580489518918</v>
      </c>
    </row>
    <row r="19" spans="1:114" s="261" customFormat="1">
      <c r="A19" s="55" t="s">
        <v>15</v>
      </c>
      <c r="B19" s="55" t="s">
        <v>994</v>
      </c>
      <c r="C19" s="55" t="s">
        <v>1245</v>
      </c>
      <c r="D19" s="55" t="s">
        <v>40</v>
      </c>
      <c r="E19" s="55" t="str">
        <f>VLOOKUP(D19,'Input 14_Ref Table'!C:D,2,FALSE)</f>
        <v>GCS41</v>
      </c>
      <c r="F19" s="172" t="s">
        <v>1286</v>
      </c>
      <c r="G19" s="55" t="str">
        <f>VLOOKUP(D19,'Input 14_Ref Table'!C:I,7,FALSE)</f>
        <v>FPU - FPU - GS - 2</v>
      </c>
      <c r="H19" s="55" t="str">
        <f>VLOOKUP(D19,'Input 14_Ref Table'!C:K,8,FALSE)</f>
        <v>GS2</v>
      </c>
      <c r="I19" s="55" t="e">
        <f>INDEX(#REF!,MATCH(D19,#REF!,0))</f>
        <v>#REF!</v>
      </c>
      <c r="J19" s="261" t="str">
        <f>INDEX('Master '!$AD$2:AD$65,MATCH(D19,'Master '!$D$2:$D$65,0))</f>
        <v>UPC Growth Rate</v>
      </c>
      <c r="K19" s="567">
        <f>INDEX('Master '!$N$2:N$65,MATCH(D19,'Master '!$D$2:$D$65,0))</f>
        <v>1.8587655739112818E-2</v>
      </c>
      <c r="L19" s="290">
        <f>INDEX('Master '!$S$2:S$65,MATCH(D19,'Master '!$D$2:$D$65,0))</f>
        <v>-1.8292273161028501E-2</v>
      </c>
      <c r="M19" s="1">
        <f>INDEX('Master '!$W$2:W$65,MATCH(D19,'Master '!$D$2:$D$65,0))</f>
        <v>3652.1</v>
      </c>
      <c r="N19" s="56">
        <f>IFERROR(INDEX('Monthly VOL'!$N$2:$CG$65,MATCH($D19,'Monthly VOL'!$D$2:$D$65,0),MATCH(N$1,'Monthly VOL'!$N$1:$CG$1,0))/INDEX('Monthly CUST'!$N$2:$CG$65,MATCH($D19,'Monthly CUST'!$D$2:$D$65,0),MATCH(N$1,'Monthly CUST'!$N$1:$CG$1,0)),0)</f>
        <v>371.40536132812366</v>
      </c>
      <c r="O19" s="56">
        <f>IFERROR(INDEX('Monthly VOL'!$N$2:$CG$65,MATCH($D19,'Monthly VOL'!$D$2:$D$65,0),MATCH(O$1,'Monthly VOL'!$N$1:$CG$1,0))/INDEX('Monthly CUST'!$N$2:$CG$65,MATCH($D19,'Monthly CUST'!$D$2:$D$65,0),MATCH(O$1,'Monthly CUST'!$N$1:$CG$1,0)),0)</f>
        <v>369.682783757339</v>
      </c>
      <c r="P19" s="56">
        <f>IFERROR(INDEX('Monthly VOL'!$N$2:$CG$65,MATCH($D19,'Monthly VOL'!$D$2:$D$65,0),MATCH(P$1,'Monthly VOL'!$N$1:$CG$1,0))/INDEX('Monthly CUST'!$N$2:$CG$65,MATCH($D19,'Monthly CUST'!$D$2:$D$65,0),MATCH(P$1,'Monthly CUST'!$N$1:$CG$1,0)),0)</f>
        <v>307.53209143968877</v>
      </c>
      <c r="Q19" s="56">
        <f>IFERROR(INDEX('Monthly VOL'!$N$2:$CG$65,MATCH($D19,'Monthly VOL'!$D$2:$D$65,0),MATCH(Q$1,'Monthly VOL'!$N$1:$CG$1,0))/INDEX('Monthly CUST'!$N$2:$CG$65,MATCH($D19,'Monthly CUST'!$D$2:$D$65,0),MATCH(Q$1,'Monthly CUST'!$N$1:$CG$1,0)),0)</f>
        <v>311.11485186983936</v>
      </c>
      <c r="R19" s="56">
        <f>IFERROR(INDEX('Monthly VOL'!$N$2:$CG$65,MATCH($D19,'Monthly VOL'!$D$2:$D$65,0),MATCH(R$1,'Monthly VOL'!$N$1:$CG$1,0))/INDEX('Monthly CUST'!$N$2:$CG$65,MATCH($D19,'Monthly CUST'!$D$2:$D$65,0),MATCH(R$1,'Monthly CUST'!$N$1:$CG$1,0)),0)</f>
        <v>256.10493223620489</v>
      </c>
      <c r="S19" s="56">
        <f>IFERROR(INDEX('Monthly VOL'!$N$2:$CG$65,MATCH($D19,'Monthly VOL'!$D$2:$D$65,0),MATCH(S$1,'Monthly VOL'!$N$1:$CG$1,0))/INDEX('Monthly CUST'!$N$2:$CG$65,MATCH($D19,'Monthly CUST'!$D$2:$D$65,0),MATCH(S$1,'Monthly CUST'!$N$1:$CG$1,0)),0)</f>
        <v>249.74468323586839</v>
      </c>
      <c r="T19" s="56">
        <f>IFERROR(INDEX('Monthly VOL'!$N$2:$CG$65,MATCH($D19,'Monthly VOL'!$D$2:$D$65,0),MATCH(T$1,'Monthly VOL'!$N$1:$CG$1,0))/INDEX('Monthly CUST'!$N$2:$CG$65,MATCH($D19,'Monthly CUST'!$D$2:$D$65,0),MATCH(T$1,'Monthly CUST'!$N$1:$CG$1,0)),0)</f>
        <v>216.20864101315112</v>
      </c>
      <c r="U19" s="56">
        <f>IFERROR(INDEX('Monthly VOL'!$N$2:$CG$65,MATCH($D19,'Monthly VOL'!$D$2:$D$65,0),MATCH(U$1,'Monthly VOL'!$N$1:$CG$1,0))/INDEX('Monthly CUST'!$N$2:$CG$65,MATCH($D19,'Monthly CUST'!$D$2:$D$65,0),MATCH(U$1,'Monthly CUST'!$N$1:$CG$1,0)),0)</f>
        <v>214.81525218234754</v>
      </c>
      <c r="V19" s="56">
        <f>IFERROR(INDEX('Monthly VOL'!$N$2:$CG$65,MATCH($D19,'Monthly VOL'!$D$2:$D$65,0),MATCH(V$1,'Monthly VOL'!$N$1:$CG$1,0))/INDEX('Monthly CUST'!$N$2:$CG$65,MATCH($D19,'Monthly CUST'!$D$2:$D$65,0),MATCH(V$1,'Monthly CUST'!$N$1:$CG$1,0)),0)</f>
        <v>220.93120096852329</v>
      </c>
      <c r="W19" s="56">
        <f>IFERROR(INDEX('Monthly VOL'!$N$2:$CG$65,MATCH($D19,'Monthly VOL'!$D$2:$D$65,0),MATCH(W$1,'Monthly VOL'!$N$1:$CG$1,0))/INDEX('Monthly CUST'!$N$2:$CG$65,MATCH($D19,'Monthly CUST'!$D$2:$D$65,0),MATCH(W$1,'Monthly CUST'!$N$1:$CG$1,0)),0)</f>
        <v>205.04180425111156</v>
      </c>
      <c r="X19" s="56">
        <f>IFERROR(INDEX('Monthly VOL'!$N$2:$CG$65,MATCH($D19,'Monthly VOL'!$D$2:$D$65,0),MATCH(X$1,'Monthly VOL'!$N$1:$CG$1,0))/INDEX('Monthly CUST'!$N$2:$CG$65,MATCH($D19,'Monthly CUST'!$D$2:$D$65,0),MATCH(X$1,'Monthly CUST'!$N$1:$CG$1,0)),0)</f>
        <v>258.90203740157477</v>
      </c>
      <c r="Y19" s="56">
        <f>IFERROR(INDEX('Monthly VOL'!$N$2:$CG$65,MATCH($D19,'Monthly VOL'!$D$2:$D$65,0),MATCH(Y$1,'Monthly VOL'!$N$1:$CG$1,0))/INDEX('Monthly CUST'!$N$2:$CG$65,MATCH($D19,'Monthly CUST'!$D$2:$D$65,0),MATCH(Y$1,'Monthly CUST'!$N$1:$CG$1,0)),0)</f>
        <v>333.32256271519947</v>
      </c>
      <c r="Z19" s="56">
        <f>IFERROR(INDEX('Monthly VOL'!$N$2:$CG$65,MATCH($D19,'Monthly VOL'!$D$2:$D$65,0),MATCH(Z$1,'Monthly VOL'!$N$1:$CG$1,0))/INDEX('Monthly CUST'!$N$2:$CG$65,MATCH($D19,'Monthly CUST'!$D$2:$D$65,0),MATCH(Z$1,'Monthly CUST'!$N$1:$CG$1,0)),0)</f>
        <v>364.16759999999971</v>
      </c>
      <c r="AA19" s="56">
        <f>IFERROR(INDEX('Monthly VOL'!$N$2:$CG$65,MATCH($D19,'Monthly VOL'!$D$2:$D$65,0),MATCH(AA$1,'Monthly VOL'!$N$1:$CG$1,0))/INDEX('Monthly CUST'!$N$2:$CG$65,MATCH($D19,'Monthly CUST'!$D$2:$D$65,0),MATCH(AA$1,'Monthly CUST'!$N$1:$CG$1,0)),0)</f>
        <v>349.29841901066874</v>
      </c>
      <c r="AB19" s="56">
        <f>IFERROR(INDEX('Monthly VOL'!$N$2:$CG$65,MATCH($D19,'Monthly VOL'!$D$2:$D$65,0),MATCH(AB$1,'Monthly VOL'!$N$1:$CG$1,0))/INDEX('Monthly CUST'!$N$2:$CG$65,MATCH($D19,'Monthly CUST'!$D$2:$D$65,0),MATCH(AB$1,'Monthly CUST'!$N$1:$CG$1,0)),0)</f>
        <v>297.86580456976179</v>
      </c>
      <c r="AC19" s="56">
        <f>IFERROR(INDEX('Monthly VOL'!$N$2:$CG$65,MATCH($D19,'Monthly VOL'!$D$2:$D$65,0),MATCH(AC$1,'Monthly VOL'!$N$1:$CG$1,0))/INDEX('Monthly CUST'!$N$2:$CG$65,MATCH($D19,'Monthly CUST'!$D$2:$D$65,0),MATCH(AC$1,'Monthly CUST'!$N$1:$CG$1,0)),0)</f>
        <v>286.75032739528189</v>
      </c>
      <c r="AD19" s="56">
        <f>IFERROR(INDEX('Monthly VOL'!$N$2:$CG$65,MATCH($D19,'Monthly VOL'!$D$2:$D$65,0),MATCH(AD$1,'Monthly VOL'!$N$1:$CG$1,0))/INDEX('Monthly CUST'!$N$2:$CG$65,MATCH($D19,'Monthly CUST'!$D$2:$D$65,0),MATCH(AD$1,'Monthly CUST'!$N$1:$CG$1,0)),0)</f>
        <v>252.86596080305949</v>
      </c>
      <c r="AE19" s="56">
        <f>IFERROR(INDEX('Monthly VOL'!$N$2:$CG$65,MATCH($D19,'Monthly VOL'!$D$2:$D$65,0),MATCH(AE$1,'Monthly VOL'!$N$1:$CG$1,0))/INDEX('Monthly CUST'!$N$2:$CG$65,MATCH($D19,'Monthly CUST'!$D$2:$D$65,0),MATCH(AE$1,'Monthly CUST'!$N$1:$CG$1,0)),0)</f>
        <v>237.23971360381879</v>
      </c>
      <c r="AF19" s="56">
        <f>IFERROR(INDEX('Monthly VOL'!$N$2:$CG$65,MATCH($D19,'Monthly VOL'!$D$2:$D$65,0),MATCH(AF$1,'Monthly VOL'!$N$1:$CG$1,0))/INDEX('Monthly CUST'!$N$2:$CG$65,MATCH($D19,'Monthly CUST'!$D$2:$D$65,0),MATCH(AF$1,'Monthly CUST'!$N$1:$CG$1,0)),0)</f>
        <v>176.08423777564747</v>
      </c>
      <c r="AG19" s="56">
        <f>IFERROR(INDEX('Monthly VOL'!$N$2:$CG$65,MATCH($D19,'Monthly VOL'!$D$2:$D$65,0),MATCH(AG$1,'Monthly VOL'!$N$1:$CG$1,0))/INDEX('Monthly CUST'!$N$2:$CG$65,MATCH($D19,'Monthly CUST'!$D$2:$D$65,0),MATCH(AG$1,'Monthly CUST'!$N$1:$CG$1,0)),0)</f>
        <v>217.02614394661526</v>
      </c>
      <c r="AH19" s="56">
        <f>IFERROR(INDEX('Monthly VOL'!$N$2:$CG$65,MATCH($D19,'Monthly VOL'!$D$2:$D$65,0),MATCH(AH$1,'Monthly VOL'!$N$1:$CG$1,0))/INDEX('Monthly CUST'!$N$2:$CG$65,MATCH($D19,'Monthly CUST'!$D$2:$D$65,0),MATCH(AH$1,'Monthly CUST'!$N$1:$CG$1,0)),0)</f>
        <v>218.67449571836349</v>
      </c>
      <c r="AI19" s="56">
        <f>IFERROR(INDEX('Monthly VOL'!$N$2:$CG$65,MATCH($D19,'Monthly VOL'!$D$2:$D$65,0),MATCH(AI$1,'Monthly VOL'!$N$1:$CG$1,0))/INDEX('Monthly CUST'!$N$2:$CG$65,MATCH($D19,'Monthly CUST'!$D$2:$D$65,0),MATCH(AI$1,'Monthly CUST'!$N$1:$CG$1,0)),0)</f>
        <v>235.28489021956054</v>
      </c>
      <c r="AJ19" s="56">
        <f>IFERROR(INDEX('Monthly VOL'!$N$2:$CG$65,MATCH($D19,'Monthly VOL'!$D$2:$D$65,0),MATCH(AJ$1,'Monthly VOL'!$N$1:$CG$1,0))/INDEX('Monthly CUST'!$N$2:$CG$65,MATCH($D19,'Monthly CUST'!$D$2:$D$65,0),MATCH(AJ$1,'Monthly CUST'!$N$1:$CG$1,0)),0)</f>
        <v>263.27598113207546</v>
      </c>
      <c r="AK19" s="56">
        <f>IFERROR(INDEX('Monthly VOL'!$N$2:$CG$65,MATCH($D19,'Monthly VOL'!$D$2:$D$65,0),MATCH(AK$1,'Monthly VOL'!$N$1:$CG$1,0))/INDEX('Monthly CUST'!$N$2:$CG$65,MATCH($D19,'Monthly CUST'!$D$2:$D$65,0),MATCH(AK$1,'Monthly CUST'!$N$1:$CG$1,0)),0)</f>
        <v>325.26805280528066</v>
      </c>
      <c r="AL19" s="56">
        <f>IFERROR(INDEX('Monthly VOL'!$N$2:$CG$65,MATCH($D19,'Monthly VOL'!$D$2:$D$65,0),MATCH(AL$1,'Monthly VOL'!$N$1:$CG$1,0))/INDEX('Monthly CUST'!$N$2:$CG$65,MATCH($D19,'Monthly CUST'!$D$2:$D$65,0),MATCH(AL$1,'Monthly CUST'!$N$1:$CG$1,0)),0)</f>
        <v>353.48441838649194</v>
      </c>
      <c r="AM19" s="56">
        <f>IFERROR(INDEX('Monthly VOL'!$N$2:$CG$65,MATCH($D19,'Monthly VOL'!$D$2:$D$65,0),MATCH(AM$1,'Monthly VOL'!$N$1:$CG$1,0))/INDEX('Monthly CUST'!$N$2:$CG$65,MATCH($D19,'Monthly CUST'!$D$2:$D$65,0),MATCH(AM$1,'Monthly CUST'!$N$1:$CG$1,0)),0)</f>
        <v>334.62228127939858</v>
      </c>
      <c r="AN19" s="56">
        <f>IFERROR(INDEX('Monthly VOL'!$N$2:$CG$65,MATCH($D19,'Monthly VOL'!$D$2:$D$65,0),MATCH(AN$1,'Monthly VOL'!$N$1:$CG$1,0))/INDEX('Monthly CUST'!$N$2:$CG$65,MATCH($D19,'Monthly CUST'!$D$2:$D$65,0),MATCH(AN$1,'Monthly CUST'!$N$1:$CG$1,0)),0)</f>
        <v>297.22115222482358</v>
      </c>
      <c r="AO19" s="56">
        <f>IFERROR(INDEX('Monthly VOL'!$N$2:$CG$65,MATCH($D19,'Monthly VOL'!$D$2:$D$65,0),MATCH(AO$1,'Monthly VOL'!$N$1:$CG$1,0))/INDEX('Monthly CUST'!$N$2:$CG$65,MATCH($D19,'Monthly CUST'!$D$2:$D$65,0),MATCH(AO$1,'Monthly CUST'!$N$1:$CG$1,0)),0)</f>
        <v>194.57618088097476</v>
      </c>
      <c r="AP19" s="56">
        <f>IFERROR(INDEX('Monthly VOL'!$N$2:$CG$65,MATCH($D19,'Monthly VOL'!$D$2:$D$65,0),MATCH(AP$1,'Monthly VOL'!$N$1:$CG$1,0))/INDEX('Monthly CUST'!$N$2:$CG$65,MATCH($D19,'Monthly CUST'!$D$2:$D$65,0),MATCH(AP$1,'Monthly CUST'!$N$1:$CG$1,0)),0)</f>
        <v>174.50994776828128</v>
      </c>
      <c r="AQ19" s="56">
        <f>IFERROR(INDEX('Monthly VOL'!$N$2:$CG$65,MATCH($D19,'Monthly VOL'!$D$2:$D$65,0),MATCH(AQ$1,'Monthly VOL'!$N$1:$CG$1,0))/INDEX('Monthly CUST'!$N$2:$CG$65,MATCH($D19,'Monthly CUST'!$D$2:$D$65,0),MATCH(AQ$1,'Monthly CUST'!$N$1:$CG$1,0)),0)</f>
        <v>176.29986736144011</v>
      </c>
      <c r="AR19" s="56">
        <f>IFERROR(INDEX('Monthly VOL'!$N$2:$CG$65,MATCH($D19,'Monthly VOL'!$D$2:$D$65,0),MATCH(AR$1,'Monthly VOL'!$N$1:$CG$1,0))/INDEX('Monthly CUST'!$N$2:$CG$65,MATCH($D19,'Monthly CUST'!$D$2:$D$65,0),MATCH(AR$1,'Monthly CUST'!$N$1:$CG$1,0)),0)</f>
        <v>187.46224451703202</v>
      </c>
      <c r="AS19" s="56">
        <f>IFERROR(INDEX('Monthly VOL'!$N$2:$CG$65,MATCH($D19,'Monthly VOL'!$D$2:$D$65,0),MATCH(AS$1,'Monthly VOL'!$N$1:$CG$1,0))/INDEX('Monthly CUST'!$N$2:$CG$65,MATCH($D19,'Monthly CUST'!$D$2:$D$65,0),MATCH(AS$1,'Monthly CUST'!$N$1:$CG$1,0)),0)</f>
        <v>179.47135173058945</v>
      </c>
      <c r="AT19" s="56">
        <f>IFERROR(INDEX('Monthly VOL'!$N$2:$CG$65,MATCH($D19,'Monthly VOL'!$D$2:$D$65,0),MATCH(AT$1,'Monthly VOL'!$N$1:$CG$1,0))/INDEX('Monthly CUST'!$N$2:$CG$65,MATCH($D19,'Monthly CUST'!$D$2:$D$65,0),MATCH(AT$1,'Monthly CUST'!$N$1:$CG$1,0)),0)</f>
        <v>181.85508212106922</v>
      </c>
      <c r="AU19" s="56">
        <f>IFERROR(INDEX('Monthly VOL'!$N$2:$CG$65,MATCH($D19,'Monthly VOL'!$D$2:$D$65,0),MATCH(AU$1,'Monthly VOL'!$N$1:$CG$1,0))/INDEX('Monthly CUST'!$N$2:$CG$65,MATCH($D19,'Monthly CUST'!$D$2:$D$65,0),MATCH(AU$1,'Monthly CUST'!$N$1:$CG$1,0)),0)</f>
        <v>194.05651282051275</v>
      </c>
      <c r="AV19" s="56">
        <f>IFERROR(INDEX('Monthly VOL'!$N$2:$CG$65,MATCH($D19,'Monthly VOL'!$D$2:$D$65,0),MATCH(AV$1,'Monthly VOL'!$N$1:$CG$1,0))/INDEX('Monthly CUST'!$N$2:$CG$65,MATCH($D19,'Monthly CUST'!$D$2:$D$65,0),MATCH(AV$1,'Monthly CUST'!$N$1:$CG$1,0)),0)</f>
        <v>228.01153203342611</v>
      </c>
      <c r="AW19" s="56">
        <f>IFERROR(INDEX('Monthly VOL'!$N$2:$CG$65,MATCH($D19,'Monthly VOL'!$D$2:$D$65,0),MATCH(AW$1,'Monthly VOL'!$N$1:$CG$1,0))/INDEX('Monthly CUST'!$N$2:$CG$65,MATCH($D19,'Monthly CUST'!$D$2:$D$65,0),MATCH(AW$1,'Monthly CUST'!$N$1:$CG$1,0)),0)</f>
        <v>289.56329939842652</v>
      </c>
      <c r="AX19" s="56">
        <f>IFERROR(INDEX('Monthly VOL'!$N$2:$CG$65,MATCH($D19,'Monthly VOL'!$D$2:$D$65,0),MATCH(AX$1,'Monthly VOL'!$N$1:$CG$1,0))/INDEX('Monthly CUST'!$N$2:$CG$65,MATCH($D19,'Monthly CUST'!$D$2:$D$65,0),MATCH(AX$1,'Monthly CUST'!$N$1:$CG$1,0)),0)</f>
        <v>345.30090991810704</v>
      </c>
      <c r="AY19" s="56">
        <f>IFERROR(INDEX('Monthly VOL'!$N$2:$CG$65,MATCH($D19,'Monthly VOL'!$D$2:$D$65,0),MATCH(AY$1,'Monthly VOL'!$N$1:$CG$1,0))/INDEX('Monthly CUST'!$N$2:$CG$65,MATCH($D19,'Monthly CUST'!$D$2:$D$65,0),MATCH(AY$1,'Monthly CUST'!$N$1:$CG$1,0)),0)</f>
        <v>296.21102050113871</v>
      </c>
      <c r="AZ19" s="56">
        <f>IFERROR(INDEX('Monthly VOL'!$N$2:$CG$65,MATCH($D19,'Monthly VOL'!$D$2:$D$65,0),MATCH(AZ$1,'Monthly VOL'!$N$1:$CG$1,0))/INDEX('Monthly CUST'!$N$2:$CG$65,MATCH($D19,'Monthly CUST'!$D$2:$D$65,0),MATCH(AZ$1,'Monthly CUST'!$N$1:$CG$1,0)),0)</f>
        <v>274.53520291837668</v>
      </c>
      <c r="BA19" s="56">
        <f>IFERROR(INDEX('Monthly VOL'!$N$2:$CG$65,MATCH($D19,'Monthly VOL'!$D$2:$D$65,0),MATCH(BA$1,'Monthly VOL'!$N$1:$CG$1,0))/INDEX('Monthly CUST'!$N$2:$CG$65,MATCH($D19,'Monthly CUST'!$D$2:$D$65,0),MATCH(BA$1,'Monthly CUST'!$N$1:$CG$1,0)),0)</f>
        <v>273.41578971324503</v>
      </c>
      <c r="BB19" s="56">
        <f>IFERROR(INDEX('Monthly VOL'!$N$2:$CG$65,MATCH($D19,'Monthly VOL'!$D$2:$D$65,0),MATCH(BB$1,'Monthly VOL'!$N$1:$CG$1,0))/INDEX('Monthly CUST'!$N$2:$CG$65,MATCH($D19,'Monthly CUST'!$D$2:$D$65,0),MATCH(BB$1,'Monthly CUST'!$N$1:$CG$1,0)),0)</f>
        <v>241.91763313609468</v>
      </c>
      <c r="BC19" s="56">
        <f>IFERROR(INDEX('Monthly VOL'!$N$2:$CG$65,MATCH($D19,'Monthly VOL'!$D$2:$D$65,0),MATCH(BC$1,'Monthly VOL'!$N$1:$CG$1,0))/INDEX('Monthly CUST'!$N$2:$CG$65,MATCH($D19,'Monthly CUST'!$D$2:$D$65,0),MATCH(BC$1,'Monthly CUST'!$N$1:$CG$1,0)),0)</f>
        <v>211.64257452574557</v>
      </c>
      <c r="BD19" s="56">
        <f>IFERROR(INDEX('Monthly VOL'!$N$2:$CG$65,MATCH($D19,'Monthly VOL'!$D$2:$D$65,0),MATCH(BD$1,'Monthly VOL'!$N$1:$CG$1,0))/INDEX('Monthly CUST'!$N$2:$CG$65,MATCH($D19,'Monthly CUST'!$D$2:$D$65,0),MATCH(BD$1,'Monthly CUST'!$N$1:$CG$1,0)),0)</f>
        <v>217.87575716234633</v>
      </c>
      <c r="BE19" s="56">
        <f>IFERROR(INDEX('Monthly VOL'!$N$2:$CG$65,MATCH($D19,'Monthly VOL'!$D$2:$D$65,0),MATCH(BE$1,'Monthly VOL'!$N$1:$CG$1,0))/INDEX('Monthly CUST'!$N$2:$CG$65,MATCH($D19,'Monthly CUST'!$D$2:$D$65,0),MATCH(BE$1,'Monthly CUST'!$N$1:$CG$1,0)),0)</f>
        <v>197.79416781292929</v>
      </c>
      <c r="BF19" s="56">
        <f>IFERROR(INDEX('Monthly VOL'!$N$2:$CG$65,MATCH($D19,'Monthly VOL'!$D$2:$D$65,0),MATCH(BF$1,'Monthly VOL'!$N$1:$CG$1,0))/INDEX('Monthly CUST'!$N$2:$CG$65,MATCH($D19,'Monthly CUST'!$D$2:$D$65,0),MATCH(BF$1,'Monthly CUST'!$N$1:$CG$1,0)),0)</f>
        <v>211.69358974358931</v>
      </c>
      <c r="BG19" s="56">
        <f>IFERROR(INDEX('Monthly VOL'!$N$2:$CG$65,MATCH($D19,'Monthly VOL'!$D$2:$D$65,0),MATCH(BG$1,'Monthly VOL'!$N$1:$CG$1,0))/INDEX('Monthly CUST'!$N$2:$CG$65,MATCH($D19,'Monthly CUST'!$D$2:$D$65,0),MATCH(BG$1,'Monthly CUST'!$N$1:$CG$1,0)),0)</f>
        <v>214.94743755781658</v>
      </c>
      <c r="BH19" s="56">
        <f>IFERROR(INDEX('Monthly VOL'!$N$2:$CG$65,MATCH($D19,'Monthly VOL'!$D$2:$D$65,0),MATCH(BH$1,'Monthly VOL'!$N$1:$CG$1,0))/INDEX('Monthly CUST'!$N$2:$CG$65,MATCH($D19,'Monthly CUST'!$D$2:$D$65,0),MATCH(BH$1,'Monthly CUST'!$N$1:$CG$1,0)),0)</f>
        <v>244.18783471837435</v>
      </c>
      <c r="BI19" s="56">
        <f>IFERROR(INDEX('Monthly VOL'!$N$2:$CG$65,MATCH($D19,'Monthly VOL'!$D$2:$D$65,0),MATCH(BI$1,'Monthly VOL'!$N$1:$CG$1,0))/INDEX('Monthly CUST'!$N$2:$CG$65,MATCH($D19,'Monthly CUST'!$D$2:$D$65,0),MATCH(BI$1,'Monthly CUST'!$N$1:$CG$1,0)),0)</f>
        <v>297.55976014760074</v>
      </c>
      <c r="BJ19" s="56">
        <f>IFERROR(INDEX('Monthly VOL'!$N$2:$CG$65,MATCH($D19,'Monthly VOL'!$D$2:$D$65,0),MATCH(BJ$1,'Monthly VOL'!$N$1:$CG$1,0))/INDEX('Monthly CUST'!$N$2:$CG$65,MATCH($D19,'Monthly CUST'!$D$2:$D$65,0),MATCH(BJ$1,'Monthly CUST'!$N$1:$CG$1,0)),0)</f>
        <v>338.9845713511333</v>
      </c>
      <c r="BK19" s="56">
        <f>IFERROR(INDEX('Monthly VOL'!$N$2:$CG$65,MATCH($D19,'Monthly VOL'!$D$2:$D$65,0),MATCH(BK$1,'Monthly VOL'!$N$1:$CG$1,0))/INDEX('Monthly CUST'!$N$2:$CG$65,MATCH($D19,'Monthly CUST'!$D$2:$D$65,0),MATCH(BK$1,'Monthly CUST'!$N$1:$CG$1,0)),0)</f>
        <v>290.79264760082486</v>
      </c>
      <c r="BL19" s="56">
        <f>IFERROR(INDEX('Monthly VOL'!$N$2:$CG$65,MATCH($D19,'Monthly VOL'!$D$2:$D$65,0),MATCH(BL$1,'Monthly VOL'!$N$1:$CG$1,0))/INDEX('Monthly CUST'!$N$2:$CG$65,MATCH($D19,'Monthly CUST'!$D$2:$D$65,0),MATCH(BL$1,'Monthly CUST'!$N$1:$CG$1,0)),0)</f>
        <v>269.51332999427535</v>
      </c>
      <c r="BM19" s="56">
        <f>IFERROR(INDEX('Monthly VOL'!$N$2:$CG$65,MATCH($D19,'Monthly VOL'!$D$2:$D$65,0),MATCH(BM$1,'Monthly VOL'!$N$1:$CG$1,0))/INDEX('Monthly CUST'!$N$2:$CG$65,MATCH($D19,'Monthly CUST'!$D$2:$D$65,0),MATCH(BM$1,'Monthly CUST'!$N$1:$CG$1,0)),0)</f>
        <v>268.41439340127204</v>
      </c>
      <c r="BN19" s="56">
        <f>IFERROR(INDEX('Monthly VOL'!$N$2:$CG$65,MATCH($D19,'Monthly VOL'!$D$2:$D$65,0),MATCH(BN$1,'Monthly VOL'!$N$1:$CG$1,0))/INDEX('Monthly CUST'!$N$2:$CG$65,MATCH($D19,'Monthly CUST'!$D$2:$D$65,0),MATCH(BN$1,'Monthly CUST'!$N$1:$CG$1,0)),0)</f>
        <v>237.4924097082997</v>
      </c>
      <c r="BO19" s="56">
        <f>IFERROR(INDEX('Monthly VOL'!$N$2:$CG$65,MATCH($D19,'Monthly VOL'!$D$2:$D$65,0),MATCH(BO$1,'Monthly VOL'!$N$1:$CG$1,0))/INDEX('Monthly CUST'!$N$2:$CG$65,MATCH($D19,'Monthly CUST'!$D$2:$D$65,0),MATCH(BO$1,'Monthly CUST'!$N$1:$CG$1,0)),0)</f>
        <v>207.7711507400173</v>
      </c>
      <c r="BP19" s="56">
        <f>IFERROR(INDEX('Monthly VOL'!$N$2:$CG$65,MATCH($D19,'Monthly VOL'!$D$2:$D$65,0),MATCH(BP$1,'Monthly VOL'!$N$1:$CG$1,0))/INDEX('Monthly CUST'!$N$2:$CG$65,MATCH($D19,'Monthly CUST'!$D$2:$D$65,0),MATCH(BP$1,'Monthly CUST'!$N$1:$CG$1,0)),0)</f>
        <v>213.89031429716678</v>
      </c>
      <c r="BQ19" s="56">
        <f>IFERROR(INDEX('Monthly VOL'!$N$2:$CG$65,MATCH($D19,'Monthly VOL'!$D$2:$D$65,0),MATCH(BQ$1,'Monthly VOL'!$N$1:$CG$1,0))/INDEX('Monthly CUST'!$N$2:$CG$65,MATCH($D19,'Monthly CUST'!$D$2:$D$65,0),MATCH(BQ$1,'Monthly CUST'!$N$1:$CG$1,0)),0)</f>
        <v>194.17606286563685</v>
      </c>
      <c r="BR19" s="56">
        <f>IFERROR(INDEX('Monthly VOL'!$N$2:$CG$65,MATCH($D19,'Monthly VOL'!$D$2:$D$65,0),MATCH(BR$1,'Monthly VOL'!$N$1:$CG$1,0))/INDEX('Monthly CUST'!$N$2:$CG$65,MATCH($D19,'Monthly CUST'!$D$2:$D$65,0),MATCH(BR$1,'Monthly CUST'!$N$1:$CG$1,0)),0)</f>
        <v>207.82123277356087</v>
      </c>
      <c r="BS19" s="56">
        <f>IFERROR(INDEX('Monthly VOL'!$N$2:$CG$65,MATCH($D19,'Monthly VOL'!$D$2:$D$65,0),MATCH(BS$1,'Monthly VOL'!$N$1:$CG$1,0))/INDEX('Monthly CUST'!$N$2:$CG$65,MATCH($D19,'Monthly CUST'!$D$2:$D$65,0),MATCH(BS$1,'Monthly CUST'!$N$1:$CG$1,0)),0)</f>
        <v>211.01556031474587</v>
      </c>
      <c r="BT19" s="56">
        <f>IFERROR(INDEX('Monthly VOL'!$N$2:$CG$65,MATCH($D19,'Monthly VOL'!$D$2:$D$65,0),MATCH(BT$1,'Monthly VOL'!$N$1:$CG$1,0))/INDEX('Monthly CUST'!$N$2:$CG$65,MATCH($D19,'Monthly CUST'!$D$2:$D$65,0),MATCH(BT$1,'Monthly CUST'!$N$1:$CG$1,0)),0)</f>
        <v>239.72108414310574</v>
      </c>
      <c r="BU19" s="56">
        <f>IFERROR(INDEX('Monthly VOL'!$N$2:$CG$65,MATCH($D19,'Monthly VOL'!$D$2:$D$65,0),MATCH(BU$1,'Monthly VOL'!$N$1:$CG$1,0))/INDEX('Monthly CUST'!$N$2:$CG$65,MATCH($D19,'Monthly CUST'!$D$2:$D$65,0),MATCH(BU$1,'Monthly CUST'!$N$1:$CG$1,0)),0)</f>
        <v>292.11671573325071</v>
      </c>
      <c r="BV19" s="56">
        <f>IFERROR(INDEX('Monthly VOL'!$N$2:$CG$65,MATCH($D19,'Monthly VOL'!$D$2:$D$65,0),MATCH(BV$1,'Monthly VOL'!$N$1:$CG$1,0))/INDEX('Monthly CUST'!$N$2:$CG$65,MATCH($D19,'Monthly CUST'!$D$2:$D$65,0),MATCH(BV$1,'Monthly CUST'!$N$1:$CG$1,0)),0)</f>
        <v>332.78377297460418</v>
      </c>
      <c r="BW19" s="56">
        <f>IFERROR(INDEX('Monthly VOL'!$N$2:$CG$65,MATCH($D19,'Monthly VOL'!$D$2:$D$65,0),MATCH(BW$1,'Monthly VOL'!$N$1:$CG$1,0))/INDEX('Monthly CUST'!$N$2:$CG$65,MATCH($D19,'Monthly CUST'!$D$2:$D$65,0),MATCH(BW$1,'Monthly CUST'!$N$1:$CG$1,0)),0)</f>
        <v>285.47338905769186</v>
      </c>
      <c r="BX19" s="56">
        <f>IFERROR(INDEX('Monthly VOL'!$N$2:$CG$65,MATCH($D19,'Monthly VOL'!$D$2:$D$65,0),MATCH(BX$1,'Monthly VOL'!$N$1:$CG$1,0))/INDEX('Monthly CUST'!$N$2:$CG$65,MATCH($D19,'Monthly CUST'!$D$2:$D$65,0),MATCH(BX$1,'Monthly CUST'!$N$1:$CG$1,0)),0)</f>
        <v>264.58331854148162</v>
      </c>
      <c r="BY19" s="56">
        <f>IFERROR(INDEX('Monthly VOL'!$N$2:$CG$65,MATCH($D19,'Monthly VOL'!$D$2:$D$65,0),MATCH(BY$1,'Monthly VOL'!$N$1:$CG$1,0))/INDEX('Monthly CUST'!$N$2:$CG$65,MATCH($D19,'Monthly CUST'!$D$2:$D$65,0),MATCH(BY$1,'Monthly CUST'!$N$1:$CG$1,0)),0)</f>
        <v>263.50448399682421</v>
      </c>
      <c r="BZ19" s="56">
        <f>IFERROR(INDEX('Monthly VOL'!$N$2:$CG$65,MATCH($D19,'Monthly VOL'!$D$2:$D$65,0),MATCH(BZ$1,'Monthly VOL'!$N$1:$CG$1,0))/INDEX('Monthly CUST'!$N$2:$CG$65,MATCH($D19,'Monthly CUST'!$D$2:$D$65,0),MATCH(BZ$1,'Monthly CUST'!$N$1:$CG$1,0)),0)</f>
        <v>233.14813367624458</v>
      </c>
      <c r="CA19" s="56">
        <f>IFERROR(INDEX('Monthly VOL'!$N$2:$CG$65,MATCH($D19,'Monthly VOL'!$D$2:$D$65,0),MATCH(CA$1,'Monthly VOL'!$N$1:$CG$1,0))/INDEX('Monthly CUST'!$N$2:$CG$65,MATCH($D19,'Monthly CUST'!$D$2:$D$65,0),MATCH(CA$1,'Monthly CUST'!$N$1:$CG$1,0)),0)</f>
        <v>203.97054409569967</v>
      </c>
      <c r="CB19" s="56">
        <f>IFERROR(INDEX('Monthly VOL'!$N$2:$CG$65,MATCH($D19,'Monthly VOL'!$D$2:$D$65,0),MATCH(CB$1,'Monthly VOL'!$N$1:$CG$1,0))/INDEX('Monthly CUST'!$N$2:$CG$65,MATCH($D19,'Monthly CUST'!$D$2:$D$65,0),MATCH(CB$1,'Monthly CUST'!$N$1:$CG$1,0)),0)</f>
        <v>209.97777424154475</v>
      </c>
      <c r="CC19" s="56">
        <f>IFERROR(INDEX('Monthly VOL'!$N$2:$CG$65,MATCH($D19,'Monthly VOL'!$D$2:$D$65,0),MATCH(CC$1,'Monthly VOL'!$N$1:$CG$1,0))/INDEX('Monthly CUST'!$N$2:$CG$65,MATCH($D19,'Monthly CUST'!$D$2:$D$65,0),MATCH(CC$1,'Monthly CUST'!$N$1:$CG$1,0)),0)</f>
        <v>190.62414128236557</v>
      </c>
      <c r="CD19" s="56">
        <f>IFERROR(INDEX('Monthly VOL'!$N$2:$CG$65,MATCH($D19,'Monthly VOL'!$D$2:$D$65,0),MATCH(CD$1,'Monthly VOL'!$N$1:$CG$1,0))/INDEX('Monthly CUST'!$N$2:$CG$65,MATCH($D19,'Monthly CUST'!$D$2:$D$65,0),MATCH(CD$1,'Monthly CUST'!$N$1:$CG$1,0)),0)</f>
        <v>204.01971001500519</v>
      </c>
      <c r="CE19" s="56">
        <f>IFERROR(INDEX('Monthly VOL'!$N$2:$CG$65,MATCH($D19,'Monthly VOL'!$D$2:$D$65,0),MATCH(CE$1,'Monthly VOL'!$N$1:$CG$1,0))/INDEX('Monthly CUST'!$N$2:$CG$65,MATCH($D19,'Monthly CUST'!$D$2:$D$65,0),MATCH(CE$1,'Monthly CUST'!$N$1:$CG$1,0)),0)</f>
        <v>207.15560604424104</v>
      </c>
      <c r="CF19" s="56">
        <f>IFERROR(INDEX('Monthly VOL'!$N$2:$CG$65,MATCH($D19,'Monthly VOL'!$D$2:$D$65,0),MATCH(CF$1,'Monthly VOL'!$N$1:$CG$1,0))/INDEX('Monthly CUST'!$N$2:$CG$65,MATCH($D19,'Monthly CUST'!$D$2:$D$65,0),MATCH(CF$1,'Monthly CUST'!$N$1:$CG$1,0)),0)</f>
        <v>235.33604058950218</v>
      </c>
      <c r="CG19" s="56">
        <f>IFERROR(INDEX('Monthly VOL'!$N$2:$CG$65,MATCH($D19,'Monthly VOL'!$D$2:$D$65,0),MATCH(CG$1,'Monthly VOL'!$N$1:$CG$1,0))/INDEX('Monthly CUST'!$N$2:$CG$65,MATCH($D19,'Monthly CUST'!$D$2:$D$65,0),MATCH(CG$1,'Monthly CUST'!$N$1:$CG$1,0)),0)</f>
        <v>286.77323697415557</v>
      </c>
      <c r="CH19" s="264"/>
      <c r="CI19" s="264"/>
      <c r="CJ19" s="264"/>
      <c r="CM19" s="569">
        <f t="shared" si="0"/>
        <v>354.31764276819951</v>
      </c>
      <c r="CN19" s="569">
        <f t="shared" si="1"/>
        <v>326.71057359706867</v>
      </c>
      <c r="CO19" s="569">
        <f t="shared" si="2"/>
        <v>289.87405323765398</v>
      </c>
      <c r="CP19" s="569">
        <f t="shared" si="3"/>
        <v>251.58076599650053</v>
      </c>
      <c r="CQ19" s="569">
        <f t="shared" si="4"/>
        <v>223.09784723581183</v>
      </c>
      <c r="CR19" s="569">
        <f t="shared" si="5"/>
        <v>208.3940518303348</v>
      </c>
      <c r="CS19" s="569">
        <f t="shared" si="6"/>
        <v>193.80741315167526</v>
      </c>
      <c r="CT19" s="569">
        <f t="shared" si="7"/>
        <v>198.09722116337798</v>
      </c>
      <c r="CU19" s="569">
        <f t="shared" si="8"/>
        <v>204.07438919434068</v>
      </c>
      <c r="CV19" s="569">
        <f t="shared" si="9"/>
        <v>214.76294686596327</v>
      </c>
      <c r="CW19" s="569">
        <f t="shared" si="10"/>
        <v>245.15844929462529</v>
      </c>
      <c r="CX19" s="569">
        <f t="shared" si="11"/>
        <v>304.13037078376931</v>
      </c>
      <c r="CY19" s="569">
        <f t="shared" si="12"/>
        <v>354.31764276819951</v>
      </c>
      <c r="CZ19" s="569">
        <f t="shared" si="13"/>
        <v>326.71057359706867</v>
      </c>
      <c r="DA19" s="569">
        <f t="shared" si="14"/>
        <v>289.87405323765398</v>
      </c>
      <c r="DB19" s="569">
        <f t="shared" si="15"/>
        <v>251.58076599650053</v>
      </c>
      <c r="DC19" s="569">
        <f t="shared" si="16"/>
        <v>223.09784723581183</v>
      </c>
      <c r="DD19" s="569">
        <f t="shared" si="17"/>
        <v>208.3940518303348</v>
      </c>
      <c r="DE19" s="569">
        <f t="shared" si="18"/>
        <v>193.80741315167526</v>
      </c>
      <c r="DF19" s="569">
        <f t="shared" si="19"/>
        <v>198.09722116337798</v>
      </c>
      <c r="DG19" s="569">
        <f t="shared" si="20"/>
        <v>204.07438919434068</v>
      </c>
      <c r="DH19" s="569">
        <f t="shared" si="21"/>
        <v>214.76294686596327</v>
      </c>
      <c r="DI19" s="569">
        <f t="shared" si="22"/>
        <v>245.15844929462529</v>
      </c>
      <c r="DJ19" s="569">
        <f t="shared" si="23"/>
        <v>304.13037078376931</v>
      </c>
    </row>
    <row r="20" spans="1:114" s="261" customFormat="1">
      <c r="A20" s="55" t="s">
        <v>15</v>
      </c>
      <c r="B20" s="55" t="s">
        <v>993</v>
      </c>
      <c r="C20" s="55" t="s">
        <v>1245</v>
      </c>
      <c r="D20" s="55" t="s">
        <v>42</v>
      </c>
      <c r="E20" s="55" t="str">
        <f>VLOOKUP(D20,'Input 14_Ref Table'!C:D,2,FALSE)</f>
        <v>GCT96</v>
      </c>
      <c r="F20" s="172" t="s">
        <v>1286</v>
      </c>
      <c r="G20" s="55" t="str">
        <f>VLOOKUP(D20,'Input 14_Ref Table'!C:I,7,FALSE)</f>
        <v>FPU - FPU - GSTS - 2</v>
      </c>
      <c r="H20" s="55" t="str">
        <f>VLOOKUP(D20,'Input 14_Ref Table'!C:K,8,FALSE)</f>
        <v>GS2</v>
      </c>
      <c r="I20" s="55" t="e">
        <f>INDEX(#REF!,MATCH(D20,#REF!,0))</f>
        <v>#REF!</v>
      </c>
      <c r="J20" s="261" t="str">
        <f>INDEX('Master '!$AD$2:AD$65,MATCH(D20,'Master '!$D$2:$D$65,0))</f>
        <v>UPC Growth Rate</v>
      </c>
      <c r="K20" s="567">
        <f>INDEX('Master '!$N$2:N$65,MATCH(D20,'Master '!$D$2:$D$65,0))</f>
        <v>1.8587655739112818E-2</v>
      </c>
      <c r="L20" s="290">
        <f>INDEX('Master '!$S$2:S$65,MATCH(D20,'Master '!$D$2:$D$65,0))</f>
        <v>-1.8292273161028501E-2</v>
      </c>
      <c r="M20" s="1">
        <f>INDEX('Master '!$W$2:W$65,MATCH(D20,'Master '!$D$2:$D$65,0))</f>
        <v>3652.1</v>
      </c>
      <c r="N20" s="56">
        <f>IFERROR(INDEX('Monthly VOL'!$N$2:$CG$65,MATCH($D20,'Monthly VOL'!$D$2:$D$65,0),MATCH(N$1,'Monthly VOL'!$N$1:$CG$1,0))/INDEX('Monthly CUST'!$N$2:$CG$65,MATCH($D20,'Monthly CUST'!$D$2:$D$65,0),MATCH(N$1,'Monthly CUST'!$N$1:$CG$1,0)),0)</f>
        <v>739.30576219512204</v>
      </c>
      <c r="O20" s="56">
        <f>IFERROR(INDEX('Monthly VOL'!$N$2:$CG$65,MATCH($D20,'Monthly VOL'!$D$2:$D$65,0),MATCH(O$1,'Monthly VOL'!$N$1:$CG$1,0))/INDEX('Monthly CUST'!$N$2:$CG$65,MATCH($D20,'Monthly CUST'!$D$2:$D$65,0),MATCH(O$1,'Monthly CUST'!$N$1:$CG$1,0)),0)</f>
        <v>678.99567073170738</v>
      </c>
      <c r="P20" s="56">
        <f>IFERROR(INDEX('Monthly VOL'!$N$2:$CG$65,MATCH($D20,'Monthly VOL'!$D$2:$D$65,0),MATCH(P$1,'Monthly VOL'!$N$1:$CG$1,0))/INDEX('Monthly CUST'!$N$2:$CG$65,MATCH($D20,'Monthly CUST'!$D$2:$D$65,0),MATCH(P$1,'Monthly CUST'!$N$1:$CG$1,0)),0)</f>
        <v>626.66968468468451</v>
      </c>
      <c r="Q20" s="56">
        <f>IFERROR(INDEX('Monthly VOL'!$N$2:$CG$65,MATCH($D20,'Monthly VOL'!$D$2:$D$65,0),MATCH(Q$1,'Monthly VOL'!$N$1:$CG$1,0))/INDEX('Monthly CUST'!$N$2:$CG$65,MATCH($D20,'Monthly CUST'!$D$2:$D$65,0),MATCH(Q$1,'Monthly CUST'!$N$1:$CG$1,0)),0)</f>
        <v>642.61077826725352</v>
      </c>
      <c r="R20" s="56">
        <f>IFERROR(INDEX('Monthly VOL'!$N$2:$CG$65,MATCH($D20,'Monthly VOL'!$D$2:$D$65,0),MATCH(R$1,'Monthly VOL'!$N$1:$CG$1,0))/INDEX('Monthly CUST'!$N$2:$CG$65,MATCH($D20,'Monthly CUST'!$D$2:$D$65,0),MATCH(R$1,'Monthly CUST'!$N$1:$CG$1,0)),0)</f>
        <v>557.88162043795535</v>
      </c>
      <c r="S20" s="56">
        <f>IFERROR(INDEX('Monthly VOL'!$N$2:$CG$65,MATCH($D20,'Monthly VOL'!$D$2:$D$65,0),MATCH(S$1,'Monthly VOL'!$N$1:$CG$1,0))/INDEX('Monthly CUST'!$N$2:$CG$65,MATCH($D20,'Monthly CUST'!$D$2:$D$65,0),MATCH(S$1,'Monthly CUST'!$N$1:$CG$1,0)),0)</f>
        <v>583.35962099125459</v>
      </c>
      <c r="T20" s="56">
        <f>IFERROR(INDEX('Monthly VOL'!$N$2:$CG$65,MATCH($D20,'Monthly VOL'!$D$2:$D$65,0),MATCH(T$1,'Monthly VOL'!$N$1:$CG$1,0))/INDEX('Monthly CUST'!$N$2:$CG$65,MATCH($D20,'Monthly CUST'!$D$2:$D$65,0),MATCH(T$1,'Monthly CUST'!$N$1:$CG$1,0)),0)</f>
        <v>508.13211062590983</v>
      </c>
      <c r="U20" s="56">
        <f>IFERROR(INDEX('Monthly VOL'!$N$2:$CG$65,MATCH($D20,'Monthly VOL'!$D$2:$D$65,0),MATCH(U$1,'Monthly VOL'!$N$1:$CG$1,0))/INDEX('Monthly CUST'!$N$2:$CG$65,MATCH($D20,'Monthly CUST'!$D$2:$D$65,0),MATCH(U$1,'Monthly CUST'!$N$1:$CG$1,0)),0)</f>
        <v>516.52420289855081</v>
      </c>
      <c r="V20" s="56">
        <f>IFERROR(INDEX('Monthly VOL'!$N$2:$CG$65,MATCH($D20,'Monthly VOL'!$D$2:$D$65,0),MATCH(V$1,'Monthly VOL'!$N$1:$CG$1,0))/INDEX('Monthly CUST'!$N$2:$CG$65,MATCH($D20,'Monthly CUST'!$D$2:$D$65,0),MATCH(V$1,'Monthly CUST'!$N$1:$CG$1,0)),0)</f>
        <v>509.36806756756829</v>
      </c>
      <c r="W20" s="56">
        <f>IFERROR(INDEX('Monthly VOL'!$N$2:$CG$65,MATCH($D20,'Monthly VOL'!$D$2:$D$65,0),MATCH(W$1,'Monthly VOL'!$N$1:$CG$1,0))/INDEX('Monthly CUST'!$N$2:$CG$65,MATCH($D20,'Monthly CUST'!$D$2:$D$65,0),MATCH(W$1,'Monthly CUST'!$N$1:$CG$1,0)),0)</f>
        <v>459.69814077025256</v>
      </c>
      <c r="X20" s="56">
        <f>IFERROR(INDEX('Monthly VOL'!$N$2:$CG$65,MATCH($D20,'Monthly VOL'!$D$2:$D$65,0),MATCH(X$1,'Monthly VOL'!$N$1:$CG$1,0))/INDEX('Monthly CUST'!$N$2:$CG$65,MATCH($D20,'Monthly CUST'!$D$2:$D$65,0),MATCH(X$1,'Monthly CUST'!$N$1:$CG$1,0)),0)</f>
        <v>563.53618677042812</v>
      </c>
      <c r="Y20" s="56">
        <f>IFERROR(INDEX('Monthly VOL'!$N$2:$CG$65,MATCH($D20,'Monthly VOL'!$D$2:$D$65,0),MATCH(Y$1,'Monthly VOL'!$N$1:$CG$1,0))/INDEX('Monthly CUST'!$N$2:$CG$65,MATCH($D20,'Monthly CUST'!$D$2:$D$65,0),MATCH(Y$1,'Monthly CUST'!$N$1:$CG$1,0)),0)</f>
        <v>636.43618863049119</v>
      </c>
      <c r="Z20" s="56">
        <f>IFERROR(INDEX('Monthly VOL'!$N$2:$CG$65,MATCH($D20,'Monthly VOL'!$D$2:$D$65,0),MATCH(Z$1,'Monthly VOL'!$N$1:$CG$1,0))/INDEX('Monthly CUST'!$N$2:$CG$65,MATCH($D20,'Monthly CUST'!$D$2:$D$65,0),MATCH(Z$1,'Monthly CUST'!$N$1:$CG$1,0)),0)</f>
        <v>681.10299999999961</v>
      </c>
      <c r="AA20" s="56">
        <f>IFERROR(INDEX('Monthly VOL'!$N$2:$CG$65,MATCH($D20,'Monthly VOL'!$D$2:$D$65,0),MATCH(AA$1,'Monthly VOL'!$N$1:$CG$1,0))/INDEX('Monthly CUST'!$N$2:$CG$65,MATCH($D20,'Monthly CUST'!$D$2:$D$65,0),MATCH(AA$1,'Monthly CUST'!$N$1:$CG$1,0)),0)</f>
        <v>655.30983311938382</v>
      </c>
      <c r="AB20" s="56">
        <f>IFERROR(INDEX('Monthly VOL'!$N$2:$CG$65,MATCH($D20,'Monthly VOL'!$D$2:$D$65,0),MATCH(AB$1,'Monthly VOL'!$N$1:$CG$1,0))/INDEX('Monthly CUST'!$N$2:$CG$65,MATCH($D20,'Monthly CUST'!$D$2:$D$65,0),MATCH(AB$1,'Monthly CUST'!$N$1:$CG$1,0)),0)</f>
        <v>593.71010204081563</v>
      </c>
      <c r="AC20" s="56">
        <f>IFERROR(INDEX('Monthly VOL'!$N$2:$CG$65,MATCH($D20,'Monthly VOL'!$D$2:$D$65,0),MATCH(AC$1,'Monthly VOL'!$N$1:$CG$1,0))/INDEX('Monthly CUST'!$N$2:$CG$65,MATCH($D20,'Monthly CUST'!$D$2:$D$65,0),MATCH(AC$1,'Monthly CUST'!$N$1:$CG$1,0)),0)</f>
        <v>599.81314432989734</v>
      </c>
      <c r="AD20" s="56">
        <f>IFERROR(INDEX('Monthly VOL'!$N$2:$CG$65,MATCH($D20,'Monthly VOL'!$D$2:$D$65,0),MATCH(AD$1,'Monthly VOL'!$N$1:$CG$1,0))/INDEX('Monthly CUST'!$N$2:$CG$65,MATCH($D20,'Monthly CUST'!$D$2:$D$65,0),MATCH(AD$1,'Monthly CUST'!$N$1:$CG$1,0)),0)</f>
        <v>550.04298223350258</v>
      </c>
      <c r="AE20" s="56">
        <f>IFERROR(INDEX('Monthly VOL'!$N$2:$CG$65,MATCH($D20,'Monthly VOL'!$D$2:$D$65,0),MATCH(AE$1,'Monthly VOL'!$N$1:$CG$1,0))/INDEX('Monthly CUST'!$N$2:$CG$65,MATCH($D20,'Monthly CUST'!$D$2:$D$65,0),MATCH(AE$1,'Monthly CUST'!$N$1:$CG$1,0)),0)</f>
        <v>527.81613026819934</v>
      </c>
      <c r="AF20" s="56">
        <f>IFERROR(INDEX('Monthly VOL'!$N$2:$CG$65,MATCH($D20,'Monthly VOL'!$D$2:$D$65,0),MATCH(AF$1,'Monthly VOL'!$N$1:$CG$1,0))/INDEX('Monthly CUST'!$N$2:$CG$65,MATCH($D20,'Monthly CUST'!$D$2:$D$65,0),MATCH(AF$1,'Monthly CUST'!$N$1:$CG$1,0)),0)</f>
        <v>454.08500630516983</v>
      </c>
      <c r="AG20" s="56">
        <f>IFERROR(INDEX('Monthly VOL'!$N$2:$CG$65,MATCH($D20,'Monthly VOL'!$D$2:$D$65,0),MATCH(AG$1,'Monthly VOL'!$N$1:$CG$1,0))/INDEX('Monthly CUST'!$N$2:$CG$65,MATCH($D20,'Monthly CUST'!$D$2:$D$65,0),MATCH(AG$1,'Monthly CUST'!$N$1:$CG$1,0)),0)</f>
        <v>479.22848293299631</v>
      </c>
      <c r="AH20" s="56">
        <f>IFERROR(INDEX('Monthly VOL'!$N$2:$CG$65,MATCH($D20,'Monthly VOL'!$D$2:$D$65,0),MATCH(AH$1,'Monthly VOL'!$N$1:$CG$1,0))/INDEX('Monthly CUST'!$N$2:$CG$65,MATCH($D20,'Monthly CUST'!$D$2:$D$65,0),MATCH(AH$1,'Monthly CUST'!$N$1:$CG$1,0)),0)</f>
        <v>478.84680100755696</v>
      </c>
      <c r="AI20" s="56">
        <f>IFERROR(INDEX('Monthly VOL'!$N$2:$CG$65,MATCH($D20,'Monthly VOL'!$D$2:$D$65,0),MATCH(AI$1,'Monthly VOL'!$N$1:$CG$1,0))/INDEX('Monthly CUST'!$N$2:$CG$65,MATCH($D20,'Monthly CUST'!$D$2:$D$65,0),MATCH(AI$1,'Monthly CUST'!$N$1:$CG$1,0)),0)</f>
        <v>495.76805950840776</v>
      </c>
      <c r="AJ20" s="56">
        <f>IFERROR(INDEX('Monthly VOL'!$N$2:$CG$65,MATCH($D20,'Monthly VOL'!$D$2:$D$65,0),MATCH(AJ$1,'Monthly VOL'!$N$1:$CG$1,0))/INDEX('Monthly CUST'!$N$2:$CG$65,MATCH($D20,'Monthly CUST'!$D$2:$D$65,0),MATCH(AJ$1,'Monthly CUST'!$N$1:$CG$1,0)),0)</f>
        <v>564.29492443324909</v>
      </c>
      <c r="AK20" s="56">
        <f>IFERROR(INDEX('Monthly VOL'!$N$2:$CG$65,MATCH($D20,'Monthly VOL'!$D$2:$D$65,0),MATCH(AK$1,'Monthly VOL'!$N$1:$CG$1,0))/INDEX('Monthly CUST'!$N$2:$CG$65,MATCH($D20,'Monthly CUST'!$D$2:$D$65,0),MATCH(AK$1,'Monthly CUST'!$N$1:$CG$1,0)),0)</f>
        <v>641.19174129353235</v>
      </c>
      <c r="AL20" s="56">
        <f>IFERROR(INDEX('Monthly VOL'!$N$2:$CG$65,MATCH($D20,'Monthly VOL'!$D$2:$D$65,0),MATCH(AL$1,'Monthly VOL'!$N$1:$CG$1,0))/INDEX('Monthly CUST'!$N$2:$CG$65,MATCH($D20,'Monthly CUST'!$D$2:$D$65,0),MATCH(AL$1,'Monthly CUST'!$N$1:$CG$1,0)),0)</f>
        <v>702.17314930991176</v>
      </c>
      <c r="AM20" s="56">
        <f>IFERROR(INDEX('Monthly VOL'!$N$2:$CG$65,MATCH($D20,'Monthly VOL'!$D$2:$D$65,0),MATCH(AM$1,'Monthly VOL'!$N$1:$CG$1,0))/INDEX('Monthly CUST'!$N$2:$CG$65,MATCH($D20,'Monthly CUST'!$D$2:$D$65,0),MATCH(AM$1,'Monthly CUST'!$N$1:$CG$1,0)),0)</f>
        <v>659.02884900990034</v>
      </c>
      <c r="AN20" s="56">
        <f>IFERROR(INDEX('Monthly VOL'!$N$2:$CG$65,MATCH($D20,'Monthly VOL'!$D$2:$D$65,0),MATCH(AN$1,'Monthly VOL'!$N$1:$CG$1,0))/INDEX('Monthly CUST'!$N$2:$CG$65,MATCH($D20,'Monthly CUST'!$D$2:$D$65,0),MATCH(AN$1,'Monthly CUST'!$N$1:$CG$1,0)),0)</f>
        <v>602.11161131611277</v>
      </c>
      <c r="AO20" s="56">
        <f>IFERROR(INDEX('Monthly VOL'!$N$2:$CG$65,MATCH($D20,'Monthly VOL'!$D$2:$D$65,0),MATCH(AO$1,'Monthly VOL'!$N$1:$CG$1,0))/INDEX('Monthly CUST'!$N$2:$CG$65,MATCH($D20,'Monthly CUST'!$D$2:$D$65,0),MATCH(AO$1,'Monthly CUST'!$N$1:$CG$1,0)),0)</f>
        <v>411.88819291819169</v>
      </c>
      <c r="AP20" s="56">
        <f>IFERROR(INDEX('Monthly VOL'!$N$2:$CG$65,MATCH($D20,'Monthly VOL'!$D$2:$D$65,0),MATCH(AP$1,'Monthly VOL'!$N$1:$CG$1,0))/INDEX('Monthly CUST'!$N$2:$CG$65,MATCH($D20,'Monthly CUST'!$D$2:$D$65,0),MATCH(AP$1,'Monthly CUST'!$N$1:$CG$1,0)),0)</f>
        <v>391.77958333333356</v>
      </c>
      <c r="AQ20" s="56">
        <f>IFERROR(INDEX('Monthly VOL'!$N$2:$CG$65,MATCH($D20,'Monthly VOL'!$D$2:$D$65,0),MATCH(AQ$1,'Monthly VOL'!$N$1:$CG$1,0))/INDEX('Monthly CUST'!$N$2:$CG$65,MATCH($D20,'Monthly CUST'!$D$2:$D$65,0),MATCH(AQ$1,'Monthly CUST'!$N$1:$CG$1,0)),0)</f>
        <v>411.66382640586761</v>
      </c>
      <c r="AR20" s="56">
        <f>IFERROR(INDEX('Monthly VOL'!$N$2:$CG$65,MATCH($D20,'Monthly VOL'!$D$2:$D$65,0),MATCH(AR$1,'Monthly VOL'!$N$1:$CG$1,0))/INDEX('Monthly CUST'!$N$2:$CG$65,MATCH($D20,'Monthly CUST'!$D$2:$D$65,0),MATCH(AR$1,'Monthly CUST'!$N$1:$CG$1,0)),0)</f>
        <v>458.22111650485431</v>
      </c>
      <c r="AS20" s="56">
        <f>IFERROR(INDEX('Monthly VOL'!$N$2:$CG$65,MATCH($D20,'Monthly VOL'!$D$2:$D$65,0),MATCH(AS$1,'Monthly VOL'!$N$1:$CG$1,0))/INDEX('Monthly CUST'!$N$2:$CG$65,MATCH($D20,'Monthly CUST'!$D$2:$D$65,0),MATCH(AS$1,'Monthly CUST'!$N$1:$CG$1,0)),0)</f>
        <v>435.0089351285186</v>
      </c>
      <c r="AT20" s="56">
        <f>IFERROR(INDEX('Monthly VOL'!$N$2:$CG$65,MATCH($D20,'Monthly VOL'!$D$2:$D$65,0),MATCH(AT$1,'Monthly VOL'!$N$1:$CG$1,0))/INDEX('Monthly CUST'!$N$2:$CG$65,MATCH($D20,'Monthly CUST'!$D$2:$D$65,0),MATCH(AT$1,'Monthly CUST'!$N$1:$CG$1,0)),0)</f>
        <v>444.75642682926798</v>
      </c>
      <c r="AU20" s="56">
        <f>IFERROR(INDEX('Monthly VOL'!$N$2:$CG$65,MATCH($D20,'Monthly VOL'!$D$2:$D$65,0),MATCH(AU$1,'Monthly VOL'!$N$1:$CG$1,0))/INDEX('Monthly CUST'!$N$2:$CG$65,MATCH($D20,'Monthly CUST'!$D$2:$D$65,0),MATCH(AU$1,'Monthly CUST'!$N$1:$CG$1,0)),0)</f>
        <v>459.361582125604</v>
      </c>
      <c r="AV20" s="56">
        <f>IFERROR(INDEX('Monthly VOL'!$N$2:$CG$65,MATCH($D20,'Monthly VOL'!$D$2:$D$65,0),MATCH(AV$1,'Monthly VOL'!$N$1:$CG$1,0))/INDEX('Monthly CUST'!$N$2:$CG$65,MATCH($D20,'Monthly CUST'!$D$2:$D$65,0),MATCH(AV$1,'Monthly CUST'!$N$1:$CG$1,0)),0)</f>
        <v>526.28833333333341</v>
      </c>
      <c r="AW20" s="56">
        <f>IFERROR(INDEX('Monthly VOL'!$N$2:$CG$65,MATCH($D20,'Monthly VOL'!$D$2:$D$65,0),MATCH(AW$1,'Monthly VOL'!$N$1:$CG$1,0))/INDEX('Monthly CUST'!$N$2:$CG$65,MATCH($D20,'Monthly CUST'!$D$2:$D$65,0),MATCH(AW$1,'Monthly CUST'!$N$1:$CG$1,0)),0)</f>
        <v>611.86123039807046</v>
      </c>
      <c r="AX20" s="56">
        <f>IFERROR(INDEX('Monthly VOL'!$N$2:$CG$65,MATCH($D20,'Monthly VOL'!$D$2:$D$65,0),MATCH(AX$1,'Monthly VOL'!$N$1:$CG$1,0))/INDEX('Monthly CUST'!$N$2:$CG$65,MATCH($D20,'Monthly CUST'!$D$2:$D$65,0),MATCH(AX$1,'Monthly CUST'!$N$1:$CG$1,0)),0)</f>
        <v>697.73033816425254</v>
      </c>
      <c r="AY20" s="56">
        <f>IFERROR(INDEX('Monthly VOL'!$N$2:$CG$65,MATCH($D20,'Monthly VOL'!$D$2:$D$65,0),MATCH(AY$1,'Monthly VOL'!$N$1:$CG$1,0))/INDEX('Monthly CUST'!$N$2:$CG$65,MATCH($D20,'Monthly CUST'!$D$2:$D$65,0),MATCH(AY$1,'Monthly CUST'!$N$1:$CG$1,0)),0)</f>
        <v>614.11069090909245</v>
      </c>
      <c r="AZ20" s="56">
        <f>IFERROR(INDEX('Monthly VOL'!$N$2:$CG$65,MATCH($D20,'Monthly VOL'!$D$2:$D$65,0),MATCH(AZ$1,'Monthly VOL'!$N$1:$CG$1,0))/INDEX('Monthly CUST'!$N$2:$CG$65,MATCH($D20,'Monthly CUST'!$D$2:$D$65,0),MATCH(AZ$1,'Monthly CUST'!$N$1:$CG$1,0)),0)</f>
        <v>585.3127450980395</v>
      </c>
      <c r="BA20" s="56">
        <f>IFERROR(INDEX('Monthly VOL'!$N$2:$CG$65,MATCH($D20,'Monthly VOL'!$D$2:$D$65,0),MATCH(BA$1,'Monthly VOL'!$N$1:$CG$1,0))/INDEX('Monthly CUST'!$N$2:$CG$65,MATCH($D20,'Monthly CUST'!$D$2:$D$65,0),MATCH(BA$1,'Monthly CUST'!$N$1:$CG$1,0)),0)</f>
        <v>631.81541818181847</v>
      </c>
      <c r="BB20" s="56">
        <f>IFERROR(INDEX('Monthly VOL'!$N$2:$CG$65,MATCH($D20,'Monthly VOL'!$D$2:$D$65,0),MATCH(BB$1,'Monthly VOL'!$N$1:$CG$1,0))/INDEX('Monthly CUST'!$N$2:$CG$65,MATCH($D20,'Monthly CUST'!$D$2:$D$65,0),MATCH(BB$1,'Monthly CUST'!$N$1:$CG$1,0)),0)</f>
        <v>569.18648325358799</v>
      </c>
      <c r="BC20" s="56">
        <f>IFERROR(INDEX('Monthly VOL'!$N$2:$CG$65,MATCH($D20,'Monthly VOL'!$D$2:$D$65,0),MATCH(BC$1,'Monthly VOL'!$N$1:$CG$1,0))/INDEX('Monthly CUST'!$N$2:$CG$65,MATCH($D20,'Monthly CUST'!$D$2:$D$65,0),MATCH(BC$1,'Monthly CUST'!$N$1:$CG$1,0)),0)</f>
        <v>497.49188023952041</v>
      </c>
      <c r="BD20" s="56">
        <f>IFERROR(INDEX('Monthly VOL'!$N$2:$CG$65,MATCH($D20,'Monthly VOL'!$D$2:$D$65,0),MATCH(BD$1,'Monthly VOL'!$N$1:$CG$1,0))/INDEX('Monthly CUST'!$N$2:$CG$65,MATCH($D20,'Monthly CUST'!$D$2:$D$65,0),MATCH(BD$1,'Monthly CUST'!$N$1:$CG$1,0)),0)</f>
        <v>519.54792654028483</v>
      </c>
      <c r="BE20" s="56">
        <f>IFERROR(INDEX('Monthly VOL'!$N$2:$CG$65,MATCH($D20,'Monthly VOL'!$D$2:$D$65,0),MATCH(BE$1,'Monthly VOL'!$N$1:$CG$1,0))/INDEX('Monthly CUST'!$N$2:$CG$65,MATCH($D20,'Monthly CUST'!$D$2:$D$65,0),MATCH(BE$1,'Monthly CUST'!$N$1:$CG$1,0)),0)</f>
        <v>478.79542452830248</v>
      </c>
      <c r="BF20" s="56">
        <f>IFERROR(INDEX('Monthly VOL'!$N$2:$CG$65,MATCH($D20,'Monthly VOL'!$D$2:$D$65,0),MATCH(BF$1,'Monthly VOL'!$N$1:$CG$1,0))/INDEX('Monthly CUST'!$N$2:$CG$65,MATCH($D20,'Monthly CUST'!$D$2:$D$65,0),MATCH(BF$1,'Monthly CUST'!$N$1:$CG$1,0)),0)</f>
        <v>506.99145029239753</v>
      </c>
      <c r="BG20" s="56">
        <f>IFERROR(INDEX('Monthly VOL'!$N$2:$CG$65,MATCH($D20,'Monthly VOL'!$D$2:$D$65,0),MATCH(BG$1,'Monthly VOL'!$N$1:$CG$1,0))/INDEX('Monthly CUST'!$N$2:$CG$65,MATCH($D20,'Monthly CUST'!$D$2:$D$65,0),MATCH(BG$1,'Monthly CUST'!$N$1:$CG$1,0)),0)</f>
        <v>501.31924528301931</v>
      </c>
      <c r="BH20" s="56">
        <f>IFERROR(INDEX('Monthly VOL'!$N$2:$CG$65,MATCH($D20,'Monthly VOL'!$D$2:$D$65,0),MATCH(BH$1,'Monthly VOL'!$N$1:$CG$1,0))/INDEX('Monthly CUST'!$N$2:$CG$65,MATCH($D20,'Monthly CUST'!$D$2:$D$65,0),MATCH(BH$1,'Monthly CUST'!$N$1:$CG$1,0)),0)</f>
        <v>546.26097788125696</v>
      </c>
      <c r="BI20" s="56">
        <f>IFERROR(INDEX('Monthly VOL'!$N$2:$CG$65,MATCH($D20,'Monthly VOL'!$D$2:$D$65,0),MATCH(BI$1,'Monthly VOL'!$N$1:$CG$1,0))/INDEX('Monthly CUST'!$N$2:$CG$65,MATCH($D20,'Monthly CUST'!$D$2:$D$65,0),MATCH(BI$1,'Monthly CUST'!$N$1:$CG$1,0)),0)</f>
        <v>644.09090173410436</v>
      </c>
      <c r="BJ20" s="56">
        <f>IFERROR(INDEX('Monthly VOL'!$N$2:$CG$65,MATCH($D20,'Monthly VOL'!$D$2:$D$65,0),MATCH(BJ$1,'Monthly VOL'!$N$1:$CG$1,0))/INDEX('Monthly CUST'!$N$2:$CG$65,MATCH($D20,'Monthly CUST'!$D$2:$D$65,0),MATCH(BJ$1,'Monthly CUST'!$N$1:$CG$1,0)),0)</f>
        <v>684.96726422581526</v>
      </c>
      <c r="BK20" s="56">
        <f>IFERROR(INDEX('Monthly VOL'!$N$2:$CG$65,MATCH($D20,'Monthly VOL'!$D$2:$D$65,0),MATCH(BK$1,'Monthly VOL'!$N$1:$CG$1,0))/INDEX('Monthly CUST'!$N$2:$CG$65,MATCH($D20,'Monthly CUST'!$D$2:$D$65,0),MATCH(BK$1,'Monthly CUST'!$N$1:$CG$1,0)),0)</f>
        <v>602.87721039987537</v>
      </c>
      <c r="BL20" s="56">
        <f>IFERROR(INDEX('Monthly VOL'!$N$2:$CG$65,MATCH($D20,'Monthly VOL'!$D$2:$D$65,0),MATCH(BL$1,'Monthly VOL'!$N$1:$CG$1,0))/INDEX('Monthly CUST'!$N$2:$CG$65,MATCH($D20,'Monthly CUST'!$D$2:$D$65,0),MATCH(BL$1,'Monthly CUST'!$N$1:$CG$1,0)),0)</f>
        <v>574.60604448007473</v>
      </c>
      <c r="BM20" s="56">
        <f>IFERROR(INDEX('Monthly VOL'!$N$2:$CG$65,MATCH($D20,'Monthly VOL'!$D$2:$D$65,0),MATCH(BM$1,'Monthly VOL'!$N$1:$CG$1,0))/INDEX('Monthly CUST'!$N$2:$CG$65,MATCH($D20,'Monthly CUST'!$D$2:$D$65,0),MATCH(BM$1,'Monthly CUST'!$N$1:$CG$1,0)),0)</f>
        <v>620.25807796508718</v>
      </c>
      <c r="BN20" s="56">
        <f>IFERROR(INDEX('Monthly VOL'!$N$2:$CG$65,MATCH($D20,'Monthly VOL'!$D$2:$D$65,0),MATCH(BN$1,'Monthly VOL'!$N$1:$CG$1,0))/INDEX('Monthly CUST'!$N$2:$CG$65,MATCH($D20,'Monthly CUST'!$D$2:$D$65,0),MATCH(BN$1,'Monthly CUST'!$N$1:$CG$1,0)),0)</f>
        <v>558.77476862234812</v>
      </c>
      <c r="BO20" s="56">
        <f>IFERROR(INDEX('Monthly VOL'!$N$2:$CG$65,MATCH($D20,'Monthly VOL'!$D$2:$D$65,0),MATCH(BO$1,'Monthly VOL'!$N$1:$CG$1,0))/INDEX('Monthly CUST'!$N$2:$CG$65,MATCH($D20,'Monthly CUST'!$D$2:$D$65,0),MATCH(BO$1,'Monthly CUST'!$N$1:$CG$1,0)),0)</f>
        <v>488.3916228707854</v>
      </c>
      <c r="BP20" s="56">
        <f>IFERROR(INDEX('Monthly VOL'!$N$2:$CG$65,MATCH($D20,'Monthly VOL'!$D$2:$D$65,0),MATCH(BP$1,'Monthly VOL'!$N$1:$CG$1,0))/INDEX('Monthly CUST'!$N$2:$CG$65,MATCH($D20,'Monthly CUST'!$D$2:$D$65,0),MATCH(BP$1,'Monthly CUST'!$N$1:$CG$1,0)),0)</f>
        <v>510.04421394776392</v>
      </c>
      <c r="BQ20" s="56">
        <f>IFERROR(INDEX('Monthly VOL'!$N$2:$CG$65,MATCH($D20,'Monthly VOL'!$D$2:$D$65,0),MATCH(BQ$1,'Monthly VOL'!$N$1:$CG$1,0))/INDEX('Monthly CUST'!$N$2:$CG$65,MATCH($D20,'Monthly CUST'!$D$2:$D$65,0),MATCH(BQ$1,'Monthly CUST'!$N$1:$CG$1,0)),0)</f>
        <v>470.03716783458015</v>
      </c>
      <c r="BR20" s="56">
        <f>IFERROR(INDEX('Monthly VOL'!$N$2:$CG$65,MATCH($D20,'Monthly VOL'!$D$2:$D$65,0),MATCH(BR$1,'Monthly VOL'!$N$1:$CG$1,0))/INDEX('Monthly CUST'!$N$2:$CG$65,MATCH($D20,'Monthly CUST'!$D$2:$D$65,0),MATCH(BR$1,'Monthly CUST'!$N$1:$CG$1,0)),0)</f>
        <v>497.71742419334299</v>
      </c>
      <c r="BS20" s="56">
        <f>IFERROR(INDEX('Monthly VOL'!$N$2:$CG$65,MATCH($D20,'Monthly VOL'!$D$2:$D$65,0),MATCH(BS$1,'Monthly VOL'!$N$1:$CG$1,0))/INDEX('Monthly CUST'!$N$2:$CG$65,MATCH($D20,'Monthly CUST'!$D$2:$D$65,0),MATCH(BS$1,'Monthly CUST'!$N$1:$CG$1,0)),0)</f>
        <v>492.14897670742164</v>
      </c>
      <c r="BT20" s="56">
        <f>IFERROR(INDEX('Monthly VOL'!$N$2:$CG$65,MATCH($D20,'Monthly VOL'!$D$2:$D$65,0),MATCH(BT$1,'Monthly VOL'!$N$1:$CG$1,0))/INDEX('Monthly CUST'!$N$2:$CG$65,MATCH($D20,'Monthly CUST'!$D$2:$D$65,0),MATCH(BT$1,'Monthly CUST'!$N$1:$CG$1,0)),0)</f>
        <v>536.26862285664242</v>
      </c>
      <c r="BU20" s="56">
        <f>IFERROR(INDEX('Monthly VOL'!$N$2:$CG$65,MATCH($D20,'Monthly VOL'!$D$2:$D$65,0),MATCH(BU$1,'Monthly VOL'!$N$1:$CG$1,0))/INDEX('Monthly CUST'!$N$2:$CG$65,MATCH($D20,'Monthly CUST'!$D$2:$D$65,0),MATCH(BU$1,'Monthly CUST'!$N$1:$CG$1,0)),0)</f>
        <v>632.30901501905089</v>
      </c>
      <c r="BV20" s="56">
        <f>IFERROR(INDEX('Monthly VOL'!$N$2:$CG$65,MATCH($D20,'Monthly VOL'!$D$2:$D$65,0),MATCH(BV$1,'Monthly VOL'!$N$1:$CG$1,0))/INDEX('Monthly CUST'!$N$2:$CG$65,MATCH($D20,'Monthly CUST'!$D$2:$D$65,0),MATCH(BV$1,'Monthly CUST'!$N$1:$CG$1,0)),0)</f>
        <v>672.43765592223417</v>
      </c>
      <c r="BW20" s="56">
        <f>IFERROR(INDEX('Monthly VOL'!$N$2:$CG$65,MATCH($D20,'Monthly VOL'!$D$2:$D$65,0),MATCH(BW$1,'Monthly VOL'!$N$1:$CG$1,0))/INDEX('Monthly CUST'!$N$2:$CG$65,MATCH($D20,'Monthly CUST'!$D$2:$D$65,0),MATCH(BW$1,'Monthly CUST'!$N$1:$CG$1,0)),0)</f>
        <v>591.84921578468197</v>
      </c>
      <c r="BX20" s="56">
        <f>IFERROR(INDEX('Monthly VOL'!$N$2:$CG$65,MATCH($D20,'Monthly VOL'!$D$2:$D$65,0),MATCH(BX$1,'Monthly VOL'!$N$1:$CG$1,0))/INDEX('Monthly CUST'!$N$2:$CG$65,MATCH($D20,'Monthly CUST'!$D$2:$D$65,0),MATCH(BX$1,'Monthly CUST'!$N$1:$CG$1,0)),0)</f>
        <v>564.09519375446712</v>
      </c>
      <c r="BY20" s="56">
        <f>IFERROR(INDEX('Monthly VOL'!$N$2:$CG$65,MATCH($D20,'Monthly VOL'!$D$2:$D$65,0),MATCH(BY$1,'Monthly VOL'!$N$1:$CG$1,0))/INDEX('Monthly CUST'!$N$2:$CG$65,MATCH($D20,'Monthly CUST'!$D$2:$D$65,0),MATCH(BY$1,'Monthly CUST'!$N$1:$CG$1,0)),0)</f>
        <v>608.9121477726153</v>
      </c>
      <c r="BZ20" s="56">
        <f>IFERROR(INDEX('Monthly VOL'!$N$2:$CG$65,MATCH($D20,'Monthly VOL'!$D$2:$D$65,0),MATCH(BZ$1,'Monthly VOL'!$N$1:$CG$1,0))/INDEX('Monthly CUST'!$N$2:$CG$65,MATCH($D20,'Monthly CUST'!$D$2:$D$65,0),MATCH(BZ$1,'Monthly CUST'!$N$1:$CG$1,0)),0)</f>
        <v>548.55350791921762</v>
      </c>
      <c r="CA20" s="56">
        <f>IFERROR(INDEX('Monthly VOL'!$N$2:$CG$65,MATCH($D20,'Monthly VOL'!$D$2:$D$65,0),MATCH(CA$1,'Monthly VOL'!$N$1:$CG$1,0))/INDEX('Monthly CUST'!$N$2:$CG$65,MATCH($D20,'Monthly CUST'!$D$2:$D$65,0),MATCH(CA$1,'Monthly CUST'!$N$1:$CG$1,0)),0)</f>
        <v>479.45782989567493</v>
      </c>
      <c r="CB20" s="56">
        <f>IFERROR(INDEX('Monthly VOL'!$N$2:$CG$65,MATCH($D20,'Monthly VOL'!$D$2:$D$65,0),MATCH(CB$1,'Monthly VOL'!$N$1:$CG$1,0))/INDEX('Monthly CUST'!$N$2:$CG$65,MATCH($D20,'Monthly CUST'!$D$2:$D$65,0),MATCH(CB$1,'Monthly CUST'!$N$1:$CG$1,0)),0)</f>
        <v>500.71434586202935</v>
      </c>
      <c r="CC20" s="56">
        <f>IFERROR(INDEX('Monthly VOL'!$N$2:$CG$65,MATCH($D20,'Monthly VOL'!$D$2:$D$65,0),MATCH(CC$1,'Monthly VOL'!$N$1:$CG$1,0))/INDEX('Monthly CUST'!$N$2:$CG$65,MATCH($D20,'Monthly CUST'!$D$2:$D$65,0),MATCH(CC$1,'Monthly CUST'!$N$1:$CG$1,0)),0)</f>
        <v>461.43911956471379</v>
      </c>
      <c r="CD20" s="56">
        <f>IFERROR(INDEX('Monthly VOL'!$N$2:$CG$65,MATCH($D20,'Monthly VOL'!$D$2:$D$65,0),MATCH(CD$1,'Monthly VOL'!$N$1:$CG$1,0))/INDEX('Monthly CUST'!$N$2:$CG$65,MATCH($D20,'Monthly CUST'!$D$2:$D$65,0),MATCH(CD$1,'Monthly CUST'!$N$1:$CG$1,0)),0)</f>
        <v>488.61304111299484</v>
      </c>
      <c r="CE20" s="56">
        <f>IFERROR(INDEX('Monthly VOL'!$N$2:$CG$65,MATCH($D20,'Monthly VOL'!$D$2:$D$65,0),MATCH(CE$1,'Monthly VOL'!$N$1:$CG$1,0))/INDEX('Monthly CUST'!$N$2:$CG$65,MATCH($D20,'Monthly CUST'!$D$2:$D$65,0),MATCH(CE$1,'Monthly CUST'!$N$1:$CG$1,0)),0)</f>
        <v>483.14645318956883</v>
      </c>
      <c r="CF20" s="56">
        <f>IFERROR(INDEX('Monthly VOL'!$N$2:$CG$65,MATCH($D20,'Monthly VOL'!$D$2:$D$65,0),MATCH(CF$1,'Monthly VOL'!$N$1:$CG$1,0))/INDEX('Monthly CUST'!$N$2:$CG$65,MATCH($D20,'Monthly CUST'!$D$2:$D$65,0),MATCH(CF$1,'Monthly CUST'!$N$1:$CG$1,0)),0)</f>
        <v>526.45905071966013</v>
      </c>
      <c r="CG20" s="56">
        <f>IFERROR(INDEX('Monthly VOL'!$N$2:$CG$65,MATCH($D20,'Monthly VOL'!$D$2:$D$65,0),MATCH(CG$1,'Monthly VOL'!$N$1:$CG$1,0))/INDEX('Monthly CUST'!$N$2:$CG$65,MATCH($D20,'Monthly CUST'!$D$2:$D$65,0),MATCH(CG$1,'Monthly CUST'!$N$1:$CG$1,0)),0)</f>
        <v>620.74264579414148</v>
      </c>
      <c r="CH20" s="264"/>
      <c r="CI20" s="264"/>
      <c r="CJ20" s="264"/>
      <c r="CM20" s="569">
        <f t="shared" si="0"/>
        <v>693.66882915805456</v>
      </c>
      <c r="CN20" s="569">
        <f t="shared" si="1"/>
        <v>642.81645767945895</v>
      </c>
      <c r="CO20" s="569">
        <f t="shared" si="2"/>
        <v>593.711486151656</v>
      </c>
      <c r="CP20" s="569">
        <f t="shared" si="3"/>
        <v>547.83891847663574</v>
      </c>
      <c r="CQ20" s="569">
        <f t="shared" si="4"/>
        <v>503.6696829401414</v>
      </c>
      <c r="CR20" s="569">
        <f t="shared" si="5"/>
        <v>478.99061230452912</v>
      </c>
      <c r="CS20" s="569">
        <f t="shared" si="6"/>
        <v>477.28468311676966</v>
      </c>
      <c r="CT20" s="569">
        <f t="shared" si="7"/>
        <v>464.34428086327245</v>
      </c>
      <c r="CU20" s="569">
        <f t="shared" si="8"/>
        <v>476.86489270974084</v>
      </c>
      <c r="CV20" s="569">
        <f t="shared" si="9"/>
        <v>485.48296230567695</v>
      </c>
      <c r="CW20" s="569">
        <f t="shared" si="10"/>
        <v>545.61474521594653</v>
      </c>
      <c r="CX20" s="569">
        <f t="shared" si="11"/>
        <v>632.38129114190235</v>
      </c>
      <c r="CY20" s="569">
        <f t="shared" si="12"/>
        <v>693.66882915805456</v>
      </c>
      <c r="CZ20" s="569">
        <f t="shared" si="13"/>
        <v>642.81645767945895</v>
      </c>
      <c r="DA20" s="569">
        <f t="shared" si="14"/>
        <v>593.711486151656</v>
      </c>
      <c r="DB20" s="569">
        <f t="shared" si="15"/>
        <v>547.83891847663574</v>
      </c>
      <c r="DC20" s="569">
        <f t="shared" si="16"/>
        <v>503.6696829401414</v>
      </c>
      <c r="DD20" s="569">
        <f t="shared" si="17"/>
        <v>478.99061230452912</v>
      </c>
      <c r="DE20" s="569">
        <f t="shared" si="18"/>
        <v>477.28468311676966</v>
      </c>
      <c r="DF20" s="569">
        <f t="shared" si="19"/>
        <v>464.34428086327245</v>
      </c>
      <c r="DG20" s="569">
        <f t="shared" si="20"/>
        <v>476.86489270974084</v>
      </c>
      <c r="DH20" s="569">
        <f t="shared" si="21"/>
        <v>485.48296230567695</v>
      </c>
      <c r="DI20" s="569">
        <f t="shared" si="22"/>
        <v>545.61474521594653</v>
      </c>
      <c r="DJ20" s="569">
        <f t="shared" si="23"/>
        <v>632.38129114190235</v>
      </c>
    </row>
    <row r="21" spans="1:114" s="261" customFormat="1">
      <c r="A21" s="55" t="s">
        <v>15</v>
      </c>
      <c r="B21" s="55" t="s">
        <v>994</v>
      </c>
      <c r="C21" s="55" t="s">
        <v>1245</v>
      </c>
      <c r="D21" s="55" t="s">
        <v>44</v>
      </c>
      <c r="E21" s="55" t="str">
        <f>VLOOKUP(D21,'Input 14_Ref Table'!C:D,2,FALSE)</f>
        <v>GLV51</v>
      </c>
      <c r="F21" s="172" t="s">
        <v>1286</v>
      </c>
      <c r="G21" s="55" t="str">
        <f>VLOOKUP(D21,'Input 14_Ref Table'!C:I,7,FALSE)</f>
        <v>FPU - FPU - LVS</v>
      </c>
      <c r="H21" s="55" t="str">
        <f>VLOOKUP(D21,'Input 14_Ref Table'!C:K,8,FALSE)</f>
        <v>LVS</v>
      </c>
      <c r="I21" s="55" t="e">
        <f>INDEX(#REF!,MATCH(D21,#REF!,0))</f>
        <v>#REF!</v>
      </c>
      <c r="J21" s="261" t="str">
        <f>INDEX('Master '!$AD$2:AD$65,MATCH(D21,'Master '!$D$2:$D$65,0))</f>
        <v>UPC Growth Rate</v>
      </c>
      <c r="K21" s="567">
        <f>INDEX('Master '!$N$2:N$65,MATCH(D21,'Master '!$D$2:$D$65,0))</f>
        <v>1.1133093100946111E-2</v>
      </c>
      <c r="L21" s="290">
        <f>INDEX('Master '!$S$2:S$65,MATCH(D21,'Master '!$D$2:$D$65,0))</f>
        <v>-1.7360612496315646E-2</v>
      </c>
      <c r="M21" s="1">
        <f>INDEX('Master '!$W$2:W$65,MATCH(D21,'Master '!$D$2:$D$65,0))</f>
        <v>19502.099999999999</v>
      </c>
      <c r="N21" s="56">
        <f>IFERROR(INDEX('Monthly VOL'!$N$2:$CG$65,MATCH($D21,'Monthly VOL'!$D$2:$D$65,0),MATCH(N$1,'Monthly VOL'!$N$1:$CG$1,0))/INDEX('Monthly CUST'!$N$2:$CG$65,MATCH($D21,'Monthly CUST'!$D$2:$D$65,0),MATCH(N$1,'Monthly CUST'!$N$1:$CG$1,0)),0)</f>
        <v>1535.0857248520697</v>
      </c>
      <c r="O21" s="56">
        <f>IFERROR(INDEX('Monthly VOL'!$N$2:$CG$65,MATCH($D21,'Monthly VOL'!$D$2:$D$65,0),MATCH(O$1,'Monthly VOL'!$N$1:$CG$1,0))/INDEX('Monthly CUST'!$N$2:$CG$65,MATCH($D21,'Monthly CUST'!$D$2:$D$65,0),MATCH(O$1,'Monthly CUST'!$N$1:$CG$1,0)),0)</f>
        <v>1308.5496898079753</v>
      </c>
      <c r="P21" s="56">
        <f>IFERROR(INDEX('Monthly VOL'!$N$2:$CG$65,MATCH($D21,'Monthly VOL'!$D$2:$D$65,0),MATCH(P$1,'Monthly VOL'!$N$1:$CG$1,0))/INDEX('Monthly CUST'!$N$2:$CG$65,MATCH($D21,'Monthly CUST'!$D$2:$D$65,0),MATCH(P$1,'Monthly CUST'!$N$1:$CG$1,0)),0)</f>
        <v>1269.3729185185168</v>
      </c>
      <c r="Q21" s="56">
        <f>IFERROR(INDEX('Monthly VOL'!$N$2:$CG$65,MATCH($D21,'Monthly VOL'!$D$2:$D$65,0),MATCH(Q$1,'Monthly VOL'!$N$1:$CG$1,0))/INDEX('Monthly CUST'!$N$2:$CG$65,MATCH($D21,'Monthly CUST'!$D$2:$D$65,0),MATCH(Q$1,'Monthly CUST'!$N$1:$CG$1,0)),0)</f>
        <v>1264.0846597633133</v>
      </c>
      <c r="R21" s="56">
        <f>IFERROR(INDEX('Monthly VOL'!$N$2:$CG$65,MATCH($D21,'Monthly VOL'!$D$2:$D$65,0),MATCH(R$1,'Monthly VOL'!$N$1:$CG$1,0))/INDEX('Monthly CUST'!$N$2:$CG$65,MATCH($D21,'Monthly CUST'!$D$2:$D$65,0),MATCH(R$1,'Monthly CUST'!$N$1:$CG$1,0)),0)</f>
        <v>1114.8299405646358</v>
      </c>
      <c r="S21" s="56">
        <f>IFERROR(INDEX('Monthly VOL'!$N$2:$CG$65,MATCH($D21,'Monthly VOL'!$D$2:$D$65,0),MATCH(S$1,'Monthly VOL'!$N$1:$CG$1,0))/INDEX('Monthly CUST'!$N$2:$CG$65,MATCH($D21,'Monthly CUST'!$D$2:$D$65,0),MATCH(S$1,'Monthly CUST'!$N$1:$CG$1,0)),0)</f>
        <v>1061.3149251497005</v>
      </c>
      <c r="T21" s="56">
        <f>IFERROR(INDEX('Monthly VOL'!$N$2:$CG$65,MATCH($D21,'Monthly VOL'!$D$2:$D$65,0),MATCH(T$1,'Monthly VOL'!$N$1:$CG$1,0))/INDEX('Monthly CUST'!$N$2:$CG$65,MATCH($D21,'Monthly CUST'!$D$2:$D$65,0),MATCH(T$1,'Monthly CUST'!$N$1:$CG$1,0)),0)</f>
        <v>889.0603374233126</v>
      </c>
      <c r="U21" s="56">
        <f>IFERROR(INDEX('Monthly VOL'!$N$2:$CG$65,MATCH($D21,'Monthly VOL'!$D$2:$D$65,0),MATCH(U$1,'Monthly VOL'!$N$1:$CG$1,0))/INDEX('Monthly CUST'!$N$2:$CG$65,MATCH($D21,'Monthly CUST'!$D$2:$D$65,0),MATCH(U$1,'Monthly CUST'!$N$1:$CG$1,0)),0)</f>
        <v>896.49563909774429</v>
      </c>
      <c r="V21" s="56">
        <f>IFERROR(INDEX('Monthly VOL'!$N$2:$CG$65,MATCH($D21,'Monthly VOL'!$D$2:$D$65,0),MATCH(V$1,'Monthly VOL'!$N$1:$CG$1,0))/INDEX('Monthly CUST'!$N$2:$CG$65,MATCH($D21,'Monthly CUST'!$D$2:$D$65,0),MATCH(V$1,'Monthly CUST'!$N$1:$CG$1,0)),0)</f>
        <v>895.49326315789631</v>
      </c>
      <c r="W21" s="56">
        <f>IFERROR(INDEX('Monthly VOL'!$N$2:$CG$65,MATCH($D21,'Monthly VOL'!$D$2:$D$65,0),MATCH(W$1,'Monthly VOL'!$N$1:$CG$1,0))/INDEX('Monthly CUST'!$N$2:$CG$65,MATCH($D21,'Monthly CUST'!$D$2:$D$65,0),MATCH(W$1,'Monthly CUST'!$N$1:$CG$1,0)),0)</f>
        <v>840.72408071748816</v>
      </c>
      <c r="X21" s="56">
        <f>IFERROR(INDEX('Monthly VOL'!$N$2:$CG$65,MATCH($D21,'Monthly VOL'!$D$2:$D$65,0),MATCH(X$1,'Monthly VOL'!$N$1:$CG$1,0))/INDEX('Monthly CUST'!$N$2:$CG$65,MATCH($D21,'Monthly CUST'!$D$2:$D$65,0),MATCH(X$1,'Monthly CUST'!$N$1:$CG$1,0)),0)</f>
        <v>1146.5063941605847</v>
      </c>
      <c r="Y21" s="56">
        <f>IFERROR(INDEX('Monthly VOL'!$N$2:$CG$65,MATCH($D21,'Monthly VOL'!$D$2:$D$65,0),MATCH(Y$1,'Monthly VOL'!$N$1:$CG$1,0))/INDEX('Monthly CUST'!$N$2:$CG$65,MATCH($D21,'Monthly CUST'!$D$2:$D$65,0),MATCH(Y$1,'Monthly CUST'!$N$1:$CG$1,0)),0)</f>
        <v>1321.1990327380943</v>
      </c>
      <c r="Z21" s="56">
        <f>IFERROR(INDEX('Monthly VOL'!$N$2:$CG$65,MATCH($D21,'Monthly VOL'!$D$2:$D$65,0),MATCH(Z$1,'Monthly VOL'!$N$1:$CG$1,0))/INDEX('Monthly CUST'!$N$2:$CG$65,MATCH($D21,'Monthly CUST'!$D$2:$D$65,0),MATCH(Z$1,'Monthly CUST'!$N$1:$CG$1,0)),0)</f>
        <v>1422.2135585585595</v>
      </c>
      <c r="AA21" s="56">
        <f>IFERROR(INDEX('Monthly VOL'!$N$2:$CG$65,MATCH($D21,'Monthly VOL'!$D$2:$D$65,0),MATCH(AA$1,'Monthly VOL'!$N$1:$CG$1,0))/INDEX('Monthly CUST'!$N$2:$CG$65,MATCH($D21,'Monthly CUST'!$D$2:$D$65,0),MATCH(AA$1,'Monthly CUST'!$N$1:$CG$1,0)),0)</f>
        <v>1306.2522522522513</v>
      </c>
      <c r="AB21" s="56">
        <f>IFERROR(INDEX('Monthly VOL'!$N$2:$CG$65,MATCH($D21,'Monthly VOL'!$D$2:$D$65,0),MATCH(AB$1,'Monthly VOL'!$N$1:$CG$1,0))/INDEX('Monthly CUST'!$N$2:$CG$65,MATCH($D21,'Monthly CUST'!$D$2:$D$65,0),MATCH(AB$1,'Monthly CUST'!$N$1:$CG$1,0)),0)</f>
        <v>1178.5194631901843</v>
      </c>
      <c r="AC21" s="56">
        <f>IFERROR(INDEX('Monthly VOL'!$N$2:$CG$65,MATCH($D21,'Monthly VOL'!$D$2:$D$65,0),MATCH(AC$1,'Monthly VOL'!$N$1:$CG$1,0))/INDEX('Monthly CUST'!$N$2:$CG$65,MATCH($D21,'Monthly CUST'!$D$2:$D$65,0),MATCH(AC$1,'Monthly CUST'!$N$1:$CG$1,0)),0)</f>
        <v>1284.2775113122182</v>
      </c>
      <c r="AD21" s="56">
        <f>IFERROR(INDEX('Monthly VOL'!$N$2:$CG$65,MATCH($D21,'Monthly VOL'!$D$2:$D$65,0),MATCH(AD$1,'Monthly VOL'!$N$1:$CG$1,0))/INDEX('Monthly CUST'!$N$2:$CG$65,MATCH($D21,'Monthly CUST'!$D$2:$D$65,0),MATCH(AD$1,'Monthly CUST'!$N$1:$CG$1,0)),0)</f>
        <v>1136.8867071320174</v>
      </c>
      <c r="AE21" s="56">
        <f>IFERROR(INDEX('Monthly VOL'!$N$2:$CG$65,MATCH($D21,'Monthly VOL'!$D$2:$D$65,0),MATCH(AE$1,'Monthly VOL'!$N$1:$CG$1,0))/INDEX('Monthly CUST'!$N$2:$CG$65,MATCH($D21,'Monthly CUST'!$D$2:$D$65,0),MATCH(AE$1,'Monthly CUST'!$N$1:$CG$1,0)),0)</f>
        <v>1111.7205319148929</v>
      </c>
      <c r="AF21" s="56">
        <f>IFERROR(INDEX('Monthly VOL'!$N$2:$CG$65,MATCH($D21,'Monthly VOL'!$D$2:$D$65,0),MATCH(AF$1,'Monthly VOL'!$N$1:$CG$1,0))/INDEX('Monthly CUST'!$N$2:$CG$65,MATCH($D21,'Monthly CUST'!$D$2:$D$65,0),MATCH(AF$1,'Monthly CUST'!$N$1:$CG$1,0)),0)</f>
        <v>987.88398461538475</v>
      </c>
      <c r="AG21" s="56">
        <f>IFERROR(INDEX('Monthly VOL'!$N$2:$CG$65,MATCH($D21,'Monthly VOL'!$D$2:$D$65,0),MATCH(AG$1,'Monthly VOL'!$N$1:$CG$1,0))/INDEX('Monthly CUST'!$N$2:$CG$65,MATCH($D21,'Monthly CUST'!$D$2:$D$65,0),MATCH(AG$1,'Monthly CUST'!$N$1:$CG$1,0)),0)</f>
        <v>1022.0080395136788</v>
      </c>
      <c r="AH21" s="56">
        <f>IFERROR(INDEX('Monthly VOL'!$N$2:$CG$65,MATCH($D21,'Monthly VOL'!$D$2:$D$65,0),MATCH(AH$1,'Monthly VOL'!$N$1:$CG$1,0))/INDEX('Monthly CUST'!$N$2:$CG$65,MATCH($D21,'Monthly CUST'!$D$2:$D$65,0),MATCH(AH$1,'Monthly CUST'!$N$1:$CG$1,0)),0)</f>
        <v>886.81883969465571</v>
      </c>
      <c r="AI21" s="56">
        <f>IFERROR(INDEX('Monthly VOL'!$N$2:$CG$65,MATCH($D21,'Monthly VOL'!$D$2:$D$65,0),MATCH(AI$1,'Monthly VOL'!$N$1:$CG$1,0))/INDEX('Monthly CUST'!$N$2:$CG$65,MATCH($D21,'Monthly CUST'!$D$2:$D$65,0),MATCH(AI$1,'Monthly CUST'!$N$1:$CG$1,0)),0)</f>
        <v>979.92317972350213</v>
      </c>
      <c r="AJ21" s="56">
        <f>IFERROR(INDEX('Monthly VOL'!$N$2:$CG$65,MATCH($D21,'Monthly VOL'!$D$2:$D$65,0),MATCH(AJ$1,'Monthly VOL'!$N$1:$CG$1,0))/INDEX('Monthly CUST'!$N$2:$CG$65,MATCH($D21,'Monthly CUST'!$D$2:$D$65,0),MATCH(AJ$1,'Monthly CUST'!$N$1:$CG$1,0)),0)</f>
        <v>1179.8437557959821</v>
      </c>
      <c r="AK21" s="56">
        <f>IFERROR(INDEX('Monthly VOL'!$N$2:$CG$65,MATCH($D21,'Monthly VOL'!$D$2:$D$65,0),MATCH(AK$1,'Monthly VOL'!$N$1:$CG$1,0))/INDEX('Monthly CUST'!$N$2:$CG$65,MATCH($D21,'Monthly CUST'!$D$2:$D$65,0),MATCH(AK$1,'Monthly CUST'!$N$1:$CG$1,0)),0)</f>
        <v>1359.1765895061731</v>
      </c>
      <c r="AL21" s="56">
        <f>IFERROR(INDEX('Monthly VOL'!$N$2:$CG$65,MATCH($D21,'Monthly VOL'!$D$2:$D$65,0),MATCH(AL$1,'Monthly VOL'!$N$1:$CG$1,0))/INDEX('Monthly CUST'!$N$2:$CG$65,MATCH($D21,'Monthly CUST'!$D$2:$D$65,0),MATCH(AL$1,'Monthly CUST'!$N$1:$CG$1,0)),0)</f>
        <v>1501.8132511556237</v>
      </c>
      <c r="AM21" s="56">
        <f>IFERROR(INDEX('Monthly VOL'!$N$2:$CG$65,MATCH($D21,'Monthly VOL'!$D$2:$D$65,0),MATCH(AM$1,'Monthly VOL'!$N$1:$CG$1,0))/INDEX('Monthly CUST'!$N$2:$CG$65,MATCH($D21,'Monthly CUST'!$D$2:$D$65,0),MATCH(AM$1,'Monthly CUST'!$N$1:$CG$1,0)),0)</f>
        <v>1353.1971580547106</v>
      </c>
      <c r="AN21" s="56">
        <f>IFERROR(INDEX('Monthly VOL'!$N$2:$CG$65,MATCH($D21,'Monthly VOL'!$D$2:$D$65,0),MATCH(AN$1,'Monthly VOL'!$N$1:$CG$1,0))/INDEX('Monthly CUST'!$N$2:$CG$65,MATCH($D21,'Monthly CUST'!$D$2:$D$65,0),MATCH(AN$1,'Monthly CUST'!$N$1:$CG$1,0)),0)</f>
        <v>1157.3582831325307</v>
      </c>
      <c r="AO21" s="56">
        <f>IFERROR(INDEX('Monthly VOL'!$N$2:$CG$65,MATCH($D21,'Monthly VOL'!$D$2:$D$65,0),MATCH(AO$1,'Monthly VOL'!$N$1:$CG$1,0))/INDEX('Monthly CUST'!$N$2:$CG$65,MATCH($D21,'Monthly CUST'!$D$2:$D$65,0),MATCH(AO$1,'Monthly CUST'!$N$1:$CG$1,0)),0)</f>
        <v>787.51748865355501</v>
      </c>
      <c r="AP21" s="56">
        <f>IFERROR(INDEX('Monthly VOL'!$N$2:$CG$65,MATCH($D21,'Monthly VOL'!$D$2:$D$65,0),MATCH(AP$1,'Monthly VOL'!$N$1:$CG$1,0))/INDEX('Monthly CUST'!$N$2:$CG$65,MATCH($D21,'Monthly CUST'!$D$2:$D$65,0),MATCH(AP$1,'Monthly CUST'!$N$1:$CG$1,0)),0)</f>
        <v>816.76472392637925</v>
      </c>
      <c r="AQ21" s="56">
        <f>IFERROR(INDEX('Monthly VOL'!$N$2:$CG$65,MATCH($D21,'Monthly VOL'!$D$2:$D$65,0),MATCH(AQ$1,'Monthly VOL'!$N$1:$CG$1,0))/INDEX('Monthly CUST'!$N$2:$CG$65,MATCH($D21,'Monthly CUST'!$D$2:$D$65,0),MATCH(AQ$1,'Monthly CUST'!$N$1:$CG$1,0)),0)</f>
        <v>780.28667697063383</v>
      </c>
      <c r="AR21" s="56">
        <f>IFERROR(INDEX('Monthly VOL'!$N$2:$CG$65,MATCH($D21,'Monthly VOL'!$D$2:$D$65,0),MATCH(AR$1,'Monthly VOL'!$N$1:$CG$1,0))/INDEX('Monthly CUST'!$N$2:$CG$65,MATCH($D21,'Monthly CUST'!$D$2:$D$65,0),MATCH(AR$1,'Monthly CUST'!$N$1:$CG$1,0)),0)</f>
        <v>854.08184615384573</v>
      </c>
      <c r="AS21" s="56">
        <f>IFERROR(INDEX('Monthly VOL'!$N$2:$CG$65,MATCH($D21,'Monthly VOL'!$D$2:$D$65,0),MATCH(AS$1,'Monthly VOL'!$N$1:$CG$1,0))/INDEX('Monthly CUST'!$N$2:$CG$65,MATCH($D21,'Monthly CUST'!$D$2:$D$65,0),MATCH(AS$1,'Monthly CUST'!$N$1:$CG$1,0)),0)</f>
        <v>858.89062208398229</v>
      </c>
      <c r="AT21" s="56">
        <f>IFERROR(INDEX('Monthly VOL'!$N$2:$CG$65,MATCH($D21,'Monthly VOL'!$D$2:$D$65,0),MATCH(AT$1,'Monthly VOL'!$N$1:$CG$1,0))/INDEX('Monthly CUST'!$N$2:$CG$65,MATCH($D21,'Monthly CUST'!$D$2:$D$65,0),MATCH(AT$1,'Monthly CUST'!$N$1:$CG$1,0)),0)</f>
        <v>775.77913043478247</v>
      </c>
      <c r="AU21" s="56">
        <f>IFERROR(INDEX('Monthly VOL'!$N$2:$CG$65,MATCH($D21,'Monthly VOL'!$D$2:$D$65,0),MATCH(AU$1,'Monthly VOL'!$N$1:$CG$1,0))/INDEX('Monthly CUST'!$N$2:$CG$65,MATCH($D21,'Monthly CUST'!$D$2:$D$65,0),MATCH(AU$1,'Monthly CUST'!$N$1:$CG$1,0)),0)</f>
        <v>829.64108191653736</v>
      </c>
      <c r="AV21" s="56">
        <f>IFERROR(INDEX('Monthly VOL'!$N$2:$CG$65,MATCH($D21,'Monthly VOL'!$D$2:$D$65,0),MATCH(AV$1,'Monthly VOL'!$N$1:$CG$1,0))/INDEX('Monthly CUST'!$N$2:$CG$65,MATCH($D21,'Monthly CUST'!$D$2:$D$65,0),MATCH(AV$1,'Monthly CUST'!$N$1:$CG$1,0)),0)</f>
        <v>972.11409509202406</v>
      </c>
      <c r="AW21" s="56">
        <f>IFERROR(INDEX('Monthly VOL'!$N$2:$CG$65,MATCH($D21,'Monthly VOL'!$D$2:$D$65,0),MATCH(AW$1,'Monthly VOL'!$N$1:$CG$1,0))/INDEX('Monthly CUST'!$N$2:$CG$65,MATCH($D21,'Monthly CUST'!$D$2:$D$65,0),MATCH(AW$1,'Monthly CUST'!$N$1:$CG$1,0)),0)</f>
        <v>1119.143729071536</v>
      </c>
      <c r="AX21" s="56">
        <f>IFERROR(INDEX('Monthly VOL'!$N$2:$CG$65,MATCH($D21,'Monthly VOL'!$D$2:$D$65,0),MATCH(AX$1,'Monthly VOL'!$N$1:$CG$1,0))/INDEX('Monthly CUST'!$N$2:$CG$65,MATCH($D21,'Monthly CUST'!$D$2:$D$65,0),MATCH(AX$1,'Monthly CUST'!$N$1:$CG$1,0)),0)</f>
        <v>1354.3189701492531</v>
      </c>
      <c r="AY21" s="56">
        <f>IFERROR(INDEX('Monthly VOL'!$N$2:$CG$65,MATCH($D21,'Monthly VOL'!$D$2:$D$65,0),MATCH(AY$1,'Monthly VOL'!$N$1:$CG$1,0))/INDEX('Monthly CUST'!$N$2:$CG$65,MATCH($D21,'Monthly CUST'!$D$2:$D$65,0),MATCH(AY$1,'Monthly CUST'!$N$1:$CG$1,0)),0)</f>
        <v>1257.6483060921246</v>
      </c>
      <c r="AZ21" s="56">
        <f>IFERROR(INDEX('Monthly VOL'!$N$2:$CG$65,MATCH($D21,'Monthly VOL'!$D$2:$D$65,0),MATCH(AZ$1,'Monthly VOL'!$N$1:$CG$1,0))/INDEX('Monthly CUST'!$N$2:$CG$65,MATCH($D21,'Monthly CUST'!$D$2:$D$65,0),MATCH(AZ$1,'Monthly CUST'!$N$1:$CG$1,0)),0)</f>
        <v>1098.3295671641793</v>
      </c>
      <c r="BA21" s="56">
        <f>IFERROR(INDEX('Monthly VOL'!$N$2:$CG$65,MATCH($D21,'Monthly VOL'!$D$2:$D$65,0),MATCH(BA$1,'Monthly VOL'!$N$1:$CG$1,0))/INDEX('Monthly CUST'!$N$2:$CG$65,MATCH($D21,'Monthly CUST'!$D$2:$D$65,0),MATCH(BA$1,'Monthly CUST'!$N$1:$CG$1,0)),0)</f>
        <v>1301.4461503759385</v>
      </c>
      <c r="BB21" s="56">
        <f>IFERROR(INDEX('Monthly VOL'!$N$2:$CG$65,MATCH($D21,'Monthly VOL'!$D$2:$D$65,0),MATCH(BB$1,'Monthly VOL'!$N$1:$CG$1,0))/INDEX('Monthly CUST'!$N$2:$CG$65,MATCH($D21,'Monthly CUST'!$D$2:$D$65,0),MATCH(BB$1,'Monthly CUST'!$N$1:$CG$1,0)),0)</f>
        <v>1041.9168412942977</v>
      </c>
      <c r="BC21" s="56">
        <f>IFERROR(INDEX('Monthly VOL'!$N$2:$CG$65,MATCH($D21,'Monthly VOL'!$D$2:$D$65,0),MATCH(BC$1,'Monthly VOL'!$N$1:$CG$1,0))/INDEX('Monthly CUST'!$N$2:$CG$65,MATCH($D21,'Monthly CUST'!$D$2:$D$65,0),MATCH(BC$1,'Monthly CUST'!$N$1:$CG$1,0)),0)</f>
        <v>913.42010687022855</v>
      </c>
      <c r="BD21" s="56">
        <f>IFERROR(INDEX('Monthly VOL'!$N$2:$CG$65,MATCH($D21,'Monthly VOL'!$D$2:$D$65,0),MATCH(BD$1,'Monthly VOL'!$N$1:$CG$1,0))/INDEX('Monthly CUST'!$N$2:$CG$65,MATCH($D21,'Monthly CUST'!$D$2:$D$65,0),MATCH(BD$1,'Monthly CUST'!$N$1:$CG$1,0)),0)</f>
        <v>963.63209480122259</v>
      </c>
      <c r="BE21" s="56">
        <f>IFERROR(INDEX('Monthly VOL'!$N$2:$CG$65,MATCH($D21,'Monthly VOL'!$D$2:$D$65,0),MATCH(BE$1,'Monthly VOL'!$N$1:$CG$1,0))/INDEX('Monthly CUST'!$N$2:$CG$65,MATCH($D21,'Monthly CUST'!$D$2:$D$65,0),MATCH(BE$1,'Monthly CUST'!$N$1:$CG$1,0)),0)</f>
        <v>810.6684000000007</v>
      </c>
      <c r="BF21" s="56">
        <f>IFERROR(INDEX('Monthly VOL'!$N$2:$CG$65,MATCH($D21,'Monthly VOL'!$D$2:$D$65,0),MATCH(BF$1,'Monthly VOL'!$N$1:$CG$1,0))/INDEX('Monthly CUST'!$N$2:$CG$65,MATCH($D21,'Monthly CUST'!$D$2:$D$65,0),MATCH(BF$1,'Monthly CUST'!$N$1:$CG$1,0)),0)</f>
        <v>824.86897990726425</v>
      </c>
      <c r="BG21" s="56">
        <f>IFERROR(INDEX('Monthly VOL'!$N$2:$CG$65,MATCH($D21,'Monthly VOL'!$D$2:$D$65,0),MATCH(BG$1,'Monthly VOL'!$N$1:$CG$1,0))/INDEX('Monthly CUST'!$N$2:$CG$65,MATCH($D21,'Monthly CUST'!$D$2:$D$65,0),MATCH(BG$1,'Monthly CUST'!$N$1:$CG$1,0)),0)</f>
        <v>863.31542372881313</v>
      </c>
      <c r="BH21" s="56">
        <f>IFERROR(INDEX('Monthly VOL'!$N$2:$CG$65,MATCH($D21,'Monthly VOL'!$D$2:$D$65,0),MATCH(BH$1,'Monthly VOL'!$N$1:$CG$1,0))/INDEX('Monthly CUST'!$N$2:$CG$65,MATCH($D21,'Monthly CUST'!$D$2:$D$65,0),MATCH(BH$1,'Monthly CUST'!$N$1:$CG$1,0)),0)</f>
        <v>934.9873323170724</v>
      </c>
      <c r="BI21" s="56">
        <f>IFERROR(INDEX('Monthly VOL'!$N$2:$CG$65,MATCH($D21,'Monthly VOL'!$D$2:$D$65,0),MATCH(BI$1,'Monthly VOL'!$N$1:$CG$1,0))/INDEX('Monthly CUST'!$N$2:$CG$65,MATCH($D21,'Monthly CUST'!$D$2:$D$65,0),MATCH(BI$1,'Monthly CUST'!$N$1:$CG$1,0)),0)</f>
        <v>1068.9396380090509</v>
      </c>
      <c r="BJ21" s="56">
        <f>IFERROR(INDEX('Monthly VOL'!$N$2:$CG$65,MATCH($D21,'Monthly VOL'!$D$2:$D$65,0),MATCH(BJ$1,'Monthly VOL'!$N$1:$CG$1,0))/INDEX('Monthly CUST'!$N$2:$CG$65,MATCH($D21,'Monthly CUST'!$D$2:$D$65,0),MATCH(BJ$1,'Monthly CUST'!$N$1:$CG$1,0)),0)</f>
        <v>1330.8071633120828</v>
      </c>
      <c r="BK21" s="56">
        <f>IFERROR(INDEX('Monthly VOL'!$N$2:$CG$65,MATCH($D21,'Monthly VOL'!$D$2:$D$65,0),MATCH(BK$1,'Monthly VOL'!$N$1:$CG$1,0))/INDEX('Monthly CUST'!$N$2:$CG$65,MATCH($D21,'Monthly CUST'!$D$2:$D$65,0),MATCH(BK$1,'Monthly CUST'!$N$1:$CG$1,0)),0)</f>
        <v>1235.8147611934114</v>
      </c>
      <c r="BL21" s="56">
        <f>IFERROR(INDEX('Monthly VOL'!$N$2:$CG$65,MATCH($D21,'Monthly VOL'!$D$2:$D$65,0),MATCH(BL$1,'Monthly VOL'!$N$1:$CG$1,0))/INDEX('Monthly CUST'!$N$2:$CG$65,MATCH($D21,'Monthly CUST'!$D$2:$D$65,0),MATCH(BL$1,'Monthly CUST'!$N$1:$CG$1,0)),0)</f>
        <v>1079.2618931553959</v>
      </c>
      <c r="BM21" s="56">
        <f>IFERROR(INDEX('Monthly VOL'!$N$2:$CG$65,MATCH($D21,'Monthly VOL'!$D$2:$D$65,0),MATCH(BM$1,'Monthly VOL'!$N$1:$CG$1,0))/INDEX('Monthly CUST'!$N$2:$CG$65,MATCH($D21,'Monthly CUST'!$D$2:$D$65,0),MATCH(BM$1,'Monthly CUST'!$N$1:$CG$1,0)),0)</f>
        <v>1278.8522480744402</v>
      </c>
      <c r="BN21" s="56">
        <f>IFERROR(INDEX('Monthly VOL'!$N$2:$CG$65,MATCH($D21,'Monthly VOL'!$D$2:$D$65,0),MATCH(BN$1,'Monthly VOL'!$N$1:$CG$1,0))/INDEX('Monthly CUST'!$N$2:$CG$65,MATCH($D21,'Monthly CUST'!$D$2:$D$65,0),MATCH(BN$1,'Monthly CUST'!$N$1:$CG$1,0)),0)</f>
        <v>1023.8285267592021</v>
      </c>
      <c r="BO21" s="56">
        <f>IFERROR(INDEX('Monthly VOL'!$N$2:$CG$65,MATCH($D21,'Monthly VOL'!$D$2:$D$65,0),MATCH(BO$1,'Monthly VOL'!$N$1:$CG$1,0))/INDEX('Monthly CUST'!$N$2:$CG$65,MATCH($D21,'Monthly CUST'!$D$2:$D$65,0),MATCH(BO$1,'Monthly CUST'!$N$1:$CG$1,0)),0)</f>
        <v>897.56257434851148</v>
      </c>
      <c r="BP21" s="56">
        <f>IFERROR(INDEX('Monthly VOL'!$N$2:$CG$65,MATCH($D21,'Monthly VOL'!$D$2:$D$65,0),MATCH(BP$1,'Monthly VOL'!$N$1:$CG$1,0))/INDEX('Monthly CUST'!$N$2:$CG$65,MATCH($D21,'Monthly CUST'!$D$2:$D$65,0),MATCH(BP$1,'Monthly CUST'!$N$1:$CG$1,0)),0)</f>
        <v>946.90285141436573</v>
      </c>
      <c r="BQ21" s="56">
        <f>IFERROR(INDEX('Monthly VOL'!$N$2:$CG$65,MATCH($D21,'Monthly VOL'!$D$2:$D$65,0),MATCH(BQ$1,'Monthly VOL'!$N$1:$CG$1,0))/INDEX('Monthly CUST'!$N$2:$CG$65,MATCH($D21,'Monthly CUST'!$D$2:$D$65,0),MATCH(BQ$1,'Monthly CUST'!$N$1:$CG$1,0)),0)</f>
        <v>796.59470004459251</v>
      </c>
      <c r="BR21" s="56">
        <f>IFERROR(INDEX('Monthly VOL'!$N$2:$CG$65,MATCH($D21,'Monthly VOL'!$D$2:$D$65,0),MATCH(BR$1,'Monthly VOL'!$N$1:$CG$1,0))/INDEX('Monthly CUST'!$N$2:$CG$65,MATCH($D21,'Monthly CUST'!$D$2:$D$65,0),MATCH(BR$1,'Monthly CUST'!$N$1:$CG$1,0)),0)</f>
        <v>810.54874918686301</v>
      </c>
      <c r="BS21" s="56">
        <f>IFERROR(INDEX('Monthly VOL'!$N$2:$CG$65,MATCH($D21,'Monthly VOL'!$D$2:$D$65,0),MATCH(BS$1,'Monthly VOL'!$N$1:$CG$1,0))/INDEX('Monthly CUST'!$N$2:$CG$65,MATCH($D21,'Monthly CUST'!$D$2:$D$65,0),MATCH(BS$1,'Monthly CUST'!$N$1:$CG$1,0)),0)</f>
        <v>848.32773919536487</v>
      </c>
      <c r="BT21" s="56">
        <f>IFERROR(INDEX('Monthly VOL'!$N$2:$CG$65,MATCH($D21,'Monthly VOL'!$D$2:$D$65,0),MATCH(BT$1,'Monthly VOL'!$N$1:$CG$1,0))/INDEX('Monthly CUST'!$N$2:$CG$65,MATCH($D21,'Monthly CUST'!$D$2:$D$65,0),MATCH(BT$1,'Monthly CUST'!$N$1:$CG$1,0)),0)</f>
        <v>918.75537955175184</v>
      </c>
      <c r="BU21" s="56">
        <f>IFERROR(INDEX('Monthly VOL'!$N$2:$CG$65,MATCH($D21,'Monthly VOL'!$D$2:$D$65,0),MATCH(BU$1,'Monthly VOL'!$N$1:$CG$1,0))/INDEX('Monthly CUST'!$N$2:$CG$65,MATCH($D21,'Monthly CUST'!$D$2:$D$65,0),MATCH(BU$1,'Monthly CUST'!$N$1:$CG$1,0)),0)</f>
        <v>1050.3821911716238</v>
      </c>
      <c r="BV21" s="56">
        <f>IFERROR(INDEX('Monthly VOL'!$N$2:$CG$65,MATCH($D21,'Monthly VOL'!$D$2:$D$65,0),MATCH(BV$1,'Monthly VOL'!$N$1:$CG$1,0))/INDEX('Monthly CUST'!$N$2:$CG$65,MATCH($D21,'Monthly CUST'!$D$2:$D$65,0),MATCH(BV$1,'Monthly CUST'!$N$1:$CG$1,0)),0)</f>
        <v>1307.7035358425007</v>
      </c>
      <c r="BW21" s="56">
        <f>IFERROR(INDEX('Monthly VOL'!$N$2:$CG$65,MATCH($D21,'Monthly VOL'!$D$2:$D$65,0),MATCH(BW$1,'Monthly VOL'!$N$1:$CG$1,0))/INDEX('Monthly CUST'!$N$2:$CG$65,MATCH($D21,'Monthly CUST'!$D$2:$D$65,0),MATCH(BW$1,'Monthly CUST'!$N$1:$CG$1,0)),0)</f>
        <v>1214.3602600071058</v>
      </c>
      <c r="BX21" s="56">
        <f>IFERROR(INDEX('Monthly VOL'!$N$2:$CG$65,MATCH($D21,'Monthly VOL'!$D$2:$D$65,0),MATCH(BX$1,'Monthly VOL'!$N$1:$CG$1,0))/INDEX('Monthly CUST'!$N$2:$CG$65,MATCH($D21,'Monthly CUST'!$D$2:$D$65,0),MATCH(BX$1,'Monthly CUST'!$N$1:$CG$1,0)),0)</f>
        <v>1060.5252456462852</v>
      </c>
      <c r="BY21" s="56">
        <f>IFERROR(INDEX('Monthly VOL'!$N$2:$CG$65,MATCH($D21,'Monthly VOL'!$D$2:$D$65,0),MATCH(BY$1,'Monthly VOL'!$N$1:$CG$1,0))/INDEX('Monthly CUST'!$N$2:$CG$65,MATCH($D21,'Monthly CUST'!$D$2:$D$65,0),MATCH(BY$1,'Monthly CUST'!$N$1:$CG$1,0)),0)</f>
        <v>1256.6505897555778</v>
      </c>
      <c r="BZ21" s="56">
        <f>IFERROR(INDEX('Monthly VOL'!$N$2:$CG$65,MATCH($D21,'Monthly VOL'!$D$2:$D$65,0),MATCH(BZ$1,'Monthly VOL'!$N$1:$CG$1,0))/INDEX('Monthly CUST'!$N$2:$CG$65,MATCH($D21,'Monthly CUST'!$D$2:$D$65,0),MATCH(BZ$1,'Monthly CUST'!$N$1:$CG$1,0)),0)</f>
        <v>1006.0542364434617</v>
      </c>
      <c r="CA21" s="56">
        <f>IFERROR(INDEX('Monthly VOL'!$N$2:$CG$65,MATCH($D21,'Monthly VOL'!$D$2:$D$65,0),MATCH(CA$1,'Monthly VOL'!$N$1:$CG$1,0))/INDEX('Monthly CUST'!$N$2:$CG$65,MATCH($D21,'Monthly CUST'!$D$2:$D$65,0),MATCH(CA$1,'Monthly CUST'!$N$1:$CG$1,0)),0)</f>
        <v>881.98033830405154</v>
      </c>
      <c r="CB21" s="56">
        <f>IFERROR(INDEX('Monthly VOL'!$N$2:$CG$65,MATCH($D21,'Monthly VOL'!$D$2:$D$65,0),MATCH(CB$1,'Monthly VOL'!$N$1:$CG$1,0))/INDEX('Monthly CUST'!$N$2:$CG$65,MATCH($D21,'Monthly CUST'!$D$2:$D$65,0),MATCH(CB$1,'Monthly CUST'!$N$1:$CG$1,0)),0)</f>
        <v>930.4640379393046</v>
      </c>
      <c r="CC21" s="56">
        <f>IFERROR(INDEX('Monthly VOL'!$N$2:$CG$65,MATCH($D21,'Monthly VOL'!$D$2:$D$65,0),MATCH(CC$1,'Monthly VOL'!$N$1:$CG$1,0))/INDEX('Monthly CUST'!$N$2:$CG$65,MATCH($D21,'Monthly CUST'!$D$2:$D$65,0),MATCH(CC$1,'Monthly CUST'!$N$1:$CG$1,0)),0)</f>
        <v>782.76532814049961</v>
      </c>
      <c r="CD21" s="56">
        <f>IFERROR(INDEX('Monthly VOL'!$N$2:$CG$65,MATCH($D21,'Monthly VOL'!$D$2:$D$65,0),MATCH(CD$1,'Monthly VOL'!$N$1:$CG$1,0))/INDEX('Monthly CUST'!$N$2:$CG$65,MATCH($D21,'Monthly CUST'!$D$2:$D$65,0),MATCH(CD$1,'Monthly CUST'!$N$1:$CG$1,0)),0)</f>
        <v>796.47712644285673</v>
      </c>
      <c r="CE21" s="56">
        <f>IFERROR(INDEX('Monthly VOL'!$N$2:$CG$65,MATCH($D21,'Monthly VOL'!$D$2:$D$65,0),MATCH(CE$1,'Monthly VOL'!$N$1:$CG$1,0))/INDEX('Monthly CUST'!$N$2:$CG$65,MATCH($D21,'Monthly CUST'!$D$2:$D$65,0),MATCH(CE$1,'Monthly CUST'!$N$1:$CG$1,0)),0)</f>
        <v>833.60025004531872</v>
      </c>
      <c r="CF21" s="56">
        <f>IFERROR(INDEX('Monthly VOL'!$N$2:$CG$65,MATCH($D21,'Monthly VOL'!$D$2:$D$65,0),MATCH(CF$1,'Monthly VOL'!$N$1:$CG$1,0))/INDEX('Monthly CUST'!$N$2:$CG$65,MATCH($D21,'Monthly CUST'!$D$2:$D$65,0),MATCH(CF$1,'Monthly CUST'!$N$1:$CG$1,0)),0)</f>
        <v>902.80522342844847</v>
      </c>
      <c r="CG21" s="56">
        <f>IFERROR(INDEX('Monthly VOL'!$N$2:$CG$65,MATCH($D21,'Monthly VOL'!$D$2:$D$65,0),MATCH(CG$1,'Monthly VOL'!$N$1:$CG$1,0))/INDEX('Monthly CUST'!$N$2:$CG$65,MATCH($D21,'Monthly CUST'!$D$2:$D$65,0),MATCH(CG$1,'Monthly CUST'!$N$1:$CG$1,0)),0)</f>
        <v>1032.1469129776624</v>
      </c>
      <c r="CH21" s="264"/>
      <c r="CI21" s="264"/>
      <c r="CJ21" s="264"/>
      <c r="CM21" s="569">
        <f t="shared" si="0"/>
        <v>1426.1152599544787</v>
      </c>
      <c r="CN21" s="569">
        <f t="shared" si="1"/>
        <v>1305.6992387996954</v>
      </c>
      <c r="CO21" s="569">
        <f t="shared" si="2"/>
        <v>1144.7357711622981</v>
      </c>
      <c r="CP21" s="569">
        <f t="shared" si="3"/>
        <v>1124.4137167805704</v>
      </c>
      <c r="CQ21" s="569">
        <f t="shared" si="4"/>
        <v>998.5227574508981</v>
      </c>
      <c r="CR21" s="569">
        <f t="shared" si="5"/>
        <v>935.14243858525185</v>
      </c>
      <c r="CS21" s="569">
        <f t="shared" si="6"/>
        <v>935.19930852348443</v>
      </c>
      <c r="CT21" s="569">
        <f t="shared" si="7"/>
        <v>897.18902053255385</v>
      </c>
      <c r="CU21" s="569">
        <f t="shared" si="8"/>
        <v>829.15565001223422</v>
      </c>
      <c r="CV21" s="569">
        <f t="shared" si="9"/>
        <v>890.95989512295091</v>
      </c>
      <c r="CW21" s="569">
        <f t="shared" si="10"/>
        <v>1028.9817277350262</v>
      </c>
      <c r="CX21" s="569">
        <f t="shared" si="11"/>
        <v>1182.4199855289201</v>
      </c>
      <c r="CY21" s="569">
        <f t="shared" si="12"/>
        <v>1426.1152599544787</v>
      </c>
      <c r="CZ21" s="569">
        <f t="shared" si="13"/>
        <v>1305.6992387996954</v>
      </c>
      <c r="DA21" s="569">
        <f t="shared" si="14"/>
        <v>1144.7357711622981</v>
      </c>
      <c r="DB21" s="569">
        <f t="shared" si="15"/>
        <v>1124.4137167805704</v>
      </c>
      <c r="DC21" s="569">
        <f t="shared" si="16"/>
        <v>998.5227574508981</v>
      </c>
      <c r="DD21" s="569">
        <f t="shared" si="17"/>
        <v>935.14243858525185</v>
      </c>
      <c r="DE21" s="569">
        <f t="shared" si="18"/>
        <v>935.19930852348443</v>
      </c>
      <c r="DF21" s="569">
        <f t="shared" si="19"/>
        <v>897.18902053255385</v>
      </c>
      <c r="DG21" s="569">
        <f t="shared" si="20"/>
        <v>829.15565001223422</v>
      </c>
      <c r="DH21" s="569">
        <f t="shared" si="21"/>
        <v>890.95989512295091</v>
      </c>
      <c r="DI21" s="569">
        <f t="shared" si="22"/>
        <v>1028.9817277350262</v>
      </c>
      <c r="DJ21" s="569">
        <f t="shared" si="23"/>
        <v>1182.4199855289201</v>
      </c>
    </row>
    <row r="22" spans="1:114" s="261" customFormat="1">
      <c r="A22" s="55" t="s">
        <v>15</v>
      </c>
      <c r="B22" s="55" t="s">
        <v>993</v>
      </c>
      <c r="C22" s="55" t="s">
        <v>1245</v>
      </c>
      <c r="D22" s="55" t="s">
        <v>46</v>
      </c>
      <c r="E22" s="55" t="str">
        <f>VLOOKUP(D22,'Input 14_Ref Table'!C:D,2,FALSE)</f>
        <v>GLT91</v>
      </c>
      <c r="F22" s="172" t="s">
        <v>1286</v>
      </c>
      <c r="G22" s="55" t="str">
        <f>VLOOKUP(D22,'Input 14_Ref Table'!C:I,7,FALSE)</f>
        <v>FPU - FPU - LVTS &gt;50k</v>
      </c>
      <c r="H22" s="55" t="str">
        <f>VLOOKUP(D22,'Input 14_Ref Table'!C:K,8,FALSE)</f>
        <v>LVS</v>
      </c>
      <c r="I22" s="55" t="e">
        <f>INDEX(#REF!,MATCH(D22,#REF!,0))</f>
        <v>#REF!</v>
      </c>
      <c r="J22" s="261" t="str">
        <f>INDEX('Master '!$AD$2:AD$65,MATCH(D22,'Master '!$D$2:$D$65,0))</f>
        <v>UPC Growth Rate</v>
      </c>
      <c r="K22" s="567">
        <f>INDEX('Master '!$N$2:N$65,MATCH(D22,'Master '!$D$2:$D$65,0))</f>
        <v>1.1133093100946111E-2</v>
      </c>
      <c r="L22" s="290">
        <f>INDEX('Master '!$S$2:S$65,MATCH(D22,'Master '!$D$2:$D$65,0))</f>
        <v>-1.7360612496315646E-2</v>
      </c>
      <c r="M22" s="1">
        <f>INDEX('Master '!$W$2:W$65,MATCH(D22,'Master '!$D$2:$D$65,0))</f>
        <v>19502.099999999999</v>
      </c>
      <c r="N22" s="56">
        <f>IFERROR(INDEX('Monthly VOL'!$N$2:$CG$65,MATCH($D22,'Monthly VOL'!$D$2:$D$65,0),MATCH(N$1,'Monthly VOL'!$N$1:$CG$1,0))/INDEX('Monthly CUST'!$N$2:$CG$65,MATCH($D22,'Monthly CUST'!$D$2:$D$65,0),MATCH(N$1,'Monthly CUST'!$N$1:$CG$1,0)),0)</f>
        <v>2572.9717489539748</v>
      </c>
      <c r="O22" s="56">
        <f>IFERROR(INDEX('Monthly VOL'!$N$2:$CG$65,MATCH($D22,'Monthly VOL'!$D$2:$D$65,0),MATCH(O$1,'Monthly VOL'!$N$1:$CG$1,0))/INDEX('Monthly CUST'!$N$2:$CG$65,MATCH($D22,'Monthly CUST'!$D$2:$D$65,0),MATCH(O$1,'Monthly CUST'!$N$1:$CG$1,0)),0)</f>
        <v>2372.1636560934894</v>
      </c>
      <c r="P22" s="56">
        <f>IFERROR(INDEX('Monthly VOL'!$N$2:$CG$65,MATCH($D22,'Monthly VOL'!$D$2:$D$65,0),MATCH(P$1,'Monthly VOL'!$N$1:$CG$1,0))/INDEX('Monthly CUST'!$N$2:$CG$65,MATCH($D22,'Monthly CUST'!$D$2:$D$65,0),MATCH(P$1,'Monthly CUST'!$N$1:$CG$1,0)),0)</f>
        <v>2325.3919999999989</v>
      </c>
      <c r="Q22" s="56">
        <f>IFERROR(INDEX('Monthly VOL'!$N$2:$CG$65,MATCH($D22,'Monthly VOL'!$D$2:$D$65,0),MATCH(Q$1,'Monthly VOL'!$N$1:$CG$1,0))/INDEX('Monthly CUST'!$N$2:$CG$65,MATCH($D22,'Monthly CUST'!$D$2:$D$65,0),MATCH(Q$1,'Monthly CUST'!$N$1:$CG$1,0)),0)</f>
        <v>2359.2807030603794</v>
      </c>
      <c r="R22" s="56">
        <f>IFERROR(INDEX('Monthly VOL'!$N$2:$CG$65,MATCH($D22,'Monthly VOL'!$D$2:$D$65,0),MATCH(R$1,'Monthly VOL'!$N$1:$CG$1,0))/INDEX('Monthly CUST'!$N$2:$CG$65,MATCH($D22,'Monthly CUST'!$D$2:$D$65,0),MATCH(R$1,'Monthly CUST'!$N$1:$CG$1,0)),0)</f>
        <v>2202.2803823773893</v>
      </c>
      <c r="S22" s="56">
        <f>IFERROR(INDEX('Monthly VOL'!$N$2:$CG$65,MATCH($D22,'Monthly VOL'!$D$2:$D$65,0),MATCH(S$1,'Monthly VOL'!$N$1:$CG$1,0))/INDEX('Monthly CUST'!$N$2:$CG$65,MATCH($D22,'Monthly CUST'!$D$2:$D$65,0),MATCH(S$1,'Monthly CUST'!$N$1:$CG$1,0)),0)</f>
        <v>2143.1746826051112</v>
      </c>
      <c r="T22" s="56">
        <f>IFERROR(INDEX('Monthly VOL'!$N$2:$CG$65,MATCH($D22,'Monthly VOL'!$D$2:$D$65,0),MATCH(T$1,'Monthly VOL'!$N$1:$CG$1,0))/INDEX('Monthly CUST'!$N$2:$CG$65,MATCH($D22,'Monthly CUST'!$D$2:$D$65,0),MATCH(T$1,'Monthly CUST'!$N$1:$CG$1,0)),0)</f>
        <v>2004.0251681706306</v>
      </c>
      <c r="U22" s="56">
        <f>IFERROR(INDEX('Monthly VOL'!$N$2:$CG$65,MATCH($D22,'Monthly VOL'!$D$2:$D$65,0),MATCH(U$1,'Monthly VOL'!$N$1:$CG$1,0))/INDEX('Monthly CUST'!$N$2:$CG$65,MATCH($D22,'Monthly CUST'!$D$2:$D$65,0),MATCH(U$1,'Monthly CUST'!$N$1:$CG$1,0)),0)</f>
        <v>2043.7752177485615</v>
      </c>
      <c r="V22" s="56">
        <f>IFERROR(INDEX('Monthly VOL'!$N$2:$CG$65,MATCH($D22,'Monthly VOL'!$D$2:$D$65,0),MATCH(V$1,'Monthly VOL'!$N$1:$CG$1,0))/INDEX('Monthly CUST'!$N$2:$CG$65,MATCH($D22,'Monthly CUST'!$D$2:$D$65,0),MATCH(V$1,'Monthly CUST'!$N$1:$CG$1,0)),0)</f>
        <v>2024.6588274153605</v>
      </c>
      <c r="W22" s="56">
        <f>IFERROR(INDEX('Monthly VOL'!$N$2:$CG$65,MATCH($D22,'Monthly VOL'!$D$2:$D$65,0),MATCH(W$1,'Monthly VOL'!$N$1:$CG$1,0))/INDEX('Monthly CUST'!$N$2:$CG$65,MATCH($D22,'Monthly CUST'!$D$2:$D$65,0),MATCH(W$1,'Monthly CUST'!$N$1:$CG$1,0)),0)</f>
        <v>2012.1691936824591</v>
      </c>
      <c r="X22" s="56">
        <f>IFERROR(INDEX('Monthly VOL'!$N$2:$CG$65,MATCH($D22,'Monthly VOL'!$D$2:$D$65,0),MATCH(X$1,'Monthly VOL'!$N$1:$CG$1,0))/INDEX('Monthly CUST'!$N$2:$CG$65,MATCH($D22,'Monthly CUST'!$D$2:$D$65,0),MATCH(X$1,'Monthly CUST'!$N$1:$CG$1,0)),0)</f>
        <v>2231.8265228215773</v>
      </c>
      <c r="Y22" s="56">
        <f>IFERROR(INDEX('Monthly VOL'!$N$2:$CG$65,MATCH($D22,'Monthly VOL'!$D$2:$D$65,0),MATCH(Y$1,'Monthly VOL'!$N$1:$CG$1,0))/INDEX('Monthly CUST'!$N$2:$CG$65,MATCH($D22,'Monthly CUST'!$D$2:$D$65,0),MATCH(Y$1,'Monthly CUST'!$N$1:$CG$1,0)),0)</f>
        <v>2407.4566447908096</v>
      </c>
      <c r="Z22" s="56">
        <f>IFERROR(INDEX('Monthly VOL'!$N$2:$CG$65,MATCH($D22,'Monthly VOL'!$D$2:$D$65,0),MATCH(Z$1,'Monthly VOL'!$N$1:$CG$1,0))/INDEX('Monthly CUST'!$N$2:$CG$65,MATCH($D22,'Monthly CUST'!$D$2:$D$65,0),MATCH(Z$1,'Monthly CUST'!$N$1:$CG$1,0)),0)</f>
        <v>2682.2998775510182</v>
      </c>
      <c r="AA22" s="56">
        <f>IFERROR(INDEX('Monthly VOL'!$N$2:$CG$65,MATCH($D22,'Monthly VOL'!$D$2:$D$65,0),MATCH(AA$1,'Monthly VOL'!$N$1:$CG$1,0))/INDEX('Monthly CUST'!$N$2:$CG$65,MATCH($D22,'Monthly CUST'!$D$2:$D$65,0),MATCH(AA$1,'Monthly CUST'!$N$1:$CG$1,0)),0)</f>
        <v>2369.8539967506094</v>
      </c>
      <c r="AB22" s="56">
        <f>IFERROR(INDEX('Monthly VOL'!$N$2:$CG$65,MATCH($D22,'Monthly VOL'!$D$2:$D$65,0),MATCH(AB$1,'Monthly VOL'!$N$1:$CG$1,0))/INDEX('Monthly CUST'!$N$2:$CG$65,MATCH($D22,'Monthly CUST'!$D$2:$D$65,0),MATCH(AB$1,'Monthly CUST'!$N$1:$CG$1,0)),0)</f>
        <v>2304.7653193209385</v>
      </c>
      <c r="AC22" s="56">
        <f>IFERROR(INDEX('Monthly VOL'!$N$2:$CG$65,MATCH($D22,'Monthly VOL'!$D$2:$D$65,0),MATCH(AC$1,'Monthly VOL'!$N$1:$CG$1,0))/INDEX('Monthly CUST'!$N$2:$CG$65,MATCH($D22,'Monthly CUST'!$D$2:$D$65,0),MATCH(AC$1,'Monthly CUST'!$N$1:$CG$1,0)),0)</f>
        <v>2270.820176848873</v>
      </c>
      <c r="AD22" s="56">
        <f>IFERROR(INDEX('Monthly VOL'!$N$2:$CG$65,MATCH($D22,'Monthly VOL'!$D$2:$D$65,0),MATCH(AD$1,'Monthly VOL'!$N$1:$CG$1,0))/INDEX('Monthly CUST'!$N$2:$CG$65,MATCH($D22,'Monthly CUST'!$D$2:$D$65,0),MATCH(AD$1,'Monthly CUST'!$N$1:$CG$1,0)),0)</f>
        <v>2229.5529190056104</v>
      </c>
      <c r="AE22" s="56">
        <f>IFERROR(INDEX('Monthly VOL'!$N$2:$CG$65,MATCH($D22,'Monthly VOL'!$D$2:$D$65,0),MATCH(AE$1,'Monthly VOL'!$N$1:$CG$1,0))/INDEX('Monthly CUST'!$N$2:$CG$65,MATCH($D22,'Monthly CUST'!$D$2:$D$65,0),MATCH(AE$1,'Monthly CUST'!$N$1:$CG$1,0)),0)</f>
        <v>2022.0405737051778</v>
      </c>
      <c r="AF22" s="56">
        <f>IFERROR(INDEX('Monthly VOL'!$N$2:$CG$65,MATCH($D22,'Monthly VOL'!$D$2:$D$65,0),MATCH(AF$1,'Monthly VOL'!$N$1:$CG$1,0))/INDEX('Monthly CUST'!$N$2:$CG$65,MATCH($D22,'Monthly CUST'!$D$2:$D$65,0),MATCH(AF$1,'Monthly CUST'!$N$1:$CG$1,0)),0)</f>
        <v>1921.1765888978271</v>
      </c>
      <c r="AG22" s="56">
        <f>IFERROR(INDEX('Monthly VOL'!$N$2:$CG$65,MATCH($D22,'Monthly VOL'!$D$2:$D$65,0),MATCH(AG$1,'Monthly VOL'!$N$1:$CG$1,0))/INDEX('Monthly CUST'!$N$2:$CG$65,MATCH($D22,'Monthly CUST'!$D$2:$D$65,0),MATCH(AG$1,'Monthly CUST'!$N$1:$CG$1,0)),0)</f>
        <v>2022.202633279484</v>
      </c>
      <c r="AH22" s="56">
        <f>IFERROR(INDEX('Monthly VOL'!$N$2:$CG$65,MATCH($D22,'Monthly VOL'!$D$2:$D$65,0),MATCH(AH$1,'Monthly VOL'!$N$1:$CG$1,0))/INDEX('Monthly CUST'!$N$2:$CG$65,MATCH($D22,'Monthly CUST'!$D$2:$D$65,0),MATCH(AH$1,'Monthly CUST'!$N$1:$CG$1,0)),0)</f>
        <v>1925.3005863453816</v>
      </c>
      <c r="AI22" s="56">
        <f>IFERROR(INDEX('Monthly VOL'!$N$2:$CG$65,MATCH($D22,'Monthly VOL'!$D$2:$D$65,0),MATCH(AI$1,'Monthly VOL'!$N$1:$CG$1,0))/INDEX('Monthly CUST'!$N$2:$CG$65,MATCH($D22,'Monthly CUST'!$D$2:$D$65,0),MATCH(AI$1,'Monthly CUST'!$N$1:$CG$1,0)),0)</f>
        <v>2045.0445950280691</v>
      </c>
      <c r="AJ22" s="56">
        <f>IFERROR(INDEX('Monthly VOL'!$N$2:$CG$65,MATCH($D22,'Monthly VOL'!$D$2:$D$65,0),MATCH(AJ$1,'Monthly VOL'!$N$1:$CG$1,0))/INDEX('Monthly CUST'!$N$2:$CG$65,MATCH($D22,'Monthly CUST'!$D$2:$D$65,0),MATCH(AJ$1,'Monthly CUST'!$N$1:$CG$1,0)),0)</f>
        <v>2271.9177131474103</v>
      </c>
      <c r="AK22" s="56">
        <f>IFERROR(INDEX('Monthly VOL'!$N$2:$CG$65,MATCH($D22,'Monthly VOL'!$D$2:$D$65,0),MATCH(AK$1,'Monthly VOL'!$N$1:$CG$1,0))/INDEX('Monthly CUST'!$N$2:$CG$65,MATCH($D22,'Monthly CUST'!$D$2:$D$65,0),MATCH(AK$1,'Monthly CUST'!$N$1:$CG$1,0)),0)</f>
        <v>2476.5880573248373</v>
      </c>
      <c r="AL22" s="56">
        <f>IFERROR(INDEX('Monthly VOL'!$N$2:$CG$65,MATCH($D22,'Monthly VOL'!$D$2:$D$65,0),MATCH(AL$1,'Monthly VOL'!$N$1:$CG$1,0))/INDEX('Monthly CUST'!$N$2:$CG$65,MATCH($D22,'Monthly CUST'!$D$2:$D$65,0),MATCH(AL$1,'Monthly CUST'!$N$1:$CG$1,0)),0)</f>
        <v>2553.5531408227844</v>
      </c>
      <c r="AM22" s="56">
        <f>IFERROR(INDEX('Monthly VOL'!$N$2:$CG$65,MATCH($D22,'Monthly VOL'!$D$2:$D$65,0),MATCH(AM$1,'Monthly VOL'!$N$1:$CG$1,0))/INDEX('Monthly CUST'!$N$2:$CG$65,MATCH($D22,'Monthly CUST'!$D$2:$D$65,0),MATCH(AM$1,'Monthly CUST'!$N$1:$CG$1,0)),0)</f>
        <v>2376.804802215187</v>
      </c>
      <c r="AN22" s="56">
        <f>IFERROR(INDEX('Monthly VOL'!$N$2:$CG$65,MATCH($D22,'Monthly VOL'!$D$2:$D$65,0),MATCH(AN$1,'Monthly VOL'!$N$1:$CG$1,0))/INDEX('Monthly CUST'!$N$2:$CG$65,MATCH($D22,'Monthly CUST'!$D$2:$D$65,0),MATCH(AN$1,'Monthly CUST'!$N$1:$CG$1,0)),0)</f>
        <v>2247.8357018239517</v>
      </c>
      <c r="AO22" s="56">
        <f>IFERROR(INDEX('Monthly VOL'!$N$2:$CG$65,MATCH($D22,'Monthly VOL'!$D$2:$D$65,0),MATCH(AO$1,'Monthly VOL'!$N$1:$CG$1,0))/INDEX('Monthly CUST'!$N$2:$CG$65,MATCH($D22,'Monthly CUST'!$D$2:$D$65,0),MATCH(AO$1,'Monthly CUST'!$N$1:$CG$1,0)),0)</f>
        <v>1720.1647128245463</v>
      </c>
      <c r="AP22" s="56">
        <f>IFERROR(INDEX('Monthly VOL'!$N$2:$CG$65,MATCH($D22,'Monthly VOL'!$D$2:$D$65,0),MATCH(AP$1,'Monthly VOL'!$N$1:$CG$1,0))/INDEX('Monthly CUST'!$N$2:$CG$65,MATCH($D22,'Monthly CUST'!$D$2:$D$65,0),MATCH(AP$1,'Monthly CUST'!$N$1:$CG$1,0)),0)</f>
        <v>1615.2629702194363</v>
      </c>
      <c r="AQ22" s="56">
        <f>IFERROR(INDEX('Monthly VOL'!$N$2:$CG$65,MATCH($D22,'Monthly VOL'!$D$2:$D$65,0),MATCH(AQ$1,'Monthly VOL'!$N$1:$CG$1,0))/INDEX('Monthly CUST'!$N$2:$CG$65,MATCH($D22,'Monthly CUST'!$D$2:$D$65,0),MATCH(AQ$1,'Monthly CUST'!$N$1:$CG$1,0)),0)</f>
        <v>1719.2861502347437</v>
      </c>
      <c r="AR22" s="56">
        <f>IFERROR(INDEX('Monthly VOL'!$N$2:$CG$65,MATCH($D22,'Monthly VOL'!$D$2:$D$65,0),MATCH(AR$1,'Monthly VOL'!$N$1:$CG$1,0))/INDEX('Monthly CUST'!$N$2:$CG$65,MATCH($D22,'Monthly CUST'!$D$2:$D$65,0),MATCH(AR$1,'Monthly CUST'!$N$1:$CG$1,0)),0)</f>
        <v>1834.4213432835825</v>
      </c>
      <c r="AS22" s="56">
        <f>IFERROR(INDEX('Monthly VOL'!$N$2:$CG$65,MATCH($D22,'Monthly VOL'!$D$2:$D$65,0),MATCH(AS$1,'Monthly VOL'!$N$1:$CG$1,0))/INDEX('Monthly CUST'!$N$2:$CG$65,MATCH($D22,'Monthly CUST'!$D$2:$D$65,0),MATCH(AS$1,'Monthly CUST'!$N$1:$CG$1,0)),0)</f>
        <v>1768.2771394799047</v>
      </c>
      <c r="AT22" s="56">
        <f>IFERROR(INDEX('Monthly VOL'!$N$2:$CG$65,MATCH($D22,'Monthly VOL'!$D$2:$D$65,0),MATCH(AT$1,'Monthly VOL'!$N$1:$CG$1,0))/INDEX('Monthly CUST'!$N$2:$CG$65,MATCH($D22,'Monthly CUST'!$D$2:$D$65,0),MATCH(AT$1,'Monthly CUST'!$N$1:$CG$1,0)),0)</f>
        <v>1811.84716772152</v>
      </c>
      <c r="AU22" s="56">
        <f>IFERROR(INDEX('Monthly VOL'!$N$2:$CG$65,MATCH($D22,'Monthly VOL'!$D$2:$D$65,0),MATCH(AU$1,'Monthly VOL'!$N$1:$CG$1,0))/INDEX('Monthly CUST'!$N$2:$CG$65,MATCH($D22,'Monthly CUST'!$D$2:$D$65,0),MATCH(AU$1,'Monthly CUST'!$N$1:$CG$1,0)),0)</f>
        <v>1828.8553900709214</v>
      </c>
      <c r="AV22" s="56">
        <f>IFERROR(INDEX('Monthly VOL'!$N$2:$CG$65,MATCH($D22,'Monthly VOL'!$D$2:$D$65,0),MATCH(AV$1,'Monthly VOL'!$N$1:$CG$1,0))/INDEX('Monthly CUST'!$N$2:$CG$65,MATCH($D22,'Monthly CUST'!$D$2:$D$65,0),MATCH(AV$1,'Monthly CUST'!$N$1:$CG$1,0)),0)</f>
        <v>1951.8034651898727</v>
      </c>
      <c r="AW22" s="56">
        <f>IFERROR(INDEX('Monthly VOL'!$N$2:$CG$65,MATCH($D22,'Monthly VOL'!$D$2:$D$65,0),MATCH(AW$1,'Monthly VOL'!$N$1:$CG$1,0))/INDEX('Monthly CUST'!$N$2:$CG$65,MATCH($D22,'Monthly CUST'!$D$2:$D$65,0),MATCH(AW$1,'Monthly CUST'!$N$1:$CG$1,0)),0)</f>
        <v>2169.4168512658225</v>
      </c>
      <c r="AX22" s="56">
        <f>IFERROR(INDEX('Monthly VOL'!$N$2:$CG$65,MATCH($D22,'Monthly VOL'!$D$2:$D$65,0),MATCH(AX$1,'Monthly VOL'!$N$1:$CG$1,0))/INDEX('Monthly CUST'!$N$2:$CG$65,MATCH($D22,'Monthly CUST'!$D$2:$D$65,0),MATCH(AX$1,'Monthly CUST'!$N$1:$CG$1,0)),0)</f>
        <v>2330.0383955520251</v>
      </c>
      <c r="AY22" s="56">
        <f>IFERROR(INDEX('Monthly VOL'!$N$2:$CG$65,MATCH($D22,'Monthly VOL'!$D$2:$D$65,0),MATCH(AY$1,'Monthly VOL'!$N$1:$CG$1,0))/INDEX('Monthly CUST'!$N$2:$CG$65,MATCH($D22,'Monthly CUST'!$D$2:$D$65,0),MATCH(AY$1,'Monthly CUST'!$N$1:$CG$1,0)),0)</f>
        <v>2154.4498405103686</v>
      </c>
      <c r="AZ22" s="56">
        <f>IFERROR(INDEX('Monthly VOL'!$N$2:$CG$65,MATCH($D22,'Monthly VOL'!$D$2:$D$65,0),MATCH(AZ$1,'Monthly VOL'!$N$1:$CG$1,0))/INDEX('Monthly CUST'!$N$2:$CG$65,MATCH($D22,'Monthly CUST'!$D$2:$D$65,0),MATCH(AZ$1,'Monthly CUST'!$N$1:$CG$1,0)),0)</f>
        <v>2263.6634045922415</v>
      </c>
      <c r="BA22" s="56">
        <f>IFERROR(INDEX('Monthly VOL'!$N$2:$CG$65,MATCH($D22,'Monthly VOL'!$D$2:$D$65,0),MATCH(BA$1,'Monthly VOL'!$N$1:$CG$1,0))/INDEX('Monthly CUST'!$N$2:$CG$65,MATCH($D22,'Monthly CUST'!$D$2:$D$65,0),MATCH(BA$1,'Monthly CUST'!$N$1:$CG$1,0)),0)</f>
        <v>2203.7986682427108</v>
      </c>
      <c r="BB22" s="56">
        <f>IFERROR(INDEX('Monthly VOL'!$N$2:$CG$65,MATCH($D22,'Monthly VOL'!$D$2:$D$65,0),MATCH(BB$1,'Monthly VOL'!$N$1:$CG$1,0))/INDEX('Monthly CUST'!$N$2:$CG$65,MATCH($D22,'Monthly CUST'!$D$2:$D$65,0),MATCH(BB$1,'Monthly CUST'!$N$1:$CG$1,0)),0)</f>
        <v>2114.3137156323642</v>
      </c>
      <c r="BC22" s="56">
        <f>IFERROR(INDEX('Monthly VOL'!$N$2:$CG$65,MATCH($D22,'Monthly VOL'!$D$2:$D$65,0),MATCH(BC$1,'Monthly VOL'!$N$1:$CG$1,0))/INDEX('Monthly CUST'!$N$2:$CG$65,MATCH($D22,'Monthly CUST'!$D$2:$D$65,0),MATCH(BC$1,'Monthly CUST'!$N$1:$CG$1,0)),0)</f>
        <v>1961.3736700868208</v>
      </c>
      <c r="BD22" s="56">
        <f>IFERROR(INDEX('Monthly VOL'!$N$2:$CG$65,MATCH($D22,'Monthly VOL'!$D$2:$D$65,0),MATCH(BD$1,'Monthly VOL'!$N$1:$CG$1,0))/INDEX('Monthly CUST'!$N$2:$CG$65,MATCH($D22,'Monthly CUST'!$D$2:$D$65,0),MATCH(BD$1,'Monthly CUST'!$N$1:$CG$1,0)),0)</f>
        <v>2074.173905882355</v>
      </c>
      <c r="BE22" s="56">
        <f>IFERROR(INDEX('Monthly VOL'!$N$2:$CG$65,MATCH($D22,'Monthly VOL'!$D$2:$D$65,0),MATCH(BE$1,'Monthly VOL'!$N$1:$CG$1,0))/INDEX('Monthly CUST'!$N$2:$CG$65,MATCH($D22,'Monthly CUST'!$D$2:$D$65,0),MATCH(BE$1,'Monthly CUST'!$N$1:$CG$1,0)),0)</f>
        <v>1921.0505168363354</v>
      </c>
      <c r="BF22" s="56">
        <f>IFERROR(INDEX('Monthly VOL'!$N$2:$CG$65,MATCH($D22,'Monthly VOL'!$D$2:$D$65,0),MATCH(BF$1,'Monthly VOL'!$N$1:$CG$1,0))/INDEX('Monthly CUST'!$N$2:$CG$65,MATCH($D22,'Monthly CUST'!$D$2:$D$65,0),MATCH(BF$1,'Monthly CUST'!$N$1:$CG$1,0)),0)</f>
        <v>2060.940819032759</v>
      </c>
      <c r="BG22" s="56">
        <f>IFERROR(INDEX('Monthly VOL'!$N$2:$CG$65,MATCH($D22,'Monthly VOL'!$D$2:$D$65,0),MATCH(BG$1,'Monthly VOL'!$N$1:$CG$1,0))/INDEX('Monthly CUST'!$N$2:$CG$65,MATCH($D22,'Monthly CUST'!$D$2:$D$65,0),MATCH(BG$1,'Monthly CUST'!$N$1:$CG$1,0)),0)</f>
        <v>2055.0516588785031</v>
      </c>
      <c r="BH22" s="56">
        <f>IFERROR(INDEX('Monthly VOL'!$N$2:$CG$65,MATCH($D22,'Monthly VOL'!$D$2:$D$65,0),MATCH(BH$1,'Monthly VOL'!$N$1:$CG$1,0))/INDEX('Monthly CUST'!$N$2:$CG$65,MATCH($D22,'Monthly CUST'!$D$2:$D$65,0),MATCH(BH$1,'Monthly CUST'!$N$1:$CG$1,0)),0)</f>
        <v>2167.0221651090342</v>
      </c>
      <c r="BI22" s="56">
        <f>IFERROR(INDEX('Monthly VOL'!$N$2:$CG$65,MATCH($D22,'Monthly VOL'!$D$2:$D$65,0),MATCH(BI$1,'Monthly VOL'!$N$1:$CG$1,0))/INDEX('Monthly CUST'!$N$2:$CG$65,MATCH($D22,'Monthly CUST'!$D$2:$D$65,0),MATCH(BI$1,'Monthly CUST'!$N$1:$CG$1,0)),0)</f>
        <v>2273.2724102964121</v>
      </c>
      <c r="BJ22" s="56">
        <f>IFERROR(INDEX('Monthly VOL'!$N$2:$CG$65,MATCH($D22,'Monthly VOL'!$D$2:$D$65,0),MATCH(BJ$1,'Monthly VOL'!$N$1:$CG$1,0))/INDEX('Monthly CUST'!$N$2:$CG$65,MATCH($D22,'Monthly CUST'!$D$2:$D$65,0),MATCH(BJ$1,'Monthly CUST'!$N$1:$CG$1,0)),0)</f>
        <v>2289.5875018653096</v>
      </c>
      <c r="BK22" s="56">
        <f>IFERROR(INDEX('Monthly VOL'!$N$2:$CG$65,MATCH($D22,'Monthly VOL'!$D$2:$D$65,0),MATCH(BK$1,'Monthly VOL'!$N$1:$CG$1,0))/INDEX('Monthly CUST'!$N$2:$CG$65,MATCH($D22,'Monthly CUST'!$D$2:$D$65,0),MATCH(BK$1,'Monthly CUST'!$N$1:$CG$1,0)),0)</f>
        <v>2117.0472716865193</v>
      </c>
      <c r="BL22" s="56">
        <f>IFERROR(INDEX('Monthly VOL'!$N$2:$CG$65,MATCH($D22,'Monthly VOL'!$D$2:$D$65,0),MATCH(BL$1,'Monthly VOL'!$N$1:$CG$1,0))/INDEX('Monthly CUST'!$N$2:$CG$65,MATCH($D22,'Monthly CUST'!$D$2:$D$65,0),MATCH(BL$1,'Monthly CUST'!$N$1:$CG$1,0)),0)</f>
        <v>2224.364821403025</v>
      </c>
      <c r="BM22" s="56">
        <f>IFERROR(INDEX('Monthly VOL'!$N$2:$CG$65,MATCH($D22,'Monthly VOL'!$D$2:$D$65,0),MATCH(BM$1,'Monthly VOL'!$N$1:$CG$1,0))/INDEX('Monthly CUST'!$N$2:$CG$65,MATCH($D22,'Monthly CUST'!$D$2:$D$65,0),MATCH(BM$1,'Monthly CUST'!$N$1:$CG$1,0)),0)</f>
        <v>2165.5393735434527</v>
      </c>
      <c r="BN22" s="56">
        <f>IFERROR(INDEX('Monthly VOL'!$N$2:$CG$65,MATCH($D22,'Monthly VOL'!$D$2:$D$65,0),MATCH(BN$1,'Monthly VOL'!$N$1:$CG$1,0))/INDEX('Monthly CUST'!$N$2:$CG$65,MATCH($D22,'Monthly CUST'!$D$2:$D$65,0),MATCH(BN$1,'Monthly CUST'!$N$1:$CG$1,0)),0)</f>
        <v>2077.6079345196254</v>
      </c>
      <c r="BO22" s="56">
        <f>IFERROR(INDEX('Monthly VOL'!$N$2:$CG$65,MATCH($D22,'Monthly VOL'!$D$2:$D$65,0),MATCH(BO$1,'Monthly VOL'!$N$1:$CG$1,0))/INDEX('Monthly CUST'!$N$2:$CG$65,MATCH($D22,'Monthly CUST'!$D$2:$D$65,0),MATCH(BO$1,'Monthly CUST'!$N$1:$CG$1,0)),0)</f>
        <v>1927.3230218399674</v>
      </c>
      <c r="BP22" s="56">
        <f>IFERROR(INDEX('Monthly VOL'!$N$2:$CG$65,MATCH($D22,'Monthly VOL'!$D$2:$D$65,0),MATCH(BP$1,'Monthly VOL'!$N$1:$CG$1,0))/INDEX('Monthly CUST'!$N$2:$CG$65,MATCH($D22,'Monthly CUST'!$D$2:$D$65,0),MATCH(BP$1,'Monthly CUST'!$N$1:$CG$1,0)),0)</f>
        <v>2038.164976452362</v>
      </c>
      <c r="BQ22" s="56">
        <f>IFERROR(INDEX('Monthly VOL'!$N$2:$CG$65,MATCH($D22,'Monthly VOL'!$D$2:$D$65,0),MATCH(BQ$1,'Monthly VOL'!$N$1:$CG$1,0))/INDEX('Monthly CUST'!$N$2:$CG$65,MATCH($D22,'Monthly CUST'!$D$2:$D$65,0),MATCH(BQ$1,'Monthly CUST'!$N$1:$CG$1,0)),0)</f>
        <v>1887.6999032276931</v>
      </c>
      <c r="BR22" s="56">
        <f>IFERROR(INDEX('Monthly VOL'!$N$2:$CG$65,MATCH($D22,'Monthly VOL'!$D$2:$D$65,0),MATCH(BR$1,'Monthly VOL'!$N$1:$CG$1,0))/INDEX('Monthly CUST'!$N$2:$CG$65,MATCH($D22,'Monthly CUST'!$D$2:$D$65,0),MATCH(BR$1,'Monthly CUST'!$N$1:$CG$1,0)),0)</f>
        <v>2025.1616240956921</v>
      </c>
      <c r="BS22" s="56">
        <f>IFERROR(INDEX('Monthly VOL'!$N$2:$CG$65,MATCH($D22,'Monthly VOL'!$D$2:$D$65,0),MATCH(BS$1,'Monthly VOL'!$N$1:$CG$1,0))/INDEX('Monthly CUST'!$N$2:$CG$65,MATCH($D22,'Monthly CUST'!$D$2:$D$65,0),MATCH(BS$1,'Monthly CUST'!$N$1:$CG$1,0)),0)</f>
        <v>2019.3747033688026</v>
      </c>
      <c r="BT22" s="56">
        <f>IFERROR(INDEX('Monthly VOL'!$N$2:$CG$65,MATCH($D22,'Monthly VOL'!$D$2:$D$65,0),MATCH(BT$1,'Monthly VOL'!$N$1:$CG$1,0))/INDEX('Monthly CUST'!$N$2:$CG$65,MATCH($D22,'Monthly CUST'!$D$2:$D$65,0),MATCH(BT$1,'Monthly CUST'!$N$1:$CG$1,0)),0)</f>
        <v>2129.4013330296493</v>
      </c>
      <c r="BU22" s="56">
        <f>IFERROR(INDEX('Monthly VOL'!$N$2:$CG$65,MATCH($D22,'Monthly VOL'!$D$2:$D$65,0),MATCH(BU$1,'Monthly VOL'!$N$1:$CG$1,0))/INDEX('Monthly CUST'!$N$2:$CG$65,MATCH($D22,'Monthly CUST'!$D$2:$D$65,0),MATCH(BU$1,'Monthly CUST'!$N$1:$CG$1,0)),0)</f>
        <v>2233.8070088826908</v>
      </c>
      <c r="BV22" s="56">
        <f>IFERROR(INDEX('Monthly VOL'!$N$2:$CG$65,MATCH($D22,'Monthly VOL'!$D$2:$D$65,0),MATCH(BV$1,'Monthly VOL'!$N$1:$CG$1,0))/INDEX('Monthly CUST'!$N$2:$CG$65,MATCH($D22,'Monthly CUST'!$D$2:$D$65,0),MATCH(BV$1,'Monthly CUST'!$N$1:$CG$1,0)),0)</f>
        <v>2249.8388604690185</v>
      </c>
      <c r="BW22" s="56">
        <f>IFERROR(INDEX('Monthly VOL'!$N$2:$CG$65,MATCH($D22,'Monthly VOL'!$D$2:$D$65,0),MATCH(BW$1,'Monthly VOL'!$N$1:$CG$1,0))/INDEX('Monthly CUST'!$N$2:$CG$65,MATCH($D22,'Monthly CUST'!$D$2:$D$65,0),MATCH(BW$1,'Monthly CUST'!$N$1:$CG$1,0)),0)</f>
        <v>2080.2940343663872</v>
      </c>
      <c r="BX22" s="56">
        <f>IFERROR(INDEX('Monthly VOL'!$N$2:$CG$65,MATCH($D22,'Monthly VOL'!$D$2:$D$65,0),MATCH(BX$1,'Monthly VOL'!$N$1:$CG$1,0))/INDEX('Monthly CUST'!$N$2:$CG$65,MATCH($D22,'Monthly CUST'!$D$2:$D$65,0),MATCH(BX$1,'Monthly CUST'!$N$1:$CG$1,0)),0)</f>
        <v>2185.7484856882106</v>
      </c>
      <c r="BY22" s="56">
        <f>IFERROR(INDEX('Monthly VOL'!$N$2:$CG$65,MATCH($D22,'Monthly VOL'!$D$2:$D$65,0),MATCH(BY$1,'Monthly VOL'!$N$1:$CG$1,0))/INDEX('Monthly CUST'!$N$2:$CG$65,MATCH($D22,'Monthly CUST'!$D$2:$D$65,0),MATCH(BY$1,'Monthly CUST'!$N$1:$CG$1,0)),0)</f>
        <v>2127.9442836338508</v>
      </c>
      <c r="BZ22" s="56">
        <f>IFERROR(INDEX('Monthly VOL'!$N$2:$CG$65,MATCH($D22,'Monthly VOL'!$D$2:$D$65,0),MATCH(BZ$1,'Monthly VOL'!$N$1:$CG$1,0))/INDEX('Monthly CUST'!$N$2:$CG$65,MATCH($D22,'Monthly CUST'!$D$2:$D$65,0),MATCH(BZ$1,'Monthly CUST'!$N$1:$CG$1,0)),0)</f>
        <v>2041.5393882491594</v>
      </c>
      <c r="CA22" s="56">
        <f>IFERROR(INDEX('Monthly VOL'!$N$2:$CG$65,MATCH($D22,'Monthly VOL'!$D$2:$D$65,0),MATCH(CA$1,'Monthly VOL'!$N$1:$CG$1,0))/INDEX('Monthly CUST'!$N$2:$CG$65,MATCH($D22,'Monthly CUST'!$D$2:$D$65,0),MATCH(CA$1,'Monthly CUST'!$N$1:$CG$1,0)),0)</f>
        <v>1893.8635137025758</v>
      </c>
      <c r="CB22" s="56">
        <f>IFERROR(INDEX('Monthly VOL'!$N$2:$CG$65,MATCH($D22,'Monthly VOL'!$D$2:$D$65,0),MATCH(CB$1,'Monthly VOL'!$N$1:$CG$1,0))/INDEX('Monthly CUST'!$N$2:$CG$65,MATCH($D22,'Monthly CUST'!$D$2:$D$65,0),MATCH(CB$1,'Monthly CUST'!$N$1:$CG$1,0)),0)</f>
        <v>2002.7811840926106</v>
      </c>
      <c r="CC22" s="56">
        <f>IFERROR(INDEX('Monthly VOL'!$N$2:$CG$65,MATCH($D22,'Monthly VOL'!$D$2:$D$65,0),MATCH(CC$1,'Monthly VOL'!$N$1:$CG$1,0))/INDEX('Monthly CUST'!$N$2:$CG$65,MATCH($D22,'Monthly CUST'!$D$2:$D$65,0),MATCH(CC$1,'Monthly CUST'!$N$1:$CG$1,0)),0)</f>
        <v>1854.9282766984247</v>
      </c>
      <c r="CD22" s="56">
        <f>IFERROR(INDEX('Monthly VOL'!$N$2:$CG$65,MATCH($D22,'Monthly VOL'!$D$2:$D$65,0),MATCH(CD$1,'Monthly VOL'!$N$1:$CG$1,0))/INDEX('Monthly CUST'!$N$2:$CG$65,MATCH($D22,'Monthly CUST'!$D$2:$D$65,0),MATCH(CD$1,'Monthly CUST'!$N$1:$CG$1,0)),0)</f>
        <v>1990.0035778973574</v>
      </c>
      <c r="CE22" s="56">
        <f>IFERROR(INDEX('Monthly VOL'!$N$2:$CG$65,MATCH($D22,'Monthly VOL'!$D$2:$D$65,0),MATCH(CE$1,'Monthly VOL'!$N$1:$CG$1,0))/INDEX('Monthly CUST'!$N$2:$CG$65,MATCH($D22,'Monthly CUST'!$D$2:$D$65,0),MATCH(CE$1,'Monthly CUST'!$N$1:$CG$1,0)),0)</f>
        <v>1984.3171216587548</v>
      </c>
      <c r="CF22" s="56">
        <f>IFERROR(INDEX('Monthly VOL'!$N$2:$CG$65,MATCH($D22,'Monthly VOL'!$D$2:$D$65,0),MATCH(CF$1,'Monthly VOL'!$N$1:$CG$1,0))/INDEX('Monthly CUST'!$N$2:$CG$65,MATCH($D22,'Monthly CUST'!$D$2:$D$65,0),MATCH(CF$1,'Monthly CUST'!$N$1:$CG$1,0)),0)</f>
        <v>2092.4336216377837</v>
      </c>
      <c r="CG22" s="56">
        <f>IFERROR(INDEX('Monthly VOL'!$N$2:$CG$65,MATCH($D22,'Monthly VOL'!$D$2:$D$65,0),MATCH(CG$1,'Monthly VOL'!$N$1:$CG$1,0))/INDEX('Monthly CUST'!$N$2:$CG$65,MATCH($D22,'Monthly CUST'!$D$2:$D$65,0),MATCH(CG$1,'Monthly CUST'!$N$1:$CG$1,0)),0)</f>
        <v>2195.0267510099247</v>
      </c>
      <c r="CH22" s="264"/>
      <c r="CI22" s="264"/>
      <c r="CJ22" s="264"/>
      <c r="CM22" s="569">
        <f t="shared" si="0"/>
        <v>2521.9638046419423</v>
      </c>
      <c r="CN22" s="569">
        <f t="shared" si="1"/>
        <v>2300.3695464920552</v>
      </c>
      <c r="CO22" s="569">
        <f t="shared" si="2"/>
        <v>2272.0881419123775</v>
      </c>
      <c r="CP22" s="569">
        <f t="shared" si="3"/>
        <v>2064.9278526387102</v>
      </c>
      <c r="CQ22" s="569">
        <f t="shared" si="4"/>
        <v>1986.3765349524704</v>
      </c>
      <c r="CR22" s="569">
        <f t="shared" si="5"/>
        <v>1900.9001313422475</v>
      </c>
      <c r="CS22" s="569">
        <f t="shared" si="6"/>
        <v>1943.257279354588</v>
      </c>
      <c r="CT22" s="569">
        <f t="shared" si="7"/>
        <v>1903.8434298652412</v>
      </c>
      <c r="CU22" s="569">
        <f t="shared" si="8"/>
        <v>1932.6961910332202</v>
      </c>
      <c r="CV22" s="569">
        <f t="shared" si="9"/>
        <v>1976.3172146591644</v>
      </c>
      <c r="CW22" s="569">
        <f t="shared" si="10"/>
        <v>2130.2477811487724</v>
      </c>
      <c r="CX22" s="569">
        <f t="shared" si="11"/>
        <v>2306.4257729623573</v>
      </c>
      <c r="CY22" s="569">
        <f t="shared" si="12"/>
        <v>2521.9638046419423</v>
      </c>
      <c r="CZ22" s="569">
        <f t="shared" si="13"/>
        <v>2300.3695464920552</v>
      </c>
      <c r="DA22" s="569">
        <f t="shared" si="14"/>
        <v>2272.0881419123775</v>
      </c>
      <c r="DB22" s="569">
        <f t="shared" si="15"/>
        <v>2064.9278526387102</v>
      </c>
      <c r="DC22" s="569">
        <f t="shared" si="16"/>
        <v>1986.3765349524704</v>
      </c>
      <c r="DD22" s="569">
        <f t="shared" si="17"/>
        <v>1900.9001313422475</v>
      </c>
      <c r="DE22" s="569">
        <f t="shared" si="18"/>
        <v>1943.257279354588</v>
      </c>
      <c r="DF22" s="569">
        <f t="shared" si="19"/>
        <v>1903.8434298652412</v>
      </c>
      <c r="DG22" s="569">
        <f t="shared" si="20"/>
        <v>1932.6961910332202</v>
      </c>
      <c r="DH22" s="569">
        <f t="shared" si="21"/>
        <v>1976.3172146591644</v>
      </c>
      <c r="DI22" s="569">
        <f t="shared" si="22"/>
        <v>2130.2477811487724</v>
      </c>
      <c r="DJ22" s="569">
        <f t="shared" si="23"/>
        <v>2306.4257729623573</v>
      </c>
    </row>
    <row r="23" spans="1:114" s="261" customFormat="1">
      <c r="A23" s="55" t="s">
        <v>15</v>
      </c>
      <c r="B23" s="55" t="s">
        <v>994</v>
      </c>
      <c r="C23" s="55" t="s">
        <v>1245</v>
      </c>
      <c r="D23" s="55" t="s">
        <v>48</v>
      </c>
      <c r="E23" s="55" t="str">
        <f>VLOOKUP(D23,'Input 14_Ref Table'!C:D,2,FALSE)</f>
        <v>GIS61</v>
      </c>
      <c r="F23" s="172" t="s">
        <v>1286</v>
      </c>
      <c r="G23" s="55" t="str">
        <f>VLOOKUP(D23,'Input 14_Ref Table'!C:I,7,FALSE)</f>
        <v>FPU - FPU - IS</v>
      </c>
      <c r="H23" s="55" t="str">
        <f>VLOOKUP(D23,'Input 14_Ref Table'!C:K,8,FALSE)</f>
        <v>Base Period</v>
      </c>
      <c r="I23" s="55" t="e">
        <f>INDEX(#REF!,MATCH(D23,#REF!,0))</f>
        <v>#REF!</v>
      </c>
      <c r="J23" s="261" t="str">
        <f>INDEX('Master '!$AD$2:AD$65,MATCH(D23,'Master '!$D$2:$D$65,0))</f>
        <v>Base Period</v>
      </c>
      <c r="K23" s="567">
        <f>INDEX('Master '!$N$2:N$65,MATCH(D23,'Master '!$D$2:$D$65,0))</f>
        <v>0</v>
      </c>
      <c r="L23" s="290">
        <f>INDEX('Master '!$S$2:S$65,MATCH(D23,'Master '!$D$2:$D$65,0))</f>
        <v>0</v>
      </c>
      <c r="M23" s="1">
        <f>INDEX('Master '!$W$2:W$65,MATCH(D23,'Master '!$D$2:$D$65,0))</f>
        <v>0</v>
      </c>
      <c r="N23" s="56">
        <f>IFERROR(INDEX('Monthly VOL'!$N$2:$CG$65,MATCH($D23,'Monthly VOL'!$D$2:$D$65,0),MATCH(N$1,'Monthly VOL'!$N$1:$CG$1,0))/INDEX('Monthly CUST'!$N$2:$CG$65,MATCH($D23,'Monthly CUST'!$D$2:$D$65,0),MATCH(N$1,'Monthly CUST'!$N$1:$CG$1,0)),0)</f>
        <v>0</v>
      </c>
      <c r="O23" s="56">
        <f>IFERROR(INDEX('Monthly VOL'!$N$2:$CG$65,MATCH($D23,'Monthly VOL'!$D$2:$D$65,0),MATCH(O$1,'Monthly VOL'!$N$1:$CG$1,0))/INDEX('Monthly CUST'!$N$2:$CG$65,MATCH($D23,'Monthly CUST'!$D$2:$D$65,0),MATCH(O$1,'Monthly CUST'!$N$1:$CG$1,0)),0)</f>
        <v>0</v>
      </c>
      <c r="P23" s="56">
        <f>IFERROR(INDEX('Monthly VOL'!$N$2:$CG$65,MATCH($D23,'Monthly VOL'!$D$2:$D$65,0),MATCH(P$1,'Monthly VOL'!$N$1:$CG$1,0))/INDEX('Monthly CUST'!$N$2:$CG$65,MATCH($D23,'Monthly CUST'!$D$2:$D$65,0),MATCH(P$1,'Monthly CUST'!$N$1:$CG$1,0)),0)</f>
        <v>0</v>
      </c>
      <c r="Q23" s="56">
        <f>IFERROR(INDEX('Monthly VOL'!$N$2:$CG$65,MATCH($D23,'Monthly VOL'!$D$2:$D$65,0),MATCH(Q$1,'Monthly VOL'!$N$1:$CG$1,0))/INDEX('Monthly CUST'!$N$2:$CG$65,MATCH($D23,'Monthly CUST'!$D$2:$D$65,0),MATCH(Q$1,'Monthly CUST'!$N$1:$CG$1,0)),0)</f>
        <v>0</v>
      </c>
      <c r="R23" s="56">
        <f>IFERROR(INDEX('Monthly VOL'!$N$2:$CG$65,MATCH($D23,'Monthly VOL'!$D$2:$D$65,0),MATCH(R$1,'Monthly VOL'!$N$1:$CG$1,0))/INDEX('Monthly CUST'!$N$2:$CG$65,MATCH($D23,'Monthly CUST'!$D$2:$D$65,0),MATCH(R$1,'Monthly CUST'!$N$1:$CG$1,0)),0)</f>
        <v>0</v>
      </c>
      <c r="S23" s="56">
        <f>IFERROR(INDEX('Monthly VOL'!$N$2:$CG$65,MATCH($D23,'Monthly VOL'!$D$2:$D$65,0),MATCH(S$1,'Monthly VOL'!$N$1:$CG$1,0))/INDEX('Monthly CUST'!$N$2:$CG$65,MATCH($D23,'Monthly CUST'!$D$2:$D$65,0),MATCH(S$1,'Monthly CUST'!$N$1:$CG$1,0)),0)</f>
        <v>0</v>
      </c>
      <c r="T23" s="56">
        <f>IFERROR(INDEX('Monthly VOL'!$N$2:$CG$65,MATCH($D23,'Monthly VOL'!$D$2:$D$65,0),MATCH(T$1,'Monthly VOL'!$N$1:$CG$1,0))/INDEX('Monthly CUST'!$N$2:$CG$65,MATCH($D23,'Monthly CUST'!$D$2:$D$65,0),MATCH(T$1,'Monthly CUST'!$N$1:$CG$1,0)),0)</f>
        <v>0</v>
      </c>
      <c r="U23" s="56">
        <f>IFERROR(INDEX('Monthly VOL'!$N$2:$CG$65,MATCH($D23,'Monthly VOL'!$D$2:$D$65,0),MATCH(U$1,'Monthly VOL'!$N$1:$CG$1,0))/INDEX('Monthly CUST'!$N$2:$CG$65,MATCH($D23,'Monthly CUST'!$D$2:$D$65,0),MATCH(U$1,'Monthly CUST'!$N$1:$CG$1,0)),0)</f>
        <v>0</v>
      </c>
      <c r="V23" s="56">
        <f>IFERROR(INDEX('Monthly VOL'!$N$2:$CG$65,MATCH($D23,'Monthly VOL'!$D$2:$D$65,0),MATCH(V$1,'Monthly VOL'!$N$1:$CG$1,0))/INDEX('Monthly CUST'!$N$2:$CG$65,MATCH($D23,'Monthly CUST'!$D$2:$D$65,0),MATCH(V$1,'Monthly CUST'!$N$1:$CG$1,0)),0)</f>
        <v>0</v>
      </c>
      <c r="W23" s="56">
        <f>IFERROR(INDEX('Monthly VOL'!$N$2:$CG$65,MATCH($D23,'Monthly VOL'!$D$2:$D$65,0),MATCH(W$1,'Monthly VOL'!$N$1:$CG$1,0))/INDEX('Monthly CUST'!$N$2:$CG$65,MATCH($D23,'Monthly CUST'!$D$2:$D$65,0),MATCH(W$1,'Monthly CUST'!$N$1:$CG$1,0)),0)</f>
        <v>0</v>
      </c>
      <c r="X23" s="56">
        <f>IFERROR(INDEX('Monthly VOL'!$N$2:$CG$65,MATCH($D23,'Monthly VOL'!$D$2:$D$65,0),MATCH(X$1,'Monthly VOL'!$N$1:$CG$1,0))/INDEX('Monthly CUST'!$N$2:$CG$65,MATCH($D23,'Monthly CUST'!$D$2:$D$65,0),MATCH(X$1,'Monthly CUST'!$N$1:$CG$1,0)),0)</f>
        <v>0</v>
      </c>
      <c r="Y23" s="56">
        <f>IFERROR(INDEX('Monthly VOL'!$N$2:$CG$65,MATCH($D23,'Monthly VOL'!$D$2:$D$65,0),MATCH(Y$1,'Monthly VOL'!$N$1:$CG$1,0))/INDEX('Monthly CUST'!$N$2:$CG$65,MATCH($D23,'Monthly CUST'!$D$2:$D$65,0),MATCH(Y$1,'Monthly CUST'!$N$1:$CG$1,0)),0)</f>
        <v>0</v>
      </c>
      <c r="Z23" s="56">
        <f>IFERROR(INDEX('Monthly VOL'!$N$2:$CG$65,MATCH($D23,'Monthly VOL'!$D$2:$D$65,0),MATCH(Z$1,'Monthly VOL'!$N$1:$CG$1,0))/INDEX('Monthly CUST'!$N$2:$CG$65,MATCH($D23,'Monthly CUST'!$D$2:$D$65,0),MATCH(Z$1,'Monthly CUST'!$N$1:$CG$1,0)),0)</f>
        <v>0</v>
      </c>
      <c r="AA23" s="56">
        <f>IFERROR(INDEX('Monthly VOL'!$N$2:$CG$65,MATCH($D23,'Monthly VOL'!$D$2:$D$65,0),MATCH(AA$1,'Monthly VOL'!$N$1:$CG$1,0))/INDEX('Monthly CUST'!$N$2:$CG$65,MATCH($D23,'Monthly CUST'!$D$2:$D$65,0),MATCH(AA$1,'Monthly CUST'!$N$1:$CG$1,0)),0)</f>
        <v>0</v>
      </c>
      <c r="AB23" s="56">
        <f>IFERROR(INDEX('Monthly VOL'!$N$2:$CG$65,MATCH($D23,'Monthly VOL'!$D$2:$D$65,0),MATCH(AB$1,'Monthly VOL'!$N$1:$CG$1,0))/INDEX('Monthly CUST'!$N$2:$CG$65,MATCH($D23,'Monthly CUST'!$D$2:$D$65,0),MATCH(AB$1,'Monthly CUST'!$N$1:$CG$1,0)),0)</f>
        <v>0</v>
      </c>
      <c r="AC23" s="56">
        <f>IFERROR(INDEX('Monthly VOL'!$N$2:$CG$65,MATCH($D23,'Monthly VOL'!$D$2:$D$65,0),MATCH(AC$1,'Monthly VOL'!$N$1:$CG$1,0))/INDEX('Monthly CUST'!$N$2:$CG$65,MATCH($D23,'Monthly CUST'!$D$2:$D$65,0),MATCH(AC$1,'Monthly CUST'!$N$1:$CG$1,0)),0)</f>
        <v>0</v>
      </c>
      <c r="AD23" s="56">
        <f>IFERROR(INDEX('Monthly VOL'!$N$2:$CG$65,MATCH($D23,'Monthly VOL'!$D$2:$D$65,0),MATCH(AD$1,'Monthly VOL'!$N$1:$CG$1,0))/INDEX('Monthly CUST'!$N$2:$CG$65,MATCH($D23,'Monthly CUST'!$D$2:$D$65,0),MATCH(AD$1,'Monthly CUST'!$N$1:$CG$1,0)),0)</f>
        <v>0</v>
      </c>
      <c r="AE23" s="56">
        <f>IFERROR(INDEX('Monthly VOL'!$N$2:$CG$65,MATCH($D23,'Monthly VOL'!$D$2:$D$65,0),MATCH(AE$1,'Monthly VOL'!$N$1:$CG$1,0))/INDEX('Monthly CUST'!$N$2:$CG$65,MATCH($D23,'Monthly CUST'!$D$2:$D$65,0),MATCH(AE$1,'Monthly CUST'!$N$1:$CG$1,0)),0)</f>
        <v>0</v>
      </c>
      <c r="AF23" s="56">
        <f>IFERROR(INDEX('Monthly VOL'!$N$2:$CG$65,MATCH($D23,'Monthly VOL'!$D$2:$D$65,0),MATCH(AF$1,'Monthly VOL'!$N$1:$CG$1,0))/INDEX('Monthly CUST'!$N$2:$CG$65,MATCH($D23,'Monthly CUST'!$D$2:$D$65,0),MATCH(AF$1,'Monthly CUST'!$N$1:$CG$1,0)),0)</f>
        <v>0</v>
      </c>
      <c r="AG23" s="56">
        <f>IFERROR(INDEX('Monthly VOL'!$N$2:$CG$65,MATCH($D23,'Monthly VOL'!$D$2:$D$65,0),MATCH(AG$1,'Monthly VOL'!$N$1:$CG$1,0))/INDEX('Monthly CUST'!$N$2:$CG$65,MATCH($D23,'Monthly CUST'!$D$2:$D$65,0),MATCH(AG$1,'Monthly CUST'!$N$1:$CG$1,0)),0)</f>
        <v>0</v>
      </c>
      <c r="AH23" s="56">
        <f>IFERROR(INDEX('Monthly VOL'!$N$2:$CG$65,MATCH($D23,'Monthly VOL'!$D$2:$D$65,0),MATCH(AH$1,'Monthly VOL'!$N$1:$CG$1,0))/INDEX('Monthly CUST'!$N$2:$CG$65,MATCH($D23,'Monthly CUST'!$D$2:$D$65,0),MATCH(AH$1,'Monthly CUST'!$N$1:$CG$1,0)),0)</f>
        <v>0</v>
      </c>
      <c r="AI23" s="56">
        <f>IFERROR(INDEX('Monthly VOL'!$N$2:$CG$65,MATCH($D23,'Monthly VOL'!$D$2:$D$65,0),MATCH(AI$1,'Monthly VOL'!$N$1:$CG$1,0))/INDEX('Monthly CUST'!$N$2:$CG$65,MATCH($D23,'Monthly CUST'!$D$2:$D$65,0),MATCH(AI$1,'Monthly CUST'!$N$1:$CG$1,0)),0)</f>
        <v>0</v>
      </c>
      <c r="AJ23" s="56">
        <f>IFERROR(INDEX('Monthly VOL'!$N$2:$CG$65,MATCH($D23,'Monthly VOL'!$D$2:$D$65,0),MATCH(AJ$1,'Monthly VOL'!$N$1:$CG$1,0))/INDEX('Monthly CUST'!$N$2:$CG$65,MATCH($D23,'Monthly CUST'!$D$2:$D$65,0),MATCH(AJ$1,'Monthly CUST'!$N$1:$CG$1,0)),0)</f>
        <v>0</v>
      </c>
      <c r="AK23" s="56">
        <f>IFERROR(INDEX('Monthly VOL'!$N$2:$CG$65,MATCH($D23,'Monthly VOL'!$D$2:$D$65,0),MATCH(AK$1,'Monthly VOL'!$N$1:$CG$1,0))/INDEX('Monthly CUST'!$N$2:$CG$65,MATCH($D23,'Monthly CUST'!$D$2:$D$65,0),MATCH(AK$1,'Monthly CUST'!$N$1:$CG$1,0)),0)</f>
        <v>0</v>
      </c>
      <c r="AL23" s="56">
        <f>IFERROR(INDEX('Monthly VOL'!$N$2:$CG$65,MATCH($D23,'Monthly VOL'!$D$2:$D$65,0),MATCH(AL$1,'Monthly VOL'!$N$1:$CG$1,0))/INDEX('Monthly CUST'!$N$2:$CG$65,MATCH($D23,'Monthly CUST'!$D$2:$D$65,0),MATCH(AL$1,'Monthly CUST'!$N$1:$CG$1,0)),0)</f>
        <v>0</v>
      </c>
      <c r="AM23" s="56">
        <f>IFERROR(INDEX('Monthly VOL'!$N$2:$CG$65,MATCH($D23,'Monthly VOL'!$D$2:$D$65,0),MATCH(AM$1,'Monthly VOL'!$N$1:$CG$1,0))/INDEX('Monthly CUST'!$N$2:$CG$65,MATCH($D23,'Monthly CUST'!$D$2:$D$65,0),MATCH(AM$1,'Monthly CUST'!$N$1:$CG$1,0)),0)</f>
        <v>0</v>
      </c>
      <c r="AN23" s="56">
        <f>IFERROR(INDEX('Monthly VOL'!$N$2:$CG$65,MATCH($D23,'Monthly VOL'!$D$2:$D$65,0),MATCH(AN$1,'Monthly VOL'!$N$1:$CG$1,0))/INDEX('Monthly CUST'!$N$2:$CG$65,MATCH($D23,'Monthly CUST'!$D$2:$D$65,0),MATCH(AN$1,'Monthly CUST'!$N$1:$CG$1,0)),0)</f>
        <v>0</v>
      </c>
      <c r="AO23" s="56">
        <f>IFERROR(INDEX('Monthly VOL'!$N$2:$CG$65,MATCH($D23,'Monthly VOL'!$D$2:$D$65,0),MATCH(AO$1,'Monthly VOL'!$N$1:$CG$1,0))/INDEX('Monthly CUST'!$N$2:$CG$65,MATCH($D23,'Monthly CUST'!$D$2:$D$65,0),MATCH(AO$1,'Monthly CUST'!$N$1:$CG$1,0)),0)</f>
        <v>0</v>
      </c>
      <c r="AP23" s="56">
        <f>IFERROR(INDEX('Monthly VOL'!$N$2:$CG$65,MATCH($D23,'Monthly VOL'!$D$2:$D$65,0),MATCH(AP$1,'Monthly VOL'!$N$1:$CG$1,0))/INDEX('Monthly CUST'!$N$2:$CG$65,MATCH($D23,'Monthly CUST'!$D$2:$D$65,0),MATCH(AP$1,'Monthly CUST'!$N$1:$CG$1,0)),0)</f>
        <v>0</v>
      </c>
      <c r="AQ23" s="56">
        <f>IFERROR(INDEX('Monthly VOL'!$N$2:$CG$65,MATCH($D23,'Monthly VOL'!$D$2:$D$65,0),MATCH(AQ$1,'Monthly VOL'!$N$1:$CG$1,0))/INDEX('Monthly CUST'!$N$2:$CG$65,MATCH($D23,'Monthly CUST'!$D$2:$D$65,0),MATCH(AQ$1,'Monthly CUST'!$N$1:$CG$1,0)),0)</f>
        <v>0</v>
      </c>
      <c r="AR23" s="56">
        <f>IFERROR(INDEX('Monthly VOL'!$N$2:$CG$65,MATCH($D23,'Monthly VOL'!$D$2:$D$65,0),MATCH(AR$1,'Monthly VOL'!$N$1:$CG$1,0))/INDEX('Monthly CUST'!$N$2:$CG$65,MATCH($D23,'Monthly CUST'!$D$2:$D$65,0),MATCH(AR$1,'Monthly CUST'!$N$1:$CG$1,0)),0)</f>
        <v>0</v>
      </c>
      <c r="AS23" s="56">
        <f>IFERROR(INDEX('Monthly VOL'!$N$2:$CG$65,MATCH($D23,'Monthly VOL'!$D$2:$D$65,0),MATCH(AS$1,'Monthly VOL'!$N$1:$CG$1,0))/INDEX('Monthly CUST'!$N$2:$CG$65,MATCH($D23,'Monthly CUST'!$D$2:$D$65,0),MATCH(AS$1,'Monthly CUST'!$N$1:$CG$1,0)),0)</f>
        <v>0</v>
      </c>
      <c r="AT23" s="56">
        <f>IFERROR(INDEX('Monthly VOL'!$N$2:$CG$65,MATCH($D23,'Monthly VOL'!$D$2:$D$65,0),MATCH(AT$1,'Monthly VOL'!$N$1:$CG$1,0))/INDEX('Monthly CUST'!$N$2:$CG$65,MATCH($D23,'Monthly CUST'!$D$2:$D$65,0),MATCH(AT$1,'Monthly CUST'!$N$1:$CG$1,0)),0)</f>
        <v>0</v>
      </c>
      <c r="AU23" s="56">
        <f>IFERROR(INDEX('Monthly VOL'!$N$2:$CG$65,MATCH($D23,'Monthly VOL'!$D$2:$D$65,0),MATCH(AU$1,'Monthly VOL'!$N$1:$CG$1,0))/INDEX('Monthly CUST'!$N$2:$CG$65,MATCH($D23,'Monthly CUST'!$D$2:$D$65,0),MATCH(AU$1,'Monthly CUST'!$N$1:$CG$1,0)),0)</f>
        <v>0</v>
      </c>
      <c r="AV23" s="56">
        <f>IFERROR(INDEX('Monthly VOL'!$N$2:$CG$65,MATCH($D23,'Monthly VOL'!$D$2:$D$65,0),MATCH(AV$1,'Monthly VOL'!$N$1:$CG$1,0))/INDEX('Monthly CUST'!$N$2:$CG$65,MATCH($D23,'Monthly CUST'!$D$2:$D$65,0),MATCH(AV$1,'Monthly CUST'!$N$1:$CG$1,0)),0)</f>
        <v>0</v>
      </c>
      <c r="AW23" s="56">
        <f>IFERROR(INDEX('Monthly VOL'!$N$2:$CG$65,MATCH($D23,'Monthly VOL'!$D$2:$D$65,0),MATCH(AW$1,'Monthly VOL'!$N$1:$CG$1,0))/INDEX('Monthly CUST'!$N$2:$CG$65,MATCH($D23,'Monthly CUST'!$D$2:$D$65,0),MATCH(AW$1,'Monthly CUST'!$N$1:$CG$1,0)),0)</f>
        <v>0</v>
      </c>
      <c r="AX23" s="56">
        <f>IFERROR(INDEX('Monthly VOL'!$N$2:$CG$65,MATCH($D23,'Monthly VOL'!$D$2:$D$65,0),MATCH(AX$1,'Monthly VOL'!$N$1:$CG$1,0))/INDEX('Monthly CUST'!$N$2:$CG$65,MATCH($D23,'Monthly CUST'!$D$2:$D$65,0),MATCH(AX$1,'Monthly CUST'!$N$1:$CG$1,0)),0)</f>
        <v>0</v>
      </c>
      <c r="AY23" s="56">
        <f>IFERROR(INDEX('Monthly VOL'!$N$2:$CG$65,MATCH($D23,'Monthly VOL'!$D$2:$D$65,0),MATCH(AY$1,'Monthly VOL'!$N$1:$CG$1,0))/INDEX('Monthly CUST'!$N$2:$CG$65,MATCH($D23,'Monthly CUST'!$D$2:$D$65,0),MATCH(AY$1,'Monthly CUST'!$N$1:$CG$1,0)),0)</f>
        <v>0</v>
      </c>
      <c r="AZ23" s="56">
        <f>IFERROR(INDEX('Monthly VOL'!$N$2:$CG$65,MATCH($D23,'Monthly VOL'!$D$2:$D$65,0),MATCH(AZ$1,'Monthly VOL'!$N$1:$CG$1,0))/INDEX('Monthly CUST'!$N$2:$CG$65,MATCH($D23,'Monthly CUST'!$D$2:$D$65,0),MATCH(AZ$1,'Monthly CUST'!$N$1:$CG$1,0)),0)</f>
        <v>0</v>
      </c>
      <c r="BA23" s="56">
        <f>IFERROR(INDEX('Monthly VOL'!$N$2:$CG$65,MATCH($D23,'Monthly VOL'!$D$2:$D$65,0),MATCH(BA$1,'Monthly VOL'!$N$1:$CG$1,0))/INDEX('Monthly CUST'!$N$2:$CG$65,MATCH($D23,'Monthly CUST'!$D$2:$D$65,0),MATCH(BA$1,'Monthly CUST'!$N$1:$CG$1,0)),0)</f>
        <v>0</v>
      </c>
      <c r="BB23" s="56">
        <f>IFERROR(INDEX('Monthly VOL'!$N$2:$CG$65,MATCH($D23,'Monthly VOL'!$D$2:$D$65,0),MATCH(BB$1,'Monthly VOL'!$N$1:$CG$1,0))/INDEX('Monthly CUST'!$N$2:$CG$65,MATCH($D23,'Monthly CUST'!$D$2:$D$65,0),MATCH(BB$1,'Monthly CUST'!$N$1:$CG$1,0)),0)</f>
        <v>0</v>
      </c>
      <c r="BC23" s="56">
        <f>IFERROR(INDEX('Monthly VOL'!$N$2:$CG$65,MATCH($D23,'Monthly VOL'!$D$2:$D$65,0),MATCH(BC$1,'Monthly VOL'!$N$1:$CG$1,0))/INDEX('Monthly CUST'!$N$2:$CG$65,MATCH($D23,'Monthly CUST'!$D$2:$D$65,0),MATCH(BC$1,'Monthly CUST'!$N$1:$CG$1,0)),0)</f>
        <v>0</v>
      </c>
      <c r="BD23" s="56">
        <f>IFERROR(INDEX('Monthly VOL'!$N$2:$CG$65,MATCH($D23,'Monthly VOL'!$D$2:$D$65,0),MATCH(BD$1,'Monthly VOL'!$N$1:$CG$1,0))/INDEX('Monthly CUST'!$N$2:$CG$65,MATCH($D23,'Monthly CUST'!$D$2:$D$65,0),MATCH(BD$1,'Monthly CUST'!$N$1:$CG$1,0)),0)</f>
        <v>0</v>
      </c>
      <c r="BE23" s="56">
        <f>IFERROR(INDEX('Monthly VOL'!$N$2:$CG$65,MATCH($D23,'Monthly VOL'!$D$2:$D$65,0),MATCH(BE$1,'Monthly VOL'!$N$1:$CG$1,0))/INDEX('Monthly CUST'!$N$2:$CG$65,MATCH($D23,'Monthly CUST'!$D$2:$D$65,0),MATCH(BE$1,'Monthly CUST'!$N$1:$CG$1,0)),0)</f>
        <v>0</v>
      </c>
      <c r="BF23" s="56">
        <f>IFERROR(INDEX('Monthly VOL'!$N$2:$CG$65,MATCH($D23,'Monthly VOL'!$D$2:$D$65,0),MATCH(BF$1,'Monthly VOL'!$N$1:$CG$1,0))/INDEX('Monthly CUST'!$N$2:$CG$65,MATCH($D23,'Monthly CUST'!$D$2:$D$65,0),MATCH(BF$1,'Monthly CUST'!$N$1:$CG$1,0)),0)</f>
        <v>0</v>
      </c>
      <c r="BG23" s="56">
        <f>IFERROR(INDEX('Monthly VOL'!$N$2:$CG$65,MATCH($D23,'Monthly VOL'!$D$2:$D$65,0),MATCH(BG$1,'Monthly VOL'!$N$1:$CG$1,0))/INDEX('Monthly CUST'!$N$2:$CG$65,MATCH($D23,'Monthly CUST'!$D$2:$D$65,0),MATCH(BG$1,'Monthly CUST'!$N$1:$CG$1,0)),0)</f>
        <v>0</v>
      </c>
      <c r="BH23" s="56">
        <f>IFERROR(INDEX('Monthly VOL'!$N$2:$CG$65,MATCH($D23,'Monthly VOL'!$D$2:$D$65,0),MATCH(BH$1,'Monthly VOL'!$N$1:$CG$1,0))/INDEX('Monthly CUST'!$N$2:$CG$65,MATCH($D23,'Monthly CUST'!$D$2:$D$65,0),MATCH(BH$1,'Monthly CUST'!$N$1:$CG$1,0)),0)</f>
        <v>0</v>
      </c>
      <c r="BI23" s="56">
        <f>IFERROR(INDEX('Monthly VOL'!$N$2:$CG$65,MATCH($D23,'Monthly VOL'!$D$2:$D$65,0),MATCH(BI$1,'Monthly VOL'!$N$1:$CG$1,0))/INDEX('Monthly CUST'!$N$2:$CG$65,MATCH($D23,'Monthly CUST'!$D$2:$D$65,0),MATCH(BI$1,'Monthly CUST'!$N$1:$CG$1,0)),0)</f>
        <v>0</v>
      </c>
      <c r="BJ23" s="56">
        <f>IFERROR(INDEX('Monthly VOL'!$N$2:$CG$65,MATCH($D23,'Monthly VOL'!$D$2:$D$65,0),MATCH(BJ$1,'Monthly VOL'!$N$1:$CG$1,0))/INDEX('Monthly CUST'!$N$2:$CG$65,MATCH($D23,'Monthly CUST'!$D$2:$D$65,0),MATCH(BJ$1,'Monthly CUST'!$N$1:$CG$1,0)),0)</f>
        <v>0</v>
      </c>
      <c r="BK23" s="56">
        <f>IFERROR(INDEX('Monthly VOL'!$N$2:$CG$65,MATCH($D23,'Monthly VOL'!$D$2:$D$65,0),MATCH(BK$1,'Monthly VOL'!$N$1:$CG$1,0))/INDEX('Monthly CUST'!$N$2:$CG$65,MATCH($D23,'Monthly CUST'!$D$2:$D$65,0),MATCH(BK$1,'Monthly CUST'!$N$1:$CG$1,0)),0)</f>
        <v>0</v>
      </c>
      <c r="BL23" s="56">
        <f>IFERROR(INDEX('Monthly VOL'!$N$2:$CG$65,MATCH($D23,'Monthly VOL'!$D$2:$D$65,0),MATCH(BL$1,'Monthly VOL'!$N$1:$CG$1,0))/INDEX('Monthly CUST'!$N$2:$CG$65,MATCH($D23,'Monthly CUST'!$D$2:$D$65,0),MATCH(BL$1,'Monthly CUST'!$N$1:$CG$1,0)),0)</f>
        <v>0</v>
      </c>
      <c r="BM23" s="56">
        <f>IFERROR(INDEX('Monthly VOL'!$N$2:$CG$65,MATCH($D23,'Monthly VOL'!$D$2:$D$65,0),MATCH(BM$1,'Monthly VOL'!$N$1:$CG$1,0))/INDEX('Monthly CUST'!$N$2:$CG$65,MATCH($D23,'Monthly CUST'!$D$2:$D$65,0),MATCH(BM$1,'Monthly CUST'!$N$1:$CG$1,0)),0)</f>
        <v>0</v>
      </c>
      <c r="BN23" s="56">
        <f>IFERROR(INDEX('Monthly VOL'!$N$2:$CG$65,MATCH($D23,'Monthly VOL'!$D$2:$D$65,0),MATCH(BN$1,'Monthly VOL'!$N$1:$CG$1,0))/INDEX('Monthly CUST'!$N$2:$CG$65,MATCH($D23,'Monthly CUST'!$D$2:$D$65,0),MATCH(BN$1,'Monthly CUST'!$N$1:$CG$1,0)),0)</f>
        <v>0</v>
      </c>
      <c r="BO23" s="56">
        <f>IFERROR(INDEX('Monthly VOL'!$N$2:$CG$65,MATCH($D23,'Monthly VOL'!$D$2:$D$65,0),MATCH(BO$1,'Monthly VOL'!$N$1:$CG$1,0))/INDEX('Monthly CUST'!$N$2:$CG$65,MATCH($D23,'Monthly CUST'!$D$2:$D$65,0),MATCH(BO$1,'Monthly CUST'!$N$1:$CG$1,0)),0)</f>
        <v>0</v>
      </c>
      <c r="BP23" s="56">
        <f>IFERROR(INDEX('Monthly VOL'!$N$2:$CG$65,MATCH($D23,'Monthly VOL'!$D$2:$D$65,0),MATCH(BP$1,'Monthly VOL'!$N$1:$CG$1,0))/INDEX('Monthly CUST'!$N$2:$CG$65,MATCH($D23,'Monthly CUST'!$D$2:$D$65,0),MATCH(BP$1,'Monthly CUST'!$N$1:$CG$1,0)),0)</f>
        <v>0</v>
      </c>
      <c r="BQ23" s="56">
        <f>IFERROR(INDEX('Monthly VOL'!$N$2:$CG$65,MATCH($D23,'Monthly VOL'!$D$2:$D$65,0),MATCH(BQ$1,'Monthly VOL'!$N$1:$CG$1,0))/INDEX('Monthly CUST'!$N$2:$CG$65,MATCH($D23,'Monthly CUST'!$D$2:$D$65,0),MATCH(BQ$1,'Monthly CUST'!$N$1:$CG$1,0)),0)</f>
        <v>0</v>
      </c>
      <c r="BR23" s="56">
        <f>IFERROR(INDEX('Monthly VOL'!$N$2:$CG$65,MATCH($D23,'Monthly VOL'!$D$2:$D$65,0),MATCH(BR$1,'Monthly VOL'!$N$1:$CG$1,0))/INDEX('Monthly CUST'!$N$2:$CG$65,MATCH($D23,'Monthly CUST'!$D$2:$D$65,0),MATCH(BR$1,'Monthly CUST'!$N$1:$CG$1,0)),0)</f>
        <v>0</v>
      </c>
      <c r="BS23" s="56">
        <f>IFERROR(INDEX('Monthly VOL'!$N$2:$CG$65,MATCH($D23,'Monthly VOL'!$D$2:$D$65,0),MATCH(BS$1,'Monthly VOL'!$N$1:$CG$1,0))/INDEX('Monthly CUST'!$N$2:$CG$65,MATCH($D23,'Monthly CUST'!$D$2:$D$65,0),MATCH(BS$1,'Monthly CUST'!$N$1:$CG$1,0)),0)</f>
        <v>0</v>
      </c>
      <c r="BT23" s="56">
        <f>IFERROR(INDEX('Monthly VOL'!$N$2:$CG$65,MATCH($D23,'Monthly VOL'!$D$2:$D$65,0),MATCH(BT$1,'Monthly VOL'!$N$1:$CG$1,0))/INDEX('Monthly CUST'!$N$2:$CG$65,MATCH($D23,'Monthly CUST'!$D$2:$D$65,0),MATCH(BT$1,'Monthly CUST'!$N$1:$CG$1,0)),0)</f>
        <v>0</v>
      </c>
      <c r="BU23" s="56">
        <f>IFERROR(INDEX('Monthly VOL'!$N$2:$CG$65,MATCH($D23,'Monthly VOL'!$D$2:$D$65,0),MATCH(BU$1,'Monthly VOL'!$N$1:$CG$1,0))/INDEX('Monthly CUST'!$N$2:$CG$65,MATCH($D23,'Monthly CUST'!$D$2:$D$65,0),MATCH(BU$1,'Monthly CUST'!$N$1:$CG$1,0)),0)</f>
        <v>0</v>
      </c>
      <c r="BV23" s="56">
        <f>IFERROR(INDEX('Monthly VOL'!$N$2:$CG$65,MATCH($D23,'Monthly VOL'!$D$2:$D$65,0),MATCH(BV$1,'Monthly VOL'!$N$1:$CG$1,0))/INDEX('Monthly CUST'!$N$2:$CG$65,MATCH($D23,'Monthly CUST'!$D$2:$D$65,0),MATCH(BV$1,'Monthly CUST'!$N$1:$CG$1,0)),0)</f>
        <v>0</v>
      </c>
      <c r="BW23" s="56">
        <f>IFERROR(INDEX('Monthly VOL'!$N$2:$CG$65,MATCH($D23,'Monthly VOL'!$D$2:$D$65,0),MATCH(BW$1,'Monthly VOL'!$N$1:$CG$1,0))/INDEX('Monthly CUST'!$N$2:$CG$65,MATCH($D23,'Monthly CUST'!$D$2:$D$65,0),MATCH(BW$1,'Monthly CUST'!$N$1:$CG$1,0)),0)</f>
        <v>0</v>
      </c>
      <c r="BX23" s="56">
        <f>IFERROR(INDEX('Monthly VOL'!$N$2:$CG$65,MATCH($D23,'Monthly VOL'!$D$2:$D$65,0),MATCH(BX$1,'Monthly VOL'!$N$1:$CG$1,0))/INDEX('Monthly CUST'!$N$2:$CG$65,MATCH($D23,'Monthly CUST'!$D$2:$D$65,0),MATCH(BX$1,'Monthly CUST'!$N$1:$CG$1,0)),0)</f>
        <v>0</v>
      </c>
      <c r="BY23" s="56">
        <f>IFERROR(INDEX('Monthly VOL'!$N$2:$CG$65,MATCH($D23,'Monthly VOL'!$D$2:$D$65,0),MATCH(BY$1,'Monthly VOL'!$N$1:$CG$1,0))/INDEX('Monthly CUST'!$N$2:$CG$65,MATCH($D23,'Monthly CUST'!$D$2:$D$65,0),MATCH(BY$1,'Monthly CUST'!$N$1:$CG$1,0)),0)</f>
        <v>0</v>
      </c>
      <c r="BZ23" s="56">
        <f>IFERROR(INDEX('Monthly VOL'!$N$2:$CG$65,MATCH($D23,'Monthly VOL'!$D$2:$D$65,0),MATCH(BZ$1,'Monthly VOL'!$N$1:$CG$1,0))/INDEX('Monthly CUST'!$N$2:$CG$65,MATCH($D23,'Monthly CUST'!$D$2:$D$65,0),MATCH(BZ$1,'Monthly CUST'!$N$1:$CG$1,0)),0)</f>
        <v>0</v>
      </c>
      <c r="CA23" s="56">
        <f>IFERROR(INDEX('Monthly VOL'!$N$2:$CG$65,MATCH($D23,'Monthly VOL'!$D$2:$D$65,0),MATCH(CA$1,'Monthly VOL'!$N$1:$CG$1,0))/INDEX('Monthly CUST'!$N$2:$CG$65,MATCH($D23,'Monthly CUST'!$D$2:$D$65,0),MATCH(CA$1,'Monthly CUST'!$N$1:$CG$1,0)),0)</f>
        <v>0</v>
      </c>
      <c r="CB23" s="56">
        <f>IFERROR(INDEX('Monthly VOL'!$N$2:$CG$65,MATCH($D23,'Monthly VOL'!$D$2:$D$65,0),MATCH(CB$1,'Monthly VOL'!$N$1:$CG$1,0))/INDEX('Monthly CUST'!$N$2:$CG$65,MATCH($D23,'Monthly CUST'!$D$2:$D$65,0),MATCH(CB$1,'Monthly CUST'!$N$1:$CG$1,0)),0)</f>
        <v>0</v>
      </c>
      <c r="CC23" s="56">
        <f>IFERROR(INDEX('Monthly VOL'!$N$2:$CG$65,MATCH($D23,'Monthly VOL'!$D$2:$D$65,0),MATCH(CC$1,'Monthly VOL'!$N$1:$CG$1,0))/INDEX('Monthly CUST'!$N$2:$CG$65,MATCH($D23,'Monthly CUST'!$D$2:$D$65,0),MATCH(CC$1,'Monthly CUST'!$N$1:$CG$1,0)),0)</f>
        <v>0</v>
      </c>
      <c r="CD23" s="56">
        <f>IFERROR(INDEX('Monthly VOL'!$N$2:$CG$65,MATCH($D23,'Monthly VOL'!$D$2:$D$65,0),MATCH(CD$1,'Monthly VOL'!$N$1:$CG$1,0))/INDEX('Monthly CUST'!$N$2:$CG$65,MATCH($D23,'Monthly CUST'!$D$2:$D$65,0),MATCH(CD$1,'Monthly CUST'!$N$1:$CG$1,0)),0)</f>
        <v>0</v>
      </c>
      <c r="CE23" s="56">
        <f>IFERROR(INDEX('Monthly VOL'!$N$2:$CG$65,MATCH($D23,'Monthly VOL'!$D$2:$D$65,0),MATCH(CE$1,'Monthly VOL'!$N$1:$CG$1,0))/INDEX('Monthly CUST'!$N$2:$CG$65,MATCH($D23,'Monthly CUST'!$D$2:$D$65,0),MATCH(CE$1,'Monthly CUST'!$N$1:$CG$1,0)),0)</f>
        <v>0</v>
      </c>
      <c r="CF23" s="56">
        <f>IFERROR(INDEX('Monthly VOL'!$N$2:$CG$65,MATCH($D23,'Monthly VOL'!$D$2:$D$65,0),MATCH(CF$1,'Monthly VOL'!$N$1:$CG$1,0))/INDEX('Monthly CUST'!$N$2:$CG$65,MATCH($D23,'Monthly CUST'!$D$2:$D$65,0),MATCH(CF$1,'Monthly CUST'!$N$1:$CG$1,0)),0)</f>
        <v>0</v>
      </c>
      <c r="CG23" s="56">
        <f>IFERROR(INDEX('Monthly VOL'!$N$2:$CG$65,MATCH($D23,'Monthly VOL'!$D$2:$D$65,0),MATCH(CG$1,'Monthly VOL'!$N$1:$CG$1,0))/INDEX('Monthly CUST'!$N$2:$CG$65,MATCH($D23,'Monthly CUST'!$D$2:$D$65,0),MATCH(CG$1,'Monthly CUST'!$N$1:$CG$1,0)),0)</f>
        <v>0</v>
      </c>
      <c r="CH23" s="264"/>
      <c r="CI23" s="264"/>
      <c r="CJ23" s="264"/>
      <c r="CM23" s="569">
        <f t="shared" si="0"/>
        <v>0</v>
      </c>
      <c r="CN23" s="569">
        <f t="shared" si="1"/>
        <v>0</v>
      </c>
      <c r="CO23" s="569">
        <f t="shared" si="2"/>
        <v>0</v>
      </c>
      <c r="CP23" s="569">
        <f t="shared" si="3"/>
        <v>0</v>
      </c>
      <c r="CQ23" s="569">
        <f t="shared" si="4"/>
        <v>0</v>
      </c>
      <c r="CR23" s="569">
        <f t="shared" si="5"/>
        <v>0</v>
      </c>
      <c r="CS23" s="569">
        <f t="shared" si="6"/>
        <v>0</v>
      </c>
      <c r="CT23" s="569">
        <f t="shared" si="7"/>
        <v>0</v>
      </c>
      <c r="CU23" s="569">
        <f t="shared" si="8"/>
        <v>0</v>
      </c>
      <c r="CV23" s="569">
        <f t="shared" si="9"/>
        <v>0</v>
      </c>
      <c r="CW23" s="569">
        <f t="shared" si="10"/>
        <v>0</v>
      </c>
      <c r="CX23" s="569">
        <f t="shared" si="11"/>
        <v>0</v>
      </c>
      <c r="CY23" s="569">
        <f t="shared" si="12"/>
        <v>0</v>
      </c>
      <c r="CZ23" s="569">
        <f t="shared" si="13"/>
        <v>0</v>
      </c>
      <c r="DA23" s="569">
        <f t="shared" si="14"/>
        <v>0</v>
      </c>
      <c r="DB23" s="569">
        <f t="shared" si="15"/>
        <v>0</v>
      </c>
      <c r="DC23" s="569">
        <f t="shared" si="16"/>
        <v>0</v>
      </c>
      <c r="DD23" s="569">
        <f t="shared" si="17"/>
        <v>0</v>
      </c>
      <c r="DE23" s="569">
        <f t="shared" si="18"/>
        <v>0</v>
      </c>
      <c r="DF23" s="569">
        <f t="shared" si="19"/>
        <v>0</v>
      </c>
      <c r="DG23" s="569">
        <f t="shared" si="20"/>
        <v>0</v>
      </c>
      <c r="DH23" s="569">
        <f t="shared" si="21"/>
        <v>0</v>
      </c>
      <c r="DI23" s="569">
        <f t="shared" si="22"/>
        <v>0</v>
      </c>
      <c r="DJ23" s="569">
        <f t="shared" si="23"/>
        <v>0</v>
      </c>
    </row>
    <row r="24" spans="1:114" s="261" customFormat="1">
      <c r="A24" s="55" t="s">
        <v>15</v>
      </c>
      <c r="B24" s="55" t="s">
        <v>993</v>
      </c>
      <c r="C24" s="55" t="s">
        <v>1245</v>
      </c>
      <c r="D24" s="55" t="s">
        <v>50</v>
      </c>
      <c r="E24" s="55" t="str">
        <f>VLOOKUP(D24,'Input 14_Ref Table'!C:D,2,FALSE)</f>
        <v>GIT92</v>
      </c>
      <c r="F24" s="172" t="s">
        <v>1286</v>
      </c>
      <c r="G24" s="55" t="str">
        <f>VLOOKUP(D24,'Input 14_Ref Table'!C:I,7,FALSE)</f>
        <v>FPU - FPU - ITS</v>
      </c>
      <c r="H24" s="55" t="str">
        <f>VLOOKUP(D24,'Input 14_Ref Table'!C:K,8,FALSE)</f>
        <v>Base Period</v>
      </c>
      <c r="I24" s="55" t="e">
        <f>INDEX(#REF!,MATCH(D24,#REF!,0))</f>
        <v>#REF!</v>
      </c>
      <c r="J24" s="261" t="str">
        <f>INDEX('Master '!$AD$2:AD$65,MATCH(D24,'Master '!$D$2:$D$65,0))</f>
        <v>Base Period</v>
      </c>
      <c r="K24" s="567">
        <f>INDEX('Master '!$N$2:N$65,MATCH(D24,'Master '!$D$2:$D$65,0))</f>
        <v>0</v>
      </c>
      <c r="L24" s="290">
        <f>INDEX('Master '!$S$2:S$65,MATCH(D24,'Master '!$D$2:$D$65,0))</f>
        <v>0</v>
      </c>
      <c r="M24" s="1">
        <f>INDEX('Master '!$W$2:W$65,MATCH(D24,'Master '!$D$2:$D$65,0))</f>
        <v>530317.79888888879</v>
      </c>
      <c r="N24" s="56">
        <f>IFERROR(INDEX('Monthly VOL'!$N$2:$CG$65,MATCH($D24,'Monthly VOL'!$D$2:$D$65,0),MATCH(N$1,'Monthly VOL'!$N$1:$CG$1,0))/INDEX('Monthly CUST'!$N$2:$CG$65,MATCH($D24,'Monthly CUST'!$D$2:$D$65,0),MATCH(N$1,'Monthly CUST'!$N$1:$CG$1,0)),0)</f>
        <v>54094.68352941177</v>
      </c>
      <c r="O24" s="56">
        <f>IFERROR(INDEX('Monthly VOL'!$N$2:$CG$65,MATCH($D24,'Monthly VOL'!$D$2:$D$65,0),MATCH(O$1,'Monthly VOL'!$N$1:$CG$1,0))/INDEX('Monthly CUST'!$N$2:$CG$65,MATCH($D24,'Monthly CUST'!$D$2:$D$65,0),MATCH(O$1,'Monthly CUST'!$N$1:$CG$1,0)),0)</f>
        <v>46540.081764705887</v>
      </c>
      <c r="P24" s="56">
        <f>IFERROR(INDEX('Monthly VOL'!$N$2:$CG$65,MATCH($D24,'Monthly VOL'!$D$2:$D$65,0),MATCH(P$1,'Monthly VOL'!$N$1:$CG$1,0))/INDEX('Monthly CUST'!$N$2:$CG$65,MATCH($D24,'Monthly CUST'!$D$2:$D$65,0),MATCH(P$1,'Monthly CUST'!$N$1:$CG$1,0)),0)</f>
        <v>53810.549999999996</v>
      </c>
      <c r="Q24" s="56">
        <f>IFERROR(INDEX('Monthly VOL'!$N$2:$CG$65,MATCH($D24,'Monthly VOL'!$D$2:$D$65,0),MATCH(Q$1,'Monthly VOL'!$N$1:$CG$1,0))/INDEX('Monthly CUST'!$N$2:$CG$65,MATCH($D24,'Monthly CUST'!$D$2:$D$65,0),MATCH(Q$1,'Monthly CUST'!$N$1:$CG$1,0)),0)</f>
        <v>48950.451176470597</v>
      </c>
      <c r="R24" s="56">
        <f>IFERROR(INDEX('Monthly VOL'!$N$2:$CG$65,MATCH($D24,'Monthly VOL'!$D$2:$D$65,0),MATCH(R$1,'Monthly VOL'!$N$1:$CG$1,0))/INDEX('Monthly CUST'!$N$2:$CG$65,MATCH($D24,'Monthly CUST'!$D$2:$D$65,0),MATCH(R$1,'Monthly CUST'!$N$1:$CG$1,0)),0)</f>
        <v>50646.082352941172</v>
      </c>
      <c r="S24" s="56">
        <f>IFERROR(INDEX('Monthly VOL'!$N$2:$CG$65,MATCH($D24,'Monthly VOL'!$D$2:$D$65,0),MATCH(S$1,'Monthly VOL'!$N$1:$CG$1,0))/INDEX('Monthly CUST'!$N$2:$CG$65,MATCH($D24,'Monthly CUST'!$D$2:$D$65,0),MATCH(S$1,'Monthly CUST'!$N$1:$CG$1,0)),0)</f>
        <v>54035.397647058817</v>
      </c>
      <c r="T24" s="56">
        <f>IFERROR(INDEX('Monthly VOL'!$N$2:$CG$65,MATCH($D24,'Monthly VOL'!$D$2:$D$65,0),MATCH(T$1,'Monthly VOL'!$N$1:$CG$1,0))/INDEX('Monthly CUST'!$N$2:$CG$65,MATCH($D24,'Monthly CUST'!$D$2:$D$65,0),MATCH(T$1,'Monthly CUST'!$N$1:$CG$1,0)),0)</f>
        <v>51629.979411764703</v>
      </c>
      <c r="U24" s="56">
        <f>IFERROR(INDEX('Monthly VOL'!$N$2:$CG$65,MATCH($D24,'Monthly VOL'!$D$2:$D$65,0),MATCH(U$1,'Monthly VOL'!$N$1:$CG$1,0))/INDEX('Monthly CUST'!$N$2:$CG$65,MATCH($D24,'Monthly CUST'!$D$2:$D$65,0),MATCH(U$1,'Monthly CUST'!$N$1:$CG$1,0)),0)</f>
        <v>49231.873529411765</v>
      </c>
      <c r="V24" s="56">
        <f>IFERROR(INDEX('Monthly VOL'!$N$2:$CG$65,MATCH($D24,'Monthly VOL'!$D$2:$D$65,0),MATCH(V$1,'Monthly VOL'!$N$1:$CG$1,0))/INDEX('Monthly CUST'!$N$2:$CG$65,MATCH($D24,'Monthly CUST'!$D$2:$D$65,0),MATCH(V$1,'Monthly CUST'!$N$1:$CG$1,0)),0)</f>
        <v>45334.570555555561</v>
      </c>
      <c r="W24" s="56">
        <f>IFERROR(INDEX('Monthly VOL'!$N$2:$CG$65,MATCH($D24,'Monthly VOL'!$D$2:$D$65,0),MATCH(W$1,'Monthly VOL'!$N$1:$CG$1,0))/INDEX('Monthly CUST'!$N$2:$CG$65,MATCH($D24,'Monthly CUST'!$D$2:$D$65,0),MATCH(W$1,'Monthly CUST'!$N$1:$CG$1,0)),0)</f>
        <v>49515.197777777779</v>
      </c>
      <c r="X24" s="56">
        <f>IFERROR(INDEX('Monthly VOL'!$N$2:$CG$65,MATCH($D24,'Monthly VOL'!$D$2:$D$65,0),MATCH(X$1,'Monthly VOL'!$N$1:$CG$1,0))/INDEX('Monthly CUST'!$N$2:$CG$65,MATCH($D24,'Monthly CUST'!$D$2:$D$65,0),MATCH(X$1,'Monthly CUST'!$N$1:$CG$1,0)),0)</f>
        <v>47051.633333333331</v>
      </c>
      <c r="Y24" s="56">
        <f>IFERROR(INDEX('Monthly VOL'!$N$2:$CG$65,MATCH($D24,'Monthly VOL'!$D$2:$D$65,0),MATCH(Y$1,'Monthly VOL'!$N$1:$CG$1,0))/INDEX('Monthly CUST'!$N$2:$CG$65,MATCH($D24,'Monthly CUST'!$D$2:$D$65,0),MATCH(Y$1,'Monthly CUST'!$N$1:$CG$1,0)),0)</f>
        <v>47435.19705882352</v>
      </c>
      <c r="Z24" s="56">
        <f>IFERROR(INDEX('Monthly VOL'!$N$2:$CG$65,MATCH($D24,'Monthly VOL'!$D$2:$D$65,0),MATCH(Z$1,'Monthly VOL'!$N$1:$CG$1,0))/INDEX('Monthly CUST'!$N$2:$CG$65,MATCH($D24,'Monthly CUST'!$D$2:$D$65,0),MATCH(Z$1,'Monthly CUST'!$N$1:$CG$1,0)),0)</f>
        <v>50412.742777777785</v>
      </c>
      <c r="AA24" s="56">
        <f>IFERROR(INDEX('Monthly VOL'!$N$2:$CG$65,MATCH($D24,'Monthly VOL'!$D$2:$D$65,0),MATCH(AA$1,'Monthly VOL'!$N$1:$CG$1,0))/INDEX('Monthly CUST'!$N$2:$CG$65,MATCH($D24,'Monthly CUST'!$D$2:$D$65,0),MATCH(AA$1,'Monthly CUST'!$N$1:$CG$1,0)),0)</f>
        <v>44606.221111111103</v>
      </c>
      <c r="AB24" s="56">
        <f>IFERROR(INDEX('Monthly VOL'!$N$2:$CG$65,MATCH($D24,'Monthly VOL'!$D$2:$D$65,0),MATCH(AB$1,'Monthly VOL'!$N$1:$CG$1,0))/INDEX('Monthly CUST'!$N$2:$CG$65,MATCH($D24,'Monthly CUST'!$D$2:$D$65,0),MATCH(AB$1,'Monthly CUST'!$N$1:$CG$1,0)),0)</f>
        <v>46476.234444444446</v>
      </c>
      <c r="AC24" s="56">
        <f>IFERROR(INDEX('Monthly VOL'!$N$2:$CG$65,MATCH($D24,'Monthly VOL'!$D$2:$D$65,0),MATCH(AC$1,'Monthly VOL'!$N$1:$CG$1,0))/INDEX('Monthly CUST'!$N$2:$CG$65,MATCH($D24,'Monthly CUST'!$D$2:$D$65,0),MATCH(AC$1,'Monthly CUST'!$N$1:$CG$1,0)),0)</f>
        <v>47704.837222222232</v>
      </c>
      <c r="AD24" s="56">
        <f>IFERROR(INDEX('Monthly VOL'!$N$2:$CG$65,MATCH($D24,'Monthly VOL'!$D$2:$D$65,0),MATCH(AD$1,'Monthly VOL'!$N$1:$CG$1,0))/INDEX('Monthly CUST'!$N$2:$CG$65,MATCH($D24,'Monthly CUST'!$D$2:$D$65,0),MATCH(AD$1,'Monthly CUST'!$N$1:$CG$1,0)),0)</f>
        <v>44673.81</v>
      </c>
      <c r="AE24" s="56">
        <f>IFERROR(INDEX('Monthly VOL'!$N$2:$CG$65,MATCH($D24,'Monthly VOL'!$D$2:$D$65,0),MATCH(AE$1,'Monthly VOL'!$N$1:$CG$1,0))/INDEX('Monthly CUST'!$N$2:$CG$65,MATCH($D24,'Monthly CUST'!$D$2:$D$65,0),MATCH(AE$1,'Monthly CUST'!$N$1:$CG$1,0)),0)</f>
        <v>45861.337777777779</v>
      </c>
      <c r="AF24" s="56">
        <f>IFERROR(INDEX('Monthly VOL'!$N$2:$CG$65,MATCH($D24,'Monthly VOL'!$D$2:$D$65,0),MATCH(AF$1,'Monthly VOL'!$N$1:$CG$1,0))/INDEX('Monthly CUST'!$N$2:$CG$65,MATCH($D24,'Monthly CUST'!$D$2:$D$65,0),MATCH(AF$1,'Monthly CUST'!$N$1:$CG$1,0)),0)</f>
        <v>46249.011111111118</v>
      </c>
      <c r="AG24" s="56">
        <f>IFERROR(INDEX('Monthly VOL'!$N$2:$CG$65,MATCH($D24,'Monthly VOL'!$D$2:$D$65,0),MATCH(AG$1,'Monthly VOL'!$N$1:$CG$1,0))/INDEX('Monthly CUST'!$N$2:$CG$65,MATCH($D24,'Monthly CUST'!$D$2:$D$65,0),MATCH(AG$1,'Monthly CUST'!$N$1:$CG$1,0)),0)</f>
        <v>43442.146111111113</v>
      </c>
      <c r="AH24" s="56">
        <f>IFERROR(INDEX('Monthly VOL'!$N$2:$CG$65,MATCH($D24,'Monthly VOL'!$D$2:$D$65,0),MATCH(AH$1,'Monthly VOL'!$N$1:$CG$1,0))/INDEX('Monthly CUST'!$N$2:$CG$65,MATCH($D24,'Monthly CUST'!$D$2:$D$65,0),MATCH(AH$1,'Monthly CUST'!$N$1:$CG$1,0)),0)</f>
        <v>43071.486111111109</v>
      </c>
      <c r="AI24" s="56">
        <f>IFERROR(INDEX('Monthly VOL'!$N$2:$CG$65,MATCH($D24,'Monthly VOL'!$D$2:$D$65,0),MATCH(AI$1,'Monthly VOL'!$N$1:$CG$1,0))/INDEX('Monthly CUST'!$N$2:$CG$65,MATCH($D24,'Monthly CUST'!$D$2:$D$65,0),MATCH(AI$1,'Monthly CUST'!$N$1:$CG$1,0)),0)</f>
        <v>48492.003333333327</v>
      </c>
      <c r="AJ24" s="56">
        <f>IFERROR(INDEX('Monthly VOL'!$N$2:$CG$65,MATCH($D24,'Monthly VOL'!$D$2:$D$65,0),MATCH(AJ$1,'Monthly VOL'!$N$1:$CG$1,0))/INDEX('Monthly CUST'!$N$2:$CG$65,MATCH($D24,'Monthly CUST'!$D$2:$D$65,0),MATCH(AJ$1,'Monthly CUST'!$N$1:$CG$1,0)),0)</f>
        <v>46139.256666666668</v>
      </c>
      <c r="AK24" s="56">
        <f>IFERROR(INDEX('Monthly VOL'!$N$2:$CG$65,MATCH($D24,'Monthly VOL'!$D$2:$D$65,0),MATCH(AK$1,'Monthly VOL'!$N$1:$CG$1,0))/INDEX('Monthly CUST'!$N$2:$CG$65,MATCH($D24,'Monthly CUST'!$D$2:$D$65,0),MATCH(AK$1,'Monthly CUST'!$N$1:$CG$1,0)),0)</f>
        <v>47937.736111111117</v>
      </c>
      <c r="AL24" s="56">
        <f>IFERROR(INDEX('Monthly VOL'!$N$2:$CG$65,MATCH($D24,'Monthly VOL'!$D$2:$D$65,0),MATCH(AL$1,'Monthly VOL'!$N$1:$CG$1,0))/INDEX('Monthly CUST'!$N$2:$CG$65,MATCH($D24,'Monthly CUST'!$D$2:$D$65,0),MATCH(AL$1,'Monthly CUST'!$N$1:$CG$1,0)),0)</f>
        <v>44831.080000000009</v>
      </c>
      <c r="AM24" s="56">
        <f>IFERROR(INDEX('Monthly VOL'!$N$2:$CG$65,MATCH($D24,'Monthly VOL'!$D$2:$D$65,0),MATCH(AM$1,'Monthly VOL'!$N$1:$CG$1,0))/INDEX('Monthly CUST'!$N$2:$CG$65,MATCH($D24,'Monthly CUST'!$D$2:$D$65,0),MATCH(AM$1,'Monthly CUST'!$N$1:$CG$1,0)),0)</f>
        <v>43727.681111111109</v>
      </c>
      <c r="AN24" s="56">
        <f>IFERROR(INDEX('Monthly VOL'!$N$2:$CG$65,MATCH($D24,'Monthly VOL'!$D$2:$D$65,0),MATCH(AN$1,'Monthly VOL'!$N$1:$CG$1,0))/INDEX('Monthly CUST'!$N$2:$CG$65,MATCH($D24,'Monthly CUST'!$D$2:$D$65,0),MATCH(AN$1,'Monthly CUST'!$N$1:$CG$1,0)),0)</f>
        <v>50487.693333333329</v>
      </c>
      <c r="AO24" s="56">
        <f>IFERROR(INDEX('Monthly VOL'!$N$2:$CG$65,MATCH($D24,'Monthly VOL'!$D$2:$D$65,0),MATCH(AO$1,'Monthly VOL'!$N$1:$CG$1,0))/INDEX('Monthly CUST'!$N$2:$CG$65,MATCH($D24,'Monthly CUST'!$D$2:$D$65,0),MATCH(AO$1,'Monthly CUST'!$N$1:$CG$1,0)),0)</f>
        <v>44055.36555555556</v>
      </c>
      <c r="AP24" s="56">
        <f>IFERROR(INDEX('Monthly VOL'!$N$2:$CG$65,MATCH($D24,'Monthly VOL'!$D$2:$D$65,0),MATCH(AP$1,'Monthly VOL'!$N$1:$CG$1,0))/INDEX('Monthly CUST'!$N$2:$CG$65,MATCH($D24,'Monthly CUST'!$D$2:$D$65,0),MATCH(AP$1,'Monthly CUST'!$N$1:$CG$1,0)),0)</f>
        <v>47775.353888888887</v>
      </c>
      <c r="AQ24" s="56">
        <f>IFERROR(INDEX('Monthly VOL'!$N$2:$CG$65,MATCH($D24,'Monthly VOL'!$D$2:$D$65,0),MATCH(AQ$1,'Monthly VOL'!$N$1:$CG$1,0))/INDEX('Monthly CUST'!$N$2:$CG$65,MATCH($D24,'Monthly CUST'!$D$2:$D$65,0),MATCH(AQ$1,'Monthly CUST'!$N$1:$CG$1,0)),0)</f>
        <v>43123.055555555555</v>
      </c>
      <c r="AR24" s="56">
        <f>IFERROR(INDEX('Monthly VOL'!$N$2:$CG$65,MATCH($D24,'Monthly VOL'!$D$2:$D$65,0),MATCH(AR$1,'Monthly VOL'!$N$1:$CG$1,0))/INDEX('Monthly CUST'!$N$2:$CG$65,MATCH($D24,'Monthly CUST'!$D$2:$D$65,0),MATCH(AR$1,'Monthly CUST'!$N$1:$CG$1,0)),0)</f>
        <v>46083.404999999999</v>
      </c>
      <c r="AS24" s="56">
        <f>IFERROR(INDEX('Monthly VOL'!$N$2:$CG$65,MATCH($D24,'Monthly VOL'!$D$2:$D$65,0),MATCH(AS$1,'Monthly VOL'!$N$1:$CG$1,0))/INDEX('Monthly CUST'!$N$2:$CG$65,MATCH($D24,'Monthly CUST'!$D$2:$D$65,0),MATCH(AS$1,'Monthly CUST'!$N$1:$CG$1,0)),0)</f>
        <v>46127.885555555564</v>
      </c>
      <c r="AT24" s="56">
        <f>IFERROR(INDEX('Monthly VOL'!$N$2:$CG$65,MATCH($D24,'Monthly VOL'!$D$2:$D$65,0),MATCH(AT$1,'Monthly VOL'!$N$1:$CG$1,0))/INDEX('Monthly CUST'!$N$2:$CG$65,MATCH($D24,'Monthly CUST'!$D$2:$D$65,0),MATCH(AT$1,'Monthly CUST'!$N$1:$CG$1,0)),0)</f>
        <v>44273.840555555558</v>
      </c>
      <c r="AU24" s="56">
        <f>IFERROR(INDEX('Monthly VOL'!$N$2:$CG$65,MATCH($D24,'Monthly VOL'!$D$2:$D$65,0),MATCH(AU$1,'Monthly VOL'!$N$1:$CG$1,0))/INDEX('Monthly CUST'!$N$2:$CG$65,MATCH($D24,'Monthly CUST'!$D$2:$D$65,0),MATCH(AU$1,'Monthly CUST'!$N$1:$CG$1,0)),0)</f>
        <v>47345.160555555551</v>
      </c>
      <c r="AV24" s="56">
        <f>IFERROR(INDEX('Monthly VOL'!$N$2:$CG$65,MATCH($D24,'Monthly VOL'!$D$2:$D$65,0),MATCH(AV$1,'Monthly VOL'!$N$1:$CG$1,0))/INDEX('Monthly CUST'!$N$2:$CG$65,MATCH($D24,'Monthly CUST'!$D$2:$D$65,0),MATCH(AV$1,'Monthly CUST'!$N$1:$CG$1,0)),0)</f>
        <v>47760.532222222224</v>
      </c>
      <c r="AW24" s="56">
        <f>IFERROR(INDEX('Monthly VOL'!$N$2:$CG$65,MATCH($D24,'Monthly VOL'!$D$2:$D$65,0),MATCH(AW$1,'Monthly VOL'!$N$1:$CG$1,0))/INDEX('Monthly CUST'!$N$2:$CG$65,MATCH($D24,'Monthly CUST'!$D$2:$D$65,0),MATCH(AW$1,'Monthly CUST'!$N$1:$CG$1,0)),0)</f>
        <v>50106.930555555555</v>
      </c>
      <c r="AX24" s="56">
        <f>IFERROR(INDEX('Monthly VOL'!$N$2:$CG$65,MATCH($D24,'Monthly VOL'!$D$2:$D$65,0),MATCH(AX$1,'Monthly VOL'!$N$1:$CG$1,0))/INDEX('Monthly CUST'!$N$2:$CG$65,MATCH($D24,'Monthly CUST'!$D$2:$D$65,0),MATCH(AX$1,'Monthly CUST'!$N$1:$CG$1,0)),0)</f>
        <v>51952.443888888891</v>
      </c>
      <c r="AY24" s="56">
        <f>IFERROR(INDEX('Monthly VOL'!$N$2:$CG$65,MATCH($D24,'Monthly VOL'!$D$2:$D$65,0),MATCH(AY$1,'Monthly VOL'!$N$1:$CG$1,0))/INDEX('Monthly CUST'!$N$2:$CG$65,MATCH($D24,'Monthly CUST'!$D$2:$D$65,0),MATCH(AY$1,'Monthly CUST'!$N$1:$CG$1,0)),0)</f>
        <v>42044.671666666662</v>
      </c>
      <c r="AZ24" s="56">
        <f>IFERROR(INDEX('Monthly VOL'!$N$2:$CG$65,MATCH($D24,'Monthly VOL'!$D$2:$D$65,0),MATCH(AZ$1,'Monthly VOL'!$N$1:$CG$1,0))/INDEX('Monthly CUST'!$N$2:$CG$65,MATCH($D24,'Monthly CUST'!$D$2:$D$65,0),MATCH(AZ$1,'Monthly CUST'!$N$1:$CG$1,0)),0)</f>
        <v>43462.726315789478</v>
      </c>
      <c r="BA24" s="56">
        <f>IFERROR(INDEX('Monthly VOL'!$N$2:$CG$65,MATCH($D24,'Monthly VOL'!$D$2:$D$65,0),MATCH(BA$1,'Monthly VOL'!$N$1:$CG$1,0))/INDEX('Monthly CUST'!$N$2:$CG$65,MATCH($D24,'Monthly CUST'!$D$2:$D$65,0),MATCH(BA$1,'Monthly CUST'!$N$1:$CG$1,0)),0)</f>
        <v>42902.895294117654</v>
      </c>
      <c r="BB24" s="56">
        <f>IFERROR(INDEX('Monthly VOL'!$N$2:$CG$65,MATCH($D24,'Monthly VOL'!$D$2:$D$65,0),MATCH(BB$1,'Monthly VOL'!$N$1:$CG$1,0))/INDEX('Monthly CUST'!$N$2:$CG$65,MATCH($D24,'Monthly CUST'!$D$2:$D$65,0),MATCH(BB$1,'Monthly CUST'!$N$1:$CG$1,0)),0)</f>
        <v>43518.78</v>
      </c>
      <c r="BC24" s="56">
        <f>IFERROR(INDEX('Monthly VOL'!$N$2:$CG$65,MATCH($D24,'Monthly VOL'!$D$2:$D$65,0),MATCH(BC$1,'Monthly VOL'!$N$1:$CG$1,0))/INDEX('Monthly CUST'!$N$2:$CG$65,MATCH($D24,'Monthly CUST'!$D$2:$D$65,0),MATCH(BC$1,'Monthly CUST'!$N$1:$CG$1,0)),0)</f>
        <v>38068.947777777772</v>
      </c>
      <c r="BD24" s="56">
        <f>IFERROR(INDEX('Monthly VOL'!$N$2:$CG$65,MATCH($D24,'Monthly VOL'!$D$2:$D$65,0),MATCH(BD$1,'Monthly VOL'!$N$1:$CG$1,0))/INDEX('Monthly CUST'!$N$2:$CG$65,MATCH($D24,'Monthly CUST'!$D$2:$D$65,0),MATCH(BD$1,'Monthly CUST'!$N$1:$CG$1,0)),0)</f>
        <v>41097.763333333336</v>
      </c>
      <c r="BE24" s="56">
        <f>IFERROR(INDEX('Monthly VOL'!$N$2:$CG$65,MATCH($D24,'Monthly VOL'!$D$2:$D$65,0),MATCH(BE$1,'Monthly VOL'!$N$1:$CG$1,0))/INDEX('Monthly CUST'!$N$2:$CG$65,MATCH($D24,'Monthly CUST'!$D$2:$D$65,0),MATCH(BE$1,'Monthly CUST'!$N$1:$CG$1,0)),0)</f>
        <v>43715.127222222225</v>
      </c>
      <c r="BF24" s="56">
        <f>IFERROR(INDEX('Monthly VOL'!$N$2:$CG$65,MATCH($D24,'Monthly VOL'!$D$2:$D$65,0),MATCH(BF$1,'Monthly VOL'!$N$1:$CG$1,0))/INDEX('Monthly CUST'!$N$2:$CG$65,MATCH($D24,'Monthly CUST'!$D$2:$D$65,0),MATCH(BF$1,'Monthly CUST'!$N$1:$CG$1,0)),0)</f>
        <v>41065.308888888889</v>
      </c>
      <c r="BG24" s="56">
        <f>IFERROR(INDEX('Monthly VOL'!$N$2:$CG$65,MATCH($D24,'Monthly VOL'!$D$2:$D$65,0),MATCH(BG$1,'Monthly VOL'!$N$1:$CG$1,0))/INDEX('Monthly CUST'!$N$2:$CG$65,MATCH($D24,'Monthly CUST'!$D$2:$D$65,0),MATCH(BG$1,'Monthly CUST'!$N$1:$CG$1,0)),0)</f>
        <v>48392.312777777777</v>
      </c>
      <c r="BH24" s="56">
        <f>IFERROR(INDEX('Monthly VOL'!$N$2:$CG$65,MATCH($D24,'Monthly VOL'!$D$2:$D$65,0),MATCH(BH$1,'Monthly VOL'!$N$1:$CG$1,0))/INDEX('Monthly CUST'!$N$2:$CG$65,MATCH($D24,'Monthly CUST'!$D$2:$D$65,0),MATCH(BH$1,'Monthly CUST'!$N$1:$CG$1,0)),0)</f>
        <v>47066.361666666671</v>
      </c>
      <c r="BI24" s="56">
        <f>IFERROR(INDEX('Monthly VOL'!$N$2:$CG$65,MATCH($D24,'Monthly VOL'!$D$2:$D$65,0),MATCH(BI$1,'Monthly VOL'!$N$1:$CG$1,0))/INDEX('Monthly CUST'!$N$2:$CG$65,MATCH($D24,'Monthly CUST'!$D$2:$D$65,0),MATCH(BI$1,'Monthly CUST'!$N$1:$CG$1,0)),0)</f>
        <v>46999.35833333333</v>
      </c>
      <c r="BJ24" s="56">
        <f>IFERROR(INDEX('Monthly VOL'!$N$2:$CG$65,MATCH($D24,'Monthly VOL'!$D$2:$D$65,0),MATCH(BJ$1,'Monthly VOL'!$N$1:$CG$1,0))/INDEX('Monthly CUST'!$N$2:$CG$65,MATCH($D24,'Monthly CUST'!$D$2:$D$65,0),MATCH(BJ$1,'Monthly CUST'!$N$1:$CG$1,0)),0)</f>
        <v>51952.443888888891</v>
      </c>
      <c r="BK24" s="56">
        <f>IFERROR(INDEX('Monthly VOL'!$N$2:$CG$65,MATCH($D24,'Monthly VOL'!$D$2:$D$65,0),MATCH(BK$1,'Monthly VOL'!$N$1:$CG$1,0))/INDEX('Monthly CUST'!$N$2:$CG$65,MATCH($D24,'Monthly CUST'!$D$2:$D$65,0),MATCH(BK$1,'Monthly CUST'!$N$1:$CG$1,0)),0)</f>
        <v>42044.671666666662</v>
      </c>
      <c r="BL24" s="56">
        <f>IFERROR(INDEX('Monthly VOL'!$N$2:$CG$65,MATCH($D24,'Monthly VOL'!$D$2:$D$65,0),MATCH(BL$1,'Monthly VOL'!$N$1:$CG$1,0))/INDEX('Monthly CUST'!$N$2:$CG$65,MATCH($D24,'Monthly CUST'!$D$2:$D$65,0),MATCH(BL$1,'Monthly CUST'!$N$1:$CG$1,0)),0)</f>
        <v>43462.726315789478</v>
      </c>
      <c r="BM24" s="56">
        <f>IFERROR(INDEX('Monthly VOL'!$N$2:$CG$65,MATCH($D24,'Monthly VOL'!$D$2:$D$65,0),MATCH(BM$1,'Monthly VOL'!$N$1:$CG$1,0))/INDEX('Monthly CUST'!$N$2:$CG$65,MATCH($D24,'Monthly CUST'!$D$2:$D$65,0),MATCH(BM$1,'Monthly CUST'!$N$1:$CG$1,0)),0)</f>
        <v>42902.895294117654</v>
      </c>
      <c r="BN24" s="56">
        <f>IFERROR(INDEX('Monthly VOL'!$N$2:$CG$65,MATCH($D24,'Monthly VOL'!$D$2:$D$65,0),MATCH(BN$1,'Monthly VOL'!$N$1:$CG$1,0))/INDEX('Monthly CUST'!$N$2:$CG$65,MATCH($D24,'Monthly CUST'!$D$2:$D$65,0),MATCH(BN$1,'Monthly CUST'!$N$1:$CG$1,0)),0)</f>
        <v>43518.78</v>
      </c>
      <c r="BO24" s="56">
        <f>IFERROR(INDEX('Monthly VOL'!$N$2:$CG$65,MATCH($D24,'Monthly VOL'!$D$2:$D$65,0),MATCH(BO$1,'Monthly VOL'!$N$1:$CG$1,0))/INDEX('Monthly CUST'!$N$2:$CG$65,MATCH($D24,'Monthly CUST'!$D$2:$D$65,0),MATCH(BO$1,'Monthly CUST'!$N$1:$CG$1,0)),0)</f>
        <v>38068.947777777772</v>
      </c>
      <c r="BP24" s="56">
        <f>IFERROR(INDEX('Monthly VOL'!$N$2:$CG$65,MATCH($D24,'Monthly VOL'!$D$2:$D$65,0),MATCH(BP$1,'Monthly VOL'!$N$1:$CG$1,0))/INDEX('Monthly CUST'!$N$2:$CG$65,MATCH($D24,'Monthly CUST'!$D$2:$D$65,0),MATCH(BP$1,'Monthly CUST'!$N$1:$CG$1,0)),0)</f>
        <v>41097.763333333336</v>
      </c>
      <c r="BQ24" s="56">
        <f>IFERROR(INDEX('Monthly VOL'!$N$2:$CG$65,MATCH($D24,'Monthly VOL'!$D$2:$D$65,0),MATCH(BQ$1,'Monthly VOL'!$N$1:$CG$1,0))/INDEX('Monthly CUST'!$N$2:$CG$65,MATCH($D24,'Monthly CUST'!$D$2:$D$65,0),MATCH(BQ$1,'Monthly CUST'!$N$1:$CG$1,0)),0)</f>
        <v>43715.127222222225</v>
      </c>
      <c r="BR24" s="56">
        <f>IFERROR(INDEX('Monthly VOL'!$N$2:$CG$65,MATCH($D24,'Monthly VOL'!$D$2:$D$65,0),MATCH(BR$1,'Monthly VOL'!$N$1:$CG$1,0))/INDEX('Monthly CUST'!$N$2:$CG$65,MATCH($D24,'Monthly CUST'!$D$2:$D$65,0),MATCH(BR$1,'Monthly CUST'!$N$1:$CG$1,0)),0)</f>
        <v>41065.308888888889</v>
      </c>
      <c r="BS24" s="56">
        <f>IFERROR(INDEX('Monthly VOL'!$N$2:$CG$65,MATCH($D24,'Monthly VOL'!$D$2:$D$65,0),MATCH(BS$1,'Monthly VOL'!$N$1:$CG$1,0))/INDEX('Monthly CUST'!$N$2:$CG$65,MATCH($D24,'Monthly CUST'!$D$2:$D$65,0),MATCH(BS$1,'Monthly CUST'!$N$1:$CG$1,0)),0)</f>
        <v>48392.312777777777</v>
      </c>
      <c r="BT24" s="56">
        <f>IFERROR(INDEX('Monthly VOL'!$N$2:$CG$65,MATCH($D24,'Monthly VOL'!$D$2:$D$65,0),MATCH(BT$1,'Monthly VOL'!$N$1:$CG$1,0))/INDEX('Monthly CUST'!$N$2:$CG$65,MATCH($D24,'Monthly CUST'!$D$2:$D$65,0),MATCH(BT$1,'Monthly CUST'!$N$1:$CG$1,0)),0)</f>
        <v>47066.361666666671</v>
      </c>
      <c r="BU24" s="56">
        <f>IFERROR(INDEX('Monthly VOL'!$N$2:$CG$65,MATCH($D24,'Monthly VOL'!$D$2:$D$65,0),MATCH(BU$1,'Monthly VOL'!$N$1:$CG$1,0))/INDEX('Monthly CUST'!$N$2:$CG$65,MATCH($D24,'Monthly CUST'!$D$2:$D$65,0),MATCH(BU$1,'Monthly CUST'!$N$1:$CG$1,0)),0)</f>
        <v>46999.35833333333</v>
      </c>
      <c r="BV24" s="56">
        <f>IFERROR(INDEX('Monthly VOL'!$N$2:$CG$65,MATCH($D24,'Monthly VOL'!$D$2:$D$65,0),MATCH(BV$1,'Monthly VOL'!$N$1:$CG$1,0))/INDEX('Monthly CUST'!$N$2:$CG$65,MATCH($D24,'Monthly CUST'!$D$2:$D$65,0),MATCH(BV$1,'Monthly CUST'!$N$1:$CG$1,0)),0)</f>
        <v>51952.443888888891</v>
      </c>
      <c r="BW24" s="56">
        <f>IFERROR(INDEX('Monthly VOL'!$N$2:$CG$65,MATCH($D24,'Monthly VOL'!$D$2:$D$65,0),MATCH(BW$1,'Monthly VOL'!$N$1:$CG$1,0))/INDEX('Monthly CUST'!$N$2:$CG$65,MATCH($D24,'Monthly CUST'!$D$2:$D$65,0),MATCH(BW$1,'Monthly CUST'!$N$1:$CG$1,0)),0)</f>
        <v>42044.671666666662</v>
      </c>
      <c r="BX24" s="56">
        <f>IFERROR(INDEX('Monthly VOL'!$N$2:$CG$65,MATCH($D24,'Monthly VOL'!$D$2:$D$65,0),MATCH(BX$1,'Monthly VOL'!$N$1:$CG$1,0))/INDEX('Monthly CUST'!$N$2:$CG$65,MATCH($D24,'Monthly CUST'!$D$2:$D$65,0),MATCH(BX$1,'Monthly CUST'!$N$1:$CG$1,0)),0)</f>
        <v>43462.726315789478</v>
      </c>
      <c r="BY24" s="56">
        <f>IFERROR(INDEX('Monthly VOL'!$N$2:$CG$65,MATCH($D24,'Monthly VOL'!$D$2:$D$65,0),MATCH(BY$1,'Monthly VOL'!$N$1:$CG$1,0))/INDEX('Monthly CUST'!$N$2:$CG$65,MATCH($D24,'Monthly CUST'!$D$2:$D$65,0),MATCH(BY$1,'Monthly CUST'!$N$1:$CG$1,0)),0)</f>
        <v>42902.895294117654</v>
      </c>
      <c r="BZ24" s="56">
        <f>IFERROR(INDEX('Monthly VOL'!$N$2:$CG$65,MATCH($D24,'Monthly VOL'!$D$2:$D$65,0),MATCH(BZ$1,'Monthly VOL'!$N$1:$CG$1,0))/INDEX('Monthly CUST'!$N$2:$CG$65,MATCH($D24,'Monthly CUST'!$D$2:$D$65,0),MATCH(BZ$1,'Monthly CUST'!$N$1:$CG$1,0)),0)</f>
        <v>43518.78</v>
      </c>
      <c r="CA24" s="56">
        <f>IFERROR(INDEX('Monthly VOL'!$N$2:$CG$65,MATCH($D24,'Monthly VOL'!$D$2:$D$65,0),MATCH(CA$1,'Monthly VOL'!$N$1:$CG$1,0))/INDEX('Monthly CUST'!$N$2:$CG$65,MATCH($D24,'Monthly CUST'!$D$2:$D$65,0),MATCH(CA$1,'Monthly CUST'!$N$1:$CG$1,0)),0)</f>
        <v>38068.947777777772</v>
      </c>
      <c r="CB24" s="56">
        <f>IFERROR(INDEX('Monthly VOL'!$N$2:$CG$65,MATCH($D24,'Monthly VOL'!$D$2:$D$65,0),MATCH(CB$1,'Monthly VOL'!$N$1:$CG$1,0))/INDEX('Monthly CUST'!$N$2:$CG$65,MATCH($D24,'Monthly CUST'!$D$2:$D$65,0),MATCH(CB$1,'Monthly CUST'!$N$1:$CG$1,0)),0)</f>
        <v>41097.763333333336</v>
      </c>
      <c r="CC24" s="56">
        <f>IFERROR(INDEX('Monthly VOL'!$N$2:$CG$65,MATCH($D24,'Monthly VOL'!$D$2:$D$65,0),MATCH(CC$1,'Monthly VOL'!$N$1:$CG$1,0))/INDEX('Monthly CUST'!$N$2:$CG$65,MATCH($D24,'Monthly CUST'!$D$2:$D$65,0),MATCH(CC$1,'Monthly CUST'!$N$1:$CG$1,0)),0)</f>
        <v>43715.127222222225</v>
      </c>
      <c r="CD24" s="56">
        <f>IFERROR(INDEX('Monthly VOL'!$N$2:$CG$65,MATCH($D24,'Monthly VOL'!$D$2:$D$65,0),MATCH(CD$1,'Monthly VOL'!$N$1:$CG$1,0))/INDEX('Monthly CUST'!$N$2:$CG$65,MATCH($D24,'Monthly CUST'!$D$2:$D$65,0),MATCH(CD$1,'Monthly CUST'!$N$1:$CG$1,0)),0)</f>
        <v>41065.308888888889</v>
      </c>
      <c r="CE24" s="56">
        <f>IFERROR(INDEX('Monthly VOL'!$N$2:$CG$65,MATCH($D24,'Monthly VOL'!$D$2:$D$65,0),MATCH(CE$1,'Monthly VOL'!$N$1:$CG$1,0))/INDEX('Monthly CUST'!$N$2:$CG$65,MATCH($D24,'Monthly CUST'!$D$2:$D$65,0),MATCH(CE$1,'Monthly CUST'!$N$1:$CG$1,0)),0)</f>
        <v>48392.312777777777</v>
      </c>
      <c r="CF24" s="56">
        <f>IFERROR(INDEX('Monthly VOL'!$N$2:$CG$65,MATCH($D24,'Monthly VOL'!$D$2:$D$65,0),MATCH(CF$1,'Monthly VOL'!$N$1:$CG$1,0))/INDEX('Monthly CUST'!$N$2:$CG$65,MATCH($D24,'Monthly CUST'!$D$2:$D$65,0),MATCH(CF$1,'Monthly CUST'!$N$1:$CG$1,0)),0)</f>
        <v>47066.361666666671</v>
      </c>
      <c r="CG24" s="56">
        <f>IFERROR(INDEX('Monthly VOL'!$N$2:$CG$65,MATCH($D24,'Monthly VOL'!$D$2:$D$65,0),MATCH(CG$1,'Monthly VOL'!$N$1:$CG$1,0))/INDEX('Monthly CUST'!$N$2:$CG$65,MATCH($D24,'Monthly CUST'!$D$2:$D$65,0),MATCH(CG$1,'Monthly CUST'!$N$1:$CG$1,0)),0)</f>
        <v>46999.35833333333</v>
      </c>
      <c r="CH24" s="264"/>
      <c r="CI24" s="264"/>
      <c r="CJ24" s="264"/>
      <c r="CM24" s="569">
        <f t="shared" si="0"/>
        <v>49065.422222222231</v>
      </c>
      <c r="CN24" s="569">
        <f t="shared" si="1"/>
        <v>43459.524629629625</v>
      </c>
      <c r="CO24" s="569">
        <f t="shared" si="2"/>
        <v>46808.884697855749</v>
      </c>
      <c r="CP24" s="569">
        <f t="shared" si="3"/>
        <v>44887.699357298487</v>
      </c>
      <c r="CQ24" s="569">
        <f t="shared" si="4"/>
        <v>45322.647962962954</v>
      </c>
      <c r="CR24" s="569">
        <f t="shared" si="5"/>
        <v>42351.113703703704</v>
      </c>
      <c r="CS24" s="569">
        <f t="shared" si="6"/>
        <v>44476.726481481484</v>
      </c>
      <c r="CT24" s="569">
        <f t="shared" si="7"/>
        <v>44428.386296296296</v>
      </c>
      <c r="CU24" s="569">
        <f t="shared" si="8"/>
        <v>42803.545185185183</v>
      </c>
      <c r="CV24" s="569">
        <f t="shared" si="9"/>
        <v>48076.492222222216</v>
      </c>
      <c r="CW24" s="569">
        <f t="shared" si="10"/>
        <v>46988.716851851852</v>
      </c>
      <c r="CX24" s="569">
        <f t="shared" si="11"/>
        <v>48348.008333333331</v>
      </c>
      <c r="CY24" s="569">
        <f t="shared" si="12"/>
        <v>49065.422222222231</v>
      </c>
      <c r="CZ24" s="569">
        <f t="shared" si="13"/>
        <v>43459.524629629625</v>
      </c>
      <c r="DA24" s="569">
        <f t="shared" si="14"/>
        <v>46808.884697855749</v>
      </c>
      <c r="DB24" s="569">
        <f t="shared" si="15"/>
        <v>44887.699357298487</v>
      </c>
      <c r="DC24" s="569">
        <f t="shared" si="16"/>
        <v>45322.647962962954</v>
      </c>
      <c r="DD24" s="569">
        <f t="shared" si="17"/>
        <v>42351.113703703704</v>
      </c>
      <c r="DE24" s="569">
        <f t="shared" si="18"/>
        <v>44476.726481481484</v>
      </c>
      <c r="DF24" s="569">
        <f t="shared" si="19"/>
        <v>44428.386296296296</v>
      </c>
      <c r="DG24" s="569">
        <f t="shared" si="20"/>
        <v>42803.545185185183</v>
      </c>
      <c r="DH24" s="569">
        <f t="shared" si="21"/>
        <v>48076.492222222216</v>
      </c>
      <c r="DI24" s="569">
        <f t="shared" si="22"/>
        <v>46988.716851851852</v>
      </c>
      <c r="DJ24" s="569">
        <f t="shared" si="23"/>
        <v>48348.008333333331</v>
      </c>
    </row>
    <row r="25" spans="1:114" s="261" customFormat="1">
      <c r="A25" s="55" t="s">
        <v>15</v>
      </c>
      <c r="B25" s="55" t="s">
        <v>994</v>
      </c>
      <c r="C25" s="55" t="s">
        <v>1245</v>
      </c>
      <c r="D25" s="55" t="s">
        <v>52</v>
      </c>
      <c r="E25" s="55" t="str">
        <f>VLOOKUP(D25,'Input 14_Ref Table'!C:D,2,FALSE)</f>
        <v>GCNGV</v>
      </c>
      <c r="F25" s="172" t="s">
        <v>1286</v>
      </c>
      <c r="G25" s="55" t="str">
        <f>VLOOKUP(D25,'Input 14_Ref Table'!C:I,7,FALSE)</f>
        <v>FPU - FPU-NGVS</v>
      </c>
      <c r="H25" s="55" t="str">
        <f>VLOOKUP(D25,'Input 14_Ref Table'!C:K,8,FALSE)</f>
        <v>Base Period</v>
      </c>
      <c r="I25" s="55" t="e">
        <f>INDEX(#REF!,MATCH(D25,#REF!,0))</f>
        <v>#REF!</v>
      </c>
      <c r="J25" s="261" t="str">
        <f>INDEX('Master '!$AD$2:AD$65,MATCH(D25,'Master '!$D$2:$D$65,0))</f>
        <v>Base Period</v>
      </c>
      <c r="K25" s="567">
        <f>INDEX('Master '!$N$2:N$65,MATCH(D25,'Master '!$D$2:$D$65,0))</f>
        <v>0</v>
      </c>
      <c r="L25" s="290">
        <f>INDEX('Master '!$S$2:S$65,MATCH(D25,'Master '!$D$2:$D$65,0))</f>
        <v>0</v>
      </c>
      <c r="M25" s="1">
        <f>INDEX('Master '!$W$2:W$65,MATCH(D25,'Master '!$D$2:$D$65,0))</f>
        <v>0</v>
      </c>
      <c r="N25" s="56">
        <f>IFERROR(INDEX('Monthly VOL'!$N$2:$CG$65,MATCH($D25,'Monthly VOL'!$D$2:$D$65,0),MATCH(N$1,'Monthly VOL'!$N$1:$CG$1,0))/INDEX('Monthly CUST'!$N$2:$CG$65,MATCH($D25,'Monthly CUST'!$D$2:$D$65,0),MATCH(N$1,'Monthly CUST'!$N$1:$CG$1,0)),0)</f>
        <v>0</v>
      </c>
      <c r="O25" s="56">
        <f>IFERROR(INDEX('Monthly VOL'!$N$2:$CG$65,MATCH($D25,'Monthly VOL'!$D$2:$D$65,0),MATCH(O$1,'Monthly VOL'!$N$1:$CG$1,0))/INDEX('Monthly CUST'!$N$2:$CG$65,MATCH($D25,'Monthly CUST'!$D$2:$D$65,0),MATCH(O$1,'Monthly CUST'!$N$1:$CG$1,0)),0)</f>
        <v>0</v>
      </c>
      <c r="P25" s="56">
        <f>IFERROR(INDEX('Monthly VOL'!$N$2:$CG$65,MATCH($D25,'Monthly VOL'!$D$2:$D$65,0),MATCH(P$1,'Monthly VOL'!$N$1:$CG$1,0))/INDEX('Monthly CUST'!$N$2:$CG$65,MATCH($D25,'Monthly CUST'!$D$2:$D$65,0),MATCH(P$1,'Monthly CUST'!$N$1:$CG$1,0)),0)</f>
        <v>0</v>
      </c>
      <c r="Q25" s="56">
        <f>IFERROR(INDEX('Monthly VOL'!$N$2:$CG$65,MATCH($D25,'Monthly VOL'!$D$2:$D$65,0),MATCH(Q$1,'Monthly VOL'!$N$1:$CG$1,0))/INDEX('Monthly CUST'!$N$2:$CG$65,MATCH($D25,'Monthly CUST'!$D$2:$D$65,0),MATCH(Q$1,'Monthly CUST'!$N$1:$CG$1,0)),0)</f>
        <v>0</v>
      </c>
      <c r="R25" s="56">
        <f>IFERROR(INDEX('Monthly VOL'!$N$2:$CG$65,MATCH($D25,'Monthly VOL'!$D$2:$D$65,0),MATCH(R$1,'Monthly VOL'!$N$1:$CG$1,0))/INDEX('Monthly CUST'!$N$2:$CG$65,MATCH($D25,'Monthly CUST'!$D$2:$D$65,0),MATCH(R$1,'Monthly CUST'!$N$1:$CG$1,0)),0)</f>
        <v>0</v>
      </c>
      <c r="S25" s="56">
        <f>IFERROR(INDEX('Monthly VOL'!$N$2:$CG$65,MATCH($D25,'Monthly VOL'!$D$2:$D$65,0),MATCH(S$1,'Monthly VOL'!$N$1:$CG$1,0))/INDEX('Monthly CUST'!$N$2:$CG$65,MATCH($D25,'Monthly CUST'!$D$2:$D$65,0),MATCH(S$1,'Monthly CUST'!$N$1:$CG$1,0)),0)</f>
        <v>0</v>
      </c>
      <c r="T25" s="56">
        <f>IFERROR(INDEX('Monthly VOL'!$N$2:$CG$65,MATCH($D25,'Monthly VOL'!$D$2:$D$65,0),MATCH(T$1,'Monthly VOL'!$N$1:$CG$1,0))/INDEX('Monthly CUST'!$N$2:$CG$65,MATCH($D25,'Monthly CUST'!$D$2:$D$65,0),MATCH(T$1,'Monthly CUST'!$N$1:$CG$1,0)),0)</f>
        <v>0</v>
      </c>
      <c r="U25" s="56">
        <f>IFERROR(INDEX('Monthly VOL'!$N$2:$CG$65,MATCH($D25,'Monthly VOL'!$D$2:$D$65,0),MATCH(U$1,'Monthly VOL'!$N$1:$CG$1,0))/INDEX('Monthly CUST'!$N$2:$CG$65,MATCH($D25,'Monthly CUST'!$D$2:$D$65,0),MATCH(U$1,'Monthly CUST'!$N$1:$CG$1,0)),0)</f>
        <v>0</v>
      </c>
      <c r="V25" s="56">
        <f>IFERROR(INDEX('Monthly VOL'!$N$2:$CG$65,MATCH($D25,'Monthly VOL'!$D$2:$D$65,0),MATCH(V$1,'Monthly VOL'!$N$1:$CG$1,0))/INDEX('Monthly CUST'!$N$2:$CG$65,MATCH($D25,'Monthly CUST'!$D$2:$D$65,0),MATCH(V$1,'Monthly CUST'!$N$1:$CG$1,0)),0)</f>
        <v>0</v>
      </c>
      <c r="W25" s="56">
        <f>IFERROR(INDEX('Monthly VOL'!$N$2:$CG$65,MATCH($D25,'Monthly VOL'!$D$2:$D$65,0),MATCH(W$1,'Monthly VOL'!$N$1:$CG$1,0))/INDEX('Monthly CUST'!$N$2:$CG$65,MATCH($D25,'Monthly CUST'!$D$2:$D$65,0),MATCH(W$1,'Monthly CUST'!$N$1:$CG$1,0)),0)</f>
        <v>0</v>
      </c>
      <c r="X25" s="56">
        <f>IFERROR(INDEX('Monthly VOL'!$N$2:$CG$65,MATCH($D25,'Monthly VOL'!$D$2:$D$65,0),MATCH(X$1,'Monthly VOL'!$N$1:$CG$1,0))/INDEX('Monthly CUST'!$N$2:$CG$65,MATCH($D25,'Monthly CUST'!$D$2:$D$65,0),MATCH(X$1,'Monthly CUST'!$N$1:$CG$1,0)),0)</f>
        <v>0</v>
      </c>
      <c r="Y25" s="56">
        <f>IFERROR(INDEX('Monthly VOL'!$N$2:$CG$65,MATCH($D25,'Monthly VOL'!$D$2:$D$65,0),MATCH(Y$1,'Monthly VOL'!$N$1:$CG$1,0))/INDEX('Monthly CUST'!$N$2:$CG$65,MATCH($D25,'Monthly CUST'!$D$2:$D$65,0),MATCH(Y$1,'Monthly CUST'!$N$1:$CG$1,0)),0)</f>
        <v>0</v>
      </c>
      <c r="Z25" s="56">
        <f>IFERROR(INDEX('Monthly VOL'!$N$2:$CG$65,MATCH($D25,'Monthly VOL'!$D$2:$D$65,0),MATCH(Z$1,'Monthly VOL'!$N$1:$CG$1,0))/INDEX('Monthly CUST'!$N$2:$CG$65,MATCH($D25,'Monthly CUST'!$D$2:$D$65,0),MATCH(Z$1,'Monthly CUST'!$N$1:$CG$1,0)),0)</f>
        <v>0</v>
      </c>
      <c r="AA25" s="56">
        <f>IFERROR(INDEX('Monthly VOL'!$N$2:$CG$65,MATCH($D25,'Monthly VOL'!$D$2:$D$65,0),MATCH(AA$1,'Monthly VOL'!$N$1:$CG$1,0))/INDEX('Monthly CUST'!$N$2:$CG$65,MATCH($D25,'Monthly CUST'!$D$2:$D$65,0),MATCH(AA$1,'Monthly CUST'!$N$1:$CG$1,0)),0)</f>
        <v>0</v>
      </c>
      <c r="AB25" s="56">
        <f>IFERROR(INDEX('Monthly VOL'!$N$2:$CG$65,MATCH($D25,'Monthly VOL'!$D$2:$D$65,0),MATCH(AB$1,'Monthly VOL'!$N$1:$CG$1,0))/INDEX('Monthly CUST'!$N$2:$CG$65,MATCH($D25,'Monthly CUST'!$D$2:$D$65,0),MATCH(AB$1,'Monthly CUST'!$N$1:$CG$1,0)),0)</f>
        <v>0</v>
      </c>
      <c r="AC25" s="56">
        <f>IFERROR(INDEX('Monthly VOL'!$N$2:$CG$65,MATCH($D25,'Monthly VOL'!$D$2:$D$65,0),MATCH(AC$1,'Monthly VOL'!$N$1:$CG$1,0))/INDEX('Monthly CUST'!$N$2:$CG$65,MATCH($D25,'Monthly CUST'!$D$2:$D$65,0),MATCH(AC$1,'Monthly CUST'!$N$1:$CG$1,0)),0)</f>
        <v>0</v>
      </c>
      <c r="AD25" s="56">
        <f>IFERROR(INDEX('Monthly VOL'!$N$2:$CG$65,MATCH($D25,'Monthly VOL'!$D$2:$D$65,0),MATCH(AD$1,'Monthly VOL'!$N$1:$CG$1,0))/INDEX('Monthly CUST'!$N$2:$CG$65,MATCH($D25,'Monthly CUST'!$D$2:$D$65,0),MATCH(AD$1,'Monthly CUST'!$N$1:$CG$1,0)),0)</f>
        <v>0</v>
      </c>
      <c r="AE25" s="56">
        <f>IFERROR(INDEX('Monthly VOL'!$N$2:$CG$65,MATCH($D25,'Monthly VOL'!$D$2:$D$65,0),MATCH(AE$1,'Monthly VOL'!$N$1:$CG$1,0))/INDEX('Monthly CUST'!$N$2:$CG$65,MATCH($D25,'Monthly CUST'!$D$2:$D$65,0),MATCH(AE$1,'Monthly CUST'!$N$1:$CG$1,0)),0)</f>
        <v>0</v>
      </c>
      <c r="AF25" s="56">
        <f>IFERROR(INDEX('Monthly VOL'!$N$2:$CG$65,MATCH($D25,'Monthly VOL'!$D$2:$D$65,0),MATCH(AF$1,'Monthly VOL'!$N$1:$CG$1,0))/INDEX('Monthly CUST'!$N$2:$CG$65,MATCH($D25,'Monthly CUST'!$D$2:$D$65,0),MATCH(AF$1,'Monthly CUST'!$N$1:$CG$1,0)),0)</f>
        <v>0</v>
      </c>
      <c r="AG25" s="56">
        <f>IFERROR(INDEX('Monthly VOL'!$N$2:$CG$65,MATCH($D25,'Monthly VOL'!$D$2:$D$65,0),MATCH(AG$1,'Monthly VOL'!$N$1:$CG$1,0))/INDEX('Monthly CUST'!$N$2:$CG$65,MATCH($D25,'Monthly CUST'!$D$2:$D$65,0),MATCH(AG$1,'Monthly CUST'!$N$1:$CG$1,0)),0)</f>
        <v>0</v>
      </c>
      <c r="AH25" s="56">
        <f>IFERROR(INDEX('Monthly VOL'!$N$2:$CG$65,MATCH($D25,'Monthly VOL'!$D$2:$D$65,0),MATCH(AH$1,'Monthly VOL'!$N$1:$CG$1,0))/INDEX('Monthly CUST'!$N$2:$CG$65,MATCH($D25,'Monthly CUST'!$D$2:$D$65,0),MATCH(AH$1,'Monthly CUST'!$N$1:$CG$1,0)),0)</f>
        <v>0</v>
      </c>
      <c r="AI25" s="56">
        <f>IFERROR(INDEX('Monthly VOL'!$N$2:$CG$65,MATCH($D25,'Monthly VOL'!$D$2:$D$65,0),MATCH(AI$1,'Monthly VOL'!$N$1:$CG$1,0))/INDEX('Monthly CUST'!$N$2:$CG$65,MATCH($D25,'Monthly CUST'!$D$2:$D$65,0),MATCH(AI$1,'Monthly CUST'!$N$1:$CG$1,0)),0)</f>
        <v>0</v>
      </c>
      <c r="AJ25" s="56">
        <f>IFERROR(INDEX('Monthly VOL'!$N$2:$CG$65,MATCH($D25,'Monthly VOL'!$D$2:$D$65,0),MATCH(AJ$1,'Monthly VOL'!$N$1:$CG$1,0))/INDEX('Monthly CUST'!$N$2:$CG$65,MATCH($D25,'Monthly CUST'!$D$2:$D$65,0),MATCH(AJ$1,'Monthly CUST'!$N$1:$CG$1,0)),0)</f>
        <v>0</v>
      </c>
      <c r="AK25" s="56">
        <f>IFERROR(INDEX('Monthly VOL'!$N$2:$CG$65,MATCH($D25,'Monthly VOL'!$D$2:$D$65,0),MATCH(AK$1,'Monthly VOL'!$N$1:$CG$1,0))/INDEX('Monthly CUST'!$N$2:$CG$65,MATCH($D25,'Monthly CUST'!$D$2:$D$65,0),MATCH(AK$1,'Monthly CUST'!$N$1:$CG$1,0)),0)</f>
        <v>0</v>
      </c>
      <c r="AL25" s="56">
        <f>IFERROR(INDEX('Monthly VOL'!$N$2:$CG$65,MATCH($D25,'Monthly VOL'!$D$2:$D$65,0),MATCH(AL$1,'Monthly VOL'!$N$1:$CG$1,0))/INDEX('Monthly CUST'!$N$2:$CG$65,MATCH($D25,'Monthly CUST'!$D$2:$D$65,0),MATCH(AL$1,'Monthly CUST'!$N$1:$CG$1,0)),0)</f>
        <v>0</v>
      </c>
      <c r="AM25" s="56">
        <f>IFERROR(INDEX('Monthly VOL'!$N$2:$CG$65,MATCH($D25,'Monthly VOL'!$D$2:$D$65,0),MATCH(AM$1,'Monthly VOL'!$N$1:$CG$1,0))/INDEX('Monthly CUST'!$N$2:$CG$65,MATCH($D25,'Monthly CUST'!$D$2:$D$65,0),MATCH(AM$1,'Monthly CUST'!$N$1:$CG$1,0)),0)</f>
        <v>0</v>
      </c>
      <c r="AN25" s="56">
        <f>IFERROR(INDEX('Monthly VOL'!$N$2:$CG$65,MATCH($D25,'Monthly VOL'!$D$2:$D$65,0),MATCH(AN$1,'Monthly VOL'!$N$1:$CG$1,0))/INDEX('Monthly CUST'!$N$2:$CG$65,MATCH($D25,'Monthly CUST'!$D$2:$D$65,0),MATCH(AN$1,'Monthly CUST'!$N$1:$CG$1,0)),0)</f>
        <v>0</v>
      </c>
      <c r="AO25" s="56">
        <f>IFERROR(INDEX('Monthly VOL'!$N$2:$CG$65,MATCH($D25,'Monthly VOL'!$D$2:$D$65,0),MATCH(AO$1,'Monthly VOL'!$N$1:$CG$1,0))/INDEX('Monthly CUST'!$N$2:$CG$65,MATCH($D25,'Monthly CUST'!$D$2:$D$65,0),MATCH(AO$1,'Monthly CUST'!$N$1:$CG$1,0)),0)</f>
        <v>0</v>
      </c>
      <c r="AP25" s="56">
        <f>IFERROR(INDEX('Monthly VOL'!$N$2:$CG$65,MATCH($D25,'Monthly VOL'!$D$2:$D$65,0),MATCH(AP$1,'Monthly VOL'!$N$1:$CG$1,0))/INDEX('Monthly CUST'!$N$2:$CG$65,MATCH($D25,'Monthly CUST'!$D$2:$D$65,0),MATCH(AP$1,'Monthly CUST'!$N$1:$CG$1,0)),0)</f>
        <v>0</v>
      </c>
      <c r="AQ25" s="56">
        <f>IFERROR(INDEX('Monthly VOL'!$N$2:$CG$65,MATCH($D25,'Monthly VOL'!$D$2:$D$65,0),MATCH(AQ$1,'Monthly VOL'!$N$1:$CG$1,0))/INDEX('Monthly CUST'!$N$2:$CG$65,MATCH($D25,'Monthly CUST'!$D$2:$D$65,0),MATCH(AQ$1,'Monthly CUST'!$N$1:$CG$1,0)),0)</f>
        <v>0</v>
      </c>
      <c r="AR25" s="56">
        <f>IFERROR(INDEX('Monthly VOL'!$N$2:$CG$65,MATCH($D25,'Monthly VOL'!$D$2:$D$65,0),MATCH(AR$1,'Monthly VOL'!$N$1:$CG$1,0))/INDEX('Monthly CUST'!$N$2:$CG$65,MATCH($D25,'Monthly CUST'!$D$2:$D$65,0),MATCH(AR$1,'Monthly CUST'!$N$1:$CG$1,0)),0)</f>
        <v>0</v>
      </c>
      <c r="AS25" s="56">
        <f>IFERROR(INDEX('Monthly VOL'!$N$2:$CG$65,MATCH($D25,'Monthly VOL'!$D$2:$D$65,0),MATCH(AS$1,'Monthly VOL'!$N$1:$CG$1,0))/INDEX('Monthly CUST'!$N$2:$CG$65,MATCH($D25,'Monthly CUST'!$D$2:$D$65,0),MATCH(AS$1,'Monthly CUST'!$N$1:$CG$1,0)),0)</f>
        <v>0</v>
      </c>
      <c r="AT25" s="56">
        <f>IFERROR(INDEX('Monthly VOL'!$N$2:$CG$65,MATCH($D25,'Monthly VOL'!$D$2:$D$65,0),MATCH(AT$1,'Monthly VOL'!$N$1:$CG$1,0))/INDEX('Monthly CUST'!$N$2:$CG$65,MATCH($D25,'Monthly CUST'!$D$2:$D$65,0),MATCH(AT$1,'Monthly CUST'!$N$1:$CG$1,0)),0)</f>
        <v>0</v>
      </c>
      <c r="AU25" s="56">
        <f>IFERROR(INDEX('Monthly VOL'!$N$2:$CG$65,MATCH($D25,'Monthly VOL'!$D$2:$D$65,0),MATCH(AU$1,'Monthly VOL'!$N$1:$CG$1,0))/INDEX('Monthly CUST'!$N$2:$CG$65,MATCH($D25,'Monthly CUST'!$D$2:$D$65,0),MATCH(AU$1,'Monthly CUST'!$N$1:$CG$1,0)),0)</f>
        <v>0</v>
      </c>
      <c r="AV25" s="56">
        <f>IFERROR(INDEX('Monthly VOL'!$N$2:$CG$65,MATCH($D25,'Monthly VOL'!$D$2:$D$65,0),MATCH(AV$1,'Monthly VOL'!$N$1:$CG$1,0))/INDEX('Monthly CUST'!$N$2:$CG$65,MATCH($D25,'Monthly CUST'!$D$2:$D$65,0),MATCH(AV$1,'Monthly CUST'!$N$1:$CG$1,0)),0)</f>
        <v>0</v>
      </c>
      <c r="AW25" s="56">
        <f>IFERROR(INDEX('Monthly VOL'!$N$2:$CG$65,MATCH($D25,'Monthly VOL'!$D$2:$D$65,0),MATCH(AW$1,'Monthly VOL'!$N$1:$CG$1,0))/INDEX('Monthly CUST'!$N$2:$CG$65,MATCH($D25,'Monthly CUST'!$D$2:$D$65,0),MATCH(AW$1,'Monthly CUST'!$N$1:$CG$1,0)),0)</f>
        <v>0</v>
      </c>
      <c r="AX25" s="56">
        <f>IFERROR(INDEX('Monthly VOL'!$N$2:$CG$65,MATCH($D25,'Monthly VOL'!$D$2:$D$65,0),MATCH(AX$1,'Monthly VOL'!$N$1:$CG$1,0))/INDEX('Monthly CUST'!$N$2:$CG$65,MATCH($D25,'Monthly CUST'!$D$2:$D$65,0),MATCH(AX$1,'Monthly CUST'!$N$1:$CG$1,0)),0)</f>
        <v>0</v>
      </c>
      <c r="AY25" s="56">
        <f>IFERROR(INDEX('Monthly VOL'!$N$2:$CG$65,MATCH($D25,'Monthly VOL'!$D$2:$D$65,0),MATCH(AY$1,'Monthly VOL'!$N$1:$CG$1,0))/INDEX('Monthly CUST'!$N$2:$CG$65,MATCH($D25,'Monthly CUST'!$D$2:$D$65,0),MATCH(AY$1,'Monthly CUST'!$N$1:$CG$1,0)),0)</f>
        <v>0</v>
      </c>
      <c r="AZ25" s="56">
        <f>IFERROR(INDEX('Monthly VOL'!$N$2:$CG$65,MATCH($D25,'Monthly VOL'!$D$2:$D$65,0),MATCH(AZ$1,'Monthly VOL'!$N$1:$CG$1,0))/INDEX('Monthly CUST'!$N$2:$CG$65,MATCH($D25,'Monthly CUST'!$D$2:$D$65,0),MATCH(AZ$1,'Monthly CUST'!$N$1:$CG$1,0)),0)</f>
        <v>0</v>
      </c>
      <c r="BA25" s="56">
        <f>IFERROR(INDEX('Monthly VOL'!$N$2:$CG$65,MATCH($D25,'Monthly VOL'!$D$2:$D$65,0),MATCH(BA$1,'Monthly VOL'!$N$1:$CG$1,0))/INDEX('Monthly CUST'!$N$2:$CG$65,MATCH($D25,'Monthly CUST'!$D$2:$D$65,0),MATCH(BA$1,'Monthly CUST'!$N$1:$CG$1,0)),0)</f>
        <v>0</v>
      </c>
      <c r="BB25" s="56">
        <f>IFERROR(INDEX('Monthly VOL'!$N$2:$CG$65,MATCH($D25,'Monthly VOL'!$D$2:$D$65,0),MATCH(BB$1,'Monthly VOL'!$N$1:$CG$1,0))/INDEX('Monthly CUST'!$N$2:$CG$65,MATCH($D25,'Monthly CUST'!$D$2:$D$65,0),MATCH(BB$1,'Monthly CUST'!$N$1:$CG$1,0)),0)</f>
        <v>0</v>
      </c>
      <c r="BC25" s="56">
        <f>IFERROR(INDEX('Monthly VOL'!$N$2:$CG$65,MATCH($D25,'Monthly VOL'!$D$2:$D$65,0),MATCH(BC$1,'Monthly VOL'!$N$1:$CG$1,0))/INDEX('Monthly CUST'!$N$2:$CG$65,MATCH($D25,'Monthly CUST'!$D$2:$D$65,0),MATCH(BC$1,'Monthly CUST'!$N$1:$CG$1,0)),0)</f>
        <v>0</v>
      </c>
      <c r="BD25" s="56">
        <f>IFERROR(INDEX('Monthly VOL'!$N$2:$CG$65,MATCH($D25,'Monthly VOL'!$D$2:$D$65,0),MATCH(BD$1,'Monthly VOL'!$N$1:$CG$1,0))/INDEX('Monthly CUST'!$N$2:$CG$65,MATCH($D25,'Monthly CUST'!$D$2:$D$65,0),MATCH(BD$1,'Monthly CUST'!$N$1:$CG$1,0)),0)</f>
        <v>0</v>
      </c>
      <c r="BE25" s="56">
        <f>IFERROR(INDEX('Monthly VOL'!$N$2:$CG$65,MATCH($D25,'Monthly VOL'!$D$2:$D$65,0),MATCH(BE$1,'Monthly VOL'!$N$1:$CG$1,0))/INDEX('Monthly CUST'!$N$2:$CG$65,MATCH($D25,'Monthly CUST'!$D$2:$D$65,0),MATCH(BE$1,'Monthly CUST'!$N$1:$CG$1,0)),0)</f>
        <v>0</v>
      </c>
      <c r="BF25" s="56">
        <f>IFERROR(INDEX('Monthly VOL'!$N$2:$CG$65,MATCH($D25,'Monthly VOL'!$D$2:$D$65,0),MATCH(BF$1,'Monthly VOL'!$N$1:$CG$1,0))/INDEX('Monthly CUST'!$N$2:$CG$65,MATCH($D25,'Monthly CUST'!$D$2:$D$65,0),MATCH(BF$1,'Monthly CUST'!$N$1:$CG$1,0)),0)</f>
        <v>0</v>
      </c>
      <c r="BG25" s="56">
        <f>IFERROR(INDEX('Monthly VOL'!$N$2:$CG$65,MATCH($D25,'Monthly VOL'!$D$2:$D$65,0),MATCH(BG$1,'Monthly VOL'!$N$1:$CG$1,0))/INDEX('Monthly CUST'!$N$2:$CG$65,MATCH($D25,'Monthly CUST'!$D$2:$D$65,0),MATCH(BG$1,'Monthly CUST'!$N$1:$CG$1,0)),0)</f>
        <v>0</v>
      </c>
      <c r="BH25" s="56">
        <f>IFERROR(INDEX('Monthly VOL'!$N$2:$CG$65,MATCH($D25,'Monthly VOL'!$D$2:$D$65,0),MATCH(BH$1,'Monthly VOL'!$N$1:$CG$1,0))/INDEX('Monthly CUST'!$N$2:$CG$65,MATCH($D25,'Monthly CUST'!$D$2:$D$65,0),MATCH(BH$1,'Monthly CUST'!$N$1:$CG$1,0)),0)</f>
        <v>0</v>
      </c>
      <c r="BI25" s="56">
        <f>IFERROR(INDEX('Monthly VOL'!$N$2:$CG$65,MATCH($D25,'Monthly VOL'!$D$2:$D$65,0),MATCH(BI$1,'Monthly VOL'!$N$1:$CG$1,0))/INDEX('Monthly CUST'!$N$2:$CG$65,MATCH($D25,'Monthly CUST'!$D$2:$D$65,0),MATCH(BI$1,'Monthly CUST'!$N$1:$CG$1,0)),0)</f>
        <v>0</v>
      </c>
      <c r="BJ25" s="56">
        <f>IFERROR(INDEX('Monthly VOL'!$N$2:$CG$65,MATCH($D25,'Monthly VOL'!$D$2:$D$65,0),MATCH(BJ$1,'Monthly VOL'!$N$1:$CG$1,0))/INDEX('Monthly CUST'!$N$2:$CG$65,MATCH($D25,'Monthly CUST'!$D$2:$D$65,0),MATCH(BJ$1,'Monthly CUST'!$N$1:$CG$1,0)),0)</f>
        <v>0</v>
      </c>
      <c r="BK25" s="56">
        <f>IFERROR(INDEX('Monthly VOL'!$N$2:$CG$65,MATCH($D25,'Monthly VOL'!$D$2:$D$65,0),MATCH(BK$1,'Monthly VOL'!$N$1:$CG$1,0))/INDEX('Monthly CUST'!$N$2:$CG$65,MATCH($D25,'Monthly CUST'!$D$2:$D$65,0),MATCH(BK$1,'Monthly CUST'!$N$1:$CG$1,0)),0)</f>
        <v>0</v>
      </c>
      <c r="BL25" s="56">
        <f>IFERROR(INDEX('Monthly VOL'!$N$2:$CG$65,MATCH($D25,'Monthly VOL'!$D$2:$D$65,0),MATCH(BL$1,'Monthly VOL'!$N$1:$CG$1,0))/INDEX('Monthly CUST'!$N$2:$CG$65,MATCH($D25,'Monthly CUST'!$D$2:$D$65,0),MATCH(BL$1,'Monthly CUST'!$N$1:$CG$1,0)),0)</f>
        <v>0</v>
      </c>
      <c r="BM25" s="56">
        <f>IFERROR(INDEX('Monthly VOL'!$N$2:$CG$65,MATCH($D25,'Monthly VOL'!$D$2:$D$65,0),MATCH(BM$1,'Monthly VOL'!$N$1:$CG$1,0))/INDEX('Monthly CUST'!$N$2:$CG$65,MATCH($D25,'Monthly CUST'!$D$2:$D$65,0),MATCH(BM$1,'Monthly CUST'!$N$1:$CG$1,0)),0)</f>
        <v>0</v>
      </c>
      <c r="BN25" s="56">
        <f>IFERROR(INDEX('Monthly VOL'!$N$2:$CG$65,MATCH($D25,'Monthly VOL'!$D$2:$D$65,0),MATCH(BN$1,'Monthly VOL'!$N$1:$CG$1,0))/INDEX('Monthly CUST'!$N$2:$CG$65,MATCH($D25,'Monthly CUST'!$D$2:$D$65,0),MATCH(BN$1,'Monthly CUST'!$N$1:$CG$1,0)),0)</f>
        <v>0</v>
      </c>
      <c r="BO25" s="56">
        <f>IFERROR(INDEX('Monthly VOL'!$N$2:$CG$65,MATCH($D25,'Monthly VOL'!$D$2:$D$65,0),MATCH(BO$1,'Monthly VOL'!$N$1:$CG$1,0))/INDEX('Monthly CUST'!$N$2:$CG$65,MATCH($D25,'Monthly CUST'!$D$2:$D$65,0),MATCH(BO$1,'Monthly CUST'!$N$1:$CG$1,0)),0)</f>
        <v>0</v>
      </c>
      <c r="BP25" s="56">
        <f>IFERROR(INDEX('Monthly VOL'!$N$2:$CG$65,MATCH($D25,'Monthly VOL'!$D$2:$D$65,0),MATCH(BP$1,'Monthly VOL'!$N$1:$CG$1,0))/INDEX('Monthly CUST'!$N$2:$CG$65,MATCH($D25,'Monthly CUST'!$D$2:$D$65,0),MATCH(BP$1,'Monthly CUST'!$N$1:$CG$1,0)),0)</f>
        <v>0</v>
      </c>
      <c r="BQ25" s="56">
        <f>IFERROR(INDEX('Monthly VOL'!$N$2:$CG$65,MATCH($D25,'Monthly VOL'!$D$2:$D$65,0),MATCH(BQ$1,'Monthly VOL'!$N$1:$CG$1,0))/INDEX('Monthly CUST'!$N$2:$CG$65,MATCH($D25,'Monthly CUST'!$D$2:$D$65,0),MATCH(BQ$1,'Monthly CUST'!$N$1:$CG$1,0)),0)</f>
        <v>0</v>
      </c>
      <c r="BR25" s="56">
        <f>IFERROR(INDEX('Monthly VOL'!$N$2:$CG$65,MATCH($D25,'Monthly VOL'!$D$2:$D$65,0),MATCH(BR$1,'Monthly VOL'!$N$1:$CG$1,0))/INDEX('Monthly CUST'!$N$2:$CG$65,MATCH($D25,'Monthly CUST'!$D$2:$D$65,0),MATCH(BR$1,'Monthly CUST'!$N$1:$CG$1,0)),0)</f>
        <v>0</v>
      </c>
      <c r="BS25" s="56">
        <f>IFERROR(INDEX('Monthly VOL'!$N$2:$CG$65,MATCH($D25,'Monthly VOL'!$D$2:$D$65,0),MATCH(BS$1,'Monthly VOL'!$N$1:$CG$1,0))/INDEX('Monthly CUST'!$N$2:$CG$65,MATCH($D25,'Monthly CUST'!$D$2:$D$65,0),MATCH(BS$1,'Monthly CUST'!$N$1:$CG$1,0)),0)</f>
        <v>0</v>
      </c>
      <c r="BT25" s="56">
        <f>IFERROR(INDEX('Monthly VOL'!$N$2:$CG$65,MATCH($D25,'Monthly VOL'!$D$2:$D$65,0),MATCH(BT$1,'Monthly VOL'!$N$1:$CG$1,0))/INDEX('Monthly CUST'!$N$2:$CG$65,MATCH($D25,'Monthly CUST'!$D$2:$D$65,0),MATCH(BT$1,'Monthly CUST'!$N$1:$CG$1,0)),0)</f>
        <v>0</v>
      </c>
      <c r="BU25" s="56">
        <f>IFERROR(INDEX('Monthly VOL'!$N$2:$CG$65,MATCH($D25,'Monthly VOL'!$D$2:$D$65,0),MATCH(BU$1,'Monthly VOL'!$N$1:$CG$1,0))/INDEX('Monthly CUST'!$N$2:$CG$65,MATCH($D25,'Monthly CUST'!$D$2:$D$65,0),MATCH(BU$1,'Monthly CUST'!$N$1:$CG$1,0)),0)</f>
        <v>0</v>
      </c>
      <c r="BV25" s="56">
        <f>IFERROR(INDEX('Monthly VOL'!$N$2:$CG$65,MATCH($D25,'Monthly VOL'!$D$2:$D$65,0),MATCH(BV$1,'Monthly VOL'!$N$1:$CG$1,0))/INDEX('Monthly CUST'!$N$2:$CG$65,MATCH($D25,'Monthly CUST'!$D$2:$D$65,0),MATCH(BV$1,'Monthly CUST'!$N$1:$CG$1,0)),0)</f>
        <v>0</v>
      </c>
      <c r="BW25" s="56">
        <f>IFERROR(INDEX('Monthly VOL'!$N$2:$CG$65,MATCH($D25,'Monthly VOL'!$D$2:$D$65,0),MATCH(BW$1,'Monthly VOL'!$N$1:$CG$1,0))/INDEX('Monthly CUST'!$N$2:$CG$65,MATCH($D25,'Monthly CUST'!$D$2:$D$65,0),MATCH(BW$1,'Monthly CUST'!$N$1:$CG$1,0)),0)</f>
        <v>0</v>
      </c>
      <c r="BX25" s="56">
        <f>IFERROR(INDEX('Monthly VOL'!$N$2:$CG$65,MATCH($D25,'Monthly VOL'!$D$2:$D$65,0),MATCH(BX$1,'Monthly VOL'!$N$1:$CG$1,0))/INDEX('Monthly CUST'!$N$2:$CG$65,MATCH($D25,'Monthly CUST'!$D$2:$D$65,0),MATCH(BX$1,'Monthly CUST'!$N$1:$CG$1,0)),0)</f>
        <v>0</v>
      </c>
      <c r="BY25" s="56">
        <f>IFERROR(INDEX('Monthly VOL'!$N$2:$CG$65,MATCH($D25,'Monthly VOL'!$D$2:$D$65,0),MATCH(BY$1,'Monthly VOL'!$N$1:$CG$1,0))/INDEX('Monthly CUST'!$N$2:$CG$65,MATCH($D25,'Monthly CUST'!$D$2:$D$65,0),MATCH(BY$1,'Monthly CUST'!$N$1:$CG$1,0)),0)</f>
        <v>0</v>
      </c>
      <c r="BZ25" s="56">
        <f>IFERROR(INDEX('Monthly VOL'!$N$2:$CG$65,MATCH($D25,'Monthly VOL'!$D$2:$D$65,0),MATCH(BZ$1,'Monthly VOL'!$N$1:$CG$1,0))/INDEX('Monthly CUST'!$N$2:$CG$65,MATCH($D25,'Monthly CUST'!$D$2:$D$65,0),MATCH(BZ$1,'Monthly CUST'!$N$1:$CG$1,0)),0)</f>
        <v>0</v>
      </c>
      <c r="CA25" s="56">
        <f>IFERROR(INDEX('Monthly VOL'!$N$2:$CG$65,MATCH($D25,'Monthly VOL'!$D$2:$D$65,0),MATCH(CA$1,'Monthly VOL'!$N$1:$CG$1,0))/INDEX('Monthly CUST'!$N$2:$CG$65,MATCH($D25,'Monthly CUST'!$D$2:$D$65,0),MATCH(CA$1,'Monthly CUST'!$N$1:$CG$1,0)),0)</f>
        <v>0</v>
      </c>
      <c r="CB25" s="56">
        <f>IFERROR(INDEX('Monthly VOL'!$N$2:$CG$65,MATCH($D25,'Monthly VOL'!$D$2:$D$65,0),MATCH(CB$1,'Monthly VOL'!$N$1:$CG$1,0))/INDEX('Monthly CUST'!$N$2:$CG$65,MATCH($D25,'Monthly CUST'!$D$2:$D$65,0),MATCH(CB$1,'Monthly CUST'!$N$1:$CG$1,0)),0)</f>
        <v>0</v>
      </c>
      <c r="CC25" s="56">
        <f>IFERROR(INDEX('Monthly VOL'!$N$2:$CG$65,MATCH($D25,'Monthly VOL'!$D$2:$D$65,0),MATCH(CC$1,'Monthly VOL'!$N$1:$CG$1,0))/INDEX('Monthly CUST'!$N$2:$CG$65,MATCH($D25,'Monthly CUST'!$D$2:$D$65,0),MATCH(CC$1,'Monthly CUST'!$N$1:$CG$1,0)),0)</f>
        <v>0</v>
      </c>
      <c r="CD25" s="56">
        <f>IFERROR(INDEX('Monthly VOL'!$N$2:$CG$65,MATCH($D25,'Monthly VOL'!$D$2:$D$65,0),MATCH(CD$1,'Monthly VOL'!$N$1:$CG$1,0))/INDEX('Monthly CUST'!$N$2:$CG$65,MATCH($D25,'Monthly CUST'!$D$2:$D$65,0),MATCH(CD$1,'Monthly CUST'!$N$1:$CG$1,0)),0)</f>
        <v>0</v>
      </c>
      <c r="CE25" s="56">
        <f>IFERROR(INDEX('Monthly VOL'!$N$2:$CG$65,MATCH($D25,'Monthly VOL'!$D$2:$D$65,0),MATCH(CE$1,'Monthly VOL'!$N$1:$CG$1,0))/INDEX('Monthly CUST'!$N$2:$CG$65,MATCH($D25,'Monthly CUST'!$D$2:$D$65,0),MATCH(CE$1,'Monthly CUST'!$N$1:$CG$1,0)),0)</f>
        <v>0</v>
      </c>
      <c r="CF25" s="56">
        <f>IFERROR(INDEX('Monthly VOL'!$N$2:$CG$65,MATCH($D25,'Monthly VOL'!$D$2:$D$65,0),MATCH(CF$1,'Monthly VOL'!$N$1:$CG$1,0))/INDEX('Monthly CUST'!$N$2:$CG$65,MATCH($D25,'Monthly CUST'!$D$2:$D$65,0),MATCH(CF$1,'Monthly CUST'!$N$1:$CG$1,0)),0)</f>
        <v>0</v>
      </c>
      <c r="CG25" s="56">
        <f>IFERROR(INDEX('Monthly VOL'!$N$2:$CG$65,MATCH($D25,'Monthly VOL'!$D$2:$D$65,0),MATCH(CG$1,'Monthly VOL'!$N$1:$CG$1,0))/INDEX('Monthly CUST'!$N$2:$CG$65,MATCH($D25,'Monthly CUST'!$D$2:$D$65,0),MATCH(CG$1,'Monthly CUST'!$N$1:$CG$1,0)),0)</f>
        <v>0</v>
      </c>
      <c r="CH25" s="264"/>
      <c r="CI25" s="264"/>
      <c r="CJ25" s="264"/>
      <c r="CM25" s="569">
        <f t="shared" si="0"/>
        <v>0</v>
      </c>
      <c r="CN25" s="569">
        <f t="shared" si="1"/>
        <v>0</v>
      </c>
      <c r="CO25" s="569">
        <f t="shared" si="2"/>
        <v>0</v>
      </c>
      <c r="CP25" s="569">
        <f t="shared" si="3"/>
        <v>0</v>
      </c>
      <c r="CQ25" s="569">
        <f t="shared" si="4"/>
        <v>0</v>
      </c>
      <c r="CR25" s="569">
        <f t="shared" si="5"/>
        <v>0</v>
      </c>
      <c r="CS25" s="569">
        <f t="shared" si="6"/>
        <v>0</v>
      </c>
      <c r="CT25" s="569">
        <f t="shared" si="7"/>
        <v>0</v>
      </c>
      <c r="CU25" s="569">
        <f t="shared" si="8"/>
        <v>0</v>
      </c>
      <c r="CV25" s="569">
        <f t="shared" si="9"/>
        <v>0</v>
      </c>
      <c r="CW25" s="569">
        <f t="shared" si="10"/>
        <v>0</v>
      </c>
      <c r="CX25" s="569">
        <f t="shared" si="11"/>
        <v>0</v>
      </c>
      <c r="CY25" s="569">
        <f t="shared" si="12"/>
        <v>0</v>
      </c>
      <c r="CZ25" s="569">
        <f t="shared" si="13"/>
        <v>0</v>
      </c>
      <c r="DA25" s="569">
        <f t="shared" si="14"/>
        <v>0</v>
      </c>
      <c r="DB25" s="569">
        <f t="shared" si="15"/>
        <v>0</v>
      </c>
      <c r="DC25" s="569">
        <f t="shared" si="16"/>
        <v>0</v>
      </c>
      <c r="DD25" s="569">
        <f t="shared" si="17"/>
        <v>0</v>
      </c>
      <c r="DE25" s="569">
        <f t="shared" si="18"/>
        <v>0</v>
      </c>
      <c r="DF25" s="569">
        <f t="shared" si="19"/>
        <v>0</v>
      </c>
      <c r="DG25" s="569">
        <f t="shared" si="20"/>
        <v>0</v>
      </c>
      <c r="DH25" s="569">
        <f t="shared" si="21"/>
        <v>0</v>
      </c>
      <c r="DI25" s="569">
        <f t="shared" si="22"/>
        <v>0</v>
      </c>
      <c r="DJ25" s="569">
        <f t="shared" si="23"/>
        <v>0</v>
      </c>
    </row>
    <row r="26" spans="1:114" s="261" customFormat="1">
      <c r="A26" s="55" t="s">
        <v>15</v>
      </c>
      <c r="B26" s="55" t="s">
        <v>993</v>
      </c>
      <c r="C26" s="55" t="s">
        <v>1245</v>
      </c>
      <c r="D26" s="55" t="s">
        <v>54</v>
      </c>
      <c r="E26" s="55" t="str">
        <f>VLOOKUP(D26,'Input 14_Ref Table'!C:D,2,FALSE)</f>
        <v>GTNGV</v>
      </c>
      <c r="F26" s="172" t="s">
        <v>1286</v>
      </c>
      <c r="G26" s="55" t="str">
        <f>VLOOKUP(D26,'Input 14_Ref Table'!C:I,7,FALSE)</f>
        <v>FPU - FPU- NGVTS</v>
      </c>
      <c r="H26" s="55" t="str">
        <f>VLOOKUP(D26,'Input 14_Ref Table'!C:K,8,FALSE)</f>
        <v>Base Period</v>
      </c>
      <c r="I26" s="55" t="e">
        <f>INDEX(#REF!,MATCH(D26,#REF!,0))</f>
        <v>#REF!</v>
      </c>
      <c r="J26" s="261" t="str">
        <f>INDEX('Master '!$AD$2:AD$65,MATCH(D26,'Master '!$D$2:$D$65,0))</f>
        <v>Historical Average</v>
      </c>
      <c r="K26" s="567">
        <f>INDEX('Master '!$N$2:N$65,MATCH(D26,'Master '!$D$2:$D$65,0))</f>
        <v>0</v>
      </c>
      <c r="L26" s="290">
        <f>INDEX('Master '!$S$2:S$65,MATCH(D26,'Master '!$D$2:$D$65,0))</f>
        <v>0</v>
      </c>
      <c r="M26" s="1">
        <f>INDEX('Master '!$W$2:W$65,MATCH(D26,'Master '!$D$2:$D$65,0))</f>
        <v>545656.96499999997</v>
      </c>
      <c r="N26" s="56">
        <f>IFERROR(INDEX('Monthly VOL'!$N$2:$CG$65,MATCH($D26,'Monthly VOL'!$D$2:$D$65,0),MATCH(N$1,'Monthly VOL'!$N$1:$CG$1,0))/INDEX('Monthly CUST'!$N$2:$CG$65,MATCH($D26,'Monthly CUST'!$D$2:$D$65,0),MATCH(N$1,'Monthly CUST'!$N$1:$CG$1,0)),0)</f>
        <v>25029.915000000001</v>
      </c>
      <c r="O26" s="56">
        <f>IFERROR(INDEX('Monthly VOL'!$N$2:$CG$65,MATCH($D26,'Monthly VOL'!$D$2:$D$65,0),MATCH(O$1,'Monthly VOL'!$N$1:$CG$1,0))/INDEX('Monthly CUST'!$N$2:$CG$65,MATCH($D26,'Monthly CUST'!$D$2:$D$65,0),MATCH(O$1,'Monthly CUST'!$N$1:$CG$1,0)),0)</f>
        <v>23095.15</v>
      </c>
      <c r="P26" s="56">
        <f>IFERROR(INDEX('Monthly VOL'!$N$2:$CG$65,MATCH($D26,'Monthly VOL'!$D$2:$D$65,0),MATCH(P$1,'Monthly VOL'!$N$1:$CG$1,0))/INDEX('Monthly CUST'!$N$2:$CG$65,MATCH($D26,'Monthly CUST'!$D$2:$D$65,0),MATCH(P$1,'Monthly CUST'!$N$1:$CG$1,0)),0)</f>
        <v>25114.620000000003</v>
      </c>
      <c r="Q26" s="56">
        <f>IFERROR(INDEX('Monthly VOL'!$N$2:$CG$65,MATCH($D26,'Monthly VOL'!$D$2:$D$65,0),MATCH(Q$1,'Monthly VOL'!$N$1:$CG$1,0))/INDEX('Monthly CUST'!$N$2:$CG$65,MATCH($D26,'Monthly CUST'!$D$2:$D$65,0),MATCH(Q$1,'Monthly CUST'!$N$1:$CG$1,0)),0)</f>
        <v>24320.3</v>
      </c>
      <c r="R26" s="56">
        <f>IFERROR(INDEX('Monthly VOL'!$N$2:$CG$65,MATCH($D26,'Monthly VOL'!$D$2:$D$65,0),MATCH(R$1,'Monthly VOL'!$N$1:$CG$1,0))/INDEX('Monthly CUST'!$N$2:$CG$65,MATCH($D26,'Monthly CUST'!$D$2:$D$65,0),MATCH(R$1,'Monthly CUST'!$N$1:$CG$1,0)),0)</f>
        <v>26365.605000000003</v>
      </c>
      <c r="S26" s="56">
        <f>IFERROR(INDEX('Monthly VOL'!$N$2:$CG$65,MATCH($D26,'Monthly VOL'!$D$2:$D$65,0),MATCH(S$1,'Monthly VOL'!$N$1:$CG$1,0))/INDEX('Monthly CUST'!$N$2:$CG$65,MATCH($D26,'Monthly CUST'!$D$2:$D$65,0),MATCH(S$1,'Monthly CUST'!$N$1:$CG$1,0)),0)</f>
        <v>25305.77</v>
      </c>
      <c r="T26" s="56">
        <f>IFERROR(INDEX('Monthly VOL'!$N$2:$CG$65,MATCH($D26,'Monthly VOL'!$D$2:$D$65,0),MATCH(T$1,'Monthly VOL'!$N$1:$CG$1,0))/INDEX('Monthly CUST'!$N$2:$CG$65,MATCH($D26,'Monthly CUST'!$D$2:$D$65,0),MATCH(T$1,'Monthly CUST'!$N$1:$CG$1,0)),0)</f>
        <v>27441.064999999999</v>
      </c>
      <c r="U26" s="56">
        <f>IFERROR(INDEX('Monthly VOL'!$N$2:$CG$65,MATCH($D26,'Monthly VOL'!$D$2:$D$65,0),MATCH(U$1,'Monthly VOL'!$N$1:$CG$1,0))/INDEX('Monthly CUST'!$N$2:$CG$65,MATCH($D26,'Monthly CUST'!$D$2:$D$65,0),MATCH(U$1,'Monthly CUST'!$N$1:$CG$1,0)),0)</f>
        <v>29906.129999999997</v>
      </c>
      <c r="V26" s="56">
        <f>IFERROR(INDEX('Monthly VOL'!$N$2:$CG$65,MATCH($D26,'Monthly VOL'!$D$2:$D$65,0),MATCH(V$1,'Monthly VOL'!$N$1:$CG$1,0))/INDEX('Monthly CUST'!$N$2:$CG$65,MATCH($D26,'Monthly CUST'!$D$2:$D$65,0),MATCH(V$1,'Monthly CUST'!$N$1:$CG$1,0)),0)</f>
        <v>28155.005000000001</v>
      </c>
      <c r="W26" s="56">
        <f>IFERROR(INDEX('Monthly VOL'!$N$2:$CG$65,MATCH($D26,'Monthly VOL'!$D$2:$D$65,0),MATCH(W$1,'Monthly VOL'!$N$1:$CG$1,0))/INDEX('Monthly CUST'!$N$2:$CG$65,MATCH($D26,'Monthly CUST'!$D$2:$D$65,0),MATCH(W$1,'Monthly CUST'!$N$1:$CG$1,0)),0)</f>
        <v>30733.584999999999</v>
      </c>
      <c r="X26" s="56">
        <f>IFERROR(INDEX('Monthly VOL'!$N$2:$CG$65,MATCH($D26,'Monthly VOL'!$D$2:$D$65,0),MATCH(X$1,'Monthly VOL'!$N$1:$CG$1,0))/INDEX('Monthly CUST'!$N$2:$CG$65,MATCH($D26,'Monthly CUST'!$D$2:$D$65,0),MATCH(X$1,'Monthly CUST'!$N$1:$CG$1,0)),0)</f>
        <v>28759.225000000002</v>
      </c>
      <c r="Y26" s="56">
        <f>IFERROR(INDEX('Monthly VOL'!$N$2:$CG$65,MATCH($D26,'Monthly VOL'!$D$2:$D$65,0),MATCH(Y$1,'Monthly VOL'!$N$1:$CG$1,0))/INDEX('Monthly CUST'!$N$2:$CG$65,MATCH($D26,'Monthly CUST'!$D$2:$D$65,0),MATCH(Y$1,'Monthly CUST'!$N$1:$CG$1,0)),0)</f>
        <v>27241.559999999998</v>
      </c>
      <c r="Z26" s="56">
        <f>IFERROR(INDEX('Monthly VOL'!$N$2:$CG$65,MATCH($D26,'Monthly VOL'!$D$2:$D$65,0),MATCH(Z$1,'Monthly VOL'!$N$1:$CG$1,0))/INDEX('Monthly CUST'!$N$2:$CG$65,MATCH($D26,'Monthly CUST'!$D$2:$D$65,0),MATCH(Z$1,'Monthly CUST'!$N$1:$CG$1,0)),0)</f>
        <v>28253.355</v>
      </c>
      <c r="AA26" s="56">
        <f>IFERROR(INDEX('Monthly VOL'!$N$2:$CG$65,MATCH($D26,'Monthly VOL'!$D$2:$D$65,0),MATCH(AA$1,'Monthly VOL'!$N$1:$CG$1,0))/INDEX('Monthly CUST'!$N$2:$CG$65,MATCH($D26,'Monthly CUST'!$D$2:$D$65,0),MATCH(AA$1,'Monthly CUST'!$N$1:$CG$1,0)),0)</f>
        <v>22725.39</v>
      </c>
      <c r="AB26" s="56">
        <f>IFERROR(INDEX('Monthly VOL'!$N$2:$CG$65,MATCH($D26,'Monthly VOL'!$D$2:$D$65,0),MATCH(AB$1,'Monthly VOL'!$N$1:$CG$1,0))/INDEX('Monthly CUST'!$N$2:$CG$65,MATCH($D26,'Monthly CUST'!$D$2:$D$65,0),MATCH(AB$1,'Monthly CUST'!$N$1:$CG$1,0)),0)</f>
        <v>25330.25</v>
      </c>
      <c r="AC26" s="56">
        <f>IFERROR(INDEX('Monthly VOL'!$N$2:$CG$65,MATCH($D26,'Monthly VOL'!$D$2:$D$65,0),MATCH(AC$1,'Monthly VOL'!$N$1:$CG$1,0))/INDEX('Monthly CUST'!$N$2:$CG$65,MATCH($D26,'Monthly CUST'!$D$2:$D$65,0),MATCH(AC$1,'Monthly CUST'!$N$1:$CG$1,0)),0)</f>
        <v>26455.909999999996</v>
      </c>
      <c r="AD26" s="56">
        <f>IFERROR(INDEX('Monthly VOL'!$N$2:$CG$65,MATCH($D26,'Monthly VOL'!$D$2:$D$65,0),MATCH(AD$1,'Monthly VOL'!$N$1:$CG$1,0))/INDEX('Monthly CUST'!$N$2:$CG$65,MATCH($D26,'Monthly CUST'!$D$2:$D$65,0),MATCH(AD$1,'Monthly CUST'!$N$1:$CG$1,0)),0)</f>
        <v>28471.904999999999</v>
      </c>
      <c r="AE26" s="56">
        <f>IFERROR(INDEX('Monthly VOL'!$N$2:$CG$65,MATCH($D26,'Monthly VOL'!$D$2:$D$65,0),MATCH(AE$1,'Monthly VOL'!$N$1:$CG$1,0))/INDEX('Monthly CUST'!$N$2:$CG$65,MATCH($D26,'Monthly CUST'!$D$2:$D$65,0),MATCH(AE$1,'Monthly CUST'!$N$1:$CG$1,0)),0)</f>
        <v>26277.88</v>
      </c>
      <c r="AF26" s="56">
        <f>IFERROR(INDEX('Monthly VOL'!$N$2:$CG$65,MATCH($D26,'Monthly VOL'!$D$2:$D$65,0),MATCH(AF$1,'Monthly VOL'!$N$1:$CG$1,0))/INDEX('Monthly CUST'!$N$2:$CG$65,MATCH($D26,'Monthly CUST'!$D$2:$D$65,0),MATCH(AF$1,'Monthly CUST'!$N$1:$CG$1,0)),0)</f>
        <v>32583.404999999999</v>
      </c>
      <c r="AG26" s="56">
        <f>IFERROR(INDEX('Monthly VOL'!$N$2:$CG$65,MATCH($D26,'Monthly VOL'!$D$2:$D$65,0),MATCH(AG$1,'Monthly VOL'!$N$1:$CG$1,0))/INDEX('Monthly CUST'!$N$2:$CG$65,MATCH($D26,'Monthly CUST'!$D$2:$D$65,0),MATCH(AG$1,'Monthly CUST'!$N$1:$CG$1,0)),0)</f>
        <v>35477.4</v>
      </c>
      <c r="AH26" s="56">
        <f>IFERROR(INDEX('Monthly VOL'!$N$2:$CG$65,MATCH($D26,'Monthly VOL'!$D$2:$D$65,0),MATCH(AH$1,'Monthly VOL'!$N$1:$CG$1,0))/INDEX('Monthly CUST'!$N$2:$CG$65,MATCH($D26,'Monthly CUST'!$D$2:$D$65,0),MATCH(AH$1,'Monthly CUST'!$N$1:$CG$1,0)),0)</f>
        <v>32904.894999999997</v>
      </c>
      <c r="AI26" s="56">
        <f>IFERROR(INDEX('Monthly VOL'!$N$2:$CG$65,MATCH($D26,'Monthly VOL'!$D$2:$D$65,0),MATCH(AI$1,'Monthly VOL'!$N$1:$CG$1,0))/INDEX('Monthly CUST'!$N$2:$CG$65,MATCH($D26,'Monthly CUST'!$D$2:$D$65,0),MATCH(AI$1,'Monthly CUST'!$N$1:$CG$1,0)),0)</f>
        <v>37482.625</v>
      </c>
      <c r="AJ26" s="56">
        <f>IFERROR(INDEX('Monthly VOL'!$N$2:$CG$65,MATCH($D26,'Monthly VOL'!$D$2:$D$65,0),MATCH(AJ$1,'Monthly VOL'!$N$1:$CG$1,0))/INDEX('Monthly CUST'!$N$2:$CG$65,MATCH($D26,'Monthly CUST'!$D$2:$D$65,0),MATCH(AJ$1,'Monthly CUST'!$N$1:$CG$1,0)),0)</f>
        <v>34942.049999999996</v>
      </c>
      <c r="AK26" s="56">
        <f>IFERROR(INDEX('Monthly VOL'!$N$2:$CG$65,MATCH($D26,'Monthly VOL'!$D$2:$D$65,0),MATCH(AK$1,'Monthly VOL'!$N$1:$CG$1,0))/INDEX('Monthly CUST'!$N$2:$CG$65,MATCH($D26,'Monthly CUST'!$D$2:$D$65,0),MATCH(AK$1,'Monthly CUST'!$N$1:$CG$1,0)),0)</f>
        <v>35081.82</v>
      </c>
      <c r="AL26" s="56">
        <f>IFERROR(INDEX('Monthly VOL'!$N$2:$CG$65,MATCH($D26,'Monthly VOL'!$D$2:$D$65,0),MATCH(AL$1,'Monthly VOL'!$N$1:$CG$1,0))/INDEX('Monthly CUST'!$N$2:$CG$65,MATCH($D26,'Monthly CUST'!$D$2:$D$65,0),MATCH(AL$1,'Monthly CUST'!$N$1:$CG$1,0)),0)</f>
        <v>36470.474999999999</v>
      </c>
      <c r="AM26" s="56">
        <f>IFERROR(INDEX('Monthly VOL'!$N$2:$CG$65,MATCH($D26,'Monthly VOL'!$D$2:$D$65,0),MATCH(AM$1,'Monthly VOL'!$N$1:$CG$1,0))/INDEX('Monthly CUST'!$N$2:$CG$65,MATCH($D26,'Monthly CUST'!$D$2:$D$65,0),MATCH(AM$1,'Monthly CUST'!$N$1:$CG$1,0)),0)</f>
        <v>32948.980000000003</v>
      </c>
      <c r="AN26" s="56">
        <f>IFERROR(INDEX('Monthly VOL'!$N$2:$CG$65,MATCH($D26,'Monthly VOL'!$D$2:$D$65,0),MATCH(AN$1,'Monthly VOL'!$N$1:$CG$1,0))/INDEX('Monthly CUST'!$N$2:$CG$65,MATCH($D26,'Monthly CUST'!$D$2:$D$65,0),MATCH(AN$1,'Monthly CUST'!$N$1:$CG$1,0)),0)</f>
        <v>37282.21</v>
      </c>
      <c r="AO26" s="56">
        <f>IFERROR(INDEX('Monthly VOL'!$N$2:$CG$65,MATCH($D26,'Monthly VOL'!$D$2:$D$65,0),MATCH(AO$1,'Monthly VOL'!$N$1:$CG$1,0))/INDEX('Monthly CUST'!$N$2:$CG$65,MATCH($D26,'Monthly CUST'!$D$2:$D$65,0),MATCH(AO$1,'Monthly CUST'!$N$1:$CG$1,0)),0)</f>
        <v>39465.730000000003</v>
      </c>
      <c r="AP26" s="56">
        <f>IFERROR(INDEX('Monthly VOL'!$N$2:$CG$65,MATCH($D26,'Monthly VOL'!$D$2:$D$65,0),MATCH(AP$1,'Monthly VOL'!$N$1:$CG$1,0))/INDEX('Monthly CUST'!$N$2:$CG$65,MATCH($D26,'Monthly CUST'!$D$2:$D$65,0),MATCH(AP$1,'Monthly CUST'!$N$1:$CG$1,0)),0)</f>
        <v>38159.645000000004</v>
      </c>
      <c r="AQ26" s="56">
        <f>IFERROR(INDEX('Monthly VOL'!$N$2:$CG$65,MATCH($D26,'Monthly VOL'!$D$2:$D$65,0),MATCH(AQ$1,'Monthly VOL'!$N$1:$CG$1,0))/INDEX('Monthly CUST'!$N$2:$CG$65,MATCH($D26,'Monthly CUST'!$D$2:$D$65,0),MATCH(AQ$1,'Monthly CUST'!$N$1:$CG$1,0)),0)</f>
        <v>40431.175000000003</v>
      </c>
      <c r="AR26" s="56">
        <f>IFERROR(INDEX('Monthly VOL'!$N$2:$CG$65,MATCH($D26,'Monthly VOL'!$D$2:$D$65,0),MATCH(AR$1,'Monthly VOL'!$N$1:$CG$1,0))/INDEX('Monthly CUST'!$N$2:$CG$65,MATCH($D26,'Monthly CUST'!$D$2:$D$65,0),MATCH(AR$1,'Monthly CUST'!$N$1:$CG$1,0)),0)</f>
        <v>43426.724999999999</v>
      </c>
      <c r="AS26" s="56">
        <f>IFERROR(INDEX('Monthly VOL'!$N$2:$CG$65,MATCH($D26,'Monthly VOL'!$D$2:$D$65,0),MATCH(AS$1,'Monthly VOL'!$N$1:$CG$1,0))/INDEX('Monthly CUST'!$N$2:$CG$65,MATCH($D26,'Monthly CUST'!$D$2:$D$65,0),MATCH(AS$1,'Monthly CUST'!$N$1:$CG$1,0)),0)</f>
        <v>41163.614999999998</v>
      </c>
      <c r="AT26" s="56">
        <f>IFERROR(INDEX('Monthly VOL'!$N$2:$CG$65,MATCH($D26,'Monthly VOL'!$D$2:$D$65,0),MATCH(AT$1,'Monthly VOL'!$N$1:$CG$1,0))/INDEX('Monthly CUST'!$N$2:$CG$65,MATCH($D26,'Monthly CUST'!$D$2:$D$65,0),MATCH(AT$1,'Monthly CUST'!$N$1:$CG$1,0)),0)</f>
        <v>41673.14</v>
      </c>
      <c r="AU26" s="56">
        <f>IFERROR(INDEX('Monthly VOL'!$N$2:$CG$65,MATCH($D26,'Monthly VOL'!$D$2:$D$65,0),MATCH(AU$1,'Monthly VOL'!$N$1:$CG$1,0))/INDEX('Monthly CUST'!$N$2:$CG$65,MATCH($D26,'Monthly CUST'!$D$2:$D$65,0),MATCH(AU$1,'Monthly CUST'!$N$1:$CG$1,0)),0)</f>
        <v>41728.675000000003</v>
      </c>
      <c r="AV26" s="56">
        <f>IFERROR(INDEX('Monthly VOL'!$N$2:$CG$65,MATCH($D26,'Monthly VOL'!$D$2:$D$65,0),MATCH(AV$1,'Monthly VOL'!$N$1:$CG$1,0))/INDEX('Monthly CUST'!$N$2:$CG$65,MATCH($D26,'Monthly CUST'!$D$2:$D$65,0),MATCH(AV$1,'Monthly CUST'!$N$1:$CG$1,0)),0)</f>
        <v>39017.14</v>
      </c>
      <c r="AW26" s="56">
        <f>IFERROR(INDEX('Monthly VOL'!$N$2:$CG$65,MATCH($D26,'Monthly VOL'!$D$2:$D$65,0),MATCH(AW$1,'Monthly VOL'!$N$1:$CG$1,0))/INDEX('Monthly CUST'!$N$2:$CG$65,MATCH($D26,'Monthly CUST'!$D$2:$D$65,0),MATCH(AW$1,'Monthly CUST'!$N$1:$CG$1,0)),0)</f>
        <v>39808.925000000003</v>
      </c>
      <c r="AX26" s="56">
        <f>IFERROR(INDEX('Monthly VOL'!$N$2:$CG$65,MATCH($D26,'Monthly VOL'!$D$2:$D$65,0),MATCH(AX$1,'Monthly VOL'!$N$1:$CG$1,0))/INDEX('Monthly CUST'!$N$2:$CG$65,MATCH($D26,'Monthly CUST'!$D$2:$D$65,0),MATCH(AX$1,'Monthly CUST'!$N$1:$CG$1,0)),0)</f>
        <v>40401.154999999999</v>
      </c>
      <c r="AY26" s="56">
        <f>IFERROR(INDEX('Monthly VOL'!$N$2:$CG$65,MATCH($D26,'Monthly VOL'!$D$2:$D$65,0),MATCH(AY$1,'Monthly VOL'!$N$1:$CG$1,0))/INDEX('Monthly CUST'!$N$2:$CG$65,MATCH($D26,'Monthly CUST'!$D$2:$D$65,0),MATCH(AY$1,'Monthly CUST'!$N$1:$CG$1,0)),0)</f>
        <v>40229.324999999997</v>
      </c>
      <c r="AZ26" s="56">
        <f>IFERROR(INDEX('Monthly VOL'!$N$2:$CG$65,MATCH($D26,'Monthly VOL'!$D$2:$D$65,0),MATCH(AZ$1,'Monthly VOL'!$N$1:$CG$1,0))/INDEX('Monthly CUST'!$N$2:$CG$65,MATCH($D26,'Monthly CUST'!$D$2:$D$65,0),MATCH(AZ$1,'Monthly CUST'!$N$1:$CG$1,0)),0)</f>
        <v>47039.395000000004</v>
      </c>
      <c r="BA26" s="56">
        <f>IFERROR(INDEX('Monthly VOL'!$N$2:$CG$65,MATCH($D26,'Monthly VOL'!$D$2:$D$65,0),MATCH(BA$1,'Monthly VOL'!$N$1:$CG$1,0))/INDEX('Monthly CUST'!$N$2:$CG$65,MATCH($D26,'Monthly CUST'!$D$2:$D$65,0),MATCH(BA$1,'Monthly CUST'!$N$1:$CG$1,0)),0)</f>
        <v>46245.445</v>
      </c>
      <c r="BB26" s="56">
        <f>IFERROR(INDEX('Monthly VOL'!$N$2:$CG$65,MATCH($D26,'Monthly VOL'!$D$2:$D$65,0),MATCH(BB$1,'Monthly VOL'!$N$1:$CG$1,0))/INDEX('Monthly CUST'!$N$2:$CG$65,MATCH($D26,'Monthly CUST'!$D$2:$D$65,0),MATCH(BB$1,'Monthly CUST'!$N$1:$CG$1,0)),0)</f>
        <v>45021.744999999995</v>
      </c>
      <c r="BC26" s="56">
        <f>IFERROR(INDEX('Monthly VOL'!$N$2:$CG$65,MATCH($D26,'Monthly VOL'!$D$2:$D$65,0),MATCH(BC$1,'Monthly VOL'!$N$1:$CG$1,0))/INDEX('Monthly CUST'!$N$2:$CG$65,MATCH($D26,'Monthly CUST'!$D$2:$D$65,0),MATCH(BC$1,'Monthly CUST'!$N$1:$CG$1,0)),0)</f>
        <v>46000.195</v>
      </c>
      <c r="BD26" s="56">
        <f>IFERROR(INDEX('Monthly VOL'!$N$2:$CG$65,MATCH($D26,'Monthly VOL'!$D$2:$D$65,0),MATCH(BD$1,'Monthly VOL'!$N$1:$CG$1,0))/INDEX('Monthly CUST'!$N$2:$CG$65,MATCH($D26,'Monthly CUST'!$D$2:$D$65,0),MATCH(BD$1,'Monthly CUST'!$N$1:$CG$1,0)),0)</f>
        <v>46630.17</v>
      </c>
      <c r="BE26" s="56">
        <f>IFERROR(INDEX('Monthly VOL'!$N$2:$CG$65,MATCH($D26,'Monthly VOL'!$D$2:$D$65,0),MATCH(BE$1,'Monthly VOL'!$N$1:$CG$1,0))/INDEX('Monthly CUST'!$N$2:$CG$65,MATCH($D26,'Monthly CUST'!$D$2:$D$65,0),MATCH(BE$1,'Monthly CUST'!$N$1:$CG$1,0)),0)</f>
        <v>48038.144999999997</v>
      </c>
      <c r="BF26" s="56">
        <f>IFERROR(INDEX('Monthly VOL'!$N$2:$CG$65,MATCH($D26,'Monthly VOL'!$D$2:$D$65,0),MATCH(BF$1,'Monthly VOL'!$N$1:$CG$1,0))/INDEX('Monthly CUST'!$N$2:$CG$65,MATCH($D26,'Monthly CUST'!$D$2:$D$65,0),MATCH(BF$1,'Monthly CUST'!$N$1:$CG$1,0)),0)</f>
        <v>47474.414999999994</v>
      </c>
      <c r="BG26" s="56">
        <f>IFERROR(INDEX('Monthly VOL'!$N$2:$CG$65,MATCH($D26,'Monthly VOL'!$D$2:$D$65,0),MATCH(BG$1,'Monthly VOL'!$N$1:$CG$1,0))/INDEX('Monthly CUST'!$N$2:$CG$65,MATCH($D26,'Monthly CUST'!$D$2:$D$65,0),MATCH(BG$1,'Monthly CUST'!$N$1:$CG$1,0)),0)</f>
        <v>44970.03</v>
      </c>
      <c r="BH26" s="56">
        <f>IFERROR(INDEX('Monthly VOL'!$N$2:$CG$65,MATCH($D26,'Monthly VOL'!$D$2:$D$65,0),MATCH(BH$1,'Monthly VOL'!$N$1:$CG$1,0))/INDEX('Monthly CUST'!$N$2:$CG$65,MATCH($D26,'Monthly CUST'!$D$2:$D$65,0),MATCH(BH$1,'Monthly CUST'!$N$1:$CG$1,0)),0)</f>
        <v>44974.75</v>
      </c>
      <c r="BI26" s="56">
        <f>IFERROR(INDEX('Monthly VOL'!$N$2:$CG$65,MATCH($D26,'Monthly VOL'!$D$2:$D$65,0),MATCH(BI$1,'Monthly VOL'!$N$1:$CG$1,0))/INDEX('Monthly CUST'!$N$2:$CG$65,MATCH($D26,'Monthly CUST'!$D$2:$D$65,0),MATCH(BI$1,'Monthly CUST'!$N$1:$CG$1,0)),0)</f>
        <v>48632.195</v>
      </c>
      <c r="BJ26" s="56">
        <f>IFERROR(INDEX('Monthly VOL'!$N$2:$CG$65,MATCH($D26,'Monthly VOL'!$D$2:$D$65,0),MATCH(BJ$1,'Monthly VOL'!$N$1:$CG$1,0))/INDEX('Monthly CUST'!$N$2:$CG$65,MATCH($D26,'Monthly CUST'!$D$2:$D$65,0),MATCH(BJ$1,'Monthly CUST'!$N$1:$CG$1,0)),0)</f>
        <v>35041.661666666667</v>
      </c>
      <c r="BK26" s="56">
        <f>IFERROR(INDEX('Monthly VOL'!$N$2:$CG$65,MATCH($D26,'Monthly VOL'!$D$2:$D$65,0),MATCH(BK$1,'Monthly VOL'!$N$1:$CG$1,0))/INDEX('Monthly CUST'!$N$2:$CG$65,MATCH($D26,'Monthly CUST'!$D$2:$D$65,0),MATCH(BK$1,'Monthly CUST'!$N$1:$CG$1,0)),0)</f>
        <v>31967.898333333334</v>
      </c>
      <c r="BL26" s="56">
        <f>IFERROR(INDEX('Monthly VOL'!$N$2:$CG$65,MATCH($D26,'Monthly VOL'!$D$2:$D$65,0),MATCH(BL$1,'Monthly VOL'!$N$1:$CG$1,0))/INDEX('Monthly CUST'!$N$2:$CG$65,MATCH($D26,'Monthly CUST'!$D$2:$D$65,0),MATCH(BL$1,'Monthly CUST'!$N$1:$CG$1,0)),0)</f>
        <v>36550.618333333339</v>
      </c>
      <c r="BM26" s="56">
        <f>IFERROR(INDEX('Monthly VOL'!$N$2:$CG$65,MATCH($D26,'Monthly VOL'!$D$2:$D$65,0),MATCH(BM$1,'Monthly VOL'!$N$1:$CG$1,0))/INDEX('Monthly CUST'!$N$2:$CG$65,MATCH($D26,'Monthly CUST'!$D$2:$D$65,0),MATCH(BM$1,'Monthly CUST'!$N$1:$CG$1,0)),0)</f>
        <v>37389.028333333328</v>
      </c>
      <c r="BN26" s="56">
        <f>IFERROR(INDEX('Monthly VOL'!$N$2:$CG$65,MATCH($D26,'Monthly VOL'!$D$2:$D$65,0),MATCH(BN$1,'Monthly VOL'!$N$1:$CG$1,0))/INDEX('Monthly CUST'!$N$2:$CG$65,MATCH($D26,'Monthly CUST'!$D$2:$D$65,0),MATCH(BN$1,'Monthly CUST'!$N$1:$CG$1,0)),0)</f>
        <v>37217.764999999999</v>
      </c>
      <c r="BO26" s="56">
        <f>IFERROR(INDEX('Monthly VOL'!$N$2:$CG$65,MATCH($D26,'Monthly VOL'!$D$2:$D$65,0),MATCH(BO$1,'Monthly VOL'!$N$1:$CG$1,0))/INDEX('Monthly CUST'!$N$2:$CG$65,MATCH($D26,'Monthly CUST'!$D$2:$D$65,0),MATCH(BO$1,'Monthly CUST'!$N$1:$CG$1,0)),0)</f>
        <v>37569.75</v>
      </c>
      <c r="BP26" s="56">
        <f>IFERROR(INDEX('Monthly VOL'!$N$2:$CG$65,MATCH($D26,'Monthly VOL'!$D$2:$D$65,0),MATCH(BP$1,'Monthly VOL'!$N$1:$CG$1,0))/INDEX('Monthly CUST'!$N$2:$CG$65,MATCH($D26,'Monthly CUST'!$D$2:$D$65,0),MATCH(BP$1,'Monthly CUST'!$N$1:$CG$1,0)),0)</f>
        <v>40880.1</v>
      </c>
      <c r="BQ26" s="56">
        <f>IFERROR(INDEX('Monthly VOL'!$N$2:$CG$65,MATCH($D26,'Monthly VOL'!$D$2:$D$65,0),MATCH(BQ$1,'Monthly VOL'!$N$1:$CG$1,0))/INDEX('Monthly CUST'!$N$2:$CG$65,MATCH($D26,'Monthly CUST'!$D$2:$D$65,0),MATCH(BQ$1,'Monthly CUST'!$N$1:$CG$1,0)),0)</f>
        <v>41559.72</v>
      </c>
      <c r="BR26" s="56">
        <f>IFERROR(INDEX('Monthly VOL'!$N$2:$CG$65,MATCH($D26,'Monthly VOL'!$D$2:$D$65,0),MATCH(BR$1,'Monthly VOL'!$N$1:$CG$1,0))/INDEX('Monthly CUST'!$N$2:$CG$65,MATCH($D26,'Monthly CUST'!$D$2:$D$65,0),MATCH(BR$1,'Monthly CUST'!$N$1:$CG$1,0)),0)</f>
        <v>40684.15</v>
      </c>
      <c r="BS26" s="56">
        <f>IFERROR(INDEX('Monthly VOL'!$N$2:$CG$65,MATCH($D26,'Monthly VOL'!$D$2:$D$65,0),MATCH(BS$1,'Monthly VOL'!$N$1:$CG$1,0))/INDEX('Monthly CUST'!$N$2:$CG$65,MATCH($D26,'Monthly CUST'!$D$2:$D$65,0),MATCH(BS$1,'Monthly CUST'!$N$1:$CG$1,0)),0)</f>
        <v>41393.776666666665</v>
      </c>
      <c r="BT26" s="56">
        <f>IFERROR(INDEX('Monthly VOL'!$N$2:$CG$65,MATCH($D26,'Monthly VOL'!$D$2:$D$65,0),MATCH(BT$1,'Monthly VOL'!$N$1:$CG$1,0))/INDEX('Monthly CUST'!$N$2:$CG$65,MATCH($D26,'Monthly CUST'!$D$2:$D$65,0),MATCH(BT$1,'Monthly CUST'!$N$1:$CG$1,0)),0)</f>
        <v>39644.646666666667</v>
      </c>
      <c r="BU26" s="56">
        <f>IFERROR(INDEX('Monthly VOL'!$N$2:$CG$65,MATCH($D26,'Monthly VOL'!$D$2:$D$65,0),MATCH(BU$1,'Monthly VOL'!$N$1:$CG$1,0))/INDEX('Monthly CUST'!$N$2:$CG$65,MATCH($D26,'Monthly CUST'!$D$2:$D$65,0),MATCH(BU$1,'Monthly CUST'!$N$1:$CG$1,0)),0)</f>
        <v>41174.313333333332</v>
      </c>
      <c r="BV26" s="56">
        <f>IFERROR(INDEX('Monthly VOL'!$N$2:$CG$65,MATCH($D26,'Monthly VOL'!$D$2:$D$65,0),MATCH(BV$1,'Monthly VOL'!$N$1:$CG$1,0))/INDEX('Monthly CUST'!$N$2:$CG$65,MATCH($D26,'Monthly CUST'!$D$2:$D$65,0),MATCH(BV$1,'Monthly CUST'!$N$1:$CG$1,0)),0)</f>
        <v>35041.661666666667</v>
      </c>
      <c r="BW26" s="56">
        <f>IFERROR(INDEX('Monthly VOL'!$N$2:$CG$65,MATCH($D26,'Monthly VOL'!$D$2:$D$65,0),MATCH(BW$1,'Monthly VOL'!$N$1:$CG$1,0))/INDEX('Monthly CUST'!$N$2:$CG$65,MATCH($D26,'Monthly CUST'!$D$2:$D$65,0),MATCH(BW$1,'Monthly CUST'!$N$1:$CG$1,0)),0)</f>
        <v>31967.898333333334</v>
      </c>
      <c r="BX26" s="56">
        <f>IFERROR(INDEX('Monthly VOL'!$N$2:$CG$65,MATCH($D26,'Monthly VOL'!$D$2:$D$65,0),MATCH(BX$1,'Monthly VOL'!$N$1:$CG$1,0))/INDEX('Monthly CUST'!$N$2:$CG$65,MATCH($D26,'Monthly CUST'!$D$2:$D$65,0),MATCH(BX$1,'Monthly CUST'!$N$1:$CG$1,0)),0)</f>
        <v>36550.618333333339</v>
      </c>
      <c r="BY26" s="56">
        <f>IFERROR(INDEX('Monthly VOL'!$N$2:$CG$65,MATCH($D26,'Monthly VOL'!$D$2:$D$65,0),MATCH(BY$1,'Monthly VOL'!$N$1:$CG$1,0))/INDEX('Monthly CUST'!$N$2:$CG$65,MATCH($D26,'Monthly CUST'!$D$2:$D$65,0),MATCH(BY$1,'Monthly CUST'!$N$1:$CG$1,0)),0)</f>
        <v>37389.028333333328</v>
      </c>
      <c r="BZ26" s="56">
        <f>IFERROR(INDEX('Monthly VOL'!$N$2:$CG$65,MATCH($D26,'Monthly VOL'!$D$2:$D$65,0),MATCH(BZ$1,'Monthly VOL'!$N$1:$CG$1,0))/INDEX('Monthly CUST'!$N$2:$CG$65,MATCH($D26,'Monthly CUST'!$D$2:$D$65,0),MATCH(BZ$1,'Monthly CUST'!$N$1:$CG$1,0)),0)</f>
        <v>37217.764999999999</v>
      </c>
      <c r="CA26" s="56">
        <f>IFERROR(INDEX('Monthly VOL'!$N$2:$CG$65,MATCH($D26,'Monthly VOL'!$D$2:$D$65,0),MATCH(CA$1,'Monthly VOL'!$N$1:$CG$1,0))/INDEX('Monthly CUST'!$N$2:$CG$65,MATCH($D26,'Monthly CUST'!$D$2:$D$65,0),MATCH(CA$1,'Monthly CUST'!$N$1:$CG$1,0)),0)</f>
        <v>37569.75</v>
      </c>
      <c r="CB26" s="56">
        <f>IFERROR(INDEX('Monthly VOL'!$N$2:$CG$65,MATCH($D26,'Monthly VOL'!$D$2:$D$65,0),MATCH(CB$1,'Monthly VOL'!$N$1:$CG$1,0))/INDEX('Monthly CUST'!$N$2:$CG$65,MATCH($D26,'Monthly CUST'!$D$2:$D$65,0),MATCH(CB$1,'Monthly CUST'!$N$1:$CG$1,0)),0)</f>
        <v>40880.1</v>
      </c>
      <c r="CC26" s="56">
        <f>IFERROR(INDEX('Monthly VOL'!$N$2:$CG$65,MATCH($D26,'Monthly VOL'!$D$2:$D$65,0),MATCH(CC$1,'Monthly VOL'!$N$1:$CG$1,0))/INDEX('Monthly CUST'!$N$2:$CG$65,MATCH($D26,'Monthly CUST'!$D$2:$D$65,0),MATCH(CC$1,'Monthly CUST'!$N$1:$CG$1,0)),0)</f>
        <v>41559.72</v>
      </c>
      <c r="CD26" s="56">
        <f>IFERROR(INDEX('Monthly VOL'!$N$2:$CG$65,MATCH($D26,'Monthly VOL'!$D$2:$D$65,0),MATCH(CD$1,'Monthly VOL'!$N$1:$CG$1,0))/INDEX('Monthly CUST'!$N$2:$CG$65,MATCH($D26,'Monthly CUST'!$D$2:$D$65,0),MATCH(CD$1,'Monthly CUST'!$N$1:$CG$1,0)),0)</f>
        <v>40684.15</v>
      </c>
      <c r="CE26" s="56">
        <f>IFERROR(INDEX('Monthly VOL'!$N$2:$CG$65,MATCH($D26,'Monthly VOL'!$D$2:$D$65,0),MATCH(CE$1,'Monthly VOL'!$N$1:$CG$1,0))/INDEX('Monthly CUST'!$N$2:$CG$65,MATCH($D26,'Monthly CUST'!$D$2:$D$65,0),MATCH(CE$1,'Monthly CUST'!$N$1:$CG$1,0)),0)</f>
        <v>41393.776666666665</v>
      </c>
      <c r="CF26" s="56">
        <f>IFERROR(INDEX('Monthly VOL'!$N$2:$CG$65,MATCH($D26,'Monthly VOL'!$D$2:$D$65,0),MATCH(CF$1,'Monthly VOL'!$N$1:$CG$1,0))/INDEX('Monthly CUST'!$N$2:$CG$65,MATCH($D26,'Monthly CUST'!$D$2:$D$65,0),MATCH(CF$1,'Monthly CUST'!$N$1:$CG$1,0)),0)</f>
        <v>39644.646666666667</v>
      </c>
      <c r="CG26" s="56">
        <f>IFERROR(INDEX('Monthly VOL'!$N$2:$CG$65,MATCH($D26,'Monthly VOL'!$D$2:$D$65,0),MATCH(CG$1,'Monthly VOL'!$N$1:$CG$1,0))/INDEX('Monthly CUST'!$N$2:$CG$65,MATCH($D26,'Monthly CUST'!$D$2:$D$65,0),MATCH(CG$1,'Monthly CUST'!$N$1:$CG$1,0)),0)</f>
        <v>41174.313333333332</v>
      </c>
      <c r="CH26" s="264"/>
      <c r="CI26" s="264"/>
      <c r="CJ26" s="264"/>
      <c r="CM26" s="569">
        <f t="shared" si="0"/>
        <v>35041.661666666667</v>
      </c>
      <c r="CN26" s="569">
        <f t="shared" si="1"/>
        <v>31967.898333333334</v>
      </c>
      <c r="CO26" s="569">
        <f t="shared" si="2"/>
        <v>36550.618333333339</v>
      </c>
      <c r="CP26" s="569">
        <f t="shared" si="3"/>
        <v>37389.028333333328</v>
      </c>
      <c r="CQ26" s="569">
        <f t="shared" si="4"/>
        <v>37217.764999999999</v>
      </c>
      <c r="CR26" s="569">
        <f t="shared" si="5"/>
        <v>37569.75</v>
      </c>
      <c r="CS26" s="569">
        <f t="shared" si="6"/>
        <v>40880.1</v>
      </c>
      <c r="CT26" s="569">
        <f t="shared" si="7"/>
        <v>41559.72</v>
      </c>
      <c r="CU26" s="569">
        <f t="shared" si="8"/>
        <v>40684.15</v>
      </c>
      <c r="CV26" s="569">
        <f t="shared" si="9"/>
        <v>41393.776666666665</v>
      </c>
      <c r="CW26" s="569">
        <f t="shared" si="10"/>
        <v>39644.646666666667</v>
      </c>
      <c r="CX26" s="569">
        <f t="shared" si="11"/>
        <v>41174.313333333332</v>
      </c>
      <c r="CY26" s="569">
        <f t="shared" si="12"/>
        <v>35041.661666666667</v>
      </c>
      <c r="CZ26" s="569">
        <f t="shared" si="13"/>
        <v>31967.898333333334</v>
      </c>
      <c r="DA26" s="569">
        <f t="shared" si="14"/>
        <v>36550.618333333339</v>
      </c>
      <c r="DB26" s="569">
        <f t="shared" si="15"/>
        <v>37389.028333333328</v>
      </c>
      <c r="DC26" s="569">
        <f t="shared" si="16"/>
        <v>37217.764999999999</v>
      </c>
      <c r="DD26" s="569">
        <f t="shared" si="17"/>
        <v>37569.75</v>
      </c>
      <c r="DE26" s="569">
        <f t="shared" si="18"/>
        <v>40880.1</v>
      </c>
      <c r="DF26" s="569">
        <f t="shared" si="19"/>
        <v>41559.72</v>
      </c>
      <c r="DG26" s="569">
        <f t="shared" si="20"/>
        <v>40684.15</v>
      </c>
      <c r="DH26" s="569">
        <f t="shared" si="21"/>
        <v>41393.776666666665</v>
      </c>
      <c r="DI26" s="569">
        <f t="shared" si="22"/>
        <v>39644.646666666667</v>
      </c>
      <c r="DJ26" s="569">
        <f t="shared" si="23"/>
        <v>41174.313333333332</v>
      </c>
    </row>
    <row r="27" spans="1:114" s="261" customFormat="1">
      <c r="A27" s="55" t="s">
        <v>15</v>
      </c>
      <c r="B27" s="55" t="s">
        <v>994</v>
      </c>
      <c r="C27" s="55" t="s">
        <v>1245</v>
      </c>
      <c r="D27" s="55" t="s">
        <v>56</v>
      </c>
      <c r="E27" s="55" t="str">
        <f>VLOOKUP(D27,'Input 14_Ref Table'!C:D,2,FALSE)</f>
        <v>LITEG</v>
      </c>
      <c r="F27" s="172" t="s">
        <v>1286</v>
      </c>
      <c r="G27" s="55" t="str">
        <f>VLOOKUP(D27,'Input 14_Ref Table'!C:I,7,FALSE)</f>
        <v>FPU - FPU - GLS</v>
      </c>
      <c r="H27" s="55" t="str">
        <f>VLOOKUP(D27,'Input 14_Ref Table'!C:K,8,FALSE)</f>
        <v>Base Period</v>
      </c>
      <c r="I27" s="55" t="e">
        <f>INDEX(#REF!,MATCH(D27,#REF!,0))</f>
        <v>#REF!</v>
      </c>
      <c r="J27" s="261" t="str">
        <f>INDEX('Master '!$AD$2:AD$65,MATCH(D27,'Master '!$D$2:$D$65,0))</f>
        <v>Base Period</v>
      </c>
      <c r="K27" s="567">
        <f>INDEX('Master '!$N$2:N$65,MATCH(D27,'Master '!$D$2:$D$65,0))</f>
        <v>0</v>
      </c>
      <c r="L27" s="290">
        <f>INDEX('Master '!$S$2:S$65,MATCH(D27,'Master '!$D$2:$D$65,0))</f>
        <v>0</v>
      </c>
      <c r="M27" s="1">
        <f>INDEX('Master '!$W$2:W$65,MATCH(D27,'Master '!$D$2:$D$65,0))</f>
        <v>3458.5886705202315</v>
      </c>
      <c r="N27" s="56">
        <f>IFERROR(INDEX('Monthly VOL'!$N$2:$CG$65,MATCH($D27,'Monthly VOL'!$D$2:$D$65,0),MATCH(N$1,'Monthly VOL'!$N$1:$CG$1,0))/INDEX('Monthly CUST'!$N$2:$CG$65,MATCH($D27,'Monthly CUST'!$D$2:$D$65,0),MATCH(N$1,'Monthly CUST'!$N$1:$CG$1,0)),0)</f>
        <v>279.41924528301888</v>
      </c>
      <c r="O27" s="56">
        <f>IFERROR(INDEX('Monthly VOL'!$N$2:$CG$65,MATCH($D27,'Monthly VOL'!$D$2:$D$65,0),MATCH(O$1,'Monthly VOL'!$N$1:$CG$1,0))/INDEX('Monthly CUST'!$N$2:$CG$65,MATCH($D27,'Monthly CUST'!$D$2:$D$65,0),MATCH(O$1,'Monthly CUST'!$N$1:$CG$1,0)),0)</f>
        <v>279.57294117647058</v>
      </c>
      <c r="P27" s="56">
        <f>IFERROR(INDEX('Monthly VOL'!$N$2:$CG$65,MATCH($D27,'Monthly VOL'!$D$2:$D$65,0),MATCH(P$1,'Monthly VOL'!$N$1:$CG$1,0))/INDEX('Monthly CUST'!$N$2:$CG$65,MATCH($D27,'Monthly CUST'!$D$2:$D$65,0),MATCH(P$1,'Monthly CUST'!$N$1:$CG$1,0)),0)</f>
        <v>279.57294117647058</v>
      </c>
      <c r="Q27" s="56">
        <f>IFERROR(INDEX('Monthly VOL'!$N$2:$CG$65,MATCH($D27,'Monthly VOL'!$D$2:$D$65,0),MATCH(Q$1,'Monthly VOL'!$N$1:$CG$1,0))/INDEX('Monthly CUST'!$N$2:$CG$65,MATCH($D27,'Monthly CUST'!$D$2:$D$65,0),MATCH(Q$1,'Monthly CUST'!$N$1:$CG$1,0)),0)</f>
        <v>273.98500000000001</v>
      </c>
      <c r="R27" s="56">
        <f>IFERROR(INDEX('Monthly VOL'!$N$2:$CG$65,MATCH($D27,'Monthly VOL'!$D$2:$D$65,0),MATCH(R$1,'Monthly VOL'!$N$1:$CG$1,0))/INDEX('Monthly CUST'!$N$2:$CG$65,MATCH($D27,'Monthly CUST'!$D$2:$D$65,0),MATCH(R$1,'Monthly CUST'!$N$1:$CG$1,0)),0)</f>
        <v>284.48439999999999</v>
      </c>
      <c r="S27" s="56">
        <f>IFERROR(INDEX('Monthly VOL'!$N$2:$CG$65,MATCH($D27,'Monthly VOL'!$D$2:$D$65,0),MATCH(S$1,'Monthly VOL'!$N$1:$CG$1,0))/INDEX('Monthly CUST'!$N$2:$CG$65,MATCH($D27,'Monthly CUST'!$D$2:$D$65,0),MATCH(S$1,'Monthly CUST'!$N$1:$CG$1,0)),0)</f>
        <v>284.48439999999999</v>
      </c>
      <c r="T27" s="56">
        <f>IFERROR(INDEX('Monthly VOL'!$N$2:$CG$65,MATCH($D27,'Monthly VOL'!$D$2:$D$65,0),MATCH(T$1,'Monthly VOL'!$N$1:$CG$1,0))/INDEX('Monthly CUST'!$N$2:$CG$65,MATCH($D27,'Monthly CUST'!$D$2:$D$65,0),MATCH(T$1,'Monthly CUST'!$N$1:$CG$1,0)),0)</f>
        <v>284.48439999999999</v>
      </c>
      <c r="U27" s="56">
        <f>IFERROR(INDEX('Monthly VOL'!$N$2:$CG$65,MATCH($D27,'Monthly VOL'!$D$2:$D$65,0),MATCH(U$1,'Monthly VOL'!$N$1:$CG$1,0))/INDEX('Monthly CUST'!$N$2:$CG$65,MATCH($D27,'Monthly CUST'!$D$2:$D$65,0),MATCH(U$1,'Monthly CUST'!$N$1:$CG$1,0)),0)</f>
        <v>284.48439999999999</v>
      </c>
      <c r="V27" s="56">
        <f>IFERROR(INDEX('Monthly VOL'!$N$2:$CG$65,MATCH($D27,'Monthly VOL'!$D$2:$D$65,0),MATCH(V$1,'Monthly VOL'!$N$1:$CG$1,0))/INDEX('Monthly CUST'!$N$2:$CG$65,MATCH($D27,'Monthly CUST'!$D$2:$D$65,0),MATCH(V$1,'Monthly CUST'!$N$1:$CG$1,0)),0)</f>
        <v>271.55551020408166</v>
      </c>
      <c r="W27" s="56">
        <f>IFERROR(INDEX('Monthly VOL'!$N$2:$CG$65,MATCH($D27,'Monthly VOL'!$D$2:$D$65,0),MATCH(W$1,'Monthly VOL'!$N$1:$CG$1,0))/INDEX('Monthly CUST'!$N$2:$CG$65,MATCH($D27,'Monthly CUST'!$D$2:$D$65,0),MATCH(W$1,'Monthly CUST'!$N$1:$CG$1,0)),0)</f>
        <v>277.21291666666667</v>
      </c>
      <c r="X27" s="56">
        <f>IFERROR(INDEX('Monthly VOL'!$N$2:$CG$65,MATCH($D27,'Monthly VOL'!$D$2:$D$65,0),MATCH(X$1,'Monthly VOL'!$N$1:$CG$1,0))/INDEX('Monthly CUST'!$N$2:$CG$65,MATCH($D27,'Monthly CUST'!$D$2:$D$65,0),MATCH(X$1,'Monthly CUST'!$N$1:$CG$1,0)),0)</f>
        <v>286.25500000000005</v>
      </c>
      <c r="Y27" s="56">
        <f>IFERROR(INDEX('Monthly VOL'!$N$2:$CG$65,MATCH($D27,'Monthly VOL'!$D$2:$D$65,0),MATCH(Y$1,'Monthly VOL'!$N$1:$CG$1,0))/INDEX('Monthly CUST'!$N$2:$CG$65,MATCH($D27,'Monthly CUST'!$D$2:$D$65,0),MATCH(Y$1,'Monthly CUST'!$N$1:$CG$1,0)),0)</f>
        <v>296.95549999999997</v>
      </c>
      <c r="Z27" s="56">
        <f>IFERROR(INDEX('Monthly VOL'!$N$2:$CG$65,MATCH($D27,'Monthly VOL'!$D$2:$D$65,0),MATCH(Z$1,'Monthly VOL'!$N$1:$CG$1,0))/INDEX('Monthly CUST'!$N$2:$CG$65,MATCH($D27,'Monthly CUST'!$D$2:$D$65,0),MATCH(Z$1,'Monthly CUST'!$N$1:$CG$1,0)),0)</f>
        <v>296.95549999999997</v>
      </c>
      <c r="AA27" s="56">
        <f>IFERROR(INDEX('Monthly VOL'!$N$2:$CG$65,MATCH($D27,'Monthly VOL'!$D$2:$D$65,0),MATCH(AA$1,'Monthly VOL'!$N$1:$CG$1,0))/INDEX('Monthly CUST'!$N$2:$CG$65,MATCH($D27,'Monthly CUST'!$D$2:$D$65,0),MATCH(AA$1,'Monthly CUST'!$N$1:$CG$1,0)),0)</f>
        <v>296.95549999999997</v>
      </c>
      <c r="AB27" s="56">
        <f>IFERROR(INDEX('Monthly VOL'!$N$2:$CG$65,MATCH($D27,'Monthly VOL'!$D$2:$D$65,0),MATCH(AB$1,'Monthly VOL'!$N$1:$CG$1,0))/INDEX('Monthly CUST'!$N$2:$CG$65,MATCH($D27,'Monthly CUST'!$D$2:$D$65,0),MATCH(AB$1,'Monthly CUST'!$N$1:$CG$1,0)),0)</f>
        <v>296.95549999999997</v>
      </c>
      <c r="AC27" s="56">
        <f>IFERROR(INDEX('Monthly VOL'!$N$2:$CG$65,MATCH($D27,'Monthly VOL'!$D$2:$D$65,0),MATCH(AC$1,'Monthly VOL'!$N$1:$CG$1,0))/INDEX('Monthly CUST'!$N$2:$CG$65,MATCH($D27,'Monthly CUST'!$D$2:$D$65,0),MATCH(AC$1,'Monthly CUST'!$N$1:$CG$1,0)),0)</f>
        <v>250.02904761904762</v>
      </c>
      <c r="AD27" s="56">
        <f>IFERROR(INDEX('Monthly VOL'!$N$2:$CG$65,MATCH($D27,'Monthly VOL'!$D$2:$D$65,0),MATCH(AD$1,'Monthly VOL'!$N$1:$CG$1,0))/INDEX('Monthly CUST'!$N$2:$CG$65,MATCH($D27,'Monthly CUST'!$D$2:$D$65,0),MATCH(AD$1,'Monthly CUST'!$N$1:$CG$1,0)),0)</f>
        <v>304.45055555555552</v>
      </c>
      <c r="AE27" s="56">
        <f>IFERROR(INDEX('Monthly VOL'!$N$2:$CG$65,MATCH($D27,'Monthly VOL'!$D$2:$D$65,0),MATCH(AE$1,'Monthly VOL'!$N$1:$CG$1,0))/INDEX('Monthly CUST'!$N$2:$CG$65,MATCH($D27,'Monthly CUST'!$D$2:$D$65,0),MATCH(AE$1,'Monthly CUST'!$N$1:$CG$1,0)),0)</f>
        <v>304.45055555555552</v>
      </c>
      <c r="AF27" s="56">
        <f>IFERROR(INDEX('Monthly VOL'!$N$2:$CG$65,MATCH($D27,'Monthly VOL'!$D$2:$D$65,0),MATCH(AF$1,'Monthly VOL'!$N$1:$CG$1,0))/INDEX('Monthly CUST'!$N$2:$CG$65,MATCH($D27,'Monthly CUST'!$D$2:$D$65,0),MATCH(AF$1,'Monthly CUST'!$N$1:$CG$1,0)),0)</f>
        <v>290.0062857142857</v>
      </c>
      <c r="AG27" s="56">
        <f>IFERROR(INDEX('Monthly VOL'!$N$2:$CG$65,MATCH($D27,'Monthly VOL'!$D$2:$D$65,0),MATCH(AG$1,'Monthly VOL'!$N$1:$CG$1,0))/INDEX('Monthly CUST'!$N$2:$CG$65,MATCH($D27,'Monthly CUST'!$D$2:$D$65,0),MATCH(AG$1,'Monthly CUST'!$N$1:$CG$1,0)),0)</f>
        <v>260.14500000000004</v>
      </c>
      <c r="AH27" s="56">
        <f>IFERROR(INDEX('Monthly VOL'!$N$2:$CG$65,MATCH($D27,'Monthly VOL'!$D$2:$D$65,0),MATCH(AH$1,'Monthly VOL'!$N$1:$CG$1,0))/INDEX('Monthly CUST'!$N$2:$CG$65,MATCH($D27,'Monthly CUST'!$D$2:$D$65,0),MATCH(AH$1,'Monthly CUST'!$N$1:$CG$1,0)),0)</f>
        <v>297.69437499999998</v>
      </c>
      <c r="AI27" s="56">
        <f>IFERROR(INDEX('Monthly VOL'!$N$2:$CG$65,MATCH($D27,'Monthly VOL'!$D$2:$D$65,0),MATCH(AI$1,'Monthly VOL'!$N$1:$CG$1,0))/INDEX('Monthly CUST'!$N$2:$CG$65,MATCH($D27,'Monthly CUST'!$D$2:$D$65,0),MATCH(AI$1,'Monthly CUST'!$N$1:$CG$1,0)),0)</f>
        <v>297.69437499999998</v>
      </c>
      <c r="AJ27" s="56">
        <f>IFERROR(INDEX('Monthly VOL'!$N$2:$CG$65,MATCH($D27,'Monthly VOL'!$D$2:$D$65,0),MATCH(AJ$1,'Monthly VOL'!$N$1:$CG$1,0))/INDEX('Monthly CUST'!$N$2:$CG$65,MATCH($D27,'Monthly CUST'!$D$2:$D$65,0),MATCH(AJ$1,'Monthly CUST'!$N$1:$CG$1,0)),0)</f>
        <v>297.69437499999998</v>
      </c>
      <c r="AK27" s="56">
        <f>IFERROR(INDEX('Monthly VOL'!$N$2:$CG$65,MATCH($D27,'Monthly VOL'!$D$2:$D$65,0),MATCH(AK$1,'Monthly VOL'!$N$1:$CG$1,0))/INDEX('Monthly CUST'!$N$2:$CG$65,MATCH($D27,'Monthly CUST'!$D$2:$D$65,0),MATCH(AK$1,'Monthly CUST'!$N$1:$CG$1,0)),0)</f>
        <v>297.69437499999998</v>
      </c>
      <c r="AL27" s="56">
        <f>IFERROR(INDEX('Monthly VOL'!$N$2:$CG$65,MATCH($D27,'Monthly VOL'!$D$2:$D$65,0),MATCH(AL$1,'Monthly VOL'!$N$1:$CG$1,0))/INDEX('Monthly CUST'!$N$2:$CG$65,MATCH($D27,'Monthly CUST'!$D$2:$D$65,0),MATCH(AL$1,'Monthly CUST'!$N$1:$CG$1,0)),0)</f>
        <v>246.65352941176468</v>
      </c>
      <c r="AM27" s="56">
        <f>IFERROR(INDEX('Monthly VOL'!$N$2:$CG$65,MATCH($D27,'Monthly VOL'!$D$2:$D$65,0),MATCH(AM$1,'Monthly VOL'!$N$1:$CG$1,0))/INDEX('Monthly CUST'!$N$2:$CG$65,MATCH($D27,'Monthly CUST'!$D$2:$D$65,0),MATCH(AM$1,'Monthly CUST'!$N$1:$CG$1,0)),0)</f>
        <v>288.30058823529407</v>
      </c>
      <c r="AN27" s="56">
        <f>IFERROR(INDEX('Monthly VOL'!$N$2:$CG$65,MATCH($D27,'Monthly VOL'!$D$2:$D$65,0),MATCH(AN$1,'Monthly VOL'!$N$1:$CG$1,0))/INDEX('Monthly CUST'!$N$2:$CG$65,MATCH($D27,'Monthly CUST'!$D$2:$D$65,0),MATCH(AN$1,'Monthly CUST'!$N$1:$CG$1,0)),0)</f>
        <v>284.19437499999998</v>
      </c>
      <c r="AO27" s="56">
        <f>IFERROR(INDEX('Monthly VOL'!$N$2:$CG$65,MATCH($D27,'Monthly VOL'!$D$2:$D$65,0),MATCH(AO$1,'Monthly VOL'!$N$1:$CG$1,0))/INDEX('Monthly CUST'!$N$2:$CG$65,MATCH($D27,'Monthly CUST'!$D$2:$D$65,0),MATCH(AO$1,'Monthly CUST'!$N$1:$CG$1,0)),0)</f>
        <v>284.19437499999998</v>
      </c>
      <c r="AP27" s="56">
        <f>IFERROR(INDEX('Monthly VOL'!$N$2:$CG$65,MATCH($D27,'Monthly VOL'!$D$2:$D$65,0),MATCH(AP$1,'Monthly VOL'!$N$1:$CG$1,0))/INDEX('Monthly CUST'!$N$2:$CG$65,MATCH($D27,'Monthly CUST'!$D$2:$D$65,0),MATCH(AP$1,'Monthly CUST'!$N$1:$CG$1,0)),0)</f>
        <v>284.19437499999998</v>
      </c>
      <c r="AQ27" s="56">
        <f>IFERROR(INDEX('Monthly VOL'!$N$2:$CG$65,MATCH($D27,'Monthly VOL'!$D$2:$D$65,0),MATCH(AQ$1,'Monthly VOL'!$N$1:$CG$1,0))/INDEX('Monthly CUST'!$N$2:$CG$65,MATCH($D27,'Monthly CUST'!$D$2:$D$65,0),MATCH(AQ$1,'Monthly CUST'!$N$1:$CG$1,0)),0)</f>
        <v>284.19437499999998</v>
      </c>
      <c r="AR27" s="56">
        <f>IFERROR(INDEX('Monthly VOL'!$N$2:$CG$65,MATCH($D27,'Monthly VOL'!$D$2:$D$65,0),MATCH(AR$1,'Monthly VOL'!$N$1:$CG$1,0))/INDEX('Monthly CUST'!$N$2:$CG$65,MATCH($D27,'Monthly CUST'!$D$2:$D$65,0),MATCH(AR$1,'Monthly CUST'!$N$1:$CG$1,0)),0)</f>
        <v>284.19437499999998</v>
      </c>
      <c r="AS27" s="56">
        <f>IFERROR(INDEX('Monthly VOL'!$N$2:$CG$65,MATCH($D27,'Monthly VOL'!$D$2:$D$65,0),MATCH(AS$1,'Monthly VOL'!$N$1:$CG$1,0))/INDEX('Monthly CUST'!$N$2:$CG$65,MATCH($D27,'Monthly CUST'!$D$2:$D$65,0),MATCH(AS$1,'Monthly CUST'!$N$1:$CG$1,0)),0)</f>
        <v>284.19437499999998</v>
      </c>
      <c r="AT27" s="56">
        <f>IFERROR(INDEX('Monthly VOL'!$N$2:$CG$65,MATCH($D27,'Monthly VOL'!$D$2:$D$65,0),MATCH(AT$1,'Monthly VOL'!$N$1:$CG$1,0))/INDEX('Monthly CUST'!$N$2:$CG$65,MATCH($D27,'Monthly CUST'!$D$2:$D$65,0),MATCH(AT$1,'Monthly CUST'!$N$1:$CG$1,0)),0)</f>
        <v>284.19437499999998</v>
      </c>
      <c r="AU27" s="56">
        <f>IFERROR(INDEX('Monthly VOL'!$N$2:$CG$65,MATCH($D27,'Monthly VOL'!$D$2:$D$65,0),MATCH(AU$1,'Monthly VOL'!$N$1:$CG$1,0))/INDEX('Monthly CUST'!$N$2:$CG$65,MATCH($D27,'Monthly CUST'!$D$2:$D$65,0),MATCH(AU$1,'Monthly CUST'!$N$1:$CG$1,0)),0)</f>
        <v>275.58242424242422</v>
      </c>
      <c r="AV27" s="56">
        <f>IFERROR(INDEX('Monthly VOL'!$N$2:$CG$65,MATCH($D27,'Monthly VOL'!$D$2:$D$65,0),MATCH(AV$1,'Monthly VOL'!$N$1:$CG$1,0))/INDEX('Monthly CUST'!$N$2:$CG$65,MATCH($D27,'Monthly CUST'!$D$2:$D$65,0),MATCH(AV$1,'Monthly CUST'!$N$1:$CG$1,0)),0)</f>
        <v>275.58242424242422</v>
      </c>
      <c r="AW27" s="56">
        <f>IFERROR(INDEX('Monthly VOL'!$N$2:$CG$65,MATCH($D27,'Monthly VOL'!$D$2:$D$65,0),MATCH(AW$1,'Monthly VOL'!$N$1:$CG$1,0))/INDEX('Monthly CUST'!$N$2:$CG$65,MATCH($D27,'Monthly CUST'!$D$2:$D$65,0),MATCH(AW$1,'Monthly CUST'!$N$1:$CG$1,0)),0)</f>
        <v>293.36193548387092</v>
      </c>
      <c r="AX27" s="56">
        <f>IFERROR(INDEX('Monthly VOL'!$N$2:$CG$65,MATCH($D27,'Monthly VOL'!$D$2:$D$65,0),MATCH(AX$1,'Monthly VOL'!$N$1:$CG$1,0))/INDEX('Monthly CUST'!$N$2:$CG$65,MATCH($D27,'Monthly CUST'!$D$2:$D$65,0),MATCH(AX$1,'Monthly CUST'!$N$1:$CG$1,0)),0)</f>
        <v>293.36193548387092</v>
      </c>
      <c r="AY27" s="56">
        <f>IFERROR(INDEX('Monthly VOL'!$N$2:$CG$65,MATCH($D27,'Monthly VOL'!$D$2:$D$65,0),MATCH(AY$1,'Monthly VOL'!$N$1:$CG$1,0))/INDEX('Monthly CUST'!$N$2:$CG$65,MATCH($D27,'Monthly CUST'!$D$2:$D$65,0),MATCH(AY$1,'Monthly CUST'!$N$1:$CG$1,0)),0)</f>
        <v>280.20064516129031</v>
      </c>
      <c r="AZ27" s="56">
        <f>IFERROR(INDEX('Monthly VOL'!$N$2:$CG$65,MATCH($D27,'Monthly VOL'!$D$2:$D$65,0),MATCH(AZ$1,'Monthly VOL'!$N$1:$CG$1,0))/INDEX('Monthly CUST'!$N$2:$CG$65,MATCH($D27,'Monthly CUST'!$D$2:$D$65,0),MATCH(AZ$1,'Monthly CUST'!$N$1:$CG$1,0)),0)</f>
        <v>280.20064516129031</v>
      </c>
      <c r="BA27" s="56">
        <f>IFERROR(INDEX('Monthly VOL'!$N$2:$CG$65,MATCH($D27,'Monthly VOL'!$D$2:$D$65,0),MATCH(BA$1,'Monthly VOL'!$N$1:$CG$1,0))/INDEX('Monthly CUST'!$N$2:$CG$65,MATCH($D27,'Monthly CUST'!$D$2:$D$65,0),MATCH(BA$1,'Monthly CUST'!$N$1:$CG$1,0)),0)</f>
        <v>280.20064516129031</v>
      </c>
      <c r="BB27" s="56">
        <f>IFERROR(INDEX('Monthly VOL'!$N$2:$CG$65,MATCH($D27,'Monthly VOL'!$D$2:$D$65,0),MATCH(BB$1,'Monthly VOL'!$N$1:$CG$1,0))/INDEX('Monthly CUST'!$N$2:$CG$65,MATCH($D27,'Monthly CUST'!$D$2:$D$65,0),MATCH(BB$1,'Monthly CUST'!$N$1:$CG$1,0)),0)</f>
        <v>297.45586206896547</v>
      </c>
      <c r="BC27" s="56">
        <f>IFERROR(INDEX('Monthly VOL'!$N$2:$CG$65,MATCH($D27,'Monthly VOL'!$D$2:$D$65,0),MATCH(BC$1,'Monthly VOL'!$N$1:$CG$1,0))/INDEX('Monthly CUST'!$N$2:$CG$65,MATCH($D27,'Monthly CUST'!$D$2:$D$65,0),MATCH(BC$1,'Monthly CUST'!$N$1:$CG$1,0)),0)</f>
        <v>297.45586206896547</v>
      </c>
      <c r="BD27" s="56">
        <f>IFERROR(INDEX('Monthly VOL'!$N$2:$CG$65,MATCH($D27,'Monthly VOL'!$D$2:$D$65,0),MATCH(BD$1,'Monthly VOL'!$N$1:$CG$1,0))/INDEX('Monthly CUST'!$N$2:$CG$65,MATCH($D27,'Monthly CUST'!$D$2:$D$65,0),MATCH(BD$1,'Monthly CUST'!$N$1:$CG$1,0)),0)</f>
        <v>297.45586206896547</v>
      </c>
      <c r="BE27" s="56">
        <f>IFERROR(INDEX('Monthly VOL'!$N$2:$CG$65,MATCH($D27,'Monthly VOL'!$D$2:$D$65,0),MATCH(BE$1,'Monthly VOL'!$N$1:$CG$1,0))/INDEX('Monthly CUST'!$N$2:$CG$65,MATCH($D27,'Monthly CUST'!$D$2:$D$65,0),MATCH(BE$1,'Monthly CUST'!$N$1:$CG$1,0)),0)</f>
        <v>291.93407407407403</v>
      </c>
      <c r="BF27" s="56">
        <f>IFERROR(INDEX('Monthly VOL'!$N$2:$CG$65,MATCH($D27,'Monthly VOL'!$D$2:$D$65,0),MATCH(BF$1,'Monthly VOL'!$N$1:$CG$1,0))/INDEX('Monthly CUST'!$N$2:$CG$65,MATCH($D27,'Monthly CUST'!$D$2:$D$65,0),MATCH(BF$1,'Monthly CUST'!$N$1:$CG$1,0)),0)</f>
        <v>291.93407407407403</v>
      </c>
      <c r="BG27" s="56">
        <f>IFERROR(INDEX('Monthly VOL'!$N$2:$CG$65,MATCH($D27,'Monthly VOL'!$D$2:$D$65,0),MATCH(BG$1,'Monthly VOL'!$N$1:$CG$1,0))/INDEX('Monthly CUST'!$N$2:$CG$65,MATCH($D27,'Monthly CUST'!$D$2:$D$65,0),MATCH(BG$1,'Monthly CUST'!$N$1:$CG$1,0)),0)</f>
        <v>291.93407407407403</v>
      </c>
      <c r="BH27" s="56">
        <f>IFERROR(INDEX('Monthly VOL'!$N$2:$CG$65,MATCH($D27,'Monthly VOL'!$D$2:$D$65,0),MATCH(BH$1,'Monthly VOL'!$N$1:$CG$1,0))/INDEX('Monthly CUST'!$N$2:$CG$65,MATCH($D27,'Monthly CUST'!$D$2:$D$65,0),MATCH(BH$1,'Monthly CUST'!$N$1:$CG$1,0)),0)</f>
        <v>257.31793103448274</v>
      </c>
      <c r="BI27" s="56">
        <f>IFERROR(INDEX('Monthly VOL'!$N$2:$CG$65,MATCH($D27,'Monthly VOL'!$D$2:$D$65,0),MATCH(BI$1,'Monthly VOL'!$N$1:$CG$1,0))/INDEX('Monthly CUST'!$N$2:$CG$65,MATCH($D27,'Monthly CUST'!$D$2:$D$65,0),MATCH(BI$1,'Monthly CUST'!$N$1:$CG$1,0)),0)</f>
        <v>303.28879999999998</v>
      </c>
      <c r="BJ27" s="56">
        <f>IFERROR(INDEX('Monthly VOL'!$N$2:$CG$65,MATCH($D27,'Monthly VOL'!$D$2:$D$65,0),MATCH(BJ$1,'Monthly VOL'!$N$1:$CG$1,0))/INDEX('Monthly CUST'!$N$2:$CG$65,MATCH($D27,'Monthly CUST'!$D$2:$D$65,0),MATCH(BJ$1,'Monthly CUST'!$N$1:$CG$1,0)),0)</f>
        <v>293.36193548387092</v>
      </c>
      <c r="BK27" s="56">
        <f>IFERROR(INDEX('Monthly VOL'!$N$2:$CG$65,MATCH($D27,'Monthly VOL'!$D$2:$D$65,0),MATCH(BK$1,'Monthly VOL'!$N$1:$CG$1,0))/INDEX('Monthly CUST'!$N$2:$CG$65,MATCH($D27,'Monthly CUST'!$D$2:$D$65,0),MATCH(BK$1,'Monthly CUST'!$N$1:$CG$1,0)),0)</f>
        <v>280.20064516129031</v>
      </c>
      <c r="BL27" s="56">
        <f>IFERROR(INDEX('Monthly VOL'!$N$2:$CG$65,MATCH($D27,'Monthly VOL'!$D$2:$D$65,0),MATCH(BL$1,'Monthly VOL'!$N$1:$CG$1,0))/INDEX('Monthly CUST'!$N$2:$CG$65,MATCH($D27,'Monthly CUST'!$D$2:$D$65,0),MATCH(BL$1,'Monthly CUST'!$N$1:$CG$1,0)),0)</f>
        <v>280.20064516129031</v>
      </c>
      <c r="BM27" s="56">
        <f>IFERROR(INDEX('Monthly VOL'!$N$2:$CG$65,MATCH($D27,'Monthly VOL'!$D$2:$D$65,0),MATCH(BM$1,'Monthly VOL'!$N$1:$CG$1,0))/INDEX('Monthly CUST'!$N$2:$CG$65,MATCH($D27,'Monthly CUST'!$D$2:$D$65,0),MATCH(BM$1,'Monthly CUST'!$N$1:$CG$1,0)),0)</f>
        <v>280.20064516129031</v>
      </c>
      <c r="BN27" s="56">
        <f>IFERROR(INDEX('Monthly VOL'!$N$2:$CG$65,MATCH($D27,'Monthly VOL'!$D$2:$D$65,0),MATCH(BN$1,'Monthly VOL'!$N$1:$CG$1,0))/INDEX('Monthly CUST'!$N$2:$CG$65,MATCH($D27,'Monthly CUST'!$D$2:$D$65,0),MATCH(BN$1,'Monthly CUST'!$N$1:$CG$1,0)),0)</f>
        <v>297.45586206896547</v>
      </c>
      <c r="BO27" s="56">
        <f>IFERROR(INDEX('Monthly VOL'!$N$2:$CG$65,MATCH($D27,'Monthly VOL'!$D$2:$D$65,0),MATCH(BO$1,'Monthly VOL'!$N$1:$CG$1,0))/INDEX('Monthly CUST'!$N$2:$CG$65,MATCH($D27,'Monthly CUST'!$D$2:$D$65,0),MATCH(BO$1,'Monthly CUST'!$N$1:$CG$1,0)),0)</f>
        <v>297.45586206896547</v>
      </c>
      <c r="BP27" s="56">
        <f>IFERROR(INDEX('Monthly VOL'!$N$2:$CG$65,MATCH($D27,'Monthly VOL'!$D$2:$D$65,0),MATCH(BP$1,'Monthly VOL'!$N$1:$CG$1,0))/INDEX('Monthly CUST'!$N$2:$CG$65,MATCH($D27,'Monthly CUST'!$D$2:$D$65,0),MATCH(BP$1,'Monthly CUST'!$N$1:$CG$1,0)),0)</f>
        <v>297.45586206896547</v>
      </c>
      <c r="BQ27" s="56">
        <f>IFERROR(INDEX('Monthly VOL'!$N$2:$CG$65,MATCH($D27,'Monthly VOL'!$D$2:$D$65,0),MATCH(BQ$1,'Monthly VOL'!$N$1:$CG$1,0))/INDEX('Monthly CUST'!$N$2:$CG$65,MATCH($D27,'Monthly CUST'!$D$2:$D$65,0),MATCH(BQ$1,'Monthly CUST'!$N$1:$CG$1,0)),0)</f>
        <v>291.93407407407403</v>
      </c>
      <c r="BR27" s="56">
        <f>IFERROR(INDEX('Monthly VOL'!$N$2:$CG$65,MATCH($D27,'Monthly VOL'!$D$2:$D$65,0),MATCH(BR$1,'Monthly VOL'!$N$1:$CG$1,0))/INDEX('Monthly CUST'!$N$2:$CG$65,MATCH($D27,'Monthly CUST'!$D$2:$D$65,0),MATCH(BR$1,'Monthly CUST'!$N$1:$CG$1,0)),0)</f>
        <v>291.93407407407403</v>
      </c>
      <c r="BS27" s="56">
        <f>IFERROR(INDEX('Monthly VOL'!$N$2:$CG$65,MATCH($D27,'Monthly VOL'!$D$2:$D$65,0),MATCH(BS$1,'Monthly VOL'!$N$1:$CG$1,0))/INDEX('Monthly CUST'!$N$2:$CG$65,MATCH($D27,'Monthly CUST'!$D$2:$D$65,0),MATCH(BS$1,'Monthly CUST'!$N$1:$CG$1,0)),0)</f>
        <v>291.93407407407403</v>
      </c>
      <c r="BT27" s="56">
        <f>IFERROR(INDEX('Monthly VOL'!$N$2:$CG$65,MATCH($D27,'Monthly VOL'!$D$2:$D$65,0),MATCH(BT$1,'Monthly VOL'!$N$1:$CG$1,0))/INDEX('Monthly CUST'!$N$2:$CG$65,MATCH($D27,'Monthly CUST'!$D$2:$D$65,0),MATCH(BT$1,'Monthly CUST'!$N$1:$CG$1,0)),0)</f>
        <v>257.31793103448274</v>
      </c>
      <c r="BU27" s="56">
        <f>IFERROR(INDEX('Monthly VOL'!$N$2:$CG$65,MATCH($D27,'Monthly VOL'!$D$2:$D$65,0),MATCH(BU$1,'Monthly VOL'!$N$1:$CG$1,0))/INDEX('Monthly CUST'!$N$2:$CG$65,MATCH($D27,'Monthly CUST'!$D$2:$D$65,0),MATCH(BU$1,'Monthly CUST'!$N$1:$CG$1,0)),0)</f>
        <v>303.28879999999998</v>
      </c>
      <c r="BV27" s="56">
        <f>IFERROR(INDEX('Monthly VOL'!$N$2:$CG$65,MATCH($D27,'Monthly VOL'!$D$2:$D$65,0),MATCH(BV$1,'Monthly VOL'!$N$1:$CG$1,0))/INDEX('Monthly CUST'!$N$2:$CG$65,MATCH($D27,'Monthly CUST'!$D$2:$D$65,0),MATCH(BV$1,'Monthly CUST'!$N$1:$CG$1,0)),0)</f>
        <v>293.36193548387092</v>
      </c>
      <c r="BW27" s="56">
        <f>IFERROR(INDEX('Monthly VOL'!$N$2:$CG$65,MATCH($D27,'Monthly VOL'!$D$2:$D$65,0),MATCH(BW$1,'Monthly VOL'!$N$1:$CG$1,0))/INDEX('Monthly CUST'!$N$2:$CG$65,MATCH($D27,'Monthly CUST'!$D$2:$D$65,0),MATCH(BW$1,'Monthly CUST'!$N$1:$CG$1,0)),0)</f>
        <v>280.20064516129031</v>
      </c>
      <c r="BX27" s="56">
        <f>IFERROR(INDEX('Monthly VOL'!$N$2:$CG$65,MATCH($D27,'Monthly VOL'!$D$2:$D$65,0),MATCH(BX$1,'Monthly VOL'!$N$1:$CG$1,0))/INDEX('Monthly CUST'!$N$2:$CG$65,MATCH($D27,'Monthly CUST'!$D$2:$D$65,0),MATCH(BX$1,'Monthly CUST'!$N$1:$CG$1,0)),0)</f>
        <v>280.20064516129031</v>
      </c>
      <c r="BY27" s="56">
        <f>IFERROR(INDEX('Monthly VOL'!$N$2:$CG$65,MATCH($D27,'Monthly VOL'!$D$2:$D$65,0),MATCH(BY$1,'Monthly VOL'!$N$1:$CG$1,0))/INDEX('Monthly CUST'!$N$2:$CG$65,MATCH($D27,'Monthly CUST'!$D$2:$D$65,0),MATCH(BY$1,'Monthly CUST'!$N$1:$CG$1,0)),0)</f>
        <v>280.20064516129031</v>
      </c>
      <c r="BZ27" s="56">
        <f>IFERROR(INDEX('Monthly VOL'!$N$2:$CG$65,MATCH($D27,'Monthly VOL'!$D$2:$D$65,0),MATCH(BZ$1,'Monthly VOL'!$N$1:$CG$1,0))/INDEX('Monthly CUST'!$N$2:$CG$65,MATCH($D27,'Monthly CUST'!$D$2:$D$65,0),MATCH(BZ$1,'Monthly CUST'!$N$1:$CG$1,0)),0)</f>
        <v>297.45586206896547</v>
      </c>
      <c r="CA27" s="56">
        <f>IFERROR(INDEX('Monthly VOL'!$N$2:$CG$65,MATCH($D27,'Monthly VOL'!$D$2:$D$65,0),MATCH(CA$1,'Monthly VOL'!$N$1:$CG$1,0))/INDEX('Monthly CUST'!$N$2:$CG$65,MATCH($D27,'Monthly CUST'!$D$2:$D$65,0),MATCH(CA$1,'Monthly CUST'!$N$1:$CG$1,0)),0)</f>
        <v>297.45586206896547</v>
      </c>
      <c r="CB27" s="56">
        <f>IFERROR(INDEX('Monthly VOL'!$N$2:$CG$65,MATCH($D27,'Monthly VOL'!$D$2:$D$65,0),MATCH(CB$1,'Monthly VOL'!$N$1:$CG$1,0))/INDEX('Monthly CUST'!$N$2:$CG$65,MATCH($D27,'Monthly CUST'!$D$2:$D$65,0),MATCH(CB$1,'Monthly CUST'!$N$1:$CG$1,0)),0)</f>
        <v>297.45586206896547</v>
      </c>
      <c r="CC27" s="56">
        <f>IFERROR(INDEX('Monthly VOL'!$N$2:$CG$65,MATCH($D27,'Monthly VOL'!$D$2:$D$65,0),MATCH(CC$1,'Monthly VOL'!$N$1:$CG$1,0))/INDEX('Monthly CUST'!$N$2:$CG$65,MATCH($D27,'Monthly CUST'!$D$2:$D$65,0),MATCH(CC$1,'Monthly CUST'!$N$1:$CG$1,0)),0)</f>
        <v>291.93407407407403</v>
      </c>
      <c r="CD27" s="56">
        <f>IFERROR(INDEX('Monthly VOL'!$N$2:$CG$65,MATCH($D27,'Monthly VOL'!$D$2:$D$65,0),MATCH(CD$1,'Monthly VOL'!$N$1:$CG$1,0))/INDEX('Monthly CUST'!$N$2:$CG$65,MATCH($D27,'Monthly CUST'!$D$2:$D$65,0),MATCH(CD$1,'Monthly CUST'!$N$1:$CG$1,0)),0)</f>
        <v>291.93407407407403</v>
      </c>
      <c r="CE27" s="56">
        <f>IFERROR(INDEX('Monthly VOL'!$N$2:$CG$65,MATCH($D27,'Monthly VOL'!$D$2:$D$65,0),MATCH(CE$1,'Monthly VOL'!$N$1:$CG$1,0))/INDEX('Monthly CUST'!$N$2:$CG$65,MATCH($D27,'Monthly CUST'!$D$2:$D$65,0),MATCH(CE$1,'Monthly CUST'!$N$1:$CG$1,0)),0)</f>
        <v>291.93407407407403</v>
      </c>
      <c r="CF27" s="56">
        <f>IFERROR(INDEX('Monthly VOL'!$N$2:$CG$65,MATCH($D27,'Monthly VOL'!$D$2:$D$65,0),MATCH(CF$1,'Monthly VOL'!$N$1:$CG$1,0))/INDEX('Monthly CUST'!$N$2:$CG$65,MATCH($D27,'Monthly CUST'!$D$2:$D$65,0),MATCH(CF$1,'Monthly CUST'!$N$1:$CG$1,0)),0)</f>
        <v>257.31793103448274</v>
      </c>
      <c r="CG27" s="56">
        <f>IFERROR(INDEX('Monthly VOL'!$N$2:$CG$65,MATCH($D27,'Monthly VOL'!$D$2:$D$65,0),MATCH(CG$1,'Monthly VOL'!$N$1:$CG$1,0))/INDEX('Monthly CUST'!$N$2:$CG$65,MATCH($D27,'Monthly CUST'!$D$2:$D$65,0),MATCH(CG$1,'Monthly CUST'!$N$1:$CG$1,0)),0)</f>
        <v>303.28879999999998</v>
      </c>
      <c r="CH27" s="264"/>
      <c r="CI27" s="264"/>
      <c r="CJ27" s="264"/>
      <c r="CM27" s="569">
        <f t="shared" si="0"/>
        <v>278.99032163187849</v>
      </c>
      <c r="CN27" s="569">
        <f t="shared" si="1"/>
        <v>288.48557779886147</v>
      </c>
      <c r="CO27" s="569">
        <f t="shared" si="2"/>
        <v>287.11684005376338</v>
      </c>
      <c r="CP27" s="569">
        <f t="shared" si="3"/>
        <v>271.47468926011265</v>
      </c>
      <c r="CQ27" s="569">
        <f t="shared" si="4"/>
        <v>295.36693087484031</v>
      </c>
      <c r="CR27" s="569">
        <f t="shared" si="5"/>
        <v>295.36693087484031</v>
      </c>
      <c r="CS27" s="569">
        <f t="shared" si="6"/>
        <v>290.55217426108374</v>
      </c>
      <c r="CT27" s="569">
        <f t="shared" si="7"/>
        <v>278.75781635802468</v>
      </c>
      <c r="CU27" s="569">
        <f t="shared" si="8"/>
        <v>291.27427469135802</v>
      </c>
      <c r="CV27" s="569">
        <f t="shared" si="9"/>
        <v>288.40362443883276</v>
      </c>
      <c r="CW27" s="569">
        <f t="shared" si="10"/>
        <v>276.8649100923023</v>
      </c>
      <c r="CX27" s="569">
        <f t="shared" si="11"/>
        <v>298.115036827957</v>
      </c>
      <c r="CY27" s="569">
        <f t="shared" si="12"/>
        <v>278.99032163187849</v>
      </c>
      <c r="CZ27" s="569">
        <f t="shared" si="13"/>
        <v>288.48557779886147</v>
      </c>
      <c r="DA27" s="569">
        <f t="shared" si="14"/>
        <v>287.11684005376338</v>
      </c>
      <c r="DB27" s="569">
        <f t="shared" si="15"/>
        <v>271.47468926011265</v>
      </c>
      <c r="DC27" s="569">
        <f t="shared" si="16"/>
        <v>295.36693087484031</v>
      </c>
      <c r="DD27" s="569">
        <f t="shared" si="17"/>
        <v>295.36693087484031</v>
      </c>
      <c r="DE27" s="569">
        <f t="shared" si="18"/>
        <v>290.55217426108374</v>
      </c>
      <c r="DF27" s="569">
        <f t="shared" si="19"/>
        <v>278.75781635802468</v>
      </c>
      <c r="DG27" s="569">
        <f t="shared" si="20"/>
        <v>291.27427469135802</v>
      </c>
      <c r="DH27" s="569">
        <f t="shared" si="21"/>
        <v>288.40362443883276</v>
      </c>
      <c r="DI27" s="569">
        <f t="shared" si="22"/>
        <v>276.8649100923023</v>
      </c>
      <c r="DJ27" s="569">
        <f t="shared" si="23"/>
        <v>298.115036827957</v>
      </c>
    </row>
    <row r="28" spans="1:114" s="261" customFormat="1">
      <c r="A28" s="55" t="s">
        <v>15</v>
      </c>
      <c r="B28" s="55" t="s">
        <v>993</v>
      </c>
      <c r="C28" s="55" t="s">
        <v>1245</v>
      </c>
      <c r="D28" s="55" t="s">
        <v>58</v>
      </c>
      <c r="E28" s="55" t="str">
        <f>VLOOKUP(D28,'Input 14_Ref Table'!C:D,2,FALSE)</f>
        <v>LA3MX</v>
      </c>
      <c r="F28" s="172" t="s">
        <v>1286</v>
      </c>
      <c r="G28" s="55" t="str">
        <f>VLOOKUP(D28,'Input 14_Ref Table'!C:I,7,FALSE)</f>
        <v>LA3MX</v>
      </c>
      <c r="H28" s="55" t="str">
        <f>VLOOKUP(D28,'Input 14_Ref Table'!C:K,8,FALSE)</f>
        <v>Base Period</v>
      </c>
      <c r="I28" s="55" t="e">
        <f>INDEX(#REF!,MATCH(D28,#REF!,0))</f>
        <v>#REF!</v>
      </c>
      <c r="J28" s="261" t="str">
        <f>INDEX('Master '!$AD$2:AD$65,MATCH(D28,'Master '!$D$2:$D$65,0))</f>
        <v>Base Period</v>
      </c>
      <c r="K28" s="567">
        <f>INDEX('Master '!$N$2:N$65,MATCH(D28,'Master '!$D$2:$D$65,0))</f>
        <v>0</v>
      </c>
      <c r="L28" s="290">
        <f>INDEX('Master '!$S$2:S$65,MATCH(D28,'Master '!$D$2:$D$65,0))</f>
        <v>0</v>
      </c>
      <c r="M28" s="1">
        <f>INDEX('Master '!$W$2:W$65,MATCH(D28,'Master '!$D$2:$D$65,0))</f>
        <v>0</v>
      </c>
      <c r="N28" s="56">
        <f>IFERROR(INDEX('Monthly VOL'!$N$2:$CG$65,MATCH($D28,'Monthly VOL'!$D$2:$D$65,0),MATCH(N$1,'Monthly VOL'!$N$1:$CG$1,0))/INDEX('Monthly CUST'!$N$2:$CG$65,MATCH($D28,'Monthly CUST'!$D$2:$D$65,0),MATCH(N$1,'Monthly CUST'!$N$1:$CG$1,0)),0)</f>
        <v>0</v>
      </c>
      <c r="O28" s="56">
        <f>IFERROR(INDEX('Monthly VOL'!$N$2:$CG$65,MATCH($D28,'Monthly VOL'!$D$2:$D$65,0),MATCH(O$1,'Monthly VOL'!$N$1:$CG$1,0))/INDEX('Monthly CUST'!$N$2:$CG$65,MATCH($D28,'Monthly CUST'!$D$2:$D$65,0),MATCH(O$1,'Monthly CUST'!$N$1:$CG$1,0)),0)</f>
        <v>0</v>
      </c>
      <c r="P28" s="56">
        <f>IFERROR(INDEX('Monthly VOL'!$N$2:$CG$65,MATCH($D28,'Monthly VOL'!$D$2:$D$65,0),MATCH(P$1,'Monthly VOL'!$N$1:$CG$1,0))/INDEX('Monthly CUST'!$N$2:$CG$65,MATCH($D28,'Monthly CUST'!$D$2:$D$65,0),MATCH(P$1,'Monthly CUST'!$N$1:$CG$1,0)),0)</f>
        <v>0</v>
      </c>
      <c r="Q28" s="56">
        <f>IFERROR(INDEX('Monthly VOL'!$N$2:$CG$65,MATCH($D28,'Monthly VOL'!$D$2:$D$65,0),MATCH(Q$1,'Monthly VOL'!$N$1:$CG$1,0))/INDEX('Monthly CUST'!$N$2:$CG$65,MATCH($D28,'Monthly CUST'!$D$2:$D$65,0),MATCH(Q$1,'Monthly CUST'!$N$1:$CG$1,0)),0)</f>
        <v>0</v>
      </c>
      <c r="R28" s="56">
        <f>IFERROR(INDEX('Monthly VOL'!$N$2:$CG$65,MATCH($D28,'Monthly VOL'!$D$2:$D$65,0),MATCH(R$1,'Monthly VOL'!$N$1:$CG$1,0))/INDEX('Monthly CUST'!$N$2:$CG$65,MATCH($D28,'Monthly CUST'!$D$2:$D$65,0),MATCH(R$1,'Monthly CUST'!$N$1:$CG$1,0)),0)</f>
        <v>0</v>
      </c>
      <c r="S28" s="56">
        <f>IFERROR(INDEX('Monthly VOL'!$N$2:$CG$65,MATCH($D28,'Monthly VOL'!$D$2:$D$65,0),MATCH(S$1,'Monthly VOL'!$N$1:$CG$1,0))/INDEX('Monthly CUST'!$N$2:$CG$65,MATCH($D28,'Monthly CUST'!$D$2:$D$65,0),MATCH(S$1,'Monthly CUST'!$N$1:$CG$1,0)),0)</f>
        <v>0</v>
      </c>
      <c r="T28" s="56">
        <f>IFERROR(INDEX('Monthly VOL'!$N$2:$CG$65,MATCH($D28,'Monthly VOL'!$D$2:$D$65,0),MATCH(T$1,'Monthly VOL'!$N$1:$CG$1,0))/INDEX('Monthly CUST'!$N$2:$CG$65,MATCH($D28,'Monthly CUST'!$D$2:$D$65,0),MATCH(T$1,'Monthly CUST'!$N$1:$CG$1,0)),0)</f>
        <v>0</v>
      </c>
      <c r="U28" s="56">
        <f>IFERROR(INDEX('Monthly VOL'!$N$2:$CG$65,MATCH($D28,'Monthly VOL'!$D$2:$D$65,0),MATCH(U$1,'Monthly VOL'!$N$1:$CG$1,0))/INDEX('Monthly CUST'!$N$2:$CG$65,MATCH($D28,'Monthly CUST'!$D$2:$D$65,0),MATCH(U$1,'Monthly CUST'!$N$1:$CG$1,0)),0)</f>
        <v>0</v>
      </c>
      <c r="V28" s="56">
        <f>IFERROR(INDEX('Monthly VOL'!$N$2:$CG$65,MATCH($D28,'Monthly VOL'!$D$2:$D$65,0),MATCH(V$1,'Monthly VOL'!$N$1:$CG$1,0))/INDEX('Monthly CUST'!$N$2:$CG$65,MATCH($D28,'Monthly CUST'!$D$2:$D$65,0),MATCH(V$1,'Monthly CUST'!$N$1:$CG$1,0)),0)</f>
        <v>0</v>
      </c>
      <c r="W28" s="56">
        <f>IFERROR(INDEX('Monthly VOL'!$N$2:$CG$65,MATCH($D28,'Monthly VOL'!$D$2:$D$65,0),MATCH(W$1,'Monthly VOL'!$N$1:$CG$1,0))/INDEX('Monthly CUST'!$N$2:$CG$65,MATCH($D28,'Monthly CUST'!$D$2:$D$65,0),MATCH(W$1,'Monthly CUST'!$N$1:$CG$1,0)),0)</f>
        <v>0</v>
      </c>
      <c r="X28" s="56">
        <f>IFERROR(INDEX('Monthly VOL'!$N$2:$CG$65,MATCH($D28,'Monthly VOL'!$D$2:$D$65,0),MATCH(X$1,'Monthly VOL'!$N$1:$CG$1,0))/INDEX('Monthly CUST'!$N$2:$CG$65,MATCH($D28,'Monthly CUST'!$D$2:$D$65,0),MATCH(X$1,'Monthly CUST'!$N$1:$CG$1,0)),0)</f>
        <v>0</v>
      </c>
      <c r="Y28" s="56">
        <f>IFERROR(INDEX('Monthly VOL'!$N$2:$CG$65,MATCH($D28,'Monthly VOL'!$D$2:$D$65,0),MATCH(Y$1,'Monthly VOL'!$N$1:$CG$1,0))/INDEX('Monthly CUST'!$N$2:$CG$65,MATCH($D28,'Monthly CUST'!$D$2:$D$65,0),MATCH(Y$1,'Monthly CUST'!$N$1:$CG$1,0)),0)</f>
        <v>0</v>
      </c>
      <c r="Z28" s="56">
        <f>IFERROR(INDEX('Monthly VOL'!$N$2:$CG$65,MATCH($D28,'Monthly VOL'!$D$2:$D$65,0),MATCH(Z$1,'Monthly VOL'!$N$1:$CG$1,0))/INDEX('Monthly CUST'!$N$2:$CG$65,MATCH($D28,'Monthly CUST'!$D$2:$D$65,0),MATCH(Z$1,'Monthly CUST'!$N$1:$CG$1,0)),0)</f>
        <v>0</v>
      </c>
      <c r="AA28" s="56">
        <f>IFERROR(INDEX('Monthly VOL'!$N$2:$CG$65,MATCH($D28,'Monthly VOL'!$D$2:$D$65,0),MATCH(AA$1,'Monthly VOL'!$N$1:$CG$1,0))/INDEX('Monthly CUST'!$N$2:$CG$65,MATCH($D28,'Monthly CUST'!$D$2:$D$65,0),MATCH(AA$1,'Monthly CUST'!$N$1:$CG$1,0)),0)</f>
        <v>0</v>
      </c>
      <c r="AB28" s="56">
        <f>IFERROR(INDEX('Monthly VOL'!$N$2:$CG$65,MATCH($D28,'Monthly VOL'!$D$2:$D$65,0),MATCH(AB$1,'Monthly VOL'!$N$1:$CG$1,0))/INDEX('Monthly CUST'!$N$2:$CG$65,MATCH($D28,'Monthly CUST'!$D$2:$D$65,0),MATCH(AB$1,'Monthly CUST'!$N$1:$CG$1,0)),0)</f>
        <v>0</v>
      </c>
      <c r="AC28" s="56">
        <f>IFERROR(INDEX('Monthly VOL'!$N$2:$CG$65,MATCH($D28,'Monthly VOL'!$D$2:$D$65,0),MATCH(AC$1,'Monthly VOL'!$N$1:$CG$1,0))/INDEX('Monthly CUST'!$N$2:$CG$65,MATCH($D28,'Monthly CUST'!$D$2:$D$65,0),MATCH(AC$1,'Monthly CUST'!$N$1:$CG$1,0)),0)</f>
        <v>0</v>
      </c>
      <c r="AD28" s="56">
        <f>IFERROR(INDEX('Monthly VOL'!$N$2:$CG$65,MATCH($D28,'Monthly VOL'!$D$2:$D$65,0),MATCH(AD$1,'Monthly VOL'!$N$1:$CG$1,0))/INDEX('Monthly CUST'!$N$2:$CG$65,MATCH($D28,'Monthly CUST'!$D$2:$D$65,0),MATCH(AD$1,'Monthly CUST'!$N$1:$CG$1,0)),0)</f>
        <v>0</v>
      </c>
      <c r="AE28" s="56">
        <f>IFERROR(INDEX('Monthly VOL'!$N$2:$CG$65,MATCH($D28,'Monthly VOL'!$D$2:$D$65,0),MATCH(AE$1,'Monthly VOL'!$N$1:$CG$1,0))/INDEX('Monthly CUST'!$N$2:$CG$65,MATCH($D28,'Monthly CUST'!$D$2:$D$65,0),MATCH(AE$1,'Monthly CUST'!$N$1:$CG$1,0)),0)</f>
        <v>0</v>
      </c>
      <c r="AF28" s="56">
        <f>IFERROR(INDEX('Monthly VOL'!$N$2:$CG$65,MATCH($D28,'Monthly VOL'!$D$2:$D$65,0),MATCH(AF$1,'Monthly VOL'!$N$1:$CG$1,0))/INDEX('Monthly CUST'!$N$2:$CG$65,MATCH($D28,'Monthly CUST'!$D$2:$D$65,0),MATCH(AF$1,'Monthly CUST'!$N$1:$CG$1,0)),0)</f>
        <v>0</v>
      </c>
      <c r="AG28" s="56">
        <f>IFERROR(INDEX('Monthly VOL'!$N$2:$CG$65,MATCH($D28,'Monthly VOL'!$D$2:$D$65,0),MATCH(AG$1,'Monthly VOL'!$N$1:$CG$1,0))/INDEX('Monthly CUST'!$N$2:$CG$65,MATCH($D28,'Monthly CUST'!$D$2:$D$65,0),MATCH(AG$1,'Monthly CUST'!$N$1:$CG$1,0)),0)</f>
        <v>0</v>
      </c>
      <c r="AH28" s="56">
        <f>IFERROR(INDEX('Monthly VOL'!$N$2:$CG$65,MATCH($D28,'Monthly VOL'!$D$2:$D$65,0),MATCH(AH$1,'Monthly VOL'!$N$1:$CG$1,0))/INDEX('Monthly CUST'!$N$2:$CG$65,MATCH($D28,'Monthly CUST'!$D$2:$D$65,0),MATCH(AH$1,'Monthly CUST'!$N$1:$CG$1,0)),0)</f>
        <v>0</v>
      </c>
      <c r="AI28" s="56">
        <f>IFERROR(INDEX('Monthly VOL'!$N$2:$CG$65,MATCH($D28,'Monthly VOL'!$D$2:$D$65,0),MATCH(AI$1,'Monthly VOL'!$N$1:$CG$1,0))/INDEX('Monthly CUST'!$N$2:$CG$65,MATCH($D28,'Monthly CUST'!$D$2:$D$65,0),MATCH(AI$1,'Monthly CUST'!$N$1:$CG$1,0)),0)</f>
        <v>0</v>
      </c>
      <c r="AJ28" s="56">
        <f>IFERROR(INDEX('Monthly VOL'!$N$2:$CG$65,MATCH($D28,'Monthly VOL'!$D$2:$D$65,0),MATCH(AJ$1,'Monthly VOL'!$N$1:$CG$1,0))/INDEX('Monthly CUST'!$N$2:$CG$65,MATCH($D28,'Monthly CUST'!$D$2:$D$65,0),MATCH(AJ$1,'Monthly CUST'!$N$1:$CG$1,0)),0)</f>
        <v>0</v>
      </c>
      <c r="AK28" s="56">
        <f>IFERROR(INDEX('Monthly VOL'!$N$2:$CG$65,MATCH($D28,'Monthly VOL'!$D$2:$D$65,0),MATCH(AK$1,'Monthly VOL'!$N$1:$CG$1,0))/INDEX('Monthly CUST'!$N$2:$CG$65,MATCH($D28,'Monthly CUST'!$D$2:$D$65,0),MATCH(AK$1,'Monthly CUST'!$N$1:$CG$1,0)),0)</f>
        <v>0</v>
      </c>
      <c r="AL28" s="56">
        <f>IFERROR(INDEX('Monthly VOL'!$N$2:$CG$65,MATCH($D28,'Monthly VOL'!$D$2:$D$65,0),MATCH(AL$1,'Monthly VOL'!$N$1:$CG$1,0))/INDEX('Monthly CUST'!$N$2:$CG$65,MATCH($D28,'Monthly CUST'!$D$2:$D$65,0),MATCH(AL$1,'Monthly CUST'!$N$1:$CG$1,0)),0)</f>
        <v>0</v>
      </c>
      <c r="AM28" s="56">
        <f>IFERROR(INDEX('Monthly VOL'!$N$2:$CG$65,MATCH($D28,'Monthly VOL'!$D$2:$D$65,0),MATCH(AM$1,'Monthly VOL'!$N$1:$CG$1,0))/INDEX('Monthly CUST'!$N$2:$CG$65,MATCH($D28,'Monthly CUST'!$D$2:$D$65,0),MATCH(AM$1,'Monthly CUST'!$N$1:$CG$1,0)),0)</f>
        <v>0</v>
      </c>
      <c r="AN28" s="56">
        <f>IFERROR(INDEX('Monthly VOL'!$N$2:$CG$65,MATCH($D28,'Monthly VOL'!$D$2:$D$65,0),MATCH(AN$1,'Monthly VOL'!$N$1:$CG$1,0))/INDEX('Monthly CUST'!$N$2:$CG$65,MATCH($D28,'Monthly CUST'!$D$2:$D$65,0),MATCH(AN$1,'Monthly CUST'!$N$1:$CG$1,0)),0)</f>
        <v>0</v>
      </c>
      <c r="AO28" s="56">
        <f>IFERROR(INDEX('Monthly VOL'!$N$2:$CG$65,MATCH($D28,'Monthly VOL'!$D$2:$D$65,0),MATCH(AO$1,'Monthly VOL'!$N$1:$CG$1,0))/INDEX('Monthly CUST'!$N$2:$CG$65,MATCH($D28,'Monthly CUST'!$D$2:$D$65,0),MATCH(AO$1,'Monthly CUST'!$N$1:$CG$1,0)),0)</f>
        <v>0</v>
      </c>
      <c r="AP28" s="56">
        <f>IFERROR(INDEX('Monthly VOL'!$N$2:$CG$65,MATCH($D28,'Monthly VOL'!$D$2:$D$65,0),MATCH(AP$1,'Monthly VOL'!$N$1:$CG$1,0))/INDEX('Monthly CUST'!$N$2:$CG$65,MATCH($D28,'Monthly CUST'!$D$2:$D$65,0),MATCH(AP$1,'Monthly CUST'!$N$1:$CG$1,0)),0)</f>
        <v>0</v>
      </c>
      <c r="AQ28" s="56">
        <f>IFERROR(INDEX('Monthly VOL'!$N$2:$CG$65,MATCH($D28,'Monthly VOL'!$D$2:$D$65,0),MATCH(AQ$1,'Monthly VOL'!$N$1:$CG$1,0))/INDEX('Monthly CUST'!$N$2:$CG$65,MATCH($D28,'Monthly CUST'!$D$2:$D$65,0),MATCH(AQ$1,'Monthly CUST'!$N$1:$CG$1,0)),0)</f>
        <v>0</v>
      </c>
      <c r="AR28" s="56">
        <f>IFERROR(INDEX('Monthly VOL'!$N$2:$CG$65,MATCH($D28,'Monthly VOL'!$D$2:$D$65,0),MATCH(AR$1,'Monthly VOL'!$N$1:$CG$1,0))/INDEX('Monthly CUST'!$N$2:$CG$65,MATCH($D28,'Monthly CUST'!$D$2:$D$65,0),MATCH(AR$1,'Monthly CUST'!$N$1:$CG$1,0)),0)</f>
        <v>0</v>
      </c>
      <c r="AS28" s="56">
        <f>IFERROR(INDEX('Monthly VOL'!$N$2:$CG$65,MATCH($D28,'Monthly VOL'!$D$2:$D$65,0),MATCH(AS$1,'Monthly VOL'!$N$1:$CG$1,0))/INDEX('Monthly CUST'!$N$2:$CG$65,MATCH($D28,'Monthly CUST'!$D$2:$D$65,0),MATCH(AS$1,'Monthly CUST'!$N$1:$CG$1,0)),0)</f>
        <v>0</v>
      </c>
      <c r="AT28" s="56">
        <f>IFERROR(INDEX('Monthly VOL'!$N$2:$CG$65,MATCH($D28,'Monthly VOL'!$D$2:$D$65,0),MATCH(AT$1,'Monthly VOL'!$N$1:$CG$1,0))/INDEX('Monthly CUST'!$N$2:$CG$65,MATCH($D28,'Monthly CUST'!$D$2:$D$65,0),MATCH(AT$1,'Monthly CUST'!$N$1:$CG$1,0)),0)</f>
        <v>0</v>
      </c>
      <c r="AU28" s="56">
        <f>IFERROR(INDEX('Monthly VOL'!$N$2:$CG$65,MATCH($D28,'Monthly VOL'!$D$2:$D$65,0),MATCH(AU$1,'Monthly VOL'!$N$1:$CG$1,0))/INDEX('Monthly CUST'!$N$2:$CG$65,MATCH($D28,'Monthly CUST'!$D$2:$D$65,0),MATCH(AU$1,'Monthly CUST'!$N$1:$CG$1,0)),0)</f>
        <v>0</v>
      </c>
      <c r="AV28" s="56">
        <f>IFERROR(INDEX('Monthly VOL'!$N$2:$CG$65,MATCH($D28,'Monthly VOL'!$D$2:$D$65,0),MATCH(AV$1,'Monthly VOL'!$N$1:$CG$1,0))/INDEX('Monthly CUST'!$N$2:$CG$65,MATCH($D28,'Monthly CUST'!$D$2:$D$65,0),MATCH(AV$1,'Monthly CUST'!$N$1:$CG$1,0)),0)</f>
        <v>0</v>
      </c>
      <c r="AW28" s="56">
        <f>IFERROR(INDEX('Monthly VOL'!$N$2:$CG$65,MATCH($D28,'Monthly VOL'!$D$2:$D$65,0),MATCH(AW$1,'Monthly VOL'!$N$1:$CG$1,0))/INDEX('Monthly CUST'!$N$2:$CG$65,MATCH($D28,'Monthly CUST'!$D$2:$D$65,0),MATCH(AW$1,'Monthly CUST'!$N$1:$CG$1,0)),0)</f>
        <v>0</v>
      </c>
      <c r="AX28" s="56">
        <f>IFERROR(INDEX('Monthly VOL'!$N$2:$CG$65,MATCH($D28,'Monthly VOL'!$D$2:$D$65,0),MATCH(AX$1,'Monthly VOL'!$N$1:$CG$1,0))/INDEX('Monthly CUST'!$N$2:$CG$65,MATCH($D28,'Monthly CUST'!$D$2:$D$65,0),MATCH(AX$1,'Monthly CUST'!$N$1:$CG$1,0)),0)</f>
        <v>0</v>
      </c>
      <c r="AY28" s="56">
        <f>IFERROR(INDEX('Monthly VOL'!$N$2:$CG$65,MATCH($D28,'Monthly VOL'!$D$2:$D$65,0),MATCH(AY$1,'Monthly VOL'!$N$1:$CG$1,0))/INDEX('Monthly CUST'!$N$2:$CG$65,MATCH($D28,'Monthly CUST'!$D$2:$D$65,0),MATCH(AY$1,'Monthly CUST'!$N$1:$CG$1,0)),0)</f>
        <v>0</v>
      </c>
      <c r="AZ28" s="56">
        <f>IFERROR(INDEX('Monthly VOL'!$N$2:$CG$65,MATCH($D28,'Monthly VOL'!$D$2:$D$65,0),MATCH(AZ$1,'Monthly VOL'!$N$1:$CG$1,0))/INDEX('Monthly CUST'!$N$2:$CG$65,MATCH($D28,'Monthly CUST'!$D$2:$D$65,0),MATCH(AZ$1,'Monthly CUST'!$N$1:$CG$1,0)),0)</f>
        <v>0</v>
      </c>
      <c r="BA28" s="56">
        <f>IFERROR(INDEX('Monthly VOL'!$N$2:$CG$65,MATCH($D28,'Monthly VOL'!$D$2:$D$65,0),MATCH(BA$1,'Monthly VOL'!$N$1:$CG$1,0))/INDEX('Monthly CUST'!$N$2:$CG$65,MATCH($D28,'Monthly CUST'!$D$2:$D$65,0),MATCH(BA$1,'Monthly CUST'!$N$1:$CG$1,0)),0)</f>
        <v>0</v>
      </c>
      <c r="BB28" s="56">
        <f>IFERROR(INDEX('Monthly VOL'!$N$2:$CG$65,MATCH($D28,'Monthly VOL'!$D$2:$D$65,0),MATCH(BB$1,'Monthly VOL'!$N$1:$CG$1,0))/INDEX('Monthly CUST'!$N$2:$CG$65,MATCH($D28,'Monthly CUST'!$D$2:$D$65,0),MATCH(BB$1,'Monthly CUST'!$N$1:$CG$1,0)),0)</f>
        <v>0</v>
      </c>
      <c r="BC28" s="56">
        <f>IFERROR(INDEX('Monthly VOL'!$N$2:$CG$65,MATCH($D28,'Monthly VOL'!$D$2:$D$65,0),MATCH(BC$1,'Monthly VOL'!$N$1:$CG$1,0))/INDEX('Monthly CUST'!$N$2:$CG$65,MATCH($D28,'Monthly CUST'!$D$2:$D$65,0),MATCH(BC$1,'Monthly CUST'!$N$1:$CG$1,0)),0)</f>
        <v>0</v>
      </c>
      <c r="BD28" s="56">
        <f>IFERROR(INDEX('Monthly VOL'!$N$2:$CG$65,MATCH($D28,'Monthly VOL'!$D$2:$D$65,0),MATCH(BD$1,'Monthly VOL'!$N$1:$CG$1,0))/INDEX('Monthly CUST'!$N$2:$CG$65,MATCH($D28,'Monthly CUST'!$D$2:$D$65,0),MATCH(BD$1,'Monthly CUST'!$N$1:$CG$1,0)),0)</f>
        <v>0</v>
      </c>
      <c r="BE28" s="56">
        <f>IFERROR(INDEX('Monthly VOL'!$N$2:$CG$65,MATCH($D28,'Monthly VOL'!$D$2:$D$65,0),MATCH(BE$1,'Monthly VOL'!$N$1:$CG$1,0))/INDEX('Monthly CUST'!$N$2:$CG$65,MATCH($D28,'Monthly CUST'!$D$2:$D$65,0),MATCH(BE$1,'Monthly CUST'!$N$1:$CG$1,0)),0)</f>
        <v>0</v>
      </c>
      <c r="BF28" s="56">
        <f>IFERROR(INDEX('Monthly VOL'!$N$2:$CG$65,MATCH($D28,'Monthly VOL'!$D$2:$D$65,0),MATCH(BF$1,'Monthly VOL'!$N$1:$CG$1,0))/INDEX('Monthly CUST'!$N$2:$CG$65,MATCH($D28,'Monthly CUST'!$D$2:$D$65,0),MATCH(BF$1,'Monthly CUST'!$N$1:$CG$1,0)),0)</f>
        <v>0</v>
      </c>
      <c r="BG28" s="56">
        <f>IFERROR(INDEX('Monthly VOL'!$N$2:$CG$65,MATCH($D28,'Monthly VOL'!$D$2:$D$65,0),MATCH(BG$1,'Monthly VOL'!$N$1:$CG$1,0))/INDEX('Monthly CUST'!$N$2:$CG$65,MATCH($D28,'Monthly CUST'!$D$2:$D$65,0),MATCH(BG$1,'Monthly CUST'!$N$1:$CG$1,0)),0)</f>
        <v>0</v>
      </c>
      <c r="BH28" s="56">
        <f>IFERROR(INDEX('Monthly VOL'!$N$2:$CG$65,MATCH($D28,'Monthly VOL'!$D$2:$D$65,0),MATCH(BH$1,'Monthly VOL'!$N$1:$CG$1,0))/INDEX('Monthly CUST'!$N$2:$CG$65,MATCH($D28,'Monthly CUST'!$D$2:$D$65,0),MATCH(BH$1,'Monthly CUST'!$N$1:$CG$1,0)),0)</f>
        <v>0</v>
      </c>
      <c r="BI28" s="56">
        <f>IFERROR(INDEX('Monthly VOL'!$N$2:$CG$65,MATCH($D28,'Monthly VOL'!$D$2:$D$65,0),MATCH(BI$1,'Monthly VOL'!$N$1:$CG$1,0))/INDEX('Monthly CUST'!$N$2:$CG$65,MATCH($D28,'Monthly CUST'!$D$2:$D$65,0),MATCH(BI$1,'Monthly CUST'!$N$1:$CG$1,0)),0)</f>
        <v>0</v>
      </c>
      <c r="BJ28" s="56">
        <f>IFERROR(INDEX('Monthly VOL'!$N$2:$CG$65,MATCH($D28,'Monthly VOL'!$D$2:$D$65,0),MATCH(BJ$1,'Monthly VOL'!$N$1:$CG$1,0))/INDEX('Monthly CUST'!$N$2:$CG$65,MATCH($D28,'Monthly CUST'!$D$2:$D$65,0),MATCH(BJ$1,'Monthly CUST'!$N$1:$CG$1,0)),0)</f>
        <v>0</v>
      </c>
      <c r="BK28" s="56">
        <f>IFERROR(INDEX('Monthly VOL'!$N$2:$CG$65,MATCH($D28,'Monthly VOL'!$D$2:$D$65,0),MATCH(BK$1,'Monthly VOL'!$N$1:$CG$1,0))/INDEX('Monthly CUST'!$N$2:$CG$65,MATCH($D28,'Monthly CUST'!$D$2:$D$65,0),MATCH(BK$1,'Monthly CUST'!$N$1:$CG$1,0)),0)</f>
        <v>0</v>
      </c>
      <c r="BL28" s="56">
        <f>IFERROR(INDEX('Monthly VOL'!$N$2:$CG$65,MATCH($D28,'Monthly VOL'!$D$2:$D$65,0),MATCH(BL$1,'Monthly VOL'!$N$1:$CG$1,0))/INDEX('Monthly CUST'!$N$2:$CG$65,MATCH($D28,'Monthly CUST'!$D$2:$D$65,0),MATCH(BL$1,'Monthly CUST'!$N$1:$CG$1,0)),0)</f>
        <v>0</v>
      </c>
      <c r="BM28" s="56">
        <f>IFERROR(INDEX('Monthly VOL'!$N$2:$CG$65,MATCH($D28,'Monthly VOL'!$D$2:$D$65,0),MATCH(BM$1,'Monthly VOL'!$N$1:$CG$1,0))/INDEX('Monthly CUST'!$N$2:$CG$65,MATCH($D28,'Monthly CUST'!$D$2:$D$65,0),MATCH(BM$1,'Monthly CUST'!$N$1:$CG$1,0)),0)</f>
        <v>0</v>
      </c>
      <c r="BN28" s="56">
        <f>IFERROR(INDEX('Monthly VOL'!$N$2:$CG$65,MATCH($D28,'Monthly VOL'!$D$2:$D$65,0),MATCH(BN$1,'Monthly VOL'!$N$1:$CG$1,0))/INDEX('Monthly CUST'!$N$2:$CG$65,MATCH($D28,'Monthly CUST'!$D$2:$D$65,0),MATCH(BN$1,'Monthly CUST'!$N$1:$CG$1,0)),0)</f>
        <v>0</v>
      </c>
      <c r="BO28" s="56">
        <f>IFERROR(INDEX('Monthly VOL'!$N$2:$CG$65,MATCH($D28,'Monthly VOL'!$D$2:$D$65,0),MATCH(BO$1,'Monthly VOL'!$N$1:$CG$1,0))/INDEX('Monthly CUST'!$N$2:$CG$65,MATCH($D28,'Monthly CUST'!$D$2:$D$65,0),MATCH(BO$1,'Monthly CUST'!$N$1:$CG$1,0)),0)</f>
        <v>0</v>
      </c>
      <c r="BP28" s="56">
        <f>IFERROR(INDEX('Monthly VOL'!$N$2:$CG$65,MATCH($D28,'Monthly VOL'!$D$2:$D$65,0),MATCH(BP$1,'Monthly VOL'!$N$1:$CG$1,0))/INDEX('Monthly CUST'!$N$2:$CG$65,MATCH($D28,'Monthly CUST'!$D$2:$D$65,0),MATCH(BP$1,'Monthly CUST'!$N$1:$CG$1,0)),0)</f>
        <v>0</v>
      </c>
      <c r="BQ28" s="56">
        <f>IFERROR(INDEX('Monthly VOL'!$N$2:$CG$65,MATCH($D28,'Monthly VOL'!$D$2:$D$65,0),MATCH(BQ$1,'Monthly VOL'!$N$1:$CG$1,0))/INDEX('Monthly CUST'!$N$2:$CG$65,MATCH($D28,'Monthly CUST'!$D$2:$D$65,0),MATCH(BQ$1,'Monthly CUST'!$N$1:$CG$1,0)),0)</f>
        <v>0</v>
      </c>
      <c r="BR28" s="56">
        <f>IFERROR(INDEX('Monthly VOL'!$N$2:$CG$65,MATCH($D28,'Monthly VOL'!$D$2:$D$65,0),MATCH(BR$1,'Monthly VOL'!$N$1:$CG$1,0))/INDEX('Monthly CUST'!$N$2:$CG$65,MATCH($D28,'Monthly CUST'!$D$2:$D$65,0),MATCH(BR$1,'Monthly CUST'!$N$1:$CG$1,0)),0)</f>
        <v>0</v>
      </c>
      <c r="BS28" s="56">
        <f>IFERROR(INDEX('Monthly VOL'!$N$2:$CG$65,MATCH($D28,'Monthly VOL'!$D$2:$D$65,0),MATCH(BS$1,'Monthly VOL'!$N$1:$CG$1,0))/INDEX('Monthly CUST'!$N$2:$CG$65,MATCH($D28,'Monthly CUST'!$D$2:$D$65,0),MATCH(BS$1,'Monthly CUST'!$N$1:$CG$1,0)),0)</f>
        <v>0</v>
      </c>
      <c r="BT28" s="56">
        <f>IFERROR(INDEX('Monthly VOL'!$N$2:$CG$65,MATCH($D28,'Monthly VOL'!$D$2:$D$65,0),MATCH(BT$1,'Monthly VOL'!$N$1:$CG$1,0))/INDEX('Monthly CUST'!$N$2:$CG$65,MATCH($D28,'Monthly CUST'!$D$2:$D$65,0),MATCH(BT$1,'Monthly CUST'!$N$1:$CG$1,0)),0)</f>
        <v>0</v>
      </c>
      <c r="BU28" s="56">
        <f>IFERROR(INDEX('Monthly VOL'!$N$2:$CG$65,MATCH($D28,'Monthly VOL'!$D$2:$D$65,0),MATCH(BU$1,'Monthly VOL'!$N$1:$CG$1,0))/INDEX('Monthly CUST'!$N$2:$CG$65,MATCH($D28,'Monthly CUST'!$D$2:$D$65,0),MATCH(BU$1,'Monthly CUST'!$N$1:$CG$1,0)),0)</f>
        <v>0</v>
      </c>
      <c r="BV28" s="56">
        <f>IFERROR(INDEX('Monthly VOL'!$N$2:$CG$65,MATCH($D28,'Monthly VOL'!$D$2:$D$65,0),MATCH(BV$1,'Monthly VOL'!$N$1:$CG$1,0))/INDEX('Monthly CUST'!$N$2:$CG$65,MATCH($D28,'Monthly CUST'!$D$2:$D$65,0),MATCH(BV$1,'Monthly CUST'!$N$1:$CG$1,0)),0)</f>
        <v>0</v>
      </c>
      <c r="BW28" s="56">
        <f>IFERROR(INDEX('Monthly VOL'!$N$2:$CG$65,MATCH($D28,'Monthly VOL'!$D$2:$D$65,0),MATCH(BW$1,'Monthly VOL'!$N$1:$CG$1,0))/INDEX('Monthly CUST'!$N$2:$CG$65,MATCH($D28,'Monthly CUST'!$D$2:$D$65,0),MATCH(BW$1,'Monthly CUST'!$N$1:$CG$1,0)),0)</f>
        <v>0</v>
      </c>
      <c r="BX28" s="56">
        <f>IFERROR(INDEX('Monthly VOL'!$N$2:$CG$65,MATCH($D28,'Monthly VOL'!$D$2:$D$65,0),MATCH(BX$1,'Monthly VOL'!$N$1:$CG$1,0))/INDEX('Monthly CUST'!$N$2:$CG$65,MATCH($D28,'Monthly CUST'!$D$2:$D$65,0),MATCH(BX$1,'Monthly CUST'!$N$1:$CG$1,0)),0)</f>
        <v>0</v>
      </c>
      <c r="BY28" s="56">
        <f>IFERROR(INDEX('Monthly VOL'!$N$2:$CG$65,MATCH($D28,'Monthly VOL'!$D$2:$D$65,0),MATCH(BY$1,'Monthly VOL'!$N$1:$CG$1,0))/INDEX('Monthly CUST'!$N$2:$CG$65,MATCH($D28,'Monthly CUST'!$D$2:$D$65,0),MATCH(BY$1,'Monthly CUST'!$N$1:$CG$1,0)),0)</f>
        <v>0</v>
      </c>
      <c r="BZ28" s="56">
        <f>IFERROR(INDEX('Monthly VOL'!$N$2:$CG$65,MATCH($D28,'Monthly VOL'!$D$2:$D$65,0),MATCH(BZ$1,'Monthly VOL'!$N$1:$CG$1,0))/INDEX('Monthly CUST'!$N$2:$CG$65,MATCH($D28,'Monthly CUST'!$D$2:$D$65,0),MATCH(BZ$1,'Monthly CUST'!$N$1:$CG$1,0)),0)</f>
        <v>0</v>
      </c>
      <c r="CA28" s="56">
        <f>IFERROR(INDEX('Monthly VOL'!$N$2:$CG$65,MATCH($D28,'Monthly VOL'!$D$2:$D$65,0),MATCH(CA$1,'Monthly VOL'!$N$1:$CG$1,0))/INDEX('Monthly CUST'!$N$2:$CG$65,MATCH($D28,'Monthly CUST'!$D$2:$D$65,0),MATCH(CA$1,'Monthly CUST'!$N$1:$CG$1,0)),0)</f>
        <v>0</v>
      </c>
      <c r="CB28" s="56">
        <f>IFERROR(INDEX('Monthly VOL'!$N$2:$CG$65,MATCH($D28,'Monthly VOL'!$D$2:$D$65,0),MATCH(CB$1,'Monthly VOL'!$N$1:$CG$1,0))/INDEX('Monthly CUST'!$N$2:$CG$65,MATCH($D28,'Monthly CUST'!$D$2:$D$65,0),MATCH(CB$1,'Monthly CUST'!$N$1:$CG$1,0)),0)</f>
        <v>0</v>
      </c>
      <c r="CC28" s="56">
        <f>IFERROR(INDEX('Monthly VOL'!$N$2:$CG$65,MATCH($D28,'Monthly VOL'!$D$2:$D$65,0),MATCH(CC$1,'Monthly VOL'!$N$1:$CG$1,0))/INDEX('Monthly CUST'!$N$2:$CG$65,MATCH($D28,'Monthly CUST'!$D$2:$D$65,0),MATCH(CC$1,'Monthly CUST'!$N$1:$CG$1,0)),0)</f>
        <v>0</v>
      </c>
      <c r="CD28" s="56">
        <f>IFERROR(INDEX('Monthly VOL'!$N$2:$CG$65,MATCH($D28,'Monthly VOL'!$D$2:$D$65,0),MATCH(CD$1,'Monthly VOL'!$N$1:$CG$1,0))/INDEX('Monthly CUST'!$N$2:$CG$65,MATCH($D28,'Monthly CUST'!$D$2:$D$65,0),MATCH(CD$1,'Monthly CUST'!$N$1:$CG$1,0)),0)</f>
        <v>0</v>
      </c>
      <c r="CE28" s="56">
        <f>IFERROR(INDEX('Monthly VOL'!$N$2:$CG$65,MATCH($D28,'Monthly VOL'!$D$2:$D$65,0),MATCH(CE$1,'Monthly VOL'!$N$1:$CG$1,0))/INDEX('Monthly CUST'!$N$2:$CG$65,MATCH($D28,'Monthly CUST'!$D$2:$D$65,0),MATCH(CE$1,'Monthly CUST'!$N$1:$CG$1,0)),0)</f>
        <v>0</v>
      </c>
      <c r="CF28" s="56">
        <f>IFERROR(INDEX('Monthly VOL'!$N$2:$CG$65,MATCH($D28,'Monthly VOL'!$D$2:$D$65,0),MATCH(CF$1,'Monthly VOL'!$N$1:$CG$1,0))/INDEX('Monthly CUST'!$N$2:$CG$65,MATCH($D28,'Monthly CUST'!$D$2:$D$65,0),MATCH(CF$1,'Monthly CUST'!$N$1:$CG$1,0)),0)</f>
        <v>0</v>
      </c>
      <c r="CG28" s="56">
        <f>IFERROR(INDEX('Monthly VOL'!$N$2:$CG$65,MATCH($D28,'Monthly VOL'!$D$2:$D$65,0),MATCH(CG$1,'Monthly VOL'!$N$1:$CG$1,0))/INDEX('Monthly CUST'!$N$2:$CG$65,MATCH($D28,'Monthly CUST'!$D$2:$D$65,0),MATCH(CG$1,'Monthly CUST'!$N$1:$CG$1,0)),0)</f>
        <v>0</v>
      </c>
      <c r="CH28" s="264"/>
      <c r="CI28" s="264"/>
      <c r="CJ28" s="264"/>
      <c r="CM28" s="569">
        <f t="shared" si="0"/>
        <v>0</v>
      </c>
      <c r="CN28" s="569">
        <f t="shared" si="1"/>
        <v>0</v>
      </c>
      <c r="CO28" s="569">
        <f t="shared" si="2"/>
        <v>0</v>
      </c>
      <c r="CP28" s="569">
        <f t="shared" si="3"/>
        <v>0</v>
      </c>
      <c r="CQ28" s="569">
        <f t="shared" si="4"/>
        <v>0</v>
      </c>
      <c r="CR28" s="569">
        <f t="shared" si="5"/>
        <v>0</v>
      </c>
      <c r="CS28" s="569">
        <f t="shared" si="6"/>
        <v>0</v>
      </c>
      <c r="CT28" s="569">
        <f t="shared" si="7"/>
        <v>0</v>
      </c>
      <c r="CU28" s="569">
        <f t="shared" si="8"/>
        <v>0</v>
      </c>
      <c r="CV28" s="569">
        <f t="shared" si="9"/>
        <v>0</v>
      </c>
      <c r="CW28" s="569">
        <f t="shared" si="10"/>
        <v>0</v>
      </c>
      <c r="CX28" s="569">
        <f t="shared" si="11"/>
        <v>0</v>
      </c>
      <c r="CY28" s="569">
        <f t="shared" si="12"/>
        <v>0</v>
      </c>
      <c r="CZ28" s="569">
        <f t="shared" si="13"/>
        <v>0</v>
      </c>
      <c r="DA28" s="569">
        <f t="shared" si="14"/>
        <v>0</v>
      </c>
      <c r="DB28" s="569">
        <f t="shared" si="15"/>
        <v>0</v>
      </c>
      <c r="DC28" s="569">
        <f t="shared" si="16"/>
        <v>0</v>
      </c>
      <c r="DD28" s="569">
        <f t="shared" si="17"/>
        <v>0</v>
      </c>
      <c r="DE28" s="569">
        <f t="shared" si="18"/>
        <v>0</v>
      </c>
      <c r="DF28" s="569">
        <f t="shared" si="19"/>
        <v>0</v>
      </c>
      <c r="DG28" s="569">
        <f t="shared" si="20"/>
        <v>0</v>
      </c>
      <c r="DH28" s="569">
        <f t="shared" si="21"/>
        <v>0</v>
      </c>
      <c r="DI28" s="569">
        <f t="shared" si="22"/>
        <v>0</v>
      </c>
      <c r="DJ28" s="569">
        <f t="shared" si="23"/>
        <v>0</v>
      </c>
    </row>
    <row r="29" spans="1:114" s="261" customFormat="1">
      <c r="A29" s="55" t="s">
        <v>17</v>
      </c>
      <c r="B29" s="55" t="s">
        <v>993</v>
      </c>
      <c r="C29" s="55" t="s">
        <v>8</v>
      </c>
      <c r="D29" s="55" t="s">
        <v>1295</v>
      </c>
      <c r="E29" s="55" t="str">
        <f>VLOOKUP(D29,'Input 14_Ref Table'!C:D,2,FALSE)</f>
        <v>CR801</v>
      </c>
      <c r="F29" s="172" t="s">
        <v>1286</v>
      </c>
      <c r="G29" s="55" t="str">
        <f>VLOOKUP(D29,'Input 14_Ref Table'!C:I,7,FALSE)</f>
        <v>CFG - FTS-A R</v>
      </c>
      <c r="H29" s="55" t="str">
        <f>VLOOKUP(D29,'Input 14_Ref Table'!C:K,8,FALSE)</f>
        <v>FTS_AB</v>
      </c>
      <c r="I29" s="55" t="e">
        <f>INDEX(#REF!,MATCH(D29,#REF!,0))</f>
        <v>#REF!</v>
      </c>
      <c r="J29" s="261" t="str">
        <f>INDEX('Master '!$AD$2:AD$65,MATCH(D29,'Master '!$D$2:$D$65,0))</f>
        <v>UPC Growth Rate</v>
      </c>
      <c r="K29" s="567">
        <f>INDEX('Master '!$N$2:N$65,MATCH(D29,'Master '!$D$2:$D$65,0))</f>
        <v>-7.5316460637900734E-3</v>
      </c>
      <c r="L29" s="290">
        <f>INDEX('Master '!$S$2:S$65,MATCH(D29,'Master '!$D$2:$D$65,0))</f>
        <v>0</v>
      </c>
      <c r="M29" s="1">
        <f>INDEX('Master '!$W$2:W$65,MATCH(D29,'Master '!$D$2:$D$65,0))</f>
        <v>103.66332451256534</v>
      </c>
      <c r="N29" s="56">
        <f>IFERROR(INDEX('Monthly VOL'!$N$2:$CG$65,MATCH($D29,'Monthly VOL'!$D$2:$D$65,0),MATCH(N$1,'Monthly VOL'!$N$1:$CG$1,0))/INDEX('Monthly CUST'!$N$2:$CG$65,MATCH($D29,'Monthly CUST'!$D$2:$D$65,0),MATCH(N$1,'Monthly CUST'!$N$1:$CG$1,0)),0)</f>
        <v>9.1639176954732502</v>
      </c>
      <c r="O29" s="56">
        <f>IFERROR(INDEX('Monthly VOL'!$N$2:$CG$65,MATCH($D29,'Monthly VOL'!$D$2:$D$65,0),MATCH(O$1,'Monthly VOL'!$N$1:$CG$1,0))/INDEX('Monthly CUST'!$N$2:$CG$65,MATCH($D29,'Monthly CUST'!$D$2:$D$65,0),MATCH(O$1,'Monthly CUST'!$N$1:$CG$1,0)),0)</f>
        <v>7.1352979591836077</v>
      </c>
      <c r="P29" s="56">
        <f>IFERROR(INDEX('Monthly VOL'!$N$2:$CG$65,MATCH($D29,'Monthly VOL'!$D$2:$D$65,0),MATCH(P$1,'Monthly VOL'!$N$1:$CG$1,0))/INDEX('Monthly CUST'!$N$2:$CG$65,MATCH($D29,'Monthly CUST'!$D$2:$D$65,0),MATCH(P$1,'Monthly CUST'!$N$1:$CG$1,0)),0)</f>
        <v>6.7859201954396582</v>
      </c>
      <c r="Q29" s="56">
        <f>IFERROR(INDEX('Monthly VOL'!$N$2:$CG$65,MATCH($D29,'Monthly VOL'!$D$2:$D$65,0),MATCH(Q$1,'Monthly VOL'!$N$1:$CG$1,0))/INDEX('Monthly CUST'!$N$2:$CG$65,MATCH($D29,'Monthly CUST'!$D$2:$D$65,0),MATCH(Q$1,'Monthly CUST'!$N$1:$CG$1,0)),0)</f>
        <v>6.5758893617020515</v>
      </c>
      <c r="R29" s="56">
        <f>IFERROR(INDEX('Monthly VOL'!$N$2:$CG$65,MATCH($D29,'Monthly VOL'!$D$2:$D$65,0),MATCH(R$1,'Monthly VOL'!$N$1:$CG$1,0))/INDEX('Monthly CUST'!$N$2:$CG$65,MATCH($D29,'Monthly CUST'!$D$2:$D$65,0),MATCH(R$1,'Monthly CUST'!$N$1:$CG$1,0)),0)</f>
        <v>5.2827710843373152</v>
      </c>
      <c r="S29" s="56">
        <f>IFERROR(INDEX('Monthly VOL'!$N$2:$CG$65,MATCH($D29,'Monthly VOL'!$D$2:$D$65,0),MATCH(S$1,'Monthly VOL'!$N$1:$CG$1,0))/INDEX('Monthly CUST'!$N$2:$CG$65,MATCH($D29,'Monthly CUST'!$D$2:$D$65,0),MATCH(S$1,'Monthly CUST'!$N$1:$CG$1,0)),0)</f>
        <v>5.6551660839160487</v>
      </c>
      <c r="T29" s="56">
        <f>IFERROR(INDEX('Monthly VOL'!$N$2:$CG$65,MATCH($D29,'Monthly VOL'!$D$2:$D$65,0),MATCH(T$1,'Monthly VOL'!$N$1:$CG$1,0))/INDEX('Monthly CUST'!$N$2:$CG$65,MATCH($D29,'Monthly CUST'!$D$2:$D$65,0),MATCH(T$1,'Monthly CUST'!$N$1:$CG$1,0)),0)</f>
        <v>4.5630983463881636</v>
      </c>
      <c r="U29" s="56">
        <f>IFERROR(INDEX('Monthly VOL'!$N$2:$CG$65,MATCH($D29,'Monthly VOL'!$D$2:$D$65,0),MATCH(U$1,'Monthly VOL'!$N$1:$CG$1,0))/INDEX('Monthly CUST'!$N$2:$CG$65,MATCH($D29,'Monthly CUST'!$D$2:$D$65,0),MATCH(U$1,'Monthly CUST'!$N$1:$CG$1,0)),0)</f>
        <v>4.7460173913043393</v>
      </c>
      <c r="V29" s="56">
        <f>IFERROR(INDEX('Monthly VOL'!$N$2:$CG$65,MATCH($D29,'Monthly VOL'!$D$2:$D$65,0),MATCH(V$1,'Monthly VOL'!$N$1:$CG$1,0))/INDEX('Monthly CUST'!$N$2:$CG$65,MATCH($D29,'Monthly CUST'!$D$2:$D$65,0),MATCH(V$1,'Monthly CUST'!$N$1:$CG$1,0)),0)</f>
        <v>4.9873362445414502</v>
      </c>
      <c r="W29" s="56">
        <f>IFERROR(INDEX('Monthly VOL'!$N$2:$CG$65,MATCH($D29,'Monthly VOL'!$D$2:$D$65,0),MATCH(W$1,'Monthly VOL'!$N$1:$CG$1,0))/INDEX('Monthly CUST'!$N$2:$CG$65,MATCH($D29,'Monthly CUST'!$D$2:$D$65,0),MATCH(W$1,'Monthly CUST'!$N$1:$CG$1,0)),0)</f>
        <v>4.4776069868995281</v>
      </c>
      <c r="X29" s="56">
        <f>IFERROR(INDEX('Monthly VOL'!$N$2:$CG$65,MATCH($D29,'Monthly VOL'!$D$2:$D$65,0),MATCH(X$1,'Monthly VOL'!$N$1:$CG$1,0))/INDEX('Monthly CUST'!$N$2:$CG$65,MATCH($D29,'Monthly CUST'!$D$2:$D$65,0),MATCH(X$1,'Monthly CUST'!$N$1:$CG$1,0)),0)</f>
        <v>6.3748471615719824</v>
      </c>
      <c r="Y29" s="56">
        <f>IFERROR(INDEX('Monthly VOL'!$N$2:$CG$65,MATCH($D29,'Monthly VOL'!$D$2:$D$65,0),MATCH(Y$1,'Monthly VOL'!$N$1:$CG$1,0))/INDEX('Monthly CUST'!$N$2:$CG$65,MATCH($D29,'Monthly CUST'!$D$2:$D$65,0),MATCH(Y$1,'Monthly CUST'!$N$1:$CG$1,0)),0)</f>
        <v>7.733721934369612</v>
      </c>
      <c r="Z29" s="56">
        <f>IFERROR(INDEX('Monthly VOL'!$N$2:$CG$65,MATCH($D29,'Monthly VOL'!$D$2:$D$65,0),MATCH(Z$1,'Monthly VOL'!$N$1:$CG$1,0))/INDEX('Monthly CUST'!$N$2:$CG$65,MATCH($D29,'Monthly CUST'!$D$2:$D$65,0),MATCH(Z$1,'Monthly CUST'!$N$1:$CG$1,0)),0)</f>
        <v>8.0750042844900847</v>
      </c>
      <c r="AA29" s="56">
        <f>IFERROR(INDEX('Monthly VOL'!$N$2:$CG$65,MATCH($D29,'Monthly VOL'!$D$2:$D$65,0),MATCH(AA$1,'Monthly VOL'!$N$1:$CG$1,0))/INDEX('Monthly CUST'!$N$2:$CG$65,MATCH($D29,'Monthly CUST'!$D$2:$D$65,0),MATCH(AA$1,'Monthly CUST'!$N$1:$CG$1,0)),0)</f>
        <v>7.6369012875535889</v>
      </c>
      <c r="AB29" s="56">
        <f>IFERROR(INDEX('Monthly VOL'!$N$2:$CG$65,MATCH($D29,'Monthly VOL'!$D$2:$D$65,0),MATCH(AB$1,'Monthly VOL'!$N$1:$CG$1,0))/INDEX('Monthly CUST'!$N$2:$CG$65,MATCH($D29,'Monthly CUST'!$D$2:$D$65,0),MATCH(AB$1,'Monthly CUST'!$N$1:$CG$1,0)),0)</f>
        <v>6.5475536480686607</v>
      </c>
      <c r="AC29" s="56">
        <f>IFERROR(INDEX('Monthly VOL'!$N$2:$CG$65,MATCH($D29,'Monthly VOL'!$D$2:$D$65,0),MATCH(AC$1,'Monthly VOL'!$N$1:$CG$1,0))/INDEX('Monthly CUST'!$N$2:$CG$65,MATCH($D29,'Monthly CUST'!$D$2:$D$65,0),MATCH(AC$1,'Monthly CUST'!$N$1:$CG$1,0)),0)</f>
        <v>6.4804299226139719</v>
      </c>
      <c r="AD29" s="56">
        <f>IFERROR(INDEX('Monthly VOL'!$N$2:$CG$65,MATCH($D29,'Monthly VOL'!$D$2:$D$65,0),MATCH(AD$1,'Monthly VOL'!$N$1:$CG$1,0))/INDEX('Monthly CUST'!$N$2:$CG$65,MATCH($D29,'Monthly CUST'!$D$2:$D$65,0),MATCH(AD$1,'Monthly CUST'!$N$1:$CG$1,0)),0)</f>
        <v>5.6546354166667019</v>
      </c>
      <c r="AE29" s="56">
        <f>IFERROR(INDEX('Monthly VOL'!$N$2:$CG$65,MATCH($D29,'Monthly VOL'!$D$2:$D$65,0),MATCH(AE$1,'Monthly VOL'!$N$1:$CG$1,0))/INDEX('Monthly CUST'!$N$2:$CG$65,MATCH($D29,'Monthly CUST'!$D$2:$D$65,0),MATCH(AE$1,'Monthly CUST'!$N$1:$CG$1,0)),0)</f>
        <v>5.1002432667245703</v>
      </c>
      <c r="AF29" s="56">
        <f>IFERROR(INDEX('Monthly VOL'!$N$2:$CG$65,MATCH($D29,'Monthly VOL'!$D$2:$D$65,0),MATCH(AF$1,'Monthly VOL'!$N$1:$CG$1,0))/INDEX('Monthly CUST'!$N$2:$CG$65,MATCH($D29,'Monthly CUST'!$D$2:$D$65,0),MATCH(AF$1,'Monthly CUST'!$N$1:$CG$1,0)),0)</f>
        <v>4.5652480417754049</v>
      </c>
      <c r="AG29" s="56">
        <f>IFERROR(INDEX('Monthly VOL'!$N$2:$CG$65,MATCH($D29,'Monthly VOL'!$D$2:$D$65,0),MATCH(AG$1,'Monthly VOL'!$N$1:$CG$1,0))/INDEX('Monthly CUST'!$N$2:$CG$65,MATCH($D29,'Monthly CUST'!$D$2:$D$65,0),MATCH(AG$1,'Monthly CUST'!$N$1:$CG$1,0)),0)</f>
        <v>4.9833478639930071</v>
      </c>
      <c r="AH29" s="56">
        <f>IFERROR(INDEX('Monthly VOL'!$N$2:$CG$65,MATCH($D29,'Monthly VOL'!$D$2:$D$65,0),MATCH(AH$1,'Monthly VOL'!$N$1:$CG$1,0))/INDEX('Monthly CUST'!$N$2:$CG$65,MATCH($D29,'Monthly CUST'!$D$2:$D$65,0),MATCH(AH$1,'Monthly CUST'!$N$1:$CG$1,0)),0)</f>
        <v>5.0665875109938172</v>
      </c>
      <c r="AI29" s="56">
        <f>IFERROR(INDEX('Monthly VOL'!$N$2:$CG$65,MATCH($D29,'Monthly VOL'!$D$2:$D$65,0),MATCH(AI$1,'Monthly VOL'!$N$1:$CG$1,0))/INDEX('Monthly CUST'!$N$2:$CG$65,MATCH($D29,'Monthly CUST'!$D$2:$D$65,0),MATCH(AI$1,'Monthly CUST'!$N$1:$CG$1,0)),0)</f>
        <v>5.1195158450704232</v>
      </c>
      <c r="AJ29" s="56">
        <f>IFERROR(INDEX('Monthly VOL'!$N$2:$CG$65,MATCH($D29,'Monthly VOL'!$D$2:$D$65,0),MATCH(AJ$1,'Monthly VOL'!$N$1:$CG$1,0))/INDEX('Monthly CUST'!$N$2:$CG$65,MATCH($D29,'Monthly CUST'!$D$2:$D$65,0),MATCH(AJ$1,'Monthly CUST'!$N$1:$CG$1,0)),0)</f>
        <v>5.861791044776119</v>
      </c>
      <c r="AK29" s="56">
        <f>IFERROR(INDEX('Monthly VOL'!$N$2:$CG$65,MATCH($D29,'Monthly VOL'!$D$2:$D$65,0),MATCH(AK$1,'Monthly VOL'!$N$1:$CG$1,0))/INDEX('Monthly CUST'!$N$2:$CG$65,MATCH($D29,'Monthly CUST'!$D$2:$D$65,0),MATCH(AK$1,'Monthly CUST'!$N$1:$CG$1,0)),0)</f>
        <v>7.779886462882053</v>
      </c>
      <c r="AL29" s="56">
        <f>IFERROR(INDEX('Monthly VOL'!$N$2:$CG$65,MATCH($D29,'Monthly VOL'!$D$2:$D$65,0),MATCH(AL$1,'Monthly VOL'!$N$1:$CG$1,0))/INDEX('Monthly CUST'!$N$2:$CG$65,MATCH($D29,'Monthly CUST'!$D$2:$D$65,0),MATCH(AL$1,'Monthly CUST'!$N$1:$CG$1,0)),0)</f>
        <v>8.1331643356642918</v>
      </c>
      <c r="AM29" s="56">
        <f>IFERROR(INDEX('Monthly VOL'!$N$2:$CG$65,MATCH($D29,'Monthly VOL'!$D$2:$D$65,0),MATCH(AM$1,'Monthly VOL'!$N$1:$CG$1,0))/INDEX('Monthly CUST'!$N$2:$CG$65,MATCH($D29,'Monthly CUST'!$D$2:$D$65,0),MATCH(AM$1,'Monthly CUST'!$N$1:$CG$1,0)),0)</f>
        <v>7.5705400696864285</v>
      </c>
      <c r="AN29" s="56">
        <f>IFERROR(INDEX('Monthly VOL'!$N$2:$CG$65,MATCH($D29,'Monthly VOL'!$D$2:$D$65,0),MATCH(AN$1,'Monthly VOL'!$N$1:$CG$1,0))/INDEX('Monthly CUST'!$N$2:$CG$65,MATCH($D29,'Monthly CUST'!$D$2:$D$65,0),MATCH(AN$1,'Monthly CUST'!$N$1:$CG$1,0)),0)</f>
        <v>7.066098615916955</v>
      </c>
      <c r="AO29" s="56">
        <f>IFERROR(INDEX('Monthly VOL'!$N$2:$CG$65,MATCH($D29,'Monthly VOL'!$D$2:$D$65,0),MATCH(AO$1,'Monthly VOL'!$N$1:$CG$1,0))/INDEX('Monthly CUST'!$N$2:$CG$65,MATCH($D29,'Monthly CUST'!$D$2:$D$65,0),MATCH(AO$1,'Monthly CUST'!$N$1:$CG$1,0)),0)</f>
        <v>6.585496515679468</v>
      </c>
      <c r="AP29" s="56">
        <f>IFERROR(INDEX('Monthly VOL'!$N$2:$CG$65,MATCH($D29,'Monthly VOL'!$D$2:$D$65,0),MATCH(AP$1,'Monthly VOL'!$N$1:$CG$1,0))/INDEX('Monthly CUST'!$N$2:$CG$65,MATCH($D29,'Monthly CUST'!$D$2:$D$65,0),MATCH(AP$1,'Monthly CUST'!$N$1:$CG$1,0)),0)</f>
        <v>6.2193151887620726</v>
      </c>
      <c r="AQ29" s="56">
        <f>IFERROR(INDEX('Monthly VOL'!$N$2:$CG$65,MATCH($D29,'Monthly VOL'!$D$2:$D$65,0),MATCH(AQ$1,'Monthly VOL'!$N$1:$CG$1,0))/INDEX('Monthly CUST'!$N$2:$CG$65,MATCH($D29,'Monthly CUST'!$D$2:$D$65,0),MATCH(AQ$1,'Monthly CUST'!$N$1:$CG$1,0)),0)</f>
        <v>5.3250352733685453</v>
      </c>
      <c r="AR29" s="56">
        <f>IFERROR(INDEX('Monthly VOL'!$N$2:$CG$65,MATCH($D29,'Monthly VOL'!$D$2:$D$65,0),MATCH(AR$1,'Monthly VOL'!$N$1:$CG$1,0))/INDEX('Monthly CUST'!$N$2:$CG$65,MATCH($D29,'Monthly CUST'!$D$2:$D$65,0),MATCH(AR$1,'Monthly CUST'!$N$1:$CG$1,0)),0)</f>
        <v>5.5485286343612161</v>
      </c>
      <c r="AS29" s="56">
        <f>IFERROR(INDEX('Monthly VOL'!$N$2:$CG$65,MATCH($D29,'Monthly VOL'!$D$2:$D$65,0),MATCH(AS$1,'Monthly VOL'!$N$1:$CG$1,0))/INDEX('Monthly CUST'!$N$2:$CG$65,MATCH($D29,'Monthly CUST'!$D$2:$D$65,0),MATCH(AS$1,'Monthly CUST'!$N$1:$CG$1,0)),0)</f>
        <v>5.0763195057369552</v>
      </c>
      <c r="AT29" s="56">
        <f>IFERROR(INDEX('Monthly VOL'!$N$2:$CG$65,MATCH($D29,'Monthly VOL'!$D$2:$D$65,0),MATCH(AT$1,'Monthly VOL'!$N$1:$CG$1,0))/INDEX('Monthly CUST'!$N$2:$CG$65,MATCH($D29,'Monthly CUST'!$D$2:$D$65,0),MATCH(AT$1,'Monthly CUST'!$N$1:$CG$1,0)),0)</f>
        <v>5.2373712255772462</v>
      </c>
      <c r="AU29" s="56">
        <f>IFERROR(INDEX('Monthly VOL'!$N$2:$CG$65,MATCH($D29,'Monthly VOL'!$D$2:$D$65,0),MATCH(AU$1,'Monthly VOL'!$N$1:$CG$1,0))/INDEX('Monthly CUST'!$N$2:$CG$65,MATCH($D29,'Monthly CUST'!$D$2:$D$65,0),MATCH(AU$1,'Monthly CUST'!$N$1:$CG$1,0)),0)</f>
        <v>5.2346194690265753</v>
      </c>
      <c r="AV29" s="56">
        <f>IFERROR(INDEX('Monthly VOL'!$N$2:$CG$65,MATCH($D29,'Monthly VOL'!$D$2:$D$65,0),MATCH(AV$1,'Monthly VOL'!$N$1:$CG$1,0))/INDEX('Monthly CUST'!$N$2:$CG$65,MATCH($D29,'Monthly CUST'!$D$2:$D$65,0),MATCH(AV$1,'Monthly CUST'!$N$1:$CG$1,0)),0)</f>
        <v>6.0255838454785255</v>
      </c>
      <c r="AW29" s="56">
        <f>IFERROR(INDEX('Monthly VOL'!$N$2:$CG$65,MATCH($D29,'Monthly VOL'!$D$2:$D$65,0),MATCH(AW$1,'Monthly VOL'!$N$1:$CG$1,0))/INDEX('Monthly CUST'!$N$2:$CG$65,MATCH($D29,'Monthly CUST'!$D$2:$D$65,0),MATCH(AW$1,'Monthly CUST'!$N$1:$CG$1,0)),0)</f>
        <v>9.015533980582525</v>
      </c>
      <c r="AX29" s="56">
        <f>IFERROR(INDEX('Monthly VOL'!$N$2:$CG$65,MATCH($D29,'Monthly VOL'!$D$2:$D$65,0),MATCH(AX$1,'Monthly VOL'!$N$1:$CG$1,0))/INDEX('Monthly CUST'!$N$2:$CG$65,MATCH($D29,'Monthly CUST'!$D$2:$D$65,0),MATCH(AX$1,'Monthly CUST'!$N$1:$CG$1,0)),0)</f>
        <v>10.036914235190098</v>
      </c>
      <c r="AY29" s="56">
        <f>IFERROR(INDEX('Monthly VOL'!$N$2:$CG$65,MATCH($D29,'Monthly VOL'!$D$2:$D$65,0),MATCH(AY$1,'Monthly VOL'!$N$1:$CG$1,0))/INDEX('Monthly CUST'!$N$2:$CG$65,MATCH($D29,'Monthly CUST'!$D$2:$D$65,0),MATCH(AY$1,'Monthly CUST'!$N$1:$CG$1,0)),0)</f>
        <v>7.8029129662522481</v>
      </c>
      <c r="AZ29" s="56">
        <f>IFERROR(INDEX('Monthly VOL'!$N$2:$CG$65,MATCH($D29,'Monthly VOL'!$D$2:$D$65,0),MATCH(AZ$1,'Monthly VOL'!$N$1:$CG$1,0))/INDEX('Monthly CUST'!$N$2:$CG$65,MATCH($D29,'Monthly CUST'!$D$2:$D$65,0),MATCH(AZ$1,'Monthly CUST'!$N$1:$CG$1,0)),0)</f>
        <v>7.4098584070796729</v>
      </c>
      <c r="BA29" s="56">
        <f>IFERROR(INDEX('Monthly VOL'!$N$2:$CG$65,MATCH($D29,'Monthly VOL'!$D$2:$D$65,0),MATCH(BA$1,'Monthly VOL'!$N$1:$CG$1,0))/INDEX('Monthly CUST'!$N$2:$CG$65,MATCH($D29,'Monthly CUST'!$D$2:$D$65,0),MATCH(BA$1,'Monthly CUST'!$N$1:$CG$1,0)),0)</f>
        <v>7.72450442477877</v>
      </c>
      <c r="BB29" s="56">
        <f>IFERROR(INDEX('Monthly VOL'!$N$2:$CG$65,MATCH($D29,'Monthly VOL'!$D$2:$D$65,0),MATCH(BB$1,'Monthly VOL'!$N$1:$CG$1,0))/INDEX('Monthly CUST'!$N$2:$CG$65,MATCH($D29,'Monthly CUST'!$D$2:$D$65,0),MATCH(BB$1,'Monthly CUST'!$N$1:$CG$1,0)),0)</f>
        <v>5.7551291184327251</v>
      </c>
      <c r="BC29" s="56">
        <f>IFERROR(INDEX('Monthly VOL'!$N$2:$CG$65,MATCH($D29,'Monthly VOL'!$D$2:$D$65,0),MATCH(BC$1,'Monthly VOL'!$N$1:$CG$1,0))/INDEX('Monthly CUST'!$N$2:$CG$65,MATCH($D29,'Monthly CUST'!$D$2:$D$65,0),MATCH(BC$1,'Monthly CUST'!$N$1:$CG$1,0)),0)</f>
        <v>5.409249329758695</v>
      </c>
      <c r="BD29" s="56">
        <f>IFERROR(INDEX('Monthly VOL'!$N$2:$CG$65,MATCH($D29,'Monthly VOL'!$D$2:$D$65,0),MATCH(BD$1,'Monthly VOL'!$N$1:$CG$1,0))/INDEX('Monthly CUST'!$N$2:$CG$65,MATCH($D29,'Monthly CUST'!$D$2:$D$65,0),MATCH(BD$1,'Monthly CUST'!$N$1:$CG$1,0)),0)</f>
        <v>5.5309310653536352</v>
      </c>
      <c r="BE29" s="56">
        <f>IFERROR(INDEX('Monthly VOL'!$N$2:$CG$65,MATCH($D29,'Monthly VOL'!$D$2:$D$65,0),MATCH(BE$1,'Monthly VOL'!$N$1:$CG$1,0))/INDEX('Monthly CUST'!$N$2:$CG$65,MATCH($D29,'Monthly CUST'!$D$2:$D$65,0),MATCH(BE$1,'Monthly CUST'!$N$1:$CG$1,0)),0)</f>
        <v>5.1430693069307196</v>
      </c>
      <c r="BF29" s="56">
        <f>IFERROR(INDEX('Monthly VOL'!$N$2:$CG$65,MATCH($D29,'Monthly VOL'!$D$2:$D$65,0),MATCH(BF$1,'Monthly VOL'!$N$1:$CG$1,0))/INDEX('Monthly CUST'!$N$2:$CG$65,MATCH($D29,'Monthly CUST'!$D$2:$D$65,0),MATCH(BF$1,'Monthly CUST'!$N$1:$CG$1,0)),0)</f>
        <v>5.7498025134649726</v>
      </c>
      <c r="BG29" s="56">
        <f>IFERROR(INDEX('Monthly VOL'!$N$2:$CG$65,MATCH($D29,'Monthly VOL'!$D$2:$D$65,0),MATCH(BG$1,'Monthly VOL'!$N$1:$CG$1,0))/INDEX('Monthly CUST'!$N$2:$CG$65,MATCH($D29,'Monthly CUST'!$D$2:$D$65,0),MATCH(BG$1,'Monthly CUST'!$N$1:$CG$1,0)),0)</f>
        <v>5.6368112014453384</v>
      </c>
      <c r="BH29" s="56">
        <f>IFERROR(INDEX('Monthly VOL'!$N$2:$CG$65,MATCH($D29,'Monthly VOL'!$D$2:$D$65,0),MATCH(BH$1,'Monthly VOL'!$N$1:$CG$1,0))/INDEX('Monthly CUST'!$N$2:$CG$65,MATCH($D29,'Monthly CUST'!$D$2:$D$65,0),MATCH(BH$1,'Monthly CUST'!$N$1:$CG$1,0)),0)</f>
        <v>6.6401539855072462</v>
      </c>
      <c r="BI29" s="56">
        <f>IFERROR(INDEX('Monthly VOL'!$N$2:$CG$65,MATCH($D29,'Monthly VOL'!$D$2:$D$65,0),MATCH(BI$1,'Monthly VOL'!$N$1:$CG$1,0))/INDEX('Monthly CUST'!$N$2:$CG$65,MATCH($D29,'Monthly CUST'!$D$2:$D$65,0),MATCH(BI$1,'Monthly CUST'!$N$1:$CG$1,0)),0)</f>
        <v>8.7389652096342108</v>
      </c>
      <c r="BJ29" s="56">
        <f>IFERROR(INDEX('Monthly VOL'!$N$2:$CG$65,MATCH($D29,'Monthly VOL'!$D$2:$D$65,0),MATCH(BJ$1,'Monthly VOL'!$N$1:$CG$1,0))/INDEX('Monthly CUST'!$N$2:$CG$65,MATCH($D29,'Monthly CUST'!$D$2:$D$65,0),MATCH(BJ$1,'Monthly CUST'!$N$1:$CG$1,0)),0)</f>
        <v>10.036914235190098</v>
      </c>
      <c r="BK29" s="56">
        <f>IFERROR(INDEX('Monthly VOL'!$N$2:$CG$65,MATCH($D29,'Monthly VOL'!$D$2:$D$65,0),MATCH(BK$1,'Monthly VOL'!$N$1:$CG$1,0))/INDEX('Monthly CUST'!$N$2:$CG$65,MATCH($D29,'Monthly CUST'!$D$2:$D$65,0),MATCH(BK$1,'Monthly CUST'!$N$1:$CG$1,0)),0)</f>
        <v>7.8029129662522481</v>
      </c>
      <c r="BL29" s="56">
        <f>IFERROR(INDEX('Monthly VOL'!$N$2:$CG$65,MATCH($D29,'Monthly VOL'!$D$2:$D$65,0),MATCH(BL$1,'Monthly VOL'!$N$1:$CG$1,0))/INDEX('Monthly CUST'!$N$2:$CG$65,MATCH($D29,'Monthly CUST'!$D$2:$D$65,0),MATCH(BL$1,'Monthly CUST'!$N$1:$CG$1,0)),0)</f>
        <v>7.409858407079672</v>
      </c>
      <c r="BM29" s="56">
        <f>IFERROR(INDEX('Monthly VOL'!$N$2:$CG$65,MATCH($D29,'Monthly VOL'!$D$2:$D$65,0),MATCH(BM$1,'Monthly VOL'!$N$1:$CG$1,0))/INDEX('Monthly CUST'!$N$2:$CG$65,MATCH($D29,'Monthly CUST'!$D$2:$D$65,0),MATCH(BM$1,'Monthly CUST'!$N$1:$CG$1,0)),0)</f>
        <v>7.7245044247787691</v>
      </c>
      <c r="BN29" s="56">
        <f>IFERROR(INDEX('Monthly VOL'!$N$2:$CG$65,MATCH($D29,'Monthly VOL'!$D$2:$D$65,0),MATCH(BN$1,'Monthly VOL'!$N$1:$CG$1,0))/INDEX('Monthly CUST'!$N$2:$CG$65,MATCH($D29,'Monthly CUST'!$D$2:$D$65,0),MATCH(BN$1,'Monthly CUST'!$N$1:$CG$1,0)),0)</f>
        <v>5.7551291184327251</v>
      </c>
      <c r="BO29" s="56">
        <f>IFERROR(INDEX('Monthly VOL'!$N$2:$CG$65,MATCH($D29,'Monthly VOL'!$D$2:$D$65,0),MATCH(BO$1,'Monthly VOL'!$N$1:$CG$1,0))/INDEX('Monthly CUST'!$N$2:$CG$65,MATCH($D29,'Monthly CUST'!$D$2:$D$65,0),MATCH(BO$1,'Monthly CUST'!$N$1:$CG$1,0)),0)</f>
        <v>5.409249329758695</v>
      </c>
      <c r="BP29" s="56">
        <f>IFERROR(INDEX('Monthly VOL'!$N$2:$CG$65,MATCH($D29,'Monthly VOL'!$D$2:$D$65,0),MATCH(BP$1,'Monthly VOL'!$N$1:$CG$1,0))/INDEX('Monthly CUST'!$N$2:$CG$65,MATCH($D29,'Monthly CUST'!$D$2:$D$65,0),MATCH(BP$1,'Monthly CUST'!$N$1:$CG$1,0)),0)</f>
        <v>5.5309310653536352</v>
      </c>
      <c r="BQ29" s="56">
        <f>IFERROR(INDEX('Monthly VOL'!$N$2:$CG$65,MATCH($D29,'Monthly VOL'!$D$2:$D$65,0),MATCH(BQ$1,'Monthly VOL'!$N$1:$CG$1,0))/INDEX('Monthly CUST'!$N$2:$CG$65,MATCH($D29,'Monthly CUST'!$D$2:$D$65,0),MATCH(BQ$1,'Monthly CUST'!$N$1:$CG$1,0)),0)</f>
        <v>5.1430693069307196</v>
      </c>
      <c r="BR29" s="56">
        <f>IFERROR(INDEX('Monthly VOL'!$N$2:$CG$65,MATCH($D29,'Monthly VOL'!$D$2:$D$65,0),MATCH(BR$1,'Monthly VOL'!$N$1:$CG$1,0))/INDEX('Monthly CUST'!$N$2:$CG$65,MATCH($D29,'Monthly CUST'!$D$2:$D$65,0),MATCH(BR$1,'Monthly CUST'!$N$1:$CG$1,0)),0)</f>
        <v>5.7498025134649726</v>
      </c>
      <c r="BS29" s="56">
        <f>IFERROR(INDEX('Monthly VOL'!$N$2:$CG$65,MATCH($D29,'Monthly VOL'!$D$2:$D$65,0),MATCH(BS$1,'Monthly VOL'!$N$1:$CG$1,0))/INDEX('Monthly CUST'!$N$2:$CG$65,MATCH($D29,'Monthly CUST'!$D$2:$D$65,0),MATCH(BS$1,'Monthly CUST'!$N$1:$CG$1,0)),0)</f>
        <v>5.6368112014453384</v>
      </c>
      <c r="BT29" s="56">
        <f>IFERROR(INDEX('Monthly VOL'!$N$2:$CG$65,MATCH($D29,'Monthly VOL'!$D$2:$D$65,0),MATCH(BT$1,'Monthly VOL'!$N$1:$CG$1,0))/INDEX('Monthly CUST'!$N$2:$CG$65,MATCH($D29,'Monthly CUST'!$D$2:$D$65,0),MATCH(BT$1,'Monthly CUST'!$N$1:$CG$1,0)),0)</f>
        <v>6.6401539855072462</v>
      </c>
      <c r="BU29" s="56">
        <f>IFERROR(INDEX('Monthly VOL'!$N$2:$CG$65,MATCH($D29,'Monthly VOL'!$D$2:$D$65,0),MATCH(BU$1,'Monthly VOL'!$N$1:$CG$1,0))/INDEX('Monthly CUST'!$N$2:$CG$65,MATCH($D29,'Monthly CUST'!$D$2:$D$65,0),MATCH(BU$1,'Monthly CUST'!$N$1:$CG$1,0)),0)</f>
        <v>8.7389652096342108</v>
      </c>
      <c r="BV29" s="56">
        <f>IFERROR(INDEX('Monthly VOL'!$N$2:$CG$65,MATCH($D29,'Monthly VOL'!$D$2:$D$65,0),MATCH(BV$1,'Monthly VOL'!$N$1:$CG$1,0))/INDEX('Monthly CUST'!$N$2:$CG$65,MATCH($D29,'Monthly CUST'!$D$2:$D$65,0),MATCH(BV$1,'Monthly CUST'!$N$1:$CG$1,0)),0)</f>
        <v>10.036914235190098</v>
      </c>
      <c r="BW29" s="56">
        <f>IFERROR(INDEX('Monthly VOL'!$N$2:$CG$65,MATCH($D29,'Monthly VOL'!$D$2:$D$65,0),MATCH(BW$1,'Monthly VOL'!$N$1:$CG$1,0))/INDEX('Monthly CUST'!$N$2:$CG$65,MATCH($D29,'Monthly CUST'!$D$2:$D$65,0),MATCH(BW$1,'Monthly CUST'!$N$1:$CG$1,0)),0)</f>
        <v>7.8029129662522472</v>
      </c>
      <c r="BX29" s="56">
        <f>IFERROR(INDEX('Monthly VOL'!$N$2:$CG$65,MATCH($D29,'Monthly VOL'!$D$2:$D$65,0),MATCH(BX$1,'Monthly VOL'!$N$1:$CG$1,0))/INDEX('Monthly CUST'!$N$2:$CG$65,MATCH($D29,'Monthly CUST'!$D$2:$D$65,0),MATCH(BX$1,'Monthly CUST'!$N$1:$CG$1,0)),0)</f>
        <v>7.409858407079672</v>
      </c>
      <c r="BY29" s="56">
        <f>IFERROR(INDEX('Monthly VOL'!$N$2:$CG$65,MATCH($D29,'Monthly VOL'!$D$2:$D$65,0),MATCH(BY$1,'Monthly VOL'!$N$1:$CG$1,0))/INDEX('Monthly CUST'!$N$2:$CG$65,MATCH($D29,'Monthly CUST'!$D$2:$D$65,0),MATCH(BY$1,'Monthly CUST'!$N$1:$CG$1,0)),0)</f>
        <v>7.7245044247787691</v>
      </c>
      <c r="BZ29" s="56">
        <f>IFERROR(INDEX('Monthly VOL'!$N$2:$CG$65,MATCH($D29,'Monthly VOL'!$D$2:$D$65,0),MATCH(BZ$1,'Monthly VOL'!$N$1:$CG$1,0))/INDEX('Monthly CUST'!$N$2:$CG$65,MATCH($D29,'Monthly CUST'!$D$2:$D$65,0),MATCH(BZ$1,'Monthly CUST'!$N$1:$CG$1,0)),0)</f>
        <v>5.7551291184327251</v>
      </c>
      <c r="CA29" s="56">
        <f>IFERROR(INDEX('Monthly VOL'!$N$2:$CG$65,MATCH($D29,'Monthly VOL'!$D$2:$D$65,0),MATCH(CA$1,'Monthly VOL'!$N$1:$CG$1,0))/INDEX('Monthly CUST'!$N$2:$CG$65,MATCH($D29,'Monthly CUST'!$D$2:$D$65,0),MATCH(CA$1,'Monthly CUST'!$N$1:$CG$1,0)),0)</f>
        <v>5.409249329758695</v>
      </c>
      <c r="CB29" s="56">
        <f>IFERROR(INDEX('Monthly VOL'!$N$2:$CG$65,MATCH($D29,'Monthly VOL'!$D$2:$D$65,0),MATCH(CB$1,'Monthly VOL'!$N$1:$CG$1,0))/INDEX('Monthly CUST'!$N$2:$CG$65,MATCH($D29,'Monthly CUST'!$D$2:$D$65,0),MATCH(CB$1,'Monthly CUST'!$N$1:$CG$1,0)),0)</f>
        <v>5.5309310653536352</v>
      </c>
      <c r="CC29" s="56">
        <f>IFERROR(INDEX('Monthly VOL'!$N$2:$CG$65,MATCH($D29,'Monthly VOL'!$D$2:$D$65,0),MATCH(CC$1,'Monthly VOL'!$N$1:$CG$1,0))/INDEX('Monthly CUST'!$N$2:$CG$65,MATCH($D29,'Monthly CUST'!$D$2:$D$65,0),MATCH(CC$1,'Monthly CUST'!$N$1:$CG$1,0)),0)</f>
        <v>5.1430693069307196</v>
      </c>
      <c r="CD29" s="56">
        <f>IFERROR(INDEX('Monthly VOL'!$N$2:$CG$65,MATCH($D29,'Monthly VOL'!$D$2:$D$65,0),MATCH(CD$1,'Monthly VOL'!$N$1:$CG$1,0))/INDEX('Monthly CUST'!$N$2:$CG$65,MATCH($D29,'Monthly CUST'!$D$2:$D$65,0),MATCH(CD$1,'Monthly CUST'!$N$1:$CG$1,0)),0)</f>
        <v>5.7498025134649726</v>
      </c>
      <c r="CE29" s="56">
        <f>IFERROR(INDEX('Monthly VOL'!$N$2:$CG$65,MATCH($D29,'Monthly VOL'!$D$2:$D$65,0),MATCH(CE$1,'Monthly VOL'!$N$1:$CG$1,0))/INDEX('Monthly CUST'!$N$2:$CG$65,MATCH($D29,'Monthly CUST'!$D$2:$D$65,0),MATCH(CE$1,'Monthly CUST'!$N$1:$CG$1,0)),0)</f>
        <v>5.6368112014453384</v>
      </c>
      <c r="CF29" s="56">
        <f>IFERROR(INDEX('Monthly VOL'!$N$2:$CG$65,MATCH($D29,'Monthly VOL'!$D$2:$D$65,0),MATCH(CF$1,'Monthly VOL'!$N$1:$CG$1,0))/INDEX('Monthly CUST'!$N$2:$CG$65,MATCH($D29,'Monthly CUST'!$D$2:$D$65,0),MATCH(CF$1,'Monthly CUST'!$N$1:$CG$1,0)),0)</f>
        <v>6.6401539855072462</v>
      </c>
      <c r="CG29" s="56">
        <f>IFERROR(INDEX('Monthly VOL'!$N$2:$CG$65,MATCH($D29,'Monthly VOL'!$D$2:$D$65,0),MATCH(CG$1,'Monthly VOL'!$N$1:$CG$1,0))/INDEX('Monthly CUST'!$N$2:$CG$65,MATCH($D29,'Monthly CUST'!$D$2:$D$65,0),MATCH(CG$1,'Monthly CUST'!$N$1:$CG$1,0)),0)</f>
        <v>8.7389652096342108</v>
      </c>
      <c r="CH29" s="264"/>
      <c r="CI29" s="264"/>
      <c r="CJ29" s="264"/>
      <c r="CM29" s="569">
        <f t="shared" si="0"/>
        <v>8.7483609517814909</v>
      </c>
      <c r="CN29" s="569">
        <f t="shared" si="1"/>
        <v>7.6701181078307554</v>
      </c>
      <c r="CO29" s="569">
        <f t="shared" si="2"/>
        <v>7.0078368903550965</v>
      </c>
      <c r="CP29" s="569">
        <f t="shared" si="3"/>
        <v>6.9301436210240697</v>
      </c>
      <c r="CQ29" s="569">
        <f t="shared" si="4"/>
        <v>5.8763599079538338</v>
      </c>
      <c r="CR29" s="569">
        <f t="shared" si="5"/>
        <v>5.2781759566172708</v>
      </c>
      <c r="CS29" s="569">
        <f t="shared" si="6"/>
        <v>5.2149025804967515</v>
      </c>
      <c r="CT29" s="569">
        <f t="shared" si="7"/>
        <v>5.0675788922202267</v>
      </c>
      <c r="CU29" s="569">
        <f t="shared" si="8"/>
        <v>5.3512537500120123</v>
      </c>
      <c r="CV29" s="569">
        <f t="shared" si="9"/>
        <v>5.3303155051807787</v>
      </c>
      <c r="CW29" s="569">
        <f t="shared" si="10"/>
        <v>6.1758429585872969</v>
      </c>
      <c r="CX29" s="569">
        <f t="shared" si="11"/>
        <v>8.5114618843662626</v>
      </c>
      <c r="CY29" s="569">
        <f t="shared" si="12"/>
        <v>8.7483609517814909</v>
      </c>
      <c r="CZ29" s="569">
        <f t="shared" si="13"/>
        <v>7.6701181078307554</v>
      </c>
      <c r="DA29" s="569">
        <f t="shared" si="14"/>
        <v>7.0078368903550965</v>
      </c>
      <c r="DB29" s="569">
        <f t="shared" si="15"/>
        <v>6.9301436210240697</v>
      </c>
      <c r="DC29" s="569">
        <f t="shared" si="16"/>
        <v>5.8763599079538338</v>
      </c>
      <c r="DD29" s="569">
        <f t="shared" si="17"/>
        <v>5.2781759566172708</v>
      </c>
      <c r="DE29" s="569">
        <f t="shared" si="18"/>
        <v>5.2149025804967515</v>
      </c>
      <c r="DF29" s="569">
        <f t="shared" si="19"/>
        <v>5.0675788922202267</v>
      </c>
      <c r="DG29" s="569">
        <f t="shared" si="20"/>
        <v>5.3512537500120123</v>
      </c>
      <c r="DH29" s="569">
        <f t="shared" si="21"/>
        <v>5.3303155051807787</v>
      </c>
      <c r="DI29" s="569">
        <f t="shared" si="22"/>
        <v>6.1758429585872969</v>
      </c>
      <c r="DJ29" s="569">
        <f t="shared" si="23"/>
        <v>8.5114618843662626</v>
      </c>
    </row>
    <row r="30" spans="1:114" s="261" customFormat="1">
      <c r="A30" s="55" t="s">
        <v>17</v>
      </c>
      <c r="B30" s="55" t="s">
        <v>993</v>
      </c>
      <c r="C30" s="55" t="s">
        <v>8</v>
      </c>
      <c r="D30" s="55" t="s">
        <v>1296</v>
      </c>
      <c r="E30" s="55" t="str">
        <f>VLOOKUP(D30,'Input 14_Ref Table'!C:D,2,FALSE)</f>
        <v>CR804</v>
      </c>
      <c r="F30" s="172" t="s">
        <v>1287</v>
      </c>
      <c r="G30" s="55" t="str">
        <f>VLOOKUP(D30,'Input 14_Ref Table'!C:I,7,FALSE)</f>
        <v>CFG - FTS-A - Fixed R</v>
      </c>
      <c r="H30" s="55" t="str">
        <f>VLOOKUP(D30,'Input 14_Ref Table'!C:K,8,FALSE)</f>
        <v>FTS_AB</v>
      </c>
      <c r="I30" s="55" t="e">
        <f>INDEX(#REF!,MATCH(D30,#REF!,0))</f>
        <v>#REF!</v>
      </c>
      <c r="J30" s="261" t="str">
        <f>INDEX('Master '!$AD$2:AD$65,MATCH(D30,'Master '!$D$2:$D$65,0))</f>
        <v>UPC Growth Rate</v>
      </c>
      <c r="K30" s="567">
        <f>INDEX('Master '!$N$2:N$65,MATCH(D30,'Master '!$D$2:$D$65,0))</f>
        <v>-7.5316460637900734E-3</v>
      </c>
      <c r="L30" s="290">
        <f>INDEX('Master '!$S$2:S$65,MATCH(D30,'Master '!$D$2:$D$65,0))</f>
        <v>0</v>
      </c>
      <c r="M30" s="1">
        <f>INDEX('Master '!$W$2:W$65,MATCH(D30,'Master '!$D$2:$D$65,0))</f>
        <v>103.66332451256534</v>
      </c>
      <c r="N30" s="56">
        <f>IFERROR(INDEX('Monthly VOL'!$N$2:$CG$65,MATCH($D30,'Monthly VOL'!$D$2:$D$65,0),MATCH(N$1,'Monthly VOL'!$N$1:$CG$1,0))/INDEX('Monthly CUST'!$N$2:$CG$65,MATCH($D30,'Monthly CUST'!$D$2:$D$65,0),MATCH(N$1,'Monthly CUST'!$N$1:$CG$1,0)),0)</f>
        <v>10.707647058823529</v>
      </c>
      <c r="O30" s="56">
        <f>IFERROR(INDEX('Monthly VOL'!$N$2:$CG$65,MATCH($D30,'Monthly VOL'!$D$2:$D$65,0),MATCH(O$1,'Monthly VOL'!$N$1:$CG$1,0))/INDEX('Monthly CUST'!$N$2:$CG$65,MATCH($D30,'Monthly CUST'!$D$2:$D$65,0),MATCH(O$1,'Monthly CUST'!$N$1:$CG$1,0)),0)</f>
        <v>7.9760000000000009</v>
      </c>
      <c r="P30" s="56">
        <f>IFERROR(INDEX('Monthly VOL'!$N$2:$CG$65,MATCH($D30,'Monthly VOL'!$D$2:$D$65,0),MATCH(P$1,'Monthly VOL'!$N$1:$CG$1,0))/INDEX('Monthly CUST'!$N$2:$CG$65,MATCH($D30,'Monthly CUST'!$D$2:$D$65,0),MATCH(P$1,'Monthly CUST'!$N$1:$CG$1,0)),0)</f>
        <v>7.2542857142857144</v>
      </c>
      <c r="Q30" s="56">
        <f>IFERROR(INDEX('Monthly VOL'!$N$2:$CG$65,MATCH($D30,'Monthly VOL'!$D$2:$D$65,0),MATCH(Q$1,'Monthly VOL'!$N$1:$CG$1,0))/INDEX('Monthly CUST'!$N$2:$CG$65,MATCH($D30,'Monthly CUST'!$D$2:$D$65,0),MATCH(Q$1,'Monthly CUST'!$N$1:$CG$1,0)),0)</f>
        <v>7.1278787878787879</v>
      </c>
      <c r="R30" s="56">
        <f>IFERROR(INDEX('Monthly VOL'!$N$2:$CG$65,MATCH($D30,'Monthly VOL'!$D$2:$D$65,0),MATCH(R$1,'Monthly VOL'!$N$1:$CG$1,0))/INDEX('Monthly CUST'!$N$2:$CG$65,MATCH($D30,'Monthly CUST'!$D$2:$D$65,0),MATCH(R$1,'Monthly CUST'!$N$1:$CG$1,0)),0)</f>
        <v>5.6586206896551721</v>
      </c>
      <c r="S30" s="56">
        <f>IFERROR(INDEX('Monthly VOL'!$N$2:$CG$65,MATCH($D30,'Monthly VOL'!$D$2:$D$65,0),MATCH(S$1,'Monthly VOL'!$N$1:$CG$1,0))/INDEX('Monthly CUST'!$N$2:$CG$65,MATCH($D30,'Monthly CUST'!$D$2:$D$65,0),MATCH(S$1,'Monthly CUST'!$N$1:$CG$1,0)),0)</f>
        <v>9.8551724137931043</v>
      </c>
      <c r="T30" s="56">
        <f>IFERROR(INDEX('Monthly VOL'!$N$2:$CG$65,MATCH($D30,'Monthly VOL'!$D$2:$D$65,0),MATCH(T$1,'Monthly VOL'!$N$1:$CG$1,0))/INDEX('Monthly CUST'!$N$2:$CG$65,MATCH($D30,'Monthly CUST'!$D$2:$D$65,0),MATCH(T$1,'Monthly CUST'!$N$1:$CG$1,0)),0)</f>
        <v>0.8666666666666667</v>
      </c>
      <c r="U30" s="56">
        <f>IFERROR(INDEX('Monthly VOL'!$N$2:$CG$65,MATCH($D30,'Monthly VOL'!$D$2:$D$65,0),MATCH(U$1,'Monthly VOL'!$N$1:$CG$1,0))/INDEX('Monthly CUST'!$N$2:$CG$65,MATCH($D30,'Monthly CUST'!$D$2:$D$65,0),MATCH(U$1,'Monthly CUST'!$N$1:$CG$1,0)),0)</f>
        <v>5.1924137931034489</v>
      </c>
      <c r="V30" s="56">
        <f>IFERROR(INDEX('Monthly VOL'!$N$2:$CG$65,MATCH($D30,'Monthly VOL'!$D$2:$D$65,0),MATCH(V$1,'Monthly VOL'!$N$1:$CG$1,0))/INDEX('Monthly CUST'!$N$2:$CG$65,MATCH($D30,'Monthly CUST'!$D$2:$D$65,0),MATCH(V$1,'Monthly CUST'!$N$1:$CG$1,0)),0)</f>
        <v>5.078214285714286</v>
      </c>
      <c r="W30" s="56">
        <f>IFERROR(INDEX('Monthly VOL'!$N$2:$CG$65,MATCH($D30,'Monthly VOL'!$D$2:$D$65,0),MATCH(W$1,'Monthly VOL'!$N$1:$CG$1,0))/INDEX('Monthly CUST'!$N$2:$CG$65,MATCH($D30,'Monthly CUST'!$D$2:$D$65,0),MATCH(W$1,'Monthly CUST'!$N$1:$CG$1,0)),0)</f>
        <v>4.8319354838709678</v>
      </c>
      <c r="X30" s="56">
        <f>IFERROR(INDEX('Monthly VOL'!$N$2:$CG$65,MATCH($D30,'Monthly VOL'!$D$2:$D$65,0),MATCH(X$1,'Monthly VOL'!$N$1:$CG$1,0))/INDEX('Monthly CUST'!$N$2:$CG$65,MATCH($D30,'Monthly CUST'!$D$2:$D$65,0),MATCH(X$1,'Monthly CUST'!$N$1:$CG$1,0)),0)</f>
        <v>6.8631250000000001</v>
      </c>
      <c r="Y30" s="56">
        <f>IFERROR(INDEX('Monthly VOL'!$N$2:$CG$65,MATCH($D30,'Monthly VOL'!$D$2:$D$65,0),MATCH(Y$1,'Monthly VOL'!$N$1:$CG$1,0))/INDEX('Monthly CUST'!$N$2:$CG$65,MATCH($D30,'Monthly CUST'!$D$2:$D$65,0),MATCH(Y$1,'Monthly CUST'!$N$1:$CG$1,0)),0)</f>
        <v>8.6578787878787864</v>
      </c>
      <c r="Z30" s="56">
        <f>IFERROR(INDEX('Monthly VOL'!$N$2:$CG$65,MATCH($D30,'Monthly VOL'!$D$2:$D$65,0),MATCH(Z$1,'Monthly VOL'!$N$1:$CG$1,0))/INDEX('Monthly CUST'!$N$2:$CG$65,MATCH($D30,'Monthly CUST'!$D$2:$D$65,0),MATCH(Z$1,'Monthly CUST'!$N$1:$CG$1,0)),0)</f>
        <v>8.9326470588235285</v>
      </c>
      <c r="AA30" s="56">
        <f>IFERROR(INDEX('Monthly VOL'!$N$2:$CG$65,MATCH($D30,'Monthly VOL'!$D$2:$D$65,0),MATCH(AA$1,'Monthly VOL'!$N$1:$CG$1,0))/INDEX('Monthly CUST'!$N$2:$CG$65,MATCH($D30,'Monthly CUST'!$D$2:$D$65,0),MATCH(AA$1,'Monthly CUST'!$N$1:$CG$1,0)),0)</f>
        <v>9.4629411764705882</v>
      </c>
      <c r="AB30" s="56">
        <f>IFERROR(INDEX('Monthly VOL'!$N$2:$CG$65,MATCH($D30,'Monthly VOL'!$D$2:$D$65,0),MATCH(AB$1,'Monthly VOL'!$N$1:$CG$1,0))/INDEX('Monthly CUST'!$N$2:$CG$65,MATCH($D30,'Monthly CUST'!$D$2:$D$65,0),MATCH(AB$1,'Monthly CUST'!$N$1:$CG$1,0)),0)</f>
        <v>8.5094285714285718</v>
      </c>
      <c r="AC30" s="56">
        <f>IFERROR(INDEX('Monthly VOL'!$N$2:$CG$65,MATCH($D30,'Monthly VOL'!$D$2:$D$65,0),MATCH(AC$1,'Monthly VOL'!$N$1:$CG$1,0))/INDEX('Monthly CUST'!$N$2:$CG$65,MATCH($D30,'Monthly CUST'!$D$2:$D$65,0),MATCH(AC$1,'Monthly CUST'!$N$1:$CG$1,0)),0)</f>
        <v>7.2041176470588235</v>
      </c>
      <c r="AD30" s="56">
        <f>IFERROR(INDEX('Monthly VOL'!$N$2:$CG$65,MATCH($D30,'Monthly VOL'!$D$2:$D$65,0),MATCH(AD$1,'Monthly VOL'!$N$1:$CG$1,0))/INDEX('Monthly CUST'!$N$2:$CG$65,MATCH($D30,'Monthly CUST'!$D$2:$D$65,0),MATCH(AD$1,'Monthly CUST'!$N$1:$CG$1,0)),0)</f>
        <v>6.2935483870967737</v>
      </c>
      <c r="AE30" s="56">
        <f>IFERROR(INDEX('Monthly VOL'!$N$2:$CG$65,MATCH($D30,'Monthly VOL'!$D$2:$D$65,0),MATCH(AE$1,'Monthly VOL'!$N$1:$CG$1,0))/INDEX('Monthly CUST'!$N$2:$CG$65,MATCH($D30,'Monthly CUST'!$D$2:$D$65,0),MATCH(AE$1,'Monthly CUST'!$N$1:$CG$1,0)),0)</f>
        <v>5.7823333333333329</v>
      </c>
      <c r="AF30" s="56">
        <f>IFERROR(INDEX('Monthly VOL'!$N$2:$CG$65,MATCH($D30,'Monthly VOL'!$D$2:$D$65,0),MATCH(AF$1,'Monthly VOL'!$N$1:$CG$1,0))/INDEX('Monthly CUST'!$N$2:$CG$65,MATCH($D30,'Monthly CUST'!$D$2:$D$65,0),MATCH(AF$1,'Monthly CUST'!$N$1:$CG$1,0)),0)</f>
        <v>4.8424137931034483</v>
      </c>
      <c r="AG30" s="56">
        <f>IFERROR(INDEX('Monthly VOL'!$N$2:$CG$65,MATCH($D30,'Monthly VOL'!$D$2:$D$65,0),MATCH(AG$1,'Monthly VOL'!$N$1:$CG$1,0))/INDEX('Monthly CUST'!$N$2:$CG$65,MATCH($D30,'Monthly CUST'!$D$2:$D$65,0),MATCH(AG$1,'Monthly CUST'!$N$1:$CG$1,0)),0)</f>
        <v>4.5116666666666667</v>
      </c>
      <c r="AH30" s="56">
        <f>IFERROR(INDEX('Monthly VOL'!$N$2:$CG$65,MATCH($D30,'Monthly VOL'!$D$2:$D$65,0),MATCH(AH$1,'Monthly VOL'!$N$1:$CG$1,0))/INDEX('Monthly CUST'!$N$2:$CG$65,MATCH($D30,'Monthly CUST'!$D$2:$D$65,0),MATCH(AH$1,'Monthly CUST'!$N$1:$CG$1,0)),0)</f>
        <v>5.1314285714285717</v>
      </c>
      <c r="AI30" s="56">
        <f>IFERROR(INDEX('Monthly VOL'!$N$2:$CG$65,MATCH($D30,'Monthly VOL'!$D$2:$D$65,0),MATCH(AI$1,'Monthly VOL'!$N$1:$CG$1,0))/INDEX('Monthly CUST'!$N$2:$CG$65,MATCH($D30,'Monthly CUST'!$D$2:$D$65,0),MATCH(AI$1,'Monthly CUST'!$N$1:$CG$1,0)),0)</f>
        <v>5.2367741935483876</v>
      </c>
      <c r="AJ30" s="56">
        <f>IFERROR(INDEX('Monthly VOL'!$N$2:$CG$65,MATCH($D30,'Monthly VOL'!$D$2:$D$65,0),MATCH(AJ$1,'Monthly VOL'!$N$1:$CG$1,0))/INDEX('Monthly CUST'!$N$2:$CG$65,MATCH($D30,'Monthly CUST'!$D$2:$D$65,0),MATCH(AJ$1,'Monthly CUST'!$N$1:$CG$1,0)),0)</f>
        <v>6.4924999999999997</v>
      </c>
      <c r="AK30" s="56">
        <f>IFERROR(INDEX('Monthly VOL'!$N$2:$CG$65,MATCH($D30,'Monthly VOL'!$D$2:$D$65,0),MATCH(AK$1,'Monthly VOL'!$N$1:$CG$1,0))/INDEX('Monthly CUST'!$N$2:$CG$65,MATCH($D30,'Monthly CUST'!$D$2:$D$65,0),MATCH(AK$1,'Monthly CUST'!$N$1:$CG$1,0)),0)</f>
        <v>9.8169696969696965</v>
      </c>
      <c r="AL30" s="56">
        <f>IFERROR(INDEX('Monthly VOL'!$N$2:$CG$65,MATCH($D30,'Monthly VOL'!$D$2:$D$65,0),MATCH(AL$1,'Monthly VOL'!$N$1:$CG$1,0))/INDEX('Monthly CUST'!$N$2:$CG$65,MATCH($D30,'Monthly CUST'!$D$2:$D$65,0),MATCH(AL$1,'Monthly CUST'!$N$1:$CG$1,0)),0)</f>
        <v>12.095757575757576</v>
      </c>
      <c r="AM30" s="56">
        <f>IFERROR(INDEX('Monthly VOL'!$N$2:$CG$65,MATCH($D30,'Monthly VOL'!$D$2:$D$65,0),MATCH(AM$1,'Monthly VOL'!$N$1:$CG$1,0))/INDEX('Monthly CUST'!$N$2:$CG$65,MATCH($D30,'Monthly CUST'!$D$2:$D$65,0),MATCH(AM$1,'Monthly CUST'!$N$1:$CG$1,0)),0)</f>
        <v>8.7517142857142858</v>
      </c>
      <c r="AN30" s="56">
        <f>IFERROR(INDEX('Monthly VOL'!$N$2:$CG$65,MATCH($D30,'Monthly VOL'!$D$2:$D$65,0),MATCH(AN$1,'Monthly VOL'!$N$1:$CG$1,0))/INDEX('Monthly CUST'!$N$2:$CG$65,MATCH($D30,'Monthly CUST'!$D$2:$D$65,0),MATCH(AN$1,'Monthly CUST'!$N$1:$CG$1,0)),0)</f>
        <v>33.19314285714286</v>
      </c>
      <c r="AO30" s="56">
        <f>IFERROR(INDEX('Monthly VOL'!$N$2:$CG$65,MATCH($D30,'Monthly VOL'!$D$2:$D$65,0),MATCH(AO$1,'Monthly VOL'!$N$1:$CG$1,0))/INDEX('Monthly CUST'!$N$2:$CG$65,MATCH($D30,'Monthly CUST'!$D$2:$D$65,0),MATCH(AO$1,'Monthly CUST'!$N$1:$CG$1,0)),0)</f>
        <v>-17.783030303030305</v>
      </c>
      <c r="AP30" s="56">
        <f>IFERROR(INDEX('Monthly VOL'!$N$2:$CG$65,MATCH($D30,'Monthly VOL'!$D$2:$D$65,0),MATCH(AP$1,'Monthly VOL'!$N$1:$CG$1,0))/INDEX('Monthly CUST'!$N$2:$CG$65,MATCH($D30,'Monthly CUST'!$D$2:$D$65,0),MATCH(AP$1,'Monthly CUST'!$N$1:$CG$1,0)),0)</f>
        <v>9.241935483870968</v>
      </c>
      <c r="AQ30" s="56">
        <f>IFERROR(INDEX('Monthly VOL'!$N$2:$CG$65,MATCH($D30,'Monthly VOL'!$D$2:$D$65,0),MATCH(AQ$1,'Monthly VOL'!$N$1:$CG$1,0))/INDEX('Monthly CUST'!$N$2:$CG$65,MATCH($D30,'Monthly CUST'!$D$2:$D$65,0),MATCH(AQ$1,'Monthly CUST'!$N$1:$CG$1,0)),0)</f>
        <v>5.4164516129032254</v>
      </c>
      <c r="AR30" s="56">
        <f>IFERROR(INDEX('Monthly VOL'!$N$2:$CG$65,MATCH($D30,'Monthly VOL'!$D$2:$D$65,0),MATCH(AR$1,'Monthly VOL'!$N$1:$CG$1,0))/INDEX('Monthly CUST'!$N$2:$CG$65,MATCH($D30,'Monthly CUST'!$D$2:$D$65,0),MATCH(AR$1,'Monthly CUST'!$N$1:$CG$1,0)),0)</f>
        <v>5.2883870967741933</v>
      </c>
      <c r="AS30" s="56">
        <f>IFERROR(INDEX('Monthly VOL'!$N$2:$CG$65,MATCH($D30,'Monthly VOL'!$D$2:$D$65,0),MATCH(AS$1,'Monthly VOL'!$N$1:$CG$1,0))/INDEX('Monthly CUST'!$N$2:$CG$65,MATCH($D30,'Monthly CUST'!$D$2:$D$65,0),MATCH(AS$1,'Monthly CUST'!$N$1:$CG$1,0)),0)</f>
        <v>4.5258620689655169</v>
      </c>
      <c r="AT30" s="56">
        <f>IFERROR(INDEX('Monthly VOL'!$N$2:$CG$65,MATCH($D30,'Monthly VOL'!$D$2:$D$65,0),MATCH(AT$1,'Monthly VOL'!$N$1:$CG$1,0))/INDEX('Monthly CUST'!$N$2:$CG$65,MATCH($D30,'Monthly CUST'!$D$2:$D$65,0),MATCH(AT$1,'Monthly CUST'!$N$1:$CG$1,0)),0)</f>
        <v>4.7162068965517241</v>
      </c>
      <c r="AU30" s="56">
        <f>IFERROR(INDEX('Monthly VOL'!$N$2:$CG$65,MATCH($D30,'Monthly VOL'!$D$2:$D$65,0),MATCH(AU$1,'Monthly VOL'!$N$1:$CG$1,0))/INDEX('Monthly CUST'!$N$2:$CG$65,MATCH($D30,'Monthly CUST'!$D$2:$D$65,0),MATCH(AU$1,'Monthly CUST'!$N$1:$CG$1,0)),0)</f>
        <v>5.5639999999999992</v>
      </c>
      <c r="AV30" s="56">
        <f>IFERROR(INDEX('Monthly VOL'!$N$2:$CG$65,MATCH($D30,'Monthly VOL'!$D$2:$D$65,0),MATCH(AV$1,'Monthly VOL'!$N$1:$CG$1,0))/INDEX('Monthly CUST'!$N$2:$CG$65,MATCH($D30,'Monthly CUST'!$D$2:$D$65,0),MATCH(AV$1,'Monthly CUST'!$N$1:$CG$1,0)),0)</f>
        <v>8.2153124999999996</v>
      </c>
      <c r="AW30" s="56">
        <f>IFERROR(INDEX('Monthly VOL'!$N$2:$CG$65,MATCH($D30,'Monthly VOL'!$D$2:$D$65,0),MATCH(AW$1,'Monthly VOL'!$N$1:$CG$1,0))/INDEX('Monthly CUST'!$N$2:$CG$65,MATCH($D30,'Monthly CUST'!$D$2:$D$65,0),MATCH(AW$1,'Monthly CUST'!$N$1:$CG$1,0)),0)</f>
        <v>10.19375</v>
      </c>
      <c r="AX30" s="56">
        <f>IFERROR(INDEX('Monthly VOL'!$N$2:$CG$65,MATCH($D30,'Monthly VOL'!$D$2:$D$65,0),MATCH(AX$1,'Monthly VOL'!$N$1:$CG$1,0))/INDEX('Monthly CUST'!$N$2:$CG$65,MATCH($D30,'Monthly CUST'!$D$2:$D$65,0),MATCH(AX$1,'Monthly CUST'!$N$1:$CG$1,0)),0)</f>
        <v>12.935483870967742</v>
      </c>
      <c r="AY30" s="56">
        <f>IFERROR(INDEX('Monthly VOL'!$N$2:$CG$65,MATCH($D30,'Monthly VOL'!$D$2:$D$65,0),MATCH(AY$1,'Monthly VOL'!$N$1:$CG$1,0))/INDEX('Monthly CUST'!$N$2:$CG$65,MATCH($D30,'Monthly CUST'!$D$2:$D$65,0),MATCH(AY$1,'Monthly CUST'!$N$1:$CG$1,0)),0)</f>
        <v>9.5625806451612902</v>
      </c>
      <c r="AZ30" s="56">
        <f>IFERROR(INDEX('Monthly VOL'!$N$2:$CG$65,MATCH($D30,'Monthly VOL'!$D$2:$D$65,0),MATCH(AZ$1,'Monthly VOL'!$N$1:$CG$1,0))/INDEX('Monthly CUST'!$N$2:$CG$65,MATCH($D30,'Monthly CUST'!$D$2:$D$65,0),MATCH(AZ$1,'Monthly CUST'!$N$1:$CG$1,0)),0)</f>
        <v>8.9761290322580649</v>
      </c>
      <c r="BA30" s="56">
        <f>IFERROR(INDEX('Monthly VOL'!$N$2:$CG$65,MATCH($D30,'Monthly VOL'!$D$2:$D$65,0),MATCH(BA$1,'Monthly VOL'!$N$1:$CG$1,0))/INDEX('Monthly CUST'!$N$2:$CG$65,MATCH($D30,'Monthly CUST'!$D$2:$D$65,0),MATCH(BA$1,'Monthly CUST'!$N$1:$CG$1,0)),0)</f>
        <v>8.4012499999999992</v>
      </c>
      <c r="BB30" s="56">
        <f>IFERROR(INDEX('Monthly VOL'!$N$2:$CG$65,MATCH($D30,'Monthly VOL'!$D$2:$D$65,0),MATCH(BB$1,'Monthly VOL'!$N$1:$CG$1,0))/INDEX('Monthly CUST'!$N$2:$CG$65,MATCH($D30,'Monthly CUST'!$D$2:$D$65,0),MATCH(BB$1,'Monthly CUST'!$N$1:$CG$1,0)),0)</f>
        <v>5.1368749999999999</v>
      </c>
      <c r="BC30" s="56">
        <f>IFERROR(INDEX('Monthly VOL'!$N$2:$CG$65,MATCH($D30,'Monthly VOL'!$D$2:$D$65,0),MATCH(BC$1,'Monthly VOL'!$N$1:$CG$1,0))/INDEX('Monthly CUST'!$N$2:$CG$65,MATCH($D30,'Monthly CUST'!$D$2:$D$65,0),MATCH(BC$1,'Monthly CUST'!$N$1:$CG$1,0)),0)</f>
        <v>4.8280645161290314</v>
      </c>
      <c r="BD30" s="56">
        <f>IFERROR(INDEX('Monthly VOL'!$N$2:$CG$65,MATCH($D30,'Monthly VOL'!$D$2:$D$65,0),MATCH(BD$1,'Monthly VOL'!$N$1:$CG$1,0))/INDEX('Monthly CUST'!$N$2:$CG$65,MATCH($D30,'Monthly CUST'!$D$2:$D$65,0),MATCH(BD$1,'Monthly CUST'!$N$1:$CG$1,0)),0)</f>
        <v>4.411290322580645</v>
      </c>
      <c r="BE30" s="56">
        <f>IFERROR(INDEX('Monthly VOL'!$N$2:$CG$65,MATCH($D30,'Monthly VOL'!$D$2:$D$65,0),MATCH(BE$1,'Monthly VOL'!$N$1:$CG$1,0))/INDEX('Monthly CUST'!$N$2:$CG$65,MATCH($D30,'Monthly CUST'!$D$2:$D$65,0),MATCH(BE$1,'Monthly CUST'!$N$1:$CG$1,0)),0)</f>
        <v>4.463103448275862</v>
      </c>
      <c r="BF30" s="56">
        <f>IFERROR(INDEX('Monthly VOL'!$N$2:$CG$65,MATCH($D30,'Monthly VOL'!$D$2:$D$65,0),MATCH(BF$1,'Monthly VOL'!$N$1:$CG$1,0))/INDEX('Monthly CUST'!$N$2:$CG$65,MATCH($D30,'Monthly CUST'!$D$2:$D$65,0),MATCH(BF$1,'Monthly CUST'!$N$1:$CG$1,0)),0)</f>
        <v>4.9342857142857142</v>
      </c>
      <c r="BG30" s="56">
        <f>IFERROR(INDEX('Monthly VOL'!$N$2:$CG$65,MATCH($D30,'Monthly VOL'!$D$2:$D$65,0),MATCH(BG$1,'Monthly VOL'!$N$1:$CG$1,0))/INDEX('Monthly CUST'!$N$2:$CG$65,MATCH($D30,'Monthly CUST'!$D$2:$D$65,0),MATCH(BG$1,'Monthly CUST'!$N$1:$CG$1,0)),0)</f>
        <v>5.1375000000000002</v>
      </c>
      <c r="BH30" s="56">
        <f>IFERROR(INDEX('Monthly VOL'!$N$2:$CG$65,MATCH($D30,'Monthly VOL'!$D$2:$D$65,0),MATCH(BH$1,'Monthly VOL'!$N$1:$CG$1,0))/INDEX('Monthly CUST'!$N$2:$CG$65,MATCH($D30,'Monthly CUST'!$D$2:$D$65,0),MATCH(BH$1,'Monthly CUST'!$N$1:$CG$1,0)),0)</f>
        <v>6.5873333333333335</v>
      </c>
      <c r="BI30" s="56">
        <f>IFERROR(INDEX('Monthly VOL'!$N$2:$CG$65,MATCH($D30,'Monthly VOL'!$D$2:$D$65,0),MATCH(BI$1,'Monthly VOL'!$N$1:$CG$1,0))/INDEX('Monthly CUST'!$N$2:$CG$65,MATCH($D30,'Monthly CUST'!$D$2:$D$65,0),MATCH(BI$1,'Monthly CUST'!$N$1:$CG$1,0)),0)</f>
        <v>9.4737500000000008</v>
      </c>
      <c r="BJ30" s="56">
        <f>IFERROR(INDEX('Monthly VOL'!$N$2:$CG$65,MATCH($D30,'Monthly VOL'!$D$2:$D$65,0),MATCH(BJ$1,'Monthly VOL'!$N$1:$CG$1,0))/INDEX('Monthly CUST'!$N$2:$CG$65,MATCH($D30,'Monthly CUST'!$D$2:$D$65,0),MATCH(BJ$1,'Monthly CUST'!$N$1:$CG$1,0)),0)</f>
        <v>12.93548387096774</v>
      </c>
      <c r="BK30" s="56">
        <f>IFERROR(INDEX('Monthly VOL'!$N$2:$CG$65,MATCH($D30,'Monthly VOL'!$D$2:$D$65,0),MATCH(BK$1,'Monthly VOL'!$N$1:$CG$1,0))/INDEX('Monthly CUST'!$N$2:$CG$65,MATCH($D30,'Monthly CUST'!$D$2:$D$65,0),MATCH(BK$1,'Monthly CUST'!$N$1:$CG$1,0)),0)</f>
        <v>9.5625806451612902</v>
      </c>
      <c r="BL30" s="56">
        <f>IFERROR(INDEX('Monthly VOL'!$N$2:$CG$65,MATCH($D30,'Monthly VOL'!$D$2:$D$65,0),MATCH(BL$1,'Monthly VOL'!$N$1:$CG$1,0))/INDEX('Monthly CUST'!$N$2:$CG$65,MATCH($D30,'Monthly CUST'!$D$2:$D$65,0),MATCH(BL$1,'Monthly CUST'!$N$1:$CG$1,0)),0)</f>
        <v>8.9761290322580649</v>
      </c>
      <c r="BM30" s="56">
        <f>IFERROR(INDEX('Monthly VOL'!$N$2:$CG$65,MATCH($D30,'Monthly VOL'!$D$2:$D$65,0),MATCH(BM$1,'Monthly VOL'!$N$1:$CG$1,0))/INDEX('Monthly CUST'!$N$2:$CG$65,MATCH($D30,'Monthly CUST'!$D$2:$D$65,0),MATCH(BM$1,'Monthly CUST'!$N$1:$CG$1,0)),0)</f>
        <v>8.4012499999999992</v>
      </c>
      <c r="BN30" s="56">
        <f>IFERROR(INDEX('Monthly VOL'!$N$2:$CG$65,MATCH($D30,'Monthly VOL'!$D$2:$D$65,0),MATCH(BN$1,'Monthly VOL'!$N$1:$CG$1,0))/INDEX('Monthly CUST'!$N$2:$CG$65,MATCH($D30,'Monthly CUST'!$D$2:$D$65,0),MATCH(BN$1,'Monthly CUST'!$N$1:$CG$1,0)),0)</f>
        <v>5.1368749999999999</v>
      </c>
      <c r="BO30" s="56">
        <f>IFERROR(INDEX('Monthly VOL'!$N$2:$CG$65,MATCH($D30,'Monthly VOL'!$D$2:$D$65,0),MATCH(BO$1,'Monthly VOL'!$N$1:$CG$1,0))/INDEX('Monthly CUST'!$N$2:$CG$65,MATCH($D30,'Monthly CUST'!$D$2:$D$65,0),MATCH(BO$1,'Monthly CUST'!$N$1:$CG$1,0)),0)</f>
        <v>4.8280645161290314</v>
      </c>
      <c r="BP30" s="56">
        <f>IFERROR(INDEX('Monthly VOL'!$N$2:$CG$65,MATCH($D30,'Monthly VOL'!$D$2:$D$65,0),MATCH(BP$1,'Monthly VOL'!$N$1:$CG$1,0))/INDEX('Monthly CUST'!$N$2:$CG$65,MATCH($D30,'Monthly CUST'!$D$2:$D$65,0),MATCH(BP$1,'Monthly CUST'!$N$1:$CG$1,0)),0)</f>
        <v>4.411290322580645</v>
      </c>
      <c r="BQ30" s="56">
        <f>IFERROR(INDEX('Monthly VOL'!$N$2:$CG$65,MATCH($D30,'Monthly VOL'!$D$2:$D$65,0),MATCH(BQ$1,'Monthly VOL'!$N$1:$CG$1,0))/INDEX('Monthly CUST'!$N$2:$CG$65,MATCH($D30,'Monthly CUST'!$D$2:$D$65,0),MATCH(BQ$1,'Monthly CUST'!$N$1:$CG$1,0)),0)</f>
        <v>4.463103448275862</v>
      </c>
      <c r="BR30" s="56">
        <f>IFERROR(INDEX('Monthly VOL'!$N$2:$CG$65,MATCH($D30,'Monthly VOL'!$D$2:$D$65,0),MATCH(BR$1,'Monthly VOL'!$N$1:$CG$1,0))/INDEX('Monthly CUST'!$N$2:$CG$65,MATCH($D30,'Monthly CUST'!$D$2:$D$65,0),MATCH(BR$1,'Monthly CUST'!$N$1:$CG$1,0)),0)</f>
        <v>4.9342857142857142</v>
      </c>
      <c r="BS30" s="56">
        <f>IFERROR(INDEX('Monthly VOL'!$N$2:$CG$65,MATCH($D30,'Monthly VOL'!$D$2:$D$65,0),MATCH(BS$1,'Monthly VOL'!$N$1:$CG$1,0))/INDEX('Monthly CUST'!$N$2:$CG$65,MATCH($D30,'Monthly CUST'!$D$2:$D$65,0),MATCH(BS$1,'Monthly CUST'!$N$1:$CG$1,0)),0)</f>
        <v>5.1375000000000002</v>
      </c>
      <c r="BT30" s="56">
        <f>IFERROR(INDEX('Monthly VOL'!$N$2:$CG$65,MATCH($D30,'Monthly VOL'!$D$2:$D$65,0),MATCH(BT$1,'Monthly VOL'!$N$1:$CG$1,0))/INDEX('Monthly CUST'!$N$2:$CG$65,MATCH($D30,'Monthly CUST'!$D$2:$D$65,0),MATCH(BT$1,'Monthly CUST'!$N$1:$CG$1,0)),0)</f>
        <v>6.5873333333333335</v>
      </c>
      <c r="BU30" s="56">
        <f>IFERROR(INDEX('Monthly VOL'!$N$2:$CG$65,MATCH($D30,'Monthly VOL'!$D$2:$D$65,0),MATCH(BU$1,'Monthly VOL'!$N$1:$CG$1,0))/INDEX('Monthly CUST'!$N$2:$CG$65,MATCH($D30,'Monthly CUST'!$D$2:$D$65,0),MATCH(BU$1,'Monthly CUST'!$N$1:$CG$1,0)),0)</f>
        <v>9.4737500000000008</v>
      </c>
      <c r="BV30" s="56">
        <f>IFERROR(INDEX('Monthly VOL'!$N$2:$CG$65,MATCH($D30,'Monthly VOL'!$D$2:$D$65,0),MATCH(BV$1,'Monthly VOL'!$N$1:$CG$1,0))/INDEX('Monthly CUST'!$N$2:$CG$65,MATCH($D30,'Monthly CUST'!$D$2:$D$65,0),MATCH(BV$1,'Monthly CUST'!$N$1:$CG$1,0)),0)</f>
        <v>12.935483870967738</v>
      </c>
      <c r="BW30" s="56">
        <f>IFERROR(INDEX('Monthly VOL'!$N$2:$CG$65,MATCH($D30,'Monthly VOL'!$D$2:$D$65,0),MATCH(BW$1,'Monthly VOL'!$N$1:$CG$1,0))/INDEX('Monthly CUST'!$N$2:$CG$65,MATCH($D30,'Monthly CUST'!$D$2:$D$65,0),MATCH(BW$1,'Monthly CUST'!$N$1:$CG$1,0)),0)</f>
        <v>9.5625806451612902</v>
      </c>
      <c r="BX30" s="56">
        <f>IFERROR(INDEX('Monthly VOL'!$N$2:$CG$65,MATCH($D30,'Monthly VOL'!$D$2:$D$65,0),MATCH(BX$1,'Monthly VOL'!$N$1:$CG$1,0))/INDEX('Monthly CUST'!$N$2:$CG$65,MATCH($D30,'Monthly CUST'!$D$2:$D$65,0),MATCH(BX$1,'Monthly CUST'!$N$1:$CG$1,0)),0)</f>
        <v>8.9761290322580649</v>
      </c>
      <c r="BY30" s="56">
        <f>IFERROR(INDEX('Monthly VOL'!$N$2:$CG$65,MATCH($D30,'Monthly VOL'!$D$2:$D$65,0),MATCH(BY$1,'Monthly VOL'!$N$1:$CG$1,0))/INDEX('Monthly CUST'!$N$2:$CG$65,MATCH($D30,'Monthly CUST'!$D$2:$D$65,0),MATCH(BY$1,'Monthly CUST'!$N$1:$CG$1,0)),0)</f>
        <v>8.4012499999999992</v>
      </c>
      <c r="BZ30" s="56">
        <f>IFERROR(INDEX('Monthly VOL'!$N$2:$CG$65,MATCH($D30,'Monthly VOL'!$D$2:$D$65,0),MATCH(BZ$1,'Monthly VOL'!$N$1:$CG$1,0))/INDEX('Monthly CUST'!$N$2:$CG$65,MATCH($D30,'Monthly CUST'!$D$2:$D$65,0),MATCH(BZ$1,'Monthly CUST'!$N$1:$CG$1,0)),0)</f>
        <v>5.1368749999999999</v>
      </c>
      <c r="CA30" s="56">
        <f>IFERROR(INDEX('Monthly VOL'!$N$2:$CG$65,MATCH($D30,'Monthly VOL'!$D$2:$D$65,0),MATCH(CA$1,'Monthly VOL'!$N$1:$CG$1,0))/INDEX('Monthly CUST'!$N$2:$CG$65,MATCH($D30,'Monthly CUST'!$D$2:$D$65,0),MATCH(CA$1,'Monthly CUST'!$N$1:$CG$1,0)),0)</f>
        <v>4.8280645161290314</v>
      </c>
      <c r="CB30" s="56">
        <f>IFERROR(INDEX('Monthly VOL'!$N$2:$CG$65,MATCH($D30,'Monthly VOL'!$D$2:$D$65,0),MATCH(CB$1,'Monthly VOL'!$N$1:$CG$1,0))/INDEX('Monthly CUST'!$N$2:$CG$65,MATCH($D30,'Monthly CUST'!$D$2:$D$65,0),MATCH(CB$1,'Monthly CUST'!$N$1:$CG$1,0)),0)</f>
        <v>4.411290322580645</v>
      </c>
      <c r="CC30" s="56">
        <f>IFERROR(INDEX('Monthly VOL'!$N$2:$CG$65,MATCH($D30,'Monthly VOL'!$D$2:$D$65,0),MATCH(CC$1,'Monthly VOL'!$N$1:$CG$1,0))/INDEX('Monthly CUST'!$N$2:$CG$65,MATCH($D30,'Monthly CUST'!$D$2:$D$65,0),MATCH(CC$1,'Monthly CUST'!$N$1:$CG$1,0)),0)</f>
        <v>4.463103448275862</v>
      </c>
      <c r="CD30" s="56">
        <f>IFERROR(INDEX('Monthly VOL'!$N$2:$CG$65,MATCH($D30,'Monthly VOL'!$D$2:$D$65,0),MATCH(CD$1,'Monthly VOL'!$N$1:$CG$1,0))/INDEX('Monthly CUST'!$N$2:$CG$65,MATCH($D30,'Monthly CUST'!$D$2:$D$65,0),MATCH(CD$1,'Monthly CUST'!$N$1:$CG$1,0)),0)</f>
        <v>4.9342857142857142</v>
      </c>
      <c r="CE30" s="56">
        <f>IFERROR(INDEX('Monthly VOL'!$N$2:$CG$65,MATCH($D30,'Monthly VOL'!$D$2:$D$65,0),MATCH(CE$1,'Monthly VOL'!$N$1:$CG$1,0))/INDEX('Monthly CUST'!$N$2:$CG$65,MATCH($D30,'Monthly CUST'!$D$2:$D$65,0),MATCH(CE$1,'Monthly CUST'!$N$1:$CG$1,0)),0)</f>
        <v>5.1375000000000002</v>
      </c>
      <c r="CF30" s="56">
        <f>IFERROR(INDEX('Monthly VOL'!$N$2:$CG$65,MATCH($D30,'Monthly VOL'!$D$2:$D$65,0),MATCH(CF$1,'Monthly VOL'!$N$1:$CG$1,0))/INDEX('Monthly CUST'!$N$2:$CG$65,MATCH($D30,'Monthly CUST'!$D$2:$D$65,0),MATCH(CF$1,'Monthly CUST'!$N$1:$CG$1,0)),0)</f>
        <v>6.5873333333333335</v>
      </c>
      <c r="CG30" s="56">
        <f>IFERROR(INDEX('Monthly VOL'!$N$2:$CG$65,MATCH($D30,'Monthly VOL'!$D$2:$D$65,0),MATCH(CG$1,'Monthly VOL'!$N$1:$CG$1,0))/INDEX('Monthly CUST'!$N$2:$CG$65,MATCH($D30,'Monthly CUST'!$D$2:$D$65,0),MATCH(CG$1,'Monthly CUST'!$N$1:$CG$1,0)),0)</f>
        <v>9.4737500000000008</v>
      </c>
      <c r="CH30" s="264"/>
      <c r="CI30" s="264"/>
      <c r="CJ30" s="264"/>
      <c r="CM30" s="569">
        <f t="shared" si="0"/>
        <v>11.321296168516282</v>
      </c>
      <c r="CN30" s="569">
        <f t="shared" si="1"/>
        <v>9.2590787024487202</v>
      </c>
      <c r="CO30" s="569">
        <f t="shared" si="2"/>
        <v>16.892900153609833</v>
      </c>
      <c r="CP30" s="569">
        <f t="shared" si="3"/>
        <v>-0.72588755199049437</v>
      </c>
      <c r="CQ30" s="569">
        <f t="shared" si="4"/>
        <v>6.8907862903225805</v>
      </c>
      <c r="CR30" s="569">
        <f t="shared" si="5"/>
        <v>5.3422831541218629</v>
      </c>
      <c r="CS30" s="569">
        <f t="shared" si="6"/>
        <v>4.8473637374860949</v>
      </c>
      <c r="CT30" s="569">
        <f t="shared" si="7"/>
        <v>4.5002107279693488</v>
      </c>
      <c r="CU30" s="569">
        <f t="shared" si="8"/>
        <v>4.9273070607553366</v>
      </c>
      <c r="CV30" s="569">
        <f t="shared" si="9"/>
        <v>5.312758064516129</v>
      </c>
      <c r="CW30" s="569">
        <f t="shared" si="10"/>
        <v>7.0983819444444443</v>
      </c>
      <c r="CX30" s="569">
        <f t="shared" si="11"/>
        <v>9.828156565656565</v>
      </c>
      <c r="CY30" s="569">
        <f t="shared" si="12"/>
        <v>11.321296168516282</v>
      </c>
      <c r="CZ30" s="569">
        <f t="shared" si="13"/>
        <v>9.2590787024487202</v>
      </c>
      <c r="DA30" s="569">
        <f t="shared" si="14"/>
        <v>16.892900153609833</v>
      </c>
      <c r="DB30" s="569">
        <f t="shared" si="15"/>
        <v>-0.72588755199049437</v>
      </c>
      <c r="DC30" s="569">
        <f t="shared" si="16"/>
        <v>6.8907862903225805</v>
      </c>
      <c r="DD30" s="569">
        <f t="shared" si="17"/>
        <v>5.3422831541218629</v>
      </c>
      <c r="DE30" s="569">
        <f t="shared" si="18"/>
        <v>4.8473637374860949</v>
      </c>
      <c r="DF30" s="569">
        <f t="shared" si="19"/>
        <v>4.5002107279693488</v>
      </c>
      <c r="DG30" s="569">
        <f t="shared" si="20"/>
        <v>4.9273070607553366</v>
      </c>
      <c r="DH30" s="569">
        <f t="shared" si="21"/>
        <v>5.312758064516129</v>
      </c>
      <c r="DI30" s="569">
        <f t="shared" si="22"/>
        <v>7.0983819444444443</v>
      </c>
      <c r="DJ30" s="569">
        <f t="shared" si="23"/>
        <v>9.828156565656565</v>
      </c>
    </row>
    <row r="31" spans="1:114" s="261" customFormat="1">
      <c r="A31" s="55" t="s">
        <v>17</v>
      </c>
      <c r="B31" s="55" t="s">
        <v>993</v>
      </c>
      <c r="C31" s="55" t="s">
        <v>8</v>
      </c>
      <c r="D31" s="55" t="s">
        <v>1298</v>
      </c>
      <c r="E31" s="55" t="str">
        <f>VLOOKUP(D31,'Input 14_Ref Table'!C:D,2,FALSE)</f>
        <v>CR807</v>
      </c>
      <c r="F31" s="172" t="s">
        <v>1286</v>
      </c>
      <c r="G31" s="55" t="str">
        <f>VLOOKUP(D31,'Input 14_Ref Table'!C:I,7,FALSE)</f>
        <v>CFG - FTS-B R</v>
      </c>
      <c r="H31" s="55" t="str">
        <f>VLOOKUP(D31,'Input 14_Ref Table'!C:K,8,FALSE)</f>
        <v>FTS_AB</v>
      </c>
      <c r="I31" s="55" t="e">
        <f>INDEX(#REF!,MATCH(D31,#REF!,0))</f>
        <v>#REF!</v>
      </c>
      <c r="J31" s="261" t="str">
        <f>INDEX('Master '!$AD$2:AD$65,MATCH(D31,'Master '!$D$2:$D$65,0))</f>
        <v>UPC Growth Rate</v>
      </c>
      <c r="K31" s="567">
        <f>INDEX('Master '!$N$2:N$65,MATCH(D31,'Master '!$D$2:$D$65,0))</f>
        <v>-7.5316460637900734E-3</v>
      </c>
      <c r="L31" s="290">
        <f>INDEX('Master '!$S$2:S$65,MATCH(D31,'Master '!$D$2:$D$65,0))</f>
        <v>0</v>
      </c>
      <c r="M31" s="1">
        <f>INDEX('Master '!$W$2:W$65,MATCH(D31,'Master '!$D$2:$D$65,0))</f>
        <v>103.66332451256534</v>
      </c>
      <c r="N31" s="56">
        <f>IFERROR(INDEX('Monthly VOL'!$N$2:$CG$65,MATCH($D31,'Monthly VOL'!$D$2:$D$65,0),MATCH(N$1,'Monthly VOL'!$N$1:$CG$1,0))/INDEX('Monthly CUST'!$N$2:$CG$65,MATCH($D31,'Monthly CUST'!$D$2:$D$65,0),MATCH(N$1,'Monthly CUST'!$N$1:$CG$1,0)),0)</f>
        <v>19.050834805653707</v>
      </c>
      <c r="O31" s="56">
        <f>IFERROR(INDEX('Monthly VOL'!$N$2:$CG$65,MATCH($D31,'Monthly VOL'!$D$2:$D$65,0),MATCH(O$1,'Monthly VOL'!$N$1:$CG$1,0))/INDEX('Monthly CUST'!$N$2:$CG$65,MATCH($D31,'Monthly CUST'!$D$2:$D$65,0),MATCH(O$1,'Monthly CUST'!$N$1:$CG$1,0)),0)</f>
        <v>12.075573122529688</v>
      </c>
      <c r="P31" s="56">
        <f>IFERROR(INDEX('Monthly VOL'!$N$2:$CG$65,MATCH($D31,'Monthly VOL'!$D$2:$D$65,0),MATCH(P$1,'Monthly VOL'!$N$1:$CG$1,0))/INDEX('Monthly CUST'!$N$2:$CG$65,MATCH($D31,'Monthly CUST'!$D$2:$D$65,0),MATCH(P$1,'Monthly CUST'!$N$1:$CG$1,0)),0)</f>
        <v>11.20774647887324</v>
      </c>
      <c r="Q31" s="56">
        <f>IFERROR(INDEX('Monthly VOL'!$N$2:$CG$65,MATCH($D31,'Monthly VOL'!$D$2:$D$65,0),MATCH(Q$1,'Monthly VOL'!$N$1:$CG$1,0))/INDEX('Monthly CUST'!$N$2:$CG$65,MATCH($D31,'Monthly CUST'!$D$2:$D$65,0),MATCH(Q$1,'Monthly CUST'!$N$1:$CG$1,0)),0)</f>
        <v>10.811118881118924</v>
      </c>
      <c r="R31" s="56">
        <f>IFERROR(INDEX('Monthly VOL'!$N$2:$CG$65,MATCH($D31,'Monthly VOL'!$D$2:$D$65,0),MATCH(R$1,'Monthly VOL'!$N$1:$CG$1,0))/INDEX('Monthly CUST'!$N$2:$CG$65,MATCH($D31,'Monthly CUST'!$D$2:$D$65,0),MATCH(R$1,'Monthly CUST'!$N$1:$CG$1,0)),0)</f>
        <v>9.1509942806862288</v>
      </c>
      <c r="S31" s="56">
        <f>IFERROR(INDEX('Monthly VOL'!$N$2:$CG$65,MATCH($D31,'Monthly VOL'!$D$2:$D$65,0),MATCH(S$1,'Monthly VOL'!$N$1:$CG$1,0))/INDEX('Monthly CUST'!$N$2:$CG$65,MATCH($D31,'Monthly CUST'!$D$2:$D$65,0),MATCH(S$1,'Monthly CUST'!$N$1:$CG$1,0)),0)</f>
        <v>9.5274270557028302</v>
      </c>
      <c r="T31" s="56">
        <f>IFERROR(INDEX('Monthly VOL'!$N$2:$CG$65,MATCH($D31,'Monthly VOL'!$D$2:$D$65,0),MATCH(T$1,'Monthly VOL'!$N$1:$CG$1,0))/INDEX('Monthly CUST'!$N$2:$CG$65,MATCH($D31,'Monthly CUST'!$D$2:$D$65,0),MATCH(T$1,'Monthly CUST'!$N$1:$CG$1,0)),0)</f>
        <v>8.1656387665198231</v>
      </c>
      <c r="U31" s="56">
        <f>IFERROR(INDEX('Monthly VOL'!$N$2:$CG$65,MATCH($D31,'Monthly VOL'!$D$2:$D$65,0),MATCH(U$1,'Monthly VOL'!$N$1:$CG$1,0))/INDEX('Monthly CUST'!$N$2:$CG$65,MATCH($D31,'Monthly CUST'!$D$2:$D$65,0),MATCH(U$1,'Monthly CUST'!$N$1:$CG$1,0)),0)</f>
        <v>8.4184343210968162</v>
      </c>
      <c r="V31" s="56">
        <f>IFERROR(INDEX('Monthly VOL'!$N$2:$CG$65,MATCH($D31,'Monthly VOL'!$D$2:$D$65,0),MATCH(V$1,'Monthly VOL'!$N$1:$CG$1,0))/INDEX('Monthly CUST'!$N$2:$CG$65,MATCH($D31,'Monthly CUST'!$D$2:$D$65,0),MATCH(V$1,'Monthly CUST'!$N$1:$CG$1,0)),0)</f>
        <v>8.5901503759397624</v>
      </c>
      <c r="W31" s="56">
        <f>IFERROR(INDEX('Monthly VOL'!$N$2:$CG$65,MATCH($D31,'Monthly VOL'!$D$2:$D$65,0),MATCH(W$1,'Monthly VOL'!$N$1:$CG$1,0))/INDEX('Monthly CUST'!$N$2:$CG$65,MATCH($D31,'Monthly CUST'!$D$2:$D$65,0),MATCH(W$1,'Monthly CUST'!$N$1:$CG$1,0)),0)</f>
        <v>7.8870208981769672</v>
      </c>
      <c r="X31" s="56">
        <f>IFERROR(INDEX('Monthly VOL'!$N$2:$CG$65,MATCH($D31,'Monthly VOL'!$D$2:$D$65,0),MATCH(X$1,'Monthly VOL'!$N$1:$CG$1,0))/INDEX('Monthly CUST'!$N$2:$CG$65,MATCH($D31,'Monthly CUST'!$D$2:$D$65,0),MATCH(X$1,'Monthly CUST'!$N$1:$CG$1,0)),0)</f>
        <v>10.461739514348874</v>
      </c>
      <c r="Y31" s="56">
        <f>IFERROR(INDEX('Monthly VOL'!$N$2:$CG$65,MATCH($D31,'Monthly VOL'!$D$2:$D$65,0),MATCH(Y$1,'Monthly VOL'!$N$1:$CG$1,0))/INDEX('Monthly CUST'!$N$2:$CG$65,MATCH($D31,'Monthly CUST'!$D$2:$D$65,0),MATCH(Y$1,'Monthly CUST'!$N$1:$CG$1,0)),0)</f>
        <v>13.7595723104056</v>
      </c>
      <c r="Z31" s="56">
        <f>IFERROR(INDEX('Monthly VOL'!$N$2:$CG$65,MATCH($D31,'Monthly VOL'!$D$2:$D$65,0),MATCH(Z$1,'Monthly VOL'!$N$1:$CG$1,0))/INDEX('Monthly CUST'!$N$2:$CG$65,MATCH($D31,'Monthly CUST'!$D$2:$D$65,0),MATCH(Z$1,'Monthly CUST'!$N$1:$CG$1,0)),0)</f>
        <v>14.634892212934448</v>
      </c>
      <c r="AA31" s="56">
        <f>IFERROR(INDEX('Monthly VOL'!$N$2:$CG$65,MATCH($D31,'Monthly VOL'!$D$2:$D$65,0),MATCH(AA$1,'Monthly VOL'!$N$1:$CG$1,0))/INDEX('Monthly CUST'!$N$2:$CG$65,MATCH($D31,'Monthly CUST'!$D$2:$D$65,0),MATCH(AA$1,'Monthly CUST'!$N$1:$CG$1,0)),0)</f>
        <v>13.926041209995615</v>
      </c>
      <c r="AB31" s="56">
        <f>IFERROR(INDEX('Monthly VOL'!$N$2:$CG$65,MATCH($D31,'Monthly VOL'!$D$2:$D$65,0),MATCH(AB$1,'Monthly VOL'!$N$1:$CG$1,0))/INDEX('Monthly CUST'!$N$2:$CG$65,MATCH($D31,'Monthly CUST'!$D$2:$D$65,0),MATCH(AB$1,'Monthly CUST'!$N$1:$CG$1,0)),0)</f>
        <v>10.971364633611145</v>
      </c>
      <c r="AC31" s="56">
        <f>IFERROR(INDEX('Monthly VOL'!$N$2:$CG$65,MATCH($D31,'Monthly VOL'!$D$2:$D$65,0),MATCH(AC$1,'Monthly VOL'!$N$1:$CG$1,0))/INDEX('Monthly CUST'!$N$2:$CG$65,MATCH($D31,'Monthly CUST'!$D$2:$D$65,0),MATCH(AC$1,'Monthly CUST'!$N$1:$CG$1,0)),0)</f>
        <v>10.503041191936985</v>
      </c>
      <c r="AD31" s="56">
        <f>IFERROR(INDEX('Monthly VOL'!$N$2:$CG$65,MATCH($D31,'Monthly VOL'!$D$2:$D$65,0),MATCH(AD$1,'Monthly VOL'!$N$1:$CG$1,0))/INDEX('Monthly CUST'!$N$2:$CG$65,MATCH($D31,'Monthly CUST'!$D$2:$D$65,0),MATCH(AD$1,'Monthly CUST'!$N$1:$CG$1,0)),0)</f>
        <v>9.7354931446263606</v>
      </c>
      <c r="AE31" s="56">
        <f>IFERROR(INDEX('Monthly VOL'!$N$2:$CG$65,MATCH($D31,'Monthly VOL'!$D$2:$D$65,0),MATCH(AE$1,'Monthly VOL'!$N$1:$CG$1,0))/INDEX('Monthly CUST'!$N$2:$CG$65,MATCH($D31,'Monthly CUST'!$D$2:$D$65,0),MATCH(AE$1,'Monthly CUST'!$N$1:$CG$1,0)),0)</f>
        <v>8.7280312499999546</v>
      </c>
      <c r="AF31" s="56">
        <f>IFERROR(INDEX('Monthly VOL'!$N$2:$CG$65,MATCH($D31,'Monthly VOL'!$D$2:$D$65,0),MATCH(AF$1,'Monthly VOL'!$N$1:$CG$1,0))/INDEX('Monthly CUST'!$N$2:$CG$65,MATCH($D31,'Monthly CUST'!$D$2:$D$65,0),MATCH(AF$1,'Monthly CUST'!$N$1:$CG$1,0)),0)</f>
        <v>7.5850177619894312</v>
      </c>
      <c r="AG31" s="56">
        <f>IFERROR(INDEX('Monthly VOL'!$N$2:$CG$65,MATCH($D31,'Monthly VOL'!$D$2:$D$65,0),MATCH(AG$1,'Monthly VOL'!$N$1:$CG$1,0))/INDEX('Monthly CUST'!$N$2:$CG$65,MATCH($D31,'Monthly CUST'!$D$2:$D$65,0),MATCH(AG$1,'Monthly CUST'!$N$1:$CG$1,0)),0)</f>
        <v>8.461415178571384</v>
      </c>
      <c r="AH31" s="56">
        <f>IFERROR(INDEX('Monthly VOL'!$N$2:$CG$65,MATCH($D31,'Monthly VOL'!$D$2:$D$65,0),MATCH(AH$1,'Monthly VOL'!$N$1:$CG$1,0))/INDEX('Monthly CUST'!$N$2:$CG$65,MATCH($D31,'Monthly CUST'!$D$2:$D$65,0),MATCH(AH$1,'Monthly CUST'!$N$1:$CG$1,0)),0)</f>
        <v>8.7456901157614428</v>
      </c>
      <c r="AI31" s="56">
        <f>IFERROR(INDEX('Monthly VOL'!$N$2:$CG$65,MATCH($D31,'Monthly VOL'!$D$2:$D$65,0),MATCH(AI$1,'Monthly VOL'!$N$1:$CG$1,0))/INDEX('Monthly CUST'!$N$2:$CG$65,MATCH($D31,'Monthly CUST'!$D$2:$D$65,0),MATCH(AI$1,'Monthly CUST'!$N$1:$CG$1,0)),0)</f>
        <v>8.4597889537493494</v>
      </c>
      <c r="AJ31" s="56">
        <f>IFERROR(INDEX('Monthly VOL'!$N$2:$CG$65,MATCH($D31,'Monthly VOL'!$D$2:$D$65,0),MATCH(AJ$1,'Monthly VOL'!$N$1:$CG$1,0))/INDEX('Monthly CUST'!$N$2:$CG$65,MATCH($D31,'Monthly CUST'!$D$2:$D$65,0),MATCH(AJ$1,'Monthly CUST'!$N$1:$CG$1,0)),0)</f>
        <v>10.024511920827665</v>
      </c>
      <c r="AK31" s="56">
        <f>IFERROR(INDEX('Monthly VOL'!$N$2:$CG$65,MATCH($D31,'Monthly VOL'!$D$2:$D$65,0),MATCH(AK$1,'Monthly VOL'!$N$1:$CG$1,0))/INDEX('Monthly CUST'!$N$2:$CG$65,MATCH($D31,'Monthly CUST'!$D$2:$D$65,0),MATCH(AK$1,'Monthly CUST'!$N$1:$CG$1,0)),0)</f>
        <v>13.525274431057698</v>
      </c>
      <c r="AL31" s="56">
        <f>IFERROR(INDEX('Monthly VOL'!$N$2:$CG$65,MATCH($D31,'Monthly VOL'!$D$2:$D$65,0),MATCH(AL$1,'Monthly VOL'!$N$1:$CG$1,0))/INDEX('Monthly CUST'!$N$2:$CG$65,MATCH($D31,'Monthly CUST'!$D$2:$D$65,0),MATCH(AL$1,'Monthly CUST'!$N$1:$CG$1,0)),0)</f>
        <v>13.621958946898751</v>
      </c>
      <c r="AM31" s="56">
        <f>IFERROR(INDEX('Monthly VOL'!$N$2:$CG$65,MATCH($D31,'Monthly VOL'!$D$2:$D$65,0),MATCH(AM$1,'Monthly VOL'!$N$1:$CG$1,0))/INDEX('Monthly CUST'!$N$2:$CG$65,MATCH($D31,'Monthly CUST'!$D$2:$D$65,0),MATCH(AM$1,'Monthly CUST'!$N$1:$CG$1,0)),0)</f>
        <v>12.807536748329488</v>
      </c>
      <c r="AN31" s="56">
        <f>IFERROR(INDEX('Monthly VOL'!$N$2:$CG$65,MATCH($D31,'Monthly VOL'!$D$2:$D$65,0),MATCH(AN$1,'Monthly VOL'!$N$1:$CG$1,0))/INDEX('Monthly CUST'!$N$2:$CG$65,MATCH($D31,'Monthly CUST'!$D$2:$D$65,0),MATCH(AN$1,'Monthly CUST'!$N$1:$CG$1,0)),0)</f>
        <v>11.751902222222267</v>
      </c>
      <c r="AO31" s="56">
        <f>IFERROR(INDEX('Monthly VOL'!$N$2:$CG$65,MATCH($D31,'Monthly VOL'!$D$2:$D$65,0),MATCH(AO$1,'Monthly VOL'!$N$1:$CG$1,0))/INDEX('Monthly CUST'!$N$2:$CG$65,MATCH($D31,'Monthly CUST'!$D$2:$D$65,0),MATCH(AO$1,'Monthly CUST'!$N$1:$CG$1,0)),0)</f>
        <v>11.39194915254224</v>
      </c>
      <c r="AP31" s="56">
        <f>IFERROR(INDEX('Monthly VOL'!$N$2:$CG$65,MATCH($D31,'Monthly VOL'!$D$2:$D$65,0),MATCH(AP$1,'Monthly VOL'!$N$1:$CG$1,0))/INDEX('Monthly CUST'!$N$2:$CG$65,MATCH($D31,'Monthly CUST'!$D$2:$D$65,0),MATCH(AP$1,'Monthly CUST'!$N$1:$CG$1,0)),0)</f>
        <v>10.204622936189157</v>
      </c>
      <c r="AQ31" s="56">
        <f>IFERROR(INDEX('Monthly VOL'!$N$2:$CG$65,MATCH($D31,'Monthly VOL'!$D$2:$D$65,0),MATCH(AQ$1,'Monthly VOL'!$N$1:$CG$1,0))/INDEX('Monthly CUST'!$N$2:$CG$65,MATCH($D31,'Monthly CUST'!$D$2:$D$65,0),MATCH(AQ$1,'Monthly CUST'!$N$1:$CG$1,0)),0)</f>
        <v>8.8391711469534506</v>
      </c>
      <c r="AR31" s="56">
        <f>IFERROR(INDEX('Monthly VOL'!$N$2:$CG$65,MATCH($D31,'Monthly VOL'!$D$2:$D$65,0),MATCH(AR$1,'Monthly VOL'!$N$1:$CG$1,0))/INDEX('Monthly CUST'!$N$2:$CG$65,MATCH($D31,'Monthly CUST'!$D$2:$D$65,0),MATCH(AR$1,'Monthly CUST'!$N$1:$CG$1,0)),0)</f>
        <v>9.4540848214284825</v>
      </c>
      <c r="AS31" s="56">
        <f>IFERROR(INDEX('Monthly VOL'!$N$2:$CG$65,MATCH($D31,'Monthly VOL'!$D$2:$D$65,0),MATCH(AS$1,'Monthly VOL'!$N$1:$CG$1,0))/INDEX('Monthly CUST'!$N$2:$CG$65,MATCH($D31,'Monthly CUST'!$D$2:$D$65,0),MATCH(AS$1,'Monthly CUST'!$N$1:$CG$1,0)),0)</f>
        <v>8.2765238732709498</v>
      </c>
      <c r="AT31" s="56">
        <f>IFERROR(INDEX('Monthly VOL'!$N$2:$CG$65,MATCH($D31,'Monthly VOL'!$D$2:$D$65,0),MATCH(AT$1,'Monthly VOL'!$N$1:$CG$1,0))/INDEX('Monthly CUST'!$N$2:$CG$65,MATCH($D31,'Monthly CUST'!$D$2:$D$65,0),MATCH(AT$1,'Monthly CUST'!$N$1:$CG$1,0)),0)</f>
        <v>8.7416094516273279</v>
      </c>
      <c r="AU31" s="56">
        <f>IFERROR(INDEX('Monthly VOL'!$N$2:$CG$65,MATCH($D31,'Monthly VOL'!$D$2:$D$65,0),MATCH(AU$1,'Monthly VOL'!$N$1:$CG$1,0))/INDEX('Monthly CUST'!$N$2:$CG$65,MATCH($D31,'Monthly CUST'!$D$2:$D$65,0),MATCH(AU$1,'Monthly CUST'!$N$1:$CG$1,0)),0)</f>
        <v>8.208385949310804</v>
      </c>
      <c r="AV31" s="56">
        <f>IFERROR(INDEX('Monthly VOL'!$N$2:$CG$65,MATCH($D31,'Monthly VOL'!$D$2:$D$65,0),MATCH(AV$1,'Monthly VOL'!$N$1:$CG$1,0))/INDEX('Monthly CUST'!$N$2:$CG$65,MATCH($D31,'Monthly CUST'!$D$2:$D$65,0),MATCH(AV$1,'Monthly CUST'!$N$1:$CG$1,0)),0)</f>
        <v>9.8607531194294999</v>
      </c>
      <c r="AW31" s="56">
        <f>IFERROR(INDEX('Monthly VOL'!$N$2:$CG$65,MATCH($D31,'Monthly VOL'!$D$2:$D$65,0),MATCH(AW$1,'Monthly VOL'!$N$1:$CG$1,0))/INDEX('Monthly CUST'!$N$2:$CG$65,MATCH($D31,'Monthly CUST'!$D$2:$D$65,0),MATCH(AW$1,'Monthly CUST'!$N$1:$CG$1,0)),0)</f>
        <v>15.453748332592173</v>
      </c>
      <c r="AX31" s="56">
        <f>IFERROR(INDEX('Monthly VOL'!$N$2:$CG$65,MATCH($D31,'Monthly VOL'!$D$2:$D$65,0),MATCH(AX$1,'Monthly VOL'!$N$1:$CG$1,0))/INDEX('Monthly CUST'!$N$2:$CG$65,MATCH($D31,'Monthly CUST'!$D$2:$D$65,0),MATCH(AX$1,'Monthly CUST'!$N$1:$CG$1,0)),0)</f>
        <v>16.441125945705338</v>
      </c>
      <c r="AY31" s="56">
        <f>IFERROR(INDEX('Monthly VOL'!$N$2:$CG$65,MATCH($D31,'Monthly VOL'!$D$2:$D$65,0),MATCH(AY$1,'Monthly VOL'!$N$1:$CG$1,0))/INDEX('Monthly CUST'!$N$2:$CG$65,MATCH($D31,'Monthly CUST'!$D$2:$D$65,0),MATCH(AY$1,'Monthly CUST'!$N$1:$CG$1,0)),0)</f>
        <v>12.55429649356396</v>
      </c>
      <c r="AZ31" s="56">
        <f>IFERROR(INDEX('Monthly VOL'!$N$2:$CG$65,MATCH($D31,'Monthly VOL'!$D$2:$D$65,0),MATCH(AZ$1,'Monthly VOL'!$N$1:$CG$1,0))/INDEX('Monthly CUST'!$N$2:$CG$65,MATCH($D31,'Monthly CUST'!$D$2:$D$65,0),MATCH(AZ$1,'Monthly CUST'!$N$1:$CG$1,0)),0)</f>
        <v>10.940581188997516</v>
      </c>
      <c r="BA31" s="56">
        <f>IFERROR(INDEX('Monthly VOL'!$N$2:$CG$65,MATCH($D31,'Monthly VOL'!$D$2:$D$65,0),MATCH(BA$1,'Monthly VOL'!$N$1:$CG$1,0))/INDEX('Monthly CUST'!$N$2:$CG$65,MATCH($D31,'Monthly CUST'!$D$2:$D$65,0),MATCH(BA$1,'Monthly CUST'!$N$1:$CG$1,0)),0)</f>
        <v>11.779924645390027</v>
      </c>
      <c r="BB31" s="56">
        <f>IFERROR(INDEX('Monthly VOL'!$N$2:$CG$65,MATCH($D31,'Monthly VOL'!$D$2:$D$65,0),MATCH(BB$1,'Monthly VOL'!$N$1:$CG$1,0))/INDEX('Monthly CUST'!$N$2:$CG$65,MATCH($D31,'Monthly CUST'!$D$2:$D$65,0),MATCH(BB$1,'Monthly CUST'!$N$1:$CG$1,0)),0)</f>
        <v>9.0107063527320292</v>
      </c>
      <c r="BC31" s="56">
        <f>IFERROR(INDEX('Monthly VOL'!$N$2:$CG$65,MATCH($D31,'Monthly VOL'!$D$2:$D$65,0),MATCH(BC$1,'Monthly VOL'!$N$1:$CG$1,0))/INDEX('Monthly CUST'!$N$2:$CG$65,MATCH($D31,'Monthly CUST'!$D$2:$D$65,0),MATCH(BC$1,'Monthly CUST'!$N$1:$CG$1,0)),0)</f>
        <v>8.7589588918678274</v>
      </c>
      <c r="BD31" s="56">
        <f>IFERROR(INDEX('Monthly VOL'!$N$2:$CG$65,MATCH($D31,'Monthly VOL'!$D$2:$D$65,0),MATCH(BD$1,'Monthly VOL'!$N$1:$CG$1,0))/INDEX('Monthly CUST'!$N$2:$CG$65,MATCH($D31,'Monthly CUST'!$D$2:$D$65,0),MATCH(BD$1,'Monthly CUST'!$N$1:$CG$1,0)),0)</f>
        <v>8.9504608501118117</v>
      </c>
      <c r="BE31" s="56">
        <f>IFERROR(INDEX('Monthly VOL'!$N$2:$CG$65,MATCH($D31,'Monthly VOL'!$D$2:$D$65,0),MATCH(BE$1,'Monthly VOL'!$N$1:$CG$1,0))/INDEX('Monthly CUST'!$N$2:$CG$65,MATCH($D31,'Monthly CUST'!$D$2:$D$65,0),MATCH(BE$1,'Monthly CUST'!$N$1:$CG$1,0)),0)</f>
        <v>8.3782210242586714</v>
      </c>
      <c r="BF31" s="56">
        <f>IFERROR(INDEX('Monthly VOL'!$N$2:$CG$65,MATCH($D31,'Monthly VOL'!$D$2:$D$65,0),MATCH(BF$1,'Monthly VOL'!$N$1:$CG$1,0))/INDEX('Monthly CUST'!$N$2:$CG$65,MATCH($D31,'Monthly CUST'!$D$2:$D$65,0),MATCH(BF$1,'Monthly CUST'!$N$1:$CG$1,0)),0)</f>
        <v>9.1903747178330022</v>
      </c>
      <c r="BG31" s="56">
        <f>IFERROR(INDEX('Monthly VOL'!$N$2:$CG$65,MATCH($D31,'Monthly VOL'!$D$2:$D$65,0),MATCH(BG$1,'Monthly VOL'!$N$1:$CG$1,0))/INDEX('Monthly CUST'!$N$2:$CG$65,MATCH($D31,'Monthly CUST'!$D$2:$D$65,0),MATCH(BG$1,'Monthly CUST'!$N$1:$CG$1,0)),0)</f>
        <v>8.8359972862957488</v>
      </c>
      <c r="BH31" s="56">
        <f>IFERROR(INDEX('Monthly VOL'!$N$2:$CG$65,MATCH($D31,'Monthly VOL'!$D$2:$D$65,0),MATCH(BH$1,'Monthly VOL'!$N$1:$CG$1,0))/INDEX('Monthly CUST'!$N$2:$CG$65,MATCH($D31,'Monthly CUST'!$D$2:$D$65,0),MATCH(BH$1,'Monthly CUST'!$N$1:$CG$1,0)),0)</f>
        <v>9.714554054054009</v>
      </c>
      <c r="BI31" s="56">
        <f>IFERROR(INDEX('Monthly VOL'!$N$2:$CG$65,MATCH($D31,'Monthly VOL'!$D$2:$D$65,0),MATCH(BI$1,'Monthly VOL'!$N$1:$CG$1,0))/INDEX('Monthly CUST'!$N$2:$CG$65,MATCH($D31,'Monthly CUST'!$D$2:$D$65,0),MATCH(BI$1,'Monthly CUST'!$N$1:$CG$1,0)),0)</f>
        <v>13.84162623539982</v>
      </c>
      <c r="BJ31" s="56">
        <f>IFERROR(INDEX('Monthly VOL'!$N$2:$CG$65,MATCH($D31,'Monthly VOL'!$D$2:$D$65,0),MATCH(BJ$1,'Monthly VOL'!$N$1:$CG$1,0))/INDEX('Monthly CUST'!$N$2:$CG$65,MATCH($D31,'Monthly CUST'!$D$2:$D$65,0),MATCH(BJ$1,'Monthly CUST'!$N$1:$CG$1,0)),0)</f>
        <v>16.441125945705338</v>
      </c>
      <c r="BK31" s="56">
        <f>IFERROR(INDEX('Monthly VOL'!$N$2:$CG$65,MATCH($D31,'Monthly VOL'!$D$2:$D$65,0),MATCH(BK$1,'Monthly VOL'!$N$1:$CG$1,0))/INDEX('Monthly CUST'!$N$2:$CG$65,MATCH($D31,'Monthly CUST'!$D$2:$D$65,0),MATCH(BK$1,'Monthly CUST'!$N$1:$CG$1,0)),0)</f>
        <v>12.55429649356396</v>
      </c>
      <c r="BL31" s="56">
        <f>IFERROR(INDEX('Monthly VOL'!$N$2:$CG$65,MATCH($D31,'Monthly VOL'!$D$2:$D$65,0),MATCH(BL$1,'Monthly VOL'!$N$1:$CG$1,0))/INDEX('Monthly CUST'!$N$2:$CG$65,MATCH($D31,'Monthly CUST'!$D$2:$D$65,0),MATCH(BL$1,'Monthly CUST'!$N$1:$CG$1,0)),0)</f>
        <v>10.940581188997516</v>
      </c>
      <c r="BM31" s="56">
        <f>IFERROR(INDEX('Monthly VOL'!$N$2:$CG$65,MATCH($D31,'Monthly VOL'!$D$2:$D$65,0),MATCH(BM$1,'Monthly VOL'!$N$1:$CG$1,0))/INDEX('Monthly CUST'!$N$2:$CG$65,MATCH($D31,'Monthly CUST'!$D$2:$D$65,0),MATCH(BM$1,'Monthly CUST'!$N$1:$CG$1,0)),0)</f>
        <v>11.779924645390027</v>
      </c>
      <c r="BN31" s="56">
        <f>IFERROR(INDEX('Monthly VOL'!$N$2:$CG$65,MATCH($D31,'Monthly VOL'!$D$2:$D$65,0),MATCH(BN$1,'Monthly VOL'!$N$1:$CG$1,0))/INDEX('Monthly CUST'!$N$2:$CG$65,MATCH($D31,'Monthly CUST'!$D$2:$D$65,0),MATCH(BN$1,'Monthly CUST'!$N$1:$CG$1,0)),0)</f>
        <v>9.0107063527320292</v>
      </c>
      <c r="BO31" s="56">
        <f>IFERROR(INDEX('Monthly VOL'!$N$2:$CG$65,MATCH($D31,'Monthly VOL'!$D$2:$D$65,0),MATCH(BO$1,'Monthly VOL'!$N$1:$CG$1,0))/INDEX('Monthly CUST'!$N$2:$CG$65,MATCH($D31,'Monthly CUST'!$D$2:$D$65,0),MATCH(BO$1,'Monthly CUST'!$N$1:$CG$1,0)),0)</f>
        <v>8.7589588918678274</v>
      </c>
      <c r="BP31" s="56">
        <f>IFERROR(INDEX('Monthly VOL'!$N$2:$CG$65,MATCH($D31,'Monthly VOL'!$D$2:$D$65,0),MATCH(BP$1,'Monthly VOL'!$N$1:$CG$1,0))/INDEX('Monthly CUST'!$N$2:$CG$65,MATCH($D31,'Monthly CUST'!$D$2:$D$65,0),MATCH(BP$1,'Monthly CUST'!$N$1:$CG$1,0)),0)</f>
        <v>8.9504608501118117</v>
      </c>
      <c r="BQ31" s="56">
        <f>IFERROR(INDEX('Monthly VOL'!$N$2:$CG$65,MATCH($D31,'Monthly VOL'!$D$2:$D$65,0),MATCH(BQ$1,'Monthly VOL'!$N$1:$CG$1,0))/INDEX('Monthly CUST'!$N$2:$CG$65,MATCH($D31,'Monthly CUST'!$D$2:$D$65,0),MATCH(BQ$1,'Monthly CUST'!$N$1:$CG$1,0)),0)</f>
        <v>8.3782210242586714</v>
      </c>
      <c r="BR31" s="56">
        <f>IFERROR(INDEX('Monthly VOL'!$N$2:$CG$65,MATCH($D31,'Monthly VOL'!$D$2:$D$65,0),MATCH(BR$1,'Monthly VOL'!$N$1:$CG$1,0))/INDEX('Monthly CUST'!$N$2:$CG$65,MATCH($D31,'Monthly CUST'!$D$2:$D$65,0),MATCH(BR$1,'Monthly CUST'!$N$1:$CG$1,0)),0)</f>
        <v>9.1903747178330022</v>
      </c>
      <c r="BS31" s="56">
        <f>IFERROR(INDEX('Monthly VOL'!$N$2:$CG$65,MATCH($D31,'Monthly VOL'!$D$2:$D$65,0),MATCH(BS$1,'Monthly VOL'!$N$1:$CG$1,0))/INDEX('Monthly CUST'!$N$2:$CG$65,MATCH($D31,'Monthly CUST'!$D$2:$D$65,0),MATCH(BS$1,'Monthly CUST'!$N$1:$CG$1,0)),0)</f>
        <v>8.8359972862957488</v>
      </c>
      <c r="BT31" s="56">
        <f>IFERROR(INDEX('Monthly VOL'!$N$2:$CG$65,MATCH($D31,'Monthly VOL'!$D$2:$D$65,0),MATCH(BT$1,'Monthly VOL'!$N$1:$CG$1,0))/INDEX('Monthly CUST'!$N$2:$CG$65,MATCH($D31,'Monthly CUST'!$D$2:$D$65,0),MATCH(BT$1,'Monthly CUST'!$N$1:$CG$1,0)),0)</f>
        <v>9.714554054054009</v>
      </c>
      <c r="BU31" s="56">
        <f>IFERROR(INDEX('Monthly VOL'!$N$2:$CG$65,MATCH($D31,'Monthly VOL'!$D$2:$D$65,0),MATCH(BU$1,'Monthly VOL'!$N$1:$CG$1,0))/INDEX('Monthly CUST'!$N$2:$CG$65,MATCH($D31,'Monthly CUST'!$D$2:$D$65,0),MATCH(BU$1,'Monthly CUST'!$N$1:$CG$1,0)),0)</f>
        <v>13.84162623539982</v>
      </c>
      <c r="BV31" s="56">
        <f>IFERROR(INDEX('Monthly VOL'!$N$2:$CG$65,MATCH($D31,'Monthly VOL'!$D$2:$D$65,0),MATCH(BV$1,'Monthly VOL'!$N$1:$CG$1,0))/INDEX('Monthly CUST'!$N$2:$CG$65,MATCH($D31,'Monthly CUST'!$D$2:$D$65,0),MATCH(BV$1,'Monthly CUST'!$N$1:$CG$1,0)),0)</f>
        <v>16.441125945705338</v>
      </c>
      <c r="BW31" s="56">
        <f>IFERROR(INDEX('Monthly VOL'!$N$2:$CG$65,MATCH($D31,'Monthly VOL'!$D$2:$D$65,0),MATCH(BW$1,'Monthly VOL'!$N$1:$CG$1,0))/INDEX('Monthly CUST'!$N$2:$CG$65,MATCH($D31,'Monthly CUST'!$D$2:$D$65,0),MATCH(BW$1,'Monthly CUST'!$N$1:$CG$1,0)),0)</f>
        <v>12.55429649356396</v>
      </c>
      <c r="BX31" s="56">
        <f>IFERROR(INDEX('Monthly VOL'!$N$2:$CG$65,MATCH($D31,'Monthly VOL'!$D$2:$D$65,0),MATCH(BX$1,'Monthly VOL'!$N$1:$CG$1,0))/INDEX('Monthly CUST'!$N$2:$CG$65,MATCH($D31,'Monthly CUST'!$D$2:$D$65,0),MATCH(BX$1,'Monthly CUST'!$N$1:$CG$1,0)),0)</f>
        <v>10.940581188997516</v>
      </c>
      <c r="BY31" s="56">
        <f>IFERROR(INDEX('Monthly VOL'!$N$2:$CG$65,MATCH($D31,'Monthly VOL'!$D$2:$D$65,0),MATCH(BY$1,'Monthly VOL'!$N$1:$CG$1,0))/INDEX('Monthly CUST'!$N$2:$CG$65,MATCH($D31,'Monthly CUST'!$D$2:$D$65,0),MATCH(BY$1,'Monthly CUST'!$N$1:$CG$1,0)),0)</f>
        <v>11.779924645390027</v>
      </c>
      <c r="BZ31" s="56">
        <f>IFERROR(INDEX('Monthly VOL'!$N$2:$CG$65,MATCH($D31,'Monthly VOL'!$D$2:$D$65,0),MATCH(BZ$1,'Monthly VOL'!$N$1:$CG$1,0))/INDEX('Monthly CUST'!$N$2:$CG$65,MATCH($D31,'Monthly CUST'!$D$2:$D$65,0),MATCH(BZ$1,'Monthly CUST'!$N$1:$CG$1,0)),0)</f>
        <v>9.0107063527320292</v>
      </c>
      <c r="CA31" s="56">
        <f>IFERROR(INDEX('Monthly VOL'!$N$2:$CG$65,MATCH($D31,'Monthly VOL'!$D$2:$D$65,0),MATCH(CA$1,'Monthly VOL'!$N$1:$CG$1,0))/INDEX('Monthly CUST'!$N$2:$CG$65,MATCH($D31,'Monthly CUST'!$D$2:$D$65,0),MATCH(CA$1,'Monthly CUST'!$N$1:$CG$1,0)),0)</f>
        <v>8.7589588918678274</v>
      </c>
      <c r="CB31" s="56">
        <f>IFERROR(INDEX('Monthly VOL'!$N$2:$CG$65,MATCH($D31,'Monthly VOL'!$D$2:$D$65,0),MATCH(CB$1,'Monthly VOL'!$N$1:$CG$1,0))/INDEX('Monthly CUST'!$N$2:$CG$65,MATCH($D31,'Monthly CUST'!$D$2:$D$65,0),MATCH(CB$1,'Monthly CUST'!$N$1:$CG$1,0)),0)</f>
        <v>8.9504608501118117</v>
      </c>
      <c r="CC31" s="56">
        <f>IFERROR(INDEX('Monthly VOL'!$N$2:$CG$65,MATCH($D31,'Monthly VOL'!$D$2:$D$65,0),MATCH(CC$1,'Monthly VOL'!$N$1:$CG$1,0))/INDEX('Monthly CUST'!$N$2:$CG$65,MATCH($D31,'Monthly CUST'!$D$2:$D$65,0),MATCH(CC$1,'Monthly CUST'!$N$1:$CG$1,0)),0)</f>
        <v>8.3782210242586714</v>
      </c>
      <c r="CD31" s="56">
        <f>IFERROR(INDEX('Monthly VOL'!$N$2:$CG$65,MATCH($D31,'Monthly VOL'!$D$2:$D$65,0),MATCH(CD$1,'Monthly VOL'!$N$1:$CG$1,0))/INDEX('Monthly CUST'!$N$2:$CG$65,MATCH($D31,'Monthly CUST'!$D$2:$D$65,0),MATCH(CD$1,'Monthly CUST'!$N$1:$CG$1,0)),0)</f>
        <v>9.1903747178330022</v>
      </c>
      <c r="CE31" s="56">
        <f>IFERROR(INDEX('Monthly VOL'!$N$2:$CG$65,MATCH($D31,'Monthly VOL'!$D$2:$D$65,0),MATCH(CE$1,'Monthly VOL'!$N$1:$CG$1,0))/INDEX('Monthly CUST'!$N$2:$CG$65,MATCH($D31,'Monthly CUST'!$D$2:$D$65,0),MATCH(CE$1,'Monthly CUST'!$N$1:$CG$1,0)),0)</f>
        <v>8.8359972862957488</v>
      </c>
      <c r="CF31" s="56">
        <f>IFERROR(INDEX('Monthly VOL'!$N$2:$CG$65,MATCH($D31,'Monthly VOL'!$D$2:$D$65,0),MATCH(CF$1,'Monthly VOL'!$N$1:$CG$1,0))/INDEX('Monthly CUST'!$N$2:$CG$65,MATCH($D31,'Monthly CUST'!$D$2:$D$65,0),MATCH(CF$1,'Monthly CUST'!$N$1:$CG$1,0)),0)</f>
        <v>9.714554054054009</v>
      </c>
      <c r="CG31" s="56">
        <f>IFERROR(INDEX('Monthly VOL'!$N$2:$CG$65,MATCH($D31,'Monthly VOL'!$D$2:$D$65,0),MATCH(CG$1,'Monthly VOL'!$N$1:$CG$1,0))/INDEX('Monthly CUST'!$N$2:$CG$65,MATCH($D31,'Monthly CUST'!$D$2:$D$65,0),MATCH(CG$1,'Monthly CUST'!$N$1:$CG$1,0)),0)</f>
        <v>13.84162623539982</v>
      </c>
      <c r="CH31" s="264"/>
      <c r="CI31" s="264"/>
      <c r="CJ31" s="264"/>
      <c r="CM31" s="569">
        <f t="shared" si="0"/>
        <v>14.899325701846179</v>
      </c>
      <c r="CN31" s="569">
        <f t="shared" si="1"/>
        <v>13.09595815062969</v>
      </c>
      <c r="CO31" s="569">
        <f t="shared" si="2"/>
        <v>11.22128268161031</v>
      </c>
      <c r="CP31" s="569">
        <f t="shared" si="3"/>
        <v>11.22497166328975</v>
      </c>
      <c r="CQ31" s="569">
        <f t="shared" si="4"/>
        <v>9.6502741445158495</v>
      </c>
      <c r="CR31" s="569">
        <f t="shared" si="5"/>
        <v>8.7753870962737448</v>
      </c>
      <c r="CS31" s="569">
        <f t="shared" si="6"/>
        <v>8.6631878111765754</v>
      </c>
      <c r="CT31" s="569">
        <f t="shared" si="7"/>
        <v>8.3720533587003345</v>
      </c>
      <c r="CU31" s="569">
        <f t="shared" si="8"/>
        <v>8.8925580950739249</v>
      </c>
      <c r="CV31" s="569">
        <f t="shared" si="9"/>
        <v>8.5013907297853013</v>
      </c>
      <c r="CW31" s="569">
        <f t="shared" si="10"/>
        <v>9.8666063647703925</v>
      </c>
      <c r="CX31" s="569">
        <f t="shared" si="11"/>
        <v>14.273549666349899</v>
      </c>
      <c r="CY31" s="569">
        <f t="shared" si="12"/>
        <v>14.899325701846179</v>
      </c>
      <c r="CZ31" s="569">
        <f t="shared" si="13"/>
        <v>13.09595815062969</v>
      </c>
      <c r="DA31" s="569">
        <f t="shared" si="14"/>
        <v>11.22128268161031</v>
      </c>
      <c r="DB31" s="569">
        <f t="shared" si="15"/>
        <v>11.22497166328975</v>
      </c>
      <c r="DC31" s="569">
        <f t="shared" si="16"/>
        <v>9.6502741445158495</v>
      </c>
      <c r="DD31" s="569">
        <f t="shared" si="17"/>
        <v>8.7753870962737448</v>
      </c>
      <c r="DE31" s="569">
        <f t="shared" si="18"/>
        <v>8.6631878111765754</v>
      </c>
      <c r="DF31" s="569">
        <f t="shared" si="19"/>
        <v>8.3720533587003345</v>
      </c>
      <c r="DG31" s="569">
        <f t="shared" si="20"/>
        <v>8.8925580950739249</v>
      </c>
      <c r="DH31" s="569">
        <f t="shared" si="21"/>
        <v>8.5013907297853013</v>
      </c>
      <c r="DI31" s="569">
        <f t="shared" si="22"/>
        <v>9.8666063647703925</v>
      </c>
      <c r="DJ31" s="569">
        <f t="shared" si="23"/>
        <v>14.273549666349899</v>
      </c>
    </row>
    <row r="32" spans="1:114" s="261" customFormat="1">
      <c r="A32" s="55" t="s">
        <v>17</v>
      </c>
      <c r="B32" s="55" t="s">
        <v>993</v>
      </c>
      <c r="C32" s="55" t="s">
        <v>8</v>
      </c>
      <c r="D32" s="55" t="s">
        <v>1297</v>
      </c>
      <c r="E32" s="55" t="str">
        <f>VLOOKUP(D32,'Input 14_Ref Table'!C:D,2,FALSE)</f>
        <v>CR814</v>
      </c>
      <c r="F32" s="172" t="s">
        <v>1287</v>
      </c>
      <c r="G32" s="55" t="str">
        <f>VLOOKUP(D32,'Input 14_Ref Table'!C:I,7,FALSE)</f>
        <v>CFG - FTS-B - Fixed R</v>
      </c>
      <c r="H32" s="55" t="str">
        <f>VLOOKUP(D32,'Input 14_Ref Table'!C:K,8,FALSE)</f>
        <v>FTS_AB</v>
      </c>
      <c r="I32" s="55" t="e">
        <f>INDEX(#REF!,MATCH(D32,#REF!,0))</f>
        <v>#REF!</v>
      </c>
      <c r="J32" s="261" t="str">
        <f>INDEX('Master '!$AD$2:AD$65,MATCH(D32,'Master '!$D$2:$D$65,0))</f>
        <v>UPC Growth Rate</v>
      </c>
      <c r="K32" s="567">
        <f>INDEX('Master '!$N$2:N$65,MATCH(D32,'Master '!$D$2:$D$65,0))</f>
        <v>-7.5316460637900734E-3</v>
      </c>
      <c r="L32" s="290">
        <f>INDEX('Master '!$S$2:S$65,MATCH(D32,'Master '!$D$2:$D$65,0))</f>
        <v>0</v>
      </c>
      <c r="M32" s="1">
        <f>INDEX('Master '!$W$2:W$65,MATCH(D32,'Master '!$D$2:$D$65,0))</f>
        <v>103.66332451256534</v>
      </c>
      <c r="N32" s="56">
        <f>IFERROR(INDEX('Monthly VOL'!$N$2:$CG$65,MATCH($D32,'Monthly VOL'!$D$2:$D$65,0),MATCH(N$1,'Monthly VOL'!$N$1:$CG$1,0))/INDEX('Monthly CUST'!$N$2:$CG$65,MATCH($D32,'Monthly CUST'!$D$2:$D$65,0),MATCH(N$1,'Monthly CUST'!$N$1:$CG$1,0)),0)</f>
        <v>19.843030303030304</v>
      </c>
      <c r="O32" s="56">
        <f>IFERROR(INDEX('Monthly VOL'!$N$2:$CG$65,MATCH($D32,'Monthly VOL'!$D$2:$D$65,0),MATCH(O$1,'Monthly VOL'!$N$1:$CG$1,0))/INDEX('Monthly CUST'!$N$2:$CG$65,MATCH($D32,'Monthly CUST'!$D$2:$D$65,0),MATCH(O$1,'Monthly CUST'!$N$1:$CG$1,0)),0)</f>
        <v>12.305846153846154</v>
      </c>
      <c r="P32" s="56">
        <f>IFERROR(INDEX('Monthly VOL'!$N$2:$CG$65,MATCH($D32,'Monthly VOL'!$D$2:$D$65,0),MATCH(P$1,'Monthly VOL'!$N$1:$CG$1,0))/INDEX('Monthly CUST'!$N$2:$CG$65,MATCH($D32,'Monthly CUST'!$D$2:$D$65,0),MATCH(P$1,'Monthly CUST'!$N$1:$CG$1,0)),0)</f>
        <v>11.324848484848486</v>
      </c>
      <c r="Q32" s="56">
        <f>IFERROR(INDEX('Monthly VOL'!$N$2:$CG$65,MATCH($D32,'Monthly VOL'!$D$2:$D$65,0),MATCH(Q$1,'Monthly VOL'!$N$1:$CG$1,0))/INDEX('Monthly CUST'!$N$2:$CG$65,MATCH($D32,'Monthly CUST'!$D$2:$D$65,0),MATCH(Q$1,'Monthly CUST'!$N$1:$CG$1,0)),0)</f>
        <v>11.132153846153846</v>
      </c>
      <c r="R32" s="56">
        <f>IFERROR(INDEX('Monthly VOL'!$N$2:$CG$65,MATCH($D32,'Monthly VOL'!$D$2:$D$65,0),MATCH(R$1,'Monthly VOL'!$N$1:$CG$1,0))/INDEX('Monthly CUST'!$N$2:$CG$65,MATCH($D32,'Monthly CUST'!$D$2:$D$65,0),MATCH(R$1,'Monthly CUST'!$N$1:$CG$1,0)),0)</f>
        <v>9.301451612903227</v>
      </c>
      <c r="S32" s="56">
        <f>IFERROR(INDEX('Monthly VOL'!$N$2:$CG$65,MATCH($D32,'Monthly VOL'!$D$2:$D$65,0),MATCH(S$1,'Monthly VOL'!$N$1:$CG$1,0))/INDEX('Monthly CUST'!$N$2:$CG$65,MATCH($D32,'Monthly CUST'!$D$2:$D$65,0),MATCH(S$1,'Monthly CUST'!$N$1:$CG$1,0)),0)</f>
        <v>9.9133333333333322</v>
      </c>
      <c r="T32" s="56">
        <f>IFERROR(INDEX('Monthly VOL'!$N$2:$CG$65,MATCH($D32,'Monthly VOL'!$D$2:$D$65,0),MATCH(T$1,'Monthly VOL'!$N$1:$CG$1,0))/INDEX('Monthly CUST'!$N$2:$CG$65,MATCH($D32,'Monthly CUST'!$D$2:$D$65,0),MATCH(T$1,'Monthly CUST'!$N$1:$CG$1,0)),0)</f>
        <v>8.5084745762711869</v>
      </c>
      <c r="U32" s="56">
        <f>IFERROR(INDEX('Monthly VOL'!$N$2:$CG$65,MATCH($D32,'Monthly VOL'!$D$2:$D$65,0),MATCH(U$1,'Monthly VOL'!$N$1:$CG$1,0))/INDEX('Monthly CUST'!$N$2:$CG$65,MATCH($D32,'Monthly CUST'!$D$2:$D$65,0),MATCH(U$1,'Monthly CUST'!$N$1:$CG$1,0)),0)</f>
        <v>8.7444999999999986</v>
      </c>
      <c r="V32" s="56">
        <f>IFERROR(INDEX('Monthly VOL'!$N$2:$CG$65,MATCH($D32,'Monthly VOL'!$D$2:$D$65,0),MATCH(V$1,'Monthly VOL'!$N$1:$CG$1,0))/INDEX('Monthly CUST'!$N$2:$CG$65,MATCH($D32,'Monthly CUST'!$D$2:$D$65,0),MATCH(V$1,'Monthly CUST'!$N$1:$CG$1,0)),0)</f>
        <v>9.4056666666666668</v>
      </c>
      <c r="W32" s="56">
        <f>IFERROR(INDEX('Monthly VOL'!$N$2:$CG$65,MATCH($D32,'Monthly VOL'!$D$2:$D$65,0),MATCH(W$1,'Monthly VOL'!$N$1:$CG$1,0))/INDEX('Monthly CUST'!$N$2:$CG$65,MATCH($D32,'Monthly CUST'!$D$2:$D$65,0),MATCH(W$1,'Monthly CUST'!$N$1:$CG$1,0)),0)</f>
        <v>8.2327868852459023</v>
      </c>
      <c r="X32" s="56">
        <f>IFERROR(INDEX('Monthly VOL'!$N$2:$CG$65,MATCH($D32,'Monthly VOL'!$D$2:$D$65,0),MATCH(X$1,'Monthly VOL'!$N$1:$CG$1,0))/INDEX('Monthly CUST'!$N$2:$CG$65,MATCH($D32,'Monthly CUST'!$D$2:$D$65,0),MATCH(X$1,'Monthly CUST'!$N$1:$CG$1,0)),0)</f>
        <v>11.101525423728814</v>
      </c>
      <c r="Y32" s="56">
        <f>IFERROR(INDEX('Monthly VOL'!$N$2:$CG$65,MATCH($D32,'Monthly VOL'!$D$2:$D$65,0),MATCH(Y$1,'Monthly VOL'!$N$1:$CG$1,0))/INDEX('Monthly CUST'!$N$2:$CG$65,MATCH($D32,'Monthly CUST'!$D$2:$D$65,0),MATCH(Y$1,'Monthly CUST'!$N$1:$CG$1,0)),0)</f>
        <v>13.720338983050848</v>
      </c>
      <c r="Z32" s="56">
        <f>IFERROR(INDEX('Monthly VOL'!$N$2:$CG$65,MATCH($D32,'Monthly VOL'!$D$2:$D$65,0),MATCH(Z$1,'Monthly VOL'!$N$1:$CG$1,0))/INDEX('Monthly CUST'!$N$2:$CG$65,MATCH($D32,'Monthly CUST'!$D$2:$D$65,0),MATCH(Z$1,'Monthly CUST'!$N$1:$CG$1,0)),0)</f>
        <v>15.213606557377048</v>
      </c>
      <c r="AA32" s="56">
        <f>IFERROR(INDEX('Monthly VOL'!$N$2:$CG$65,MATCH($D32,'Monthly VOL'!$D$2:$D$65,0),MATCH(AA$1,'Monthly VOL'!$N$1:$CG$1,0))/INDEX('Monthly CUST'!$N$2:$CG$65,MATCH($D32,'Monthly CUST'!$D$2:$D$65,0),MATCH(AA$1,'Monthly CUST'!$N$1:$CG$1,0)),0)</f>
        <v>14.46516129032258</v>
      </c>
      <c r="AB32" s="56">
        <f>IFERROR(INDEX('Monthly VOL'!$N$2:$CG$65,MATCH($D32,'Monthly VOL'!$D$2:$D$65,0),MATCH(AB$1,'Monthly VOL'!$N$1:$CG$1,0))/INDEX('Monthly CUST'!$N$2:$CG$65,MATCH($D32,'Monthly CUST'!$D$2:$D$65,0),MATCH(AB$1,'Monthly CUST'!$N$1:$CG$1,0)),0)</f>
        <v>11.738688524590163</v>
      </c>
      <c r="AC32" s="56">
        <f>IFERROR(INDEX('Monthly VOL'!$N$2:$CG$65,MATCH($D32,'Monthly VOL'!$D$2:$D$65,0),MATCH(AC$1,'Monthly VOL'!$N$1:$CG$1,0))/INDEX('Monthly CUST'!$N$2:$CG$65,MATCH($D32,'Monthly CUST'!$D$2:$D$65,0),MATCH(AC$1,'Monthly CUST'!$N$1:$CG$1,0)),0)</f>
        <v>11.037258064516129</v>
      </c>
      <c r="AD32" s="56">
        <f>IFERROR(INDEX('Monthly VOL'!$N$2:$CG$65,MATCH($D32,'Monthly VOL'!$D$2:$D$65,0),MATCH(AD$1,'Monthly VOL'!$N$1:$CG$1,0))/INDEX('Monthly CUST'!$N$2:$CG$65,MATCH($D32,'Monthly CUST'!$D$2:$D$65,0),MATCH(AD$1,'Monthly CUST'!$N$1:$CG$1,0)),0)</f>
        <v>10.745967741935484</v>
      </c>
      <c r="AE32" s="56">
        <f>IFERROR(INDEX('Monthly VOL'!$N$2:$CG$65,MATCH($D32,'Monthly VOL'!$D$2:$D$65,0),MATCH(AE$1,'Monthly VOL'!$N$1:$CG$1,0))/INDEX('Monthly CUST'!$N$2:$CG$65,MATCH($D32,'Monthly CUST'!$D$2:$D$65,0),MATCH(AE$1,'Monthly CUST'!$N$1:$CG$1,0)),0)</f>
        <v>8.6133870967741935</v>
      </c>
      <c r="AF32" s="56">
        <f>IFERROR(INDEX('Monthly VOL'!$N$2:$CG$65,MATCH($D32,'Monthly VOL'!$D$2:$D$65,0),MATCH(AF$1,'Monthly VOL'!$N$1:$CG$1,0))/INDEX('Monthly CUST'!$N$2:$CG$65,MATCH($D32,'Monthly CUST'!$D$2:$D$65,0),MATCH(AF$1,'Monthly CUST'!$N$1:$CG$1,0)),0)</f>
        <v>8.1044262295081975</v>
      </c>
      <c r="AG32" s="56">
        <f>IFERROR(INDEX('Monthly VOL'!$N$2:$CG$65,MATCH($D32,'Monthly VOL'!$D$2:$D$65,0),MATCH(AG$1,'Monthly VOL'!$N$1:$CG$1,0))/INDEX('Monthly CUST'!$N$2:$CG$65,MATCH($D32,'Monthly CUST'!$D$2:$D$65,0),MATCH(AG$1,'Monthly CUST'!$N$1:$CG$1,0)),0)</f>
        <v>9.2751666666666672</v>
      </c>
      <c r="AH32" s="56">
        <f>IFERROR(INDEX('Monthly VOL'!$N$2:$CG$65,MATCH($D32,'Monthly VOL'!$D$2:$D$65,0),MATCH(AH$1,'Monthly VOL'!$N$1:$CG$1,0))/INDEX('Monthly CUST'!$N$2:$CG$65,MATCH($D32,'Monthly CUST'!$D$2:$D$65,0),MATCH(AH$1,'Monthly CUST'!$N$1:$CG$1,0)),0)</f>
        <v>9.2545000000000002</v>
      </c>
      <c r="AI32" s="56">
        <f>IFERROR(INDEX('Monthly VOL'!$N$2:$CG$65,MATCH($D32,'Monthly VOL'!$D$2:$D$65,0),MATCH(AI$1,'Monthly VOL'!$N$1:$CG$1,0))/INDEX('Monthly CUST'!$N$2:$CG$65,MATCH($D32,'Monthly CUST'!$D$2:$D$65,0),MATCH(AI$1,'Monthly CUST'!$N$1:$CG$1,0)),0)</f>
        <v>9.31952380952381</v>
      </c>
      <c r="AJ32" s="56">
        <f>IFERROR(INDEX('Monthly VOL'!$N$2:$CG$65,MATCH($D32,'Monthly VOL'!$D$2:$D$65,0),MATCH(AJ$1,'Monthly VOL'!$N$1:$CG$1,0))/INDEX('Monthly CUST'!$N$2:$CG$65,MATCH($D32,'Monthly CUST'!$D$2:$D$65,0),MATCH(AJ$1,'Monthly CUST'!$N$1:$CG$1,0)),0)</f>
        <v>11.239193548387098</v>
      </c>
      <c r="AK32" s="56">
        <f>IFERROR(INDEX('Monthly VOL'!$N$2:$CG$65,MATCH($D32,'Monthly VOL'!$D$2:$D$65,0),MATCH(AK$1,'Monthly VOL'!$N$1:$CG$1,0))/INDEX('Monthly CUST'!$N$2:$CG$65,MATCH($D32,'Monthly CUST'!$D$2:$D$65,0),MATCH(AK$1,'Monthly CUST'!$N$1:$CG$1,0)),0)</f>
        <v>15.090781249999999</v>
      </c>
      <c r="AL32" s="56">
        <f>IFERROR(INDEX('Monthly VOL'!$N$2:$CG$65,MATCH($D32,'Monthly VOL'!$D$2:$D$65,0),MATCH(AL$1,'Monthly VOL'!$N$1:$CG$1,0))/INDEX('Monthly CUST'!$N$2:$CG$65,MATCH($D32,'Monthly CUST'!$D$2:$D$65,0),MATCH(AL$1,'Monthly CUST'!$N$1:$CG$1,0)),0)</f>
        <v>14.733809523809525</v>
      </c>
      <c r="AM32" s="56">
        <f>IFERROR(INDEX('Monthly VOL'!$N$2:$CG$65,MATCH($D32,'Monthly VOL'!$D$2:$D$65,0),MATCH(AM$1,'Monthly VOL'!$N$1:$CG$1,0))/INDEX('Monthly CUST'!$N$2:$CG$65,MATCH($D32,'Monthly CUST'!$D$2:$D$65,0),MATCH(AM$1,'Monthly CUST'!$N$1:$CG$1,0)),0)</f>
        <v>14.260655737704917</v>
      </c>
      <c r="AN32" s="56">
        <f>IFERROR(INDEX('Monthly VOL'!$N$2:$CG$65,MATCH($D32,'Monthly VOL'!$D$2:$D$65,0),MATCH(AN$1,'Monthly VOL'!$N$1:$CG$1,0))/INDEX('Monthly CUST'!$N$2:$CG$65,MATCH($D32,'Monthly CUST'!$D$2:$D$65,0),MATCH(AN$1,'Monthly CUST'!$N$1:$CG$1,0)),0)</f>
        <v>11.824918032786886</v>
      </c>
      <c r="AO32" s="56">
        <f>IFERROR(INDEX('Monthly VOL'!$N$2:$CG$65,MATCH($D32,'Monthly VOL'!$D$2:$D$65,0),MATCH(AO$1,'Monthly VOL'!$N$1:$CG$1,0))/INDEX('Monthly CUST'!$N$2:$CG$65,MATCH($D32,'Monthly CUST'!$D$2:$D$65,0),MATCH(AO$1,'Monthly CUST'!$N$1:$CG$1,0)),0)</f>
        <v>11.310645161290322</v>
      </c>
      <c r="AP32" s="56">
        <f>IFERROR(INDEX('Monthly VOL'!$N$2:$CG$65,MATCH($D32,'Monthly VOL'!$D$2:$D$65,0),MATCH(AP$1,'Monthly VOL'!$N$1:$CG$1,0))/INDEX('Monthly CUST'!$N$2:$CG$65,MATCH($D32,'Monthly CUST'!$D$2:$D$65,0),MATCH(AP$1,'Monthly CUST'!$N$1:$CG$1,0)),0)</f>
        <v>10.689666666666666</v>
      </c>
      <c r="AQ32" s="56">
        <f>IFERROR(INDEX('Monthly VOL'!$N$2:$CG$65,MATCH($D32,'Monthly VOL'!$D$2:$D$65,0),MATCH(AQ$1,'Monthly VOL'!$N$1:$CG$1,0))/INDEX('Monthly CUST'!$N$2:$CG$65,MATCH($D32,'Monthly CUST'!$D$2:$D$65,0),MATCH(AQ$1,'Monthly CUST'!$N$1:$CG$1,0)),0)</f>
        <v>9.3261666666666674</v>
      </c>
      <c r="AR32" s="56">
        <f>IFERROR(INDEX('Monthly VOL'!$N$2:$CG$65,MATCH($D32,'Monthly VOL'!$D$2:$D$65,0),MATCH(AR$1,'Monthly VOL'!$N$1:$CG$1,0))/INDEX('Monthly CUST'!$N$2:$CG$65,MATCH($D32,'Monthly CUST'!$D$2:$D$65,0),MATCH(AR$1,'Monthly CUST'!$N$1:$CG$1,0)),0)</f>
        <v>9.7375000000000007</v>
      </c>
      <c r="AS32" s="56">
        <f>IFERROR(INDEX('Monthly VOL'!$N$2:$CG$65,MATCH($D32,'Monthly VOL'!$D$2:$D$65,0),MATCH(AS$1,'Monthly VOL'!$N$1:$CG$1,0))/INDEX('Monthly CUST'!$N$2:$CG$65,MATCH($D32,'Monthly CUST'!$D$2:$D$65,0),MATCH(AS$1,'Monthly CUST'!$N$1:$CG$1,0)),0)</f>
        <v>8.7765573770491798</v>
      </c>
      <c r="AT32" s="56">
        <f>IFERROR(INDEX('Monthly VOL'!$N$2:$CG$65,MATCH($D32,'Monthly VOL'!$D$2:$D$65,0),MATCH(AT$1,'Monthly VOL'!$N$1:$CG$1,0))/INDEX('Monthly CUST'!$N$2:$CG$65,MATCH($D32,'Monthly CUST'!$D$2:$D$65,0),MATCH(AT$1,'Monthly CUST'!$N$1:$CG$1,0)),0)</f>
        <v>8.9742622950819673</v>
      </c>
      <c r="AU32" s="56">
        <f>IFERROR(INDEX('Monthly VOL'!$N$2:$CG$65,MATCH($D32,'Monthly VOL'!$D$2:$D$65,0),MATCH(AU$1,'Monthly VOL'!$N$1:$CG$1,0))/INDEX('Monthly CUST'!$N$2:$CG$65,MATCH($D32,'Monthly CUST'!$D$2:$D$65,0),MATCH(AU$1,'Monthly CUST'!$N$1:$CG$1,0)),0)</f>
        <v>8.5782539682539678</v>
      </c>
      <c r="AV32" s="56">
        <f>IFERROR(INDEX('Monthly VOL'!$N$2:$CG$65,MATCH($D32,'Monthly VOL'!$D$2:$D$65,0),MATCH(AV$1,'Monthly VOL'!$N$1:$CG$1,0))/INDEX('Monthly CUST'!$N$2:$CG$65,MATCH($D32,'Monthly CUST'!$D$2:$D$65,0),MATCH(AV$1,'Monthly CUST'!$N$1:$CG$1,0)),0)</f>
        <v>9.9670967741935481</v>
      </c>
      <c r="AW32" s="56">
        <f>IFERROR(INDEX('Monthly VOL'!$N$2:$CG$65,MATCH($D32,'Monthly VOL'!$D$2:$D$65,0),MATCH(AW$1,'Monthly VOL'!$N$1:$CG$1,0))/INDEX('Monthly CUST'!$N$2:$CG$65,MATCH($D32,'Monthly CUST'!$D$2:$D$65,0),MATCH(AW$1,'Monthly CUST'!$N$1:$CG$1,0)),0)</f>
        <v>14.678225806451612</v>
      </c>
      <c r="AX32" s="56">
        <f>IFERROR(INDEX('Monthly VOL'!$N$2:$CG$65,MATCH($D32,'Monthly VOL'!$D$2:$D$65,0),MATCH(AX$1,'Monthly VOL'!$N$1:$CG$1,0))/INDEX('Monthly CUST'!$N$2:$CG$65,MATCH($D32,'Monthly CUST'!$D$2:$D$65,0),MATCH(AX$1,'Monthly CUST'!$N$1:$CG$1,0)),0)</f>
        <v>15.878225806451614</v>
      </c>
      <c r="AY32" s="56">
        <f>IFERROR(INDEX('Monthly VOL'!$N$2:$CG$65,MATCH($D32,'Monthly VOL'!$D$2:$D$65,0),MATCH(AY$1,'Monthly VOL'!$N$1:$CG$1,0))/INDEX('Monthly CUST'!$N$2:$CG$65,MATCH($D32,'Monthly CUST'!$D$2:$D$65,0),MATCH(AY$1,'Monthly CUST'!$N$1:$CG$1,0)),0)</f>
        <v>12.136774193548387</v>
      </c>
      <c r="AZ32" s="56">
        <f>IFERROR(INDEX('Monthly VOL'!$N$2:$CG$65,MATCH($D32,'Monthly VOL'!$D$2:$D$65,0),MATCH(AZ$1,'Monthly VOL'!$N$1:$CG$1,0))/INDEX('Monthly CUST'!$N$2:$CG$65,MATCH($D32,'Monthly CUST'!$D$2:$D$65,0),MATCH(AZ$1,'Monthly CUST'!$N$1:$CG$1,0)),0)</f>
        <v>10.673548387096774</v>
      </c>
      <c r="BA32" s="56">
        <f>IFERROR(INDEX('Monthly VOL'!$N$2:$CG$65,MATCH($D32,'Monthly VOL'!$D$2:$D$65,0),MATCH(BA$1,'Monthly VOL'!$N$1:$CG$1,0))/INDEX('Monthly CUST'!$N$2:$CG$65,MATCH($D32,'Monthly CUST'!$D$2:$D$65,0),MATCH(BA$1,'Monthly CUST'!$N$1:$CG$1,0)),0)</f>
        <v>11.209354838709677</v>
      </c>
      <c r="BB32" s="56">
        <f>IFERROR(INDEX('Monthly VOL'!$N$2:$CG$65,MATCH($D32,'Monthly VOL'!$D$2:$D$65,0),MATCH(BB$1,'Monthly VOL'!$N$1:$CG$1,0))/INDEX('Monthly CUST'!$N$2:$CG$65,MATCH($D32,'Monthly CUST'!$D$2:$D$65,0),MATCH(BB$1,'Monthly CUST'!$N$1:$CG$1,0)),0)</f>
        <v>8.2993548387096769</v>
      </c>
      <c r="BC32" s="56">
        <f>IFERROR(INDEX('Monthly VOL'!$N$2:$CG$65,MATCH($D32,'Monthly VOL'!$D$2:$D$65,0),MATCH(BC$1,'Monthly VOL'!$N$1:$CG$1,0))/INDEX('Monthly CUST'!$N$2:$CG$65,MATCH($D32,'Monthly CUST'!$D$2:$D$65,0),MATCH(BC$1,'Monthly CUST'!$N$1:$CG$1,0)),0)</f>
        <v>8.6840983606557387</v>
      </c>
      <c r="BD32" s="56">
        <f>IFERROR(INDEX('Monthly VOL'!$N$2:$CG$65,MATCH($D32,'Monthly VOL'!$D$2:$D$65,0),MATCH(BD$1,'Monthly VOL'!$N$1:$CG$1,0))/INDEX('Monthly CUST'!$N$2:$CG$65,MATCH($D32,'Monthly CUST'!$D$2:$D$65,0),MATCH(BD$1,'Monthly CUST'!$N$1:$CG$1,0)),0)</f>
        <v>11.643934426229508</v>
      </c>
      <c r="BE32" s="56">
        <f>IFERROR(INDEX('Monthly VOL'!$N$2:$CG$65,MATCH($D32,'Monthly VOL'!$D$2:$D$65,0),MATCH(BE$1,'Monthly VOL'!$N$1:$CG$1,0))/INDEX('Monthly CUST'!$N$2:$CG$65,MATCH($D32,'Monthly CUST'!$D$2:$D$65,0),MATCH(BE$1,'Monthly CUST'!$N$1:$CG$1,0)),0)</f>
        <v>9.129032258064516</v>
      </c>
      <c r="BF32" s="56">
        <f>IFERROR(INDEX('Monthly VOL'!$N$2:$CG$65,MATCH($D32,'Monthly VOL'!$D$2:$D$65,0),MATCH(BF$1,'Monthly VOL'!$N$1:$CG$1,0))/INDEX('Monthly CUST'!$N$2:$CG$65,MATCH($D32,'Monthly CUST'!$D$2:$D$65,0),MATCH(BF$1,'Monthly CUST'!$N$1:$CG$1,0)),0)</f>
        <v>10.031451612903227</v>
      </c>
      <c r="BG32" s="56">
        <f>IFERROR(INDEX('Monthly VOL'!$N$2:$CG$65,MATCH($D32,'Monthly VOL'!$D$2:$D$65,0),MATCH(BG$1,'Monthly VOL'!$N$1:$CG$1,0))/INDEX('Monthly CUST'!$N$2:$CG$65,MATCH($D32,'Monthly CUST'!$D$2:$D$65,0),MATCH(BG$1,'Monthly CUST'!$N$1:$CG$1,0)),0)</f>
        <v>9.5708196721311491</v>
      </c>
      <c r="BH32" s="56">
        <f>IFERROR(INDEX('Monthly VOL'!$N$2:$CG$65,MATCH($D32,'Monthly VOL'!$D$2:$D$65,0),MATCH(BH$1,'Monthly VOL'!$N$1:$CG$1,0))/INDEX('Monthly CUST'!$N$2:$CG$65,MATCH($D32,'Monthly CUST'!$D$2:$D$65,0),MATCH(BH$1,'Monthly CUST'!$N$1:$CG$1,0)),0)</f>
        <v>10.512295081967213</v>
      </c>
      <c r="BI32" s="56">
        <f>IFERROR(INDEX('Monthly VOL'!$N$2:$CG$65,MATCH($D32,'Monthly VOL'!$D$2:$D$65,0),MATCH(BI$1,'Monthly VOL'!$N$1:$CG$1,0))/INDEX('Monthly CUST'!$N$2:$CG$65,MATCH($D32,'Monthly CUST'!$D$2:$D$65,0),MATCH(BI$1,'Monthly CUST'!$N$1:$CG$1,0)),0)</f>
        <v>14.053870967741936</v>
      </c>
      <c r="BJ32" s="56">
        <f>IFERROR(INDEX('Monthly VOL'!$N$2:$CG$65,MATCH($D32,'Monthly VOL'!$D$2:$D$65,0),MATCH(BJ$1,'Monthly VOL'!$N$1:$CG$1,0))/INDEX('Monthly CUST'!$N$2:$CG$65,MATCH($D32,'Monthly CUST'!$D$2:$D$65,0),MATCH(BJ$1,'Monthly CUST'!$N$1:$CG$1,0)),0)</f>
        <v>15.878225806451614</v>
      </c>
      <c r="BK32" s="56">
        <f>IFERROR(INDEX('Monthly VOL'!$N$2:$CG$65,MATCH($D32,'Monthly VOL'!$D$2:$D$65,0),MATCH(BK$1,'Monthly VOL'!$N$1:$CG$1,0))/INDEX('Monthly CUST'!$N$2:$CG$65,MATCH($D32,'Monthly CUST'!$D$2:$D$65,0),MATCH(BK$1,'Monthly CUST'!$N$1:$CG$1,0)),0)</f>
        <v>12.136774193548387</v>
      </c>
      <c r="BL32" s="56">
        <f>IFERROR(INDEX('Monthly VOL'!$N$2:$CG$65,MATCH($D32,'Monthly VOL'!$D$2:$D$65,0),MATCH(BL$1,'Monthly VOL'!$N$1:$CG$1,0))/INDEX('Monthly CUST'!$N$2:$CG$65,MATCH($D32,'Monthly CUST'!$D$2:$D$65,0),MATCH(BL$1,'Monthly CUST'!$N$1:$CG$1,0)),0)</f>
        <v>10.673548387096774</v>
      </c>
      <c r="BM32" s="56">
        <f>IFERROR(INDEX('Monthly VOL'!$N$2:$CG$65,MATCH($D32,'Monthly VOL'!$D$2:$D$65,0),MATCH(BM$1,'Monthly VOL'!$N$1:$CG$1,0))/INDEX('Monthly CUST'!$N$2:$CG$65,MATCH($D32,'Monthly CUST'!$D$2:$D$65,0),MATCH(BM$1,'Monthly CUST'!$N$1:$CG$1,0)),0)</f>
        <v>11.209354838709677</v>
      </c>
      <c r="BN32" s="56">
        <f>IFERROR(INDEX('Monthly VOL'!$N$2:$CG$65,MATCH($D32,'Monthly VOL'!$D$2:$D$65,0),MATCH(BN$1,'Monthly VOL'!$N$1:$CG$1,0))/INDEX('Monthly CUST'!$N$2:$CG$65,MATCH($D32,'Monthly CUST'!$D$2:$D$65,0),MATCH(BN$1,'Monthly CUST'!$N$1:$CG$1,0)),0)</f>
        <v>8.2993548387096769</v>
      </c>
      <c r="BO32" s="56">
        <f>IFERROR(INDEX('Monthly VOL'!$N$2:$CG$65,MATCH($D32,'Monthly VOL'!$D$2:$D$65,0),MATCH(BO$1,'Monthly VOL'!$N$1:$CG$1,0))/INDEX('Monthly CUST'!$N$2:$CG$65,MATCH($D32,'Monthly CUST'!$D$2:$D$65,0),MATCH(BO$1,'Monthly CUST'!$N$1:$CG$1,0)),0)</f>
        <v>8.6840983606557387</v>
      </c>
      <c r="BP32" s="56">
        <f>IFERROR(INDEX('Monthly VOL'!$N$2:$CG$65,MATCH($D32,'Monthly VOL'!$D$2:$D$65,0),MATCH(BP$1,'Monthly VOL'!$N$1:$CG$1,0))/INDEX('Monthly CUST'!$N$2:$CG$65,MATCH($D32,'Monthly CUST'!$D$2:$D$65,0),MATCH(BP$1,'Monthly CUST'!$N$1:$CG$1,0)),0)</f>
        <v>11.643934426229508</v>
      </c>
      <c r="BQ32" s="56">
        <f>IFERROR(INDEX('Monthly VOL'!$N$2:$CG$65,MATCH($D32,'Monthly VOL'!$D$2:$D$65,0),MATCH(BQ$1,'Monthly VOL'!$N$1:$CG$1,0))/INDEX('Monthly CUST'!$N$2:$CG$65,MATCH($D32,'Monthly CUST'!$D$2:$D$65,0),MATCH(BQ$1,'Monthly CUST'!$N$1:$CG$1,0)),0)</f>
        <v>9.129032258064516</v>
      </c>
      <c r="BR32" s="56">
        <f>IFERROR(INDEX('Monthly VOL'!$N$2:$CG$65,MATCH($D32,'Monthly VOL'!$D$2:$D$65,0),MATCH(BR$1,'Monthly VOL'!$N$1:$CG$1,0))/INDEX('Monthly CUST'!$N$2:$CG$65,MATCH($D32,'Monthly CUST'!$D$2:$D$65,0),MATCH(BR$1,'Monthly CUST'!$N$1:$CG$1,0)),0)</f>
        <v>10.031451612903227</v>
      </c>
      <c r="BS32" s="56">
        <f>IFERROR(INDEX('Monthly VOL'!$N$2:$CG$65,MATCH($D32,'Monthly VOL'!$D$2:$D$65,0),MATCH(BS$1,'Monthly VOL'!$N$1:$CG$1,0))/INDEX('Monthly CUST'!$N$2:$CG$65,MATCH($D32,'Monthly CUST'!$D$2:$D$65,0),MATCH(BS$1,'Monthly CUST'!$N$1:$CG$1,0)),0)</f>
        <v>9.5708196721311491</v>
      </c>
      <c r="BT32" s="56">
        <f>IFERROR(INDEX('Monthly VOL'!$N$2:$CG$65,MATCH($D32,'Monthly VOL'!$D$2:$D$65,0),MATCH(BT$1,'Monthly VOL'!$N$1:$CG$1,0))/INDEX('Monthly CUST'!$N$2:$CG$65,MATCH($D32,'Monthly CUST'!$D$2:$D$65,0),MATCH(BT$1,'Monthly CUST'!$N$1:$CG$1,0)),0)</f>
        <v>10.512295081967213</v>
      </c>
      <c r="BU32" s="56">
        <f>IFERROR(INDEX('Monthly VOL'!$N$2:$CG$65,MATCH($D32,'Monthly VOL'!$D$2:$D$65,0),MATCH(BU$1,'Monthly VOL'!$N$1:$CG$1,0))/INDEX('Monthly CUST'!$N$2:$CG$65,MATCH($D32,'Monthly CUST'!$D$2:$D$65,0),MATCH(BU$1,'Monthly CUST'!$N$1:$CG$1,0)),0)</f>
        <v>14.053870967741936</v>
      </c>
      <c r="BV32" s="56">
        <f>IFERROR(INDEX('Monthly VOL'!$N$2:$CG$65,MATCH($D32,'Monthly VOL'!$D$2:$D$65,0),MATCH(BV$1,'Monthly VOL'!$N$1:$CG$1,0))/INDEX('Monthly CUST'!$N$2:$CG$65,MATCH($D32,'Monthly CUST'!$D$2:$D$65,0),MATCH(BV$1,'Monthly CUST'!$N$1:$CG$1,0)),0)</f>
        <v>15.878225806451614</v>
      </c>
      <c r="BW32" s="56">
        <f>IFERROR(INDEX('Monthly VOL'!$N$2:$CG$65,MATCH($D32,'Monthly VOL'!$D$2:$D$65,0),MATCH(BW$1,'Monthly VOL'!$N$1:$CG$1,0))/INDEX('Monthly CUST'!$N$2:$CG$65,MATCH($D32,'Monthly CUST'!$D$2:$D$65,0),MATCH(BW$1,'Monthly CUST'!$N$1:$CG$1,0)),0)</f>
        <v>12.136774193548387</v>
      </c>
      <c r="BX32" s="56">
        <f>IFERROR(INDEX('Monthly VOL'!$N$2:$CG$65,MATCH($D32,'Monthly VOL'!$D$2:$D$65,0),MATCH(BX$1,'Monthly VOL'!$N$1:$CG$1,0))/INDEX('Monthly CUST'!$N$2:$CG$65,MATCH($D32,'Monthly CUST'!$D$2:$D$65,0),MATCH(BX$1,'Monthly CUST'!$N$1:$CG$1,0)),0)</f>
        <v>10.673548387096774</v>
      </c>
      <c r="BY32" s="56">
        <f>IFERROR(INDEX('Monthly VOL'!$N$2:$CG$65,MATCH($D32,'Monthly VOL'!$D$2:$D$65,0),MATCH(BY$1,'Monthly VOL'!$N$1:$CG$1,0))/INDEX('Monthly CUST'!$N$2:$CG$65,MATCH($D32,'Monthly CUST'!$D$2:$D$65,0),MATCH(BY$1,'Monthly CUST'!$N$1:$CG$1,0)),0)</f>
        <v>11.209354838709677</v>
      </c>
      <c r="BZ32" s="56">
        <f>IFERROR(INDEX('Monthly VOL'!$N$2:$CG$65,MATCH($D32,'Monthly VOL'!$D$2:$D$65,0),MATCH(BZ$1,'Monthly VOL'!$N$1:$CG$1,0))/INDEX('Monthly CUST'!$N$2:$CG$65,MATCH($D32,'Monthly CUST'!$D$2:$D$65,0),MATCH(BZ$1,'Monthly CUST'!$N$1:$CG$1,0)),0)</f>
        <v>8.2993548387096769</v>
      </c>
      <c r="CA32" s="56">
        <f>IFERROR(INDEX('Monthly VOL'!$N$2:$CG$65,MATCH($D32,'Monthly VOL'!$D$2:$D$65,0),MATCH(CA$1,'Monthly VOL'!$N$1:$CG$1,0))/INDEX('Monthly CUST'!$N$2:$CG$65,MATCH($D32,'Monthly CUST'!$D$2:$D$65,0),MATCH(CA$1,'Monthly CUST'!$N$1:$CG$1,0)),0)</f>
        <v>8.6840983606557387</v>
      </c>
      <c r="CB32" s="56">
        <f>IFERROR(INDEX('Monthly VOL'!$N$2:$CG$65,MATCH($D32,'Monthly VOL'!$D$2:$D$65,0),MATCH(CB$1,'Monthly VOL'!$N$1:$CG$1,0))/INDEX('Monthly CUST'!$N$2:$CG$65,MATCH($D32,'Monthly CUST'!$D$2:$D$65,0),MATCH(CB$1,'Monthly CUST'!$N$1:$CG$1,0)),0)</f>
        <v>11.643934426229507</v>
      </c>
      <c r="CC32" s="56">
        <f>IFERROR(INDEX('Monthly VOL'!$N$2:$CG$65,MATCH($D32,'Monthly VOL'!$D$2:$D$65,0),MATCH(CC$1,'Monthly VOL'!$N$1:$CG$1,0))/INDEX('Monthly CUST'!$N$2:$CG$65,MATCH($D32,'Monthly CUST'!$D$2:$D$65,0),MATCH(CC$1,'Monthly CUST'!$N$1:$CG$1,0)),0)</f>
        <v>9.129032258064516</v>
      </c>
      <c r="CD32" s="56">
        <f>IFERROR(INDEX('Monthly VOL'!$N$2:$CG$65,MATCH($D32,'Monthly VOL'!$D$2:$D$65,0),MATCH(CD$1,'Monthly VOL'!$N$1:$CG$1,0))/INDEX('Monthly CUST'!$N$2:$CG$65,MATCH($D32,'Monthly CUST'!$D$2:$D$65,0),MATCH(CD$1,'Monthly CUST'!$N$1:$CG$1,0)),0)</f>
        <v>10.031451612903227</v>
      </c>
      <c r="CE32" s="56">
        <f>IFERROR(INDEX('Monthly VOL'!$N$2:$CG$65,MATCH($D32,'Monthly VOL'!$D$2:$D$65,0),MATCH(CE$1,'Monthly VOL'!$N$1:$CG$1,0))/INDEX('Monthly CUST'!$N$2:$CG$65,MATCH($D32,'Monthly CUST'!$D$2:$D$65,0),MATCH(CE$1,'Monthly CUST'!$N$1:$CG$1,0)),0)</f>
        <v>9.5708196721311491</v>
      </c>
      <c r="CF32" s="56">
        <f>IFERROR(INDEX('Monthly VOL'!$N$2:$CG$65,MATCH($D32,'Monthly VOL'!$D$2:$D$65,0),MATCH(CF$1,'Monthly VOL'!$N$1:$CG$1,0))/INDEX('Monthly CUST'!$N$2:$CG$65,MATCH($D32,'Monthly CUST'!$D$2:$D$65,0),MATCH(CF$1,'Monthly CUST'!$N$1:$CG$1,0)),0)</f>
        <v>10.512295081967213</v>
      </c>
      <c r="CG32" s="56">
        <f>IFERROR(INDEX('Monthly VOL'!$N$2:$CG$65,MATCH($D32,'Monthly VOL'!$D$2:$D$65,0),MATCH(CG$1,'Monthly VOL'!$N$1:$CG$1,0))/INDEX('Monthly CUST'!$N$2:$CG$65,MATCH($D32,'Monthly CUST'!$D$2:$D$65,0),MATCH(CG$1,'Monthly CUST'!$N$1:$CG$1,0)),0)</f>
        <v>14.053870967741936</v>
      </c>
      <c r="CH32" s="264"/>
      <c r="CI32" s="264"/>
      <c r="CJ32" s="264"/>
      <c r="CM32" s="569">
        <f t="shared" si="0"/>
        <v>15.275213962546061</v>
      </c>
      <c r="CN32" s="569">
        <f t="shared" si="1"/>
        <v>13.620863740525294</v>
      </c>
      <c r="CO32" s="569">
        <f t="shared" si="2"/>
        <v>11.412384981491273</v>
      </c>
      <c r="CP32" s="569">
        <f t="shared" si="3"/>
        <v>11.185752688172043</v>
      </c>
      <c r="CQ32" s="569">
        <f t="shared" si="4"/>
        <v>9.9116630824372738</v>
      </c>
      <c r="CR32" s="569">
        <f t="shared" si="5"/>
        <v>8.874550708032201</v>
      </c>
      <c r="CS32" s="569">
        <f t="shared" si="6"/>
        <v>9.8286202185792337</v>
      </c>
      <c r="CT32" s="569">
        <f t="shared" si="7"/>
        <v>9.0602521005934538</v>
      </c>
      <c r="CU32" s="569">
        <f t="shared" si="8"/>
        <v>9.4200713026617322</v>
      </c>
      <c r="CV32" s="569">
        <f t="shared" si="9"/>
        <v>9.1561991499696429</v>
      </c>
      <c r="CW32" s="569">
        <f t="shared" si="10"/>
        <v>10.572861801515954</v>
      </c>
      <c r="CX32" s="569">
        <f t="shared" si="11"/>
        <v>14.607626008064516</v>
      </c>
      <c r="CY32" s="569">
        <f t="shared" si="12"/>
        <v>15.275213962546061</v>
      </c>
      <c r="CZ32" s="569">
        <f t="shared" si="13"/>
        <v>13.620863740525294</v>
      </c>
      <c r="DA32" s="569">
        <f t="shared" si="14"/>
        <v>11.412384981491273</v>
      </c>
      <c r="DB32" s="569">
        <f t="shared" si="15"/>
        <v>11.185752688172043</v>
      </c>
      <c r="DC32" s="569">
        <f t="shared" si="16"/>
        <v>9.9116630824372738</v>
      </c>
      <c r="DD32" s="569">
        <f t="shared" si="17"/>
        <v>8.874550708032201</v>
      </c>
      <c r="DE32" s="569">
        <f t="shared" si="18"/>
        <v>9.8286202185792337</v>
      </c>
      <c r="DF32" s="569">
        <f t="shared" si="19"/>
        <v>9.0602521005934538</v>
      </c>
      <c r="DG32" s="569">
        <f t="shared" si="20"/>
        <v>9.4200713026617322</v>
      </c>
      <c r="DH32" s="569">
        <f t="shared" si="21"/>
        <v>9.1561991499696429</v>
      </c>
      <c r="DI32" s="569">
        <f t="shared" si="22"/>
        <v>10.572861801515954</v>
      </c>
      <c r="DJ32" s="569">
        <f t="shared" si="23"/>
        <v>14.607626008064516</v>
      </c>
    </row>
    <row r="33" spans="1:114" s="261" customFormat="1">
      <c r="A33" s="55" t="s">
        <v>17</v>
      </c>
      <c r="B33" s="55" t="s">
        <v>993</v>
      </c>
      <c r="C33" s="55" t="s">
        <v>1245</v>
      </c>
      <c r="D33" s="55" t="s">
        <v>1282</v>
      </c>
      <c r="E33" s="55" t="str">
        <f>VLOOKUP(D33,'Input 14_Ref Table'!C:D,2,FALSE)</f>
        <v>CC801</v>
      </c>
      <c r="F33" s="172" t="s">
        <v>1286</v>
      </c>
      <c r="G33" s="55" t="str">
        <f>VLOOKUP(D33,'Input 14_Ref Table'!C:I,7,FALSE)</f>
        <v>CFG - FTS-A NR</v>
      </c>
      <c r="H33" s="55" t="str">
        <f>VLOOKUP(D33,'Input 14_Ref Table'!C:K,8,FALSE)</f>
        <v>FTS_AB_C</v>
      </c>
      <c r="I33" s="55" t="e">
        <f>INDEX(#REF!,MATCH(D33,#REF!,0))</f>
        <v>#REF!</v>
      </c>
      <c r="J33" s="261" t="str">
        <f>INDEX('Master '!$AD$2:AD$65,MATCH(D33,'Master '!$D$2:$D$65,0))</f>
        <v>UPC Growth Rate</v>
      </c>
      <c r="K33" s="567">
        <f>INDEX('Master '!$N$2:N$65,MATCH(D33,'Master '!$D$2:$D$65,0))</f>
        <v>-8.9379418530954602E-2</v>
      </c>
      <c r="L33" s="290">
        <f>INDEX('Master '!$S$2:S$65,MATCH(D33,'Master '!$D$2:$D$65,0))</f>
        <v>-3.2809295967190781E-2</v>
      </c>
      <c r="M33" s="1">
        <f>INDEX('Master '!$W$2:W$65,MATCH(D33,'Master '!$D$2:$D$65,0))</f>
        <v>70.75</v>
      </c>
      <c r="N33" s="56">
        <f>IFERROR(INDEX('Monthly VOL'!$N$2:$CG$65,MATCH($D33,'Monthly VOL'!$D$2:$D$65,0),MATCH(N$1,'Monthly VOL'!$N$1:$CG$1,0))/INDEX('Monthly CUST'!$N$2:$CG$65,MATCH($D33,'Monthly CUST'!$D$2:$D$65,0),MATCH(N$1,'Monthly CUST'!$N$1:$CG$1,0)),0)</f>
        <v>8.4676923076923067</v>
      </c>
      <c r="O33" s="56">
        <f>IFERROR(INDEX('Monthly VOL'!$N$2:$CG$65,MATCH($D33,'Monthly VOL'!$D$2:$D$65,0),MATCH(O$1,'Monthly VOL'!$N$1:$CG$1,0))/INDEX('Monthly CUST'!$N$2:$CG$65,MATCH($D33,'Monthly CUST'!$D$2:$D$65,0),MATCH(O$1,'Monthly CUST'!$N$1:$CG$1,0)),0)</f>
        <v>3.0283333333333338</v>
      </c>
      <c r="P33" s="56">
        <f>IFERROR(INDEX('Monthly VOL'!$N$2:$CG$65,MATCH($D33,'Monthly VOL'!$D$2:$D$65,0),MATCH(P$1,'Monthly VOL'!$N$1:$CG$1,0))/INDEX('Monthly CUST'!$N$2:$CG$65,MATCH($D33,'Monthly CUST'!$D$2:$D$65,0),MATCH(P$1,'Monthly CUST'!$N$1:$CG$1,0)),0)</f>
        <v>3.4649999999999999</v>
      </c>
      <c r="Q33" s="56">
        <f>IFERROR(INDEX('Monthly VOL'!$N$2:$CG$65,MATCH($D33,'Monthly VOL'!$D$2:$D$65,0),MATCH(Q$1,'Monthly VOL'!$N$1:$CG$1,0))/INDEX('Monthly CUST'!$N$2:$CG$65,MATCH($D33,'Monthly CUST'!$D$2:$D$65,0),MATCH(Q$1,'Monthly CUST'!$N$1:$CG$1,0)),0)</f>
        <v>3.5525000000000002</v>
      </c>
      <c r="R33" s="56">
        <f>IFERROR(INDEX('Monthly VOL'!$N$2:$CG$65,MATCH($D33,'Monthly VOL'!$D$2:$D$65,0),MATCH(R$1,'Monthly VOL'!$N$1:$CG$1,0))/INDEX('Monthly CUST'!$N$2:$CG$65,MATCH($D33,'Monthly CUST'!$D$2:$D$65,0),MATCH(R$1,'Monthly CUST'!$N$1:$CG$1,0)),0)</f>
        <v>2.9408333333333334</v>
      </c>
      <c r="S33" s="56">
        <f>IFERROR(INDEX('Monthly VOL'!$N$2:$CG$65,MATCH($D33,'Monthly VOL'!$D$2:$D$65,0),MATCH(S$1,'Monthly VOL'!$N$1:$CG$1,0))/INDEX('Monthly CUST'!$N$2:$CG$65,MATCH($D33,'Monthly CUST'!$D$2:$D$65,0),MATCH(S$1,'Monthly CUST'!$N$1:$CG$1,0)),0)</f>
        <v>10.134166666666667</v>
      </c>
      <c r="T33" s="56">
        <f>IFERROR(INDEX('Monthly VOL'!$N$2:$CG$65,MATCH($D33,'Monthly VOL'!$D$2:$D$65,0),MATCH(T$1,'Monthly VOL'!$N$1:$CG$1,0))/INDEX('Monthly CUST'!$N$2:$CG$65,MATCH($D33,'Monthly CUST'!$D$2:$D$65,0),MATCH(T$1,'Monthly CUST'!$N$1:$CG$1,0)),0)</f>
        <v>2</v>
      </c>
      <c r="U33" s="56">
        <f>IFERROR(INDEX('Monthly VOL'!$N$2:$CG$65,MATCH($D33,'Monthly VOL'!$D$2:$D$65,0),MATCH(U$1,'Monthly VOL'!$N$1:$CG$1,0))/INDEX('Monthly CUST'!$N$2:$CG$65,MATCH($D33,'Monthly CUST'!$D$2:$D$65,0),MATCH(U$1,'Monthly CUST'!$N$1:$CG$1,0)),0)</f>
        <v>2.1591666666666667</v>
      </c>
      <c r="V33" s="56">
        <f>IFERROR(INDEX('Monthly VOL'!$N$2:$CG$65,MATCH($D33,'Monthly VOL'!$D$2:$D$65,0),MATCH(V$1,'Monthly VOL'!$N$1:$CG$1,0))/INDEX('Monthly CUST'!$N$2:$CG$65,MATCH($D33,'Monthly CUST'!$D$2:$D$65,0),MATCH(V$1,'Monthly CUST'!$N$1:$CG$1,0)),0)</f>
        <v>2.1625000000000001</v>
      </c>
      <c r="W33" s="56">
        <f>IFERROR(INDEX('Monthly VOL'!$N$2:$CG$65,MATCH($D33,'Monthly VOL'!$D$2:$D$65,0),MATCH(W$1,'Monthly VOL'!$N$1:$CG$1,0))/INDEX('Monthly CUST'!$N$2:$CG$65,MATCH($D33,'Monthly CUST'!$D$2:$D$65,0),MATCH(W$1,'Monthly CUST'!$N$1:$CG$1,0)),0)</f>
        <v>2.2508333333333335</v>
      </c>
      <c r="X33" s="56">
        <f>IFERROR(INDEX('Monthly VOL'!$N$2:$CG$65,MATCH($D33,'Monthly VOL'!$D$2:$D$65,0),MATCH(X$1,'Monthly VOL'!$N$1:$CG$1,0))/INDEX('Monthly CUST'!$N$2:$CG$65,MATCH($D33,'Monthly CUST'!$D$2:$D$65,0),MATCH(X$1,'Monthly CUST'!$N$1:$CG$1,0)),0)</f>
        <v>3.1183333333333336</v>
      </c>
      <c r="Y33" s="56">
        <f>IFERROR(INDEX('Monthly VOL'!$N$2:$CG$65,MATCH($D33,'Monthly VOL'!$D$2:$D$65,0),MATCH(Y$1,'Monthly VOL'!$N$1:$CG$1,0))/INDEX('Monthly CUST'!$N$2:$CG$65,MATCH($D33,'Monthly CUST'!$D$2:$D$65,0),MATCH(Y$1,'Monthly CUST'!$N$1:$CG$1,0)),0)</f>
        <v>3.3858333333333337</v>
      </c>
      <c r="Z33" s="56">
        <f>IFERROR(INDEX('Monthly VOL'!$N$2:$CG$65,MATCH($D33,'Monthly VOL'!$D$2:$D$65,0),MATCH(Z$1,'Monthly VOL'!$N$1:$CG$1,0))/INDEX('Monthly CUST'!$N$2:$CG$65,MATCH($D33,'Monthly CUST'!$D$2:$D$65,0),MATCH(Z$1,'Monthly CUST'!$N$1:$CG$1,0)),0)</f>
        <v>2.4208333333333334</v>
      </c>
      <c r="AA33" s="56">
        <f>IFERROR(INDEX('Monthly VOL'!$N$2:$CG$65,MATCH($D33,'Monthly VOL'!$D$2:$D$65,0),MATCH(AA$1,'Monthly VOL'!$N$1:$CG$1,0))/INDEX('Monthly CUST'!$N$2:$CG$65,MATCH($D33,'Monthly CUST'!$D$2:$D$65,0),MATCH(AA$1,'Monthly CUST'!$N$1:$CG$1,0)),0)</f>
        <v>2.9408333333333334</v>
      </c>
      <c r="AB33" s="56">
        <f>IFERROR(INDEX('Monthly VOL'!$N$2:$CG$65,MATCH($D33,'Monthly VOL'!$D$2:$D$65,0),MATCH(AB$1,'Monthly VOL'!$N$1:$CG$1,0))/INDEX('Monthly CUST'!$N$2:$CG$65,MATCH($D33,'Monthly CUST'!$D$2:$D$65,0),MATCH(AB$1,'Monthly CUST'!$N$1:$CG$1,0)),0)</f>
        <v>3.1141666666666663</v>
      </c>
      <c r="AC33" s="56">
        <f>IFERROR(INDEX('Monthly VOL'!$N$2:$CG$65,MATCH($D33,'Monthly VOL'!$D$2:$D$65,0),MATCH(AC$1,'Monthly VOL'!$N$1:$CG$1,0))/INDEX('Monthly CUST'!$N$2:$CG$65,MATCH($D33,'Monthly CUST'!$D$2:$D$65,0),MATCH(AC$1,'Monthly CUST'!$N$1:$CG$1,0)),0)</f>
        <v>2.4183333333333334</v>
      </c>
      <c r="AD33" s="56">
        <f>IFERROR(INDEX('Monthly VOL'!$N$2:$CG$65,MATCH($D33,'Monthly VOL'!$D$2:$D$65,0),MATCH(AD$1,'Monthly VOL'!$N$1:$CG$1,0))/INDEX('Monthly CUST'!$N$2:$CG$65,MATCH($D33,'Monthly CUST'!$D$2:$D$65,0),MATCH(AD$1,'Monthly CUST'!$N$1:$CG$1,0)),0)</f>
        <v>2.5427272727272725</v>
      </c>
      <c r="AE33" s="56">
        <f>IFERROR(INDEX('Monthly VOL'!$N$2:$CG$65,MATCH($D33,'Monthly VOL'!$D$2:$D$65,0),MATCH(AE$1,'Monthly VOL'!$N$1:$CG$1,0))/INDEX('Monthly CUST'!$N$2:$CG$65,MATCH($D33,'Monthly CUST'!$D$2:$D$65,0),MATCH(AE$1,'Monthly CUST'!$N$1:$CG$1,0)),0)</f>
        <v>2.3563636363636364</v>
      </c>
      <c r="AF33" s="56">
        <f>IFERROR(INDEX('Monthly VOL'!$N$2:$CG$65,MATCH($D33,'Monthly VOL'!$D$2:$D$65,0),MATCH(AF$1,'Monthly VOL'!$N$1:$CG$1,0))/INDEX('Monthly CUST'!$N$2:$CG$65,MATCH($D33,'Monthly CUST'!$D$2:$D$65,0),MATCH(AF$1,'Monthly CUST'!$N$1:$CG$1,0)),0)</f>
        <v>2.6918181818181819</v>
      </c>
      <c r="AG33" s="56">
        <f>IFERROR(INDEX('Monthly VOL'!$N$2:$CG$65,MATCH($D33,'Monthly VOL'!$D$2:$D$65,0),MATCH(AG$1,'Monthly VOL'!$N$1:$CG$1,0))/INDEX('Monthly CUST'!$N$2:$CG$65,MATCH($D33,'Monthly CUST'!$D$2:$D$65,0),MATCH(AG$1,'Monthly CUST'!$N$1:$CG$1,0)),0)</f>
        <v>2.790909090909091</v>
      </c>
      <c r="AH33" s="56">
        <f>IFERROR(INDEX('Monthly VOL'!$N$2:$CG$65,MATCH($D33,'Monthly VOL'!$D$2:$D$65,0),MATCH(AH$1,'Monthly VOL'!$N$1:$CG$1,0))/INDEX('Monthly CUST'!$N$2:$CG$65,MATCH($D33,'Monthly CUST'!$D$2:$D$65,0),MATCH(AH$1,'Monthly CUST'!$N$1:$CG$1,0)),0)</f>
        <v>3.3127272727272725</v>
      </c>
      <c r="AI33" s="56">
        <f>IFERROR(INDEX('Monthly VOL'!$N$2:$CG$65,MATCH($D33,'Monthly VOL'!$D$2:$D$65,0),MATCH(AI$1,'Monthly VOL'!$N$1:$CG$1,0))/INDEX('Monthly CUST'!$N$2:$CG$65,MATCH($D33,'Monthly CUST'!$D$2:$D$65,0),MATCH(AI$1,'Monthly CUST'!$N$1:$CG$1,0)),0)</f>
        <v>2.080909090909091</v>
      </c>
      <c r="AJ33" s="56">
        <f>IFERROR(INDEX('Monthly VOL'!$N$2:$CG$65,MATCH($D33,'Monthly VOL'!$D$2:$D$65,0),MATCH(AJ$1,'Monthly VOL'!$N$1:$CG$1,0))/INDEX('Monthly CUST'!$N$2:$CG$65,MATCH($D33,'Monthly CUST'!$D$2:$D$65,0),MATCH(AJ$1,'Monthly CUST'!$N$1:$CG$1,0)),0)</f>
        <v>2.7454545454545456</v>
      </c>
      <c r="AK33" s="56">
        <f>IFERROR(INDEX('Monthly VOL'!$N$2:$CG$65,MATCH($D33,'Monthly VOL'!$D$2:$D$65,0),MATCH(AK$1,'Monthly VOL'!$N$1:$CG$1,0))/INDEX('Monthly CUST'!$N$2:$CG$65,MATCH($D33,'Monthly CUST'!$D$2:$D$65,0),MATCH(AK$1,'Monthly CUST'!$N$1:$CG$1,0)),0)</f>
        <v>3.5380000000000003</v>
      </c>
      <c r="AL33" s="56">
        <f>IFERROR(INDEX('Monthly VOL'!$N$2:$CG$65,MATCH($D33,'Monthly VOL'!$D$2:$D$65,0),MATCH(AL$1,'Monthly VOL'!$N$1:$CG$1,0))/INDEX('Monthly CUST'!$N$2:$CG$65,MATCH($D33,'Monthly CUST'!$D$2:$D$65,0),MATCH(AL$1,'Monthly CUST'!$N$1:$CG$1,0)),0)</f>
        <v>3.3289999999999997</v>
      </c>
      <c r="AM33" s="56">
        <f>IFERROR(INDEX('Monthly VOL'!$N$2:$CG$65,MATCH($D33,'Monthly VOL'!$D$2:$D$65,0),MATCH(AM$1,'Monthly VOL'!$N$1:$CG$1,0))/INDEX('Monthly CUST'!$N$2:$CG$65,MATCH($D33,'Monthly CUST'!$D$2:$D$65,0),MATCH(AM$1,'Monthly CUST'!$N$1:$CG$1,0)),0)</f>
        <v>3.8619999999999997</v>
      </c>
      <c r="AN33" s="56">
        <f>IFERROR(INDEX('Monthly VOL'!$N$2:$CG$65,MATCH($D33,'Monthly VOL'!$D$2:$D$65,0),MATCH(AN$1,'Monthly VOL'!$N$1:$CG$1,0))/INDEX('Monthly CUST'!$N$2:$CG$65,MATCH($D33,'Monthly CUST'!$D$2:$D$65,0),MATCH(AN$1,'Monthly CUST'!$N$1:$CG$1,0)),0)</f>
        <v>3.4380000000000002</v>
      </c>
      <c r="AO33" s="56">
        <f>IFERROR(INDEX('Monthly VOL'!$N$2:$CG$65,MATCH($D33,'Monthly VOL'!$D$2:$D$65,0),MATCH(AO$1,'Monthly VOL'!$N$1:$CG$1,0))/INDEX('Monthly CUST'!$N$2:$CG$65,MATCH($D33,'Monthly CUST'!$D$2:$D$65,0),MATCH(AO$1,'Monthly CUST'!$N$1:$CG$1,0)),0)</f>
        <v>2.42</v>
      </c>
      <c r="AP33" s="56">
        <f>IFERROR(INDEX('Monthly VOL'!$N$2:$CG$65,MATCH($D33,'Monthly VOL'!$D$2:$D$65,0),MATCH(AP$1,'Monthly VOL'!$N$1:$CG$1,0))/INDEX('Monthly CUST'!$N$2:$CG$65,MATCH($D33,'Monthly CUST'!$D$2:$D$65,0),MATCH(AP$1,'Monthly CUST'!$N$1:$CG$1,0)),0)</f>
        <v>2.0940000000000003</v>
      </c>
      <c r="AQ33" s="56">
        <f>IFERROR(INDEX('Monthly VOL'!$N$2:$CG$65,MATCH($D33,'Monthly VOL'!$D$2:$D$65,0),MATCH(AQ$1,'Monthly VOL'!$N$1:$CG$1,0))/INDEX('Monthly CUST'!$N$2:$CG$65,MATCH($D33,'Monthly CUST'!$D$2:$D$65,0),MATCH(AQ$1,'Monthly CUST'!$N$1:$CG$1,0)),0)</f>
        <v>1.8820000000000001</v>
      </c>
      <c r="AR33" s="56">
        <f>IFERROR(INDEX('Monthly VOL'!$N$2:$CG$65,MATCH($D33,'Monthly VOL'!$D$2:$D$65,0),MATCH(AR$1,'Monthly VOL'!$N$1:$CG$1,0))/INDEX('Monthly CUST'!$N$2:$CG$65,MATCH($D33,'Monthly CUST'!$D$2:$D$65,0),MATCH(AR$1,'Monthly CUST'!$N$1:$CG$1,0)),0)</f>
        <v>2.3180000000000001</v>
      </c>
      <c r="AS33" s="56">
        <f>IFERROR(INDEX('Monthly VOL'!$N$2:$CG$65,MATCH($D33,'Monthly VOL'!$D$2:$D$65,0),MATCH(AS$1,'Monthly VOL'!$N$1:$CG$1,0))/INDEX('Monthly CUST'!$N$2:$CG$65,MATCH($D33,'Monthly CUST'!$D$2:$D$65,0),MATCH(AS$1,'Monthly CUST'!$N$1:$CG$1,0)),0)</f>
        <v>1.8829999999999998</v>
      </c>
      <c r="AT33" s="56">
        <f>IFERROR(INDEX('Monthly VOL'!$N$2:$CG$65,MATCH($D33,'Monthly VOL'!$D$2:$D$65,0),MATCH(AT$1,'Monthly VOL'!$N$1:$CG$1,0))/INDEX('Monthly CUST'!$N$2:$CG$65,MATCH($D33,'Monthly CUST'!$D$2:$D$65,0),MATCH(AT$1,'Monthly CUST'!$N$1:$CG$1,0)),0)</f>
        <v>2.1960000000000002</v>
      </c>
      <c r="AU33" s="56">
        <f>IFERROR(INDEX('Monthly VOL'!$N$2:$CG$65,MATCH($D33,'Monthly VOL'!$D$2:$D$65,0),MATCH(AU$1,'Monthly VOL'!$N$1:$CG$1,0))/INDEX('Monthly CUST'!$N$2:$CG$65,MATCH($D33,'Monthly CUST'!$D$2:$D$65,0),MATCH(AU$1,'Monthly CUST'!$N$1:$CG$1,0)),0)</f>
        <v>2.1890000000000001</v>
      </c>
      <c r="AV33" s="56">
        <f>IFERROR(INDEX('Monthly VOL'!$N$2:$CG$65,MATCH($D33,'Monthly VOL'!$D$2:$D$65,0),MATCH(AV$1,'Monthly VOL'!$N$1:$CG$1,0))/INDEX('Monthly CUST'!$N$2:$CG$65,MATCH($D33,'Monthly CUST'!$D$2:$D$65,0),MATCH(AV$1,'Monthly CUST'!$N$1:$CG$1,0)),0)</f>
        <v>2.1079999999999997</v>
      </c>
      <c r="AW33" s="56">
        <f>IFERROR(INDEX('Monthly VOL'!$N$2:$CG$65,MATCH($D33,'Monthly VOL'!$D$2:$D$65,0),MATCH(AW$1,'Monthly VOL'!$N$1:$CG$1,0))/INDEX('Monthly CUST'!$N$2:$CG$65,MATCH($D33,'Monthly CUST'!$D$2:$D$65,0),MATCH(AW$1,'Monthly CUST'!$N$1:$CG$1,0)),0)</f>
        <v>4.7</v>
      </c>
      <c r="AX33" s="56">
        <f>IFERROR(INDEX('Monthly VOL'!$N$2:$CG$65,MATCH($D33,'Monthly VOL'!$D$2:$D$65,0),MATCH(AX$1,'Monthly VOL'!$N$1:$CG$1,0))/INDEX('Monthly CUST'!$N$2:$CG$65,MATCH($D33,'Monthly CUST'!$D$2:$D$65,0),MATCH(AX$1,'Monthly CUST'!$N$1:$CG$1,0)),0)</f>
        <v>10.564545454545454</v>
      </c>
      <c r="AY33" s="56">
        <f>IFERROR(INDEX('Monthly VOL'!$N$2:$CG$65,MATCH($D33,'Monthly VOL'!$D$2:$D$65,0),MATCH(AY$1,'Monthly VOL'!$N$1:$CG$1,0))/INDEX('Monthly CUST'!$N$2:$CG$65,MATCH($D33,'Monthly CUST'!$D$2:$D$65,0),MATCH(AY$1,'Monthly CUST'!$N$1:$CG$1,0)),0)</f>
        <v>4.4863636363636363</v>
      </c>
      <c r="AZ33" s="56">
        <f>IFERROR(INDEX('Monthly VOL'!$N$2:$CG$65,MATCH($D33,'Monthly VOL'!$D$2:$D$65,0),MATCH(AZ$1,'Monthly VOL'!$N$1:$CG$1,0))/INDEX('Monthly CUST'!$N$2:$CG$65,MATCH($D33,'Monthly CUST'!$D$2:$D$65,0),MATCH(AZ$1,'Monthly CUST'!$N$1:$CG$1,0)),0)</f>
        <v>2.2036363636363636</v>
      </c>
      <c r="BA33" s="56">
        <f>IFERROR(INDEX('Monthly VOL'!$N$2:$CG$65,MATCH($D33,'Monthly VOL'!$D$2:$D$65,0),MATCH(BA$1,'Monthly VOL'!$N$1:$CG$1,0))/INDEX('Monthly CUST'!$N$2:$CG$65,MATCH($D33,'Monthly CUST'!$D$2:$D$65,0),MATCH(BA$1,'Monthly CUST'!$N$1:$CG$1,0)),0)</f>
        <v>2.5645454545454545</v>
      </c>
      <c r="BB33" s="56">
        <f>IFERROR(INDEX('Monthly VOL'!$N$2:$CG$65,MATCH($D33,'Monthly VOL'!$D$2:$D$65,0),MATCH(BB$1,'Monthly VOL'!$N$1:$CG$1,0))/INDEX('Monthly CUST'!$N$2:$CG$65,MATCH($D33,'Monthly CUST'!$D$2:$D$65,0),MATCH(BB$1,'Monthly CUST'!$N$1:$CG$1,0)),0)</f>
        <v>2.0027272727272729</v>
      </c>
      <c r="BC33" s="56">
        <f>IFERROR(INDEX('Monthly VOL'!$N$2:$CG$65,MATCH($D33,'Monthly VOL'!$D$2:$D$65,0),MATCH(BC$1,'Monthly VOL'!$N$1:$CG$1,0))/INDEX('Monthly CUST'!$N$2:$CG$65,MATCH($D33,'Monthly CUST'!$D$2:$D$65,0),MATCH(BC$1,'Monthly CUST'!$N$1:$CG$1,0)),0)</f>
        <v>1.9027272727272726</v>
      </c>
      <c r="BD33" s="56">
        <f>IFERROR(INDEX('Monthly VOL'!$N$2:$CG$65,MATCH($D33,'Monthly VOL'!$D$2:$D$65,0),MATCH(BD$1,'Monthly VOL'!$N$1:$CG$1,0))/INDEX('Monthly CUST'!$N$2:$CG$65,MATCH($D33,'Monthly CUST'!$D$2:$D$65,0),MATCH(BD$1,'Monthly CUST'!$N$1:$CG$1,0)),0)</f>
        <v>2.080909090909091</v>
      </c>
      <c r="BE33" s="56">
        <f>IFERROR(INDEX('Monthly VOL'!$N$2:$CG$65,MATCH($D33,'Monthly VOL'!$D$2:$D$65,0),MATCH(BE$1,'Monthly VOL'!$N$1:$CG$1,0))/INDEX('Monthly CUST'!$N$2:$CG$65,MATCH($D33,'Monthly CUST'!$D$2:$D$65,0),MATCH(BE$1,'Monthly CUST'!$N$1:$CG$1,0)),0)</f>
        <v>1.7990909090909091</v>
      </c>
      <c r="BF33" s="56">
        <f>IFERROR(INDEX('Monthly VOL'!$N$2:$CG$65,MATCH($D33,'Monthly VOL'!$D$2:$D$65,0),MATCH(BF$1,'Monthly VOL'!$N$1:$CG$1,0))/INDEX('Monthly CUST'!$N$2:$CG$65,MATCH($D33,'Monthly CUST'!$D$2:$D$65,0),MATCH(BF$1,'Monthly CUST'!$N$1:$CG$1,0)),0)</f>
        <v>2.4700000000000002</v>
      </c>
      <c r="BG33" s="56">
        <f>IFERROR(INDEX('Monthly VOL'!$N$2:$CG$65,MATCH($D33,'Monthly VOL'!$D$2:$D$65,0),MATCH(BG$1,'Monthly VOL'!$N$1:$CG$1,0))/INDEX('Monthly CUST'!$N$2:$CG$65,MATCH($D33,'Monthly CUST'!$D$2:$D$65,0),MATCH(BG$1,'Monthly CUST'!$N$1:$CG$1,0)),0)</f>
        <v>1.7981818181818183</v>
      </c>
      <c r="BH33" s="56">
        <f>IFERROR(INDEX('Monthly VOL'!$N$2:$CG$65,MATCH($D33,'Monthly VOL'!$D$2:$D$65,0),MATCH(BH$1,'Monthly VOL'!$N$1:$CG$1,0))/INDEX('Monthly CUST'!$N$2:$CG$65,MATCH($D33,'Monthly CUST'!$D$2:$D$65,0),MATCH(BH$1,'Monthly CUST'!$N$1:$CG$1,0)),0)</f>
        <v>2.270909090909091</v>
      </c>
      <c r="BI33" s="56">
        <f>IFERROR(INDEX('Monthly VOL'!$N$2:$CG$65,MATCH($D33,'Monthly VOL'!$D$2:$D$65,0),MATCH(BI$1,'Monthly VOL'!$N$1:$CG$1,0))/INDEX('Monthly CUST'!$N$2:$CG$65,MATCH($D33,'Monthly CUST'!$D$2:$D$65,0),MATCH(BI$1,'Monthly CUST'!$N$1:$CG$1,0)),0)</f>
        <v>2.9400000000000004</v>
      </c>
      <c r="BJ33" s="56">
        <f>IFERROR(INDEX('Monthly VOL'!$N$2:$CG$65,MATCH($D33,'Monthly VOL'!$D$2:$D$65,0),MATCH(BJ$1,'Monthly VOL'!$N$1:$CG$1,0))/INDEX('Monthly CUST'!$N$2:$CG$65,MATCH($D33,'Monthly CUST'!$D$2:$D$65,0),MATCH(BJ$1,'Monthly CUST'!$N$1:$CG$1,0)),0)</f>
        <v>10.217930155968434</v>
      </c>
      <c r="BK33" s="56">
        <f>IFERROR(INDEX('Monthly VOL'!$N$2:$CG$65,MATCH($D33,'Monthly VOL'!$D$2:$D$65,0),MATCH(BK$1,'Monthly VOL'!$N$1:$CG$1,0))/INDEX('Monthly CUST'!$N$2:$CG$65,MATCH($D33,'Monthly CUST'!$D$2:$D$65,0),MATCH(BK$1,'Monthly CUST'!$N$1:$CG$1,0)),0)</f>
        <v>4.33916920400174</v>
      </c>
      <c r="BL33" s="56">
        <f>IFERROR(INDEX('Monthly VOL'!$N$2:$CG$65,MATCH($D33,'Monthly VOL'!$D$2:$D$65,0),MATCH(BL$1,'Monthly VOL'!$N$1:$CG$1,0))/INDEX('Monthly CUST'!$N$2:$CG$65,MATCH($D33,'Monthly CUST'!$D$2:$D$65,0),MATCH(BL$1,'Monthly CUST'!$N$1:$CG$1,0)),0)</f>
        <v>2.1313366059777543</v>
      </c>
      <c r="BM33" s="56">
        <f>IFERROR(INDEX('Monthly VOL'!$N$2:$CG$65,MATCH($D33,'Monthly VOL'!$D$2:$D$65,0),MATCH(BM$1,'Monthly VOL'!$N$1:$CG$1,0))/INDEX('Monthly CUST'!$N$2:$CG$65,MATCH($D33,'Monthly CUST'!$D$2:$D$65,0),MATCH(BM$1,'Monthly CUST'!$N$1:$CG$1,0)),0)</f>
        <v>2.4804045237059591</v>
      </c>
      <c r="BN33" s="56">
        <f>IFERROR(INDEX('Monthly VOL'!$N$2:$CG$65,MATCH($D33,'Monthly VOL'!$D$2:$D$65,0),MATCH(BN$1,'Monthly VOL'!$N$1:$CG$1,0))/INDEX('Monthly CUST'!$N$2:$CG$65,MATCH($D33,'Monthly CUST'!$D$2:$D$65,0),MATCH(BN$1,'Monthly CUST'!$N$1:$CG$1,0)),0)</f>
        <v>1.9370192008947991</v>
      </c>
      <c r="BO33" s="56">
        <f>IFERROR(INDEX('Monthly VOL'!$N$2:$CG$65,MATCH($D33,'Monthly VOL'!$D$2:$D$65,0),MATCH(BO$1,'Monthly VOL'!$N$1:$CG$1,0))/INDEX('Monthly CUST'!$N$2:$CG$65,MATCH($D33,'Monthly CUST'!$D$2:$D$65,0),MATCH(BO$1,'Monthly CUST'!$N$1:$CG$1,0)),0)</f>
        <v>1.8403001304915179</v>
      </c>
      <c r="BP33" s="56">
        <f>IFERROR(INDEX('Monthly VOL'!$N$2:$CG$65,MATCH($D33,'Monthly VOL'!$D$2:$D$65,0),MATCH(BP$1,'Monthly VOL'!$N$1:$CG$1,0))/INDEX('Monthly CUST'!$N$2:$CG$65,MATCH($D33,'Monthly CUST'!$D$2:$D$65,0),MATCH(BP$1,'Monthly CUST'!$N$1:$CG$1,0)),0)</f>
        <v>2.0126359286646367</v>
      </c>
      <c r="BQ33" s="56">
        <f>IFERROR(INDEX('Monthly VOL'!$N$2:$CG$65,MATCH($D33,'Monthly VOL'!$D$2:$D$65,0),MATCH(BQ$1,'Monthly VOL'!$N$1:$CG$1,0))/INDEX('Monthly CUST'!$N$2:$CG$65,MATCH($D33,'Monthly CUST'!$D$2:$D$65,0),MATCH(BQ$1,'Monthly CUST'!$N$1:$CG$1,0)),0)</f>
        <v>1.7400640029826631</v>
      </c>
      <c r="BR33" s="56">
        <f>IFERROR(INDEX('Monthly VOL'!$N$2:$CG$65,MATCH($D33,'Monthly VOL'!$D$2:$D$65,0),MATCH(BR$1,'Monthly VOL'!$N$1:$CG$1,0))/INDEX('Monthly CUST'!$N$2:$CG$65,MATCH($D33,'Monthly CUST'!$D$2:$D$65,0),MATCH(BR$1,'Monthly CUST'!$N$1:$CG$1,0)),0)</f>
        <v>2.388961038961039</v>
      </c>
      <c r="BS33" s="56">
        <f>IFERROR(INDEX('Monthly VOL'!$N$2:$CG$65,MATCH($D33,'Monthly VOL'!$D$2:$D$65,0),MATCH(BS$1,'Monthly VOL'!$N$1:$CG$1,0))/INDEX('Monthly CUST'!$N$2:$CG$65,MATCH($D33,'Monthly CUST'!$D$2:$D$65,0),MATCH(BS$1,'Monthly CUST'!$N$1:$CG$1,0)),0)</f>
        <v>1.7391847387062698</v>
      </c>
      <c r="BT33" s="56">
        <f>IFERROR(INDEX('Monthly VOL'!$N$2:$CG$65,MATCH($D33,'Monthly VOL'!$D$2:$D$65,0),MATCH(BT$1,'Monthly VOL'!$N$1:$CG$1,0))/INDEX('Monthly CUST'!$N$2:$CG$65,MATCH($D33,'Monthly CUST'!$D$2:$D$65,0),MATCH(BT$1,'Monthly CUST'!$N$1:$CG$1,0)),0)</f>
        <v>2.1964021624308705</v>
      </c>
      <c r="BU33" s="56">
        <f>IFERROR(INDEX('Monthly VOL'!$N$2:$CG$65,MATCH($D33,'Monthly VOL'!$D$2:$D$65,0),MATCH(BU$1,'Monthly VOL'!$N$1:$CG$1,0))/INDEX('Monthly CUST'!$N$2:$CG$65,MATCH($D33,'Monthly CUST'!$D$2:$D$65,0),MATCH(BU$1,'Monthly CUST'!$N$1:$CG$1,0)),0)</f>
        <v>2.8435406698564596</v>
      </c>
      <c r="BV33" s="56">
        <f>IFERROR(INDEX('Monthly VOL'!$N$2:$CG$65,MATCH($D33,'Monthly VOL'!$D$2:$D$65,0),MATCH(BV$1,'Monthly VOL'!$N$1:$CG$1,0))/INDEX('Monthly CUST'!$N$2:$CG$65,MATCH($D33,'Monthly CUST'!$D$2:$D$65,0),MATCH(BV$1,'Monthly CUST'!$N$1:$CG$1,0)),0)</f>
        <v>9.8826870613091824</v>
      </c>
      <c r="BW33" s="56">
        <f>IFERROR(INDEX('Monthly VOL'!$N$2:$CG$65,MATCH($D33,'Monthly VOL'!$D$2:$D$65,0),MATCH(BW$1,'Monthly VOL'!$N$1:$CG$1,0))/INDEX('Monthly CUST'!$N$2:$CG$65,MATCH($D33,'Monthly CUST'!$D$2:$D$65,0),MATCH(BW$1,'Monthly CUST'!$N$1:$CG$1,0)),0)</f>
        <v>4.1968041173359278</v>
      </c>
      <c r="BX33" s="56">
        <f>IFERROR(INDEX('Monthly VOL'!$N$2:$CG$65,MATCH($D33,'Monthly VOL'!$D$2:$D$65,0),MATCH(BX$1,'Monthly VOL'!$N$1:$CG$1,0))/INDEX('Monthly CUST'!$N$2:$CG$65,MATCH($D33,'Monthly CUST'!$D$2:$D$65,0),MATCH(BX$1,'Monthly CUST'!$N$1:$CG$1,0)),0)</f>
        <v>2.0614089524665222</v>
      </c>
      <c r="BY33" s="56">
        <f>IFERROR(INDEX('Monthly VOL'!$N$2:$CG$65,MATCH($D33,'Monthly VOL'!$D$2:$D$65,0),MATCH(BY$1,'Monthly VOL'!$N$1:$CG$1,0))/INDEX('Monthly CUST'!$N$2:$CG$65,MATCH($D33,'Monthly CUST'!$D$2:$D$65,0),MATCH(BY$1,'Monthly CUST'!$N$1:$CG$1,0)),0)</f>
        <v>2.3990241975693314</v>
      </c>
      <c r="BZ33" s="56">
        <f>IFERROR(INDEX('Monthly VOL'!$N$2:$CG$65,MATCH($D33,'Monthly VOL'!$D$2:$D$65,0),MATCH(BZ$1,'Monthly VOL'!$N$1:$CG$1,0))/INDEX('Monthly CUST'!$N$2:$CG$65,MATCH($D33,'Monthly CUST'!$D$2:$D$65,0),MATCH(BZ$1,'Monthly CUST'!$N$1:$CG$1,0)),0)</f>
        <v>1.8734669646385103</v>
      </c>
      <c r="CA33" s="56">
        <f>IFERROR(INDEX('Monthly VOL'!$N$2:$CG$65,MATCH($D33,'Monthly VOL'!$D$2:$D$65,0),MATCH(CA$1,'Monthly VOL'!$N$1:$CG$1,0))/INDEX('Monthly CUST'!$N$2:$CG$65,MATCH($D33,'Monthly CUST'!$D$2:$D$65,0),MATCH(CA$1,'Monthly CUST'!$N$1:$CG$1,0)),0)</f>
        <v>1.7799211788417619</v>
      </c>
      <c r="CB33" s="56">
        <f>IFERROR(INDEX('Monthly VOL'!$N$2:$CG$65,MATCH($D33,'Monthly VOL'!$D$2:$D$65,0),MATCH(CB$1,'Monthly VOL'!$N$1:$CG$1,0))/INDEX('Monthly CUST'!$N$2:$CG$65,MATCH($D33,'Monthly CUST'!$D$2:$D$65,0),MATCH(CB$1,'Monthly CUST'!$N$1:$CG$1,0)),0)</f>
        <v>1.9466027608068768</v>
      </c>
      <c r="CC33" s="56">
        <f>IFERROR(INDEX('Monthly VOL'!$N$2:$CG$65,MATCH($D33,'Monthly VOL'!$D$2:$D$65,0),MATCH(CC$1,'Monthly VOL'!$N$1:$CG$1,0))/INDEX('Monthly CUST'!$N$2:$CG$65,MATCH($D33,'Monthly CUST'!$D$2:$D$65,0),MATCH(CC$1,'Monthly CUST'!$N$1:$CG$1,0)),0)</f>
        <v>1.6829737281069501</v>
      </c>
      <c r="CD33" s="56">
        <f>IFERROR(INDEX('Monthly VOL'!$N$2:$CG$65,MATCH($D33,'Monthly VOL'!$D$2:$D$65,0),MATCH(CD$1,'Monthly VOL'!$N$1:$CG$1,0))/INDEX('Monthly CUST'!$N$2:$CG$65,MATCH($D33,'Monthly CUST'!$D$2:$D$65,0),MATCH(CD$1,'Monthly CUST'!$N$1:$CG$1,0)),0)</f>
        <v>2.310580909179679</v>
      </c>
      <c r="CE33" s="56">
        <f>IFERROR(INDEX('Monthly VOL'!$N$2:$CG$65,MATCH($D33,'Monthly VOL'!$D$2:$D$65,0),MATCH(CE$1,'Monthly VOL'!$N$1:$CG$1,0))/INDEX('Monthly CUST'!$N$2:$CG$65,MATCH($D33,'Monthly CUST'!$D$2:$D$65,0),MATCH(CE$1,'Monthly CUST'!$N$1:$CG$1,0)),0)</f>
        <v>1.6821233118724346</v>
      </c>
      <c r="CF33" s="56">
        <f>IFERROR(INDEX('Monthly VOL'!$N$2:$CG$65,MATCH($D33,'Monthly VOL'!$D$2:$D$65,0),MATCH(CF$1,'Monthly VOL'!$N$1:$CG$1,0))/INDEX('Monthly CUST'!$N$2:$CG$65,MATCH($D33,'Monthly CUST'!$D$2:$D$65,0),MATCH(CF$1,'Monthly CUST'!$N$1:$CG$1,0)),0)</f>
        <v>2.1243397538206983</v>
      </c>
      <c r="CG33" s="56">
        <f>IFERROR(INDEX('Monthly VOL'!$N$2:$CG$65,MATCH($D33,'Monthly VOL'!$D$2:$D$65,0),MATCH(CG$1,'Monthly VOL'!$N$1:$CG$1,0))/INDEX('Monthly CUST'!$N$2:$CG$65,MATCH($D33,'Monthly CUST'!$D$2:$D$65,0),MATCH(CG$1,'Monthly CUST'!$N$1:$CG$1,0)),0)</f>
        <v>2.7502461024243954</v>
      </c>
      <c r="CH33" s="264"/>
      <c r="CI33" s="264"/>
      <c r="CJ33" s="264"/>
      <c r="CM33" s="569">
        <f t="shared" si="0"/>
        <v>5.4381262626262625</v>
      </c>
      <c r="CN33" s="569">
        <f t="shared" si="1"/>
        <v>3.7630656565656566</v>
      </c>
      <c r="CO33" s="569">
        <f t="shared" si="2"/>
        <v>2.91860101010101</v>
      </c>
      <c r="CP33" s="569">
        <f t="shared" si="3"/>
        <v>2.4676262626262626</v>
      </c>
      <c r="CQ33" s="569">
        <f t="shared" si="4"/>
        <v>2.2131515151515151</v>
      </c>
      <c r="CR33" s="569">
        <f t="shared" si="5"/>
        <v>2.047030303030303</v>
      </c>
      <c r="CS33" s="569">
        <f t="shared" si="6"/>
        <v>2.3635757575757577</v>
      </c>
      <c r="CT33" s="569">
        <f t="shared" si="7"/>
        <v>2.1576666666666666</v>
      </c>
      <c r="CU33" s="569">
        <f t="shared" si="8"/>
        <v>2.6595757575757575</v>
      </c>
      <c r="CV33" s="569">
        <f t="shared" si="9"/>
        <v>2.0226969696969697</v>
      </c>
      <c r="CW33" s="569">
        <f t="shared" si="10"/>
        <v>2.3747878787878789</v>
      </c>
      <c r="CX33" s="569">
        <f t="shared" si="11"/>
        <v>3.7260000000000004</v>
      </c>
      <c r="CY33" s="569">
        <f t="shared" si="12"/>
        <v>5.4381262626262625</v>
      </c>
      <c r="CZ33" s="569">
        <f t="shared" si="13"/>
        <v>3.7630656565656566</v>
      </c>
      <c r="DA33" s="569">
        <f t="shared" si="14"/>
        <v>2.91860101010101</v>
      </c>
      <c r="DB33" s="569">
        <f t="shared" si="15"/>
        <v>2.4676262626262626</v>
      </c>
      <c r="DC33" s="569">
        <f t="shared" si="16"/>
        <v>2.2131515151515151</v>
      </c>
      <c r="DD33" s="569">
        <f t="shared" si="17"/>
        <v>2.047030303030303</v>
      </c>
      <c r="DE33" s="569">
        <f t="shared" si="18"/>
        <v>2.3635757575757577</v>
      </c>
      <c r="DF33" s="569">
        <f t="shared" si="19"/>
        <v>2.1576666666666666</v>
      </c>
      <c r="DG33" s="569">
        <f t="shared" si="20"/>
        <v>2.6595757575757575</v>
      </c>
      <c r="DH33" s="569">
        <f t="shared" si="21"/>
        <v>2.0226969696969697</v>
      </c>
      <c r="DI33" s="569">
        <f t="shared" si="22"/>
        <v>2.3747878787878789</v>
      </c>
      <c r="DJ33" s="569">
        <f t="shared" si="23"/>
        <v>3.7260000000000004</v>
      </c>
    </row>
    <row r="34" spans="1:114" s="261" customFormat="1">
      <c r="A34" s="55" t="s">
        <v>17</v>
      </c>
      <c r="B34" s="55" t="s">
        <v>993</v>
      </c>
      <c r="C34" s="55" t="s">
        <v>1245</v>
      </c>
      <c r="D34" s="55" t="s">
        <v>1283</v>
      </c>
      <c r="E34" s="55" t="str">
        <f>VLOOKUP(D34,'Input 14_Ref Table'!C:D,2,FALSE)</f>
        <v>CC805</v>
      </c>
      <c r="F34" s="172" t="s">
        <v>1286</v>
      </c>
      <c r="G34" s="55" t="str">
        <f>VLOOKUP(D34,'Input 14_Ref Table'!C:I,7,FALSE)</f>
        <v>CFG - FTS-B NR</v>
      </c>
      <c r="H34" s="55" t="str">
        <f>VLOOKUP(D34,'Input 14_Ref Table'!C:K,8,FALSE)</f>
        <v>FTS_AB_C</v>
      </c>
      <c r="I34" s="55" t="e">
        <f>INDEX(#REF!,MATCH(D34,#REF!,0))</f>
        <v>#REF!</v>
      </c>
      <c r="J34" s="261" t="str">
        <f>INDEX('Master '!$AD$2:AD$65,MATCH(D34,'Master '!$D$2:$D$65,0))</f>
        <v>UPC Growth Rate</v>
      </c>
      <c r="K34" s="567">
        <f>INDEX('Master '!$N$2:N$65,MATCH(D34,'Master '!$D$2:$D$65,0))</f>
        <v>-8.9379418530954602E-2</v>
      </c>
      <c r="L34" s="290">
        <f>INDEX('Master '!$S$2:S$65,MATCH(D34,'Master '!$D$2:$D$65,0))</f>
        <v>-3.2809295967190781E-2</v>
      </c>
      <c r="M34" s="1">
        <f>INDEX('Master '!$W$2:W$65,MATCH(D34,'Master '!$D$2:$D$65,0))</f>
        <v>70.75</v>
      </c>
      <c r="N34" s="56">
        <f>IFERROR(INDEX('Monthly VOL'!$N$2:$CG$65,MATCH($D34,'Monthly VOL'!$D$2:$D$65,0),MATCH(N$1,'Monthly VOL'!$N$1:$CG$1,0))/INDEX('Monthly CUST'!$N$2:$CG$65,MATCH($D34,'Monthly CUST'!$D$2:$D$65,0),MATCH(N$1,'Monthly CUST'!$N$1:$CG$1,0)),0)</f>
        <v>20.016249999999999</v>
      </c>
      <c r="O34" s="56">
        <f>IFERROR(INDEX('Monthly VOL'!$N$2:$CG$65,MATCH($D34,'Monthly VOL'!$D$2:$D$65,0),MATCH(O$1,'Monthly VOL'!$N$1:$CG$1,0))/INDEX('Monthly CUST'!$N$2:$CG$65,MATCH($D34,'Monthly CUST'!$D$2:$D$65,0),MATCH(O$1,'Monthly CUST'!$N$1:$CG$1,0)),0)</f>
        <v>19.838750000000001</v>
      </c>
      <c r="P34" s="56">
        <f>IFERROR(INDEX('Monthly VOL'!$N$2:$CG$65,MATCH($D34,'Monthly VOL'!$D$2:$D$65,0),MATCH(P$1,'Monthly VOL'!$N$1:$CG$1,0))/INDEX('Monthly CUST'!$N$2:$CG$65,MATCH($D34,'Monthly CUST'!$D$2:$D$65,0),MATCH(P$1,'Monthly CUST'!$N$1:$CG$1,0)),0)</f>
        <v>7.4675000000000002</v>
      </c>
      <c r="Q34" s="56">
        <f>IFERROR(INDEX('Monthly VOL'!$N$2:$CG$65,MATCH($D34,'Monthly VOL'!$D$2:$D$65,0),MATCH(Q$1,'Monthly VOL'!$N$1:$CG$1,0))/INDEX('Monthly CUST'!$N$2:$CG$65,MATCH($D34,'Monthly CUST'!$D$2:$D$65,0),MATCH(Q$1,'Monthly CUST'!$N$1:$CG$1,0)),0)</f>
        <v>9.0887499999999992</v>
      </c>
      <c r="R34" s="56">
        <f>IFERROR(INDEX('Monthly VOL'!$N$2:$CG$65,MATCH($D34,'Monthly VOL'!$D$2:$D$65,0),MATCH(R$1,'Monthly VOL'!$N$1:$CG$1,0))/INDEX('Monthly CUST'!$N$2:$CG$65,MATCH($D34,'Monthly CUST'!$D$2:$D$65,0),MATCH(R$1,'Monthly CUST'!$N$1:$CG$1,0)),0)</f>
        <v>6.6737500000000001</v>
      </c>
      <c r="S34" s="56">
        <f>IFERROR(INDEX('Monthly VOL'!$N$2:$CG$65,MATCH($D34,'Monthly VOL'!$D$2:$D$65,0),MATCH(S$1,'Monthly VOL'!$N$1:$CG$1,0))/INDEX('Monthly CUST'!$N$2:$CG$65,MATCH($D34,'Monthly CUST'!$D$2:$D$65,0),MATCH(S$1,'Monthly CUST'!$N$1:$CG$1,0)),0)</f>
        <v>8.3214285714285712</v>
      </c>
      <c r="T34" s="56">
        <f>IFERROR(INDEX('Monthly VOL'!$N$2:$CG$65,MATCH($D34,'Monthly VOL'!$D$2:$D$65,0),MATCH(T$1,'Monthly VOL'!$N$1:$CG$1,0))/INDEX('Monthly CUST'!$N$2:$CG$65,MATCH($D34,'Monthly CUST'!$D$2:$D$65,0),MATCH(T$1,'Monthly CUST'!$N$1:$CG$1,0)),0)</f>
        <v>10.428571428571429</v>
      </c>
      <c r="U34" s="56">
        <f>IFERROR(INDEX('Monthly VOL'!$N$2:$CG$65,MATCH($D34,'Monthly VOL'!$D$2:$D$65,0),MATCH(U$1,'Monthly VOL'!$N$1:$CG$1,0))/INDEX('Monthly CUST'!$N$2:$CG$65,MATCH($D34,'Monthly CUST'!$D$2:$D$65,0),MATCH(U$1,'Monthly CUST'!$N$1:$CG$1,0)),0)</f>
        <v>7.8514285714285714</v>
      </c>
      <c r="V34" s="56">
        <f>IFERROR(INDEX('Monthly VOL'!$N$2:$CG$65,MATCH($D34,'Monthly VOL'!$D$2:$D$65,0),MATCH(V$1,'Monthly VOL'!$N$1:$CG$1,0))/INDEX('Monthly CUST'!$N$2:$CG$65,MATCH($D34,'Monthly CUST'!$D$2:$D$65,0),MATCH(V$1,'Monthly CUST'!$N$1:$CG$1,0)),0)</f>
        <v>7.6285714285714281</v>
      </c>
      <c r="W34" s="56">
        <f>IFERROR(INDEX('Monthly VOL'!$N$2:$CG$65,MATCH($D34,'Monthly VOL'!$D$2:$D$65,0),MATCH(W$1,'Monthly VOL'!$N$1:$CG$1,0))/INDEX('Monthly CUST'!$N$2:$CG$65,MATCH($D34,'Monthly CUST'!$D$2:$D$65,0),MATCH(W$1,'Monthly CUST'!$N$1:$CG$1,0)),0)</f>
        <v>7.0071428571428571</v>
      </c>
      <c r="X34" s="56">
        <f>IFERROR(INDEX('Monthly VOL'!$N$2:$CG$65,MATCH($D34,'Monthly VOL'!$D$2:$D$65,0),MATCH(X$1,'Monthly VOL'!$N$1:$CG$1,0))/INDEX('Monthly CUST'!$N$2:$CG$65,MATCH($D34,'Monthly CUST'!$D$2:$D$65,0),MATCH(X$1,'Monthly CUST'!$N$1:$CG$1,0)),0)</f>
        <v>9.2900000000000009</v>
      </c>
      <c r="Y34" s="56">
        <f>IFERROR(INDEX('Monthly VOL'!$N$2:$CG$65,MATCH($D34,'Monthly VOL'!$D$2:$D$65,0),MATCH(Y$1,'Monthly VOL'!$N$1:$CG$1,0))/INDEX('Monthly CUST'!$N$2:$CG$65,MATCH($D34,'Monthly CUST'!$D$2:$D$65,0),MATCH(Y$1,'Monthly CUST'!$N$1:$CG$1,0)),0)</f>
        <v>13.79857142857143</v>
      </c>
      <c r="Z34" s="56">
        <f>IFERROR(INDEX('Monthly VOL'!$N$2:$CG$65,MATCH($D34,'Monthly VOL'!$D$2:$D$65,0),MATCH(Z$1,'Monthly VOL'!$N$1:$CG$1,0))/INDEX('Monthly CUST'!$N$2:$CG$65,MATCH($D34,'Monthly CUST'!$D$2:$D$65,0),MATCH(Z$1,'Monthly CUST'!$N$1:$CG$1,0)),0)</f>
        <v>15.631428571428572</v>
      </c>
      <c r="AA34" s="56">
        <f>IFERROR(INDEX('Monthly VOL'!$N$2:$CG$65,MATCH($D34,'Monthly VOL'!$D$2:$D$65,0),MATCH(AA$1,'Monthly VOL'!$N$1:$CG$1,0))/INDEX('Monthly CUST'!$N$2:$CG$65,MATCH($D34,'Monthly CUST'!$D$2:$D$65,0),MATCH(AA$1,'Monthly CUST'!$N$1:$CG$1,0)),0)</f>
        <v>12.544285714285715</v>
      </c>
      <c r="AB34" s="56">
        <f>IFERROR(INDEX('Monthly VOL'!$N$2:$CG$65,MATCH($D34,'Monthly VOL'!$D$2:$D$65,0),MATCH(AB$1,'Monthly VOL'!$N$1:$CG$1,0))/INDEX('Monthly CUST'!$N$2:$CG$65,MATCH($D34,'Monthly CUST'!$D$2:$D$65,0),MATCH(AB$1,'Monthly CUST'!$N$1:$CG$1,0)),0)</f>
        <v>9.1014285714285723</v>
      </c>
      <c r="AC34" s="56">
        <f>IFERROR(INDEX('Monthly VOL'!$N$2:$CG$65,MATCH($D34,'Monthly VOL'!$D$2:$D$65,0),MATCH(AC$1,'Monthly VOL'!$N$1:$CG$1,0))/INDEX('Monthly CUST'!$N$2:$CG$65,MATCH($D34,'Monthly CUST'!$D$2:$D$65,0),MATCH(AC$1,'Monthly CUST'!$N$1:$CG$1,0)),0)</f>
        <v>10.008571428571429</v>
      </c>
      <c r="AD34" s="56">
        <f>IFERROR(INDEX('Monthly VOL'!$N$2:$CG$65,MATCH($D34,'Monthly VOL'!$D$2:$D$65,0),MATCH(AD$1,'Monthly VOL'!$N$1:$CG$1,0))/INDEX('Monthly CUST'!$N$2:$CG$65,MATCH($D34,'Monthly CUST'!$D$2:$D$65,0),MATCH(AD$1,'Monthly CUST'!$N$1:$CG$1,0)),0)</f>
        <v>7.0285714285714294</v>
      </c>
      <c r="AE34" s="56">
        <f>IFERROR(INDEX('Monthly VOL'!$N$2:$CG$65,MATCH($D34,'Monthly VOL'!$D$2:$D$65,0),MATCH(AE$1,'Monthly VOL'!$N$1:$CG$1,0))/INDEX('Monthly CUST'!$N$2:$CG$65,MATCH($D34,'Monthly CUST'!$D$2:$D$65,0),MATCH(AE$1,'Monthly CUST'!$N$1:$CG$1,0)),0)</f>
        <v>8.8816666666666659</v>
      </c>
      <c r="AF34" s="56">
        <f>IFERROR(INDEX('Monthly VOL'!$N$2:$CG$65,MATCH($D34,'Monthly VOL'!$D$2:$D$65,0),MATCH(AF$1,'Monthly VOL'!$N$1:$CG$1,0))/INDEX('Monthly CUST'!$N$2:$CG$65,MATCH($D34,'Monthly CUST'!$D$2:$D$65,0),MATCH(AF$1,'Monthly CUST'!$N$1:$CG$1,0)),0)</f>
        <v>7.6416666666666666</v>
      </c>
      <c r="AG34" s="56">
        <f>IFERROR(INDEX('Monthly VOL'!$N$2:$CG$65,MATCH($D34,'Monthly VOL'!$D$2:$D$65,0),MATCH(AG$1,'Monthly VOL'!$N$1:$CG$1,0))/INDEX('Monthly CUST'!$N$2:$CG$65,MATCH($D34,'Monthly CUST'!$D$2:$D$65,0),MATCH(AG$1,'Monthly CUST'!$N$1:$CG$1,0)),0)</f>
        <v>7.458333333333333</v>
      </c>
      <c r="AH34" s="56">
        <f>IFERROR(INDEX('Monthly VOL'!$N$2:$CG$65,MATCH($D34,'Monthly VOL'!$D$2:$D$65,0),MATCH(AH$1,'Monthly VOL'!$N$1:$CG$1,0))/INDEX('Monthly CUST'!$N$2:$CG$65,MATCH($D34,'Monthly CUST'!$D$2:$D$65,0),MATCH(AH$1,'Monthly CUST'!$N$1:$CG$1,0)),0)</f>
        <v>8.58</v>
      </c>
      <c r="AI34" s="56">
        <f>IFERROR(INDEX('Monthly VOL'!$N$2:$CG$65,MATCH($D34,'Monthly VOL'!$D$2:$D$65,0),MATCH(AI$1,'Monthly VOL'!$N$1:$CG$1,0))/INDEX('Monthly CUST'!$N$2:$CG$65,MATCH($D34,'Monthly CUST'!$D$2:$D$65,0),MATCH(AI$1,'Monthly CUST'!$N$1:$CG$1,0)),0)</f>
        <v>8.3916666666666675</v>
      </c>
      <c r="AJ34" s="56">
        <f>IFERROR(INDEX('Monthly VOL'!$N$2:$CG$65,MATCH($D34,'Monthly VOL'!$D$2:$D$65,0),MATCH(AJ$1,'Monthly VOL'!$N$1:$CG$1,0))/INDEX('Monthly CUST'!$N$2:$CG$65,MATCH($D34,'Monthly CUST'!$D$2:$D$65,0),MATCH(AJ$1,'Monthly CUST'!$N$1:$CG$1,0)),0)</f>
        <v>8.7028571428571428</v>
      </c>
      <c r="AK34" s="56">
        <f>IFERROR(INDEX('Monthly VOL'!$N$2:$CG$65,MATCH($D34,'Monthly VOL'!$D$2:$D$65,0),MATCH(AK$1,'Monthly VOL'!$N$1:$CG$1,0))/INDEX('Monthly CUST'!$N$2:$CG$65,MATCH($D34,'Monthly CUST'!$D$2:$D$65,0),MATCH(AK$1,'Monthly CUST'!$N$1:$CG$1,0)),0)</f>
        <v>10.44</v>
      </c>
      <c r="AL34" s="56">
        <f>IFERROR(INDEX('Monthly VOL'!$N$2:$CG$65,MATCH($D34,'Monthly VOL'!$D$2:$D$65,0),MATCH(AL$1,'Monthly VOL'!$N$1:$CG$1,0))/INDEX('Monthly CUST'!$N$2:$CG$65,MATCH($D34,'Monthly CUST'!$D$2:$D$65,0),MATCH(AL$1,'Monthly CUST'!$N$1:$CG$1,0)),0)</f>
        <v>14.047142857142857</v>
      </c>
      <c r="AM34" s="56">
        <f>IFERROR(INDEX('Monthly VOL'!$N$2:$CG$65,MATCH($D34,'Monthly VOL'!$D$2:$D$65,0),MATCH(AM$1,'Monthly VOL'!$N$1:$CG$1,0))/INDEX('Monthly CUST'!$N$2:$CG$65,MATCH($D34,'Monthly CUST'!$D$2:$D$65,0),MATCH(AM$1,'Monthly CUST'!$N$1:$CG$1,0)),0)</f>
        <v>10.932857142857143</v>
      </c>
      <c r="AN34" s="56">
        <f>IFERROR(INDEX('Monthly VOL'!$N$2:$CG$65,MATCH($D34,'Monthly VOL'!$D$2:$D$65,0),MATCH(AN$1,'Monthly VOL'!$N$1:$CG$1,0))/INDEX('Monthly CUST'!$N$2:$CG$65,MATCH($D34,'Monthly CUST'!$D$2:$D$65,0),MATCH(AN$1,'Monthly CUST'!$N$1:$CG$1,0)),0)</f>
        <v>9.3714285714285701</v>
      </c>
      <c r="AO34" s="56">
        <f>IFERROR(INDEX('Monthly VOL'!$N$2:$CG$65,MATCH($D34,'Monthly VOL'!$D$2:$D$65,0),MATCH(AO$1,'Monthly VOL'!$N$1:$CG$1,0))/INDEX('Monthly CUST'!$N$2:$CG$65,MATCH($D34,'Monthly CUST'!$D$2:$D$65,0),MATCH(AO$1,'Monthly CUST'!$N$1:$CG$1,0)),0)</f>
        <v>10.276666666666666</v>
      </c>
      <c r="AP34" s="56">
        <f>IFERROR(INDEX('Monthly VOL'!$N$2:$CG$65,MATCH($D34,'Monthly VOL'!$D$2:$D$65,0),MATCH(AP$1,'Monthly VOL'!$N$1:$CG$1,0))/INDEX('Monthly CUST'!$N$2:$CG$65,MATCH($D34,'Monthly CUST'!$D$2:$D$65,0),MATCH(AP$1,'Monthly CUST'!$N$1:$CG$1,0)),0)</f>
        <v>9.1983333333333324</v>
      </c>
      <c r="AQ34" s="56">
        <f>IFERROR(INDEX('Monthly VOL'!$N$2:$CG$65,MATCH($D34,'Monthly VOL'!$D$2:$D$65,0),MATCH(AQ$1,'Monthly VOL'!$N$1:$CG$1,0))/INDEX('Monthly CUST'!$N$2:$CG$65,MATCH($D34,'Monthly CUST'!$D$2:$D$65,0),MATCH(AQ$1,'Monthly CUST'!$N$1:$CG$1,0)),0)</f>
        <v>8.8383333333333329</v>
      </c>
      <c r="AR34" s="56">
        <f>IFERROR(INDEX('Monthly VOL'!$N$2:$CG$65,MATCH($D34,'Monthly VOL'!$D$2:$D$65,0),MATCH(AR$1,'Monthly VOL'!$N$1:$CG$1,0))/INDEX('Monthly CUST'!$N$2:$CG$65,MATCH($D34,'Monthly CUST'!$D$2:$D$65,0),MATCH(AR$1,'Monthly CUST'!$N$1:$CG$1,0)),0)</f>
        <v>9.8816666666666659</v>
      </c>
      <c r="AS34" s="56">
        <f>IFERROR(INDEX('Monthly VOL'!$N$2:$CG$65,MATCH($D34,'Monthly VOL'!$D$2:$D$65,0),MATCH(AS$1,'Monthly VOL'!$N$1:$CG$1,0))/INDEX('Monthly CUST'!$N$2:$CG$65,MATCH($D34,'Monthly CUST'!$D$2:$D$65,0),MATCH(AS$1,'Monthly CUST'!$N$1:$CG$1,0)),0)</f>
        <v>8.8650000000000002</v>
      </c>
      <c r="AT34" s="56">
        <f>IFERROR(INDEX('Monthly VOL'!$N$2:$CG$65,MATCH($D34,'Monthly VOL'!$D$2:$D$65,0),MATCH(AT$1,'Monthly VOL'!$N$1:$CG$1,0))/INDEX('Monthly CUST'!$N$2:$CG$65,MATCH($D34,'Monthly CUST'!$D$2:$D$65,0),MATCH(AT$1,'Monthly CUST'!$N$1:$CG$1,0)),0)</f>
        <v>9.2149999999999999</v>
      </c>
      <c r="AU34" s="56">
        <f>IFERROR(INDEX('Monthly VOL'!$N$2:$CG$65,MATCH($D34,'Monthly VOL'!$D$2:$D$65,0),MATCH(AU$1,'Monthly VOL'!$N$1:$CG$1,0))/INDEX('Monthly CUST'!$N$2:$CG$65,MATCH($D34,'Monthly CUST'!$D$2:$D$65,0),MATCH(AU$1,'Monthly CUST'!$N$1:$CG$1,0)),0)</f>
        <v>9.9083333333333332</v>
      </c>
      <c r="AV34" s="56">
        <f>IFERROR(INDEX('Monthly VOL'!$N$2:$CG$65,MATCH($D34,'Monthly VOL'!$D$2:$D$65,0),MATCH(AV$1,'Monthly VOL'!$N$1:$CG$1,0))/INDEX('Monthly CUST'!$N$2:$CG$65,MATCH($D34,'Monthly CUST'!$D$2:$D$65,0),MATCH(AV$1,'Monthly CUST'!$N$1:$CG$1,0)),0)</f>
        <v>10.799999999999999</v>
      </c>
      <c r="AW34" s="56">
        <f>IFERROR(INDEX('Monthly VOL'!$N$2:$CG$65,MATCH($D34,'Monthly VOL'!$D$2:$D$65,0),MATCH(AW$1,'Monthly VOL'!$N$1:$CG$1,0))/INDEX('Monthly CUST'!$N$2:$CG$65,MATCH($D34,'Monthly CUST'!$D$2:$D$65,0),MATCH(AW$1,'Monthly CUST'!$N$1:$CG$1,0)),0)</f>
        <v>18.669999999999998</v>
      </c>
      <c r="AX34" s="56">
        <f>IFERROR(INDEX('Monthly VOL'!$N$2:$CG$65,MATCH($D34,'Monthly VOL'!$D$2:$D$65,0),MATCH(AX$1,'Monthly VOL'!$N$1:$CG$1,0))/INDEX('Monthly CUST'!$N$2:$CG$65,MATCH($D34,'Monthly CUST'!$D$2:$D$65,0),MATCH(AX$1,'Monthly CUST'!$N$1:$CG$1,0)),0)</f>
        <v>17.775714285714287</v>
      </c>
      <c r="AY34" s="56">
        <f>IFERROR(INDEX('Monthly VOL'!$N$2:$CG$65,MATCH($D34,'Monthly VOL'!$D$2:$D$65,0),MATCH(AY$1,'Monthly VOL'!$N$1:$CG$1,0))/INDEX('Monthly CUST'!$N$2:$CG$65,MATCH($D34,'Monthly CUST'!$D$2:$D$65,0),MATCH(AY$1,'Monthly CUST'!$N$1:$CG$1,0)),0)</f>
        <v>14.761428571428571</v>
      </c>
      <c r="AZ34" s="56">
        <f>IFERROR(INDEX('Monthly VOL'!$N$2:$CG$65,MATCH($D34,'Monthly VOL'!$D$2:$D$65,0),MATCH(AZ$1,'Monthly VOL'!$N$1:$CG$1,0))/INDEX('Monthly CUST'!$N$2:$CG$65,MATCH($D34,'Monthly CUST'!$D$2:$D$65,0),MATCH(AZ$1,'Monthly CUST'!$N$1:$CG$1,0)),0)</f>
        <v>7.8857142857142861</v>
      </c>
      <c r="BA34" s="56">
        <f>IFERROR(INDEX('Monthly VOL'!$N$2:$CG$65,MATCH($D34,'Monthly VOL'!$D$2:$D$65,0),MATCH(BA$1,'Monthly VOL'!$N$1:$CG$1,0))/INDEX('Monthly CUST'!$N$2:$CG$65,MATCH($D34,'Monthly CUST'!$D$2:$D$65,0),MATCH(BA$1,'Monthly CUST'!$N$1:$CG$1,0)),0)</f>
        <v>8.8114285714285714</v>
      </c>
      <c r="BB34" s="56">
        <f>IFERROR(INDEX('Monthly VOL'!$N$2:$CG$65,MATCH($D34,'Monthly VOL'!$D$2:$D$65,0),MATCH(BB$1,'Monthly VOL'!$N$1:$CG$1,0))/INDEX('Monthly CUST'!$N$2:$CG$65,MATCH($D34,'Monthly CUST'!$D$2:$D$65,0),MATCH(BB$1,'Monthly CUST'!$N$1:$CG$1,0)),0)</f>
        <v>7.5671428571428567</v>
      </c>
      <c r="BC34" s="56">
        <f>IFERROR(INDEX('Monthly VOL'!$N$2:$CG$65,MATCH($D34,'Monthly VOL'!$D$2:$D$65,0),MATCH(BC$1,'Monthly VOL'!$N$1:$CG$1,0))/INDEX('Monthly CUST'!$N$2:$CG$65,MATCH($D34,'Monthly CUST'!$D$2:$D$65,0),MATCH(BC$1,'Monthly CUST'!$N$1:$CG$1,0)),0)</f>
        <v>7.6483333333333334</v>
      </c>
      <c r="BD34" s="56">
        <f>IFERROR(INDEX('Monthly VOL'!$N$2:$CG$65,MATCH($D34,'Monthly VOL'!$D$2:$D$65,0),MATCH(BD$1,'Monthly VOL'!$N$1:$CG$1,0))/INDEX('Monthly CUST'!$N$2:$CG$65,MATCH($D34,'Monthly CUST'!$D$2:$D$65,0),MATCH(BD$1,'Monthly CUST'!$N$1:$CG$1,0)),0)</f>
        <v>8.1583333333333332</v>
      </c>
      <c r="BE34" s="56">
        <f>IFERROR(INDEX('Monthly VOL'!$N$2:$CG$65,MATCH($D34,'Monthly VOL'!$D$2:$D$65,0),MATCH(BE$1,'Monthly VOL'!$N$1:$CG$1,0))/INDEX('Monthly CUST'!$N$2:$CG$65,MATCH($D34,'Monthly CUST'!$D$2:$D$65,0),MATCH(BE$1,'Monthly CUST'!$N$1:$CG$1,0)),0)</f>
        <v>8.0283333333333342</v>
      </c>
      <c r="BF34" s="56">
        <f>IFERROR(INDEX('Monthly VOL'!$N$2:$CG$65,MATCH($D34,'Monthly VOL'!$D$2:$D$65,0),MATCH(BF$1,'Monthly VOL'!$N$1:$CG$1,0))/INDEX('Monthly CUST'!$N$2:$CG$65,MATCH($D34,'Monthly CUST'!$D$2:$D$65,0),MATCH(BF$1,'Monthly CUST'!$N$1:$CG$1,0)),0)</f>
        <v>8.6733333333333338</v>
      </c>
      <c r="BG34" s="56">
        <f>IFERROR(INDEX('Monthly VOL'!$N$2:$CG$65,MATCH($D34,'Monthly VOL'!$D$2:$D$65,0),MATCH(BG$1,'Monthly VOL'!$N$1:$CG$1,0))/INDEX('Monthly CUST'!$N$2:$CG$65,MATCH($D34,'Monthly CUST'!$D$2:$D$65,0),MATCH(BG$1,'Monthly CUST'!$N$1:$CG$1,0)),0)</f>
        <v>7.8083333333333336</v>
      </c>
      <c r="BH34" s="56">
        <f>IFERROR(INDEX('Monthly VOL'!$N$2:$CG$65,MATCH($D34,'Monthly VOL'!$D$2:$D$65,0),MATCH(BH$1,'Monthly VOL'!$N$1:$CG$1,0))/INDEX('Monthly CUST'!$N$2:$CG$65,MATCH($D34,'Monthly CUST'!$D$2:$D$65,0),MATCH(BH$1,'Monthly CUST'!$N$1:$CG$1,0)),0)</f>
        <v>7.9616666666666669</v>
      </c>
      <c r="BI34" s="56">
        <f>IFERROR(INDEX('Monthly VOL'!$N$2:$CG$65,MATCH($D34,'Monthly VOL'!$D$2:$D$65,0),MATCH(BI$1,'Monthly VOL'!$N$1:$CG$1,0))/INDEX('Monthly CUST'!$N$2:$CG$65,MATCH($D34,'Monthly CUST'!$D$2:$D$65,0),MATCH(BI$1,'Monthly CUST'!$N$1:$CG$1,0)),0)</f>
        <v>9.7799999999999994</v>
      </c>
      <c r="BJ34" s="56">
        <f>IFERROR(INDEX('Monthly VOL'!$N$2:$CG$65,MATCH($D34,'Monthly VOL'!$D$2:$D$65,0),MATCH(BJ$1,'Monthly VOL'!$N$1:$CG$1,0))/INDEX('Monthly CUST'!$N$2:$CG$65,MATCH($D34,'Monthly CUST'!$D$2:$D$65,0),MATCH(BJ$1,'Monthly CUST'!$N$1:$CG$1,0)),0)</f>
        <v>17.192505614686066</v>
      </c>
      <c r="BK34" s="56">
        <f>IFERROR(INDEX('Monthly VOL'!$N$2:$CG$65,MATCH($D34,'Monthly VOL'!$D$2:$D$65,0),MATCH(BK$1,'Monthly VOL'!$N$1:$CG$1,0))/INDEX('Monthly CUST'!$N$2:$CG$65,MATCH($D34,'Monthly CUST'!$D$2:$D$65,0),MATCH(BK$1,'Monthly CUST'!$N$1:$CG$1,0)),0)</f>
        <v>14.277116492530027</v>
      </c>
      <c r="BL34" s="56">
        <f>IFERROR(INDEX('Monthly VOL'!$N$2:$CG$65,MATCH($D34,'Monthly VOL'!$D$2:$D$65,0),MATCH(BL$1,'Monthly VOL'!$N$1:$CG$1,0))/INDEX('Monthly CUST'!$N$2:$CG$65,MATCH($D34,'Monthly CUST'!$D$2:$D$65,0),MATCH(BL$1,'Monthly CUST'!$N$1:$CG$1,0)),0)</f>
        <v>7.6269895518015822</v>
      </c>
      <c r="BM34" s="56">
        <f>IFERROR(INDEX('Monthly VOL'!$N$2:$CG$65,MATCH($D34,'Monthly VOL'!$D$2:$D$65,0),MATCH(BM$1,'Monthly VOL'!$N$1:$CG$1,0))/INDEX('Monthly CUST'!$N$2:$CG$65,MATCH($D34,'Monthly CUST'!$D$2:$D$65,0),MATCH(BM$1,'Monthly CUST'!$N$1:$CG$1,0)),0)</f>
        <v>8.5223318035348115</v>
      </c>
      <c r="BN34" s="56">
        <f>IFERROR(INDEX('Monthly VOL'!$N$2:$CG$65,MATCH($D34,'Monthly VOL'!$D$2:$D$65,0),MATCH(BN$1,'Monthly VOL'!$N$1:$CG$1,0))/INDEX('Monthly CUST'!$N$2:$CG$65,MATCH($D34,'Monthly CUST'!$D$2:$D$65,0),MATCH(BN$1,'Monthly CUST'!$N$1:$CG$1,0)),0)</f>
        <v>7.3188702275168431</v>
      </c>
      <c r="BO34" s="56">
        <f>IFERROR(INDEX('Monthly VOL'!$N$2:$CG$65,MATCH($D34,'Monthly VOL'!$D$2:$D$65,0),MATCH(BO$1,'Monthly VOL'!$N$1:$CG$1,0))/INDEX('Monthly CUST'!$N$2:$CG$65,MATCH($D34,'Monthly CUST'!$D$2:$D$65,0),MATCH(BO$1,'Monthly CUST'!$N$1:$CG$1,0)),0)</f>
        <v>7.3973969013442691</v>
      </c>
      <c r="BP34" s="56">
        <f>IFERROR(INDEX('Monthly VOL'!$N$2:$CG$65,MATCH($D34,'Monthly VOL'!$D$2:$D$65,0),MATCH(BP$1,'Monthly VOL'!$N$1:$CG$1,0))/INDEX('Monthly CUST'!$N$2:$CG$65,MATCH($D34,'Monthly CUST'!$D$2:$D$65,0),MATCH(BP$1,'Monthly CUST'!$N$1:$CG$1,0)),0)</f>
        <v>7.890664160401001</v>
      </c>
      <c r="BQ34" s="56">
        <f>IFERROR(INDEX('Monthly VOL'!$N$2:$CG$65,MATCH($D34,'Monthly VOL'!$D$2:$D$65,0),MATCH(BQ$1,'Monthly VOL'!$N$1:$CG$1,0))/INDEX('Monthly CUST'!$N$2:$CG$65,MATCH($D34,'Monthly CUST'!$D$2:$D$65,0),MATCH(BQ$1,'Monthly CUST'!$N$1:$CG$1,0)),0)</f>
        <v>7.7649293688767376</v>
      </c>
      <c r="BR34" s="56">
        <f>IFERROR(INDEX('Monthly VOL'!$N$2:$CG$65,MATCH($D34,'Monthly VOL'!$D$2:$D$65,0),MATCH(BR$1,'Monthly VOL'!$N$1:$CG$1,0))/INDEX('Monthly CUST'!$N$2:$CG$65,MATCH($D34,'Monthly CUST'!$D$2:$D$65,0),MATCH(BR$1,'Monthly CUST'!$N$1:$CG$1,0)),0)</f>
        <v>8.3887673729778989</v>
      </c>
      <c r="BS34" s="56">
        <f>IFERROR(INDEX('Monthly VOL'!$N$2:$CG$65,MATCH($D34,'Monthly VOL'!$D$2:$D$65,0),MATCH(BS$1,'Monthly VOL'!$N$1:$CG$1,0))/INDEX('Monthly CUST'!$N$2:$CG$65,MATCH($D34,'Monthly CUST'!$D$2:$D$65,0),MATCH(BS$1,'Monthly CUST'!$N$1:$CG$1,0)),0)</f>
        <v>7.5521474139895179</v>
      </c>
      <c r="BT34" s="56">
        <f>IFERROR(INDEX('Monthly VOL'!$N$2:$CG$65,MATCH($D34,'Monthly VOL'!$D$2:$D$65,0),MATCH(BT$1,'Monthly VOL'!$N$1:$CG$1,0))/INDEX('Monthly CUST'!$N$2:$CG$65,MATCH($D34,'Monthly CUST'!$D$2:$D$65,0),MATCH(BT$1,'Monthly CUST'!$N$1:$CG$1,0)),0)</f>
        <v>7.7004499886078834</v>
      </c>
      <c r="BU34" s="56">
        <f>IFERROR(INDEX('Monthly VOL'!$N$2:$CG$65,MATCH($D34,'Monthly VOL'!$D$2:$D$65,0),MATCH(BU$1,'Monthly VOL'!$N$1:$CG$1,0))/INDEX('Monthly CUST'!$N$2:$CG$65,MATCH($D34,'Monthly CUST'!$D$2:$D$65,0),MATCH(BU$1,'Monthly CUST'!$N$1:$CG$1,0)),0)</f>
        <v>9.4591250854408742</v>
      </c>
      <c r="BV34" s="56">
        <f>IFERROR(INDEX('Monthly VOL'!$N$2:$CG$65,MATCH($D34,'Monthly VOL'!$D$2:$D$65,0),MATCH(BV$1,'Monthly VOL'!$N$1:$CG$1,0))/INDEX('Monthly CUST'!$N$2:$CG$65,MATCH($D34,'Monthly CUST'!$D$2:$D$65,0),MATCH(BV$1,'Monthly CUST'!$N$1:$CG$1,0)),0)</f>
        <v>16.628431609556241</v>
      </c>
      <c r="BW34" s="56">
        <f>IFERROR(INDEX('Monthly VOL'!$N$2:$CG$65,MATCH($D34,'Monthly VOL'!$D$2:$D$65,0),MATCH(BW$1,'Monthly VOL'!$N$1:$CG$1,0))/INDEX('Monthly CUST'!$N$2:$CG$65,MATCH($D34,'Monthly CUST'!$D$2:$D$65,0),MATCH(BW$1,'Monthly CUST'!$N$1:$CG$1,0)),0)</f>
        <v>13.808694351968549</v>
      </c>
      <c r="BX34" s="56">
        <f>IFERROR(INDEX('Monthly VOL'!$N$2:$CG$65,MATCH($D34,'Monthly VOL'!$D$2:$D$65,0),MATCH(BX$1,'Monthly VOL'!$N$1:$CG$1,0))/INDEX('Monthly CUST'!$N$2:$CG$65,MATCH($D34,'Monthly CUST'!$D$2:$D$65,0),MATCH(BX$1,'Monthly CUST'!$N$1:$CG$1,0)),0)</f>
        <v>7.3767533942578529</v>
      </c>
      <c r="BY34" s="56">
        <f>IFERROR(INDEX('Monthly VOL'!$N$2:$CG$65,MATCH($D34,'Monthly VOL'!$D$2:$D$65,0),MATCH(BY$1,'Monthly VOL'!$N$1:$CG$1,0))/INDEX('Monthly CUST'!$N$2:$CG$65,MATCH($D34,'Monthly CUST'!$D$2:$D$65,0),MATCH(BY$1,'Monthly CUST'!$N$1:$CG$1,0)),0)</f>
        <v>8.2427200970620351</v>
      </c>
      <c r="BZ34" s="56">
        <f>IFERROR(INDEX('Monthly VOL'!$N$2:$CG$65,MATCH($D34,'Monthly VOL'!$D$2:$D$65,0),MATCH(BZ$1,'Monthly VOL'!$N$1:$CG$1,0))/INDEX('Monthly CUST'!$N$2:$CG$65,MATCH($D34,'Monthly CUST'!$D$2:$D$65,0),MATCH(BZ$1,'Monthly CUST'!$N$1:$CG$1,0)),0)</f>
        <v>7.0787432480767833</v>
      </c>
      <c r="CA34" s="56">
        <f>IFERROR(INDEX('Monthly VOL'!$N$2:$CG$65,MATCH($D34,'Monthly VOL'!$D$2:$D$65,0),MATCH(CA$1,'Monthly VOL'!$N$1:$CG$1,0))/INDEX('Monthly CUST'!$N$2:$CG$65,MATCH($D34,'Monthly CUST'!$D$2:$D$65,0),MATCH(CA$1,'Monthly CUST'!$N$1:$CG$1,0)),0)</f>
        <v>7.1546935170212853</v>
      </c>
      <c r="CB34" s="56">
        <f>IFERROR(INDEX('Monthly VOL'!$N$2:$CG$65,MATCH($D34,'Monthly VOL'!$D$2:$D$65,0),MATCH(CB$1,'Monthly VOL'!$N$1:$CG$1,0))/INDEX('Monthly CUST'!$N$2:$CG$65,MATCH($D34,'Monthly CUST'!$D$2:$D$65,0),MATCH(CB$1,'Monthly CUST'!$N$1:$CG$1,0)),0)</f>
        <v>7.6317770245847001</v>
      </c>
      <c r="CC34" s="56">
        <f>IFERROR(INDEX('Monthly VOL'!$N$2:$CG$65,MATCH($D34,'Monthly VOL'!$D$2:$D$65,0),MATCH(CC$1,'Monthly VOL'!$N$1:$CG$1,0))/INDEX('Monthly CUST'!$N$2:$CG$65,MATCH($D34,'Monthly CUST'!$D$2:$D$65,0),MATCH(CC$1,'Monthly CUST'!$N$1:$CG$1,0)),0)</f>
        <v>7.5101675030489297</v>
      </c>
      <c r="CD34" s="56">
        <f>IFERROR(INDEX('Monthly VOL'!$N$2:$CG$65,MATCH($D34,'Monthly VOL'!$D$2:$D$65,0),MATCH(CD$1,'Monthly VOL'!$N$1:$CG$1,0))/INDEX('Monthly CUST'!$N$2:$CG$65,MATCH($D34,'Monthly CUST'!$D$2:$D$65,0),MATCH(CD$1,'Monthly CUST'!$N$1:$CG$1,0)),0)</f>
        <v>8.1135378214379532</v>
      </c>
      <c r="CE34" s="56">
        <f>IFERROR(INDEX('Monthly VOL'!$N$2:$CG$65,MATCH($D34,'Monthly VOL'!$D$2:$D$65,0),MATCH(CE$1,'Monthly VOL'!$N$1:$CG$1,0))/INDEX('Monthly CUST'!$N$2:$CG$65,MATCH($D34,'Monthly CUST'!$D$2:$D$65,0),MATCH(CE$1,'Monthly CUST'!$N$1:$CG$1,0)),0)</f>
        <v>7.3043667742960814</v>
      </c>
      <c r="CF34" s="56">
        <f>IFERROR(INDEX('Monthly VOL'!$N$2:$CG$65,MATCH($D34,'Monthly VOL'!$D$2:$D$65,0),MATCH(CF$1,'Monthly VOL'!$N$1:$CG$1,0))/INDEX('Monthly CUST'!$N$2:$CG$65,MATCH($D34,'Monthly CUST'!$D$2:$D$65,0),MATCH(CF$1,'Monthly CUST'!$N$1:$CG$1,0)),0)</f>
        <v>7.4478036458510974</v>
      </c>
      <c r="CG34" s="56">
        <f>IFERROR(INDEX('Monthly VOL'!$N$2:$CG$65,MATCH($D34,'Monthly VOL'!$D$2:$D$65,0),MATCH(CG$1,'Monthly VOL'!$N$1:$CG$1,0))/INDEX('Monthly CUST'!$N$2:$CG$65,MATCH($D34,'Monthly CUST'!$D$2:$D$65,0),MATCH(CG$1,'Monthly CUST'!$N$1:$CG$1,0)),0)</f>
        <v>9.1487778509219666</v>
      </c>
      <c r="CH34" s="264"/>
      <c r="CI34" s="264"/>
      <c r="CJ34" s="264"/>
      <c r="CM34" s="569">
        <f t="shared" ref="CM34:CM65" si="24">AVERAGE(Z34,AL34,AX34)</f>
        <v>15.818095238095239</v>
      </c>
      <c r="CN34" s="569">
        <f t="shared" ref="CN34:CN65" si="25">AVERAGE(AA34,AM34,AY34)</f>
        <v>12.746190476190478</v>
      </c>
      <c r="CO34" s="569">
        <f t="shared" ref="CO34:CO65" si="26">AVERAGE(AB34,AN34,AZ34)</f>
        <v>8.7861904761904768</v>
      </c>
      <c r="CP34" s="569">
        <f t="shared" ref="CP34:CP65" si="27">AVERAGE(AC34,AO34,BA34)</f>
        <v>9.698888888888888</v>
      </c>
      <c r="CQ34" s="569">
        <f t="shared" ref="CQ34:CQ65" si="28">AVERAGE(AD34,AP34,BB34)</f>
        <v>7.9313492063492061</v>
      </c>
      <c r="CR34" s="569">
        <f t="shared" ref="CR34:CR65" si="29">AVERAGE(AE34,AQ34,BC34)</f>
        <v>8.4561111111111114</v>
      </c>
      <c r="CS34" s="569">
        <f t="shared" ref="CS34:CS65" si="30">AVERAGE(AF34,AR34,BD34)</f>
        <v>8.5605555555555544</v>
      </c>
      <c r="CT34" s="569">
        <f t="shared" ref="CT34:CT65" si="31">AVERAGE(AG34,AS34,BE34)</f>
        <v>8.1172222222222228</v>
      </c>
      <c r="CU34" s="569">
        <f t="shared" ref="CU34:CU65" si="32">AVERAGE(AH34,AT34,BF34)</f>
        <v>8.8227777777777785</v>
      </c>
      <c r="CV34" s="569">
        <f t="shared" ref="CV34:CV65" si="33">AVERAGE(AI34,AU34,BG34)</f>
        <v>8.7027777777777775</v>
      </c>
      <c r="CW34" s="569">
        <f t="shared" ref="CW34:CW65" si="34">AVERAGE(AJ34,AV34,BH34)</f>
        <v>9.1548412698412687</v>
      </c>
      <c r="CX34" s="569">
        <f t="shared" ref="CX34:CX65" si="35">AVERAGE(AK34,AW34,BI34)</f>
        <v>12.963333333333333</v>
      </c>
      <c r="CY34" s="569">
        <f t="shared" ref="CY34:CY65" si="36">CM34</f>
        <v>15.818095238095239</v>
      </c>
      <c r="CZ34" s="569">
        <f t="shared" ref="CZ34:CZ65" si="37">CN34</f>
        <v>12.746190476190478</v>
      </c>
      <c r="DA34" s="569">
        <f t="shared" ref="DA34:DA65" si="38">CO34</f>
        <v>8.7861904761904768</v>
      </c>
      <c r="DB34" s="569">
        <f t="shared" ref="DB34:DB65" si="39">CP34</f>
        <v>9.698888888888888</v>
      </c>
      <c r="DC34" s="569">
        <f t="shared" ref="DC34:DC65" si="40">CQ34</f>
        <v>7.9313492063492061</v>
      </c>
      <c r="DD34" s="569">
        <f t="shared" ref="DD34:DD65" si="41">CR34</f>
        <v>8.4561111111111114</v>
      </c>
      <c r="DE34" s="569">
        <f t="shared" ref="DE34:DE65" si="42">CS34</f>
        <v>8.5605555555555544</v>
      </c>
      <c r="DF34" s="569">
        <f t="shared" ref="DF34:DF65" si="43">CT34</f>
        <v>8.1172222222222228</v>
      </c>
      <c r="DG34" s="569">
        <f t="shared" ref="DG34:DG65" si="44">CU34</f>
        <v>8.8227777777777785</v>
      </c>
      <c r="DH34" s="569">
        <f t="shared" ref="DH34:DH65" si="45">CV34</f>
        <v>8.7027777777777775</v>
      </c>
      <c r="DI34" s="569">
        <f t="shared" ref="DI34:DI65" si="46">CW34</f>
        <v>9.1548412698412687</v>
      </c>
      <c r="DJ34" s="569">
        <f t="shared" ref="DJ34:DJ65" si="47">CX34</f>
        <v>12.963333333333333</v>
      </c>
    </row>
    <row r="35" spans="1:114" s="261" customFormat="1">
      <c r="A35" s="55" t="s">
        <v>17</v>
      </c>
      <c r="B35" s="55" t="s">
        <v>993</v>
      </c>
      <c r="C35" s="55" t="s">
        <v>1245</v>
      </c>
      <c r="D35" s="55" t="s">
        <v>1375</v>
      </c>
      <c r="E35" s="55" t="str">
        <f>VLOOKUP(D35,'Input 14_Ref Table'!C:D,2,FALSE)</f>
        <v>CC804</v>
      </c>
      <c r="F35" s="172" t="s">
        <v>1287</v>
      </c>
      <c r="G35" s="55" t="str">
        <f>VLOOKUP(D35,'Input 14_Ref Table'!C:I,7,FALSE)</f>
        <v>CFG - FTS-A - Fixed NR</v>
      </c>
      <c r="H35" s="55" t="str">
        <f>VLOOKUP(D35,'Input 14_Ref Table'!C:K,8,FALSE)</f>
        <v>FTS_AB_C</v>
      </c>
      <c r="I35" s="55" t="e">
        <f>INDEX(#REF!,MATCH(D35,#REF!,0))</f>
        <v>#REF!</v>
      </c>
      <c r="J35" s="261" t="str">
        <f>INDEX('Master '!$AD$2:AD$65,MATCH(D35,'Master '!$D$2:$D$65,0))</f>
        <v>UPC Growth Rate</v>
      </c>
      <c r="K35" s="567">
        <f>INDEX('Master '!$N$2:N$65,MATCH(D35,'Master '!$D$2:$D$65,0))</f>
        <v>-8.9379418530954602E-2</v>
      </c>
      <c r="L35" s="290">
        <f>INDEX('Master '!$S$2:S$65,MATCH(D35,'Master '!$D$2:$D$65,0))</f>
        <v>-3.2809295967190781E-2</v>
      </c>
      <c r="M35" s="1">
        <f>INDEX('Master '!$W$2:W$65,MATCH(D35,'Master '!$D$2:$D$65,0))</f>
        <v>70.75</v>
      </c>
      <c r="N35" s="56">
        <f>IFERROR(INDEX('Monthly VOL'!$N$2:$CG$65,MATCH($D35,'Monthly VOL'!$D$2:$D$65,0),MATCH(N$1,'Monthly VOL'!$N$1:$CG$1,0))/INDEX('Monthly CUST'!$N$2:$CG$65,MATCH($D35,'Monthly CUST'!$D$2:$D$65,0),MATCH(N$1,'Monthly CUST'!$N$1:$CG$1,0)),0)</f>
        <v>0</v>
      </c>
      <c r="O35" s="56">
        <f>IFERROR(INDEX('Monthly VOL'!$N$2:$CG$65,MATCH($D35,'Monthly VOL'!$D$2:$D$65,0),MATCH(O$1,'Monthly VOL'!$N$1:$CG$1,0))/INDEX('Monthly CUST'!$N$2:$CG$65,MATCH($D35,'Monthly CUST'!$D$2:$D$65,0),MATCH(O$1,'Monthly CUST'!$N$1:$CG$1,0)),0)</f>
        <v>0</v>
      </c>
      <c r="P35" s="56">
        <f>IFERROR(INDEX('Monthly VOL'!$N$2:$CG$65,MATCH($D35,'Monthly VOL'!$D$2:$D$65,0),MATCH(P$1,'Monthly VOL'!$N$1:$CG$1,0))/INDEX('Monthly CUST'!$N$2:$CG$65,MATCH($D35,'Monthly CUST'!$D$2:$D$65,0),MATCH(P$1,'Monthly CUST'!$N$1:$CG$1,0)),0)</f>
        <v>0</v>
      </c>
      <c r="Q35" s="56">
        <f>IFERROR(INDEX('Monthly VOL'!$N$2:$CG$65,MATCH($D35,'Monthly VOL'!$D$2:$D$65,0),MATCH(Q$1,'Monthly VOL'!$N$1:$CG$1,0))/INDEX('Monthly CUST'!$N$2:$CG$65,MATCH($D35,'Monthly CUST'!$D$2:$D$65,0),MATCH(Q$1,'Monthly CUST'!$N$1:$CG$1,0)),0)</f>
        <v>0</v>
      </c>
      <c r="R35" s="56">
        <f>IFERROR(INDEX('Monthly VOL'!$N$2:$CG$65,MATCH($D35,'Monthly VOL'!$D$2:$D$65,0),MATCH(R$1,'Monthly VOL'!$N$1:$CG$1,0))/INDEX('Monthly CUST'!$N$2:$CG$65,MATCH($D35,'Monthly CUST'!$D$2:$D$65,0),MATCH(R$1,'Monthly CUST'!$N$1:$CG$1,0)),0)</f>
        <v>0</v>
      </c>
      <c r="S35" s="56">
        <f>IFERROR(INDEX('Monthly VOL'!$N$2:$CG$65,MATCH($D35,'Monthly VOL'!$D$2:$D$65,0),MATCH(S$1,'Monthly VOL'!$N$1:$CG$1,0))/INDEX('Monthly CUST'!$N$2:$CG$65,MATCH($D35,'Monthly CUST'!$D$2:$D$65,0),MATCH(S$1,'Monthly CUST'!$N$1:$CG$1,0)),0)</f>
        <v>0</v>
      </c>
      <c r="T35" s="56">
        <f>IFERROR(INDEX('Monthly VOL'!$N$2:$CG$65,MATCH($D35,'Monthly VOL'!$D$2:$D$65,0),MATCH(T$1,'Monthly VOL'!$N$1:$CG$1,0))/INDEX('Monthly CUST'!$N$2:$CG$65,MATCH($D35,'Monthly CUST'!$D$2:$D$65,0),MATCH(T$1,'Monthly CUST'!$N$1:$CG$1,0)),0)</f>
        <v>0</v>
      </c>
      <c r="U35" s="56">
        <f>IFERROR(INDEX('Monthly VOL'!$N$2:$CG$65,MATCH($D35,'Monthly VOL'!$D$2:$D$65,0),MATCH(U$1,'Monthly VOL'!$N$1:$CG$1,0))/INDEX('Monthly CUST'!$N$2:$CG$65,MATCH($D35,'Monthly CUST'!$D$2:$D$65,0),MATCH(U$1,'Monthly CUST'!$N$1:$CG$1,0)),0)</f>
        <v>0</v>
      </c>
      <c r="V35" s="56">
        <f>IFERROR(INDEX('Monthly VOL'!$N$2:$CG$65,MATCH($D35,'Monthly VOL'!$D$2:$D$65,0),MATCH(V$1,'Monthly VOL'!$N$1:$CG$1,0))/INDEX('Monthly CUST'!$N$2:$CG$65,MATCH($D35,'Monthly CUST'!$D$2:$D$65,0),MATCH(V$1,'Monthly CUST'!$N$1:$CG$1,0)),0)</f>
        <v>0</v>
      </c>
      <c r="W35" s="56">
        <f>IFERROR(INDEX('Monthly VOL'!$N$2:$CG$65,MATCH($D35,'Monthly VOL'!$D$2:$D$65,0),MATCH(W$1,'Monthly VOL'!$N$1:$CG$1,0))/INDEX('Monthly CUST'!$N$2:$CG$65,MATCH($D35,'Monthly CUST'!$D$2:$D$65,0),MATCH(W$1,'Monthly CUST'!$N$1:$CG$1,0)),0)</f>
        <v>0</v>
      </c>
      <c r="X35" s="56">
        <f>IFERROR(INDEX('Monthly VOL'!$N$2:$CG$65,MATCH($D35,'Monthly VOL'!$D$2:$D$65,0),MATCH(X$1,'Monthly VOL'!$N$1:$CG$1,0))/INDEX('Monthly CUST'!$N$2:$CG$65,MATCH($D35,'Monthly CUST'!$D$2:$D$65,0),MATCH(X$1,'Monthly CUST'!$N$1:$CG$1,0)),0)</f>
        <v>0</v>
      </c>
      <c r="Y35" s="56">
        <f>IFERROR(INDEX('Monthly VOL'!$N$2:$CG$65,MATCH($D35,'Monthly VOL'!$D$2:$D$65,0),MATCH(Y$1,'Monthly VOL'!$N$1:$CG$1,0))/INDEX('Monthly CUST'!$N$2:$CG$65,MATCH($D35,'Monthly CUST'!$D$2:$D$65,0),MATCH(Y$1,'Monthly CUST'!$N$1:$CG$1,0)),0)</f>
        <v>0</v>
      </c>
      <c r="Z35" s="56">
        <f>IFERROR(INDEX('Monthly VOL'!$N$2:$CG$65,MATCH($D35,'Monthly VOL'!$D$2:$D$65,0),MATCH(Z$1,'Monthly VOL'!$N$1:$CG$1,0))/INDEX('Monthly CUST'!$N$2:$CG$65,MATCH($D35,'Monthly CUST'!$D$2:$D$65,0),MATCH(Z$1,'Monthly CUST'!$N$1:$CG$1,0)),0)</f>
        <v>0</v>
      </c>
      <c r="AA35" s="56">
        <f>IFERROR(INDEX('Monthly VOL'!$N$2:$CG$65,MATCH($D35,'Monthly VOL'!$D$2:$D$65,0),MATCH(AA$1,'Monthly VOL'!$N$1:$CG$1,0))/INDEX('Monthly CUST'!$N$2:$CG$65,MATCH($D35,'Monthly CUST'!$D$2:$D$65,0),MATCH(AA$1,'Monthly CUST'!$N$1:$CG$1,0)),0)</f>
        <v>0</v>
      </c>
      <c r="AB35" s="56">
        <f>IFERROR(INDEX('Monthly VOL'!$N$2:$CG$65,MATCH($D35,'Monthly VOL'!$D$2:$D$65,0),MATCH(AB$1,'Monthly VOL'!$N$1:$CG$1,0))/INDEX('Monthly CUST'!$N$2:$CG$65,MATCH($D35,'Monthly CUST'!$D$2:$D$65,0),MATCH(AB$1,'Monthly CUST'!$N$1:$CG$1,0)),0)</f>
        <v>0</v>
      </c>
      <c r="AC35" s="56">
        <f>IFERROR(INDEX('Monthly VOL'!$N$2:$CG$65,MATCH($D35,'Monthly VOL'!$D$2:$D$65,0),MATCH(AC$1,'Monthly VOL'!$N$1:$CG$1,0))/INDEX('Monthly CUST'!$N$2:$CG$65,MATCH($D35,'Monthly CUST'!$D$2:$D$65,0),MATCH(AC$1,'Monthly CUST'!$N$1:$CG$1,0)),0)</f>
        <v>0</v>
      </c>
      <c r="AD35" s="56">
        <f>IFERROR(INDEX('Monthly VOL'!$N$2:$CG$65,MATCH($D35,'Monthly VOL'!$D$2:$D$65,0),MATCH(AD$1,'Monthly VOL'!$N$1:$CG$1,0))/INDEX('Monthly CUST'!$N$2:$CG$65,MATCH($D35,'Monthly CUST'!$D$2:$D$65,0),MATCH(AD$1,'Monthly CUST'!$N$1:$CG$1,0)),0)</f>
        <v>0</v>
      </c>
      <c r="AE35" s="56">
        <f>IFERROR(INDEX('Monthly VOL'!$N$2:$CG$65,MATCH($D35,'Monthly VOL'!$D$2:$D$65,0),MATCH(AE$1,'Monthly VOL'!$N$1:$CG$1,0))/INDEX('Monthly CUST'!$N$2:$CG$65,MATCH($D35,'Monthly CUST'!$D$2:$D$65,0),MATCH(AE$1,'Monthly CUST'!$N$1:$CG$1,0)),0)</f>
        <v>0</v>
      </c>
      <c r="AF35" s="56">
        <f>IFERROR(INDEX('Monthly VOL'!$N$2:$CG$65,MATCH($D35,'Monthly VOL'!$D$2:$D$65,0),MATCH(AF$1,'Monthly VOL'!$N$1:$CG$1,0))/INDEX('Monthly CUST'!$N$2:$CG$65,MATCH($D35,'Monthly CUST'!$D$2:$D$65,0),MATCH(AF$1,'Monthly CUST'!$N$1:$CG$1,0)),0)</f>
        <v>0</v>
      </c>
      <c r="AG35" s="56">
        <f>IFERROR(INDEX('Monthly VOL'!$N$2:$CG$65,MATCH($D35,'Monthly VOL'!$D$2:$D$65,0),MATCH(AG$1,'Monthly VOL'!$N$1:$CG$1,0))/INDEX('Monthly CUST'!$N$2:$CG$65,MATCH($D35,'Monthly CUST'!$D$2:$D$65,0),MATCH(AG$1,'Monthly CUST'!$N$1:$CG$1,0)),0)</f>
        <v>0</v>
      </c>
      <c r="AH35" s="56">
        <f>IFERROR(INDEX('Monthly VOL'!$N$2:$CG$65,MATCH($D35,'Monthly VOL'!$D$2:$D$65,0),MATCH(AH$1,'Monthly VOL'!$N$1:$CG$1,0))/INDEX('Monthly CUST'!$N$2:$CG$65,MATCH($D35,'Monthly CUST'!$D$2:$D$65,0),MATCH(AH$1,'Monthly CUST'!$N$1:$CG$1,0)),0)</f>
        <v>0</v>
      </c>
      <c r="AI35" s="56">
        <f>IFERROR(INDEX('Monthly VOL'!$N$2:$CG$65,MATCH($D35,'Monthly VOL'!$D$2:$D$65,0),MATCH(AI$1,'Monthly VOL'!$N$1:$CG$1,0))/INDEX('Monthly CUST'!$N$2:$CG$65,MATCH($D35,'Monthly CUST'!$D$2:$D$65,0),MATCH(AI$1,'Monthly CUST'!$N$1:$CG$1,0)),0)</f>
        <v>0</v>
      </c>
      <c r="AJ35" s="56">
        <f>IFERROR(INDEX('Monthly VOL'!$N$2:$CG$65,MATCH($D35,'Monthly VOL'!$D$2:$D$65,0),MATCH(AJ$1,'Monthly VOL'!$N$1:$CG$1,0))/INDEX('Monthly CUST'!$N$2:$CG$65,MATCH($D35,'Monthly CUST'!$D$2:$D$65,0),MATCH(AJ$1,'Monthly CUST'!$N$1:$CG$1,0)),0)</f>
        <v>0</v>
      </c>
      <c r="AK35" s="56">
        <f>IFERROR(INDEX('Monthly VOL'!$N$2:$CG$65,MATCH($D35,'Monthly VOL'!$D$2:$D$65,0),MATCH(AK$1,'Monthly VOL'!$N$1:$CG$1,0))/INDEX('Monthly CUST'!$N$2:$CG$65,MATCH($D35,'Monthly CUST'!$D$2:$D$65,0),MATCH(AK$1,'Monthly CUST'!$N$1:$CG$1,0)),0)</f>
        <v>0</v>
      </c>
      <c r="AL35" s="56">
        <f>IFERROR(INDEX('Monthly VOL'!$N$2:$CG$65,MATCH($D35,'Monthly VOL'!$D$2:$D$65,0),MATCH(AL$1,'Monthly VOL'!$N$1:$CG$1,0))/INDEX('Monthly CUST'!$N$2:$CG$65,MATCH($D35,'Monthly CUST'!$D$2:$D$65,0),MATCH(AL$1,'Monthly CUST'!$N$1:$CG$1,0)),0)</f>
        <v>0</v>
      </c>
      <c r="AM35" s="56">
        <f>IFERROR(INDEX('Monthly VOL'!$N$2:$CG$65,MATCH($D35,'Monthly VOL'!$D$2:$D$65,0),MATCH(AM$1,'Monthly VOL'!$N$1:$CG$1,0))/INDEX('Monthly CUST'!$N$2:$CG$65,MATCH($D35,'Monthly CUST'!$D$2:$D$65,0),MATCH(AM$1,'Monthly CUST'!$N$1:$CG$1,0)),0)</f>
        <v>0</v>
      </c>
      <c r="AN35" s="56">
        <f>IFERROR(INDEX('Monthly VOL'!$N$2:$CG$65,MATCH($D35,'Monthly VOL'!$D$2:$D$65,0),MATCH(AN$1,'Monthly VOL'!$N$1:$CG$1,0))/INDEX('Monthly CUST'!$N$2:$CG$65,MATCH($D35,'Monthly CUST'!$D$2:$D$65,0),MATCH(AN$1,'Monthly CUST'!$N$1:$CG$1,0)),0)</f>
        <v>0</v>
      </c>
      <c r="AO35" s="56">
        <f>IFERROR(INDEX('Monthly VOL'!$N$2:$CG$65,MATCH($D35,'Monthly VOL'!$D$2:$D$65,0),MATCH(AO$1,'Monthly VOL'!$N$1:$CG$1,0))/INDEX('Monthly CUST'!$N$2:$CG$65,MATCH($D35,'Monthly CUST'!$D$2:$D$65,0),MATCH(AO$1,'Monthly CUST'!$N$1:$CG$1,0)),0)</f>
        <v>0</v>
      </c>
      <c r="AP35" s="56">
        <f>IFERROR(INDEX('Monthly VOL'!$N$2:$CG$65,MATCH($D35,'Monthly VOL'!$D$2:$D$65,0),MATCH(AP$1,'Monthly VOL'!$N$1:$CG$1,0))/INDEX('Monthly CUST'!$N$2:$CG$65,MATCH($D35,'Monthly CUST'!$D$2:$D$65,0),MATCH(AP$1,'Monthly CUST'!$N$1:$CG$1,0)),0)</f>
        <v>0</v>
      </c>
      <c r="AQ35" s="56">
        <f>IFERROR(INDEX('Monthly VOL'!$N$2:$CG$65,MATCH($D35,'Monthly VOL'!$D$2:$D$65,0),MATCH(AQ$1,'Monthly VOL'!$N$1:$CG$1,0))/INDEX('Monthly CUST'!$N$2:$CG$65,MATCH($D35,'Monthly CUST'!$D$2:$D$65,0),MATCH(AQ$1,'Monthly CUST'!$N$1:$CG$1,0)),0)</f>
        <v>0</v>
      </c>
      <c r="AR35" s="56">
        <f>IFERROR(INDEX('Monthly VOL'!$N$2:$CG$65,MATCH($D35,'Monthly VOL'!$D$2:$D$65,0),MATCH(AR$1,'Monthly VOL'!$N$1:$CG$1,0))/INDEX('Monthly CUST'!$N$2:$CG$65,MATCH($D35,'Monthly CUST'!$D$2:$D$65,0),MATCH(AR$1,'Monthly CUST'!$N$1:$CG$1,0)),0)</f>
        <v>0</v>
      </c>
      <c r="AS35" s="56">
        <f>IFERROR(INDEX('Monthly VOL'!$N$2:$CG$65,MATCH($D35,'Monthly VOL'!$D$2:$D$65,0),MATCH(AS$1,'Monthly VOL'!$N$1:$CG$1,0))/INDEX('Monthly CUST'!$N$2:$CG$65,MATCH($D35,'Monthly CUST'!$D$2:$D$65,0),MATCH(AS$1,'Monthly CUST'!$N$1:$CG$1,0)),0)</f>
        <v>0</v>
      </c>
      <c r="AT35" s="56">
        <f>IFERROR(INDEX('Monthly VOL'!$N$2:$CG$65,MATCH($D35,'Monthly VOL'!$D$2:$D$65,0),MATCH(AT$1,'Monthly VOL'!$N$1:$CG$1,0))/INDEX('Monthly CUST'!$N$2:$CG$65,MATCH($D35,'Monthly CUST'!$D$2:$D$65,0),MATCH(AT$1,'Monthly CUST'!$N$1:$CG$1,0)),0)</f>
        <v>0</v>
      </c>
      <c r="AU35" s="56">
        <f>IFERROR(INDEX('Monthly VOL'!$N$2:$CG$65,MATCH($D35,'Monthly VOL'!$D$2:$D$65,0),MATCH(AU$1,'Monthly VOL'!$N$1:$CG$1,0))/INDEX('Monthly CUST'!$N$2:$CG$65,MATCH($D35,'Monthly CUST'!$D$2:$D$65,0),MATCH(AU$1,'Monthly CUST'!$N$1:$CG$1,0)),0)</f>
        <v>0</v>
      </c>
      <c r="AV35" s="56">
        <f>IFERROR(INDEX('Monthly VOL'!$N$2:$CG$65,MATCH($D35,'Monthly VOL'!$D$2:$D$65,0),MATCH(AV$1,'Monthly VOL'!$N$1:$CG$1,0))/INDEX('Monthly CUST'!$N$2:$CG$65,MATCH($D35,'Monthly CUST'!$D$2:$D$65,0),MATCH(AV$1,'Monthly CUST'!$N$1:$CG$1,0)),0)</f>
        <v>0</v>
      </c>
      <c r="AW35" s="56">
        <f>IFERROR(INDEX('Monthly VOL'!$N$2:$CG$65,MATCH($D35,'Monthly VOL'!$D$2:$D$65,0),MATCH(AW$1,'Monthly VOL'!$N$1:$CG$1,0))/INDEX('Monthly CUST'!$N$2:$CG$65,MATCH($D35,'Monthly CUST'!$D$2:$D$65,0),MATCH(AW$1,'Monthly CUST'!$N$1:$CG$1,0)),0)</f>
        <v>0</v>
      </c>
      <c r="AX35" s="56">
        <f>IFERROR(INDEX('Monthly VOL'!$N$2:$CG$65,MATCH($D35,'Monthly VOL'!$D$2:$D$65,0),MATCH(AX$1,'Monthly VOL'!$N$1:$CG$1,0))/INDEX('Monthly CUST'!$N$2:$CG$65,MATCH($D35,'Monthly CUST'!$D$2:$D$65,0),MATCH(AX$1,'Monthly CUST'!$N$1:$CG$1,0)),0)</f>
        <v>0</v>
      </c>
      <c r="AY35" s="56">
        <f>IFERROR(INDEX('Monthly VOL'!$N$2:$CG$65,MATCH($D35,'Monthly VOL'!$D$2:$D$65,0),MATCH(AY$1,'Monthly VOL'!$N$1:$CG$1,0))/INDEX('Monthly CUST'!$N$2:$CG$65,MATCH($D35,'Monthly CUST'!$D$2:$D$65,0),MATCH(AY$1,'Monthly CUST'!$N$1:$CG$1,0)),0)</f>
        <v>0</v>
      </c>
      <c r="AZ35" s="56">
        <f>IFERROR(INDEX('Monthly VOL'!$N$2:$CG$65,MATCH($D35,'Monthly VOL'!$D$2:$D$65,0),MATCH(AZ$1,'Monthly VOL'!$N$1:$CG$1,0))/INDEX('Monthly CUST'!$N$2:$CG$65,MATCH($D35,'Monthly CUST'!$D$2:$D$65,0),MATCH(AZ$1,'Monthly CUST'!$N$1:$CG$1,0)),0)</f>
        <v>0</v>
      </c>
      <c r="BA35" s="56">
        <f>IFERROR(INDEX('Monthly VOL'!$N$2:$CG$65,MATCH($D35,'Monthly VOL'!$D$2:$D$65,0),MATCH(BA$1,'Monthly VOL'!$N$1:$CG$1,0))/INDEX('Monthly CUST'!$N$2:$CG$65,MATCH($D35,'Monthly CUST'!$D$2:$D$65,0),MATCH(BA$1,'Monthly CUST'!$N$1:$CG$1,0)),0)</f>
        <v>0</v>
      </c>
      <c r="BB35" s="56">
        <f>IFERROR(INDEX('Monthly VOL'!$N$2:$CG$65,MATCH($D35,'Monthly VOL'!$D$2:$D$65,0),MATCH(BB$1,'Monthly VOL'!$N$1:$CG$1,0))/INDEX('Monthly CUST'!$N$2:$CG$65,MATCH($D35,'Monthly CUST'!$D$2:$D$65,0),MATCH(BB$1,'Monthly CUST'!$N$1:$CG$1,0)),0)</f>
        <v>0</v>
      </c>
      <c r="BC35" s="56">
        <f>IFERROR(INDEX('Monthly VOL'!$N$2:$CG$65,MATCH($D35,'Monthly VOL'!$D$2:$D$65,0),MATCH(BC$1,'Monthly VOL'!$N$1:$CG$1,0))/INDEX('Monthly CUST'!$N$2:$CG$65,MATCH($D35,'Monthly CUST'!$D$2:$D$65,0),MATCH(BC$1,'Monthly CUST'!$N$1:$CG$1,0)),0)</f>
        <v>0</v>
      </c>
      <c r="BD35" s="56">
        <f>IFERROR(INDEX('Monthly VOL'!$N$2:$CG$65,MATCH($D35,'Monthly VOL'!$D$2:$D$65,0),MATCH(BD$1,'Monthly VOL'!$N$1:$CG$1,0))/INDEX('Monthly CUST'!$N$2:$CG$65,MATCH($D35,'Monthly CUST'!$D$2:$D$65,0),MATCH(BD$1,'Monthly CUST'!$N$1:$CG$1,0)),0)</f>
        <v>0</v>
      </c>
      <c r="BE35" s="56">
        <f>IFERROR(INDEX('Monthly VOL'!$N$2:$CG$65,MATCH($D35,'Monthly VOL'!$D$2:$D$65,0),MATCH(BE$1,'Monthly VOL'!$N$1:$CG$1,0))/INDEX('Monthly CUST'!$N$2:$CG$65,MATCH($D35,'Monthly CUST'!$D$2:$D$65,0),MATCH(BE$1,'Monthly CUST'!$N$1:$CG$1,0)),0)</f>
        <v>0</v>
      </c>
      <c r="BF35" s="56">
        <f>IFERROR(INDEX('Monthly VOL'!$N$2:$CG$65,MATCH($D35,'Monthly VOL'!$D$2:$D$65,0),MATCH(BF$1,'Monthly VOL'!$N$1:$CG$1,0))/INDEX('Monthly CUST'!$N$2:$CG$65,MATCH($D35,'Monthly CUST'!$D$2:$D$65,0),MATCH(BF$1,'Monthly CUST'!$N$1:$CG$1,0)),0)</f>
        <v>0</v>
      </c>
      <c r="BG35" s="56">
        <f>IFERROR(INDEX('Monthly VOL'!$N$2:$CG$65,MATCH($D35,'Monthly VOL'!$D$2:$D$65,0),MATCH(BG$1,'Monthly VOL'!$N$1:$CG$1,0))/INDEX('Monthly CUST'!$N$2:$CG$65,MATCH($D35,'Monthly CUST'!$D$2:$D$65,0),MATCH(BG$1,'Monthly CUST'!$N$1:$CG$1,0)),0)</f>
        <v>0</v>
      </c>
      <c r="BH35" s="56">
        <f>IFERROR(INDEX('Monthly VOL'!$N$2:$CG$65,MATCH($D35,'Monthly VOL'!$D$2:$D$65,0),MATCH(BH$1,'Monthly VOL'!$N$1:$CG$1,0))/INDEX('Monthly CUST'!$N$2:$CG$65,MATCH($D35,'Monthly CUST'!$D$2:$D$65,0),MATCH(BH$1,'Monthly CUST'!$N$1:$CG$1,0)),0)</f>
        <v>0</v>
      </c>
      <c r="BI35" s="56">
        <f>IFERROR(INDEX('Monthly VOL'!$N$2:$CG$65,MATCH($D35,'Monthly VOL'!$D$2:$D$65,0),MATCH(BI$1,'Monthly VOL'!$N$1:$CG$1,0))/INDEX('Monthly CUST'!$N$2:$CG$65,MATCH($D35,'Monthly CUST'!$D$2:$D$65,0),MATCH(BI$1,'Monthly CUST'!$N$1:$CG$1,0)),0)</f>
        <v>0</v>
      </c>
      <c r="BJ35" s="56">
        <f>IFERROR(INDEX('Monthly VOL'!$N$2:$CG$65,MATCH($D35,'Monthly VOL'!$D$2:$D$65,0),MATCH(BJ$1,'Monthly VOL'!$N$1:$CG$1,0))/INDEX('Monthly CUST'!$N$2:$CG$65,MATCH($D35,'Monthly CUST'!$D$2:$D$65,0),MATCH(BJ$1,'Monthly CUST'!$N$1:$CG$1,0)),0)</f>
        <v>0</v>
      </c>
      <c r="BK35" s="56">
        <f>IFERROR(INDEX('Monthly VOL'!$N$2:$CG$65,MATCH($D35,'Monthly VOL'!$D$2:$D$65,0),MATCH(BK$1,'Monthly VOL'!$N$1:$CG$1,0))/INDEX('Monthly CUST'!$N$2:$CG$65,MATCH($D35,'Monthly CUST'!$D$2:$D$65,0),MATCH(BK$1,'Monthly CUST'!$N$1:$CG$1,0)),0)</f>
        <v>0</v>
      </c>
      <c r="BL35" s="56">
        <f>IFERROR(INDEX('Monthly VOL'!$N$2:$CG$65,MATCH($D35,'Monthly VOL'!$D$2:$D$65,0),MATCH(BL$1,'Monthly VOL'!$N$1:$CG$1,0))/INDEX('Monthly CUST'!$N$2:$CG$65,MATCH($D35,'Monthly CUST'!$D$2:$D$65,0),MATCH(BL$1,'Monthly CUST'!$N$1:$CG$1,0)),0)</f>
        <v>0</v>
      </c>
      <c r="BM35" s="56">
        <f>IFERROR(INDEX('Monthly VOL'!$N$2:$CG$65,MATCH($D35,'Monthly VOL'!$D$2:$D$65,0),MATCH(BM$1,'Monthly VOL'!$N$1:$CG$1,0))/INDEX('Monthly CUST'!$N$2:$CG$65,MATCH($D35,'Monthly CUST'!$D$2:$D$65,0),MATCH(BM$1,'Monthly CUST'!$N$1:$CG$1,0)),0)</f>
        <v>0</v>
      </c>
      <c r="BN35" s="56">
        <f>IFERROR(INDEX('Monthly VOL'!$N$2:$CG$65,MATCH($D35,'Monthly VOL'!$D$2:$D$65,0),MATCH(BN$1,'Monthly VOL'!$N$1:$CG$1,0))/INDEX('Monthly CUST'!$N$2:$CG$65,MATCH($D35,'Monthly CUST'!$D$2:$D$65,0),MATCH(BN$1,'Monthly CUST'!$N$1:$CG$1,0)),0)</f>
        <v>0</v>
      </c>
      <c r="BO35" s="56">
        <f>IFERROR(INDEX('Monthly VOL'!$N$2:$CG$65,MATCH($D35,'Monthly VOL'!$D$2:$D$65,0),MATCH(BO$1,'Monthly VOL'!$N$1:$CG$1,0))/INDEX('Monthly CUST'!$N$2:$CG$65,MATCH($D35,'Monthly CUST'!$D$2:$D$65,0),MATCH(BO$1,'Monthly CUST'!$N$1:$CG$1,0)),0)</f>
        <v>0</v>
      </c>
      <c r="BP35" s="56">
        <f>IFERROR(INDEX('Monthly VOL'!$N$2:$CG$65,MATCH($D35,'Monthly VOL'!$D$2:$D$65,0),MATCH(BP$1,'Monthly VOL'!$N$1:$CG$1,0))/INDEX('Monthly CUST'!$N$2:$CG$65,MATCH($D35,'Monthly CUST'!$D$2:$D$65,0),MATCH(BP$1,'Monthly CUST'!$N$1:$CG$1,0)),0)</f>
        <v>0</v>
      </c>
      <c r="BQ35" s="56">
        <f>IFERROR(INDEX('Monthly VOL'!$N$2:$CG$65,MATCH($D35,'Monthly VOL'!$D$2:$D$65,0),MATCH(BQ$1,'Monthly VOL'!$N$1:$CG$1,0))/INDEX('Monthly CUST'!$N$2:$CG$65,MATCH($D35,'Monthly CUST'!$D$2:$D$65,0),MATCH(BQ$1,'Monthly CUST'!$N$1:$CG$1,0)),0)</f>
        <v>0</v>
      </c>
      <c r="BR35" s="56">
        <f>IFERROR(INDEX('Monthly VOL'!$N$2:$CG$65,MATCH($D35,'Monthly VOL'!$D$2:$D$65,0),MATCH(BR$1,'Monthly VOL'!$N$1:$CG$1,0))/INDEX('Monthly CUST'!$N$2:$CG$65,MATCH($D35,'Monthly CUST'!$D$2:$D$65,0),MATCH(BR$1,'Monthly CUST'!$N$1:$CG$1,0)),0)</f>
        <v>0</v>
      </c>
      <c r="BS35" s="56">
        <f>IFERROR(INDEX('Monthly VOL'!$N$2:$CG$65,MATCH($D35,'Monthly VOL'!$D$2:$D$65,0),MATCH(BS$1,'Monthly VOL'!$N$1:$CG$1,0))/INDEX('Monthly CUST'!$N$2:$CG$65,MATCH($D35,'Monthly CUST'!$D$2:$D$65,0),MATCH(BS$1,'Monthly CUST'!$N$1:$CG$1,0)),0)</f>
        <v>0</v>
      </c>
      <c r="BT35" s="56">
        <f>IFERROR(INDEX('Monthly VOL'!$N$2:$CG$65,MATCH($D35,'Monthly VOL'!$D$2:$D$65,0),MATCH(BT$1,'Monthly VOL'!$N$1:$CG$1,0))/INDEX('Monthly CUST'!$N$2:$CG$65,MATCH($D35,'Monthly CUST'!$D$2:$D$65,0),MATCH(BT$1,'Monthly CUST'!$N$1:$CG$1,0)),0)</f>
        <v>0</v>
      </c>
      <c r="BU35" s="56">
        <f>IFERROR(INDEX('Monthly VOL'!$N$2:$CG$65,MATCH($D35,'Monthly VOL'!$D$2:$D$65,0),MATCH(BU$1,'Monthly VOL'!$N$1:$CG$1,0))/INDEX('Monthly CUST'!$N$2:$CG$65,MATCH($D35,'Monthly CUST'!$D$2:$D$65,0),MATCH(BU$1,'Monthly CUST'!$N$1:$CG$1,0)),0)</f>
        <v>0</v>
      </c>
      <c r="BV35" s="56">
        <f>IFERROR(INDEX('Monthly VOL'!$N$2:$CG$65,MATCH($D35,'Monthly VOL'!$D$2:$D$65,0),MATCH(BV$1,'Monthly VOL'!$N$1:$CG$1,0))/INDEX('Monthly CUST'!$N$2:$CG$65,MATCH($D35,'Monthly CUST'!$D$2:$D$65,0),MATCH(BV$1,'Monthly CUST'!$N$1:$CG$1,0)),0)</f>
        <v>0</v>
      </c>
      <c r="BW35" s="56">
        <f>IFERROR(INDEX('Monthly VOL'!$N$2:$CG$65,MATCH($D35,'Monthly VOL'!$D$2:$D$65,0),MATCH(BW$1,'Monthly VOL'!$N$1:$CG$1,0))/INDEX('Monthly CUST'!$N$2:$CG$65,MATCH($D35,'Monthly CUST'!$D$2:$D$65,0),MATCH(BW$1,'Monthly CUST'!$N$1:$CG$1,0)),0)</f>
        <v>0</v>
      </c>
      <c r="BX35" s="56">
        <f>IFERROR(INDEX('Monthly VOL'!$N$2:$CG$65,MATCH($D35,'Monthly VOL'!$D$2:$D$65,0),MATCH(BX$1,'Monthly VOL'!$N$1:$CG$1,0))/INDEX('Monthly CUST'!$N$2:$CG$65,MATCH($D35,'Monthly CUST'!$D$2:$D$65,0),MATCH(BX$1,'Monthly CUST'!$N$1:$CG$1,0)),0)</f>
        <v>0</v>
      </c>
      <c r="BY35" s="56">
        <f>IFERROR(INDEX('Monthly VOL'!$N$2:$CG$65,MATCH($D35,'Monthly VOL'!$D$2:$D$65,0),MATCH(BY$1,'Monthly VOL'!$N$1:$CG$1,0))/INDEX('Monthly CUST'!$N$2:$CG$65,MATCH($D35,'Monthly CUST'!$D$2:$D$65,0),MATCH(BY$1,'Monthly CUST'!$N$1:$CG$1,0)),0)</f>
        <v>0</v>
      </c>
      <c r="BZ35" s="56">
        <f>IFERROR(INDEX('Monthly VOL'!$N$2:$CG$65,MATCH($D35,'Monthly VOL'!$D$2:$D$65,0),MATCH(BZ$1,'Monthly VOL'!$N$1:$CG$1,0))/INDEX('Monthly CUST'!$N$2:$CG$65,MATCH($D35,'Monthly CUST'!$D$2:$D$65,0),MATCH(BZ$1,'Monthly CUST'!$N$1:$CG$1,0)),0)</f>
        <v>0</v>
      </c>
      <c r="CA35" s="56">
        <f>IFERROR(INDEX('Monthly VOL'!$N$2:$CG$65,MATCH($D35,'Monthly VOL'!$D$2:$D$65,0),MATCH(CA$1,'Monthly VOL'!$N$1:$CG$1,0))/INDEX('Monthly CUST'!$N$2:$CG$65,MATCH($D35,'Monthly CUST'!$D$2:$D$65,0),MATCH(CA$1,'Monthly CUST'!$N$1:$CG$1,0)),0)</f>
        <v>0</v>
      </c>
      <c r="CB35" s="56">
        <f>IFERROR(INDEX('Monthly VOL'!$N$2:$CG$65,MATCH($D35,'Monthly VOL'!$D$2:$D$65,0),MATCH(CB$1,'Monthly VOL'!$N$1:$CG$1,0))/INDEX('Monthly CUST'!$N$2:$CG$65,MATCH($D35,'Monthly CUST'!$D$2:$D$65,0),MATCH(CB$1,'Monthly CUST'!$N$1:$CG$1,0)),0)</f>
        <v>0</v>
      </c>
      <c r="CC35" s="56">
        <f>IFERROR(INDEX('Monthly VOL'!$N$2:$CG$65,MATCH($D35,'Monthly VOL'!$D$2:$D$65,0),MATCH(CC$1,'Monthly VOL'!$N$1:$CG$1,0))/INDEX('Monthly CUST'!$N$2:$CG$65,MATCH($D35,'Monthly CUST'!$D$2:$D$65,0),MATCH(CC$1,'Monthly CUST'!$N$1:$CG$1,0)),0)</f>
        <v>0</v>
      </c>
      <c r="CD35" s="56">
        <f>IFERROR(INDEX('Monthly VOL'!$N$2:$CG$65,MATCH($D35,'Monthly VOL'!$D$2:$D$65,0),MATCH(CD$1,'Monthly VOL'!$N$1:$CG$1,0))/INDEX('Monthly CUST'!$N$2:$CG$65,MATCH($D35,'Monthly CUST'!$D$2:$D$65,0),MATCH(CD$1,'Monthly CUST'!$N$1:$CG$1,0)),0)</f>
        <v>0</v>
      </c>
      <c r="CE35" s="56">
        <f>IFERROR(INDEX('Monthly VOL'!$N$2:$CG$65,MATCH($D35,'Monthly VOL'!$D$2:$D$65,0),MATCH(CE$1,'Monthly VOL'!$N$1:$CG$1,0))/INDEX('Monthly CUST'!$N$2:$CG$65,MATCH($D35,'Monthly CUST'!$D$2:$D$65,0),MATCH(CE$1,'Monthly CUST'!$N$1:$CG$1,0)),0)</f>
        <v>0</v>
      </c>
      <c r="CF35" s="56">
        <f>IFERROR(INDEX('Monthly VOL'!$N$2:$CG$65,MATCH($D35,'Monthly VOL'!$D$2:$D$65,0),MATCH(CF$1,'Monthly VOL'!$N$1:$CG$1,0))/INDEX('Monthly CUST'!$N$2:$CG$65,MATCH($D35,'Monthly CUST'!$D$2:$D$65,0),MATCH(CF$1,'Monthly CUST'!$N$1:$CG$1,0)),0)</f>
        <v>0</v>
      </c>
      <c r="CG35" s="56">
        <f>IFERROR(INDEX('Monthly VOL'!$N$2:$CG$65,MATCH($D35,'Monthly VOL'!$D$2:$D$65,0),MATCH(CG$1,'Monthly VOL'!$N$1:$CG$1,0))/INDEX('Monthly CUST'!$N$2:$CG$65,MATCH($D35,'Monthly CUST'!$D$2:$D$65,0),MATCH(CG$1,'Monthly CUST'!$N$1:$CG$1,0)),0)</f>
        <v>0</v>
      </c>
      <c r="CH35" s="264"/>
      <c r="CI35" s="264"/>
      <c r="CJ35" s="264"/>
      <c r="CM35" s="569">
        <f t="shared" si="24"/>
        <v>0</v>
      </c>
      <c r="CN35" s="569">
        <f t="shared" si="25"/>
        <v>0</v>
      </c>
      <c r="CO35" s="569">
        <f t="shared" si="26"/>
        <v>0</v>
      </c>
      <c r="CP35" s="569">
        <f t="shared" si="27"/>
        <v>0</v>
      </c>
      <c r="CQ35" s="569">
        <f t="shared" si="28"/>
        <v>0</v>
      </c>
      <c r="CR35" s="569">
        <f t="shared" si="29"/>
        <v>0</v>
      </c>
      <c r="CS35" s="569">
        <f t="shared" si="30"/>
        <v>0</v>
      </c>
      <c r="CT35" s="569">
        <f t="shared" si="31"/>
        <v>0</v>
      </c>
      <c r="CU35" s="569">
        <f t="shared" si="32"/>
        <v>0</v>
      </c>
      <c r="CV35" s="569">
        <f t="shared" si="33"/>
        <v>0</v>
      </c>
      <c r="CW35" s="569">
        <f t="shared" si="34"/>
        <v>0</v>
      </c>
      <c r="CX35" s="569">
        <f t="shared" si="35"/>
        <v>0</v>
      </c>
      <c r="CY35" s="569">
        <f t="shared" si="36"/>
        <v>0</v>
      </c>
      <c r="CZ35" s="569">
        <f t="shared" si="37"/>
        <v>0</v>
      </c>
      <c r="DA35" s="569">
        <f t="shared" si="38"/>
        <v>0</v>
      </c>
      <c r="DB35" s="569">
        <f t="shared" si="39"/>
        <v>0</v>
      </c>
      <c r="DC35" s="569">
        <f t="shared" si="40"/>
        <v>0</v>
      </c>
      <c r="DD35" s="569">
        <f t="shared" si="41"/>
        <v>0</v>
      </c>
      <c r="DE35" s="569">
        <f t="shared" si="42"/>
        <v>0</v>
      </c>
      <c r="DF35" s="569">
        <f t="shared" si="43"/>
        <v>0</v>
      </c>
      <c r="DG35" s="569">
        <f t="shared" si="44"/>
        <v>0</v>
      </c>
      <c r="DH35" s="569">
        <f t="shared" si="45"/>
        <v>0</v>
      </c>
      <c r="DI35" s="569">
        <f t="shared" si="46"/>
        <v>0</v>
      </c>
      <c r="DJ35" s="569">
        <f t="shared" si="47"/>
        <v>0</v>
      </c>
    </row>
    <row r="36" spans="1:114" s="261" customFormat="1">
      <c r="A36" s="55" t="s">
        <v>17</v>
      </c>
      <c r="B36" s="55" t="s">
        <v>993</v>
      </c>
      <c r="C36" s="55" t="s">
        <v>1245</v>
      </c>
      <c r="D36" s="55" t="s">
        <v>1293</v>
      </c>
      <c r="E36" s="55" t="str">
        <f>VLOOKUP(D36,'Input 14_Ref Table'!C:D,2,FALSE)</f>
        <v>CC810</v>
      </c>
      <c r="F36" s="172" t="s">
        <v>1287</v>
      </c>
      <c r="G36" s="55" t="str">
        <f>VLOOKUP(D36,'Input 14_Ref Table'!C:I,7,FALSE)</f>
        <v>CFG - FTS-B - Fixed NR</v>
      </c>
      <c r="H36" s="55" t="str">
        <f>VLOOKUP(D36,'Input 14_Ref Table'!C:K,8,FALSE)</f>
        <v>FTS_AB_C</v>
      </c>
      <c r="I36" s="55" t="e">
        <f>INDEX(#REF!,MATCH(D36,#REF!,0))</f>
        <v>#REF!</v>
      </c>
      <c r="J36" s="261" t="str">
        <f>INDEX('Master '!$AD$2:AD$65,MATCH(D36,'Master '!$D$2:$D$65,0))</f>
        <v>UPC Growth Rate</v>
      </c>
      <c r="K36" s="567">
        <f>INDEX('Master '!$N$2:N$65,MATCH(D36,'Master '!$D$2:$D$65,0))</f>
        <v>-8.9379418530954602E-2</v>
      </c>
      <c r="L36" s="290">
        <f>INDEX('Master '!$S$2:S$65,MATCH(D36,'Master '!$D$2:$D$65,0))</f>
        <v>-3.2809295967190781E-2</v>
      </c>
      <c r="M36" s="1">
        <f>INDEX('Master '!$W$2:W$65,MATCH(D36,'Master '!$D$2:$D$65,0))</f>
        <v>70.75</v>
      </c>
      <c r="N36" s="56">
        <f>IFERROR(INDEX('Monthly VOL'!$N$2:$CG$65,MATCH($D36,'Monthly VOL'!$D$2:$D$65,0),MATCH(N$1,'Monthly VOL'!$N$1:$CG$1,0))/INDEX('Monthly CUST'!$N$2:$CG$65,MATCH($D36,'Monthly CUST'!$D$2:$D$65,0),MATCH(N$1,'Monthly CUST'!$N$1:$CG$1,0)),0)</f>
        <v>2.0699999999999998</v>
      </c>
      <c r="O36" s="56">
        <f>IFERROR(INDEX('Monthly VOL'!$N$2:$CG$65,MATCH($D36,'Monthly VOL'!$D$2:$D$65,0),MATCH(O$1,'Monthly VOL'!$N$1:$CG$1,0))/INDEX('Monthly CUST'!$N$2:$CG$65,MATCH($D36,'Monthly CUST'!$D$2:$D$65,0),MATCH(O$1,'Monthly CUST'!$N$1:$CG$1,0)),0)</f>
        <v>2.0699999999999998</v>
      </c>
      <c r="P36" s="56">
        <f>IFERROR(INDEX('Monthly VOL'!$N$2:$CG$65,MATCH($D36,'Monthly VOL'!$D$2:$D$65,0),MATCH(P$1,'Monthly VOL'!$N$1:$CG$1,0))/INDEX('Monthly CUST'!$N$2:$CG$65,MATCH($D36,'Monthly CUST'!$D$2:$D$65,0),MATCH(P$1,'Monthly CUST'!$N$1:$CG$1,0)),0)</f>
        <v>1.03</v>
      </c>
      <c r="Q36" s="56">
        <f>IFERROR(INDEX('Monthly VOL'!$N$2:$CG$65,MATCH($D36,'Monthly VOL'!$D$2:$D$65,0),MATCH(Q$1,'Monthly VOL'!$N$1:$CG$1,0))/INDEX('Monthly CUST'!$N$2:$CG$65,MATCH($D36,'Monthly CUST'!$D$2:$D$65,0),MATCH(Q$1,'Monthly CUST'!$N$1:$CG$1,0)),0)</f>
        <v>1.03</v>
      </c>
      <c r="R36" s="56">
        <f>IFERROR(INDEX('Monthly VOL'!$N$2:$CG$65,MATCH($D36,'Monthly VOL'!$D$2:$D$65,0),MATCH(R$1,'Monthly VOL'!$N$1:$CG$1,0))/INDEX('Monthly CUST'!$N$2:$CG$65,MATCH($D36,'Monthly CUST'!$D$2:$D$65,0),MATCH(R$1,'Monthly CUST'!$N$1:$CG$1,0)),0)</f>
        <v>1.03</v>
      </c>
      <c r="S36" s="56">
        <f>IFERROR(INDEX('Monthly VOL'!$N$2:$CG$65,MATCH($D36,'Monthly VOL'!$D$2:$D$65,0),MATCH(S$1,'Monthly VOL'!$N$1:$CG$1,0))/INDEX('Monthly CUST'!$N$2:$CG$65,MATCH($D36,'Monthly CUST'!$D$2:$D$65,0),MATCH(S$1,'Monthly CUST'!$N$1:$CG$1,0)),0)</f>
        <v>1.03</v>
      </c>
      <c r="T36" s="56">
        <f>IFERROR(INDEX('Monthly VOL'!$N$2:$CG$65,MATCH($D36,'Monthly VOL'!$D$2:$D$65,0),MATCH(T$1,'Monthly VOL'!$N$1:$CG$1,0))/INDEX('Monthly CUST'!$N$2:$CG$65,MATCH($D36,'Monthly CUST'!$D$2:$D$65,0),MATCH(T$1,'Monthly CUST'!$N$1:$CG$1,0)),0)</f>
        <v>1</v>
      </c>
      <c r="U36" s="56">
        <f>IFERROR(INDEX('Monthly VOL'!$N$2:$CG$65,MATCH($D36,'Monthly VOL'!$D$2:$D$65,0),MATCH(U$1,'Monthly VOL'!$N$1:$CG$1,0))/INDEX('Monthly CUST'!$N$2:$CG$65,MATCH($D36,'Monthly CUST'!$D$2:$D$65,0),MATCH(U$1,'Monthly CUST'!$N$1:$CG$1,0)),0)</f>
        <v>0</v>
      </c>
      <c r="V36" s="56">
        <f>IFERROR(INDEX('Monthly VOL'!$N$2:$CG$65,MATCH($D36,'Monthly VOL'!$D$2:$D$65,0),MATCH(V$1,'Monthly VOL'!$N$1:$CG$1,0))/INDEX('Monthly CUST'!$N$2:$CG$65,MATCH($D36,'Monthly CUST'!$D$2:$D$65,0),MATCH(V$1,'Monthly CUST'!$N$1:$CG$1,0)),0)</f>
        <v>1.03</v>
      </c>
      <c r="W36" s="56">
        <f>IFERROR(INDEX('Monthly VOL'!$N$2:$CG$65,MATCH($D36,'Monthly VOL'!$D$2:$D$65,0),MATCH(W$1,'Monthly VOL'!$N$1:$CG$1,0))/INDEX('Monthly CUST'!$N$2:$CG$65,MATCH($D36,'Monthly CUST'!$D$2:$D$65,0),MATCH(W$1,'Monthly CUST'!$N$1:$CG$1,0)),0)</f>
        <v>2.0699999999999998</v>
      </c>
      <c r="X36" s="56">
        <f>IFERROR(INDEX('Monthly VOL'!$N$2:$CG$65,MATCH($D36,'Monthly VOL'!$D$2:$D$65,0),MATCH(X$1,'Monthly VOL'!$N$1:$CG$1,0))/INDEX('Monthly CUST'!$N$2:$CG$65,MATCH($D36,'Monthly CUST'!$D$2:$D$65,0),MATCH(X$1,'Monthly CUST'!$N$1:$CG$1,0)),0)</f>
        <v>2.0699999999999998</v>
      </c>
      <c r="Y36" s="56">
        <f>IFERROR(INDEX('Monthly VOL'!$N$2:$CG$65,MATCH($D36,'Monthly VOL'!$D$2:$D$65,0),MATCH(Y$1,'Monthly VOL'!$N$1:$CG$1,0))/INDEX('Monthly CUST'!$N$2:$CG$65,MATCH($D36,'Monthly CUST'!$D$2:$D$65,0),MATCH(Y$1,'Monthly CUST'!$N$1:$CG$1,0)),0)</f>
        <v>2.08</v>
      </c>
      <c r="Z36" s="56">
        <f>IFERROR(INDEX('Monthly VOL'!$N$2:$CG$65,MATCH($D36,'Monthly VOL'!$D$2:$D$65,0),MATCH(Z$1,'Monthly VOL'!$N$1:$CG$1,0))/INDEX('Monthly CUST'!$N$2:$CG$65,MATCH($D36,'Monthly CUST'!$D$2:$D$65,0),MATCH(Z$1,'Monthly CUST'!$N$1:$CG$1,0)),0)</f>
        <v>2.0699999999999998</v>
      </c>
      <c r="AA36" s="56">
        <f>IFERROR(INDEX('Monthly VOL'!$N$2:$CG$65,MATCH($D36,'Monthly VOL'!$D$2:$D$65,0),MATCH(AA$1,'Monthly VOL'!$N$1:$CG$1,0))/INDEX('Monthly CUST'!$N$2:$CG$65,MATCH($D36,'Monthly CUST'!$D$2:$D$65,0),MATCH(AA$1,'Monthly CUST'!$N$1:$CG$1,0)),0)</f>
        <v>1.03</v>
      </c>
      <c r="AB36" s="56">
        <f>IFERROR(INDEX('Monthly VOL'!$N$2:$CG$65,MATCH($D36,'Monthly VOL'!$D$2:$D$65,0),MATCH(AB$1,'Monthly VOL'!$N$1:$CG$1,0))/INDEX('Monthly CUST'!$N$2:$CG$65,MATCH($D36,'Monthly CUST'!$D$2:$D$65,0),MATCH(AB$1,'Monthly CUST'!$N$1:$CG$1,0)),0)</f>
        <v>2.0699999999999998</v>
      </c>
      <c r="AC36" s="56">
        <f>IFERROR(INDEX('Monthly VOL'!$N$2:$CG$65,MATCH($D36,'Monthly VOL'!$D$2:$D$65,0),MATCH(AC$1,'Monthly VOL'!$N$1:$CG$1,0))/INDEX('Monthly CUST'!$N$2:$CG$65,MATCH($D36,'Monthly CUST'!$D$2:$D$65,0),MATCH(AC$1,'Monthly CUST'!$N$1:$CG$1,0)),0)</f>
        <v>2.0699999999999998</v>
      </c>
      <c r="AD36" s="56">
        <f>IFERROR(INDEX('Monthly VOL'!$N$2:$CG$65,MATCH($D36,'Monthly VOL'!$D$2:$D$65,0),MATCH(AD$1,'Monthly VOL'!$N$1:$CG$1,0))/INDEX('Monthly CUST'!$N$2:$CG$65,MATCH($D36,'Monthly CUST'!$D$2:$D$65,0),MATCH(AD$1,'Monthly CUST'!$N$1:$CG$1,0)),0)</f>
        <v>1.03</v>
      </c>
      <c r="AE36" s="56">
        <f>IFERROR(INDEX('Monthly VOL'!$N$2:$CG$65,MATCH($D36,'Monthly VOL'!$D$2:$D$65,0),MATCH(AE$1,'Monthly VOL'!$N$1:$CG$1,0))/INDEX('Monthly CUST'!$N$2:$CG$65,MATCH($D36,'Monthly CUST'!$D$2:$D$65,0),MATCH(AE$1,'Monthly CUST'!$N$1:$CG$1,0)),0)</f>
        <v>2.0699999999999998</v>
      </c>
      <c r="AF36" s="56">
        <f>IFERROR(INDEX('Monthly VOL'!$N$2:$CG$65,MATCH($D36,'Monthly VOL'!$D$2:$D$65,0),MATCH(AF$1,'Monthly VOL'!$N$1:$CG$1,0))/INDEX('Monthly CUST'!$N$2:$CG$65,MATCH($D36,'Monthly CUST'!$D$2:$D$65,0),MATCH(AF$1,'Monthly CUST'!$N$1:$CG$1,0)),0)</f>
        <v>1.03</v>
      </c>
      <c r="AG36" s="56">
        <f>IFERROR(INDEX('Monthly VOL'!$N$2:$CG$65,MATCH($D36,'Monthly VOL'!$D$2:$D$65,0),MATCH(AG$1,'Monthly VOL'!$N$1:$CG$1,0))/INDEX('Monthly CUST'!$N$2:$CG$65,MATCH($D36,'Monthly CUST'!$D$2:$D$65,0),MATCH(AG$1,'Monthly CUST'!$N$1:$CG$1,0)),0)</f>
        <v>2.08</v>
      </c>
      <c r="AH36" s="56">
        <f>IFERROR(INDEX('Monthly VOL'!$N$2:$CG$65,MATCH($D36,'Monthly VOL'!$D$2:$D$65,0),MATCH(AH$1,'Monthly VOL'!$N$1:$CG$1,0))/INDEX('Monthly CUST'!$N$2:$CG$65,MATCH($D36,'Monthly CUST'!$D$2:$D$65,0),MATCH(AH$1,'Monthly CUST'!$N$1:$CG$1,0)),0)</f>
        <v>2.08</v>
      </c>
      <c r="AI36" s="56">
        <f>IFERROR(INDEX('Monthly VOL'!$N$2:$CG$65,MATCH($D36,'Monthly VOL'!$D$2:$D$65,0),MATCH(AI$1,'Monthly VOL'!$N$1:$CG$1,0))/INDEX('Monthly CUST'!$N$2:$CG$65,MATCH($D36,'Monthly CUST'!$D$2:$D$65,0),MATCH(AI$1,'Monthly CUST'!$N$1:$CG$1,0)),0)</f>
        <v>1.03</v>
      </c>
      <c r="AJ36" s="56">
        <f>IFERROR(INDEX('Monthly VOL'!$N$2:$CG$65,MATCH($D36,'Monthly VOL'!$D$2:$D$65,0),MATCH(AJ$1,'Monthly VOL'!$N$1:$CG$1,0))/INDEX('Monthly CUST'!$N$2:$CG$65,MATCH($D36,'Monthly CUST'!$D$2:$D$65,0),MATCH(AJ$1,'Monthly CUST'!$N$1:$CG$1,0)),0)</f>
        <v>1.03</v>
      </c>
      <c r="AK36" s="56">
        <f>IFERROR(INDEX('Monthly VOL'!$N$2:$CG$65,MATCH($D36,'Monthly VOL'!$D$2:$D$65,0),MATCH(AK$1,'Monthly VOL'!$N$1:$CG$1,0))/INDEX('Monthly CUST'!$N$2:$CG$65,MATCH($D36,'Monthly CUST'!$D$2:$D$65,0),MATCH(AK$1,'Monthly CUST'!$N$1:$CG$1,0)),0)</f>
        <v>2.0699999999999998</v>
      </c>
      <c r="AL36" s="56">
        <f>IFERROR(INDEX('Monthly VOL'!$N$2:$CG$65,MATCH($D36,'Monthly VOL'!$D$2:$D$65,0),MATCH(AL$1,'Monthly VOL'!$N$1:$CG$1,0))/INDEX('Monthly CUST'!$N$2:$CG$65,MATCH($D36,'Monthly CUST'!$D$2:$D$65,0),MATCH(AL$1,'Monthly CUST'!$N$1:$CG$1,0)),0)</f>
        <v>1.03</v>
      </c>
      <c r="AM36" s="56">
        <f>IFERROR(INDEX('Monthly VOL'!$N$2:$CG$65,MATCH($D36,'Monthly VOL'!$D$2:$D$65,0),MATCH(AM$1,'Monthly VOL'!$N$1:$CG$1,0))/INDEX('Monthly CUST'!$N$2:$CG$65,MATCH($D36,'Monthly CUST'!$D$2:$D$65,0),MATCH(AM$1,'Monthly CUST'!$N$1:$CG$1,0)),0)</f>
        <v>1.03</v>
      </c>
      <c r="AN36" s="56">
        <f>IFERROR(INDEX('Monthly VOL'!$N$2:$CG$65,MATCH($D36,'Monthly VOL'!$D$2:$D$65,0),MATCH(AN$1,'Monthly VOL'!$N$1:$CG$1,0))/INDEX('Monthly CUST'!$N$2:$CG$65,MATCH($D36,'Monthly CUST'!$D$2:$D$65,0),MATCH(AN$1,'Monthly CUST'!$N$1:$CG$1,0)),0)</f>
        <v>2.08</v>
      </c>
      <c r="AO36" s="56">
        <f>IFERROR(INDEX('Monthly VOL'!$N$2:$CG$65,MATCH($D36,'Monthly VOL'!$D$2:$D$65,0),MATCH(AO$1,'Monthly VOL'!$N$1:$CG$1,0))/INDEX('Monthly CUST'!$N$2:$CG$65,MATCH($D36,'Monthly CUST'!$D$2:$D$65,0),MATCH(AO$1,'Monthly CUST'!$N$1:$CG$1,0)),0)</f>
        <v>2.08</v>
      </c>
      <c r="AP36" s="56">
        <f>IFERROR(INDEX('Monthly VOL'!$N$2:$CG$65,MATCH($D36,'Monthly VOL'!$D$2:$D$65,0),MATCH(AP$1,'Monthly VOL'!$N$1:$CG$1,0))/INDEX('Monthly CUST'!$N$2:$CG$65,MATCH($D36,'Monthly CUST'!$D$2:$D$65,0),MATCH(AP$1,'Monthly CUST'!$N$1:$CG$1,0)),0)</f>
        <v>1.03</v>
      </c>
      <c r="AQ36" s="56">
        <f>IFERROR(INDEX('Monthly VOL'!$N$2:$CG$65,MATCH($D36,'Monthly VOL'!$D$2:$D$65,0),MATCH(AQ$1,'Monthly VOL'!$N$1:$CG$1,0))/INDEX('Monthly CUST'!$N$2:$CG$65,MATCH($D36,'Monthly CUST'!$D$2:$D$65,0),MATCH(AQ$1,'Monthly CUST'!$N$1:$CG$1,0)),0)</f>
        <v>1.03</v>
      </c>
      <c r="AR36" s="56">
        <f>IFERROR(INDEX('Monthly VOL'!$N$2:$CG$65,MATCH($D36,'Monthly VOL'!$D$2:$D$65,0),MATCH(AR$1,'Monthly VOL'!$N$1:$CG$1,0))/INDEX('Monthly CUST'!$N$2:$CG$65,MATCH($D36,'Monthly CUST'!$D$2:$D$65,0),MATCH(AR$1,'Monthly CUST'!$N$1:$CG$1,0)),0)</f>
        <v>3.11</v>
      </c>
      <c r="AS36" s="56">
        <f>IFERROR(INDEX('Monthly VOL'!$N$2:$CG$65,MATCH($D36,'Monthly VOL'!$D$2:$D$65,0),MATCH(AS$1,'Monthly VOL'!$N$1:$CG$1,0))/INDEX('Monthly CUST'!$N$2:$CG$65,MATCH($D36,'Monthly CUST'!$D$2:$D$65,0),MATCH(AS$1,'Monthly CUST'!$N$1:$CG$1,0)),0)</f>
        <v>2.08</v>
      </c>
      <c r="AT36" s="56">
        <f>IFERROR(INDEX('Monthly VOL'!$N$2:$CG$65,MATCH($D36,'Monthly VOL'!$D$2:$D$65,0),MATCH(AT$1,'Monthly VOL'!$N$1:$CG$1,0))/INDEX('Monthly CUST'!$N$2:$CG$65,MATCH($D36,'Monthly CUST'!$D$2:$D$65,0),MATCH(AT$1,'Monthly CUST'!$N$1:$CG$1,0)),0)</f>
        <v>1.03</v>
      </c>
      <c r="AU36" s="56">
        <f>IFERROR(INDEX('Monthly VOL'!$N$2:$CG$65,MATCH($D36,'Monthly VOL'!$D$2:$D$65,0),MATCH(AU$1,'Monthly VOL'!$N$1:$CG$1,0))/INDEX('Monthly CUST'!$N$2:$CG$65,MATCH($D36,'Monthly CUST'!$D$2:$D$65,0),MATCH(AU$1,'Monthly CUST'!$N$1:$CG$1,0)),0)</f>
        <v>2.08</v>
      </c>
      <c r="AV36" s="56">
        <f>IFERROR(INDEX('Monthly VOL'!$N$2:$CG$65,MATCH($D36,'Monthly VOL'!$D$2:$D$65,0),MATCH(AV$1,'Monthly VOL'!$N$1:$CG$1,0))/INDEX('Monthly CUST'!$N$2:$CG$65,MATCH($D36,'Monthly CUST'!$D$2:$D$65,0),MATCH(AV$1,'Monthly CUST'!$N$1:$CG$1,0)),0)</f>
        <v>2.08</v>
      </c>
      <c r="AW36" s="56">
        <f>IFERROR(INDEX('Monthly VOL'!$N$2:$CG$65,MATCH($D36,'Monthly VOL'!$D$2:$D$65,0),MATCH(AW$1,'Monthly VOL'!$N$1:$CG$1,0))/INDEX('Monthly CUST'!$N$2:$CG$65,MATCH($D36,'Monthly CUST'!$D$2:$D$65,0),MATCH(AW$1,'Monthly CUST'!$N$1:$CG$1,0)),0)</f>
        <v>2.08</v>
      </c>
      <c r="AX36" s="56">
        <f>IFERROR(INDEX('Monthly VOL'!$N$2:$CG$65,MATCH($D36,'Monthly VOL'!$D$2:$D$65,0),MATCH(AX$1,'Monthly VOL'!$N$1:$CG$1,0))/INDEX('Monthly CUST'!$N$2:$CG$65,MATCH($D36,'Monthly CUST'!$D$2:$D$65,0),MATCH(AX$1,'Monthly CUST'!$N$1:$CG$1,0)),0)</f>
        <v>2.08</v>
      </c>
      <c r="AY36" s="56">
        <f>IFERROR(INDEX('Monthly VOL'!$N$2:$CG$65,MATCH($D36,'Monthly VOL'!$D$2:$D$65,0),MATCH(AY$1,'Monthly VOL'!$N$1:$CG$1,0))/INDEX('Monthly CUST'!$N$2:$CG$65,MATCH($D36,'Monthly CUST'!$D$2:$D$65,0),MATCH(AY$1,'Monthly CUST'!$N$1:$CG$1,0)),0)</f>
        <v>1.03</v>
      </c>
      <c r="AZ36" s="56">
        <f>IFERROR(INDEX('Monthly VOL'!$N$2:$CG$65,MATCH($D36,'Monthly VOL'!$D$2:$D$65,0),MATCH(AZ$1,'Monthly VOL'!$N$1:$CG$1,0))/INDEX('Monthly CUST'!$N$2:$CG$65,MATCH($D36,'Monthly CUST'!$D$2:$D$65,0),MATCH(AZ$1,'Monthly CUST'!$N$1:$CG$1,0)),0)</f>
        <v>2.08</v>
      </c>
      <c r="BA36" s="56">
        <f>IFERROR(INDEX('Monthly VOL'!$N$2:$CG$65,MATCH($D36,'Monthly VOL'!$D$2:$D$65,0),MATCH(BA$1,'Monthly VOL'!$N$1:$CG$1,0))/INDEX('Monthly CUST'!$N$2:$CG$65,MATCH($D36,'Monthly CUST'!$D$2:$D$65,0),MATCH(BA$1,'Monthly CUST'!$N$1:$CG$1,0)),0)</f>
        <v>2.08</v>
      </c>
      <c r="BB36" s="56">
        <f>IFERROR(INDEX('Monthly VOL'!$N$2:$CG$65,MATCH($D36,'Monthly VOL'!$D$2:$D$65,0),MATCH(BB$1,'Monthly VOL'!$N$1:$CG$1,0))/INDEX('Monthly CUST'!$N$2:$CG$65,MATCH($D36,'Monthly CUST'!$D$2:$D$65,0),MATCH(BB$1,'Monthly CUST'!$N$1:$CG$1,0)),0)</f>
        <v>1.03</v>
      </c>
      <c r="BC36" s="56">
        <f>IFERROR(INDEX('Monthly VOL'!$N$2:$CG$65,MATCH($D36,'Monthly VOL'!$D$2:$D$65,0),MATCH(BC$1,'Monthly VOL'!$N$1:$CG$1,0))/INDEX('Monthly CUST'!$N$2:$CG$65,MATCH($D36,'Monthly CUST'!$D$2:$D$65,0),MATCH(BC$1,'Monthly CUST'!$N$1:$CG$1,0)),0)</f>
        <v>1.03</v>
      </c>
      <c r="BD36" s="56">
        <f>IFERROR(INDEX('Monthly VOL'!$N$2:$CG$65,MATCH($D36,'Monthly VOL'!$D$2:$D$65,0),MATCH(BD$1,'Monthly VOL'!$N$1:$CG$1,0))/INDEX('Monthly CUST'!$N$2:$CG$65,MATCH($D36,'Monthly CUST'!$D$2:$D$65,0),MATCH(BD$1,'Monthly CUST'!$N$1:$CG$1,0)),0)</f>
        <v>2.08</v>
      </c>
      <c r="BE36" s="56">
        <f>IFERROR(INDEX('Monthly VOL'!$N$2:$CG$65,MATCH($D36,'Monthly VOL'!$D$2:$D$65,0),MATCH(BE$1,'Monthly VOL'!$N$1:$CG$1,0))/INDEX('Monthly CUST'!$N$2:$CG$65,MATCH($D36,'Monthly CUST'!$D$2:$D$65,0),MATCH(BE$1,'Monthly CUST'!$N$1:$CG$1,0)),0)</f>
        <v>2.08</v>
      </c>
      <c r="BF36" s="56">
        <f>IFERROR(INDEX('Monthly VOL'!$N$2:$CG$65,MATCH($D36,'Monthly VOL'!$D$2:$D$65,0),MATCH(BF$1,'Monthly VOL'!$N$1:$CG$1,0))/INDEX('Monthly CUST'!$N$2:$CG$65,MATCH($D36,'Monthly CUST'!$D$2:$D$65,0),MATCH(BF$1,'Monthly CUST'!$N$1:$CG$1,0)),0)</f>
        <v>2.08</v>
      </c>
      <c r="BG36" s="56">
        <f>IFERROR(INDEX('Monthly VOL'!$N$2:$CG$65,MATCH($D36,'Monthly VOL'!$D$2:$D$65,0),MATCH(BG$1,'Monthly VOL'!$N$1:$CG$1,0))/INDEX('Monthly CUST'!$N$2:$CG$65,MATCH($D36,'Monthly CUST'!$D$2:$D$65,0),MATCH(BG$1,'Monthly CUST'!$N$1:$CG$1,0)),0)</f>
        <v>2.08</v>
      </c>
      <c r="BH36" s="56">
        <f>IFERROR(INDEX('Monthly VOL'!$N$2:$CG$65,MATCH($D36,'Monthly VOL'!$D$2:$D$65,0),MATCH(BH$1,'Monthly VOL'!$N$1:$CG$1,0))/INDEX('Monthly CUST'!$N$2:$CG$65,MATCH($D36,'Monthly CUST'!$D$2:$D$65,0),MATCH(BH$1,'Monthly CUST'!$N$1:$CG$1,0)),0)</f>
        <v>2.08</v>
      </c>
      <c r="BI36" s="56">
        <f>IFERROR(INDEX('Monthly VOL'!$N$2:$CG$65,MATCH($D36,'Monthly VOL'!$D$2:$D$65,0),MATCH(BI$1,'Monthly VOL'!$N$1:$CG$1,0))/INDEX('Monthly CUST'!$N$2:$CG$65,MATCH($D36,'Monthly CUST'!$D$2:$D$65,0),MATCH(BI$1,'Monthly CUST'!$N$1:$CG$1,0)),0)</f>
        <v>2.0699999999999998</v>
      </c>
      <c r="BJ36" s="56">
        <f>IFERROR(INDEX('Monthly VOL'!$N$2:$CG$65,MATCH($D36,'Monthly VOL'!$D$2:$D$65,0),MATCH(BJ$1,'Monthly VOL'!$N$1:$CG$1,0))/INDEX('Monthly CUST'!$N$2:$CG$65,MATCH($D36,'Monthly CUST'!$D$2:$D$65,0),MATCH(BJ$1,'Monthly CUST'!$N$1:$CG$1,0)),0)</f>
        <v>2.0117566643882432</v>
      </c>
      <c r="BK36" s="56">
        <f>IFERROR(INDEX('Monthly VOL'!$N$2:$CG$65,MATCH($D36,'Monthly VOL'!$D$2:$D$65,0),MATCH(BK$1,'Monthly VOL'!$N$1:$CG$1,0))/INDEX('Monthly CUST'!$N$2:$CG$65,MATCH($D36,'Monthly CUST'!$D$2:$D$65,0),MATCH(BK$1,'Monthly CUST'!$N$1:$CG$1,0)),0)</f>
        <v>0.99620642515379354</v>
      </c>
      <c r="BL36" s="56">
        <f>IFERROR(INDEX('Monthly VOL'!$N$2:$CG$65,MATCH($D36,'Monthly VOL'!$D$2:$D$65,0),MATCH(BL$1,'Monthly VOL'!$N$1:$CG$1,0))/INDEX('Monthly CUST'!$N$2:$CG$65,MATCH($D36,'Monthly CUST'!$D$2:$D$65,0),MATCH(BL$1,'Monthly CUST'!$N$1:$CG$1,0)),0)</f>
        <v>2.0117566643882432</v>
      </c>
      <c r="BM36" s="56">
        <f>IFERROR(INDEX('Monthly VOL'!$N$2:$CG$65,MATCH($D36,'Monthly VOL'!$D$2:$D$65,0),MATCH(BM$1,'Monthly VOL'!$N$1:$CG$1,0))/INDEX('Monthly CUST'!$N$2:$CG$65,MATCH($D36,'Monthly CUST'!$D$2:$D$65,0),MATCH(BM$1,'Monthly CUST'!$N$1:$CG$1,0)),0)</f>
        <v>2.0117566643882432</v>
      </c>
      <c r="BN36" s="56">
        <f>IFERROR(INDEX('Monthly VOL'!$N$2:$CG$65,MATCH($D36,'Monthly VOL'!$D$2:$D$65,0),MATCH(BN$1,'Monthly VOL'!$N$1:$CG$1,0))/INDEX('Monthly CUST'!$N$2:$CG$65,MATCH($D36,'Monthly CUST'!$D$2:$D$65,0),MATCH(BN$1,'Monthly CUST'!$N$1:$CG$1,0)),0)</f>
        <v>0.99620642515379354</v>
      </c>
      <c r="BO36" s="56">
        <f>IFERROR(INDEX('Monthly VOL'!$N$2:$CG$65,MATCH($D36,'Monthly VOL'!$D$2:$D$65,0),MATCH(BO$1,'Monthly VOL'!$N$1:$CG$1,0))/INDEX('Monthly CUST'!$N$2:$CG$65,MATCH($D36,'Monthly CUST'!$D$2:$D$65,0),MATCH(BO$1,'Monthly CUST'!$N$1:$CG$1,0)),0)</f>
        <v>0.99620642515379354</v>
      </c>
      <c r="BP36" s="56">
        <f>IFERROR(INDEX('Monthly VOL'!$N$2:$CG$65,MATCH($D36,'Monthly VOL'!$D$2:$D$65,0),MATCH(BP$1,'Monthly VOL'!$N$1:$CG$1,0))/INDEX('Monthly CUST'!$N$2:$CG$65,MATCH($D36,'Monthly CUST'!$D$2:$D$65,0),MATCH(BP$1,'Monthly CUST'!$N$1:$CG$1,0)),0)</f>
        <v>2.0117566643882432</v>
      </c>
      <c r="BQ36" s="56">
        <f>IFERROR(INDEX('Monthly VOL'!$N$2:$CG$65,MATCH($D36,'Monthly VOL'!$D$2:$D$65,0),MATCH(BQ$1,'Monthly VOL'!$N$1:$CG$1,0))/INDEX('Monthly CUST'!$N$2:$CG$65,MATCH($D36,'Monthly CUST'!$D$2:$D$65,0),MATCH(BQ$1,'Monthly CUST'!$N$1:$CG$1,0)),0)</f>
        <v>2.0117566643882432</v>
      </c>
      <c r="BR36" s="56">
        <f>IFERROR(INDEX('Monthly VOL'!$N$2:$CG$65,MATCH($D36,'Monthly VOL'!$D$2:$D$65,0),MATCH(BR$1,'Monthly VOL'!$N$1:$CG$1,0))/INDEX('Monthly CUST'!$N$2:$CG$65,MATCH($D36,'Monthly CUST'!$D$2:$D$65,0),MATCH(BR$1,'Monthly CUST'!$N$1:$CG$1,0)),0)</f>
        <v>2.0117566643882432</v>
      </c>
      <c r="BS36" s="56">
        <f>IFERROR(INDEX('Monthly VOL'!$N$2:$CG$65,MATCH($D36,'Monthly VOL'!$D$2:$D$65,0),MATCH(BS$1,'Monthly VOL'!$N$1:$CG$1,0))/INDEX('Monthly CUST'!$N$2:$CG$65,MATCH($D36,'Monthly CUST'!$D$2:$D$65,0),MATCH(BS$1,'Monthly CUST'!$N$1:$CG$1,0)),0)</f>
        <v>2.0117566643882432</v>
      </c>
      <c r="BT36" s="56">
        <f>IFERROR(INDEX('Monthly VOL'!$N$2:$CG$65,MATCH($D36,'Monthly VOL'!$D$2:$D$65,0),MATCH(BT$1,'Monthly VOL'!$N$1:$CG$1,0))/INDEX('Monthly CUST'!$N$2:$CG$65,MATCH($D36,'Monthly CUST'!$D$2:$D$65,0),MATCH(BT$1,'Monthly CUST'!$N$1:$CG$1,0)),0)</f>
        <v>2.0117566643882432</v>
      </c>
      <c r="BU36" s="56">
        <f>IFERROR(INDEX('Monthly VOL'!$N$2:$CG$65,MATCH($D36,'Monthly VOL'!$D$2:$D$65,0),MATCH(BU$1,'Monthly VOL'!$N$1:$CG$1,0))/INDEX('Monthly CUST'!$N$2:$CG$65,MATCH($D36,'Monthly CUST'!$D$2:$D$65,0),MATCH(BU$1,'Monthly CUST'!$N$1:$CG$1,0)),0)</f>
        <v>2.002084757347915</v>
      </c>
      <c r="BV36" s="56">
        <f>IFERROR(INDEX('Monthly VOL'!$N$2:$CG$65,MATCH($D36,'Monthly VOL'!$D$2:$D$65,0),MATCH(BV$1,'Monthly VOL'!$N$1:$CG$1,0))/INDEX('Monthly CUST'!$N$2:$CG$65,MATCH($D36,'Monthly CUST'!$D$2:$D$65,0),MATCH(BV$1,'Monthly CUST'!$N$1:$CG$1,0)),0)</f>
        <v>1.9457523445723608</v>
      </c>
      <c r="BW36" s="56">
        <f>IFERROR(INDEX('Monthly VOL'!$N$2:$CG$65,MATCH($D36,'Monthly VOL'!$D$2:$D$65,0),MATCH(BW$1,'Monthly VOL'!$N$1:$CG$1,0))/INDEX('Monthly CUST'!$N$2:$CG$65,MATCH($D36,'Monthly CUST'!$D$2:$D$65,0),MATCH(BW$1,'Monthly CUST'!$N$1:$CG$1,0)),0)</f>
        <v>0.9635215937065057</v>
      </c>
      <c r="BX36" s="56">
        <f>IFERROR(INDEX('Monthly VOL'!$N$2:$CG$65,MATCH($D36,'Monthly VOL'!$D$2:$D$65,0),MATCH(BX$1,'Monthly VOL'!$N$1:$CG$1,0))/INDEX('Monthly CUST'!$N$2:$CG$65,MATCH($D36,'Monthly CUST'!$D$2:$D$65,0),MATCH(BX$1,'Monthly CUST'!$N$1:$CG$1,0)),0)</f>
        <v>1.9457523445723608</v>
      </c>
      <c r="BY36" s="56">
        <f>IFERROR(INDEX('Monthly VOL'!$N$2:$CG$65,MATCH($D36,'Monthly VOL'!$D$2:$D$65,0),MATCH(BY$1,'Monthly VOL'!$N$1:$CG$1,0))/INDEX('Monthly CUST'!$N$2:$CG$65,MATCH($D36,'Monthly CUST'!$D$2:$D$65,0),MATCH(BY$1,'Monthly CUST'!$N$1:$CG$1,0)),0)</f>
        <v>1.9457523445723608</v>
      </c>
      <c r="BZ36" s="56">
        <f>IFERROR(INDEX('Monthly VOL'!$N$2:$CG$65,MATCH($D36,'Monthly VOL'!$D$2:$D$65,0),MATCH(BZ$1,'Monthly VOL'!$N$1:$CG$1,0))/INDEX('Monthly CUST'!$N$2:$CG$65,MATCH($D36,'Monthly CUST'!$D$2:$D$65,0),MATCH(BZ$1,'Monthly CUST'!$N$1:$CG$1,0)),0)</f>
        <v>0.9635215937065057</v>
      </c>
      <c r="CA36" s="56">
        <f>IFERROR(INDEX('Monthly VOL'!$N$2:$CG$65,MATCH($D36,'Monthly VOL'!$D$2:$D$65,0),MATCH(CA$1,'Monthly VOL'!$N$1:$CG$1,0))/INDEX('Monthly CUST'!$N$2:$CG$65,MATCH($D36,'Monthly CUST'!$D$2:$D$65,0),MATCH(CA$1,'Monthly CUST'!$N$1:$CG$1,0)),0)</f>
        <v>0.9635215937065057</v>
      </c>
      <c r="CB36" s="56">
        <f>IFERROR(INDEX('Monthly VOL'!$N$2:$CG$65,MATCH($D36,'Monthly VOL'!$D$2:$D$65,0),MATCH(CB$1,'Monthly VOL'!$N$1:$CG$1,0))/INDEX('Monthly CUST'!$N$2:$CG$65,MATCH($D36,'Monthly CUST'!$D$2:$D$65,0),MATCH(CB$1,'Monthly CUST'!$N$1:$CG$1,0)),0)</f>
        <v>1.9457523445723608</v>
      </c>
      <c r="CC36" s="56">
        <f>IFERROR(INDEX('Monthly VOL'!$N$2:$CG$65,MATCH($D36,'Monthly VOL'!$D$2:$D$65,0),MATCH(CC$1,'Monthly VOL'!$N$1:$CG$1,0))/INDEX('Monthly CUST'!$N$2:$CG$65,MATCH($D36,'Monthly CUST'!$D$2:$D$65,0),MATCH(CC$1,'Monthly CUST'!$N$1:$CG$1,0)),0)</f>
        <v>1.9457523445723608</v>
      </c>
      <c r="CD36" s="56">
        <f>IFERROR(INDEX('Monthly VOL'!$N$2:$CG$65,MATCH($D36,'Monthly VOL'!$D$2:$D$65,0),MATCH(CD$1,'Monthly VOL'!$N$1:$CG$1,0))/INDEX('Monthly CUST'!$N$2:$CG$65,MATCH($D36,'Monthly CUST'!$D$2:$D$65,0),MATCH(CD$1,'Monthly CUST'!$N$1:$CG$1,0)),0)</f>
        <v>1.9457523445723608</v>
      </c>
      <c r="CE36" s="56">
        <f>IFERROR(INDEX('Monthly VOL'!$N$2:$CG$65,MATCH($D36,'Monthly VOL'!$D$2:$D$65,0),MATCH(CE$1,'Monthly VOL'!$N$1:$CG$1,0))/INDEX('Monthly CUST'!$N$2:$CG$65,MATCH($D36,'Monthly CUST'!$D$2:$D$65,0),MATCH(CE$1,'Monthly CUST'!$N$1:$CG$1,0)),0)</f>
        <v>1.9457523445723608</v>
      </c>
      <c r="CF36" s="56">
        <f>IFERROR(INDEX('Monthly VOL'!$N$2:$CG$65,MATCH($D36,'Monthly VOL'!$D$2:$D$65,0),MATCH(CF$1,'Monthly VOL'!$N$1:$CG$1,0))/INDEX('Monthly CUST'!$N$2:$CG$65,MATCH($D36,'Monthly CUST'!$D$2:$D$65,0),MATCH(CF$1,'Monthly CUST'!$N$1:$CG$1,0)),0)</f>
        <v>1.9457523445723608</v>
      </c>
      <c r="CG36" s="56">
        <f>IFERROR(INDEX('Monthly VOL'!$N$2:$CG$65,MATCH($D36,'Monthly VOL'!$D$2:$D$65,0),MATCH(CG$1,'Monthly VOL'!$N$1:$CG$1,0))/INDEX('Monthly CUST'!$N$2:$CG$65,MATCH($D36,'Monthly CUST'!$D$2:$D$65,0),MATCH(CG$1,'Monthly CUST'!$N$1:$CG$1,0)),0)</f>
        <v>1.9363977659926861</v>
      </c>
      <c r="CH36" s="264"/>
      <c r="CI36" s="264"/>
      <c r="CJ36" s="264"/>
      <c r="CM36" s="569">
        <f t="shared" si="24"/>
        <v>1.7266666666666666</v>
      </c>
      <c r="CN36" s="569">
        <f t="shared" si="25"/>
        <v>1.03</v>
      </c>
      <c r="CO36" s="569">
        <f t="shared" si="26"/>
        <v>2.0766666666666667</v>
      </c>
      <c r="CP36" s="569">
        <f t="shared" si="27"/>
        <v>2.0766666666666667</v>
      </c>
      <c r="CQ36" s="569">
        <f t="shared" si="28"/>
        <v>1.03</v>
      </c>
      <c r="CR36" s="569">
        <f t="shared" si="29"/>
        <v>1.3766666666666667</v>
      </c>
      <c r="CS36" s="569">
        <f t="shared" si="30"/>
        <v>2.0733333333333333</v>
      </c>
      <c r="CT36" s="569">
        <f t="shared" si="31"/>
        <v>2.08</v>
      </c>
      <c r="CU36" s="569">
        <f t="shared" si="32"/>
        <v>1.7300000000000002</v>
      </c>
      <c r="CV36" s="569">
        <f t="shared" si="33"/>
        <v>1.7300000000000002</v>
      </c>
      <c r="CW36" s="569">
        <f t="shared" si="34"/>
        <v>1.7300000000000002</v>
      </c>
      <c r="CX36" s="569">
        <f t="shared" si="35"/>
        <v>2.0733333333333337</v>
      </c>
      <c r="CY36" s="569">
        <f t="shared" si="36"/>
        <v>1.7266666666666666</v>
      </c>
      <c r="CZ36" s="569">
        <f t="shared" si="37"/>
        <v>1.03</v>
      </c>
      <c r="DA36" s="569">
        <f t="shared" si="38"/>
        <v>2.0766666666666667</v>
      </c>
      <c r="DB36" s="569">
        <f t="shared" si="39"/>
        <v>2.0766666666666667</v>
      </c>
      <c r="DC36" s="569">
        <f t="shared" si="40"/>
        <v>1.03</v>
      </c>
      <c r="DD36" s="569">
        <f t="shared" si="41"/>
        <v>1.3766666666666667</v>
      </c>
      <c r="DE36" s="569">
        <f t="shared" si="42"/>
        <v>2.0733333333333333</v>
      </c>
      <c r="DF36" s="569">
        <f t="shared" si="43"/>
        <v>2.08</v>
      </c>
      <c r="DG36" s="569">
        <f t="shared" si="44"/>
        <v>1.7300000000000002</v>
      </c>
      <c r="DH36" s="569">
        <f t="shared" si="45"/>
        <v>1.7300000000000002</v>
      </c>
      <c r="DI36" s="569">
        <f t="shared" si="46"/>
        <v>1.7300000000000002</v>
      </c>
      <c r="DJ36" s="569">
        <f t="shared" si="47"/>
        <v>2.0733333333333337</v>
      </c>
    </row>
    <row r="37" spans="1:114" s="261" customFormat="1">
      <c r="A37" s="55" t="s">
        <v>17</v>
      </c>
      <c r="B37" s="55" t="s">
        <v>993</v>
      </c>
      <c r="C37" s="55" t="s">
        <v>8</v>
      </c>
      <c r="D37" s="55" t="s">
        <v>1247</v>
      </c>
      <c r="E37" s="55" t="str">
        <f>VLOOKUP(D37,'Input 14_Ref Table'!C:D,2,FALSE)</f>
        <v>CR810</v>
      </c>
      <c r="F37" s="172" t="s">
        <v>1286</v>
      </c>
      <c r="G37" s="55" t="str">
        <f>VLOOKUP(D37,'Input 14_Ref Table'!C:I,7,FALSE)</f>
        <v>CFG - FTS-1 R</v>
      </c>
      <c r="H37" s="55" t="str">
        <f>VLOOKUP(D37,'Input 14_Ref Table'!C:K,8,FALSE)</f>
        <v>FTS_1</v>
      </c>
      <c r="I37" s="55" t="e">
        <f>INDEX(#REF!,MATCH(D37,#REF!,0))</f>
        <v>#REF!</v>
      </c>
      <c r="J37" s="261" t="str">
        <f>INDEX('Master '!$AD$2:AD$65,MATCH(D37,'Master '!$D$2:$D$65,0))</f>
        <v>UPC Growth Rate</v>
      </c>
      <c r="K37" s="567">
        <f>INDEX('Master '!$N$2:N$65,MATCH(D37,'Master '!$D$2:$D$65,0))</f>
        <v>3.3861006638872364E-2</v>
      </c>
      <c r="L37" s="290">
        <f>INDEX('Master '!$S$2:S$65,MATCH(D37,'Master '!$D$2:$D$65,0))</f>
        <v>0</v>
      </c>
      <c r="M37" s="1">
        <f>INDEX('Master '!$W$2:W$65,MATCH(D37,'Master '!$D$2:$D$65,0))</f>
        <v>172.96753251423365</v>
      </c>
      <c r="N37" s="56">
        <f>IFERROR(INDEX('Monthly VOL'!$N$2:$CG$65,MATCH($D37,'Monthly VOL'!$D$2:$D$65,0),MATCH(N$1,'Monthly VOL'!$N$1:$CG$1,0))/INDEX('Monthly CUST'!$N$2:$CG$65,MATCH($D37,'Monthly CUST'!$D$2:$D$65,0),MATCH(N$1,'Monthly CUST'!$N$1:$CG$1,0)),0)</f>
        <v>30.359961428058753</v>
      </c>
      <c r="O37" s="56">
        <f>IFERROR(INDEX('Monthly VOL'!$N$2:$CG$65,MATCH($D37,'Monthly VOL'!$D$2:$D$65,0),MATCH(O$1,'Monthly VOL'!$N$1:$CG$1,0))/INDEX('Monthly CUST'!$N$2:$CG$65,MATCH($D37,'Monthly CUST'!$D$2:$D$65,0),MATCH(O$1,'Monthly CUST'!$N$1:$CG$1,0)),0)</f>
        <v>18.493541796770273</v>
      </c>
      <c r="P37" s="56">
        <f>IFERROR(INDEX('Monthly VOL'!$N$2:$CG$65,MATCH($D37,'Monthly VOL'!$D$2:$D$65,0),MATCH(P$1,'Monthly VOL'!$N$1:$CG$1,0))/INDEX('Monthly CUST'!$N$2:$CG$65,MATCH($D37,'Monthly CUST'!$D$2:$D$65,0),MATCH(P$1,'Monthly CUST'!$N$1:$CG$1,0)),0)</f>
        <v>18.48416209520439</v>
      </c>
      <c r="Q37" s="56">
        <f>IFERROR(INDEX('Monthly VOL'!$N$2:$CG$65,MATCH($D37,'Monthly VOL'!$D$2:$D$65,0),MATCH(Q$1,'Monthly VOL'!$N$1:$CG$1,0))/INDEX('Monthly CUST'!$N$2:$CG$65,MATCH($D37,'Monthly CUST'!$D$2:$D$65,0),MATCH(Q$1,'Monthly CUST'!$N$1:$CG$1,0)),0)</f>
        <v>16.776419807186588</v>
      </c>
      <c r="R37" s="56">
        <f>IFERROR(INDEX('Monthly VOL'!$N$2:$CG$65,MATCH($D37,'Monthly VOL'!$D$2:$D$65,0),MATCH(R$1,'Monthly VOL'!$N$1:$CG$1,0))/INDEX('Monthly CUST'!$N$2:$CG$65,MATCH($D37,'Monthly CUST'!$D$2:$D$65,0),MATCH(R$1,'Monthly CUST'!$N$1:$CG$1,0)),0)</f>
        <v>12.32390540304284</v>
      </c>
      <c r="S37" s="56">
        <f>IFERROR(INDEX('Monthly VOL'!$N$2:$CG$65,MATCH($D37,'Monthly VOL'!$D$2:$D$65,0),MATCH(S$1,'Monthly VOL'!$N$1:$CG$1,0))/INDEX('Monthly CUST'!$N$2:$CG$65,MATCH($D37,'Monthly CUST'!$D$2:$D$65,0),MATCH(S$1,'Monthly CUST'!$N$1:$CG$1,0)),0)</f>
        <v>12.036095967952885</v>
      </c>
      <c r="T37" s="56">
        <f>IFERROR(INDEX('Monthly VOL'!$N$2:$CG$65,MATCH($D37,'Monthly VOL'!$D$2:$D$65,0),MATCH(T$1,'Monthly VOL'!$N$1:$CG$1,0))/INDEX('Monthly CUST'!$N$2:$CG$65,MATCH($D37,'Monthly CUST'!$D$2:$D$65,0),MATCH(T$1,'Monthly CUST'!$N$1:$CG$1,0)),0)</f>
        <v>10.169154660649193</v>
      </c>
      <c r="U37" s="56">
        <f>IFERROR(INDEX('Monthly VOL'!$N$2:$CG$65,MATCH($D37,'Monthly VOL'!$D$2:$D$65,0),MATCH(U$1,'Monthly VOL'!$N$1:$CG$1,0))/INDEX('Monthly CUST'!$N$2:$CG$65,MATCH($D37,'Monthly CUST'!$D$2:$D$65,0),MATCH(U$1,'Monthly CUST'!$N$1:$CG$1,0)),0)</f>
        <v>10.11372652531389</v>
      </c>
      <c r="V37" s="56">
        <f>IFERROR(INDEX('Monthly VOL'!$N$2:$CG$65,MATCH($D37,'Monthly VOL'!$D$2:$D$65,0),MATCH(V$1,'Monthly VOL'!$N$1:$CG$1,0))/INDEX('Monthly CUST'!$N$2:$CG$65,MATCH($D37,'Monthly CUST'!$D$2:$D$65,0),MATCH(V$1,'Monthly CUST'!$N$1:$CG$1,0)),0)</f>
        <v>10.1409883020818</v>
      </c>
      <c r="W37" s="56">
        <f>IFERROR(INDEX('Monthly VOL'!$N$2:$CG$65,MATCH($D37,'Monthly VOL'!$D$2:$D$65,0),MATCH(W$1,'Monthly VOL'!$N$1:$CG$1,0))/INDEX('Monthly CUST'!$N$2:$CG$65,MATCH($D37,'Monthly CUST'!$D$2:$D$65,0),MATCH(W$1,'Monthly CUST'!$N$1:$CG$1,0)),0)</f>
        <v>9.4116955106240567</v>
      </c>
      <c r="X37" s="56">
        <f>IFERROR(INDEX('Monthly VOL'!$N$2:$CG$65,MATCH($D37,'Monthly VOL'!$D$2:$D$65,0),MATCH(X$1,'Monthly VOL'!$N$1:$CG$1,0))/INDEX('Monthly CUST'!$N$2:$CG$65,MATCH($D37,'Monthly CUST'!$D$2:$D$65,0),MATCH(X$1,'Monthly CUST'!$N$1:$CG$1,0)),0)</f>
        <v>14.08474661016966</v>
      </c>
      <c r="Y37" s="56">
        <f>IFERROR(INDEX('Monthly VOL'!$N$2:$CG$65,MATCH($D37,'Monthly VOL'!$D$2:$D$65,0),MATCH(Y$1,'Monthly VOL'!$N$1:$CG$1,0))/INDEX('Monthly CUST'!$N$2:$CG$65,MATCH($D37,'Monthly CUST'!$D$2:$D$65,0),MATCH(Y$1,'Monthly CUST'!$N$1:$CG$1,0)),0)</f>
        <v>20.346889879700345</v>
      </c>
      <c r="Z37" s="56">
        <f>IFERROR(INDEX('Monthly VOL'!$N$2:$CG$65,MATCH($D37,'Monthly VOL'!$D$2:$D$65,0),MATCH(Z$1,'Monthly VOL'!$N$1:$CG$1,0))/INDEX('Monthly CUST'!$N$2:$CG$65,MATCH($D37,'Monthly CUST'!$D$2:$D$65,0),MATCH(Z$1,'Monthly CUST'!$N$1:$CG$1,0)),0)</f>
        <v>22.583110608724777</v>
      </c>
      <c r="AA37" s="56">
        <f>IFERROR(INDEX('Monthly VOL'!$N$2:$CG$65,MATCH($D37,'Monthly VOL'!$D$2:$D$65,0),MATCH(AA$1,'Monthly VOL'!$N$1:$CG$1,0))/INDEX('Monthly CUST'!$N$2:$CG$65,MATCH($D37,'Monthly CUST'!$D$2:$D$65,0),MATCH(AA$1,'Monthly CUST'!$N$1:$CG$1,0)),0)</f>
        <v>21.010966589095663</v>
      </c>
      <c r="AB37" s="56">
        <f>IFERROR(INDEX('Monthly VOL'!$N$2:$CG$65,MATCH($D37,'Monthly VOL'!$D$2:$D$65,0),MATCH(AB$1,'Monthly VOL'!$N$1:$CG$1,0))/INDEX('Monthly CUST'!$N$2:$CG$65,MATCH($D37,'Monthly CUST'!$D$2:$D$65,0),MATCH(AB$1,'Monthly CUST'!$N$1:$CG$1,0)),0)</f>
        <v>16.435767104069079</v>
      </c>
      <c r="AC37" s="56">
        <f>IFERROR(INDEX('Monthly VOL'!$N$2:$CG$65,MATCH($D37,'Monthly VOL'!$D$2:$D$65,0),MATCH(AC$1,'Monthly VOL'!$N$1:$CG$1,0))/INDEX('Monthly CUST'!$N$2:$CG$65,MATCH($D37,'Monthly CUST'!$D$2:$D$65,0),MATCH(AC$1,'Monthly CUST'!$N$1:$CG$1,0)),0)</f>
        <v>15.943749388153858</v>
      </c>
      <c r="AD37" s="56">
        <f>IFERROR(INDEX('Monthly VOL'!$N$2:$CG$65,MATCH($D37,'Monthly VOL'!$D$2:$D$65,0),MATCH(AD$1,'Monthly VOL'!$N$1:$CG$1,0))/INDEX('Monthly CUST'!$N$2:$CG$65,MATCH($D37,'Monthly CUST'!$D$2:$D$65,0),MATCH(AD$1,'Monthly CUST'!$N$1:$CG$1,0)),0)</f>
        <v>12.91632180156609</v>
      </c>
      <c r="AE37" s="56">
        <f>IFERROR(INDEX('Monthly VOL'!$N$2:$CG$65,MATCH($D37,'Monthly VOL'!$D$2:$D$65,0),MATCH(AE$1,'Monthly VOL'!$N$1:$CG$1,0))/INDEX('Monthly CUST'!$N$2:$CG$65,MATCH($D37,'Monthly CUST'!$D$2:$D$65,0),MATCH(AE$1,'Monthly CUST'!$N$1:$CG$1,0)),0)</f>
        <v>10.852950353457626</v>
      </c>
      <c r="AF37" s="56">
        <f>IFERROR(INDEX('Monthly VOL'!$N$2:$CG$65,MATCH($D37,'Monthly VOL'!$D$2:$D$65,0),MATCH(AF$1,'Monthly VOL'!$N$1:$CG$1,0))/INDEX('Monthly CUST'!$N$2:$CG$65,MATCH($D37,'Monthly CUST'!$D$2:$D$65,0),MATCH(AF$1,'Monthly CUST'!$N$1:$CG$1,0)),0)</f>
        <v>9.1103336032389475</v>
      </c>
      <c r="AG37" s="56">
        <f>IFERROR(INDEX('Monthly VOL'!$N$2:$CG$65,MATCH($D37,'Monthly VOL'!$D$2:$D$65,0),MATCH(AG$1,'Monthly VOL'!$N$1:$CG$1,0))/INDEX('Monthly CUST'!$N$2:$CG$65,MATCH($D37,'Monthly CUST'!$D$2:$D$65,0),MATCH(AG$1,'Monthly CUST'!$N$1:$CG$1,0)),0)</f>
        <v>10.197452678857957</v>
      </c>
      <c r="AH37" s="56">
        <f>IFERROR(INDEX('Monthly VOL'!$N$2:$CG$65,MATCH($D37,'Monthly VOL'!$D$2:$D$65,0),MATCH(AH$1,'Monthly VOL'!$N$1:$CG$1,0))/INDEX('Monthly CUST'!$N$2:$CG$65,MATCH($D37,'Monthly CUST'!$D$2:$D$65,0),MATCH(AH$1,'Monthly CUST'!$N$1:$CG$1,0)),0)</f>
        <v>9.7815357542785151</v>
      </c>
      <c r="AI37" s="56">
        <f>IFERROR(INDEX('Monthly VOL'!$N$2:$CG$65,MATCH($D37,'Monthly VOL'!$D$2:$D$65,0),MATCH(AI$1,'Monthly VOL'!$N$1:$CG$1,0))/INDEX('Monthly CUST'!$N$2:$CG$65,MATCH($D37,'Monthly CUST'!$D$2:$D$65,0),MATCH(AI$1,'Monthly CUST'!$N$1:$CG$1,0)),0)</f>
        <v>10.621682489030794</v>
      </c>
      <c r="AJ37" s="56">
        <f>IFERROR(INDEX('Monthly VOL'!$N$2:$CG$65,MATCH($D37,'Monthly VOL'!$D$2:$D$65,0),MATCH(AJ$1,'Monthly VOL'!$N$1:$CG$1,0))/INDEX('Monthly CUST'!$N$2:$CG$65,MATCH($D37,'Monthly CUST'!$D$2:$D$65,0),MATCH(AJ$1,'Monthly CUST'!$N$1:$CG$1,0)),0)</f>
        <v>13.610027698638651</v>
      </c>
      <c r="AK37" s="56">
        <f>IFERROR(INDEX('Monthly VOL'!$N$2:$CG$65,MATCH($D37,'Monthly VOL'!$D$2:$D$65,0),MATCH(AK$1,'Monthly VOL'!$N$1:$CG$1,0))/INDEX('Monthly CUST'!$N$2:$CG$65,MATCH($D37,'Monthly CUST'!$D$2:$D$65,0),MATCH(AK$1,'Monthly CUST'!$N$1:$CG$1,0)),0)</f>
        <v>19.812726700251968</v>
      </c>
      <c r="AL37" s="56">
        <f>IFERROR(INDEX('Monthly VOL'!$N$2:$CG$65,MATCH($D37,'Monthly VOL'!$D$2:$D$65,0),MATCH(AL$1,'Monthly VOL'!$N$1:$CG$1,0))/INDEX('Monthly CUST'!$N$2:$CG$65,MATCH($D37,'Monthly CUST'!$D$2:$D$65,0),MATCH(AL$1,'Monthly CUST'!$N$1:$CG$1,0)),0)</f>
        <v>22.2101967884131</v>
      </c>
      <c r="AM37" s="56">
        <f>IFERROR(INDEX('Monthly VOL'!$N$2:$CG$65,MATCH($D37,'Monthly VOL'!$D$2:$D$65,0),MATCH(AM$1,'Monthly VOL'!$N$1:$CG$1,0))/INDEX('Monthly CUST'!$N$2:$CG$65,MATCH($D37,'Monthly CUST'!$D$2:$D$65,0),MATCH(AM$1,'Monthly CUST'!$N$1:$CG$1,0)),0)</f>
        <v>20.194769713613731</v>
      </c>
      <c r="AN37" s="56">
        <f>IFERROR(INDEX('Monthly VOL'!$N$2:$CG$65,MATCH($D37,'Monthly VOL'!$D$2:$D$65,0),MATCH(AN$1,'Monthly VOL'!$N$1:$CG$1,0))/INDEX('Monthly CUST'!$N$2:$CG$65,MATCH($D37,'Monthly CUST'!$D$2:$D$65,0),MATCH(AN$1,'Monthly CUST'!$N$1:$CG$1,0)),0)</f>
        <v>19.428040640875889</v>
      </c>
      <c r="AO37" s="56">
        <f>IFERROR(INDEX('Monthly VOL'!$N$2:$CG$65,MATCH($D37,'Monthly VOL'!$D$2:$D$65,0),MATCH(AO$1,'Monthly VOL'!$N$1:$CG$1,0))/INDEX('Monthly CUST'!$N$2:$CG$65,MATCH($D37,'Monthly CUST'!$D$2:$D$65,0),MATCH(AO$1,'Monthly CUST'!$N$1:$CG$1,0)),0)</f>
        <v>14.990083417791144</v>
      </c>
      <c r="AP37" s="56">
        <f>IFERROR(INDEX('Monthly VOL'!$N$2:$CG$65,MATCH($D37,'Monthly VOL'!$D$2:$D$65,0),MATCH(AP$1,'Monthly VOL'!$N$1:$CG$1,0))/INDEX('Monthly CUST'!$N$2:$CG$65,MATCH($D37,'Monthly CUST'!$D$2:$D$65,0),MATCH(AP$1,'Monthly CUST'!$N$1:$CG$1,0)),0)</f>
        <v>13.410069886628669</v>
      </c>
      <c r="AQ37" s="56">
        <f>IFERROR(INDEX('Monthly VOL'!$N$2:$CG$65,MATCH($D37,'Monthly VOL'!$D$2:$D$65,0),MATCH(AQ$1,'Monthly VOL'!$N$1:$CG$1,0))/INDEX('Monthly CUST'!$N$2:$CG$65,MATCH($D37,'Monthly CUST'!$D$2:$D$65,0),MATCH(AQ$1,'Monthly CUST'!$N$1:$CG$1,0)),0)</f>
        <v>11.027721254355631</v>
      </c>
      <c r="AR37" s="56">
        <f>IFERROR(INDEX('Monthly VOL'!$N$2:$CG$65,MATCH($D37,'Monthly VOL'!$D$2:$D$65,0),MATCH(AR$1,'Monthly VOL'!$N$1:$CG$1,0))/INDEX('Monthly CUST'!$N$2:$CG$65,MATCH($D37,'Monthly CUST'!$D$2:$D$65,0),MATCH(AR$1,'Monthly CUST'!$N$1:$CG$1,0)),0)</f>
        <v>11.232733857297349</v>
      </c>
      <c r="AS37" s="56">
        <f>IFERROR(INDEX('Monthly VOL'!$N$2:$CG$65,MATCH($D37,'Monthly VOL'!$D$2:$D$65,0),MATCH(AS$1,'Monthly VOL'!$N$1:$CG$1,0))/INDEX('Monthly CUST'!$N$2:$CG$65,MATCH($D37,'Monthly CUST'!$D$2:$D$65,0),MATCH(AS$1,'Monthly CUST'!$N$1:$CG$1,0)),0)</f>
        <v>9.8432540108996687</v>
      </c>
      <c r="AT37" s="56">
        <f>IFERROR(INDEX('Monthly VOL'!$N$2:$CG$65,MATCH($D37,'Monthly VOL'!$D$2:$D$65,0),MATCH(AT$1,'Monthly VOL'!$N$1:$CG$1,0))/INDEX('Monthly CUST'!$N$2:$CG$65,MATCH($D37,'Monthly CUST'!$D$2:$D$65,0),MATCH(AT$1,'Monthly CUST'!$N$1:$CG$1,0)),0)</f>
        <v>10.224344549329627</v>
      </c>
      <c r="AU37" s="56">
        <f>IFERROR(INDEX('Monthly VOL'!$N$2:$CG$65,MATCH($D37,'Monthly VOL'!$D$2:$D$65,0),MATCH(AU$1,'Monthly VOL'!$N$1:$CG$1,0))/INDEX('Monthly CUST'!$N$2:$CG$65,MATCH($D37,'Monthly CUST'!$D$2:$D$65,0),MATCH(AU$1,'Monthly CUST'!$N$1:$CG$1,0)),0)</f>
        <v>10.836746596066869</v>
      </c>
      <c r="AV37" s="56">
        <f>IFERROR(INDEX('Monthly VOL'!$N$2:$CG$65,MATCH($D37,'Monthly VOL'!$D$2:$D$65,0),MATCH(AV$1,'Monthly VOL'!$N$1:$CG$1,0))/INDEX('Monthly CUST'!$N$2:$CG$65,MATCH($D37,'Monthly CUST'!$D$2:$D$65,0),MATCH(AV$1,'Monthly CUST'!$N$1:$CG$1,0)),0)</f>
        <v>13.131275347248756</v>
      </c>
      <c r="AW37" s="56">
        <f>IFERROR(INDEX('Monthly VOL'!$N$2:$CG$65,MATCH($D37,'Monthly VOL'!$D$2:$D$65,0),MATCH(AW$1,'Monthly VOL'!$N$1:$CG$1,0))/INDEX('Monthly CUST'!$N$2:$CG$65,MATCH($D37,'Monthly CUST'!$D$2:$D$65,0),MATCH(AW$1,'Monthly CUST'!$N$1:$CG$1,0)),0)</f>
        <v>22.951196965233649</v>
      </c>
      <c r="AX37" s="56">
        <f>IFERROR(INDEX('Monthly VOL'!$N$2:$CG$65,MATCH($D37,'Monthly VOL'!$D$2:$D$65,0),MATCH(AX$1,'Monthly VOL'!$N$1:$CG$1,0))/INDEX('Monthly CUST'!$N$2:$CG$65,MATCH($D37,'Monthly CUST'!$D$2:$D$65,0),MATCH(AX$1,'Monthly CUST'!$N$1:$CG$1,0)),0)</f>
        <v>27.068042553191489</v>
      </c>
      <c r="AY37" s="56">
        <f>IFERROR(INDEX('Monthly VOL'!$N$2:$CG$65,MATCH($D37,'Monthly VOL'!$D$2:$D$65,0),MATCH(AY$1,'Monthly VOL'!$N$1:$CG$1,0))/INDEX('Monthly CUST'!$N$2:$CG$65,MATCH($D37,'Monthly CUST'!$D$2:$D$65,0),MATCH(AY$1,'Monthly CUST'!$N$1:$CG$1,0)),0)</f>
        <v>19.405029698614722</v>
      </c>
      <c r="AZ37" s="56">
        <f>IFERROR(INDEX('Monthly VOL'!$N$2:$CG$65,MATCH($D37,'Monthly VOL'!$D$2:$D$65,0),MATCH(AZ$1,'Monthly VOL'!$N$1:$CG$1,0))/INDEX('Monthly CUST'!$N$2:$CG$65,MATCH($D37,'Monthly CUST'!$D$2:$D$65,0),MATCH(AZ$1,'Monthly CUST'!$N$1:$CG$1,0)),0)</f>
        <v>17.442378311318034</v>
      </c>
      <c r="BA37" s="56">
        <f>IFERROR(INDEX('Monthly VOL'!$N$2:$CG$65,MATCH($D37,'Monthly VOL'!$D$2:$D$65,0),MATCH(BA$1,'Monthly VOL'!$N$1:$CG$1,0))/INDEX('Monthly CUST'!$N$2:$CG$65,MATCH($D37,'Monthly CUST'!$D$2:$D$65,0),MATCH(BA$1,'Monthly CUST'!$N$1:$CG$1,0)),0)</f>
        <v>18.708737934538426</v>
      </c>
      <c r="BB37" s="56">
        <f>IFERROR(INDEX('Monthly VOL'!$N$2:$CG$65,MATCH($D37,'Monthly VOL'!$D$2:$D$65,0),MATCH(BB$1,'Monthly VOL'!$N$1:$CG$1,0))/INDEX('Monthly CUST'!$N$2:$CG$65,MATCH($D37,'Monthly CUST'!$D$2:$D$65,0),MATCH(BB$1,'Monthly CUST'!$N$1:$CG$1,0)),0)</f>
        <v>12.852087038242971</v>
      </c>
      <c r="BC37" s="56">
        <f>IFERROR(INDEX('Monthly VOL'!$N$2:$CG$65,MATCH($D37,'Monthly VOL'!$D$2:$D$65,0),MATCH(BC$1,'Monthly VOL'!$N$1:$CG$1,0))/INDEX('Monthly CUST'!$N$2:$CG$65,MATCH($D37,'Monthly CUST'!$D$2:$D$65,0),MATCH(BC$1,'Monthly CUST'!$N$1:$CG$1,0)),0)</f>
        <v>12.03313244263709</v>
      </c>
      <c r="BD37" s="56">
        <f>IFERROR(INDEX('Monthly VOL'!$N$2:$CG$65,MATCH($D37,'Monthly VOL'!$D$2:$D$65,0),MATCH(BD$1,'Monthly VOL'!$N$1:$CG$1,0))/INDEX('Monthly CUST'!$N$2:$CG$65,MATCH($D37,'Monthly CUST'!$D$2:$D$65,0),MATCH(BD$1,'Monthly CUST'!$N$1:$CG$1,0)),0)</f>
        <v>11.618942286751217</v>
      </c>
      <c r="BE37" s="56">
        <f>IFERROR(INDEX('Monthly VOL'!$N$2:$CG$65,MATCH($D37,'Monthly VOL'!$D$2:$D$65,0),MATCH(BE$1,'Monthly VOL'!$N$1:$CG$1,0))/INDEX('Monthly CUST'!$N$2:$CG$65,MATCH($D37,'Monthly CUST'!$D$2:$D$65,0),MATCH(BE$1,'Monthly CUST'!$N$1:$CG$1,0)),0)</f>
        <v>10.188313839448529</v>
      </c>
      <c r="BF37" s="56">
        <f>IFERROR(INDEX('Monthly VOL'!$N$2:$CG$65,MATCH($D37,'Monthly VOL'!$D$2:$D$65,0),MATCH(BF$1,'Monthly VOL'!$N$1:$CG$1,0))/INDEX('Monthly CUST'!$N$2:$CG$65,MATCH($D37,'Monthly CUST'!$D$2:$D$65,0),MATCH(BF$1,'Monthly CUST'!$N$1:$CG$1,0)),0)</f>
        <v>10.754965192167804</v>
      </c>
      <c r="BG37" s="56">
        <f>IFERROR(INDEX('Monthly VOL'!$N$2:$CG$65,MATCH($D37,'Monthly VOL'!$D$2:$D$65,0),MATCH(BG$1,'Monthly VOL'!$N$1:$CG$1,0))/INDEX('Monthly CUST'!$N$2:$CG$65,MATCH($D37,'Monthly CUST'!$D$2:$D$65,0),MATCH(BG$1,'Monthly CUST'!$N$1:$CG$1,0)),0)</f>
        <v>11.19648004071839</v>
      </c>
      <c r="BH37" s="56">
        <f>IFERROR(INDEX('Monthly VOL'!$N$2:$CG$65,MATCH($D37,'Monthly VOL'!$D$2:$D$65,0),MATCH(BH$1,'Monthly VOL'!$N$1:$CG$1,0))/INDEX('Monthly CUST'!$N$2:$CG$65,MATCH($D37,'Monthly CUST'!$D$2:$D$65,0),MATCH(BH$1,'Monthly CUST'!$N$1:$CG$1,0)),0)</f>
        <v>13.777306716903919</v>
      </c>
      <c r="BI37" s="56">
        <f>IFERROR(INDEX('Monthly VOL'!$N$2:$CG$65,MATCH($D37,'Monthly VOL'!$D$2:$D$65,0),MATCH(BI$1,'Monthly VOL'!$N$1:$CG$1,0))/INDEX('Monthly CUST'!$N$2:$CG$65,MATCH($D37,'Monthly CUST'!$D$2:$D$65,0),MATCH(BI$1,'Monthly CUST'!$N$1:$CG$1,0)),0)</f>
        <v>21.442271547996395</v>
      </c>
      <c r="BJ37" s="56">
        <f>IFERROR(INDEX('Monthly VOL'!$N$2:$CG$65,MATCH($D37,'Monthly VOL'!$D$2:$D$65,0),MATCH(BJ$1,'Monthly VOL'!$N$1:$CG$1,0))/INDEX('Monthly CUST'!$N$2:$CG$65,MATCH($D37,'Monthly CUST'!$D$2:$D$65,0),MATCH(BJ$1,'Monthly CUST'!$N$1:$CG$1,0)),0)</f>
        <v>27.068042553191489</v>
      </c>
      <c r="BK37" s="56">
        <f>IFERROR(INDEX('Monthly VOL'!$N$2:$CG$65,MATCH($D37,'Monthly VOL'!$D$2:$D$65,0),MATCH(BK$1,'Monthly VOL'!$N$1:$CG$1,0))/INDEX('Monthly CUST'!$N$2:$CG$65,MATCH($D37,'Monthly CUST'!$D$2:$D$65,0),MATCH(BK$1,'Monthly CUST'!$N$1:$CG$1,0)),0)</f>
        <v>19.405029698614722</v>
      </c>
      <c r="BL37" s="56">
        <f>IFERROR(INDEX('Monthly VOL'!$N$2:$CG$65,MATCH($D37,'Monthly VOL'!$D$2:$D$65,0),MATCH(BL$1,'Monthly VOL'!$N$1:$CG$1,0))/INDEX('Monthly CUST'!$N$2:$CG$65,MATCH($D37,'Monthly CUST'!$D$2:$D$65,0),MATCH(BL$1,'Monthly CUST'!$N$1:$CG$1,0)),0)</f>
        <v>17.442378311318034</v>
      </c>
      <c r="BM37" s="56">
        <f>IFERROR(INDEX('Monthly VOL'!$N$2:$CG$65,MATCH($D37,'Monthly VOL'!$D$2:$D$65,0),MATCH(BM$1,'Monthly VOL'!$N$1:$CG$1,0))/INDEX('Monthly CUST'!$N$2:$CG$65,MATCH($D37,'Monthly CUST'!$D$2:$D$65,0),MATCH(BM$1,'Monthly CUST'!$N$1:$CG$1,0)),0)</f>
        <v>18.708737934538426</v>
      </c>
      <c r="BN37" s="56">
        <f>IFERROR(INDEX('Monthly VOL'!$N$2:$CG$65,MATCH($D37,'Monthly VOL'!$D$2:$D$65,0),MATCH(BN$1,'Monthly VOL'!$N$1:$CG$1,0))/INDEX('Monthly CUST'!$N$2:$CG$65,MATCH($D37,'Monthly CUST'!$D$2:$D$65,0),MATCH(BN$1,'Monthly CUST'!$N$1:$CG$1,0)),0)</f>
        <v>12.852087038242971</v>
      </c>
      <c r="BO37" s="56">
        <f>IFERROR(INDEX('Monthly VOL'!$N$2:$CG$65,MATCH($D37,'Monthly VOL'!$D$2:$D$65,0),MATCH(BO$1,'Monthly VOL'!$N$1:$CG$1,0))/INDEX('Monthly CUST'!$N$2:$CG$65,MATCH($D37,'Monthly CUST'!$D$2:$D$65,0),MATCH(BO$1,'Monthly CUST'!$N$1:$CG$1,0)),0)</f>
        <v>12.03313244263709</v>
      </c>
      <c r="BP37" s="56">
        <f>IFERROR(INDEX('Monthly VOL'!$N$2:$CG$65,MATCH($D37,'Monthly VOL'!$D$2:$D$65,0),MATCH(BP$1,'Monthly VOL'!$N$1:$CG$1,0))/INDEX('Monthly CUST'!$N$2:$CG$65,MATCH($D37,'Monthly CUST'!$D$2:$D$65,0),MATCH(BP$1,'Monthly CUST'!$N$1:$CG$1,0)),0)</f>
        <v>11.618942286751217</v>
      </c>
      <c r="BQ37" s="56">
        <f>IFERROR(INDEX('Monthly VOL'!$N$2:$CG$65,MATCH($D37,'Monthly VOL'!$D$2:$D$65,0),MATCH(BQ$1,'Monthly VOL'!$N$1:$CG$1,0))/INDEX('Monthly CUST'!$N$2:$CG$65,MATCH($D37,'Monthly CUST'!$D$2:$D$65,0),MATCH(BQ$1,'Monthly CUST'!$N$1:$CG$1,0)),0)</f>
        <v>10.188313839448528</v>
      </c>
      <c r="BR37" s="56">
        <f>IFERROR(INDEX('Monthly VOL'!$N$2:$CG$65,MATCH($D37,'Monthly VOL'!$D$2:$D$65,0),MATCH(BR$1,'Monthly VOL'!$N$1:$CG$1,0))/INDEX('Monthly CUST'!$N$2:$CG$65,MATCH($D37,'Monthly CUST'!$D$2:$D$65,0),MATCH(BR$1,'Monthly CUST'!$N$1:$CG$1,0)),0)</f>
        <v>10.754965192167804</v>
      </c>
      <c r="BS37" s="56">
        <f>IFERROR(INDEX('Monthly VOL'!$N$2:$CG$65,MATCH($D37,'Monthly VOL'!$D$2:$D$65,0),MATCH(BS$1,'Monthly VOL'!$N$1:$CG$1,0))/INDEX('Monthly CUST'!$N$2:$CG$65,MATCH($D37,'Monthly CUST'!$D$2:$D$65,0),MATCH(BS$1,'Monthly CUST'!$N$1:$CG$1,0)),0)</f>
        <v>11.19648004071839</v>
      </c>
      <c r="BT37" s="56">
        <f>IFERROR(INDEX('Monthly VOL'!$N$2:$CG$65,MATCH($D37,'Monthly VOL'!$D$2:$D$65,0),MATCH(BT$1,'Monthly VOL'!$N$1:$CG$1,0))/INDEX('Monthly CUST'!$N$2:$CG$65,MATCH($D37,'Monthly CUST'!$D$2:$D$65,0),MATCH(BT$1,'Monthly CUST'!$N$1:$CG$1,0)),0)</f>
        <v>13.777306716903919</v>
      </c>
      <c r="BU37" s="56">
        <f>IFERROR(INDEX('Monthly VOL'!$N$2:$CG$65,MATCH($D37,'Monthly VOL'!$D$2:$D$65,0),MATCH(BU$1,'Monthly VOL'!$N$1:$CG$1,0))/INDEX('Monthly CUST'!$N$2:$CG$65,MATCH($D37,'Monthly CUST'!$D$2:$D$65,0),MATCH(BU$1,'Monthly CUST'!$N$1:$CG$1,0)),0)</f>
        <v>21.442271547996395</v>
      </c>
      <c r="BV37" s="56">
        <f>IFERROR(INDEX('Monthly VOL'!$N$2:$CG$65,MATCH($D37,'Monthly VOL'!$D$2:$D$65,0),MATCH(BV$1,'Monthly VOL'!$N$1:$CG$1,0))/INDEX('Monthly CUST'!$N$2:$CG$65,MATCH($D37,'Monthly CUST'!$D$2:$D$65,0),MATCH(BV$1,'Monthly CUST'!$N$1:$CG$1,0)),0)</f>
        <v>27.068042553191493</v>
      </c>
      <c r="BW37" s="56">
        <f>IFERROR(INDEX('Monthly VOL'!$N$2:$CG$65,MATCH($D37,'Monthly VOL'!$D$2:$D$65,0),MATCH(BW$1,'Monthly VOL'!$N$1:$CG$1,0))/INDEX('Monthly CUST'!$N$2:$CG$65,MATCH($D37,'Monthly CUST'!$D$2:$D$65,0),MATCH(BW$1,'Monthly CUST'!$N$1:$CG$1,0)),0)</f>
        <v>19.405029698614722</v>
      </c>
      <c r="BX37" s="56">
        <f>IFERROR(INDEX('Monthly VOL'!$N$2:$CG$65,MATCH($D37,'Monthly VOL'!$D$2:$D$65,0),MATCH(BX$1,'Monthly VOL'!$N$1:$CG$1,0))/INDEX('Monthly CUST'!$N$2:$CG$65,MATCH($D37,'Monthly CUST'!$D$2:$D$65,0),MATCH(BX$1,'Monthly CUST'!$N$1:$CG$1,0)),0)</f>
        <v>17.442378311318034</v>
      </c>
      <c r="BY37" s="56">
        <f>IFERROR(INDEX('Monthly VOL'!$N$2:$CG$65,MATCH($D37,'Monthly VOL'!$D$2:$D$65,0),MATCH(BY$1,'Monthly VOL'!$N$1:$CG$1,0))/INDEX('Monthly CUST'!$N$2:$CG$65,MATCH($D37,'Monthly CUST'!$D$2:$D$65,0),MATCH(BY$1,'Monthly CUST'!$N$1:$CG$1,0)),0)</f>
        <v>18.708737934538426</v>
      </c>
      <c r="BZ37" s="56">
        <f>IFERROR(INDEX('Monthly VOL'!$N$2:$CG$65,MATCH($D37,'Monthly VOL'!$D$2:$D$65,0),MATCH(BZ$1,'Monthly VOL'!$N$1:$CG$1,0))/INDEX('Monthly CUST'!$N$2:$CG$65,MATCH($D37,'Monthly CUST'!$D$2:$D$65,0),MATCH(BZ$1,'Monthly CUST'!$N$1:$CG$1,0)),0)</f>
        <v>12.852087038242971</v>
      </c>
      <c r="CA37" s="56">
        <f>IFERROR(INDEX('Monthly VOL'!$N$2:$CG$65,MATCH($D37,'Monthly VOL'!$D$2:$D$65,0),MATCH(CA$1,'Monthly VOL'!$N$1:$CG$1,0))/INDEX('Monthly CUST'!$N$2:$CG$65,MATCH($D37,'Monthly CUST'!$D$2:$D$65,0),MATCH(CA$1,'Monthly CUST'!$N$1:$CG$1,0)),0)</f>
        <v>12.03313244263709</v>
      </c>
      <c r="CB37" s="56">
        <f>IFERROR(INDEX('Monthly VOL'!$N$2:$CG$65,MATCH($D37,'Monthly VOL'!$D$2:$D$65,0),MATCH(CB$1,'Monthly VOL'!$N$1:$CG$1,0))/INDEX('Monthly CUST'!$N$2:$CG$65,MATCH($D37,'Monthly CUST'!$D$2:$D$65,0),MATCH(CB$1,'Monthly CUST'!$N$1:$CG$1,0)),0)</f>
        <v>11.618942286751217</v>
      </c>
      <c r="CC37" s="56">
        <f>IFERROR(INDEX('Monthly VOL'!$N$2:$CG$65,MATCH($D37,'Monthly VOL'!$D$2:$D$65,0),MATCH(CC$1,'Monthly VOL'!$N$1:$CG$1,0))/INDEX('Monthly CUST'!$N$2:$CG$65,MATCH($D37,'Monthly CUST'!$D$2:$D$65,0),MATCH(CC$1,'Monthly CUST'!$N$1:$CG$1,0)),0)</f>
        <v>10.188313839448528</v>
      </c>
      <c r="CD37" s="56">
        <f>IFERROR(INDEX('Monthly VOL'!$N$2:$CG$65,MATCH($D37,'Monthly VOL'!$D$2:$D$65,0),MATCH(CD$1,'Monthly VOL'!$N$1:$CG$1,0))/INDEX('Monthly CUST'!$N$2:$CG$65,MATCH($D37,'Monthly CUST'!$D$2:$D$65,0),MATCH(CD$1,'Monthly CUST'!$N$1:$CG$1,0)),0)</f>
        <v>10.754965192167804</v>
      </c>
      <c r="CE37" s="56">
        <f>IFERROR(INDEX('Monthly VOL'!$N$2:$CG$65,MATCH($D37,'Monthly VOL'!$D$2:$D$65,0),MATCH(CE$1,'Monthly VOL'!$N$1:$CG$1,0))/INDEX('Monthly CUST'!$N$2:$CG$65,MATCH($D37,'Monthly CUST'!$D$2:$D$65,0),MATCH(CE$1,'Monthly CUST'!$N$1:$CG$1,0)),0)</f>
        <v>11.19648004071839</v>
      </c>
      <c r="CF37" s="56">
        <f>IFERROR(INDEX('Monthly VOL'!$N$2:$CG$65,MATCH($D37,'Monthly VOL'!$D$2:$D$65,0),MATCH(CF$1,'Monthly VOL'!$N$1:$CG$1,0))/INDEX('Monthly CUST'!$N$2:$CG$65,MATCH($D37,'Monthly CUST'!$D$2:$D$65,0),MATCH(CF$1,'Monthly CUST'!$N$1:$CG$1,0)),0)</f>
        <v>13.777306716903919</v>
      </c>
      <c r="CG37" s="56">
        <f>IFERROR(INDEX('Monthly VOL'!$N$2:$CG$65,MATCH($D37,'Monthly VOL'!$D$2:$D$65,0),MATCH(CG$1,'Monthly VOL'!$N$1:$CG$1,0))/INDEX('Monthly CUST'!$N$2:$CG$65,MATCH($D37,'Monthly CUST'!$D$2:$D$65,0),MATCH(CG$1,'Monthly CUST'!$N$1:$CG$1,0)),0)</f>
        <v>21.442271547996395</v>
      </c>
      <c r="CH37" s="264"/>
      <c r="CI37" s="264"/>
      <c r="CJ37" s="264"/>
      <c r="CM37" s="569">
        <f t="shared" si="24"/>
        <v>23.953783316776455</v>
      </c>
      <c r="CN37" s="569">
        <f t="shared" si="25"/>
        <v>20.20358866710804</v>
      </c>
      <c r="CO37" s="569">
        <f t="shared" si="26"/>
        <v>17.768728685420999</v>
      </c>
      <c r="CP37" s="569">
        <f t="shared" si="27"/>
        <v>16.547523580161144</v>
      </c>
      <c r="CQ37" s="569">
        <f t="shared" si="28"/>
        <v>13.059492908812578</v>
      </c>
      <c r="CR37" s="569">
        <f t="shared" si="29"/>
        <v>11.304601350150115</v>
      </c>
      <c r="CS37" s="569">
        <f t="shared" si="30"/>
        <v>10.654003249095839</v>
      </c>
      <c r="CT37" s="569">
        <f t="shared" si="31"/>
        <v>10.076340176402052</v>
      </c>
      <c r="CU37" s="569">
        <f t="shared" si="32"/>
        <v>10.253615165258649</v>
      </c>
      <c r="CV37" s="569">
        <f t="shared" si="33"/>
        <v>10.884969708605352</v>
      </c>
      <c r="CW37" s="569">
        <f t="shared" si="34"/>
        <v>13.506203254263776</v>
      </c>
      <c r="CX37" s="569">
        <f t="shared" si="35"/>
        <v>21.402065071160674</v>
      </c>
      <c r="CY37" s="569">
        <f t="shared" si="36"/>
        <v>23.953783316776455</v>
      </c>
      <c r="CZ37" s="569">
        <f t="shared" si="37"/>
        <v>20.20358866710804</v>
      </c>
      <c r="DA37" s="569">
        <f t="shared" si="38"/>
        <v>17.768728685420999</v>
      </c>
      <c r="DB37" s="569">
        <f t="shared" si="39"/>
        <v>16.547523580161144</v>
      </c>
      <c r="DC37" s="569">
        <f t="shared" si="40"/>
        <v>13.059492908812578</v>
      </c>
      <c r="DD37" s="569">
        <f t="shared" si="41"/>
        <v>11.304601350150115</v>
      </c>
      <c r="DE37" s="569">
        <f t="shared" si="42"/>
        <v>10.654003249095839</v>
      </c>
      <c r="DF37" s="569">
        <f t="shared" si="43"/>
        <v>10.076340176402052</v>
      </c>
      <c r="DG37" s="569">
        <f t="shared" si="44"/>
        <v>10.253615165258649</v>
      </c>
      <c r="DH37" s="569">
        <f t="shared" si="45"/>
        <v>10.884969708605352</v>
      </c>
      <c r="DI37" s="569">
        <f t="shared" si="46"/>
        <v>13.506203254263776</v>
      </c>
      <c r="DJ37" s="569">
        <f t="shared" si="47"/>
        <v>21.402065071160674</v>
      </c>
    </row>
    <row r="38" spans="1:114" s="261" customFormat="1">
      <c r="A38" s="55" t="s">
        <v>17</v>
      </c>
      <c r="B38" s="55" t="s">
        <v>993</v>
      </c>
      <c r="C38" s="55" t="s">
        <v>8</v>
      </c>
      <c r="D38" s="55" t="s">
        <v>1248</v>
      </c>
      <c r="E38" s="55" t="str">
        <f>VLOOKUP(D38,'Input 14_Ref Table'!C:D,2,FALSE)</f>
        <v>CR817</v>
      </c>
      <c r="F38" s="172" t="s">
        <v>1287</v>
      </c>
      <c r="G38" s="55" t="str">
        <f>VLOOKUP(D38,'Input 14_Ref Table'!C:I,7,FALSE)</f>
        <v>CFG - FTS-1 - Fixed R</v>
      </c>
      <c r="H38" s="55" t="str">
        <f>VLOOKUP(D38,'Input 14_Ref Table'!C:K,8,FALSE)</f>
        <v>FTS_1</v>
      </c>
      <c r="I38" s="55" t="e">
        <f>INDEX(#REF!,MATCH(D38,#REF!,0))</f>
        <v>#REF!</v>
      </c>
      <c r="J38" s="261" t="str">
        <f>INDEX('Master '!$AD$2:AD$65,MATCH(D38,'Master '!$D$2:$D$65,0))</f>
        <v>UPC Growth Rate</v>
      </c>
      <c r="K38" s="567">
        <f>INDEX('Master '!$N$2:N$65,MATCH(D38,'Master '!$D$2:$D$65,0))</f>
        <v>3.3861006638872364E-2</v>
      </c>
      <c r="L38" s="290">
        <f>INDEX('Master '!$S$2:S$65,MATCH(D38,'Master '!$D$2:$D$65,0))</f>
        <v>0</v>
      </c>
      <c r="M38" s="1">
        <f>INDEX('Master '!$W$2:W$65,MATCH(D38,'Master '!$D$2:$D$65,0))</f>
        <v>172.96753251423365</v>
      </c>
      <c r="N38" s="56">
        <f>IFERROR(INDEX('Monthly VOL'!$N$2:$CG$65,MATCH($D38,'Monthly VOL'!$D$2:$D$65,0),MATCH(N$1,'Monthly VOL'!$N$1:$CG$1,0))/INDEX('Monthly CUST'!$N$2:$CG$65,MATCH($D38,'Monthly CUST'!$D$2:$D$65,0),MATCH(N$1,'Monthly CUST'!$N$1:$CG$1,0)),0)</f>
        <v>37.058095238095241</v>
      </c>
      <c r="O38" s="56">
        <f>IFERROR(INDEX('Monthly VOL'!$N$2:$CG$65,MATCH($D38,'Monthly VOL'!$D$2:$D$65,0),MATCH(O$1,'Monthly VOL'!$N$1:$CG$1,0))/INDEX('Monthly CUST'!$N$2:$CG$65,MATCH($D38,'Monthly CUST'!$D$2:$D$65,0),MATCH(O$1,'Monthly CUST'!$N$1:$CG$1,0)),0)</f>
        <v>21.42603550295858</v>
      </c>
      <c r="P38" s="56">
        <f>IFERROR(INDEX('Monthly VOL'!$N$2:$CG$65,MATCH($D38,'Monthly VOL'!$D$2:$D$65,0),MATCH(P$1,'Monthly VOL'!$N$1:$CG$1,0))/INDEX('Monthly CUST'!$N$2:$CG$65,MATCH($D38,'Monthly CUST'!$D$2:$D$65,0),MATCH(P$1,'Monthly CUST'!$N$1:$CG$1,0)),0)</f>
        <v>19.652647058823529</v>
      </c>
      <c r="Q38" s="56">
        <f>IFERROR(INDEX('Monthly VOL'!$N$2:$CG$65,MATCH($D38,'Monthly VOL'!$D$2:$D$65,0),MATCH(Q$1,'Monthly VOL'!$N$1:$CG$1,0))/INDEX('Monthly CUST'!$N$2:$CG$65,MATCH($D38,'Monthly CUST'!$D$2:$D$65,0),MATCH(Q$1,'Monthly CUST'!$N$1:$CG$1,0)),0)</f>
        <v>17.066047904191617</v>
      </c>
      <c r="R38" s="56">
        <f>IFERROR(INDEX('Monthly VOL'!$N$2:$CG$65,MATCH($D38,'Monthly VOL'!$D$2:$D$65,0),MATCH(R$1,'Monthly VOL'!$N$1:$CG$1,0))/INDEX('Monthly CUST'!$N$2:$CG$65,MATCH($D38,'Monthly CUST'!$D$2:$D$65,0),MATCH(R$1,'Monthly CUST'!$N$1:$CG$1,0)),0)</f>
        <v>13.116726190476191</v>
      </c>
      <c r="S38" s="56">
        <f>IFERROR(INDEX('Monthly VOL'!$N$2:$CG$65,MATCH($D38,'Monthly VOL'!$D$2:$D$65,0),MATCH(S$1,'Monthly VOL'!$N$1:$CG$1,0))/INDEX('Monthly CUST'!$N$2:$CG$65,MATCH($D38,'Monthly CUST'!$D$2:$D$65,0),MATCH(S$1,'Monthly CUST'!$N$1:$CG$1,0)),0)</f>
        <v>12.79634730538922</v>
      </c>
      <c r="T38" s="56">
        <f>IFERROR(INDEX('Monthly VOL'!$N$2:$CG$65,MATCH($D38,'Monthly VOL'!$D$2:$D$65,0),MATCH(T$1,'Monthly VOL'!$N$1:$CG$1,0))/INDEX('Monthly CUST'!$N$2:$CG$65,MATCH($D38,'Monthly CUST'!$D$2:$D$65,0),MATCH(T$1,'Monthly CUST'!$N$1:$CG$1,0)),0)</f>
        <v>10.267857142857142</v>
      </c>
      <c r="U38" s="56">
        <f>IFERROR(INDEX('Monthly VOL'!$N$2:$CG$65,MATCH($D38,'Monthly VOL'!$D$2:$D$65,0),MATCH(U$1,'Monthly VOL'!$N$1:$CG$1,0))/INDEX('Monthly CUST'!$N$2:$CG$65,MATCH($D38,'Monthly CUST'!$D$2:$D$65,0),MATCH(U$1,'Monthly CUST'!$N$1:$CG$1,0)),0)</f>
        <v>10.512545454545455</v>
      </c>
      <c r="V38" s="56">
        <f>IFERROR(INDEX('Monthly VOL'!$N$2:$CG$65,MATCH($D38,'Monthly VOL'!$D$2:$D$65,0),MATCH(V$1,'Monthly VOL'!$N$1:$CG$1,0))/INDEX('Monthly CUST'!$N$2:$CG$65,MATCH($D38,'Monthly CUST'!$D$2:$D$65,0),MATCH(V$1,'Monthly CUST'!$N$1:$CG$1,0)),0)</f>
        <v>11.265060975609757</v>
      </c>
      <c r="W38" s="56">
        <f>IFERROR(INDEX('Monthly VOL'!$N$2:$CG$65,MATCH($D38,'Monthly VOL'!$D$2:$D$65,0),MATCH(W$1,'Monthly VOL'!$N$1:$CG$1,0))/INDEX('Monthly CUST'!$N$2:$CG$65,MATCH($D38,'Monthly CUST'!$D$2:$D$65,0),MATCH(W$1,'Monthly CUST'!$N$1:$CG$1,0)),0)</f>
        <v>9.9674233128834366</v>
      </c>
      <c r="X38" s="56">
        <f>IFERROR(INDEX('Monthly VOL'!$N$2:$CG$65,MATCH($D38,'Monthly VOL'!$D$2:$D$65,0),MATCH(X$1,'Monthly VOL'!$N$1:$CG$1,0))/INDEX('Monthly CUST'!$N$2:$CG$65,MATCH($D38,'Monthly CUST'!$D$2:$D$65,0),MATCH(X$1,'Monthly CUST'!$N$1:$CG$1,0)),0)</f>
        <v>14.477987804878047</v>
      </c>
      <c r="Y38" s="56">
        <f>IFERROR(INDEX('Monthly VOL'!$N$2:$CG$65,MATCH($D38,'Monthly VOL'!$D$2:$D$65,0),MATCH(Y$1,'Monthly VOL'!$N$1:$CG$1,0))/INDEX('Monthly CUST'!$N$2:$CG$65,MATCH($D38,'Monthly CUST'!$D$2:$D$65,0),MATCH(Y$1,'Monthly CUST'!$N$1:$CG$1,0)),0)</f>
        <v>23.172499999999999</v>
      </c>
      <c r="Z38" s="56">
        <f>IFERROR(INDEX('Monthly VOL'!$N$2:$CG$65,MATCH($D38,'Monthly VOL'!$D$2:$D$65,0),MATCH(Z$1,'Monthly VOL'!$N$1:$CG$1,0))/INDEX('Monthly CUST'!$N$2:$CG$65,MATCH($D38,'Monthly CUST'!$D$2:$D$65,0),MATCH(Z$1,'Monthly CUST'!$N$1:$CG$1,0)),0)</f>
        <v>24.832048192771083</v>
      </c>
      <c r="AA38" s="56">
        <f>IFERROR(INDEX('Monthly VOL'!$N$2:$CG$65,MATCH($D38,'Monthly VOL'!$D$2:$D$65,0),MATCH(AA$1,'Monthly VOL'!$N$1:$CG$1,0))/INDEX('Monthly CUST'!$N$2:$CG$65,MATCH($D38,'Monthly CUST'!$D$2:$D$65,0),MATCH(AA$1,'Monthly CUST'!$N$1:$CG$1,0)),0)</f>
        <v>22.802469879518071</v>
      </c>
      <c r="AB38" s="56">
        <f>IFERROR(INDEX('Monthly VOL'!$N$2:$CG$65,MATCH($D38,'Monthly VOL'!$D$2:$D$65,0),MATCH(AB$1,'Monthly VOL'!$N$1:$CG$1,0))/INDEX('Monthly CUST'!$N$2:$CG$65,MATCH($D38,'Monthly CUST'!$D$2:$D$65,0),MATCH(AB$1,'Monthly CUST'!$N$1:$CG$1,0)),0)</f>
        <v>15.875939393939396</v>
      </c>
      <c r="AC38" s="56">
        <f>IFERROR(INDEX('Monthly VOL'!$N$2:$CG$65,MATCH($D38,'Monthly VOL'!$D$2:$D$65,0),MATCH(AC$1,'Monthly VOL'!$N$1:$CG$1,0))/INDEX('Monthly CUST'!$N$2:$CG$65,MATCH($D38,'Monthly CUST'!$D$2:$D$65,0),MATCH(AC$1,'Monthly CUST'!$N$1:$CG$1,0)),0)</f>
        <v>16.054268292682927</v>
      </c>
      <c r="AD38" s="56">
        <f>IFERROR(INDEX('Monthly VOL'!$N$2:$CG$65,MATCH($D38,'Monthly VOL'!$D$2:$D$65,0),MATCH(AD$1,'Monthly VOL'!$N$1:$CG$1,0))/INDEX('Monthly CUST'!$N$2:$CG$65,MATCH($D38,'Monthly CUST'!$D$2:$D$65,0),MATCH(AD$1,'Monthly CUST'!$N$1:$CG$1,0)),0)</f>
        <v>13.380909090909091</v>
      </c>
      <c r="AE38" s="56">
        <f>IFERROR(INDEX('Monthly VOL'!$N$2:$CG$65,MATCH($D38,'Monthly VOL'!$D$2:$D$65,0),MATCH(AE$1,'Monthly VOL'!$N$1:$CG$1,0))/INDEX('Monthly CUST'!$N$2:$CG$65,MATCH($D38,'Monthly CUST'!$D$2:$D$65,0),MATCH(AE$1,'Monthly CUST'!$N$1:$CG$1,0)),0)</f>
        <v>13.067831325301206</v>
      </c>
      <c r="AF38" s="56">
        <f>IFERROR(INDEX('Monthly VOL'!$N$2:$CG$65,MATCH($D38,'Monthly VOL'!$D$2:$D$65,0),MATCH(AF$1,'Monthly VOL'!$N$1:$CG$1,0))/INDEX('Monthly CUST'!$N$2:$CG$65,MATCH($D38,'Monthly CUST'!$D$2:$D$65,0),MATCH(AF$1,'Monthly CUST'!$N$1:$CG$1,0)),0)</f>
        <v>9.379999999999999</v>
      </c>
      <c r="AG38" s="56">
        <f>IFERROR(INDEX('Monthly VOL'!$N$2:$CG$65,MATCH($D38,'Monthly VOL'!$D$2:$D$65,0),MATCH(AG$1,'Monthly VOL'!$N$1:$CG$1,0))/INDEX('Monthly CUST'!$N$2:$CG$65,MATCH($D38,'Monthly CUST'!$D$2:$D$65,0),MATCH(AG$1,'Monthly CUST'!$N$1:$CG$1,0)),0)</f>
        <v>10.434642857142856</v>
      </c>
      <c r="AH38" s="56">
        <f>IFERROR(INDEX('Monthly VOL'!$N$2:$CG$65,MATCH($D38,'Monthly VOL'!$D$2:$D$65,0),MATCH(AH$1,'Monthly VOL'!$N$1:$CG$1,0))/INDEX('Monthly CUST'!$N$2:$CG$65,MATCH($D38,'Monthly CUST'!$D$2:$D$65,0),MATCH(AH$1,'Monthly CUST'!$N$1:$CG$1,0)),0)</f>
        <v>10.899281437125749</v>
      </c>
      <c r="AI38" s="56">
        <f>IFERROR(INDEX('Monthly VOL'!$N$2:$CG$65,MATCH($D38,'Monthly VOL'!$D$2:$D$65,0),MATCH(AI$1,'Monthly VOL'!$N$1:$CG$1,0))/INDEX('Monthly CUST'!$N$2:$CG$65,MATCH($D38,'Monthly CUST'!$D$2:$D$65,0),MATCH(AI$1,'Monthly CUST'!$N$1:$CG$1,0)),0)</f>
        <v>11.291377245508983</v>
      </c>
      <c r="AJ38" s="56">
        <f>IFERROR(INDEX('Monthly VOL'!$N$2:$CG$65,MATCH($D38,'Monthly VOL'!$D$2:$D$65,0),MATCH(AJ$1,'Monthly VOL'!$N$1:$CG$1,0))/INDEX('Monthly CUST'!$N$2:$CG$65,MATCH($D38,'Monthly CUST'!$D$2:$D$65,0),MATCH(AJ$1,'Monthly CUST'!$N$1:$CG$1,0)),0)</f>
        <v>14.855568862275449</v>
      </c>
      <c r="AK38" s="56">
        <f>IFERROR(INDEX('Monthly VOL'!$N$2:$CG$65,MATCH($D38,'Monthly VOL'!$D$2:$D$65,0),MATCH(AK$1,'Monthly VOL'!$N$1:$CG$1,0))/INDEX('Monthly CUST'!$N$2:$CG$65,MATCH($D38,'Monthly CUST'!$D$2:$D$65,0),MATCH(AK$1,'Monthly CUST'!$N$1:$CG$1,0)),0)</f>
        <v>20.858982035928143</v>
      </c>
      <c r="AL38" s="56">
        <f>IFERROR(INDEX('Monthly VOL'!$N$2:$CG$65,MATCH($D38,'Monthly VOL'!$D$2:$D$65,0),MATCH(AL$1,'Monthly VOL'!$N$1:$CG$1,0))/INDEX('Monthly CUST'!$N$2:$CG$65,MATCH($D38,'Monthly CUST'!$D$2:$D$65,0),MATCH(AL$1,'Monthly CUST'!$N$1:$CG$1,0)),0)</f>
        <v>22.674311377245509</v>
      </c>
      <c r="AM38" s="56">
        <f>IFERROR(INDEX('Monthly VOL'!$N$2:$CG$65,MATCH($D38,'Monthly VOL'!$D$2:$D$65,0),MATCH(AM$1,'Monthly VOL'!$N$1:$CG$1,0))/INDEX('Monthly CUST'!$N$2:$CG$65,MATCH($D38,'Monthly CUST'!$D$2:$D$65,0),MATCH(AM$1,'Monthly CUST'!$N$1:$CG$1,0)),0)</f>
        <v>20.17562874251497</v>
      </c>
      <c r="AN38" s="56">
        <f>IFERROR(INDEX('Monthly VOL'!$N$2:$CG$65,MATCH($D38,'Monthly VOL'!$D$2:$D$65,0),MATCH(AN$1,'Monthly VOL'!$N$1:$CG$1,0))/INDEX('Monthly CUST'!$N$2:$CG$65,MATCH($D38,'Monthly CUST'!$D$2:$D$65,0),MATCH(AN$1,'Monthly CUST'!$N$1:$CG$1,0)),0)</f>
        <v>17.228749999999998</v>
      </c>
      <c r="AO38" s="56">
        <f>IFERROR(INDEX('Monthly VOL'!$N$2:$CG$65,MATCH($D38,'Monthly VOL'!$D$2:$D$65,0),MATCH(AO$1,'Monthly VOL'!$N$1:$CG$1,0))/INDEX('Monthly CUST'!$N$2:$CG$65,MATCH($D38,'Monthly CUST'!$D$2:$D$65,0),MATCH(AO$1,'Monthly CUST'!$N$1:$CG$1,0)),0)</f>
        <v>16.066946107784432</v>
      </c>
      <c r="AP38" s="56">
        <f>IFERROR(INDEX('Monthly VOL'!$N$2:$CG$65,MATCH($D38,'Monthly VOL'!$D$2:$D$65,0),MATCH(AP$1,'Monthly VOL'!$N$1:$CG$1,0))/INDEX('Monthly CUST'!$N$2:$CG$65,MATCH($D38,'Monthly CUST'!$D$2:$D$65,0),MATCH(AP$1,'Monthly CUST'!$N$1:$CG$1,0)),0)</f>
        <v>14.490670731707317</v>
      </c>
      <c r="AQ38" s="56">
        <f>IFERROR(INDEX('Monthly VOL'!$N$2:$CG$65,MATCH($D38,'Monthly VOL'!$D$2:$D$65,0),MATCH(AQ$1,'Monthly VOL'!$N$1:$CG$1,0))/INDEX('Monthly CUST'!$N$2:$CG$65,MATCH($D38,'Monthly CUST'!$D$2:$D$65,0),MATCH(AQ$1,'Monthly CUST'!$N$1:$CG$1,0)),0)</f>
        <v>12.879451219512195</v>
      </c>
      <c r="AR38" s="56">
        <f>IFERROR(INDEX('Monthly VOL'!$N$2:$CG$65,MATCH($D38,'Monthly VOL'!$D$2:$D$65,0),MATCH(AR$1,'Monthly VOL'!$N$1:$CG$1,0))/INDEX('Monthly CUST'!$N$2:$CG$65,MATCH($D38,'Monthly CUST'!$D$2:$D$65,0),MATCH(AR$1,'Monthly CUST'!$N$1:$CG$1,0)),0)</f>
        <v>12.734999999999999</v>
      </c>
      <c r="AS38" s="56">
        <f>IFERROR(INDEX('Monthly VOL'!$N$2:$CG$65,MATCH($D38,'Monthly VOL'!$D$2:$D$65,0),MATCH(AS$1,'Monthly VOL'!$N$1:$CG$1,0))/INDEX('Monthly CUST'!$N$2:$CG$65,MATCH($D38,'Monthly CUST'!$D$2:$D$65,0),MATCH(AS$1,'Monthly CUST'!$N$1:$CG$1,0)),0)</f>
        <v>10.627515151515151</v>
      </c>
      <c r="AT38" s="56">
        <f>IFERROR(INDEX('Monthly VOL'!$N$2:$CG$65,MATCH($D38,'Monthly VOL'!$D$2:$D$65,0),MATCH(AT$1,'Monthly VOL'!$N$1:$CG$1,0))/INDEX('Monthly CUST'!$N$2:$CG$65,MATCH($D38,'Monthly CUST'!$D$2:$D$65,0),MATCH(AT$1,'Monthly CUST'!$N$1:$CG$1,0)),0)</f>
        <v>11.644756097560975</v>
      </c>
      <c r="AU38" s="56">
        <f>IFERROR(INDEX('Monthly VOL'!$N$2:$CG$65,MATCH($D38,'Monthly VOL'!$D$2:$D$65,0),MATCH(AU$1,'Monthly VOL'!$N$1:$CG$1,0))/INDEX('Monthly CUST'!$N$2:$CG$65,MATCH($D38,'Monthly CUST'!$D$2:$D$65,0),MATCH(AU$1,'Monthly CUST'!$N$1:$CG$1,0)),0)</f>
        <v>11.683090909090909</v>
      </c>
      <c r="AV38" s="56">
        <f>IFERROR(INDEX('Monthly VOL'!$N$2:$CG$65,MATCH($D38,'Monthly VOL'!$D$2:$D$65,0),MATCH(AV$1,'Monthly VOL'!$N$1:$CG$1,0))/INDEX('Monthly CUST'!$N$2:$CG$65,MATCH($D38,'Monthly CUST'!$D$2:$D$65,0),MATCH(AV$1,'Monthly CUST'!$N$1:$CG$1,0)),0)</f>
        <v>13.394424242424241</v>
      </c>
      <c r="AW38" s="56">
        <f>IFERROR(INDEX('Monthly VOL'!$N$2:$CG$65,MATCH($D38,'Monthly VOL'!$D$2:$D$65,0),MATCH(AW$1,'Monthly VOL'!$N$1:$CG$1,0))/INDEX('Monthly CUST'!$N$2:$CG$65,MATCH($D38,'Monthly CUST'!$D$2:$D$65,0),MATCH(AW$1,'Monthly CUST'!$N$1:$CG$1,0)),0)</f>
        <v>24.451696969696972</v>
      </c>
      <c r="AX38" s="56">
        <f>IFERROR(INDEX('Monthly VOL'!$N$2:$CG$65,MATCH($D38,'Monthly VOL'!$D$2:$D$65,0),MATCH(AX$1,'Monthly VOL'!$N$1:$CG$1,0))/INDEX('Monthly CUST'!$N$2:$CG$65,MATCH($D38,'Monthly CUST'!$D$2:$D$65,0),MATCH(AX$1,'Monthly CUST'!$N$1:$CG$1,0)),0)</f>
        <v>29.85668674698795</v>
      </c>
      <c r="AY38" s="56">
        <f>IFERROR(INDEX('Monthly VOL'!$N$2:$CG$65,MATCH($D38,'Monthly VOL'!$D$2:$D$65,0),MATCH(AY$1,'Monthly VOL'!$N$1:$CG$1,0))/INDEX('Monthly CUST'!$N$2:$CG$65,MATCH($D38,'Monthly CUST'!$D$2:$D$65,0),MATCH(AY$1,'Monthly CUST'!$N$1:$CG$1,0)),0)</f>
        <v>20.82951515151515</v>
      </c>
      <c r="AZ38" s="56">
        <f>IFERROR(INDEX('Monthly VOL'!$N$2:$CG$65,MATCH($D38,'Monthly VOL'!$D$2:$D$65,0),MATCH(AZ$1,'Monthly VOL'!$N$1:$CG$1,0))/INDEX('Monthly CUST'!$N$2:$CG$65,MATCH($D38,'Monthly CUST'!$D$2:$D$65,0),MATCH(AZ$1,'Monthly CUST'!$N$1:$CG$1,0)),0)</f>
        <v>17.769573170731707</v>
      </c>
      <c r="BA38" s="56">
        <f>IFERROR(INDEX('Monthly VOL'!$N$2:$CG$65,MATCH($D38,'Monthly VOL'!$D$2:$D$65,0),MATCH(BA$1,'Monthly VOL'!$N$1:$CG$1,0))/INDEX('Monthly CUST'!$N$2:$CG$65,MATCH($D38,'Monthly CUST'!$D$2:$D$65,0),MATCH(BA$1,'Monthly CUST'!$N$1:$CG$1,0)),0)</f>
        <v>22.185636363636366</v>
      </c>
      <c r="BB38" s="56">
        <f>IFERROR(INDEX('Monthly VOL'!$N$2:$CG$65,MATCH($D38,'Monthly VOL'!$D$2:$D$65,0),MATCH(BB$1,'Monthly VOL'!$N$1:$CG$1,0))/INDEX('Monthly CUST'!$N$2:$CG$65,MATCH($D38,'Monthly CUST'!$D$2:$D$65,0),MATCH(BB$1,'Monthly CUST'!$N$1:$CG$1,0)),0)</f>
        <v>13.268170731707317</v>
      </c>
      <c r="BC38" s="56">
        <f>IFERROR(INDEX('Monthly VOL'!$N$2:$CG$65,MATCH($D38,'Monthly VOL'!$D$2:$D$65,0),MATCH(BC$1,'Monthly VOL'!$N$1:$CG$1,0))/INDEX('Monthly CUST'!$N$2:$CG$65,MATCH($D38,'Monthly CUST'!$D$2:$D$65,0),MATCH(BC$1,'Monthly CUST'!$N$1:$CG$1,0)),0)</f>
        <v>12.46920731707317</v>
      </c>
      <c r="BD38" s="56">
        <f>IFERROR(INDEX('Monthly VOL'!$N$2:$CG$65,MATCH($D38,'Monthly VOL'!$D$2:$D$65,0),MATCH(BD$1,'Monthly VOL'!$N$1:$CG$1,0))/INDEX('Monthly CUST'!$N$2:$CG$65,MATCH($D38,'Monthly CUST'!$D$2:$D$65,0),MATCH(BD$1,'Monthly CUST'!$N$1:$CG$1,0)),0)</f>
        <v>12.562147239263805</v>
      </c>
      <c r="BE38" s="56">
        <f>IFERROR(INDEX('Monthly VOL'!$N$2:$CG$65,MATCH($D38,'Monthly VOL'!$D$2:$D$65,0),MATCH(BE$1,'Monthly VOL'!$N$1:$CG$1,0))/INDEX('Monthly CUST'!$N$2:$CG$65,MATCH($D38,'Monthly CUST'!$D$2:$D$65,0),MATCH(BE$1,'Monthly CUST'!$N$1:$CG$1,0)),0)</f>
        <v>12.29170731707317</v>
      </c>
      <c r="BF38" s="56">
        <f>IFERROR(INDEX('Monthly VOL'!$N$2:$CG$65,MATCH($D38,'Monthly VOL'!$D$2:$D$65,0),MATCH(BF$1,'Monthly VOL'!$N$1:$CG$1,0))/INDEX('Monthly CUST'!$N$2:$CG$65,MATCH($D38,'Monthly CUST'!$D$2:$D$65,0),MATCH(BF$1,'Monthly CUST'!$N$1:$CG$1,0)),0)</f>
        <v>11.180617283950617</v>
      </c>
      <c r="BG38" s="56">
        <f>IFERROR(INDEX('Monthly VOL'!$N$2:$CG$65,MATCH($D38,'Monthly VOL'!$D$2:$D$65,0),MATCH(BG$1,'Monthly VOL'!$N$1:$CG$1,0))/INDEX('Monthly CUST'!$N$2:$CG$65,MATCH($D38,'Monthly CUST'!$D$2:$D$65,0),MATCH(BG$1,'Monthly CUST'!$N$1:$CG$1,0)),0)</f>
        <v>11.405766871165644</v>
      </c>
      <c r="BH38" s="56">
        <f>IFERROR(INDEX('Monthly VOL'!$N$2:$CG$65,MATCH($D38,'Monthly VOL'!$D$2:$D$65,0),MATCH(BH$1,'Monthly VOL'!$N$1:$CG$1,0))/INDEX('Monthly CUST'!$N$2:$CG$65,MATCH($D38,'Monthly CUST'!$D$2:$D$65,0),MATCH(BH$1,'Monthly CUST'!$N$1:$CG$1,0)),0)</f>
        <v>18.01396226415094</v>
      </c>
      <c r="BI38" s="56">
        <f>IFERROR(INDEX('Monthly VOL'!$N$2:$CG$65,MATCH($D38,'Monthly VOL'!$D$2:$D$65,0),MATCH(BI$1,'Monthly VOL'!$N$1:$CG$1,0))/INDEX('Monthly CUST'!$N$2:$CG$65,MATCH($D38,'Monthly CUST'!$D$2:$D$65,0),MATCH(BI$1,'Monthly CUST'!$N$1:$CG$1,0)),0)</f>
        <v>25.173625000000001</v>
      </c>
      <c r="BJ38" s="56">
        <f>IFERROR(INDEX('Monthly VOL'!$N$2:$CG$65,MATCH($D38,'Monthly VOL'!$D$2:$D$65,0),MATCH(BJ$1,'Monthly VOL'!$N$1:$CG$1,0))/INDEX('Monthly CUST'!$N$2:$CG$65,MATCH($D38,'Monthly CUST'!$D$2:$D$65,0),MATCH(BJ$1,'Monthly CUST'!$N$1:$CG$1,0)),0)</f>
        <v>29.856686746987954</v>
      </c>
      <c r="BK38" s="56">
        <f>IFERROR(INDEX('Monthly VOL'!$N$2:$CG$65,MATCH($D38,'Monthly VOL'!$D$2:$D$65,0),MATCH(BK$1,'Monthly VOL'!$N$1:$CG$1,0))/INDEX('Monthly CUST'!$N$2:$CG$65,MATCH($D38,'Monthly CUST'!$D$2:$D$65,0),MATCH(BK$1,'Monthly CUST'!$N$1:$CG$1,0)),0)</f>
        <v>20.82951515151515</v>
      </c>
      <c r="BL38" s="56">
        <f>IFERROR(INDEX('Monthly VOL'!$N$2:$CG$65,MATCH($D38,'Monthly VOL'!$D$2:$D$65,0),MATCH(BL$1,'Monthly VOL'!$N$1:$CG$1,0))/INDEX('Monthly CUST'!$N$2:$CG$65,MATCH($D38,'Monthly CUST'!$D$2:$D$65,0),MATCH(BL$1,'Monthly CUST'!$N$1:$CG$1,0)),0)</f>
        <v>17.769573170731707</v>
      </c>
      <c r="BM38" s="56">
        <f>IFERROR(INDEX('Monthly VOL'!$N$2:$CG$65,MATCH($D38,'Monthly VOL'!$D$2:$D$65,0),MATCH(BM$1,'Monthly VOL'!$N$1:$CG$1,0))/INDEX('Monthly CUST'!$N$2:$CG$65,MATCH($D38,'Monthly CUST'!$D$2:$D$65,0),MATCH(BM$1,'Monthly CUST'!$N$1:$CG$1,0)),0)</f>
        <v>22.185636363636366</v>
      </c>
      <c r="BN38" s="56">
        <f>IFERROR(INDEX('Monthly VOL'!$N$2:$CG$65,MATCH($D38,'Monthly VOL'!$D$2:$D$65,0),MATCH(BN$1,'Monthly VOL'!$N$1:$CG$1,0))/INDEX('Monthly CUST'!$N$2:$CG$65,MATCH($D38,'Monthly CUST'!$D$2:$D$65,0),MATCH(BN$1,'Monthly CUST'!$N$1:$CG$1,0)),0)</f>
        <v>13.268170731707317</v>
      </c>
      <c r="BO38" s="56">
        <f>IFERROR(INDEX('Monthly VOL'!$N$2:$CG$65,MATCH($D38,'Monthly VOL'!$D$2:$D$65,0),MATCH(BO$1,'Monthly VOL'!$N$1:$CG$1,0))/INDEX('Monthly CUST'!$N$2:$CG$65,MATCH($D38,'Monthly CUST'!$D$2:$D$65,0),MATCH(BO$1,'Monthly CUST'!$N$1:$CG$1,0)),0)</f>
        <v>12.46920731707317</v>
      </c>
      <c r="BP38" s="56">
        <f>IFERROR(INDEX('Monthly VOL'!$N$2:$CG$65,MATCH($D38,'Monthly VOL'!$D$2:$D$65,0),MATCH(BP$1,'Monthly VOL'!$N$1:$CG$1,0))/INDEX('Monthly CUST'!$N$2:$CG$65,MATCH($D38,'Monthly CUST'!$D$2:$D$65,0),MATCH(BP$1,'Monthly CUST'!$N$1:$CG$1,0)),0)</f>
        <v>12.562147239263806</v>
      </c>
      <c r="BQ38" s="56">
        <f>IFERROR(INDEX('Monthly VOL'!$N$2:$CG$65,MATCH($D38,'Monthly VOL'!$D$2:$D$65,0),MATCH(BQ$1,'Monthly VOL'!$N$1:$CG$1,0))/INDEX('Monthly CUST'!$N$2:$CG$65,MATCH($D38,'Monthly CUST'!$D$2:$D$65,0),MATCH(BQ$1,'Monthly CUST'!$N$1:$CG$1,0)),0)</f>
        <v>12.29170731707317</v>
      </c>
      <c r="BR38" s="56">
        <f>IFERROR(INDEX('Monthly VOL'!$N$2:$CG$65,MATCH($D38,'Monthly VOL'!$D$2:$D$65,0),MATCH(BR$1,'Monthly VOL'!$N$1:$CG$1,0))/INDEX('Monthly CUST'!$N$2:$CG$65,MATCH($D38,'Monthly CUST'!$D$2:$D$65,0),MATCH(BR$1,'Monthly CUST'!$N$1:$CG$1,0)),0)</f>
        <v>11.180617283950617</v>
      </c>
      <c r="BS38" s="56">
        <f>IFERROR(INDEX('Monthly VOL'!$N$2:$CG$65,MATCH($D38,'Monthly VOL'!$D$2:$D$65,0),MATCH(BS$1,'Monthly VOL'!$N$1:$CG$1,0))/INDEX('Monthly CUST'!$N$2:$CG$65,MATCH($D38,'Monthly CUST'!$D$2:$D$65,0),MATCH(BS$1,'Monthly CUST'!$N$1:$CG$1,0)),0)</f>
        <v>11.405766871165644</v>
      </c>
      <c r="BT38" s="56">
        <f>IFERROR(INDEX('Monthly VOL'!$N$2:$CG$65,MATCH($D38,'Monthly VOL'!$D$2:$D$65,0),MATCH(BT$1,'Monthly VOL'!$N$1:$CG$1,0))/INDEX('Monthly CUST'!$N$2:$CG$65,MATCH($D38,'Monthly CUST'!$D$2:$D$65,0),MATCH(BT$1,'Monthly CUST'!$N$1:$CG$1,0)),0)</f>
        <v>18.01396226415094</v>
      </c>
      <c r="BU38" s="56">
        <f>IFERROR(INDEX('Monthly VOL'!$N$2:$CG$65,MATCH($D38,'Monthly VOL'!$D$2:$D$65,0),MATCH(BU$1,'Monthly VOL'!$N$1:$CG$1,0))/INDEX('Monthly CUST'!$N$2:$CG$65,MATCH($D38,'Monthly CUST'!$D$2:$D$65,0),MATCH(BU$1,'Monthly CUST'!$N$1:$CG$1,0)),0)</f>
        <v>25.173625000000001</v>
      </c>
      <c r="BV38" s="56">
        <f>IFERROR(INDEX('Monthly VOL'!$N$2:$CG$65,MATCH($D38,'Monthly VOL'!$D$2:$D$65,0),MATCH(BV$1,'Monthly VOL'!$N$1:$CG$1,0))/INDEX('Monthly CUST'!$N$2:$CG$65,MATCH($D38,'Monthly CUST'!$D$2:$D$65,0),MATCH(BV$1,'Monthly CUST'!$N$1:$CG$1,0)),0)</f>
        <v>29.85668674698795</v>
      </c>
      <c r="BW38" s="56">
        <f>IFERROR(INDEX('Monthly VOL'!$N$2:$CG$65,MATCH($D38,'Monthly VOL'!$D$2:$D$65,0),MATCH(BW$1,'Monthly VOL'!$N$1:$CG$1,0))/INDEX('Monthly CUST'!$N$2:$CG$65,MATCH($D38,'Monthly CUST'!$D$2:$D$65,0),MATCH(BW$1,'Monthly CUST'!$N$1:$CG$1,0)),0)</f>
        <v>20.82951515151515</v>
      </c>
      <c r="BX38" s="56">
        <f>IFERROR(INDEX('Monthly VOL'!$N$2:$CG$65,MATCH($D38,'Monthly VOL'!$D$2:$D$65,0),MATCH(BX$1,'Monthly VOL'!$N$1:$CG$1,0))/INDEX('Monthly CUST'!$N$2:$CG$65,MATCH($D38,'Monthly CUST'!$D$2:$D$65,0),MATCH(BX$1,'Monthly CUST'!$N$1:$CG$1,0)),0)</f>
        <v>17.769573170731707</v>
      </c>
      <c r="BY38" s="56">
        <f>IFERROR(INDEX('Monthly VOL'!$N$2:$CG$65,MATCH($D38,'Monthly VOL'!$D$2:$D$65,0),MATCH(BY$1,'Monthly VOL'!$N$1:$CG$1,0))/INDEX('Monthly CUST'!$N$2:$CG$65,MATCH($D38,'Monthly CUST'!$D$2:$D$65,0),MATCH(BY$1,'Monthly CUST'!$N$1:$CG$1,0)),0)</f>
        <v>22.185636363636366</v>
      </c>
      <c r="BZ38" s="56">
        <f>IFERROR(INDEX('Monthly VOL'!$N$2:$CG$65,MATCH($D38,'Monthly VOL'!$D$2:$D$65,0),MATCH(BZ$1,'Monthly VOL'!$N$1:$CG$1,0))/INDEX('Monthly CUST'!$N$2:$CG$65,MATCH($D38,'Monthly CUST'!$D$2:$D$65,0),MATCH(BZ$1,'Monthly CUST'!$N$1:$CG$1,0)),0)</f>
        <v>13.268170731707315</v>
      </c>
      <c r="CA38" s="56">
        <f>IFERROR(INDEX('Monthly VOL'!$N$2:$CG$65,MATCH($D38,'Monthly VOL'!$D$2:$D$65,0),MATCH(CA$1,'Monthly VOL'!$N$1:$CG$1,0))/INDEX('Monthly CUST'!$N$2:$CG$65,MATCH($D38,'Monthly CUST'!$D$2:$D$65,0),MATCH(CA$1,'Monthly CUST'!$N$1:$CG$1,0)),0)</f>
        <v>12.46920731707317</v>
      </c>
      <c r="CB38" s="56">
        <f>IFERROR(INDEX('Monthly VOL'!$N$2:$CG$65,MATCH($D38,'Monthly VOL'!$D$2:$D$65,0),MATCH(CB$1,'Monthly VOL'!$N$1:$CG$1,0))/INDEX('Monthly CUST'!$N$2:$CG$65,MATCH($D38,'Monthly CUST'!$D$2:$D$65,0),MATCH(CB$1,'Monthly CUST'!$N$1:$CG$1,0)),0)</f>
        <v>12.562147239263808</v>
      </c>
      <c r="CC38" s="56">
        <f>IFERROR(INDEX('Monthly VOL'!$N$2:$CG$65,MATCH($D38,'Monthly VOL'!$D$2:$D$65,0),MATCH(CC$1,'Monthly VOL'!$N$1:$CG$1,0))/INDEX('Monthly CUST'!$N$2:$CG$65,MATCH($D38,'Monthly CUST'!$D$2:$D$65,0),MATCH(CC$1,'Monthly CUST'!$N$1:$CG$1,0)),0)</f>
        <v>12.29170731707317</v>
      </c>
      <c r="CD38" s="56">
        <f>IFERROR(INDEX('Monthly VOL'!$N$2:$CG$65,MATCH($D38,'Monthly VOL'!$D$2:$D$65,0),MATCH(CD$1,'Monthly VOL'!$N$1:$CG$1,0))/INDEX('Monthly CUST'!$N$2:$CG$65,MATCH($D38,'Monthly CUST'!$D$2:$D$65,0),MATCH(CD$1,'Monthly CUST'!$N$1:$CG$1,0)),0)</f>
        <v>11.180617283950617</v>
      </c>
      <c r="CE38" s="56">
        <f>IFERROR(INDEX('Monthly VOL'!$N$2:$CG$65,MATCH($D38,'Monthly VOL'!$D$2:$D$65,0),MATCH(CE$1,'Monthly VOL'!$N$1:$CG$1,0))/INDEX('Monthly CUST'!$N$2:$CG$65,MATCH($D38,'Monthly CUST'!$D$2:$D$65,0),MATCH(CE$1,'Monthly CUST'!$N$1:$CG$1,0)),0)</f>
        <v>11.405766871165644</v>
      </c>
      <c r="CF38" s="56">
        <f>IFERROR(INDEX('Monthly VOL'!$N$2:$CG$65,MATCH($D38,'Monthly VOL'!$D$2:$D$65,0),MATCH(CF$1,'Monthly VOL'!$N$1:$CG$1,0))/INDEX('Monthly CUST'!$N$2:$CG$65,MATCH($D38,'Monthly CUST'!$D$2:$D$65,0),MATCH(CF$1,'Monthly CUST'!$N$1:$CG$1,0)),0)</f>
        <v>18.01396226415094</v>
      </c>
      <c r="CG38" s="56">
        <f>IFERROR(INDEX('Monthly VOL'!$N$2:$CG$65,MATCH($D38,'Monthly VOL'!$D$2:$D$65,0),MATCH(CG$1,'Monthly VOL'!$N$1:$CG$1,0))/INDEX('Monthly CUST'!$N$2:$CG$65,MATCH($D38,'Monthly CUST'!$D$2:$D$65,0),MATCH(CG$1,'Monthly CUST'!$N$1:$CG$1,0)),0)</f>
        <v>25.173625000000001</v>
      </c>
      <c r="CH38" s="264"/>
      <c r="CI38" s="264"/>
      <c r="CJ38" s="264"/>
      <c r="CM38" s="569">
        <f t="shared" si="24"/>
        <v>25.787682105668182</v>
      </c>
      <c r="CN38" s="569">
        <f t="shared" si="25"/>
        <v>21.269204591182731</v>
      </c>
      <c r="CO38" s="569">
        <f t="shared" si="26"/>
        <v>16.958087521557033</v>
      </c>
      <c r="CP38" s="569">
        <f t="shared" si="27"/>
        <v>18.102283588034577</v>
      </c>
      <c r="CQ38" s="569">
        <f t="shared" si="28"/>
        <v>13.713250184774575</v>
      </c>
      <c r="CR38" s="569">
        <f t="shared" si="29"/>
        <v>12.805496620628858</v>
      </c>
      <c r="CS38" s="569">
        <f t="shared" si="30"/>
        <v>11.559049079754601</v>
      </c>
      <c r="CT38" s="569">
        <f t="shared" si="31"/>
        <v>11.117955108577059</v>
      </c>
      <c r="CU38" s="569">
        <f t="shared" si="32"/>
        <v>11.241551606212447</v>
      </c>
      <c r="CV38" s="569">
        <f t="shared" si="33"/>
        <v>11.460078341921845</v>
      </c>
      <c r="CW38" s="569">
        <f t="shared" si="34"/>
        <v>15.421318456283544</v>
      </c>
      <c r="CX38" s="569">
        <f t="shared" si="35"/>
        <v>23.494768001875041</v>
      </c>
      <c r="CY38" s="569">
        <f t="shared" si="36"/>
        <v>25.787682105668182</v>
      </c>
      <c r="CZ38" s="569">
        <f t="shared" si="37"/>
        <v>21.269204591182731</v>
      </c>
      <c r="DA38" s="569">
        <f t="shared" si="38"/>
        <v>16.958087521557033</v>
      </c>
      <c r="DB38" s="569">
        <f t="shared" si="39"/>
        <v>18.102283588034577</v>
      </c>
      <c r="DC38" s="569">
        <f t="shared" si="40"/>
        <v>13.713250184774575</v>
      </c>
      <c r="DD38" s="569">
        <f t="shared" si="41"/>
        <v>12.805496620628858</v>
      </c>
      <c r="DE38" s="569">
        <f t="shared" si="42"/>
        <v>11.559049079754601</v>
      </c>
      <c r="DF38" s="569">
        <f t="shared" si="43"/>
        <v>11.117955108577059</v>
      </c>
      <c r="DG38" s="569">
        <f t="shared" si="44"/>
        <v>11.241551606212447</v>
      </c>
      <c r="DH38" s="569">
        <f t="shared" si="45"/>
        <v>11.460078341921845</v>
      </c>
      <c r="DI38" s="569">
        <f t="shared" si="46"/>
        <v>15.421318456283544</v>
      </c>
      <c r="DJ38" s="569">
        <f t="shared" si="47"/>
        <v>23.494768001875041</v>
      </c>
    </row>
    <row r="39" spans="1:114" s="261" customFormat="1">
      <c r="A39" s="55" t="s">
        <v>17</v>
      </c>
      <c r="B39" s="55" t="s">
        <v>993</v>
      </c>
      <c r="C39" s="55" t="s">
        <v>1245</v>
      </c>
      <c r="D39" s="55" t="s">
        <v>1249</v>
      </c>
      <c r="E39" s="55" t="str">
        <f>VLOOKUP(D39,'Input 14_Ref Table'!C:D,2,FALSE)</f>
        <v>CC807</v>
      </c>
      <c r="F39" s="172" t="s">
        <v>1286</v>
      </c>
      <c r="G39" s="55" t="str">
        <f>VLOOKUP(D39,'Input 14_Ref Table'!C:I,7,FALSE)</f>
        <v>CFG - FTS-1 NR</v>
      </c>
      <c r="H39" s="55" t="str">
        <f>VLOOKUP(D39,'Input 14_Ref Table'!C:K,8,FALSE)</f>
        <v>FTS1</v>
      </c>
      <c r="I39" s="55" t="e">
        <f>INDEX(#REF!,MATCH(D39,#REF!,0))</f>
        <v>#REF!</v>
      </c>
      <c r="J39" s="261" t="str">
        <f>INDEX('Master '!$AD$2:AD$65,MATCH(D39,'Master '!$D$2:$D$65,0))</f>
        <v>UPC Growth Rate</v>
      </c>
      <c r="K39" s="567">
        <f>INDEX('Master '!$N$2:N$65,MATCH(D39,'Master '!$D$2:$D$65,0))</f>
        <v>-4.9605598787378136E-2</v>
      </c>
      <c r="L39" s="290">
        <f>INDEX('Master '!$S$2:S$65,MATCH(D39,'Master '!$D$2:$D$65,0))</f>
        <v>-8.2102988836874169E-2</v>
      </c>
      <c r="M39" s="1">
        <f>INDEX('Master '!$W$2:W$65,MATCH(D39,'Master '!$D$2:$D$65,0))</f>
        <v>254.90000000000003</v>
      </c>
      <c r="N39" s="56">
        <f>IFERROR(INDEX('Monthly VOL'!$N$2:$CG$65,MATCH($D39,'Monthly VOL'!$D$2:$D$65,0),MATCH(N$1,'Monthly VOL'!$N$1:$CG$1,0))/INDEX('Monthly CUST'!$N$2:$CG$65,MATCH($D39,'Monthly CUST'!$D$2:$D$65,0),MATCH(N$1,'Monthly CUST'!$N$1:$CG$1,0)),0)</f>
        <v>34.170041322314049</v>
      </c>
      <c r="O39" s="56">
        <f>IFERROR(INDEX('Monthly VOL'!$N$2:$CG$65,MATCH($D39,'Monthly VOL'!$D$2:$D$65,0),MATCH(O$1,'Monthly VOL'!$N$1:$CG$1,0))/INDEX('Monthly CUST'!$N$2:$CG$65,MATCH($D39,'Monthly CUST'!$D$2:$D$65,0),MATCH(O$1,'Monthly CUST'!$N$1:$CG$1,0)),0)</f>
        <v>26.58643153526971</v>
      </c>
      <c r="P39" s="56">
        <f>IFERROR(INDEX('Monthly VOL'!$N$2:$CG$65,MATCH($D39,'Monthly VOL'!$D$2:$D$65,0),MATCH(P$1,'Monthly VOL'!$N$1:$CG$1,0))/INDEX('Monthly CUST'!$N$2:$CG$65,MATCH($D39,'Monthly CUST'!$D$2:$D$65,0),MATCH(P$1,'Monthly CUST'!$N$1:$CG$1,0)),0)</f>
        <v>42.009541666666671</v>
      </c>
      <c r="Q39" s="56">
        <f>IFERROR(INDEX('Monthly VOL'!$N$2:$CG$65,MATCH($D39,'Monthly VOL'!$D$2:$D$65,0),MATCH(Q$1,'Monthly VOL'!$N$1:$CG$1,0))/INDEX('Monthly CUST'!$N$2:$CG$65,MATCH($D39,'Monthly CUST'!$D$2:$D$65,0),MATCH(Q$1,'Monthly CUST'!$N$1:$CG$1,0)),0)</f>
        <v>19.737721518987343</v>
      </c>
      <c r="R39" s="56">
        <f>IFERROR(INDEX('Monthly VOL'!$N$2:$CG$65,MATCH($D39,'Monthly VOL'!$D$2:$D$65,0),MATCH(R$1,'Monthly VOL'!$N$1:$CG$1,0))/INDEX('Monthly CUST'!$N$2:$CG$65,MATCH($D39,'Monthly CUST'!$D$2:$D$65,0),MATCH(R$1,'Monthly CUST'!$N$1:$CG$1,0)),0)</f>
        <v>24.861059322033899</v>
      </c>
      <c r="S39" s="56">
        <f>IFERROR(INDEX('Monthly VOL'!$N$2:$CG$65,MATCH($D39,'Monthly VOL'!$D$2:$D$65,0),MATCH(S$1,'Monthly VOL'!$N$1:$CG$1,0))/INDEX('Monthly CUST'!$N$2:$CG$65,MATCH($D39,'Monthly CUST'!$D$2:$D$65,0),MATCH(S$1,'Monthly CUST'!$N$1:$CG$1,0)),0)</f>
        <v>17.309999999999999</v>
      </c>
      <c r="T39" s="56">
        <f>IFERROR(INDEX('Monthly VOL'!$N$2:$CG$65,MATCH($D39,'Monthly VOL'!$D$2:$D$65,0),MATCH(T$1,'Monthly VOL'!$N$1:$CG$1,0))/INDEX('Monthly CUST'!$N$2:$CG$65,MATCH($D39,'Monthly CUST'!$D$2:$D$65,0),MATCH(T$1,'Monthly CUST'!$N$1:$CG$1,0)),0)</f>
        <v>20.551724137931036</v>
      </c>
      <c r="U39" s="56">
        <f>IFERROR(INDEX('Monthly VOL'!$N$2:$CG$65,MATCH($D39,'Monthly VOL'!$D$2:$D$65,0),MATCH(U$1,'Monthly VOL'!$N$1:$CG$1,0))/INDEX('Monthly CUST'!$N$2:$CG$65,MATCH($D39,'Monthly CUST'!$D$2:$D$65,0),MATCH(U$1,'Monthly CUST'!$N$1:$CG$1,0)),0)</f>
        <v>11.703116883116884</v>
      </c>
      <c r="V39" s="56">
        <f>IFERROR(INDEX('Monthly VOL'!$N$2:$CG$65,MATCH($D39,'Monthly VOL'!$D$2:$D$65,0),MATCH(V$1,'Monthly VOL'!$N$1:$CG$1,0))/INDEX('Monthly CUST'!$N$2:$CG$65,MATCH($D39,'Monthly CUST'!$D$2:$D$65,0),MATCH(V$1,'Monthly CUST'!$N$1:$CG$1,0)),0)</f>
        <v>18.137304347826088</v>
      </c>
      <c r="W39" s="56">
        <f>IFERROR(INDEX('Monthly VOL'!$N$2:$CG$65,MATCH($D39,'Monthly VOL'!$D$2:$D$65,0),MATCH(W$1,'Monthly VOL'!$N$1:$CG$1,0))/INDEX('Monthly CUST'!$N$2:$CG$65,MATCH($D39,'Monthly CUST'!$D$2:$D$65,0),MATCH(W$1,'Monthly CUST'!$N$1:$CG$1,0)),0)</f>
        <v>16.314956521739131</v>
      </c>
      <c r="X39" s="56">
        <f>IFERROR(INDEX('Monthly VOL'!$N$2:$CG$65,MATCH($D39,'Monthly VOL'!$D$2:$D$65,0),MATCH(X$1,'Monthly VOL'!$N$1:$CG$1,0))/INDEX('Monthly CUST'!$N$2:$CG$65,MATCH($D39,'Monthly CUST'!$D$2:$D$65,0),MATCH(X$1,'Monthly CUST'!$N$1:$CG$1,0)),0)</f>
        <v>17.812652173913044</v>
      </c>
      <c r="Y39" s="56">
        <f>IFERROR(INDEX('Monthly VOL'!$N$2:$CG$65,MATCH($D39,'Monthly VOL'!$D$2:$D$65,0),MATCH(Y$1,'Monthly VOL'!$N$1:$CG$1,0))/INDEX('Monthly CUST'!$N$2:$CG$65,MATCH($D39,'Monthly CUST'!$D$2:$D$65,0),MATCH(Y$1,'Monthly CUST'!$N$1:$CG$1,0)),0)</f>
        <v>22.50338775510204</v>
      </c>
      <c r="Z39" s="56">
        <f>IFERROR(INDEX('Monthly VOL'!$N$2:$CG$65,MATCH($D39,'Monthly VOL'!$D$2:$D$65,0),MATCH(Z$1,'Monthly VOL'!$N$1:$CG$1,0))/INDEX('Monthly CUST'!$N$2:$CG$65,MATCH($D39,'Monthly CUST'!$D$2:$D$65,0),MATCH(Z$1,'Monthly CUST'!$N$1:$CG$1,0)),0)</f>
        <v>22.155695652173957</v>
      </c>
      <c r="AA39" s="56">
        <f>IFERROR(INDEX('Monthly VOL'!$N$2:$CG$65,MATCH($D39,'Monthly VOL'!$D$2:$D$65,0),MATCH(AA$1,'Monthly VOL'!$N$1:$CG$1,0))/INDEX('Monthly CUST'!$N$2:$CG$65,MATCH($D39,'Monthly CUST'!$D$2:$D$65,0),MATCH(AA$1,'Monthly CUST'!$N$1:$CG$1,0)),0)</f>
        <v>23.555131578947368</v>
      </c>
      <c r="AB39" s="56">
        <f>IFERROR(INDEX('Monthly VOL'!$N$2:$CG$65,MATCH($D39,'Monthly VOL'!$D$2:$D$65,0),MATCH(AB$1,'Monthly VOL'!$N$1:$CG$1,0))/INDEX('Monthly CUST'!$N$2:$CG$65,MATCH($D39,'Monthly CUST'!$D$2:$D$65,0),MATCH(AB$1,'Monthly CUST'!$N$1:$CG$1,0)),0)</f>
        <v>18.737368421052633</v>
      </c>
      <c r="AC39" s="56">
        <f>IFERROR(INDEX('Monthly VOL'!$N$2:$CG$65,MATCH($D39,'Monthly VOL'!$D$2:$D$65,0),MATCH(AC$1,'Monthly VOL'!$N$1:$CG$1,0))/INDEX('Monthly CUST'!$N$2:$CG$65,MATCH($D39,'Monthly CUST'!$D$2:$D$65,0),MATCH(AC$1,'Monthly CUST'!$N$1:$CG$1,0)),0)</f>
        <v>20.767619047619046</v>
      </c>
      <c r="AD39" s="56">
        <f>IFERROR(INDEX('Monthly VOL'!$N$2:$CG$65,MATCH($D39,'Monthly VOL'!$D$2:$D$65,0),MATCH(AD$1,'Monthly VOL'!$N$1:$CG$1,0))/INDEX('Monthly CUST'!$N$2:$CG$65,MATCH($D39,'Monthly CUST'!$D$2:$D$65,0),MATCH(AD$1,'Monthly CUST'!$N$1:$CG$1,0)),0)</f>
        <v>26.398441558441558</v>
      </c>
      <c r="AE39" s="56">
        <f>IFERROR(INDEX('Monthly VOL'!$N$2:$CG$65,MATCH($D39,'Monthly VOL'!$D$2:$D$65,0),MATCH(AE$1,'Monthly VOL'!$N$1:$CG$1,0))/INDEX('Monthly CUST'!$N$2:$CG$65,MATCH($D39,'Monthly CUST'!$D$2:$D$65,0),MATCH(AE$1,'Monthly CUST'!$N$1:$CG$1,0)),0)</f>
        <v>16.78943722943723</v>
      </c>
      <c r="AF39" s="56">
        <f>IFERROR(INDEX('Monthly VOL'!$N$2:$CG$65,MATCH($D39,'Monthly VOL'!$D$2:$D$65,0),MATCH(AF$1,'Monthly VOL'!$N$1:$CG$1,0))/INDEX('Monthly CUST'!$N$2:$CG$65,MATCH($D39,'Monthly CUST'!$D$2:$D$65,0),MATCH(AF$1,'Monthly CUST'!$N$1:$CG$1,0)),0)</f>
        <v>14.116926406926408</v>
      </c>
      <c r="AG39" s="56">
        <f>IFERROR(INDEX('Monthly VOL'!$N$2:$CG$65,MATCH($D39,'Monthly VOL'!$D$2:$D$65,0),MATCH(AG$1,'Monthly VOL'!$N$1:$CG$1,0))/INDEX('Monthly CUST'!$N$2:$CG$65,MATCH($D39,'Monthly CUST'!$D$2:$D$65,0),MATCH(AG$1,'Monthly CUST'!$N$1:$CG$1,0)),0)</f>
        <v>16.691379310344828</v>
      </c>
      <c r="AH39" s="56">
        <f>IFERROR(INDEX('Monthly VOL'!$N$2:$CG$65,MATCH($D39,'Monthly VOL'!$D$2:$D$65,0),MATCH(AH$1,'Monthly VOL'!$N$1:$CG$1,0))/INDEX('Monthly CUST'!$N$2:$CG$65,MATCH($D39,'Monthly CUST'!$D$2:$D$65,0),MATCH(AH$1,'Monthly CUST'!$N$1:$CG$1,0)),0)</f>
        <v>16.083905579399143</v>
      </c>
      <c r="AI39" s="56">
        <f>IFERROR(INDEX('Monthly VOL'!$N$2:$CG$65,MATCH($D39,'Monthly VOL'!$D$2:$D$65,0),MATCH(AI$1,'Monthly VOL'!$N$1:$CG$1,0))/INDEX('Monthly CUST'!$N$2:$CG$65,MATCH($D39,'Monthly CUST'!$D$2:$D$65,0),MATCH(AI$1,'Monthly CUST'!$N$1:$CG$1,0)),0)</f>
        <v>15.337991266375546</v>
      </c>
      <c r="AJ39" s="56">
        <f>IFERROR(INDEX('Monthly VOL'!$N$2:$CG$65,MATCH($D39,'Monthly VOL'!$D$2:$D$65,0),MATCH(AJ$1,'Monthly VOL'!$N$1:$CG$1,0))/INDEX('Monthly CUST'!$N$2:$CG$65,MATCH($D39,'Monthly CUST'!$D$2:$D$65,0),MATCH(AJ$1,'Monthly CUST'!$N$1:$CG$1,0)),0)</f>
        <v>21.580704845814978</v>
      </c>
      <c r="AK39" s="56">
        <f>IFERROR(INDEX('Monthly VOL'!$N$2:$CG$65,MATCH($D39,'Monthly VOL'!$D$2:$D$65,0),MATCH(AK$1,'Monthly VOL'!$N$1:$CG$1,0))/INDEX('Monthly CUST'!$N$2:$CG$65,MATCH($D39,'Monthly CUST'!$D$2:$D$65,0),MATCH(AK$1,'Monthly CUST'!$N$1:$CG$1,0)),0)</f>
        <v>22.899301310043665</v>
      </c>
      <c r="AL39" s="56">
        <f>IFERROR(INDEX('Monthly VOL'!$N$2:$CG$65,MATCH($D39,'Monthly VOL'!$D$2:$D$65,0),MATCH(AL$1,'Monthly VOL'!$N$1:$CG$1,0))/INDEX('Monthly CUST'!$N$2:$CG$65,MATCH($D39,'Monthly CUST'!$D$2:$D$65,0),MATCH(AL$1,'Monthly CUST'!$N$1:$CG$1,0)),0)</f>
        <v>25.89182608695652</v>
      </c>
      <c r="AM39" s="56">
        <f>IFERROR(INDEX('Monthly VOL'!$N$2:$CG$65,MATCH($D39,'Monthly VOL'!$D$2:$D$65,0),MATCH(AM$1,'Monthly VOL'!$N$1:$CG$1,0))/INDEX('Monthly CUST'!$N$2:$CG$65,MATCH($D39,'Monthly CUST'!$D$2:$D$65,0),MATCH(AM$1,'Monthly CUST'!$N$1:$CG$1,0)),0)</f>
        <v>20.048391304347827</v>
      </c>
      <c r="AN39" s="56">
        <f>IFERROR(INDEX('Monthly VOL'!$N$2:$CG$65,MATCH($D39,'Monthly VOL'!$D$2:$D$65,0),MATCH(AN$1,'Monthly VOL'!$N$1:$CG$1,0))/INDEX('Monthly CUST'!$N$2:$CG$65,MATCH($D39,'Monthly CUST'!$D$2:$D$65,0),MATCH(AN$1,'Monthly CUST'!$N$1:$CG$1,0)),0)</f>
        <v>24.34987012987013</v>
      </c>
      <c r="AO39" s="56">
        <f>IFERROR(INDEX('Monthly VOL'!$N$2:$CG$65,MATCH($D39,'Monthly VOL'!$D$2:$D$65,0),MATCH(AO$1,'Monthly VOL'!$N$1:$CG$1,0))/INDEX('Monthly CUST'!$N$2:$CG$65,MATCH($D39,'Monthly CUST'!$D$2:$D$65,0),MATCH(AO$1,'Monthly CUST'!$N$1:$CG$1,0)),0)</f>
        <v>14.246724890829695</v>
      </c>
      <c r="AP39" s="56">
        <f>IFERROR(INDEX('Monthly VOL'!$N$2:$CG$65,MATCH($D39,'Monthly VOL'!$D$2:$D$65,0),MATCH(AP$1,'Monthly VOL'!$N$1:$CG$1,0))/INDEX('Monthly CUST'!$N$2:$CG$65,MATCH($D39,'Monthly CUST'!$D$2:$D$65,0),MATCH(AP$1,'Monthly CUST'!$N$1:$CG$1,0)),0)</f>
        <v>20.613362445414847</v>
      </c>
      <c r="AQ39" s="56">
        <f>IFERROR(INDEX('Monthly VOL'!$N$2:$CG$65,MATCH($D39,'Monthly VOL'!$D$2:$D$65,0),MATCH(AQ$1,'Monthly VOL'!$N$1:$CG$1,0))/INDEX('Monthly CUST'!$N$2:$CG$65,MATCH($D39,'Monthly CUST'!$D$2:$D$65,0),MATCH(AQ$1,'Monthly CUST'!$N$1:$CG$1,0)),0)</f>
        <v>12.395198237885463</v>
      </c>
      <c r="AR39" s="56">
        <f>IFERROR(INDEX('Monthly VOL'!$N$2:$CG$65,MATCH($D39,'Monthly VOL'!$D$2:$D$65,0),MATCH(AR$1,'Monthly VOL'!$N$1:$CG$1,0))/INDEX('Monthly CUST'!$N$2:$CG$65,MATCH($D39,'Monthly CUST'!$D$2:$D$65,0),MATCH(AR$1,'Monthly CUST'!$N$1:$CG$1,0)),0)</f>
        <v>16.787066666666668</v>
      </c>
      <c r="AS39" s="56">
        <f>IFERROR(INDEX('Monthly VOL'!$N$2:$CG$65,MATCH($D39,'Monthly VOL'!$D$2:$D$65,0),MATCH(AS$1,'Monthly VOL'!$N$1:$CG$1,0))/INDEX('Monthly CUST'!$N$2:$CG$65,MATCH($D39,'Monthly CUST'!$D$2:$D$65,0),MATCH(AS$1,'Monthly CUST'!$N$1:$CG$1,0)),0)</f>
        <v>13.336725663716814</v>
      </c>
      <c r="AT39" s="56">
        <f>IFERROR(INDEX('Monthly VOL'!$N$2:$CG$65,MATCH($D39,'Monthly VOL'!$D$2:$D$65,0),MATCH(AT$1,'Monthly VOL'!$N$1:$CG$1,0))/INDEX('Monthly CUST'!$N$2:$CG$65,MATCH($D39,'Monthly CUST'!$D$2:$D$65,0),MATCH(AT$1,'Monthly CUST'!$N$1:$CG$1,0)),0)</f>
        <v>13.144478260869565</v>
      </c>
      <c r="AU39" s="56">
        <f>IFERROR(INDEX('Monthly VOL'!$N$2:$CG$65,MATCH($D39,'Monthly VOL'!$D$2:$D$65,0),MATCH(AU$1,'Monthly VOL'!$N$1:$CG$1,0))/INDEX('Monthly CUST'!$N$2:$CG$65,MATCH($D39,'Monthly CUST'!$D$2:$D$65,0),MATCH(AU$1,'Monthly CUST'!$N$1:$CG$1,0)),0)</f>
        <v>12.971397379912663</v>
      </c>
      <c r="AV39" s="56">
        <f>IFERROR(INDEX('Monthly VOL'!$N$2:$CG$65,MATCH($D39,'Monthly VOL'!$D$2:$D$65,0),MATCH(AV$1,'Monthly VOL'!$N$1:$CG$1,0))/INDEX('Monthly CUST'!$N$2:$CG$65,MATCH($D39,'Monthly CUST'!$D$2:$D$65,0),MATCH(AV$1,'Monthly CUST'!$N$1:$CG$1,0)),0)</f>
        <v>14.759166666666667</v>
      </c>
      <c r="AW39" s="56">
        <f>IFERROR(INDEX('Monthly VOL'!$N$2:$CG$65,MATCH($D39,'Monthly VOL'!$D$2:$D$65,0),MATCH(AW$1,'Monthly VOL'!$N$1:$CG$1,0))/INDEX('Monthly CUST'!$N$2:$CG$65,MATCH($D39,'Monthly CUST'!$D$2:$D$65,0),MATCH(AW$1,'Monthly CUST'!$N$1:$CG$1,0)),0)</f>
        <v>28.924229074889869</v>
      </c>
      <c r="AX39" s="56">
        <f>IFERROR(INDEX('Monthly VOL'!$N$2:$CG$65,MATCH($D39,'Monthly VOL'!$D$2:$D$65,0),MATCH(AX$1,'Monthly VOL'!$N$1:$CG$1,0))/INDEX('Monthly CUST'!$N$2:$CG$65,MATCH($D39,'Monthly CUST'!$D$2:$D$65,0),MATCH(AX$1,'Monthly CUST'!$N$1:$CG$1,0)),0)</f>
        <v>31.785565217391305</v>
      </c>
      <c r="AY39" s="56">
        <f>IFERROR(INDEX('Monthly VOL'!$N$2:$CG$65,MATCH($D39,'Monthly VOL'!$D$2:$D$65,0),MATCH(AY$1,'Monthly VOL'!$N$1:$CG$1,0))/INDEX('Monthly CUST'!$N$2:$CG$65,MATCH($D39,'Monthly CUST'!$D$2:$D$65,0),MATCH(AY$1,'Monthly CUST'!$N$1:$CG$1,0)),0)</f>
        <v>28.74184210526316</v>
      </c>
      <c r="AZ39" s="56">
        <f>IFERROR(INDEX('Monthly VOL'!$N$2:$CG$65,MATCH($D39,'Monthly VOL'!$D$2:$D$65,0),MATCH(AZ$1,'Monthly VOL'!$N$1:$CG$1,0))/INDEX('Monthly CUST'!$N$2:$CG$65,MATCH($D39,'Monthly CUST'!$D$2:$D$65,0),MATCH(AZ$1,'Monthly CUST'!$N$1:$CG$1,0)),0)</f>
        <v>23.684517543859648</v>
      </c>
      <c r="BA39" s="56">
        <f>IFERROR(INDEX('Monthly VOL'!$N$2:$CG$65,MATCH($D39,'Monthly VOL'!$D$2:$D$65,0),MATCH(BA$1,'Monthly VOL'!$N$1:$CG$1,0))/INDEX('Monthly CUST'!$N$2:$CG$65,MATCH($D39,'Monthly CUST'!$D$2:$D$65,0),MATCH(BA$1,'Monthly CUST'!$N$1:$CG$1,0)),0)</f>
        <v>23.910088105726874</v>
      </c>
      <c r="BB39" s="56">
        <f>IFERROR(INDEX('Monthly VOL'!$N$2:$CG$65,MATCH($D39,'Monthly VOL'!$D$2:$D$65,0),MATCH(BB$1,'Monthly VOL'!$N$1:$CG$1,0))/INDEX('Monthly CUST'!$N$2:$CG$65,MATCH($D39,'Monthly CUST'!$D$2:$D$65,0),MATCH(BB$1,'Monthly CUST'!$N$1:$CG$1,0)),0)</f>
        <v>17.280132158590309</v>
      </c>
      <c r="BC39" s="56">
        <f>IFERROR(INDEX('Monthly VOL'!$N$2:$CG$65,MATCH($D39,'Monthly VOL'!$D$2:$D$65,0),MATCH(BC$1,'Monthly VOL'!$N$1:$CG$1,0))/INDEX('Monthly CUST'!$N$2:$CG$65,MATCH($D39,'Monthly CUST'!$D$2:$D$65,0),MATCH(BC$1,'Monthly CUST'!$N$1:$CG$1,0)),0)</f>
        <v>16.863039647577093</v>
      </c>
      <c r="BD39" s="56">
        <f>IFERROR(INDEX('Monthly VOL'!$N$2:$CG$65,MATCH($D39,'Monthly VOL'!$D$2:$D$65,0),MATCH(BD$1,'Monthly VOL'!$N$1:$CG$1,0))/INDEX('Monthly CUST'!$N$2:$CG$65,MATCH($D39,'Monthly CUST'!$D$2:$D$65,0),MATCH(BD$1,'Monthly CUST'!$N$1:$CG$1,0)),0)</f>
        <v>16.9528</v>
      </c>
      <c r="BE39" s="56">
        <f>IFERROR(INDEX('Monthly VOL'!$N$2:$CG$65,MATCH($D39,'Monthly VOL'!$D$2:$D$65,0),MATCH(BE$1,'Monthly VOL'!$N$1:$CG$1,0))/INDEX('Monthly CUST'!$N$2:$CG$65,MATCH($D39,'Monthly CUST'!$D$2:$D$65,0),MATCH(BE$1,'Monthly CUST'!$N$1:$CG$1,0)),0)</f>
        <v>15.971061946902655</v>
      </c>
      <c r="BF39" s="56">
        <f>IFERROR(INDEX('Monthly VOL'!$N$2:$CG$65,MATCH($D39,'Monthly VOL'!$D$2:$D$65,0),MATCH(BF$1,'Monthly VOL'!$N$1:$CG$1,0))/INDEX('Monthly CUST'!$N$2:$CG$65,MATCH($D39,'Monthly CUST'!$D$2:$D$65,0),MATCH(BF$1,'Monthly CUST'!$N$1:$CG$1,0)),0)</f>
        <v>16.00556053811659</v>
      </c>
      <c r="BG39" s="56">
        <f>IFERROR(INDEX('Monthly VOL'!$N$2:$CG$65,MATCH($D39,'Monthly VOL'!$D$2:$D$65,0),MATCH(BG$1,'Monthly VOL'!$N$1:$CG$1,0))/INDEX('Monthly CUST'!$N$2:$CG$65,MATCH($D39,'Monthly CUST'!$D$2:$D$65,0),MATCH(BG$1,'Monthly CUST'!$N$1:$CG$1,0)),0)</f>
        <v>21.648198198198198</v>
      </c>
      <c r="BH39" s="56">
        <f>IFERROR(INDEX('Monthly VOL'!$N$2:$CG$65,MATCH($D39,'Monthly VOL'!$D$2:$D$65,0),MATCH(BH$1,'Monthly VOL'!$N$1:$CG$1,0))/INDEX('Monthly CUST'!$N$2:$CG$65,MATCH($D39,'Monthly CUST'!$D$2:$D$65,0),MATCH(BH$1,'Monthly CUST'!$N$1:$CG$1,0)),0)</f>
        <v>18.106946902654869</v>
      </c>
      <c r="BI39" s="56">
        <f>IFERROR(INDEX('Monthly VOL'!$N$2:$CG$65,MATCH($D39,'Monthly VOL'!$D$2:$D$65,0),MATCH(BI$1,'Monthly VOL'!$N$1:$CG$1,0))/INDEX('Monthly CUST'!$N$2:$CG$65,MATCH($D39,'Monthly CUST'!$D$2:$D$65,0),MATCH(BI$1,'Monthly CUST'!$N$1:$CG$1,0)),0)</f>
        <v>28.318475336322873</v>
      </c>
      <c r="BJ39" s="56">
        <f>IFERROR(INDEX('Monthly VOL'!$N$2:$CG$65,MATCH($D39,'Monthly VOL'!$D$2:$D$65,0),MATCH(BJ$1,'Monthly VOL'!$N$1:$CG$1,0))/INDEX('Monthly CUST'!$N$2:$CG$65,MATCH($D39,'Monthly CUST'!$D$2:$D$65,0),MATCH(BJ$1,'Monthly CUST'!$N$1:$CG$1,0)),0)</f>
        <v>29.175875311174092</v>
      </c>
      <c r="BK39" s="56">
        <f>IFERROR(INDEX('Monthly VOL'!$N$2:$CG$65,MATCH($D39,'Monthly VOL'!$D$2:$D$65,0),MATCH(BK$1,'Monthly VOL'!$N$1:$CG$1,0))/INDEX('Monthly CUST'!$N$2:$CG$65,MATCH($D39,'Monthly CUST'!$D$2:$D$65,0),MATCH(BK$1,'Monthly CUST'!$N$1:$CG$1,0)),0)</f>
        <v>26.382050963743538</v>
      </c>
      <c r="BL39" s="56">
        <f>IFERROR(INDEX('Monthly VOL'!$N$2:$CG$65,MATCH($D39,'Monthly VOL'!$D$2:$D$65,0),MATCH(BL$1,'Monthly VOL'!$N$1:$CG$1,0))/INDEX('Monthly CUST'!$N$2:$CG$65,MATCH($D39,'Monthly CUST'!$D$2:$D$65,0),MATCH(BL$1,'Monthly CUST'!$N$1:$CG$1,0)),0)</f>
        <v>21.739947864349389</v>
      </c>
      <c r="BM39" s="56">
        <f>IFERROR(INDEX('Monthly VOL'!$N$2:$CG$65,MATCH($D39,'Monthly VOL'!$D$2:$D$65,0),MATCH(BM$1,'Monthly VOL'!$N$1:$CG$1,0))/INDEX('Monthly CUST'!$N$2:$CG$65,MATCH($D39,'Monthly CUST'!$D$2:$D$65,0),MATCH(BM$1,'Monthly CUST'!$N$1:$CG$1,0)),0)</f>
        <v>21.946998408893702</v>
      </c>
      <c r="BN39" s="56">
        <f>IFERROR(INDEX('Monthly VOL'!$N$2:$CG$65,MATCH($D39,'Monthly VOL'!$D$2:$D$65,0),MATCH(BN$1,'Monthly VOL'!$N$1:$CG$1,0))/INDEX('Monthly CUST'!$N$2:$CG$65,MATCH($D39,'Monthly CUST'!$D$2:$D$65,0),MATCH(BN$1,'Monthly CUST'!$N$1:$CG$1,0)),0)</f>
        <v>15.861381660873857</v>
      </c>
      <c r="BO39" s="56">
        <f>IFERROR(INDEX('Monthly VOL'!$N$2:$CG$65,MATCH($D39,'Monthly VOL'!$D$2:$D$65,0),MATCH(BO$1,'Monthly VOL'!$N$1:$CG$1,0))/INDEX('Monthly CUST'!$N$2:$CG$65,MATCH($D39,'Monthly CUST'!$D$2:$D$65,0),MATCH(BO$1,'Monthly CUST'!$N$1:$CG$1,0)),0)</f>
        <v>15.478533691636304</v>
      </c>
      <c r="BP39" s="56">
        <f>IFERROR(INDEX('Monthly VOL'!$N$2:$CG$65,MATCH($D39,'Monthly VOL'!$D$2:$D$65,0),MATCH(BP$1,'Monthly VOL'!$N$1:$CG$1,0))/INDEX('Monthly CUST'!$N$2:$CG$65,MATCH($D39,'Monthly CUST'!$D$2:$D$65,0),MATCH(BP$1,'Monthly CUST'!$N$1:$CG$1,0)),0)</f>
        <v>15.56092445084624</v>
      </c>
      <c r="BQ39" s="56">
        <f>IFERROR(INDEX('Monthly VOL'!$N$2:$CG$65,MATCH($D39,'Monthly VOL'!$D$2:$D$65,0),MATCH(BQ$1,'Monthly VOL'!$N$1:$CG$1,0))/INDEX('Monthly CUST'!$N$2:$CG$65,MATCH($D39,'Monthly CUST'!$D$2:$D$65,0),MATCH(BQ$1,'Monthly CUST'!$N$1:$CG$1,0)),0)</f>
        <v>14.65979002616308</v>
      </c>
      <c r="BR39" s="56">
        <f>IFERROR(INDEX('Monthly VOL'!$N$2:$CG$65,MATCH($D39,'Monthly VOL'!$D$2:$D$65,0),MATCH(BR$1,'Monthly VOL'!$N$1:$CG$1,0))/INDEX('Monthly CUST'!$N$2:$CG$65,MATCH($D39,'Monthly CUST'!$D$2:$D$65,0),MATCH(BR$1,'Monthly CUST'!$N$1:$CG$1,0)),0)</f>
        <v>14.691456179927691</v>
      </c>
      <c r="BS39" s="56">
        <f>IFERROR(INDEX('Monthly VOL'!$N$2:$CG$65,MATCH($D39,'Monthly VOL'!$D$2:$D$65,0),MATCH(BS$1,'Monthly VOL'!$N$1:$CG$1,0))/INDEX('Monthly CUST'!$N$2:$CG$65,MATCH($D39,'Monthly CUST'!$D$2:$D$65,0),MATCH(BS$1,'Monthly CUST'!$N$1:$CG$1,0)),0)</f>
        <v>19.870816423193091</v>
      </c>
      <c r="BT39" s="56">
        <f>IFERROR(INDEX('Monthly VOL'!$N$2:$CG$65,MATCH($D39,'Monthly VOL'!$D$2:$D$65,0),MATCH(BT$1,'Monthly VOL'!$N$1:$CG$1,0))/INDEX('Monthly CUST'!$N$2:$CG$65,MATCH($D39,'Monthly CUST'!$D$2:$D$65,0),MATCH(BT$1,'Monthly CUST'!$N$1:$CG$1,0)),0)</f>
        <v>16.620312443236323</v>
      </c>
      <c r="BU39" s="56">
        <f>IFERROR(INDEX('Monthly VOL'!$N$2:$CG$65,MATCH($D39,'Monthly VOL'!$D$2:$D$65,0),MATCH(BU$1,'Monthly VOL'!$N$1:$CG$1,0))/INDEX('Monthly CUST'!$N$2:$CG$65,MATCH($D39,'Monthly CUST'!$D$2:$D$65,0),MATCH(BU$1,'Monthly CUST'!$N$1:$CG$1,0)),0)</f>
        <v>25.993443871907459</v>
      </c>
      <c r="BV39" s="56">
        <f>IFERROR(INDEX('Monthly VOL'!$N$2:$CG$65,MATCH($D39,'Monthly VOL'!$D$2:$D$65,0),MATCH(BV$1,'Monthly VOL'!$N$1:$CG$1,0))/INDEX('Monthly CUST'!$N$2:$CG$65,MATCH($D39,'Monthly CUST'!$D$2:$D$65,0),MATCH(BV$1,'Monthly CUST'!$N$1:$CG$1,0)),0)</f>
        <v>26.780448746194732</v>
      </c>
      <c r="BW39" s="56">
        <f>IFERROR(INDEX('Monthly VOL'!$N$2:$CG$65,MATCH($D39,'Monthly VOL'!$D$2:$D$65,0),MATCH(BW$1,'Monthly VOL'!$N$1:$CG$1,0))/INDEX('Monthly CUST'!$N$2:$CG$65,MATCH($D39,'Monthly CUST'!$D$2:$D$65,0),MATCH(BW$1,'Monthly CUST'!$N$1:$CG$1,0)),0)</f>
        <v>24.216005727973453</v>
      </c>
      <c r="BX39" s="56">
        <f>IFERROR(INDEX('Monthly VOL'!$N$2:$CG$65,MATCH($D39,'Monthly VOL'!$D$2:$D$65,0),MATCH(BX$1,'Monthly VOL'!$N$1:$CG$1,0))/INDEX('Monthly CUST'!$N$2:$CG$65,MATCH($D39,'Monthly CUST'!$D$2:$D$65,0),MATCH(BX$1,'Monthly CUST'!$N$1:$CG$1,0)),0)</f>
        <v>19.955033167528484</v>
      </c>
      <c r="BY39" s="56">
        <f>IFERROR(INDEX('Monthly VOL'!$N$2:$CG$65,MATCH($D39,'Monthly VOL'!$D$2:$D$65,0),MATCH(BY$1,'Monthly VOL'!$N$1:$CG$1,0))/INDEX('Monthly CUST'!$N$2:$CG$65,MATCH($D39,'Monthly CUST'!$D$2:$D$65,0),MATCH(BY$1,'Monthly CUST'!$N$1:$CG$1,0)),0)</f>
        <v>20.145084243525407</v>
      </c>
      <c r="BZ39" s="56">
        <f>IFERROR(INDEX('Monthly VOL'!$N$2:$CG$65,MATCH($D39,'Monthly VOL'!$D$2:$D$65,0),MATCH(BZ$1,'Monthly VOL'!$N$1:$CG$1,0))/INDEX('Monthly CUST'!$N$2:$CG$65,MATCH($D39,'Monthly CUST'!$D$2:$D$65,0),MATCH(BZ$1,'Monthly CUST'!$N$1:$CG$1,0)),0)</f>
        <v>14.559114819433727</v>
      </c>
      <c r="CA39" s="56">
        <f>IFERROR(INDEX('Monthly VOL'!$N$2:$CG$65,MATCH($D39,'Monthly VOL'!$D$2:$D$65,0),MATCH(CA$1,'Monthly VOL'!$N$1:$CG$1,0))/INDEX('Monthly CUST'!$N$2:$CG$65,MATCH($D39,'Monthly CUST'!$D$2:$D$65,0),MATCH(CA$1,'Monthly CUST'!$N$1:$CG$1,0)),0)</f>
        <v>14.207699812740708</v>
      </c>
      <c r="CB39" s="56">
        <f>IFERROR(INDEX('Monthly VOL'!$N$2:$CG$65,MATCH($D39,'Monthly VOL'!$D$2:$D$65,0),MATCH(CB$1,'Monthly VOL'!$N$1:$CG$1,0))/INDEX('Monthly CUST'!$N$2:$CG$65,MATCH($D39,'Monthly CUST'!$D$2:$D$65,0),MATCH(CB$1,'Monthly CUST'!$N$1:$CG$1,0)),0)</f>
        <v>14.283326044366969</v>
      </c>
      <c r="CC39" s="56">
        <f>IFERROR(INDEX('Monthly VOL'!$N$2:$CG$65,MATCH($D39,'Monthly VOL'!$D$2:$D$65,0),MATCH(CC$1,'Monthly VOL'!$N$1:$CG$1,0))/INDEX('Monthly CUST'!$N$2:$CG$65,MATCH($D39,'Monthly CUST'!$D$2:$D$65,0),MATCH(CC$1,'Monthly CUST'!$N$1:$CG$1,0)),0)</f>
        <v>13.456177449294094</v>
      </c>
      <c r="CD39" s="56">
        <f>IFERROR(INDEX('Monthly VOL'!$N$2:$CG$65,MATCH($D39,'Monthly VOL'!$D$2:$D$65,0),MATCH(CD$1,'Monthly VOL'!$N$1:$CG$1,0))/INDEX('Monthly CUST'!$N$2:$CG$65,MATCH($D39,'Monthly CUST'!$D$2:$D$65,0),MATCH(CD$1,'Monthly CUST'!$N$1:$CG$1,0)),0)</f>
        <v>13.485243717189663</v>
      </c>
      <c r="CE39" s="56">
        <f>IFERROR(INDEX('Monthly VOL'!$N$2:$CG$65,MATCH($D39,'Monthly VOL'!$D$2:$D$65,0),MATCH(CE$1,'Monthly VOL'!$N$1:$CG$1,0))/INDEX('Monthly CUST'!$N$2:$CG$65,MATCH($D39,'Monthly CUST'!$D$2:$D$65,0),MATCH(CE$1,'Monthly CUST'!$N$1:$CG$1,0)),0)</f>
        <v>18.239363004220092</v>
      </c>
      <c r="CF39" s="56">
        <f>IFERROR(INDEX('Monthly VOL'!$N$2:$CG$65,MATCH($D39,'Monthly VOL'!$D$2:$D$65,0),MATCH(CF$1,'Monthly VOL'!$N$1:$CG$1,0))/INDEX('Monthly CUST'!$N$2:$CG$65,MATCH($D39,'Monthly CUST'!$D$2:$D$65,0),MATCH(CF$1,'Monthly CUST'!$N$1:$CG$1,0)),0)</f>
        <v>15.255735116243931</v>
      </c>
      <c r="CG39" s="56">
        <f>IFERROR(INDEX('Monthly VOL'!$N$2:$CG$65,MATCH($D39,'Monthly VOL'!$D$2:$D$65,0),MATCH(CG$1,'Monthly VOL'!$N$1:$CG$1,0))/INDEX('Monthly CUST'!$N$2:$CG$65,MATCH($D39,'Monthly CUST'!$D$2:$D$65,0),MATCH(CG$1,'Monthly CUST'!$N$1:$CG$1,0)),0)</f>
        <v>23.859304439860328</v>
      </c>
      <c r="CH39" s="264"/>
      <c r="CI39" s="264"/>
      <c r="CJ39" s="264"/>
      <c r="CM39" s="569">
        <f t="shared" si="24"/>
        <v>26.611028985507261</v>
      </c>
      <c r="CN39" s="569">
        <f t="shared" si="25"/>
        <v>24.115121662852786</v>
      </c>
      <c r="CO39" s="569">
        <f t="shared" si="26"/>
        <v>22.257252031594135</v>
      </c>
      <c r="CP39" s="569">
        <f t="shared" si="27"/>
        <v>19.64147734805854</v>
      </c>
      <c r="CQ39" s="569">
        <f t="shared" si="28"/>
        <v>21.43064538748224</v>
      </c>
      <c r="CR39" s="569">
        <f t="shared" si="29"/>
        <v>15.349225038299929</v>
      </c>
      <c r="CS39" s="569">
        <f t="shared" si="30"/>
        <v>15.95226435786436</v>
      </c>
      <c r="CT39" s="569">
        <f t="shared" si="31"/>
        <v>15.333055640321433</v>
      </c>
      <c r="CU39" s="569">
        <f t="shared" si="32"/>
        <v>15.077981459461768</v>
      </c>
      <c r="CV39" s="569">
        <f t="shared" si="33"/>
        <v>16.652528948162136</v>
      </c>
      <c r="CW39" s="569">
        <f t="shared" si="34"/>
        <v>18.148939471712172</v>
      </c>
      <c r="CX39" s="569">
        <f t="shared" si="35"/>
        <v>26.714001907085471</v>
      </c>
      <c r="CY39" s="569">
        <f t="shared" si="36"/>
        <v>26.611028985507261</v>
      </c>
      <c r="CZ39" s="569">
        <f t="shared" si="37"/>
        <v>24.115121662852786</v>
      </c>
      <c r="DA39" s="569">
        <f t="shared" si="38"/>
        <v>22.257252031594135</v>
      </c>
      <c r="DB39" s="569">
        <f t="shared" si="39"/>
        <v>19.64147734805854</v>
      </c>
      <c r="DC39" s="569">
        <f t="shared" si="40"/>
        <v>21.43064538748224</v>
      </c>
      <c r="DD39" s="569">
        <f t="shared" si="41"/>
        <v>15.349225038299929</v>
      </c>
      <c r="DE39" s="569">
        <f t="shared" si="42"/>
        <v>15.95226435786436</v>
      </c>
      <c r="DF39" s="569">
        <f t="shared" si="43"/>
        <v>15.333055640321433</v>
      </c>
      <c r="DG39" s="569">
        <f t="shared" si="44"/>
        <v>15.077981459461768</v>
      </c>
      <c r="DH39" s="569">
        <f t="shared" si="45"/>
        <v>16.652528948162136</v>
      </c>
      <c r="DI39" s="569">
        <f t="shared" si="46"/>
        <v>18.148939471712172</v>
      </c>
      <c r="DJ39" s="569">
        <f t="shared" si="47"/>
        <v>26.714001907085471</v>
      </c>
    </row>
    <row r="40" spans="1:114" s="261" customFormat="1">
      <c r="A40" s="55" t="s">
        <v>17</v>
      </c>
      <c r="B40" s="55" t="s">
        <v>993</v>
      </c>
      <c r="C40" s="55" t="s">
        <v>1245</v>
      </c>
      <c r="D40" s="55" t="s">
        <v>1305</v>
      </c>
      <c r="E40" s="55" t="str">
        <f>VLOOKUP(D40,'Input 14_Ref Table'!C:D,2,FALSE)</f>
        <v>CC812</v>
      </c>
      <c r="F40" s="172" t="s">
        <v>1287</v>
      </c>
      <c r="G40" s="55" t="str">
        <f>VLOOKUP(D40,'Input 14_Ref Table'!C:I,7,FALSE)</f>
        <v>CFG - FTS-1 - Fixed NR</v>
      </c>
      <c r="H40" s="55" t="str">
        <f>VLOOKUP(D40,'Input 14_Ref Table'!C:K,8,FALSE)</f>
        <v>FTS1</v>
      </c>
      <c r="I40" s="55" t="e">
        <f>INDEX(#REF!,MATCH(D40,#REF!,0))</f>
        <v>#REF!</v>
      </c>
      <c r="J40" s="261" t="str">
        <f>INDEX('Master '!$AD$2:AD$65,MATCH(D40,'Master '!$D$2:$D$65,0))</f>
        <v>UPC Growth Rate</v>
      </c>
      <c r="K40" s="567">
        <f>INDEX('Master '!$N$2:N$65,MATCH(D40,'Master '!$D$2:$D$65,0))</f>
        <v>-4.9605598787378136E-2</v>
      </c>
      <c r="L40" s="290">
        <f>INDEX('Master '!$S$2:S$65,MATCH(D40,'Master '!$D$2:$D$65,0))</f>
        <v>-8.2102988836874169E-2</v>
      </c>
      <c r="M40" s="1">
        <f>INDEX('Master '!$W$2:W$65,MATCH(D40,'Master '!$D$2:$D$65,0))</f>
        <v>254.90000000000003</v>
      </c>
      <c r="N40" s="56">
        <f>IFERROR(INDEX('Monthly VOL'!$N$2:$CG$65,MATCH($D40,'Monthly VOL'!$D$2:$D$65,0),MATCH(N$1,'Monthly VOL'!$N$1:$CG$1,0))/INDEX('Monthly CUST'!$N$2:$CG$65,MATCH($D40,'Monthly CUST'!$D$2:$D$65,0),MATCH(N$1,'Monthly CUST'!$N$1:$CG$1,0)),0)</f>
        <v>17.702727272727273</v>
      </c>
      <c r="O40" s="56">
        <f>IFERROR(INDEX('Monthly VOL'!$N$2:$CG$65,MATCH($D40,'Monthly VOL'!$D$2:$D$65,0),MATCH(O$1,'Monthly VOL'!$N$1:$CG$1,0))/INDEX('Monthly CUST'!$N$2:$CG$65,MATCH($D40,'Monthly CUST'!$D$2:$D$65,0),MATCH(O$1,'Monthly CUST'!$N$1:$CG$1,0)),0)</f>
        <v>7.2427272727272731</v>
      </c>
      <c r="P40" s="56">
        <f>IFERROR(INDEX('Monthly VOL'!$N$2:$CG$65,MATCH($D40,'Monthly VOL'!$D$2:$D$65,0),MATCH(P$1,'Monthly VOL'!$N$1:$CG$1,0))/INDEX('Monthly CUST'!$N$2:$CG$65,MATCH($D40,'Monthly CUST'!$D$2:$D$65,0),MATCH(P$1,'Monthly CUST'!$N$1:$CG$1,0)),0)</f>
        <v>7.5036363636363639</v>
      </c>
      <c r="Q40" s="56">
        <f>IFERROR(INDEX('Monthly VOL'!$N$2:$CG$65,MATCH($D40,'Monthly VOL'!$D$2:$D$65,0),MATCH(Q$1,'Monthly VOL'!$N$1:$CG$1,0))/INDEX('Monthly CUST'!$N$2:$CG$65,MATCH($D40,'Monthly CUST'!$D$2:$D$65,0),MATCH(Q$1,'Monthly CUST'!$N$1:$CG$1,0)),0)</f>
        <v>7.5159090909090907</v>
      </c>
      <c r="R40" s="56">
        <f>IFERROR(INDEX('Monthly VOL'!$N$2:$CG$65,MATCH($D40,'Monthly VOL'!$D$2:$D$65,0),MATCH(R$1,'Monthly VOL'!$N$1:$CG$1,0))/INDEX('Monthly CUST'!$N$2:$CG$65,MATCH($D40,'Monthly CUST'!$D$2:$D$65,0),MATCH(R$1,'Monthly CUST'!$N$1:$CG$1,0)),0)</f>
        <v>29.182173913043481</v>
      </c>
      <c r="S40" s="56">
        <f>IFERROR(INDEX('Monthly VOL'!$N$2:$CG$65,MATCH($D40,'Monthly VOL'!$D$2:$D$65,0),MATCH(S$1,'Monthly VOL'!$N$1:$CG$1,0))/INDEX('Monthly CUST'!$N$2:$CG$65,MATCH($D40,'Monthly CUST'!$D$2:$D$65,0),MATCH(S$1,'Monthly CUST'!$N$1:$CG$1,0)),0)</f>
        <v>15.109583333333333</v>
      </c>
      <c r="T40" s="56">
        <f>IFERROR(INDEX('Monthly VOL'!$N$2:$CG$65,MATCH($D40,'Monthly VOL'!$D$2:$D$65,0),MATCH(T$1,'Monthly VOL'!$N$1:$CG$1,0))/INDEX('Monthly CUST'!$N$2:$CG$65,MATCH($D40,'Monthly CUST'!$D$2:$D$65,0),MATCH(T$1,'Monthly CUST'!$N$1:$CG$1,0)),0)</f>
        <v>15.222222222222221</v>
      </c>
      <c r="U40" s="56">
        <f>IFERROR(INDEX('Monthly VOL'!$N$2:$CG$65,MATCH($D40,'Monthly VOL'!$D$2:$D$65,0),MATCH(U$1,'Monthly VOL'!$N$1:$CG$1,0))/INDEX('Monthly CUST'!$N$2:$CG$65,MATCH($D40,'Monthly CUST'!$D$2:$D$65,0),MATCH(U$1,'Monthly CUST'!$N$1:$CG$1,0)),0)</f>
        <v>15.980740740740741</v>
      </c>
      <c r="V40" s="56">
        <f>IFERROR(INDEX('Monthly VOL'!$N$2:$CG$65,MATCH($D40,'Monthly VOL'!$D$2:$D$65,0),MATCH(V$1,'Monthly VOL'!$N$1:$CG$1,0))/INDEX('Monthly CUST'!$N$2:$CG$65,MATCH($D40,'Monthly CUST'!$D$2:$D$65,0),MATCH(V$1,'Monthly CUST'!$N$1:$CG$1,0)),0)</f>
        <v>16.464285714285715</v>
      </c>
      <c r="W40" s="56">
        <f>IFERROR(INDEX('Monthly VOL'!$N$2:$CG$65,MATCH($D40,'Monthly VOL'!$D$2:$D$65,0),MATCH(W$1,'Monthly VOL'!$N$1:$CG$1,0))/INDEX('Monthly CUST'!$N$2:$CG$65,MATCH($D40,'Monthly CUST'!$D$2:$D$65,0),MATCH(W$1,'Monthly CUST'!$N$1:$CG$1,0)),0)</f>
        <v>13.067187499999999</v>
      </c>
      <c r="X40" s="56">
        <f>IFERROR(INDEX('Monthly VOL'!$N$2:$CG$65,MATCH($D40,'Monthly VOL'!$D$2:$D$65,0),MATCH(X$1,'Monthly VOL'!$N$1:$CG$1,0))/INDEX('Monthly CUST'!$N$2:$CG$65,MATCH($D40,'Monthly CUST'!$D$2:$D$65,0),MATCH(X$1,'Monthly CUST'!$N$1:$CG$1,0)),0)</f>
        <v>14.917187500000001</v>
      </c>
      <c r="Y40" s="56">
        <f>IFERROR(INDEX('Monthly VOL'!$N$2:$CG$65,MATCH($D40,'Monthly VOL'!$D$2:$D$65,0),MATCH(Y$1,'Monthly VOL'!$N$1:$CG$1,0))/INDEX('Monthly CUST'!$N$2:$CG$65,MATCH($D40,'Monthly CUST'!$D$2:$D$65,0),MATCH(Y$1,'Monthly CUST'!$N$1:$CG$1,0)),0)</f>
        <v>18.387272727272727</v>
      </c>
      <c r="Z40" s="56">
        <f>IFERROR(INDEX('Monthly VOL'!$N$2:$CG$65,MATCH($D40,'Monthly VOL'!$D$2:$D$65,0),MATCH(Z$1,'Monthly VOL'!$N$1:$CG$1,0))/INDEX('Monthly CUST'!$N$2:$CG$65,MATCH($D40,'Monthly CUST'!$D$2:$D$65,0),MATCH(Z$1,'Monthly CUST'!$N$1:$CG$1,0)),0)</f>
        <v>17.25</v>
      </c>
      <c r="AA40" s="56">
        <f>IFERROR(INDEX('Monthly VOL'!$N$2:$CG$65,MATCH($D40,'Monthly VOL'!$D$2:$D$65,0),MATCH(AA$1,'Monthly VOL'!$N$1:$CG$1,0))/INDEX('Monthly CUST'!$N$2:$CG$65,MATCH($D40,'Monthly CUST'!$D$2:$D$65,0),MATCH(AA$1,'Monthly CUST'!$N$1:$CG$1,0)),0)</f>
        <v>129.8465625</v>
      </c>
      <c r="AB40" s="56">
        <f>IFERROR(INDEX('Monthly VOL'!$N$2:$CG$65,MATCH($D40,'Monthly VOL'!$D$2:$D$65,0),MATCH(AB$1,'Monthly VOL'!$N$1:$CG$1,0))/INDEX('Monthly CUST'!$N$2:$CG$65,MATCH($D40,'Monthly CUST'!$D$2:$D$65,0),MATCH(AB$1,'Monthly CUST'!$N$1:$CG$1,0)),0)</f>
        <v>-93.104062499999998</v>
      </c>
      <c r="AC40" s="56">
        <f>IFERROR(INDEX('Monthly VOL'!$N$2:$CG$65,MATCH($D40,'Monthly VOL'!$D$2:$D$65,0),MATCH(AC$1,'Monthly VOL'!$N$1:$CG$1,0))/INDEX('Monthly CUST'!$N$2:$CG$65,MATCH($D40,'Monthly CUST'!$D$2:$D$65,0),MATCH(AC$1,'Monthly CUST'!$N$1:$CG$1,0)),0)</f>
        <v>17.675000000000001</v>
      </c>
      <c r="AD40" s="56">
        <f>IFERROR(INDEX('Monthly VOL'!$N$2:$CG$65,MATCH($D40,'Monthly VOL'!$D$2:$D$65,0),MATCH(AD$1,'Monthly VOL'!$N$1:$CG$1,0))/INDEX('Monthly CUST'!$N$2:$CG$65,MATCH($D40,'Monthly CUST'!$D$2:$D$65,0),MATCH(AD$1,'Monthly CUST'!$N$1:$CG$1,0)),0)</f>
        <v>15.76375</v>
      </c>
      <c r="AE40" s="56">
        <f>IFERROR(INDEX('Monthly VOL'!$N$2:$CG$65,MATCH($D40,'Monthly VOL'!$D$2:$D$65,0),MATCH(AE$1,'Monthly VOL'!$N$1:$CG$1,0))/INDEX('Monthly CUST'!$N$2:$CG$65,MATCH($D40,'Monthly CUST'!$D$2:$D$65,0),MATCH(AE$1,'Monthly CUST'!$N$1:$CG$1,0)),0)</f>
        <v>13.6328125</v>
      </c>
      <c r="AF40" s="56">
        <f>IFERROR(INDEX('Monthly VOL'!$N$2:$CG$65,MATCH($D40,'Monthly VOL'!$D$2:$D$65,0),MATCH(AF$1,'Monthly VOL'!$N$1:$CG$1,0))/INDEX('Monthly CUST'!$N$2:$CG$65,MATCH($D40,'Monthly CUST'!$D$2:$D$65,0),MATCH(AF$1,'Monthly CUST'!$N$1:$CG$1,0)),0)</f>
        <v>11.44375</v>
      </c>
      <c r="AG40" s="56">
        <f>IFERROR(INDEX('Monthly VOL'!$N$2:$CG$65,MATCH($D40,'Monthly VOL'!$D$2:$D$65,0),MATCH(AG$1,'Monthly VOL'!$N$1:$CG$1,0))/INDEX('Monthly CUST'!$N$2:$CG$65,MATCH($D40,'Monthly CUST'!$D$2:$D$65,0),MATCH(AG$1,'Monthly CUST'!$N$1:$CG$1,0)),0)</f>
        <v>12.862500000000001</v>
      </c>
      <c r="AH40" s="56">
        <f>IFERROR(INDEX('Monthly VOL'!$N$2:$CG$65,MATCH($D40,'Monthly VOL'!$D$2:$D$65,0),MATCH(AH$1,'Monthly VOL'!$N$1:$CG$1,0))/INDEX('Monthly CUST'!$N$2:$CG$65,MATCH($D40,'Monthly CUST'!$D$2:$D$65,0),MATCH(AH$1,'Monthly CUST'!$N$1:$CG$1,0)),0)</f>
        <v>12.536250000000001</v>
      </c>
      <c r="AI40" s="56">
        <f>IFERROR(INDEX('Monthly VOL'!$N$2:$CG$65,MATCH($D40,'Monthly VOL'!$D$2:$D$65,0),MATCH(AI$1,'Monthly VOL'!$N$1:$CG$1,0))/INDEX('Monthly CUST'!$N$2:$CG$65,MATCH($D40,'Monthly CUST'!$D$2:$D$65,0),MATCH(AI$1,'Monthly CUST'!$N$1:$CG$1,0)),0)</f>
        <v>12.918181818181818</v>
      </c>
      <c r="AJ40" s="56">
        <f>IFERROR(INDEX('Monthly VOL'!$N$2:$CG$65,MATCH($D40,'Monthly VOL'!$D$2:$D$65,0),MATCH(AJ$1,'Monthly VOL'!$N$1:$CG$1,0))/INDEX('Monthly CUST'!$N$2:$CG$65,MATCH($D40,'Monthly CUST'!$D$2:$D$65,0),MATCH(AJ$1,'Monthly CUST'!$N$1:$CG$1,0)),0)</f>
        <v>16.818181818181817</v>
      </c>
      <c r="AK40" s="56">
        <f>IFERROR(INDEX('Monthly VOL'!$N$2:$CG$65,MATCH($D40,'Monthly VOL'!$D$2:$D$65,0),MATCH(AK$1,'Monthly VOL'!$N$1:$CG$1,0))/INDEX('Monthly CUST'!$N$2:$CG$65,MATCH($D40,'Monthly CUST'!$D$2:$D$65,0),MATCH(AK$1,'Monthly CUST'!$N$1:$CG$1,0)),0)</f>
        <v>17.328529411764706</v>
      </c>
      <c r="AL40" s="56">
        <f>IFERROR(INDEX('Monthly VOL'!$N$2:$CG$65,MATCH($D40,'Monthly VOL'!$D$2:$D$65,0),MATCH(AL$1,'Monthly VOL'!$N$1:$CG$1,0))/INDEX('Monthly CUST'!$N$2:$CG$65,MATCH($D40,'Monthly CUST'!$D$2:$D$65,0),MATCH(AL$1,'Monthly CUST'!$N$1:$CG$1,0)),0)</f>
        <v>14.698378378378379</v>
      </c>
      <c r="AM40" s="56">
        <f>IFERROR(INDEX('Monthly VOL'!$N$2:$CG$65,MATCH($D40,'Monthly VOL'!$D$2:$D$65,0),MATCH(AM$1,'Monthly VOL'!$N$1:$CG$1,0))/INDEX('Monthly CUST'!$N$2:$CG$65,MATCH($D40,'Monthly CUST'!$D$2:$D$65,0),MATCH(AM$1,'Monthly CUST'!$N$1:$CG$1,0)),0)</f>
        <v>13.718333333333334</v>
      </c>
      <c r="AN40" s="56">
        <f>IFERROR(INDEX('Monthly VOL'!$N$2:$CG$65,MATCH($D40,'Monthly VOL'!$D$2:$D$65,0),MATCH(AN$1,'Monthly VOL'!$N$1:$CG$1,0))/INDEX('Monthly CUST'!$N$2:$CG$65,MATCH($D40,'Monthly CUST'!$D$2:$D$65,0),MATCH(AN$1,'Monthly CUST'!$N$1:$CG$1,0)),0)</f>
        <v>12.481351351351352</v>
      </c>
      <c r="AO40" s="56">
        <f>IFERROR(INDEX('Monthly VOL'!$N$2:$CG$65,MATCH($D40,'Monthly VOL'!$D$2:$D$65,0),MATCH(AO$1,'Monthly VOL'!$N$1:$CG$1,0))/INDEX('Monthly CUST'!$N$2:$CG$65,MATCH($D40,'Monthly CUST'!$D$2:$D$65,0),MATCH(AO$1,'Monthly CUST'!$N$1:$CG$1,0)),0)</f>
        <v>8.4968421052631573</v>
      </c>
      <c r="AP40" s="56">
        <f>IFERROR(INDEX('Monthly VOL'!$N$2:$CG$65,MATCH($D40,'Monthly VOL'!$D$2:$D$65,0),MATCH(AP$1,'Monthly VOL'!$N$1:$CG$1,0))/INDEX('Monthly CUST'!$N$2:$CG$65,MATCH($D40,'Monthly CUST'!$D$2:$D$65,0),MATCH(AP$1,'Monthly CUST'!$N$1:$CG$1,0)),0)</f>
        <v>8.4763157894736842</v>
      </c>
      <c r="AQ40" s="56">
        <f>IFERROR(INDEX('Monthly VOL'!$N$2:$CG$65,MATCH($D40,'Monthly VOL'!$D$2:$D$65,0),MATCH(AQ$1,'Monthly VOL'!$N$1:$CG$1,0))/INDEX('Monthly CUST'!$N$2:$CG$65,MATCH($D40,'Monthly CUST'!$D$2:$D$65,0),MATCH(AQ$1,'Monthly CUST'!$N$1:$CG$1,0)),0)</f>
        <v>12.823500000000001</v>
      </c>
      <c r="AR40" s="56">
        <f>IFERROR(INDEX('Monthly VOL'!$N$2:$CG$65,MATCH($D40,'Monthly VOL'!$D$2:$D$65,0),MATCH(AR$1,'Monthly VOL'!$N$1:$CG$1,0))/INDEX('Monthly CUST'!$N$2:$CG$65,MATCH($D40,'Monthly CUST'!$D$2:$D$65,0),MATCH(AR$1,'Monthly CUST'!$N$1:$CG$1,0)),0)</f>
        <v>13.232682926829268</v>
      </c>
      <c r="AS40" s="56">
        <f>IFERROR(INDEX('Monthly VOL'!$N$2:$CG$65,MATCH($D40,'Monthly VOL'!$D$2:$D$65,0),MATCH(AS$1,'Monthly VOL'!$N$1:$CG$1,0))/INDEX('Monthly CUST'!$N$2:$CG$65,MATCH($D40,'Monthly CUST'!$D$2:$D$65,0),MATCH(AS$1,'Monthly CUST'!$N$1:$CG$1,0)),0)</f>
        <v>14.865</v>
      </c>
      <c r="AT40" s="56">
        <f>IFERROR(INDEX('Monthly VOL'!$N$2:$CG$65,MATCH($D40,'Monthly VOL'!$D$2:$D$65,0),MATCH(AT$1,'Monthly VOL'!$N$1:$CG$1,0))/INDEX('Monthly CUST'!$N$2:$CG$65,MATCH($D40,'Monthly CUST'!$D$2:$D$65,0),MATCH(AT$1,'Monthly CUST'!$N$1:$CG$1,0)),0)</f>
        <v>13.365581395348839</v>
      </c>
      <c r="AU40" s="56">
        <f>IFERROR(INDEX('Monthly VOL'!$N$2:$CG$65,MATCH($D40,'Monthly VOL'!$D$2:$D$65,0),MATCH(AU$1,'Monthly VOL'!$N$1:$CG$1,0))/INDEX('Monthly CUST'!$N$2:$CG$65,MATCH($D40,'Monthly CUST'!$D$2:$D$65,0),MATCH(AU$1,'Monthly CUST'!$N$1:$CG$1,0)),0)</f>
        <v>11.558571428571428</v>
      </c>
      <c r="AV40" s="56">
        <f>IFERROR(INDEX('Monthly VOL'!$N$2:$CG$65,MATCH($D40,'Monthly VOL'!$D$2:$D$65,0),MATCH(AV$1,'Monthly VOL'!$N$1:$CG$1,0))/INDEX('Monthly CUST'!$N$2:$CG$65,MATCH($D40,'Monthly CUST'!$D$2:$D$65,0),MATCH(AV$1,'Monthly CUST'!$N$1:$CG$1,0)),0)</f>
        <v>13.014418604651162</v>
      </c>
      <c r="AW40" s="56">
        <f>IFERROR(INDEX('Monthly VOL'!$N$2:$CG$65,MATCH($D40,'Monthly VOL'!$D$2:$D$65,0),MATCH(AW$1,'Monthly VOL'!$N$1:$CG$1,0))/INDEX('Monthly CUST'!$N$2:$CG$65,MATCH($D40,'Monthly CUST'!$D$2:$D$65,0),MATCH(AW$1,'Monthly CUST'!$N$1:$CG$1,0)),0)</f>
        <v>17.197209302325582</v>
      </c>
      <c r="AX40" s="56">
        <f>IFERROR(INDEX('Monthly VOL'!$N$2:$CG$65,MATCH($D40,'Monthly VOL'!$D$2:$D$65,0),MATCH(AX$1,'Monthly VOL'!$N$1:$CG$1,0))/INDEX('Monthly CUST'!$N$2:$CG$65,MATCH($D40,'Monthly CUST'!$D$2:$D$65,0),MATCH(AX$1,'Monthly CUST'!$N$1:$CG$1,0)),0)</f>
        <v>15.640465116279069</v>
      </c>
      <c r="AY40" s="56">
        <f>IFERROR(INDEX('Monthly VOL'!$N$2:$CG$65,MATCH($D40,'Monthly VOL'!$D$2:$D$65,0),MATCH(AY$1,'Monthly VOL'!$N$1:$CG$1,0))/INDEX('Monthly CUST'!$N$2:$CG$65,MATCH($D40,'Monthly CUST'!$D$2:$D$65,0),MATCH(AY$1,'Monthly CUST'!$N$1:$CG$1,0)),0)</f>
        <v>13.613255813953488</v>
      </c>
      <c r="AZ40" s="56">
        <f>IFERROR(INDEX('Monthly VOL'!$N$2:$CG$65,MATCH($D40,'Monthly VOL'!$D$2:$D$65,0),MATCH(AZ$1,'Monthly VOL'!$N$1:$CG$1,0))/INDEX('Monthly CUST'!$N$2:$CG$65,MATCH($D40,'Monthly CUST'!$D$2:$D$65,0),MATCH(AZ$1,'Monthly CUST'!$N$1:$CG$1,0)),0)</f>
        <v>12.362500000000001</v>
      </c>
      <c r="BA40" s="56">
        <f>IFERROR(INDEX('Monthly VOL'!$N$2:$CG$65,MATCH($D40,'Monthly VOL'!$D$2:$D$65,0),MATCH(BA$1,'Monthly VOL'!$N$1:$CG$1,0))/INDEX('Monthly CUST'!$N$2:$CG$65,MATCH($D40,'Monthly CUST'!$D$2:$D$65,0),MATCH(BA$1,'Monthly CUST'!$N$1:$CG$1,0)),0)</f>
        <v>14.676444444444446</v>
      </c>
      <c r="BB40" s="56">
        <f>IFERROR(INDEX('Monthly VOL'!$N$2:$CG$65,MATCH($D40,'Monthly VOL'!$D$2:$D$65,0),MATCH(BB$1,'Monthly VOL'!$N$1:$CG$1,0))/INDEX('Monthly CUST'!$N$2:$CG$65,MATCH($D40,'Monthly CUST'!$D$2:$D$65,0),MATCH(BB$1,'Monthly CUST'!$N$1:$CG$1,0)),0)</f>
        <v>11.046444444444443</v>
      </c>
      <c r="BC40" s="56">
        <f>IFERROR(INDEX('Monthly VOL'!$N$2:$CG$65,MATCH($D40,'Monthly VOL'!$D$2:$D$65,0),MATCH(BC$1,'Monthly VOL'!$N$1:$CG$1,0))/INDEX('Monthly CUST'!$N$2:$CG$65,MATCH($D40,'Monthly CUST'!$D$2:$D$65,0),MATCH(BC$1,'Monthly CUST'!$N$1:$CG$1,0)),0)</f>
        <v>11.972666666666667</v>
      </c>
      <c r="BD40" s="56">
        <f>IFERROR(INDEX('Monthly VOL'!$N$2:$CG$65,MATCH($D40,'Monthly VOL'!$D$2:$D$65,0),MATCH(BD$1,'Monthly VOL'!$N$1:$CG$1,0))/INDEX('Monthly CUST'!$N$2:$CG$65,MATCH($D40,'Monthly CUST'!$D$2:$D$65,0),MATCH(BD$1,'Monthly CUST'!$N$1:$CG$1,0)),0)</f>
        <v>12.186739130434784</v>
      </c>
      <c r="BE40" s="56">
        <f>IFERROR(INDEX('Monthly VOL'!$N$2:$CG$65,MATCH($D40,'Monthly VOL'!$D$2:$D$65,0),MATCH(BE$1,'Monthly VOL'!$N$1:$CG$1,0))/INDEX('Monthly CUST'!$N$2:$CG$65,MATCH($D40,'Monthly CUST'!$D$2:$D$65,0),MATCH(BE$1,'Monthly CUST'!$N$1:$CG$1,0)),0)</f>
        <v>12.888478260869565</v>
      </c>
      <c r="BF40" s="56">
        <f>IFERROR(INDEX('Monthly VOL'!$N$2:$CG$65,MATCH($D40,'Monthly VOL'!$D$2:$D$65,0),MATCH(BF$1,'Monthly VOL'!$N$1:$CG$1,0))/INDEX('Monthly CUST'!$N$2:$CG$65,MATCH($D40,'Monthly CUST'!$D$2:$D$65,0),MATCH(BF$1,'Monthly CUST'!$N$1:$CG$1,0)),0)</f>
        <v>13.460888888888888</v>
      </c>
      <c r="BG40" s="56">
        <f>IFERROR(INDEX('Monthly VOL'!$N$2:$CG$65,MATCH($D40,'Monthly VOL'!$D$2:$D$65,0),MATCH(BG$1,'Monthly VOL'!$N$1:$CG$1,0))/INDEX('Monthly CUST'!$N$2:$CG$65,MATCH($D40,'Monthly CUST'!$D$2:$D$65,0),MATCH(BG$1,'Monthly CUST'!$N$1:$CG$1,0)),0)</f>
        <v>11.860222222222223</v>
      </c>
      <c r="BH40" s="56">
        <f>IFERROR(INDEX('Monthly VOL'!$N$2:$CG$65,MATCH($D40,'Monthly VOL'!$D$2:$D$65,0),MATCH(BH$1,'Monthly VOL'!$N$1:$CG$1,0))/INDEX('Monthly CUST'!$N$2:$CG$65,MATCH($D40,'Monthly CUST'!$D$2:$D$65,0),MATCH(BH$1,'Monthly CUST'!$N$1:$CG$1,0)),0)</f>
        <v>12.252391304347826</v>
      </c>
      <c r="BI40" s="56">
        <f>IFERROR(INDEX('Monthly VOL'!$N$2:$CG$65,MATCH($D40,'Monthly VOL'!$D$2:$D$65,0),MATCH(BI$1,'Monthly VOL'!$N$1:$CG$1,0))/INDEX('Monthly CUST'!$N$2:$CG$65,MATCH($D40,'Monthly CUST'!$D$2:$D$65,0),MATCH(BI$1,'Monthly CUST'!$N$1:$CG$1,0)),0)</f>
        <v>17.542127659574469</v>
      </c>
      <c r="BJ40" s="56">
        <f>IFERROR(INDEX('Monthly VOL'!$N$2:$CG$65,MATCH($D40,'Monthly VOL'!$D$2:$D$65,0),MATCH(BJ$1,'Monthly VOL'!$N$1:$CG$1,0))/INDEX('Monthly CUST'!$N$2:$CG$65,MATCH($D40,'Monthly CUST'!$D$2:$D$65,0),MATCH(BJ$1,'Monthly CUST'!$N$1:$CG$1,0)),0)</f>
        <v>14.356336183433688</v>
      </c>
      <c r="BK40" s="56">
        <f>IFERROR(INDEX('Monthly VOL'!$N$2:$CG$65,MATCH($D40,'Monthly VOL'!$D$2:$D$65,0),MATCH(BK$1,'Monthly VOL'!$N$1:$CG$1,0))/INDEX('Monthly CUST'!$N$2:$CG$65,MATCH($D40,'Monthly CUST'!$D$2:$D$65,0),MATCH(BK$1,'Monthly CUST'!$N$1:$CG$1,0)),0)</f>
        <v>12.495566823826953</v>
      </c>
      <c r="BL40" s="56">
        <f>IFERROR(INDEX('Monthly VOL'!$N$2:$CG$65,MATCH($D40,'Monthly VOL'!$D$2:$D$65,0),MATCH(BL$1,'Monthly VOL'!$N$1:$CG$1,0))/INDEX('Monthly CUST'!$N$2:$CG$65,MATCH($D40,'Monthly CUST'!$D$2:$D$65,0),MATCH(BL$1,'Monthly CUST'!$N$1:$CG$1,0)),0)</f>
        <v>11.347501800504144</v>
      </c>
      <c r="BM40" s="56">
        <f>IFERROR(INDEX('Monthly VOL'!$N$2:$CG$65,MATCH($D40,'Monthly VOL'!$D$2:$D$65,0),MATCH(BM$1,'Monthly VOL'!$N$1:$CG$1,0))/INDEX('Monthly CUST'!$N$2:$CG$65,MATCH($D40,'Monthly CUST'!$D$2:$D$65,0),MATCH(BM$1,'Monthly CUST'!$N$1:$CG$1,0)),0)</f>
        <v>13.471464490057219</v>
      </c>
      <c r="BN40" s="56">
        <f>IFERROR(INDEX('Monthly VOL'!$N$2:$CG$65,MATCH($D40,'Monthly VOL'!$D$2:$D$65,0),MATCH(BN$1,'Monthly VOL'!$N$1:$CG$1,0))/INDEX('Monthly CUST'!$N$2:$CG$65,MATCH($D40,'Monthly CUST'!$D$2:$D$65,0),MATCH(BN$1,'Monthly CUST'!$N$1:$CG$1,0)),0)</f>
        <v>10.13949833953507</v>
      </c>
      <c r="BO40" s="56">
        <f>IFERROR(INDEX('Monthly VOL'!$N$2:$CG$65,MATCH($D40,'Monthly VOL'!$D$2:$D$65,0),MATCH(BO$1,'Monthly VOL'!$N$1:$CG$1,0))/INDEX('Monthly CUST'!$N$2:$CG$65,MATCH($D40,'Monthly CUST'!$D$2:$D$65,0),MATCH(BO$1,'Monthly CUST'!$N$1:$CG$1,0)),0)</f>
        <v>10.989674948985718</v>
      </c>
      <c r="BP40" s="56">
        <f>IFERROR(INDEX('Monthly VOL'!$N$2:$CG$65,MATCH($D40,'Monthly VOL'!$D$2:$D$65,0),MATCH(BP$1,'Monthly VOL'!$N$1:$CG$1,0))/INDEX('Monthly CUST'!$N$2:$CG$65,MATCH($D40,'Monthly CUST'!$D$2:$D$65,0),MATCH(BP$1,'Monthly CUST'!$N$1:$CG$1,0)),0)</f>
        <v>11.1861714236508</v>
      </c>
      <c r="BQ40" s="56">
        <f>IFERROR(INDEX('Monthly VOL'!$N$2:$CG$65,MATCH($D40,'Monthly VOL'!$D$2:$D$65,0),MATCH(BQ$1,'Monthly VOL'!$N$1:$CG$1,0))/INDEX('Monthly CUST'!$N$2:$CG$65,MATCH($D40,'Monthly CUST'!$D$2:$D$65,0),MATCH(BQ$1,'Monthly CUST'!$N$1:$CG$1,0)),0)</f>
        <v>11.830295674093096</v>
      </c>
      <c r="BR40" s="56">
        <f>IFERROR(INDEX('Monthly VOL'!$N$2:$CG$65,MATCH($D40,'Monthly VOL'!$D$2:$D$65,0),MATCH(BR$1,'Monthly VOL'!$N$1:$CG$1,0))/INDEX('Monthly CUST'!$N$2:$CG$65,MATCH($D40,'Monthly CUST'!$D$2:$D$65,0),MATCH(BR$1,'Monthly CUST'!$N$1:$CG$1,0)),0)</f>
        <v>12.35570967871004</v>
      </c>
      <c r="BS40" s="56">
        <f>IFERROR(INDEX('Monthly VOL'!$N$2:$CG$65,MATCH($D40,'Monthly VOL'!$D$2:$D$65,0),MATCH(BS$1,'Monthly VOL'!$N$1:$CG$1,0))/INDEX('Monthly CUST'!$N$2:$CG$65,MATCH($D40,'Monthly CUST'!$D$2:$D$65,0),MATCH(BS$1,'Monthly CUST'!$N$1:$CG$1,0)),0)</f>
        <v>10.886462529508265</v>
      </c>
      <c r="BT40" s="56">
        <f>IFERROR(INDEX('Monthly VOL'!$N$2:$CG$65,MATCH($D40,'Monthly VOL'!$D$2:$D$65,0),MATCH(BT$1,'Monthly VOL'!$N$1:$CG$1,0))/INDEX('Monthly CUST'!$N$2:$CG$65,MATCH($D40,'Monthly CUST'!$D$2:$D$65,0),MATCH(BT$1,'Monthly CUST'!$N$1:$CG$1,0)),0)</f>
        <v>11.246433357861942</v>
      </c>
      <c r="BU40" s="56">
        <f>IFERROR(INDEX('Monthly VOL'!$N$2:$CG$65,MATCH($D40,'Monthly VOL'!$D$2:$D$65,0),MATCH(BU$1,'Monthly VOL'!$N$1:$CG$1,0))/INDEX('Monthly CUST'!$N$2:$CG$65,MATCH($D40,'Monthly CUST'!$D$2:$D$65,0),MATCH(BU$1,'Monthly CUST'!$N$1:$CG$1,0)),0)</f>
        <v>16.101866548165404</v>
      </c>
      <c r="BV40" s="56">
        <f>IFERROR(INDEX('Monthly VOL'!$N$2:$CG$65,MATCH($D40,'Monthly VOL'!$D$2:$D$65,0),MATCH(BV$1,'Monthly VOL'!$N$1:$CG$1,0))/INDEX('Monthly CUST'!$N$2:$CG$65,MATCH($D40,'Monthly CUST'!$D$2:$D$65,0),MATCH(BV$1,'Monthly CUST'!$N$1:$CG$1,0)),0)</f>
        <v>13.17763807402682</v>
      </c>
      <c r="BW40" s="56">
        <f>IFERROR(INDEX('Monthly VOL'!$N$2:$CG$65,MATCH($D40,'Monthly VOL'!$D$2:$D$65,0),MATCH(BW$1,'Monthly VOL'!$N$1:$CG$1,0))/INDEX('Monthly CUST'!$N$2:$CG$65,MATCH($D40,'Monthly CUST'!$D$2:$D$65,0),MATCH(BW$1,'Monthly CUST'!$N$1:$CG$1,0)),0)</f>
        <v>11.469643440379874</v>
      </c>
      <c r="BX40" s="56">
        <f>IFERROR(INDEX('Monthly VOL'!$N$2:$CG$65,MATCH($D40,'Monthly VOL'!$D$2:$D$65,0),MATCH(BX$1,'Monthly VOL'!$N$1:$CG$1,0))/INDEX('Monthly CUST'!$N$2:$CG$65,MATCH($D40,'Monthly CUST'!$D$2:$D$65,0),MATCH(BX$1,'Monthly CUST'!$N$1:$CG$1,0)),0)</f>
        <v>10.415837986850942</v>
      </c>
      <c r="BY40" s="56">
        <f>IFERROR(INDEX('Monthly VOL'!$N$2:$CG$65,MATCH($D40,'Monthly VOL'!$D$2:$D$65,0),MATCH(BY$1,'Monthly VOL'!$N$1:$CG$1,0))/INDEX('Monthly CUST'!$N$2:$CG$65,MATCH($D40,'Monthly CUST'!$D$2:$D$65,0),MATCH(BY$1,'Monthly CUST'!$N$1:$CG$1,0)),0)</f>
        <v>12.365416991413705</v>
      </c>
      <c r="BZ40" s="56">
        <f>IFERROR(INDEX('Monthly VOL'!$N$2:$CG$65,MATCH($D40,'Monthly VOL'!$D$2:$D$65,0),MATCH(BZ$1,'Monthly VOL'!$N$1:$CG$1,0))/INDEX('Monthly CUST'!$N$2:$CG$65,MATCH($D40,'Monthly CUST'!$D$2:$D$65,0),MATCH(BZ$1,'Monthly CUST'!$N$1:$CG$1,0)),0)</f>
        <v>9.3070152205527172</v>
      </c>
      <c r="CA40" s="56">
        <f>IFERROR(INDEX('Monthly VOL'!$N$2:$CG$65,MATCH($D40,'Monthly VOL'!$D$2:$D$65,0),MATCH(CA$1,'Monthly VOL'!$N$1:$CG$1,0))/INDEX('Monthly CUST'!$N$2:$CG$65,MATCH($D40,'Monthly CUST'!$D$2:$D$65,0),MATCH(CA$1,'Monthly CUST'!$N$1:$CG$1,0)),0)</f>
        <v>10.087389789328267</v>
      </c>
      <c r="CB40" s="56">
        <f>IFERROR(INDEX('Monthly VOL'!$N$2:$CG$65,MATCH($D40,'Monthly VOL'!$D$2:$D$65,0),MATCH(CB$1,'Monthly VOL'!$N$1:$CG$1,0))/INDEX('Monthly CUST'!$N$2:$CG$65,MATCH($D40,'Monthly CUST'!$D$2:$D$65,0),MATCH(CB$1,'Monthly CUST'!$N$1:$CG$1,0)),0)</f>
        <v>10.267753316127438</v>
      </c>
      <c r="CC40" s="56">
        <f>IFERROR(INDEX('Monthly VOL'!$N$2:$CG$65,MATCH($D40,'Monthly VOL'!$D$2:$D$65,0),MATCH(CC$1,'Monthly VOL'!$N$1:$CG$1,0))/INDEX('Monthly CUST'!$N$2:$CG$65,MATCH($D40,'Monthly CUST'!$D$2:$D$65,0),MATCH(CC$1,'Monthly CUST'!$N$1:$CG$1,0)),0)</f>
        <v>10.858993040426109</v>
      </c>
      <c r="CD40" s="56">
        <f>IFERROR(INDEX('Monthly VOL'!$N$2:$CG$65,MATCH($D40,'Monthly VOL'!$D$2:$D$65,0),MATCH(CD$1,'Monthly VOL'!$N$1:$CG$1,0))/INDEX('Monthly CUST'!$N$2:$CG$65,MATCH($D40,'Monthly CUST'!$D$2:$D$65,0),MATCH(CD$1,'Monthly CUST'!$N$1:$CG$1,0)),0)</f>
        <v>11.341268984887252</v>
      </c>
      <c r="CE40" s="56">
        <f>IFERROR(INDEX('Monthly VOL'!$N$2:$CG$65,MATCH($D40,'Monthly VOL'!$D$2:$D$65,0),MATCH(CE$1,'Monthly VOL'!$N$1:$CG$1,0))/INDEX('Monthly CUST'!$N$2:$CG$65,MATCH($D40,'Monthly CUST'!$D$2:$D$65,0),MATCH(CE$1,'Monthly CUST'!$N$1:$CG$1,0)),0)</f>
        <v>9.992651417974999</v>
      </c>
      <c r="CF40" s="56">
        <f>IFERROR(INDEX('Monthly VOL'!$N$2:$CG$65,MATCH($D40,'Monthly VOL'!$D$2:$D$65,0),MATCH(CF$1,'Monthly VOL'!$N$1:$CG$1,0))/INDEX('Monthly CUST'!$N$2:$CG$65,MATCH($D40,'Monthly CUST'!$D$2:$D$65,0),MATCH(CF$1,'Monthly CUST'!$N$1:$CG$1,0)),0)</f>
        <v>10.323067565426754</v>
      </c>
      <c r="CG40" s="56">
        <f>IFERROR(INDEX('Monthly VOL'!$N$2:$CG$65,MATCH($D40,'Monthly VOL'!$D$2:$D$65,0),MATCH(CG$1,'Monthly VOL'!$N$1:$CG$1,0))/INDEX('Monthly CUST'!$N$2:$CG$65,MATCH($D40,'Monthly CUST'!$D$2:$D$65,0),MATCH(CG$1,'Monthly CUST'!$N$1:$CG$1,0)),0)</f>
        <v>14.779855178708543</v>
      </c>
      <c r="CH40" s="264"/>
      <c r="CI40" s="264"/>
      <c r="CJ40" s="264"/>
      <c r="CM40" s="569">
        <f t="shared" si="24"/>
        <v>15.862947831552482</v>
      </c>
      <c r="CN40" s="569">
        <f t="shared" si="25"/>
        <v>52.392717215762275</v>
      </c>
      <c r="CO40" s="569">
        <f t="shared" si="26"/>
        <v>-22.753403716216216</v>
      </c>
      <c r="CP40" s="569">
        <f t="shared" si="27"/>
        <v>13.616095516569203</v>
      </c>
      <c r="CQ40" s="569">
        <f t="shared" si="28"/>
        <v>11.762170077972707</v>
      </c>
      <c r="CR40" s="569">
        <f t="shared" si="29"/>
        <v>12.809659722222223</v>
      </c>
      <c r="CS40" s="569">
        <f t="shared" si="30"/>
        <v>12.287724019088017</v>
      </c>
      <c r="CT40" s="569">
        <f t="shared" si="31"/>
        <v>13.538659420289855</v>
      </c>
      <c r="CU40" s="569">
        <f t="shared" si="32"/>
        <v>13.120906761412575</v>
      </c>
      <c r="CV40" s="569">
        <f t="shared" si="33"/>
        <v>12.112325156325156</v>
      </c>
      <c r="CW40" s="569">
        <f t="shared" si="34"/>
        <v>14.028330575726935</v>
      </c>
      <c r="CX40" s="569">
        <f t="shared" si="35"/>
        <v>17.355955457888253</v>
      </c>
      <c r="CY40" s="569">
        <f t="shared" si="36"/>
        <v>15.862947831552482</v>
      </c>
      <c r="CZ40" s="569">
        <f t="shared" si="37"/>
        <v>52.392717215762275</v>
      </c>
      <c r="DA40" s="569">
        <f t="shared" si="38"/>
        <v>-22.753403716216216</v>
      </c>
      <c r="DB40" s="569">
        <f t="shared" si="39"/>
        <v>13.616095516569203</v>
      </c>
      <c r="DC40" s="569">
        <f t="shared" si="40"/>
        <v>11.762170077972707</v>
      </c>
      <c r="DD40" s="569">
        <f t="shared" si="41"/>
        <v>12.809659722222223</v>
      </c>
      <c r="DE40" s="569">
        <f t="shared" si="42"/>
        <v>12.287724019088017</v>
      </c>
      <c r="DF40" s="569">
        <f t="shared" si="43"/>
        <v>13.538659420289855</v>
      </c>
      <c r="DG40" s="569">
        <f t="shared" si="44"/>
        <v>13.120906761412575</v>
      </c>
      <c r="DH40" s="569">
        <f t="shared" si="45"/>
        <v>12.112325156325156</v>
      </c>
      <c r="DI40" s="569">
        <f t="shared" si="46"/>
        <v>14.028330575726935</v>
      </c>
      <c r="DJ40" s="569">
        <f t="shared" si="47"/>
        <v>17.355955457888253</v>
      </c>
    </row>
    <row r="41" spans="1:114" s="261" customFormat="1">
      <c r="A41" s="55" t="s">
        <v>17</v>
      </c>
      <c r="B41" s="55" t="s">
        <v>993</v>
      </c>
      <c r="C41" s="55" t="s">
        <v>8</v>
      </c>
      <c r="D41" s="55" t="s">
        <v>1250</v>
      </c>
      <c r="E41" s="55" t="str">
        <f>VLOOKUP(D41,'Input 14_Ref Table'!C:D,2,FALSE)</f>
        <v>CR821</v>
      </c>
      <c r="F41" s="172" t="s">
        <v>1286</v>
      </c>
      <c r="G41" s="55" t="str">
        <f>VLOOKUP(D41,'Input 14_Ref Table'!C:I,7,FALSE)</f>
        <v>CFG - FTS-2 R</v>
      </c>
      <c r="H41" s="55" t="str">
        <f>VLOOKUP(D41,'Input 14_Ref Table'!C:K,8,FALSE)</f>
        <v>FTS_2</v>
      </c>
      <c r="I41" s="55" t="e">
        <f>INDEX(#REF!,MATCH(D41,#REF!,0))</f>
        <v>#REF!</v>
      </c>
      <c r="J41" s="261" t="str">
        <f>INDEX('Master '!$AD$2:AD$65,MATCH(D41,'Master '!$D$2:$D$65,0))</f>
        <v>UPC Growth Rate</v>
      </c>
      <c r="K41" s="567">
        <f>INDEX('Master '!$N$2:N$65,MATCH(D41,'Master '!$D$2:$D$65,0))</f>
        <v>6.1347398016349964E-3</v>
      </c>
      <c r="L41" s="290">
        <f>INDEX('Master '!$S$2:S$65,MATCH(D41,'Master '!$D$2:$D$65,0))</f>
        <v>0</v>
      </c>
      <c r="M41" s="1">
        <f>INDEX('Master '!$W$2:W$65,MATCH(D41,'Master '!$D$2:$D$65,0))</f>
        <v>597.30342792519559</v>
      </c>
      <c r="N41" s="56">
        <f>IFERROR(INDEX('Monthly VOL'!$N$2:$CG$65,MATCH($D41,'Monthly VOL'!$D$2:$D$65,0),MATCH(N$1,'Monthly VOL'!$N$1:$CG$1,0))/INDEX('Monthly CUST'!$N$2:$CG$65,MATCH($D41,'Monthly CUST'!$D$2:$D$65,0),MATCH(N$1,'Monthly CUST'!$N$1:$CG$1,0)),0)</f>
        <v>125.9516255442669</v>
      </c>
      <c r="O41" s="56">
        <f>IFERROR(INDEX('Monthly VOL'!$N$2:$CG$65,MATCH($D41,'Monthly VOL'!$D$2:$D$65,0),MATCH(O$1,'Monthly VOL'!$N$1:$CG$1,0))/INDEX('Monthly CUST'!$N$2:$CG$65,MATCH($D41,'Monthly CUST'!$D$2:$D$65,0),MATCH(O$1,'Monthly CUST'!$N$1:$CG$1,0)),0)</f>
        <v>88.218154069767579</v>
      </c>
      <c r="P41" s="56">
        <f>IFERROR(INDEX('Monthly VOL'!$N$2:$CG$65,MATCH($D41,'Monthly VOL'!$D$2:$D$65,0),MATCH(P$1,'Monthly VOL'!$N$1:$CG$1,0))/INDEX('Monthly CUST'!$N$2:$CG$65,MATCH($D41,'Monthly CUST'!$D$2:$D$65,0),MATCH(P$1,'Monthly CUST'!$N$1:$CG$1,0)),0)</f>
        <v>104.04208998548621</v>
      </c>
      <c r="Q41" s="56">
        <f>IFERROR(INDEX('Monthly VOL'!$N$2:$CG$65,MATCH($D41,'Monthly VOL'!$D$2:$D$65,0),MATCH(Q$1,'Monthly VOL'!$N$1:$CG$1,0))/INDEX('Monthly CUST'!$N$2:$CG$65,MATCH($D41,'Monthly CUST'!$D$2:$D$65,0),MATCH(Q$1,'Monthly CUST'!$N$1:$CG$1,0)),0)</f>
        <v>99.143118131868277</v>
      </c>
      <c r="R41" s="56">
        <f>IFERROR(INDEX('Monthly VOL'!$N$2:$CG$65,MATCH($D41,'Monthly VOL'!$D$2:$D$65,0),MATCH(R$1,'Monthly VOL'!$N$1:$CG$1,0))/INDEX('Monthly CUST'!$N$2:$CG$65,MATCH($D41,'Monthly CUST'!$D$2:$D$65,0),MATCH(R$1,'Monthly CUST'!$N$1:$CG$1,0)),0)</f>
        <v>47.694590846047163</v>
      </c>
      <c r="S41" s="56">
        <f>IFERROR(INDEX('Monthly VOL'!$N$2:$CG$65,MATCH($D41,'Monthly VOL'!$D$2:$D$65,0),MATCH(S$1,'Monthly VOL'!$N$1:$CG$1,0))/INDEX('Monthly CUST'!$N$2:$CG$65,MATCH($D41,'Monthly CUST'!$D$2:$D$65,0),MATCH(S$1,'Monthly CUST'!$N$1:$CG$1,0)),0)</f>
        <v>33.164701803051315</v>
      </c>
      <c r="T41" s="56">
        <f>IFERROR(INDEX('Monthly VOL'!$N$2:$CG$65,MATCH($D41,'Monthly VOL'!$D$2:$D$65,0),MATCH(T$1,'Monthly VOL'!$N$1:$CG$1,0))/INDEX('Monthly CUST'!$N$2:$CG$65,MATCH($D41,'Monthly CUST'!$D$2:$D$65,0),MATCH(T$1,'Monthly CUST'!$N$1:$CG$1,0)),0)</f>
        <v>24.365384615384617</v>
      </c>
      <c r="U41" s="56">
        <f>IFERROR(INDEX('Monthly VOL'!$N$2:$CG$65,MATCH($D41,'Monthly VOL'!$D$2:$D$65,0),MATCH(U$1,'Monthly VOL'!$N$1:$CG$1,0))/INDEX('Monthly CUST'!$N$2:$CG$65,MATCH($D41,'Monthly CUST'!$D$2:$D$65,0),MATCH(U$1,'Monthly CUST'!$N$1:$CG$1,0)),0)</f>
        <v>22.990278940027892</v>
      </c>
      <c r="V41" s="56">
        <f>IFERROR(INDEX('Monthly VOL'!$N$2:$CG$65,MATCH($D41,'Monthly VOL'!$D$2:$D$65,0),MATCH(V$1,'Monthly VOL'!$N$1:$CG$1,0))/INDEX('Monthly CUST'!$N$2:$CG$65,MATCH($D41,'Monthly CUST'!$D$2:$D$65,0),MATCH(V$1,'Monthly CUST'!$N$1:$CG$1,0)),0)</f>
        <v>21.135242718446602</v>
      </c>
      <c r="W41" s="56">
        <f>IFERROR(INDEX('Monthly VOL'!$N$2:$CG$65,MATCH($D41,'Monthly VOL'!$D$2:$D$65,0),MATCH(W$1,'Monthly VOL'!$N$1:$CG$1,0))/INDEX('Monthly CUST'!$N$2:$CG$65,MATCH($D41,'Monthly CUST'!$D$2:$D$65,0),MATCH(W$1,'Monthly CUST'!$N$1:$CG$1,0)),0)</f>
        <v>25.378609179415857</v>
      </c>
      <c r="X41" s="56">
        <f>IFERROR(INDEX('Monthly VOL'!$N$2:$CG$65,MATCH($D41,'Monthly VOL'!$D$2:$D$65,0),MATCH(X$1,'Monthly VOL'!$N$1:$CG$1,0))/INDEX('Monthly CUST'!$N$2:$CG$65,MATCH($D41,'Monthly CUST'!$D$2:$D$65,0),MATCH(X$1,'Monthly CUST'!$N$1:$CG$1,0)),0)</f>
        <v>61.258305785123966</v>
      </c>
      <c r="Y41" s="56">
        <f>IFERROR(INDEX('Monthly VOL'!$N$2:$CG$65,MATCH($D41,'Monthly VOL'!$D$2:$D$65,0),MATCH(Y$1,'Monthly VOL'!$N$1:$CG$1,0))/INDEX('Monthly CUST'!$N$2:$CG$65,MATCH($D41,'Monthly CUST'!$D$2:$D$65,0),MATCH(Y$1,'Monthly CUST'!$N$1:$CG$1,0)),0)</f>
        <v>84.691381215469605</v>
      </c>
      <c r="Z41" s="56">
        <f>IFERROR(INDEX('Monthly VOL'!$N$2:$CG$65,MATCH($D41,'Monthly VOL'!$D$2:$D$65,0),MATCH(Z$1,'Monthly VOL'!$N$1:$CG$1,0))/INDEX('Monthly CUST'!$N$2:$CG$65,MATCH($D41,'Monthly CUST'!$D$2:$D$65,0),MATCH(Z$1,'Monthly CUST'!$N$1:$CG$1,0)),0)</f>
        <v>107.49203830369356</v>
      </c>
      <c r="AA41" s="56">
        <f>IFERROR(INDEX('Monthly VOL'!$N$2:$CG$65,MATCH($D41,'Monthly VOL'!$D$2:$D$65,0),MATCH(AA$1,'Monthly VOL'!$N$1:$CG$1,0))/INDEX('Monthly CUST'!$N$2:$CG$65,MATCH($D41,'Monthly CUST'!$D$2:$D$65,0),MATCH(AA$1,'Monthly CUST'!$N$1:$CG$1,0)),0)</f>
        <v>92.044876373626366</v>
      </c>
      <c r="AB41" s="56">
        <f>IFERROR(INDEX('Monthly VOL'!$N$2:$CG$65,MATCH($D41,'Monthly VOL'!$D$2:$D$65,0),MATCH(AB$1,'Monthly VOL'!$N$1:$CG$1,0))/INDEX('Monthly CUST'!$N$2:$CG$65,MATCH($D41,'Monthly CUST'!$D$2:$D$65,0),MATCH(AB$1,'Monthly CUST'!$N$1:$CG$1,0)),0)</f>
        <v>90.44165745856354</v>
      </c>
      <c r="AC41" s="56">
        <f>IFERROR(INDEX('Monthly VOL'!$N$2:$CG$65,MATCH($D41,'Monthly VOL'!$D$2:$D$65,0),MATCH(AC$1,'Monthly VOL'!$N$1:$CG$1,0))/INDEX('Monthly CUST'!$N$2:$CG$65,MATCH($D41,'Monthly CUST'!$D$2:$D$65,0),MATCH(AC$1,'Monthly CUST'!$N$1:$CG$1,0)),0)</f>
        <v>85.584705882352935</v>
      </c>
      <c r="AD41" s="56">
        <f>IFERROR(INDEX('Monthly VOL'!$N$2:$CG$65,MATCH($D41,'Monthly VOL'!$D$2:$D$65,0),MATCH(AD$1,'Monthly VOL'!$N$1:$CG$1,0))/INDEX('Monthly CUST'!$N$2:$CG$65,MATCH($D41,'Monthly CUST'!$D$2:$D$65,0),MATCH(AD$1,'Monthly CUST'!$N$1:$CG$1,0)),0)</f>
        <v>45.699398084815321</v>
      </c>
      <c r="AE41" s="56">
        <f>IFERROR(INDEX('Monthly VOL'!$N$2:$CG$65,MATCH($D41,'Monthly VOL'!$D$2:$D$65,0),MATCH(AE$1,'Monthly VOL'!$N$1:$CG$1,0))/INDEX('Monthly CUST'!$N$2:$CG$65,MATCH($D41,'Monthly CUST'!$D$2:$D$65,0),MATCH(AE$1,'Monthly CUST'!$N$1:$CG$1,0)),0)</f>
        <v>24.833936899862824</v>
      </c>
      <c r="AF41" s="56">
        <f>IFERROR(INDEX('Monthly VOL'!$N$2:$CG$65,MATCH($D41,'Monthly VOL'!$D$2:$D$65,0),MATCH(AF$1,'Monthly VOL'!$N$1:$CG$1,0))/INDEX('Monthly CUST'!$N$2:$CG$65,MATCH($D41,'Monthly CUST'!$D$2:$D$65,0),MATCH(AF$1,'Monthly CUST'!$N$1:$CG$1,0)),0)</f>
        <v>20.818464730290458</v>
      </c>
      <c r="AG41" s="56">
        <f>IFERROR(INDEX('Monthly VOL'!$N$2:$CG$65,MATCH($D41,'Monthly VOL'!$D$2:$D$65,0),MATCH(AG$1,'Monthly VOL'!$N$1:$CG$1,0))/INDEX('Monthly CUST'!$N$2:$CG$65,MATCH($D41,'Monthly CUST'!$D$2:$D$65,0),MATCH(AG$1,'Monthly CUST'!$N$1:$CG$1,0)),0)</f>
        <v>21.532874828060521</v>
      </c>
      <c r="AH41" s="56">
        <f>IFERROR(INDEX('Monthly VOL'!$N$2:$CG$65,MATCH($D41,'Monthly VOL'!$D$2:$D$65,0),MATCH(AH$1,'Monthly VOL'!$N$1:$CG$1,0))/INDEX('Monthly CUST'!$N$2:$CG$65,MATCH($D41,'Monthly CUST'!$D$2:$D$65,0),MATCH(AH$1,'Monthly CUST'!$N$1:$CG$1,0)),0)</f>
        <v>19.100013736263737</v>
      </c>
      <c r="AI41" s="56">
        <f>IFERROR(INDEX('Monthly VOL'!$N$2:$CG$65,MATCH($D41,'Monthly VOL'!$D$2:$D$65,0),MATCH(AI$1,'Monthly VOL'!$N$1:$CG$1,0))/INDEX('Monthly CUST'!$N$2:$CG$65,MATCH($D41,'Monthly CUST'!$D$2:$D$65,0),MATCH(AI$1,'Monthly CUST'!$N$1:$CG$1,0)),0)</f>
        <v>27.906260273972602</v>
      </c>
      <c r="AJ41" s="56">
        <f>IFERROR(INDEX('Monthly VOL'!$N$2:$CG$65,MATCH($D41,'Monthly VOL'!$D$2:$D$65,0),MATCH(AJ$1,'Monthly VOL'!$N$1:$CG$1,0))/INDEX('Monthly CUST'!$N$2:$CG$65,MATCH($D41,'Monthly CUST'!$D$2:$D$65,0),MATCH(AJ$1,'Monthly CUST'!$N$1:$CG$1,0)),0)</f>
        <v>50.868491083676268</v>
      </c>
      <c r="AK41" s="56">
        <f>IFERROR(INDEX('Monthly VOL'!$N$2:$CG$65,MATCH($D41,'Monthly VOL'!$D$2:$D$65,0),MATCH(AK$1,'Monthly VOL'!$N$1:$CG$1,0))/INDEX('Monthly CUST'!$N$2:$CG$65,MATCH($D41,'Monthly CUST'!$D$2:$D$65,0),MATCH(AK$1,'Monthly CUST'!$N$1:$CG$1,0)),0)</f>
        <v>83.537236662106707</v>
      </c>
      <c r="AL41" s="56">
        <f>IFERROR(INDEX('Monthly VOL'!$N$2:$CG$65,MATCH($D41,'Monthly VOL'!$D$2:$D$65,0),MATCH(AL$1,'Monthly VOL'!$N$1:$CG$1,0))/INDEX('Monthly CUST'!$N$2:$CG$65,MATCH($D41,'Monthly CUST'!$D$2:$D$65,0),MATCH(AL$1,'Monthly CUST'!$N$1:$CG$1,0)),0)</f>
        <v>106.31153005464481</v>
      </c>
      <c r="AM41" s="56">
        <f>IFERROR(INDEX('Monthly VOL'!$N$2:$CG$65,MATCH($D41,'Monthly VOL'!$D$2:$D$65,0),MATCH(AM$1,'Monthly VOL'!$N$1:$CG$1,0))/INDEX('Monthly CUST'!$N$2:$CG$65,MATCH($D41,'Monthly CUST'!$D$2:$D$65,0),MATCH(AM$1,'Monthly CUST'!$N$1:$CG$1,0)),0)</f>
        <v>95.128101788170568</v>
      </c>
      <c r="AN41" s="56">
        <f>IFERROR(INDEX('Monthly VOL'!$N$2:$CG$65,MATCH($D41,'Monthly VOL'!$D$2:$D$65,0),MATCH(AN$1,'Monthly VOL'!$N$1:$CG$1,0))/INDEX('Monthly CUST'!$N$2:$CG$65,MATCH($D41,'Monthly CUST'!$D$2:$D$65,0),MATCH(AN$1,'Monthly CUST'!$N$1:$CG$1,0)),0)</f>
        <v>99.41716826265376</v>
      </c>
      <c r="AO41" s="56">
        <f>IFERROR(INDEX('Monthly VOL'!$N$2:$CG$65,MATCH($D41,'Monthly VOL'!$D$2:$D$65,0),MATCH(AO$1,'Monthly VOL'!$N$1:$CG$1,0))/INDEX('Monthly CUST'!$N$2:$CG$65,MATCH($D41,'Monthly CUST'!$D$2:$D$65,0),MATCH(AO$1,'Monthly CUST'!$N$1:$CG$1,0)),0)</f>
        <v>43.375266030013641</v>
      </c>
      <c r="AP41" s="56">
        <f>IFERROR(INDEX('Monthly VOL'!$N$2:$CG$65,MATCH($D41,'Monthly VOL'!$D$2:$D$65,0),MATCH(AP$1,'Monthly VOL'!$N$1:$CG$1,0))/INDEX('Monthly CUST'!$N$2:$CG$65,MATCH($D41,'Monthly CUST'!$D$2:$D$65,0),MATCH(AP$1,'Monthly CUST'!$N$1:$CG$1,0)),0)</f>
        <v>32.460096021947876</v>
      </c>
      <c r="AQ41" s="56">
        <f>IFERROR(INDEX('Monthly VOL'!$N$2:$CG$65,MATCH($D41,'Monthly VOL'!$D$2:$D$65,0),MATCH(AQ$1,'Monthly VOL'!$N$1:$CG$1,0))/INDEX('Monthly CUST'!$N$2:$CG$65,MATCH($D41,'Monthly CUST'!$D$2:$D$65,0),MATCH(AQ$1,'Monthly CUST'!$N$1:$CG$1,0)),0)</f>
        <v>21.607308743169398</v>
      </c>
      <c r="AR41" s="56">
        <f>IFERROR(INDEX('Monthly VOL'!$N$2:$CG$65,MATCH($D41,'Monthly VOL'!$D$2:$D$65,0),MATCH(AR$1,'Monthly VOL'!$N$1:$CG$1,0))/INDEX('Monthly CUST'!$N$2:$CG$65,MATCH($D41,'Monthly CUST'!$D$2:$D$65,0),MATCH(AR$1,'Monthly CUST'!$N$1:$CG$1,0)),0)</f>
        <v>20.698422496570643</v>
      </c>
      <c r="AS41" s="56">
        <f>IFERROR(INDEX('Monthly VOL'!$N$2:$CG$65,MATCH($D41,'Monthly VOL'!$D$2:$D$65,0),MATCH(AS$1,'Monthly VOL'!$N$1:$CG$1,0))/INDEX('Monthly CUST'!$N$2:$CG$65,MATCH($D41,'Monthly CUST'!$D$2:$D$65,0),MATCH(AS$1,'Monthly CUST'!$N$1:$CG$1,0)),0)</f>
        <v>16.718465753424656</v>
      </c>
      <c r="AT41" s="56">
        <f>IFERROR(INDEX('Monthly VOL'!$N$2:$CG$65,MATCH($D41,'Monthly VOL'!$D$2:$D$65,0),MATCH(AT$1,'Monthly VOL'!$N$1:$CG$1,0))/INDEX('Monthly CUST'!$N$2:$CG$65,MATCH($D41,'Monthly CUST'!$D$2:$D$65,0),MATCH(AT$1,'Monthly CUST'!$N$1:$CG$1,0)),0)</f>
        <v>17.3908174386921</v>
      </c>
      <c r="AU41" s="56">
        <f>IFERROR(INDEX('Monthly VOL'!$N$2:$CG$65,MATCH($D41,'Monthly VOL'!$D$2:$D$65,0),MATCH(AU$1,'Monthly VOL'!$N$1:$CG$1,0))/INDEX('Monthly CUST'!$N$2:$CG$65,MATCH($D41,'Monthly CUST'!$D$2:$D$65,0),MATCH(AU$1,'Monthly CUST'!$N$1:$CG$1,0)),0)</f>
        <v>22.201569688768604</v>
      </c>
      <c r="AV41" s="56">
        <f>IFERROR(INDEX('Monthly VOL'!$N$2:$CG$65,MATCH($D41,'Monthly VOL'!$D$2:$D$65,0),MATCH(AV$1,'Monthly VOL'!$N$1:$CG$1,0))/INDEX('Monthly CUST'!$N$2:$CG$65,MATCH($D41,'Monthly CUST'!$D$2:$D$65,0),MATCH(AV$1,'Monthly CUST'!$N$1:$CG$1,0)),0)</f>
        <v>33.471872455902172</v>
      </c>
      <c r="AW41" s="56">
        <f>IFERROR(INDEX('Monthly VOL'!$N$2:$CG$65,MATCH($D41,'Monthly VOL'!$D$2:$D$65,0),MATCH(AW$1,'Monthly VOL'!$N$1:$CG$1,0))/INDEX('Monthly CUST'!$N$2:$CG$65,MATCH($D41,'Monthly CUST'!$D$2:$D$65,0),MATCH(AW$1,'Monthly CUST'!$N$1:$CG$1,0)),0)</f>
        <v>73.455986486486481</v>
      </c>
      <c r="AX41" s="56">
        <f>IFERROR(INDEX('Monthly VOL'!$N$2:$CG$65,MATCH($D41,'Monthly VOL'!$D$2:$D$65,0),MATCH(AX$1,'Monthly VOL'!$N$1:$CG$1,0))/INDEX('Monthly CUST'!$N$2:$CG$65,MATCH($D41,'Monthly CUST'!$D$2:$D$65,0),MATCH(AX$1,'Monthly CUST'!$N$1:$CG$1,0)),0)</f>
        <v>93.689783491204466</v>
      </c>
      <c r="AY41" s="56">
        <f>IFERROR(INDEX('Monthly VOL'!$N$2:$CG$65,MATCH($D41,'Monthly VOL'!$D$2:$D$65,0),MATCH(AY$1,'Monthly VOL'!$N$1:$CG$1,0))/INDEX('Monthly CUST'!$N$2:$CG$65,MATCH($D41,'Monthly CUST'!$D$2:$D$65,0),MATCH(AY$1,'Monthly CUST'!$N$1:$CG$1,0)),0)</f>
        <v>68.065706521739131</v>
      </c>
      <c r="AZ41" s="56">
        <f>IFERROR(INDEX('Monthly VOL'!$N$2:$CG$65,MATCH($D41,'Monthly VOL'!$D$2:$D$65,0),MATCH(AZ$1,'Monthly VOL'!$N$1:$CG$1,0))/INDEX('Monthly CUST'!$N$2:$CG$65,MATCH($D41,'Monthly CUST'!$D$2:$D$65,0),MATCH(AZ$1,'Monthly CUST'!$N$1:$CG$1,0)),0)</f>
        <v>72.74521798365123</v>
      </c>
      <c r="BA41" s="56">
        <f>IFERROR(INDEX('Monthly VOL'!$N$2:$CG$65,MATCH($D41,'Monthly VOL'!$D$2:$D$65,0),MATCH(BA$1,'Monthly VOL'!$N$1:$CG$1,0))/INDEX('Monthly CUST'!$N$2:$CG$65,MATCH($D41,'Monthly CUST'!$D$2:$D$65,0),MATCH(BA$1,'Monthly CUST'!$N$1:$CG$1,0)),0)</f>
        <v>74.695115961800951</v>
      </c>
      <c r="BB41" s="56">
        <f>IFERROR(INDEX('Monthly VOL'!$N$2:$CG$65,MATCH($D41,'Monthly VOL'!$D$2:$D$65,0),MATCH(BB$1,'Monthly VOL'!$N$1:$CG$1,0))/INDEX('Monthly CUST'!$N$2:$CG$65,MATCH($D41,'Monthly CUST'!$D$2:$D$65,0),MATCH(BB$1,'Monthly CUST'!$N$1:$CG$1,0)),0)</f>
        <v>37.886295793758343</v>
      </c>
      <c r="BC41" s="56">
        <f>IFERROR(INDEX('Monthly VOL'!$N$2:$CG$65,MATCH($D41,'Monthly VOL'!$D$2:$D$65,0),MATCH(BC$1,'Monthly VOL'!$N$1:$CG$1,0))/INDEX('Monthly CUST'!$N$2:$CG$65,MATCH($D41,'Monthly CUST'!$D$2:$D$65,0),MATCH(BC$1,'Monthly CUST'!$N$1:$CG$1,0)),0)</f>
        <v>30.171424694708278</v>
      </c>
      <c r="BD41" s="56">
        <f>IFERROR(INDEX('Monthly VOL'!$N$2:$CG$65,MATCH($D41,'Monthly VOL'!$D$2:$D$65,0),MATCH(BD$1,'Monthly VOL'!$N$1:$CG$1,0))/INDEX('Monthly CUST'!$N$2:$CG$65,MATCH($D41,'Monthly CUST'!$D$2:$D$65,0),MATCH(BD$1,'Monthly CUST'!$N$1:$CG$1,0)),0)</f>
        <v>29.040135685210313</v>
      </c>
      <c r="BE41" s="56">
        <f>IFERROR(INDEX('Monthly VOL'!$N$2:$CG$65,MATCH($D41,'Monthly VOL'!$D$2:$D$65,0),MATCH(BE$1,'Monthly VOL'!$N$1:$CG$1,0))/INDEX('Monthly CUST'!$N$2:$CG$65,MATCH($D41,'Monthly CUST'!$D$2:$D$65,0),MATCH(BE$1,'Monthly CUST'!$N$1:$CG$1,0)),0)</f>
        <v>20.822401091405183</v>
      </c>
      <c r="BF41" s="56">
        <f>IFERROR(INDEX('Monthly VOL'!$N$2:$CG$65,MATCH($D41,'Monthly VOL'!$D$2:$D$65,0),MATCH(BF$1,'Monthly VOL'!$N$1:$CG$1,0))/INDEX('Monthly CUST'!$N$2:$CG$65,MATCH($D41,'Monthly CUST'!$D$2:$D$65,0),MATCH(BF$1,'Monthly CUST'!$N$1:$CG$1,0)),0)</f>
        <v>19.694264305177111</v>
      </c>
      <c r="BG41" s="56">
        <f>IFERROR(INDEX('Monthly VOL'!$N$2:$CG$65,MATCH($D41,'Monthly VOL'!$D$2:$D$65,0),MATCH(BG$1,'Monthly VOL'!$N$1:$CG$1,0))/INDEX('Monthly CUST'!$N$2:$CG$65,MATCH($D41,'Monthly CUST'!$D$2:$D$65,0),MATCH(BG$1,'Monthly CUST'!$N$1:$CG$1,0)),0)</f>
        <v>28.428250688705234</v>
      </c>
      <c r="BH41" s="56">
        <f>IFERROR(INDEX('Monthly VOL'!$N$2:$CG$65,MATCH($D41,'Monthly VOL'!$D$2:$D$65,0),MATCH(BH$1,'Monthly VOL'!$N$1:$CG$1,0))/INDEX('Monthly CUST'!$N$2:$CG$65,MATCH($D41,'Monthly CUST'!$D$2:$D$65,0),MATCH(BH$1,'Monthly CUST'!$N$1:$CG$1,0)),0)</f>
        <v>49.8535812672175</v>
      </c>
      <c r="BI41" s="56">
        <f>IFERROR(INDEX('Monthly VOL'!$N$2:$CG$65,MATCH($D41,'Monthly VOL'!$D$2:$D$65,0),MATCH(BI$1,'Monthly VOL'!$N$1:$CG$1,0))/INDEX('Monthly CUST'!$N$2:$CG$65,MATCH($D41,'Monthly CUST'!$D$2:$D$65,0),MATCH(BI$1,'Monthly CUST'!$N$1:$CG$1,0)),0)</f>
        <v>92.075369863013705</v>
      </c>
      <c r="BJ41" s="56">
        <f>IFERROR(INDEX('Monthly VOL'!$N$2:$CG$65,MATCH($D41,'Monthly VOL'!$D$2:$D$65,0),MATCH(BJ$1,'Monthly VOL'!$N$1:$CG$1,0))/INDEX('Monthly CUST'!$N$2:$CG$65,MATCH($D41,'Monthly CUST'!$D$2:$D$65,0),MATCH(BJ$1,'Monthly CUST'!$N$1:$CG$1,0)),0)</f>
        <v>93.68978349120448</v>
      </c>
      <c r="BK41" s="56">
        <f>IFERROR(INDEX('Monthly VOL'!$N$2:$CG$65,MATCH($D41,'Monthly VOL'!$D$2:$D$65,0),MATCH(BK$1,'Monthly VOL'!$N$1:$CG$1,0))/INDEX('Monthly CUST'!$N$2:$CG$65,MATCH($D41,'Monthly CUST'!$D$2:$D$65,0),MATCH(BK$1,'Monthly CUST'!$N$1:$CG$1,0)),0)</f>
        <v>68.065706521739131</v>
      </c>
      <c r="BL41" s="56">
        <f>IFERROR(INDEX('Monthly VOL'!$N$2:$CG$65,MATCH($D41,'Monthly VOL'!$D$2:$D$65,0),MATCH(BL$1,'Monthly VOL'!$N$1:$CG$1,0))/INDEX('Monthly CUST'!$N$2:$CG$65,MATCH($D41,'Monthly CUST'!$D$2:$D$65,0),MATCH(BL$1,'Monthly CUST'!$N$1:$CG$1,0)),0)</f>
        <v>72.74521798365123</v>
      </c>
      <c r="BM41" s="56">
        <f>IFERROR(INDEX('Monthly VOL'!$N$2:$CG$65,MATCH($D41,'Monthly VOL'!$D$2:$D$65,0),MATCH(BM$1,'Monthly VOL'!$N$1:$CG$1,0))/INDEX('Monthly CUST'!$N$2:$CG$65,MATCH($D41,'Monthly CUST'!$D$2:$D$65,0),MATCH(BM$1,'Monthly CUST'!$N$1:$CG$1,0)),0)</f>
        <v>74.695115961800951</v>
      </c>
      <c r="BN41" s="56">
        <f>IFERROR(INDEX('Monthly VOL'!$N$2:$CG$65,MATCH($D41,'Monthly VOL'!$D$2:$D$65,0),MATCH(BN$1,'Monthly VOL'!$N$1:$CG$1,0))/INDEX('Monthly CUST'!$N$2:$CG$65,MATCH($D41,'Monthly CUST'!$D$2:$D$65,0),MATCH(BN$1,'Monthly CUST'!$N$1:$CG$1,0)),0)</f>
        <v>37.886295793758343</v>
      </c>
      <c r="BO41" s="56">
        <f>IFERROR(INDEX('Monthly VOL'!$N$2:$CG$65,MATCH($D41,'Monthly VOL'!$D$2:$D$65,0),MATCH(BO$1,'Monthly VOL'!$N$1:$CG$1,0))/INDEX('Monthly CUST'!$N$2:$CG$65,MATCH($D41,'Monthly CUST'!$D$2:$D$65,0),MATCH(BO$1,'Monthly CUST'!$N$1:$CG$1,0)),0)</f>
        <v>30.171424694708278</v>
      </c>
      <c r="BP41" s="56">
        <f>IFERROR(INDEX('Monthly VOL'!$N$2:$CG$65,MATCH($D41,'Monthly VOL'!$D$2:$D$65,0),MATCH(BP$1,'Monthly VOL'!$N$1:$CG$1,0))/INDEX('Monthly CUST'!$N$2:$CG$65,MATCH($D41,'Monthly CUST'!$D$2:$D$65,0),MATCH(BP$1,'Monthly CUST'!$N$1:$CG$1,0)),0)</f>
        <v>29.040135685210313</v>
      </c>
      <c r="BQ41" s="56">
        <f>IFERROR(INDEX('Monthly VOL'!$N$2:$CG$65,MATCH($D41,'Monthly VOL'!$D$2:$D$65,0),MATCH(BQ$1,'Monthly VOL'!$N$1:$CG$1,0))/INDEX('Monthly CUST'!$N$2:$CG$65,MATCH($D41,'Monthly CUST'!$D$2:$D$65,0),MATCH(BQ$1,'Monthly CUST'!$N$1:$CG$1,0)),0)</f>
        <v>20.822401091405183</v>
      </c>
      <c r="BR41" s="56">
        <f>IFERROR(INDEX('Monthly VOL'!$N$2:$CG$65,MATCH($D41,'Monthly VOL'!$D$2:$D$65,0),MATCH(BR$1,'Monthly VOL'!$N$1:$CG$1,0))/INDEX('Monthly CUST'!$N$2:$CG$65,MATCH($D41,'Monthly CUST'!$D$2:$D$65,0),MATCH(BR$1,'Monthly CUST'!$N$1:$CG$1,0)),0)</f>
        <v>19.694264305177111</v>
      </c>
      <c r="BS41" s="56">
        <f>IFERROR(INDEX('Monthly VOL'!$N$2:$CG$65,MATCH($D41,'Monthly VOL'!$D$2:$D$65,0),MATCH(BS$1,'Monthly VOL'!$N$1:$CG$1,0))/INDEX('Monthly CUST'!$N$2:$CG$65,MATCH($D41,'Monthly CUST'!$D$2:$D$65,0),MATCH(BS$1,'Monthly CUST'!$N$1:$CG$1,0)),0)</f>
        <v>28.428250688705234</v>
      </c>
      <c r="BT41" s="56">
        <f>IFERROR(INDEX('Monthly VOL'!$N$2:$CG$65,MATCH($D41,'Monthly VOL'!$D$2:$D$65,0),MATCH(BT$1,'Monthly VOL'!$N$1:$CG$1,0))/INDEX('Monthly CUST'!$N$2:$CG$65,MATCH($D41,'Monthly CUST'!$D$2:$D$65,0),MATCH(BT$1,'Monthly CUST'!$N$1:$CG$1,0)),0)</f>
        <v>49.8535812672175</v>
      </c>
      <c r="BU41" s="56">
        <f>IFERROR(INDEX('Monthly VOL'!$N$2:$CG$65,MATCH($D41,'Monthly VOL'!$D$2:$D$65,0),MATCH(BU$1,'Monthly VOL'!$N$1:$CG$1,0))/INDEX('Monthly CUST'!$N$2:$CG$65,MATCH($D41,'Monthly CUST'!$D$2:$D$65,0),MATCH(BU$1,'Monthly CUST'!$N$1:$CG$1,0)),0)</f>
        <v>92.075369863013705</v>
      </c>
      <c r="BV41" s="56">
        <f>IFERROR(INDEX('Monthly VOL'!$N$2:$CG$65,MATCH($D41,'Monthly VOL'!$D$2:$D$65,0),MATCH(BV$1,'Monthly VOL'!$N$1:$CG$1,0))/INDEX('Monthly CUST'!$N$2:$CG$65,MATCH($D41,'Monthly CUST'!$D$2:$D$65,0),MATCH(BV$1,'Monthly CUST'!$N$1:$CG$1,0)),0)</f>
        <v>93.68978349120448</v>
      </c>
      <c r="BW41" s="56">
        <f>IFERROR(INDEX('Monthly VOL'!$N$2:$CG$65,MATCH($D41,'Monthly VOL'!$D$2:$D$65,0),MATCH(BW$1,'Monthly VOL'!$N$1:$CG$1,0))/INDEX('Monthly CUST'!$N$2:$CG$65,MATCH($D41,'Monthly CUST'!$D$2:$D$65,0),MATCH(BW$1,'Monthly CUST'!$N$1:$CG$1,0)),0)</f>
        <v>68.065706521739131</v>
      </c>
      <c r="BX41" s="56">
        <f>IFERROR(INDEX('Monthly VOL'!$N$2:$CG$65,MATCH($D41,'Monthly VOL'!$D$2:$D$65,0),MATCH(BX$1,'Monthly VOL'!$N$1:$CG$1,0))/INDEX('Monthly CUST'!$N$2:$CG$65,MATCH($D41,'Monthly CUST'!$D$2:$D$65,0),MATCH(BX$1,'Monthly CUST'!$N$1:$CG$1,0)),0)</f>
        <v>72.74521798365123</v>
      </c>
      <c r="BY41" s="56">
        <f>IFERROR(INDEX('Monthly VOL'!$N$2:$CG$65,MATCH($D41,'Monthly VOL'!$D$2:$D$65,0),MATCH(BY$1,'Monthly VOL'!$N$1:$CG$1,0))/INDEX('Monthly CUST'!$N$2:$CG$65,MATCH($D41,'Monthly CUST'!$D$2:$D$65,0),MATCH(BY$1,'Monthly CUST'!$N$1:$CG$1,0)),0)</f>
        <v>74.695115961800951</v>
      </c>
      <c r="BZ41" s="56">
        <f>IFERROR(INDEX('Monthly VOL'!$N$2:$CG$65,MATCH($D41,'Monthly VOL'!$D$2:$D$65,0),MATCH(BZ$1,'Monthly VOL'!$N$1:$CG$1,0))/INDEX('Monthly CUST'!$N$2:$CG$65,MATCH($D41,'Monthly CUST'!$D$2:$D$65,0),MATCH(BZ$1,'Monthly CUST'!$N$1:$CG$1,0)),0)</f>
        <v>37.886295793758343</v>
      </c>
      <c r="CA41" s="56">
        <f>IFERROR(INDEX('Monthly VOL'!$N$2:$CG$65,MATCH($D41,'Monthly VOL'!$D$2:$D$65,0),MATCH(CA$1,'Monthly VOL'!$N$1:$CG$1,0))/INDEX('Monthly CUST'!$N$2:$CG$65,MATCH($D41,'Monthly CUST'!$D$2:$D$65,0),MATCH(CA$1,'Monthly CUST'!$N$1:$CG$1,0)),0)</f>
        <v>30.171424694708282</v>
      </c>
      <c r="CB41" s="56">
        <f>IFERROR(INDEX('Monthly VOL'!$N$2:$CG$65,MATCH($D41,'Monthly VOL'!$D$2:$D$65,0),MATCH(CB$1,'Monthly VOL'!$N$1:$CG$1,0))/INDEX('Monthly CUST'!$N$2:$CG$65,MATCH($D41,'Monthly CUST'!$D$2:$D$65,0),MATCH(CB$1,'Monthly CUST'!$N$1:$CG$1,0)),0)</f>
        <v>29.040135685210313</v>
      </c>
      <c r="CC41" s="56">
        <f>IFERROR(INDEX('Monthly VOL'!$N$2:$CG$65,MATCH($D41,'Monthly VOL'!$D$2:$D$65,0),MATCH(CC$1,'Monthly VOL'!$N$1:$CG$1,0))/INDEX('Monthly CUST'!$N$2:$CG$65,MATCH($D41,'Monthly CUST'!$D$2:$D$65,0),MATCH(CC$1,'Monthly CUST'!$N$1:$CG$1,0)),0)</f>
        <v>20.822401091405183</v>
      </c>
      <c r="CD41" s="56">
        <f>IFERROR(INDEX('Monthly VOL'!$N$2:$CG$65,MATCH($D41,'Monthly VOL'!$D$2:$D$65,0),MATCH(CD$1,'Monthly VOL'!$N$1:$CG$1,0))/INDEX('Monthly CUST'!$N$2:$CG$65,MATCH($D41,'Monthly CUST'!$D$2:$D$65,0),MATCH(CD$1,'Monthly CUST'!$N$1:$CG$1,0)),0)</f>
        <v>19.694264305177111</v>
      </c>
      <c r="CE41" s="56">
        <f>IFERROR(INDEX('Monthly VOL'!$N$2:$CG$65,MATCH($D41,'Monthly VOL'!$D$2:$D$65,0),MATCH(CE$1,'Monthly VOL'!$N$1:$CG$1,0))/INDEX('Monthly CUST'!$N$2:$CG$65,MATCH($D41,'Monthly CUST'!$D$2:$D$65,0),MATCH(CE$1,'Monthly CUST'!$N$1:$CG$1,0)),0)</f>
        <v>28.428250688705237</v>
      </c>
      <c r="CF41" s="56">
        <f>IFERROR(INDEX('Monthly VOL'!$N$2:$CG$65,MATCH($D41,'Monthly VOL'!$D$2:$D$65,0),MATCH(CF$1,'Monthly VOL'!$N$1:$CG$1,0))/INDEX('Monthly CUST'!$N$2:$CG$65,MATCH($D41,'Monthly CUST'!$D$2:$D$65,0),MATCH(CF$1,'Monthly CUST'!$N$1:$CG$1,0)),0)</f>
        <v>49.853581267217493</v>
      </c>
      <c r="CG41" s="56">
        <f>IFERROR(INDEX('Monthly VOL'!$N$2:$CG$65,MATCH($D41,'Monthly VOL'!$D$2:$D$65,0),MATCH(CG$1,'Monthly VOL'!$N$1:$CG$1,0))/INDEX('Monthly CUST'!$N$2:$CG$65,MATCH($D41,'Monthly CUST'!$D$2:$D$65,0),MATCH(CG$1,'Monthly CUST'!$N$1:$CG$1,0)),0)</f>
        <v>92.075369863013691</v>
      </c>
      <c r="CH41" s="264"/>
      <c r="CI41" s="264"/>
      <c r="CJ41" s="264"/>
      <c r="CM41" s="569">
        <f t="shared" si="24"/>
        <v>102.4977839498476</v>
      </c>
      <c r="CN41" s="569">
        <f t="shared" si="25"/>
        <v>85.079561561178693</v>
      </c>
      <c r="CO41" s="569">
        <f t="shared" si="26"/>
        <v>87.534681234956182</v>
      </c>
      <c r="CP41" s="569">
        <f t="shared" si="27"/>
        <v>67.885029291389174</v>
      </c>
      <c r="CQ41" s="569">
        <f t="shared" si="28"/>
        <v>38.681929966840507</v>
      </c>
      <c r="CR41" s="569">
        <f t="shared" si="29"/>
        <v>25.537556779246831</v>
      </c>
      <c r="CS41" s="569">
        <f t="shared" si="30"/>
        <v>23.519007637357138</v>
      </c>
      <c r="CT41" s="569">
        <f t="shared" si="31"/>
        <v>19.691247224296788</v>
      </c>
      <c r="CU41" s="569">
        <f t="shared" si="32"/>
        <v>18.728365160044316</v>
      </c>
      <c r="CV41" s="569">
        <f t="shared" si="33"/>
        <v>26.178693550482148</v>
      </c>
      <c r="CW41" s="569">
        <f t="shared" si="34"/>
        <v>44.731314935598647</v>
      </c>
      <c r="CX41" s="569">
        <f t="shared" si="35"/>
        <v>83.022864337202293</v>
      </c>
      <c r="CY41" s="569">
        <f t="shared" si="36"/>
        <v>102.4977839498476</v>
      </c>
      <c r="CZ41" s="569">
        <f t="shared" si="37"/>
        <v>85.079561561178693</v>
      </c>
      <c r="DA41" s="569">
        <f t="shared" si="38"/>
        <v>87.534681234956182</v>
      </c>
      <c r="DB41" s="569">
        <f t="shared" si="39"/>
        <v>67.885029291389174</v>
      </c>
      <c r="DC41" s="569">
        <f t="shared" si="40"/>
        <v>38.681929966840507</v>
      </c>
      <c r="DD41" s="569">
        <f t="shared" si="41"/>
        <v>25.537556779246831</v>
      </c>
      <c r="DE41" s="569">
        <f t="shared" si="42"/>
        <v>23.519007637357138</v>
      </c>
      <c r="DF41" s="569">
        <f t="shared" si="43"/>
        <v>19.691247224296788</v>
      </c>
      <c r="DG41" s="569">
        <f t="shared" si="44"/>
        <v>18.728365160044316</v>
      </c>
      <c r="DH41" s="569">
        <f t="shared" si="45"/>
        <v>26.178693550482148</v>
      </c>
      <c r="DI41" s="569">
        <f t="shared" si="46"/>
        <v>44.731314935598647</v>
      </c>
      <c r="DJ41" s="569">
        <f t="shared" si="47"/>
        <v>83.022864337202293</v>
      </c>
    </row>
    <row r="42" spans="1:114" s="261" customFormat="1">
      <c r="A42" s="55" t="s">
        <v>17</v>
      </c>
      <c r="B42" s="55" t="s">
        <v>993</v>
      </c>
      <c r="C42" s="55" t="s">
        <v>8</v>
      </c>
      <c r="D42" s="55" t="s">
        <v>1251</v>
      </c>
      <c r="E42" s="55" t="str">
        <f>VLOOKUP(D42,'Input 14_Ref Table'!C:D,2,FALSE)</f>
        <v>CR839</v>
      </c>
      <c r="F42" s="172" t="s">
        <v>1287</v>
      </c>
      <c r="G42" s="55" t="str">
        <f>VLOOKUP(D42,'Input 14_Ref Table'!C:I,7,FALSE)</f>
        <v>CFG - FTS-2 - Fixed R</v>
      </c>
      <c r="H42" s="55" t="str">
        <f>VLOOKUP(D42,'Input 14_Ref Table'!C:K,8,FALSE)</f>
        <v>FTS_2</v>
      </c>
      <c r="I42" s="55" t="e">
        <f>INDEX(#REF!,MATCH(D42,#REF!,0))</f>
        <v>#REF!</v>
      </c>
      <c r="J42" s="261" t="str">
        <f>INDEX('Master '!$AD$2:AD$65,MATCH(D42,'Master '!$D$2:$D$65,0))</f>
        <v>UPC Growth Rate</v>
      </c>
      <c r="K42" s="567">
        <f>INDEX('Master '!$N$2:N$65,MATCH(D42,'Master '!$D$2:$D$65,0))</f>
        <v>6.1347398016349964E-3</v>
      </c>
      <c r="L42" s="290">
        <f>INDEX('Master '!$S$2:S$65,MATCH(D42,'Master '!$D$2:$D$65,0))</f>
        <v>0</v>
      </c>
      <c r="M42" s="1">
        <f>INDEX('Master '!$W$2:W$65,MATCH(D42,'Master '!$D$2:$D$65,0))</f>
        <v>597.30342792519559</v>
      </c>
      <c r="N42" s="56">
        <f>IFERROR(INDEX('Monthly VOL'!$N$2:$CG$65,MATCH($D42,'Monthly VOL'!$D$2:$D$65,0),MATCH(N$1,'Monthly VOL'!$N$1:$CG$1,0))/INDEX('Monthly CUST'!$N$2:$CG$65,MATCH($D42,'Monthly CUST'!$D$2:$D$65,0),MATCH(N$1,'Monthly CUST'!$N$1:$CG$1,0)),0)</f>
        <v>70.77823529411765</v>
      </c>
      <c r="O42" s="56">
        <f>IFERROR(INDEX('Monthly VOL'!$N$2:$CG$65,MATCH($D42,'Monthly VOL'!$D$2:$D$65,0),MATCH(O$1,'Monthly VOL'!$N$1:$CG$1,0))/INDEX('Monthly CUST'!$N$2:$CG$65,MATCH($D42,'Monthly CUST'!$D$2:$D$65,0),MATCH(O$1,'Monthly CUST'!$N$1:$CG$1,0)),0)</f>
        <v>67.678124999999994</v>
      </c>
      <c r="P42" s="56">
        <f>IFERROR(INDEX('Monthly VOL'!$N$2:$CG$65,MATCH($D42,'Monthly VOL'!$D$2:$D$65,0),MATCH(P$1,'Monthly VOL'!$N$1:$CG$1,0))/INDEX('Monthly CUST'!$N$2:$CG$65,MATCH($D42,'Monthly CUST'!$D$2:$D$65,0),MATCH(P$1,'Monthly CUST'!$N$1:$CG$1,0)),0)</f>
        <v>75.974374999999995</v>
      </c>
      <c r="Q42" s="56">
        <f>IFERROR(INDEX('Monthly VOL'!$N$2:$CG$65,MATCH($D42,'Monthly VOL'!$D$2:$D$65,0),MATCH(Q$1,'Monthly VOL'!$N$1:$CG$1,0))/INDEX('Monthly CUST'!$N$2:$CG$65,MATCH($D42,'Monthly CUST'!$D$2:$D$65,0),MATCH(Q$1,'Monthly CUST'!$N$1:$CG$1,0)),0)</f>
        <v>91.512</v>
      </c>
      <c r="R42" s="56">
        <f>IFERROR(INDEX('Monthly VOL'!$N$2:$CG$65,MATCH($D42,'Monthly VOL'!$D$2:$D$65,0),MATCH(R$1,'Monthly VOL'!$N$1:$CG$1,0))/INDEX('Monthly CUST'!$N$2:$CG$65,MATCH($D42,'Monthly CUST'!$D$2:$D$65,0),MATCH(R$1,'Monthly CUST'!$N$1:$CG$1,0)),0)</f>
        <v>33.383499999999998</v>
      </c>
      <c r="S42" s="56">
        <f>IFERROR(INDEX('Monthly VOL'!$N$2:$CG$65,MATCH($D42,'Monthly VOL'!$D$2:$D$65,0),MATCH(S$1,'Monthly VOL'!$N$1:$CG$1,0))/INDEX('Monthly CUST'!$N$2:$CG$65,MATCH($D42,'Monthly CUST'!$D$2:$D$65,0),MATCH(S$1,'Monthly CUST'!$N$1:$CG$1,0)),0)</f>
        <v>30.781052631578948</v>
      </c>
      <c r="T42" s="56">
        <f>IFERROR(INDEX('Monthly VOL'!$N$2:$CG$65,MATCH($D42,'Monthly VOL'!$D$2:$D$65,0),MATCH(T$1,'Monthly VOL'!$N$1:$CG$1,0))/INDEX('Monthly CUST'!$N$2:$CG$65,MATCH($D42,'Monthly CUST'!$D$2:$D$65,0),MATCH(T$1,'Monthly CUST'!$N$1:$CG$1,0)),0)</f>
        <v>28.684210526315791</v>
      </c>
      <c r="U42" s="56">
        <f>IFERROR(INDEX('Monthly VOL'!$N$2:$CG$65,MATCH($D42,'Monthly VOL'!$D$2:$D$65,0),MATCH(U$1,'Monthly VOL'!$N$1:$CG$1,0))/INDEX('Monthly CUST'!$N$2:$CG$65,MATCH($D42,'Monthly CUST'!$D$2:$D$65,0),MATCH(U$1,'Monthly CUST'!$N$1:$CG$1,0)),0)</f>
        <v>26.049473684210525</v>
      </c>
      <c r="V42" s="56">
        <f>IFERROR(INDEX('Monthly VOL'!$N$2:$CG$65,MATCH($D42,'Monthly VOL'!$D$2:$D$65,0),MATCH(V$1,'Monthly VOL'!$N$1:$CG$1,0))/INDEX('Monthly CUST'!$N$2:$CG$65,MATCH($D42,'Monthly CUST'!$D$2:$D$65,0),MATCH(V$1,'Monthly CUST'!$N$1:$CG$1,0)),0)</f>
        <v>17.756315789473685</v>
      </c>
      <c r="W42" s="56">
        <f>IFERROR(INDEX('Monthly VOL'!$N$2:$CG$65,MATCH($D42,'Monthly VOL'!$D$2:$D$65,0),MATCH(W$1,'Monthly VOL'!$N$1:$CG$1,0))/INDEX('Monthly CUST'!$N$2:$CG$65,MATCH($D42,'Monthly CUST'!$D$2:$D$65,0),MATCH(W$1,'Monthly CUST'!$N$1:$CG$1,0)),0)</f>
        <v>19.193157894736842</v>
      </c>
      <c r="X42" s="56">
        <f>IFERROR(INDEX('Monthly VOL'!$N$2:$CG$65,MATCH($D42,'Monthly VOL'!$D$2:$D$65,0),MATCH(X$1,'Monthly VOL'!$N$1:$CG$1,0))/INDEX('Monthly CUST'!$N$2:$CG$65,MATCH($D42,'Monthly CUST'!$D$2:$D$65,0),MATCH(X$1,'Monthly CUST'!$N$1:$CG$1,0)),0)</f>
        <v>34.69</v>
      </c>
      <c r="Y42" s="56">
        <f>IFERROR(INDEX('Monthly VOL'!$N$2:$CG$65,MATCH($D42,'Monthly VOL'!$D$2:$D$65,0),MATCH(Y$1,'Monthly VOL'!$N$1:$CG$1,0))/INDEX('Monthly CUST'!$N$2:$CG$65,MATCH($D42,'Monthly CUST'!$D$2:$D$65,0),MATCH(Y$1,'Monthly CUST'!$N$1:$CG$1,0)),0)</f>
        <v>53.69</v>
      </c>
      <c r="Z42" s="56">
        <f>IFERROR(INDEX('Monthly VOL'!$N$2:$CG$65,MATCH($D42,'Monthly VOL'!$D$2:$D$65,0),MATCH(Z$1,'Monthly VOL'!$N$1:$CG$1,0))/INDEX('Monthly CUST'!$N$2:$CG$65,MATCH($D42,'Monthly CUST'!$D$2:$D$65,0),MATCH(Z$1,'Monthly CUST'!$N$1:$CG$1,0)),0)</f>
        <v>83.416842105263157</v>
      </c>
      <c r="AA42" s="56">
        <f>IFERROR(INDEX('Monthly VOL'!$N$2:$CG$65,MATCH($D42,'Monthly VOL'!$D$2:$D$65,0),MATCH(AA$1,'Monthly VOL'!$N$1:$CG$1,0))/INDEX('Monthly CUST'!$N$2:$CG$65,MATCH($D42,'Monthly CUST'!$D$2:$D$65,0),MATCH(AA$1,'Monthly CUST'!$N$1:$CG$1,0)),0)</f>
        <v>65.319999999999993</v>
      </c>
      <c r="AB42" s="56">
        <f>IFERROR(INDEX('Monthly VOL'!$N$2:$CG$65,MATCH($D42,'Monthly VOL'!$D$2:$D$65,0),MATCH(AB$1,'Monthly VOL'!$N$1:$CG$1,0))/INDEX('Monthly CUST'!$N$2:$CG$65,MATCH($D42,'Monthly CUST'!$D$2:$D$65,0),MATCH(AB$1,'Monthly CUST'!$N$1:$CG$1,0)),0)</f>
        <v>70.897894736842105</v>
      </c>
      <c r="AC42" s="56">
        <f>IFERROR(INDEX('Monthly VOL'!$N$2:$CG$65,MATCH($D42,'Monthly VOL'!$D$2:$D$65,0),MATCH(AC$1,'Monthly VOL'!$N$1:$CG$1,0))/INDEX('Monthly CUST'!$N$2:$CG$65,MATCH($D42,'Monthly CUST'!$D$2:$D$65,0),MATCH(AC$1,'Monthly CUST'!$N$1:$CG$1,0)),0)</f>
        <v>85.42263157894736</v>
      </c>
      <c r="AD42" s="56">
        <f>IFERROR(INDEX('Monthly VOL'!$N$2:$CG$65,MATCH($D42,'Monthly VOL'!$D$2:$D$65,0),MATCH(AD$1,'Monthly VOL'!$N$1:$CG$1,0))/INDEX('Monthly CUST'!$N$2:$CG$65,MATCH($D42,'Monthly CUST'!$D$2:$D$65,0),MATCH(AD$1,'Monthly CUST'!$N$1:$CG$1,0)),0)</f>
        <v>34.869999999999997</v>
      </c>
      <c r="AE42" s="56">
        <f>IFERROR(INDEX('Monthly VOL'!$N$2:$CG$65,MATCH($D42,'Monthly VOL'!$D$2:$D$65,0),MATCH(AE$1,'Monthly VOL'!$N$1:$CG$1,0))/INDEX('Monthly CUST'!$N$2:$CG$65,MATCH($D42,'Monthly CUST'!$D$2:$D$65,0),MATCH(AE$1,'Monthly CUST'!$N$1:$CG$1,0)),0)</f>
        <v>22.190555555555555</v>
      </c>
      <c r="AF42" s="56">
        <f>IFERROR(INDEX('Monthly VOL'!$N$2:$CG$65,MATCH($D42,'Monthly VOL'!$D$2:$D$65,0),MATCH(AF$1,'Monthly VOL'!$N$1:$CG$1,0))/INDEX('Monthly CUST'!$N$2:$CG$65,MATCH($D42,'Monthly CUST'!$D$2:$D$65,0),MATCH(AF$1,'Monthly CUST'!$N$1:$CG$1,0)),0)</f>
        <v>17.943333333333335</v>
      </c>
      <c r="AG42" s="56">
        <f>IFERROR(INDEX('Monthly VOL'!$N$2:$CG$65,MATCH($D42,'Monthly VOL'!$D$2:$D$65,0),MATCH(AG$1,'Monthly VOL'!$N$1:$CG$1,0))/INDEX('Monthly CUST'!$N$2:$CG$65,MATCH($D42,'Monthly CUST'!$D$2:$D$65,0),MATCH(AG$1,'Monthly CUST'!$N$1:$CG$1,0)),0)</f>
        <v>22.335555555555558</v>
      </c>
      <c r="AH42" s="56">
        <f>IFERROR(INDEX('Monthly VOL'!$N$2:$CG$65,MATCH($D42,'Monthly VOL'!$D$2:$D$65,0),MATCH(AH$1,'Monthly VOL'!$N$1:$CG$1,0))/INDEX('Monthly CUST'!$N$2:$CG$65,MATCH($D42,'Monthly CUST'!$D$2:$D$65,0),MATCH(AH$1,'Monthly CUST'!$N$1:$CG$1,0)),0)</f>
        <v>16.750555555555554</v>
      </c>
      <c r="AI42" s="56">
        <f>IFERROR(INDEX('Monthly VOL'!$N$2:$CG$65,MATCH($D42,'Monthly VOL'!$D$2:$D$65,0),MATCH(AI$1,'Monthly VOL'!$N$1:$CG$1,0))/INDEX('Monthly CUST'!$N$2:$CG$65,MATCH($D42,'Monthly CUST'!$D$2:$D$65,0),MATCH(AI$1,'Monthly CUST'!$N$1:$CG$1,0)),0)</f>
        <v>21.232777777777777</v>
      </c>
      <c r="AJ42" s="56">
        <f>IFERROR(INDEX('Monthly VOL'!$N$2:$CG$65,MATCH($D42,'Monthly VOL'!$D$2:$D$65,0),MATCH(AJ$1,'Monthly VOL'!$N$1:$CG$1,0))/INDEX('Monthly CUST'!$N$2:$CG$65,MATCH($D42,'Monthly CUST'!$D$2:$D$65,0),MATCH(AJ$1,'Monthly CUST'!$N$1:$CG$1,0)),0)</f>
        <v>41.73842105263158</v>
      </c>
      <c r="AK42" s="56">
        <f>IFERROR(INDEX('Monthly VOL'!$N$2:$CG$65,MATCH($D42,'Monthly VOL'!$D$2:$D$65,0),MATCH(AK$1,'Monthly VOL'!$N$1:$CG$1,0))/INDEX('Monthly CUST'!$N$2:$CG$65,MATCH($D42,'Monthly CUST'!$D$2:$D$65,0),MATCH(AK$1,'Monthly CUST'!$N$1:$CG$1,0)),0)</f>
        <v>93.64473684210526</v>
      </c>
      <c r="AL42" s="56">
        <f>IFERROR(INDEX('Monthly VOL'!$N$2:$CG$65,MATCH($D42,'Monthly VOL'!$D$2:$D$65,0),MATCH(AL$1,'Monthly VOL'!$N$1:$CG$1,0))/INDEX('Monthly CUST'!$N$2:$CG$65,MATCH($D42,'Monthly CUST'!$D$2:$D$65,0),MATCH(AL$1,'Monthly CUST'!$N$1:$CG$1,0)),0)</f>
        <v>94.939473684210526</v>
      </c>
      <c r="AM42" s="56">
        <f>IFERROR(INDEX('Monthly VOL'!$N$2:$CG$65,MATCH($D42,'Monthly VOL'!$D$2:$D$65,0),MATCH(AM$1,'Monthly VOL'!$N$1:$CG$1,0))/INDEX('Monthly CUST'!$N$2:$CG$65,MATCH($D42,'Monthly CUST'!$D$2:$D$65,0),MATCH(AM$1,'Monthly CUST'!$N$1:$CG$1,0)),0)</f>
        <v>90.7221052631579</v>
      </c>
      <c r="AN42" s="56">
        <f>IFERROR(INDEX('Monthly VOL'!$N$2:$CG$65,MATCH($D42,'Monthly VOL'!$D$2:$D$65,0),MATCH(AN$1,'Monthly VOL'!$N$1:$CG$1,0))/INDEX('Monthly CUST'!$N$2:$CG$65,MATCH($D42,'Monthly CUST'!$D$2:$D$65,0),MATCH(AN$1,'Monthly CUST'!$N$1:$CG$1,0)),0)</f>
        <v>73.398499999999999</v>
      </c>
      <c r="AO42" s="56">
        <f>IFERROR(INDEX('Monthly VOL'!$N$2:$CG$65,MATCH($D42,'Monthly VOL'!$D$2:$D$65,0),MATCH(AO$1,'Monthly VOL'!$N$1:$CG$1,0))/INDEX('Monthly CUST'!$N$2:$CG$65,MATCH($D42,'Monthly CUST'!$D$2:$D$65,0),MATCH(AO$1,'Monthly CUST'!$N$1:$CG$1,0)),0)</f>
        <v>38.43</v>
      </c>
      <c r="AP42" s="56">
        <f>IFERROR(INDEX('Monthly VOL'!$N$2:$CG$65,MATCH($D42,'Monthly VOL'!$D$2:$D$65,0),MATCH(AP$1,'Monthly VOL'!$N$1:$CG$1,0))/INDEX('Monthly CUST'!$N$2:$CG$65,MATCH($D42,'Monthly CUST'!$D$2:$D$65,0),MATCH(AP$1,'Monthly CUST'!$N$1:$CG$1,0)),0)</f>
        <v>10.439499999999999</v>
      </c>
      <c r="AQ42" s="56">
        <f>IFERROR(INDEX('Monthly VOL'!$N$2:$CG$65,MATCH($D42,'Monthly VOL'!$D$2:$D$65,0),MATCH(AQ$1,'Monthly VOL'!$N$1:$CG$1,0))/INDEX('Monthly CUST'!$N$2:$CG$65,MATCH($D42,'Monthly CUST'!$D$2:$D$65,0),MATCH(AQ$1,'Monthly CUST'!$N$1:$CG$1,0)),0)</f>
        <v>17.427</v>
      </c>
      <c r="AR42" s="56">
        <f>IFERROR(INDEX('Monthly VOL'!$N$2:$CG$65,MATCH($D42,'Monthly VOL'!$D$2:$D$65,0),MATCH(AR$1,'Monthly VOL'!$N$1:$CG$1,0))/INDEX('Monthly CUST'!$N$2:$CG$65,MATCH($D42,'Monthly CUST'!$D$2:$D$65,0),MATCH(AR$1,'Monthly CUST'!$N$1:$CG$1,0)),0)</f>
        <v>20.189</v>
      </c>
      <c r="AS42" s="56">
        <f>IFERROR(INDEX('Monthly VOL'!$N$2:$CG$65,MATCH($D42,'Monthly VOL'!$D$2:$D$65,0),MATCH(AS$1,'Monthly VOL'!$N$1:$CG$1,0))/INDEX('Monthly CUST'!$N$2:$CG$65,MATCH($D42,'Monthly CUST'!$D$2:$D$65,0),MATCH(AS$1,'Monthly CUST'!$N$1:$CG$1,0)),0)</f>
        <v>17.762</v>
      </c>
      <c r="AT42" s="56">
        <f>IFERROR(INDEX('Monthly VOL'!$N$2:$CG$65,MATCH($D42,'Monthly VOL'!$D$2:$D$65,0),MATCH(AT$1,'Monthly VOL'!$N$1:$CG$1,0))/INDEX('Monthly CUST'!$N$2:$CG$65,MATCH($D42,'Monthly CUST'!$D$2:$D$65,0),MATCH(AT$1,'Monthly CUST'!$N$1:$CG$1,0)),0)</f>
        <v>19.6235</v>
      </c>
      <c r="AU42" s="56">
        <f>IFERROR(INDEX('Monthly VOL'!$N$2:$CG$65,MATCH($D42,'Monthly VOL'!$D$2:$D$65,0),MATCH(AU$1,'Monthly VOL'!$N$1:$CG$1,0))/INDEX('Monthly CUST'!$N$2:$CG$65,MATCH($D42,'Monthly CUST'!$D$2:$D$65,0),MATCH(AU$1,'Monthly CUST'!$N$1:$CG$1,0)),0)</f>
        <v>27.012857142857143</v>
      </c>
      <c r="AV42" s="56">
        <f>IFERROR(INDEX('Monthly VOL'!$N$2:$CG$65,MATCH($D42,'Monthly VOL'!$D$2:$D$65,0),MATCH(AV$1,'Monthly VOL'!$N$1:$CG$1,0))/INDEX('Monthly CUST'!$N$2:$CG$65,MATCH($D42,'Monthly CUST'!$D$2:$D$65,0),MATCH(AV$1,'Monthly CUST'!$N$1:$CG$1,0)),0)</f>
        <v>40.481000000000002</v>
      </c>
      <c r="AW42" s="56">
        <f>IFERROR(INDEX('Monthly VOL'!$N$2:$CG$65,MATCH($D42,'Monthly VOL'!$D$2:$D$65,0),MATCH(AW$1,'Monthly VOL'!$N$1:$CG$1,0))/INDEX('Monthly CUST'!$N$2:$CG$65,MATCH($D42,'Monthly CUST'!$D$2:$D$65,0),MATCH(AW$1,'Monthly CUST'!$N$1:$CG$1,0)),0)</f>
        <v>70.575999999999993</v>
      </c>
      <c r="AX42" s="56">
        <f>IFERROR(INDEX('Monthly VOL'!$N$2:$CG$65,MATCH($D42,'Monthly VOL'!$D$2:$D$65,0),MATCH(AX$1,'Monthly VOL'!$N$1:$CG$1,0))/INDEX('Monthly CUST'!$N$2:$CG$65,MATCH($D42,'Monthly CUST'!$D$2:$D$65,0),MATCH(AX$1,'Monthly CUST'!$N$1:$CG$1,0)),0)</f>
        <v>68.594000000000008</v>
      </c>
      <c r="AY42" s="56">
        <f>IFERROR(INDEX('Monthly VOL'!$N$2:$CG$65,MATCH($D42,'Monthly VOL'!$D$2:$D$65,0),MATCH(AY$1,'Monthly VOL'!$N$1:$CG$1,0))/INDEX('Monthly CUST'!$N$2:$CG$65,MATCH($D42,'Monthly CUST'!$D$2:$D$65,0),MATCH(AY$1,'Monthly CUST'!$N$1:$CG$1,0)),0)</f>
        <v>52.495000000000005</v>
      </c>
      <c r="AZ42" s="56">
        <f>IFERROR(INDEX('Monthly VOL'!$N$2:$CG$65,MATCH($D42,'Monthly VOL'!$D$2:$D$65,0),MATCH(AZ$1,'Monthly VOL'!$N$1:$CG$1,0))/INDEX('Monthly CUST'!$N$2:$CG$65,MATCH($D42,'Monthly CUST'!$D$2:$D$65,0),MATCH(AZ$1,'Monthly CUST'!$N$1:$CG$1,0)),0)</f>
        <v>70.200999999999993</v>
      </c>
      <c r="BA42" s="56">
        <f>IFERROR(INDEX('Monthly VOL'!$N$2:$CG$65,MATCH($D42,'Monthly VOL'!$D$2:$D$65,0),MATCH(BA$1,'Monthly VOL'!$N$1:$CG$1,0))/INDEX('Monthly CUST'!$N$2:$CG$65,MATCH($D42,'Monthly CUST'!$D$2:$D$65,0),MATCH(BA$1,'Monthly CUST'!$N$1:$CG$1,0)),0)</f>
        <v>75.596000000000004</v>
      </c>
      <c r="BB42" s="56">
        <f>IFERROR(INDEX('Monthly VOL'!$N$2:$CG$65,MATCH($D42,'Monthly VOL'!$D$2:$D$65,0),MATCH(BB$1,'Monthly VOL'!$N$1:$CG$1,0))/INDEX('Monthly CUST'!$N$2:$CG$65,MATCH($D42,'Monthly CUST'!$D$2:$D$65,0),MATCH(BB$1,'Monthly CUST'!$N$1:$CG$1,0)),0)</f>
        <v>39.891000000000005</v>
      </c>
      <c r="BC42" s="56">
        <f>IFERROR(INDEX('Monthly VOL'!$N$2:$CG$65,MATCH($D42,'Monthly VOL'!$D$2:$D$65,0),MATCH(BC$1,'Monthly VOL'!$N$1:$CG$1,0))/INDEX('Monthly CUST'!$N$2:$CG$65,MATCH($D42,'Monthly CUST'!$D$2:$D$65,0),MATCH(BC$1,'Monthly CUST'!$N$1:$CG$1,0)),0)</f>
        <v>30.926842105263159</v>
      </c>
      <c r="BD42" s="56">
        <f>IFERROR(INDEX('Monthly VOL'!$N$2:$CG$65,MATCH($D42,'Monthly VOL'!$D$2:$D$65,0),MATCH(BD$1,'Monthly VOL'!$N$1:$CG$1,0))/INDEX('Monthly CUST'!$N$2:$CG$65,MATCH($D42,'Monthly CUST'!$D$2:$D$65,0),MATCH(BD$1,'Monthly CUST'!$N$1:$CG$1,0)),0)</f>
        <v>23.266500000000001</v>
      </c>
      <c r="BE42" s="56">
        <f>IFERROR(INDEX('Monthly VOL'!$N$2:$CG$65,MATCH($D42,'Monthly VOL'!$D$2:$D$65,0),MATCH(BE$1,'Monthly VOL'!$N$1:$CG$1,0))/INDEX('Monthly CUST'!$N$2:$CG$65,MATCH($D42,'Monthly CUST'!$D$2:$D$65,0),MATCH(BE$1,'Monthly CUST'!$N$1:$CG$1,0)),0)</f>
        <v>22.333684210526314</v>
      </c>
      <c r="BF42" s="56">
        <f>IFERROR(INDEX('Monthly VOL'!$N$2:$CG$65,MATCH($D42,'Monthly VOL'!$D$2:$D$65,0),MATCH(BF$1,'Monthly VOL'!$N$1:$CG$1,0))/INDEX('Monthly CUST'!$N$2:$CG$65,MATCH($D42,'Monthly CUST'!$D$2:$D$65,0),MATCH(BF$1,'Monthly CUST'!$N$1:$CG$1,0)),0)</f>
        <v>21.216315789473686</v>
      </c>
      <c r="BG42" s="56">
        <f>IFERROR(INDEX('Monthly VOL'!$N$2:$CG$65,MATCH($D42,'Monthly VOL'!$D$2:$D$65,0),MATCH(BG$1,'Monthly VOL'!$N$1:$CG$1,0))/INDEX('Monthly CUST'!$N$2:$CG$65,MATCH($D42,'Monthly CUST'!$D$2:$D$65,0),MATCH(BG$1,'Monthly CUST'!$N$1:$CG$1,0)),0)</f>
        <v>31.949473684210524</v>
      </c>
      <c r="BH42" s="56">
        <f>IFERROR(INDEX('Monthly VOL'!$N$2:$CG$65,MATCH($D42,'Monthly VOL'!$D$2:$D$65,0),MATCH(BH$1,'Monthly VOL'!$N$1:$CG$1,0))/INDEX('Monthly CUST'!$N$2:$CG$65,MATCH($D42,'Monthly CUST'!$D$2:$D$65,0),MATCH(BH$1,'Monthly CUST'!$N$1:$CG$1,0)),0)</f>
        <v>49.68</v>
      </c>
      <c r="BI42" s="56">
        <f>IFERROR(INDEX('Monthly VOL'!$N$2:$CG$65,MATCH($D42,'Monthly VOL'!$D$2:$D$65,0),MATCH(BI$1,'Monthly VOL'!$N$1:$CG$1,0))/INDEX('Monthly CUST'!$N$2:$CG$65,MATCH($D42,'Monthly CUST'!$D$2:$D$65,0),MATCH(BI$1,'Monthly CUST'!$N$1:$CG$1,0)),0)</f>
        <v>69.9495</v>
      </c>
      <c r="BJ42" s="56">
        <f>IFERROR(INDEX('Monthly VOL'!$N$2:$CG$65,MATCH($D42,'Monthly VOL'!$D$2:$D$65,0),MATCH(BJ$1,'Monthly VOL'!$N$1:$CG$1,0))/INDEX('Monthly CUST'!$N$2:$CG$65,MATCH($D42,'Monthly CUST'!$D$2:$D$65,0),MATCH(BJ$1,'Monthly CUST'!$N$1:$CG$1,0)),0)</f>
        <v>68.594000000000008</v>
      </c>
      <c r="BK42" s="56">
        <f>IFERROR(INDEX('Monthly VOL'!$N$2:$CG$65,MATCH($D42,'Monthly VOL'!$D$2:$D$65,0),MATCH(BK$1,'Monthly VOL'!$N$1:$CG$1,0))/INDEX('Monthly CUST'!$N$2:$CG$65,MATCH($D42,'Monthly CUST'!$D$2:$D$65,0),MATCH(BK$1,'Monthly CUST'!$N$1:$CG$1,0)),0)</f>
        <v>52.494999999999997</v>
      </c>
      <c r="BL42" s="56">
        <f>IFERROR(INDEX('Monthly VOL'!$N$2:$CG$65,MATCH($D42,'Monthly VOL'!$D$2:$D$65,0),MATCH(BL$1,'Monthly VOL'!$N$1:$CG$1,0))/INDEX('Monthly CUST'!$N$2:$CG$65,MATCH($D42,'Monthly CUST'!$D$2:$D$65,0),MATCH(BL$1,'Monthly CUST'!$N$1:$CG$1,0)),0)</f>
        <v>70.200999999999993</v>
      </c>
      <c r="BM42" s="56">
        <f>IFERROR(INDEX('Monthly VOL'!$N$2:$CG$65,MATCH($D42,'Monthly VOL'!$D$2:$D$65,0),MATCH(BM$1,'Monthly VOL'!$N$1:$CG$1,0))/INDEX('Monthly CUST'!$N$2:$CG$65,MATCH($D42,'Monthly CUST'!$D$2:$D$65,0),MATCH(BM$1,'Monthly CUST'!$N$1:$CG$1,0)),0)</f>
        <v>75.596000000000004</v>
      </c>
      <c r="BN42" s="56">
        <f>IFERROR(INDEX('Monthly VOL'!$N$2:$CG$65,MATCH($D42,'Monthly VOL'!$D$2:$D$65,0),MATCH(BN$1,'Monthly VOL'!$N$1:$CG$1,0))/INDEX('Monthly CUST'!$N$2:$CG$65,MATCH($D42,'Monthly CUST'!$D$2:$D$65,0),MATCH(BN$1,'Monthly CUST'!$N$1:$CG$1,0)),0)</f>
        <v>39.891000000000005</v>
      </c>
      <c r="BO42" s="56">
        <f>IFERROR(INDEX('Monthly VOL'!$N$2:$CG$65,MATCH($D42,'Monthly VOL'!$D$2:$D$65,0),MATCH(BO$1,'Monthly VOL'!$N$1:$CG$1,0))/INDEX('Monthly CUST'!$N$2:$CG$65,MATCH($D42,'Monthly CUST'!$D$2:$D$65,0),MATCH(BO$1,'Monthly CUST'!$N$1:$CG$1,0)),0)</f>
        <v>30.926842105263155</v>
      </c>
      <c r="BP42" s="56">
        <f>IFERROR(INDEX('Monthly VOL'!$N$2:$CG$65,MATCH($D42,'Monthly VOL'!$D$2:$D$65,0),MATCH(BP$1,'Monthly VOL'!$N$1:$CG$1,0))/INDEX('Monthly CUST'!$N$2:$CG$65,MATCH($D42,'Monthly CUST'!$D$2:$D$65,0),MATCH(BP$1,'Monthly CUST'!$N$1:$CG$1,0)),0)</f>
        <v>23.266500000000001</v>
      </c>
      <c r="BQ42" s="56">
        <f>IFERROR(INDEX('Monthly VOL'!$N$2:$CG$65,MATCH($D42,'Monthly VOL'!$D$2:$D$65,0),MATCH(BQ$1,'Monthly VOL'!$N$1:$CG$1,0))/INDEX('Monthly CUST'!$N$2:$CG$65,MATCH($D42,'Monthly CUST'!$D$2:$D$65,0),MATCH(BQ$1,'Monthly CUST'!$N$1:$CG$1,0)),0)</f>
        <v>22.333684210526314</v>
      </c>
      <c r="BR42" s="56">
        <f>IFERROR(INDEX('Monthly VOL'!$N$2:$CG$65,MATCH($D42,'Monthly VOL'!$D$2:$D$65,0),MATCH(BR$1,'Monthly VOL'!$N$1:$CG$1,0))/INDEX('Monthly CUST'!$N$2:$CG$65,MATCH($D42,'Monthly CUST'!$D$2:$D$65,0),MATCH(BR$1,'Monthly CUST'!$N$1:$CG$1,0)),0)</f>
        <v>21.216315789473686</v>
      </c>
      <c r="BS42" s="56">
        <f>IFERROR(INDEX('Monthly VOL'!$N$2:$CG$65,MATCH($D42,'Monthly VOL'!$D$2:$D$65,0),MATCH(BS$1,'Monthly VOL'!$N$1:$CG$1,0))/INDEX('Monthly CUST'!$N$2:$CG$65,MATCH($D42,'Monthly CUST'!$D$2:$D$65,0),MATCH(BS$1,'Monthly CUST'!$N$1:$CG$1,0)),0)</f>
        <v>31.949473684210524</v>
      </c>
      <c r="BT42" s="56">
        <f>IFERROR(INDEX('Monthly VOL'!$N$2:$CG$65,MATCH($D42,'Monthly VOL'!$D$2:$D$65,0),MATCH(BT$1,'Monthly VOL'!$N$1:$CG$1,0))/INDEX('Monthly CUST'!$N$2:$CG$65,MATCH($D42,'Monthly CUST'!$D$2:$D$65,0),MATCH(BT$1,'Monthly CUST'!$N$1:$CG$1,0)),0)</f>
        <v>49.68</v>
      </c>
      <c r="BU42" s="56">
        <f>IFERROR(INDEX('Monthly VOL'!$N$2:$CG$65,MATCH($D42,'Monthly VOL'!$D$2:$D$65,0),MATCH(BU$1,'Monthly VOL'!$N$1:$CG$1,0))/INDEX('Monthly CUST'!$N$2:$CG$65,MATCH($D42,'Monthly CUST'!$D$2:$D$65,0),MATCH(BU$1,'Monthly CUST'!$N$1:$CG$1,0)),0)</f>
        <v>69.9495</v>
      </c>
      <c r="BV42" s="56">
        <f>IFERROR(INDEX('Monthly VOL'!$N$2:$CG$65,MATCH($D42,'Monthly VOL'!$D$2:$D$65,0),MATCH(BV$1,'Monthly VOL'!$N$1:$CG$1,0))/INDEX('Monthly CUST'!$N$2:$CG$65,MATCH($D42,'Monthly CUST'!$D$2:$D$65,0),MATCH(BV$1,'Monthly CUST'!$N$1:$CG$1,0)),0)</f>
        <v>68.594000000000008</v>
      </c>
      <c r="BW42" s="56">
        <f>IFERROR(INDEX('Monthly VOL'!$N$2:$CG$65,MATCH($D42,'Monthly VOL'!$D$2:$D$65,0),MATCH(BW$1,'Monthly VOL'!$N$1:$CG$1,0))/INDEX('Monthly CUST'!$N$2:$CG$65,MATCH($D42,'Monthly CUST'!$D$2:$D$65,0),MATCH(BW$1,'Monthly CUST'!$N$1:$CG$1,0)),0)</f>
        <v>52.494999999999997</v>
      </c>
      <c r="BX42" s="56">
        <f>IFERROR(INDEX('Monthly VOL'!$N$2:$CG$65,MATCH($D42,'Monthly VOL'!$D$2:$D$65,0),MATCH(BX$1,'Monthly VOL'!$N$1:$CG$1,0))/INDEX('Monthly CUST'!$N$2:$CG$65,MATCH($D42,'Monthly CUST'!$D$2:$D$65,0),MATCH(BX$1,'Monthly CUST'!$N$1:$CG$1,0)),0)</f>
        <v>70.200999999999993</v>
      </c>
      <c r="BY42" s="56">
        <f>IFERROR(INDEX('Monthly VOL'!$N$2:$CG$65,MATCH($D42,'Monthly VOL'!$D$2:$D$65,0),MATCH(BY$1,'Monthly VOL'!$N$1:$CG$1,0))/INDEX('Monthly CUST'!$N$2:$CG$65,MATCH($D42,'Monthly CUST'!$D$2:$D$65,0),MATCH(BY$1,'Monthly CUST'!$N$1:$CG$1,0)),0)</f>
        <v>75.596000000000004</v>
      </c>
      <c r="BZ42" s="56">
        <f>IFERROR(INDEX('Monthly VOL'!$N$2:$CG$65,MATCH($D42,'Monthly VOL'!$D$2:$D$65,0),MATCH(BZ$1,'Monthly VOL'!$N$1:$CG$1,0))/INDEX('Monthly CUST'!$N$2:$CG$65,MATCH($D42,'Monthly CUST'!$D$2:$D$65,0),MATCH(BZ$1,'Monthly CUST'!$N$1:$CG$1,0)),0)</f>
        <v>39.891000000000005</v>
      </c>
      <c r="CA42" s="56">
        <f>IFERROR(INDEX('Monthly VOL'!$N$2:$CG$65,MATCH($D42,'Monthly VOL'!$D$2:$D$65,0),MATCH(CA$1,'Monthly VOL'!$N$1:$CG$1,0))/INDEX('Monthly CUST'!$N$2:$CG$65,MATCH($D42,'Monthly CUST'!$D$2:$D$65,0),MATCH(CA$1,'Monthly CUST'!$N$1:$CG$1,0)),0)</f>
        <v>30.926842105263152</v>
      </c>
      <c r="CB42" s="56">
        <f>IFERROR(INDEX('Monthly VOL'!$N$2:$CG$65,MATCH($D42,'Monthly VOL'!$D$2:$D$65,0),MATCH(CB$1,'Monthly VOL'!$N$1:$CG$1,0))/INDEX('Monthly CUST'!$N$2:$CG$65,MATCH($D42,'Monthly CUST'!$D$2:$D$65,0),MATCH(CB$1,'Monthly CUST'!$N$1:$CG$1,0)),0)</f>
        <v>23.266500000000001</v>
      </c>
      <c r="CC42" s="56">
        <f>IFERROR(INDEX('Monthly VOL'!$N$2:$CG$65,MATCH($D42,'Monthly VOL'!$D$2:$D$65,0),MATCH(CC$1,'Monthly VOL'!$N$1:$CG$1,0))/INDEX('Monthly CUST'!$N$2:$CG$65,MATCH($D42,'Monthly CUST'!$D$2:$D$65,0),MATCH(CC$1,'Monthly CUST'!$N$1:$CG$1,0)),0)</f>
        <v>22.333684210526314</v>
      </c>
      <c r="CD42" s="56">
        <f>IFERROR(INDEX('Monthly VOL'!$N$2:$CG$65,MATCH($D42,'Monthly VOL'!$D$2:$D$65,0),MATCH(CD$1,'Monthly VOL'!$N$1:$CG$1,0))/INDEX('Monthly CUST'!$N$2:$CG$65,MATCH($D42,'Monthly CUST'!$D$2:$D$65,0),MATCH(CD$1,'Monthly CUST'!$N$1:$CG$1,0)),0)</f>
        <v>21.216315789473686</v>
      </c>
      <c r="CE42" s="56">
        <f>IFERROR(INDEX('Monthly VOL'!$N$2:$CG$65,MATCH($D42,'Monthly VOL'!$D$2:$D$65,0),MATCH(CE$1,'Monthly VOL'!$N$1:$CG$1,0))/INDEX('Monthly CUST'!$N$2:$CG$65,MATCH($D42,'Monthly CUST'!$D$2:$D$65,0),MATCH(CE$1,'Monthly CUST'!$N$1:$CG$1,0)),0)</f>
        <v>31.949473684210524</v>
      </c>
      <c r="CF42" s="56">
        <f>IFERROR(INDEX('Monthly VOL'!$N$2:$CG$65,MATCH($D42,'Monthly VOL'!$D$2:$D$65,0),MATCH(CF$1,'Monthly VOL'!$N$1:$CG$1,0))/INDEX('Monthly CUST'!$N$2:$CG$65,MATCH($D42,'Monthly CUST'!$D$2:$D$65,0),MATCH(CF$1,'Monthly CUST'!$N$1:$CG$1,0)),0)</f>
        <v>49.68</v>
      </c>
      <c r="CG42" s="56">
        <f>IFERROR(INDEX('Monthly VOL'!$N$2:$CG$65,MATCH($D42,'Monthly VOL'!$D$2:$D$65,0),MATCH(CG$1,'Monthly VOL'!$N$1:$CG$1,0))/INDEX('Monthly CUST'!$N$2:$CG$65,MATCH($D42,'Monthly CUST'!$D$2:$D$65,0),MATCH(CG$1,'Monthly CUST'!$N$1:$CG$1,0)),0)</f>
        <v>69.9495</v>
      </c>
      <c r="CH42" s="264"/>
      <c r="CI42" s="264"/>
      <c r="CJ42" s="264"/>
      <c r="CM42" s="569">
        <f t="shared" si="24"/>
        <v>82.316771929824554</v>
      </c>
      <c r="CN42" s="569">
        <f t="shared" si="25"/>
        <v>69.512368421052642</v>
      </c>
      <c r="CO42" s="569">
        <f t="shared" si="26"/>
        <v>71.49913157894737</v>
      </c>
      <c r="CP42" s="569">
        <f t="shared" si="27"/>
        <v>66.482877192982457</v>
      </c>
      <c r="CQ42" s="569">
        <f t="shared" si="28"/>
        <v>28.400166666666667</v>
      </c>
      <c r="CR42" s="569">
        <f t="shared" si="29"/>
        <v>23.514799220272906</v>
      </c>
      <c r="CS42" s="569">
        <f t="shared" si="30"/>
        <v>20.46627777777778</v>
      </c>
      <c r="CT42" s="569">
        <f t="shared" si="31"/>
        <v>20.810413255360626</v>
      </c>
      <c r="CU42" s="569">
        <f t="shared" si="32"/>
        <v>19.19679044834308</v>
      </c>
      <c r="CV42" s="569">
        <f t="shared" si="33"/>
        <v>26.731702868281815</v>
      </c>
      <c r="CW42" s="569">
        <f t="shared" si="34"/>
        <v>43.966473684210534</v>
      </c>
      <c r="CX42" s="569">
        <f t="shared" si="35"/>
        <v>78.05674561403508</v>
      </c>
      <c r="CY42" s="569">
        <f t="shared" si="36"/>
        <v>82.316771929824554</v>
      </c>
      <c r="CZ42" s="569">
        <f t="shared" si="37"/>
        <v>69.512368421052642</v>
      </c>
      <c r="DA42" s="569">
        <f t="shared" si="38"/>
        <v>71.49913157894737</v>
      </c>
      <c r="DB42" s="569">
        <f t="shared" si="39"/>
        <v>66.482877192982457</v>
      </c>
      <c r="DC42" s="569">
        <f t="shared" si="40"/>
        <v>28.400166666666667</v>
      </c>
      <c r="DD42" s="569">
        <f t="shared" si="41"/>
        <v>23.514799220272906</v>
      </c>
      <c r="DE42" s="569">
        <f t="shared" si="42"/>
        <v>20.46627777777778</v>
      </c>
      <c r="DF42" s="569">
        <f t="shared" si="43"/>
        <v>20.810413255360626</v>
      </c>
      <c r="DG42" s="569">
        <f t="shared" si="44"/>
        <v>19.19679044834308</v>
      </c>
      <c r="DH42" s="569">
        <f t="shared" si="45"/>
        <v>26.731702868281815</v>
      </c>
      <c r="DI42" s="569">
        <f t="shared" si="46"/>
        <v>43.966473684210534</v>
      </c>
      <c r="DJ42" s="569">
        <f t="shared" si="47"/>
        <v>78.05674561403508</v>
      </c>
    </row>
    <row r="43" spans="1:114" s="261" customFormat="1">
      <c r="A43" s="55" t="s">
        <v>17</v>
      </c>
      <c r="B43" s="55" t="s">
        <v>993</v>
      </c>
      <c r="C43" s="55" t="s">
        <v>1245</v>
      </c>
      <c r="D43" s="55" t="s">
        <v>1252</v>
      </c>
      <c r="E43" s="55" t="str">
        <f>VLOOKUP(D43,'Input 14_Ref Table'!C:D,2,FALSE)</f>
        <v>CC815</v>
      </c>
      <c r="F43" s="172" t="s">
        <v>1286</v>
      </c>
      <c r="G43" s="55" t="str">
        <f>VLOOKUP(D43,'Input 14_Ref Table'!C:I,7,FALSE)</f>
        <v>CFG - FTS-2 NR</v>
      </c>
      <c r="H43" s="55" t="str">
        <f>VLOOKUP(D43,'Input 14_Ref Table'!C:K,8,FALSE)</f>
        <v>FTS2</v>
      </c>
      <c r="I43" s="55" t="e">
        <f>INDEX(#REF!,MATCH(D43,#REF!,0))</f>
        <v>#REF!</v>
      </c>
      <c r="J43" s="261" t="str">
        <f>INDEX('Master '!$AD$2:AD$65,MATCH(D43,'Master '!$D$2:$D$65,0))</f>
        <v>UPC Growth Rate</v>
      </c>
      <c r="K43" s="567">
        <f>INDEX('Master '!$N$2:N$65,MATCH(D43,'Master '!$D$2:$D$65,0))</f>
        <v>5.7427510434033407E-2</v>
      </c>
      <c r="L43" s="290">
        <f>INDEX('Master '!$S$2:S$65,MATCH(D43,'Master '!$D$2:$D$65,0))</f>
        <v>-1.970443349753722E-2</v>
      </c>
      <c r="M43" s="1">
        <f>INDEX('Master '!$W$2:W$65,MATCH(D43,'Master '!$D$2:$D$65,0))</f>
        <v>636.79999999999995</v>
      </c>
      <c r="N43" s="56">
        <f>IFERROR(INDEX('Monthly VOL'!$N$2:$CG$65,MATCH($D43,'Monthly VOL'!$D$2:$D$65,0),MATCH(N$1,'Monthly VOL'!$N$1:$CG$1,0))/INDEX('Monthly CUST'!$N$2:$CG$65,MATCH($D43,'Monthly CUST'!$D$2:$D$65,0),MATCH(N$1,'Monthly CUST'!$N$1:$CG$1,0)),0)</f>
        <v>116.98815217391304</v>
      </c>
      <c r="O43" s="56">
        <f>IFERROR(INDEX('Monthly VOL'!$N$2:$CG$65,MATCH($D43,'Monthly VOL'!$D$2:$D$65,0),MATCH(O$1,'Monthly VOL'!$N$1:$CG$1,0))/INDEX('Monthly CUST'!$N$2:$CG$65,MATCH($D43,'Monthly CUST'!$D$2:$D$65,0),MATCH(O$1,'Monthly CUST'!$N$1:$CG$1,0)),0)</f>
        <v>85.725760869565221</v>
      </c>
      <c r="P43" s="56">
        <f>IFERROR(INDEX('Monthly VOL'!$N$2:$CG$65,MATCH($D43,'Monthly VOL'!$D$2:$D$65,0),MATCH(P$1,'Monthly VOL'!$N$1:$CG$1,0))/INDEX('Monthly CUST'!$N$2:$CG$65,MATCH($D43,'Monthly CUST'!$D$2:$D$65,0),MATCH(P$1,'Monthly CUST'!$N$1:$CG$1,0)),0)</f>
        <v>81.811098901098902</v>
      </c>
      <c r="Q43" s="56">
        <f>IFERROR(INDEX('Monthly VOL'!$N$2:$CG$65,MATCH($D43,'Monthly VOL'!$D$2:$D$65,0),MATCH(Q$1,'Monthly VOL'!$N$1:$CG$1,0))/INDEX('Monthly CUST'!$N$2:$CG$65,MATCH($D43,'Monthly CUST'!$D$2:$D$65,0),MATCH(Q$1,'Monthly CUST'!$N$1:$CG$1,0)),0)</f>
        <v>72.427204301075264</v>
      </c>
      <c r="R43" s="56">
        <f>IFERROR(INDEX('Monthly VOL'!$N$2:$CG$65,MATCH($D43,'Monthly VOL'!$D$2:$D$65,0),MATCH(R$1,'Monthly VOL'!$N$1:$CG$1,0))/INDEX('Monthly CUST'!$N$2:$CG$65,MATCH($D43,'Monthly CUST'!$D$2:$D$65,0),MATCH(R$1,'Monthly CUST'!$N$1:$CG$1,0)),0)</f>
        <v>60.11</v>
      </c>
      <c r="S43" s="56">
        <f>IFERROR(INDEX('Monthly VOL'!$N$2:$CG$65,MATCH($D43,'Monthly VOL'!$D$2:$D$65,0),MATCH(S$1,'Monthly VOL'!$N$1:$CG$1,0))/INDEX('Monthly CUST'!$N$2:$CG$65,MATCH($D43,'Monthly CUST'!$D$2:$D$65,0),MATCH(S$1,'Monthly CUST'!$N$1:$CG$1,0)),0)</f>
        <v>55.164947368421053</v>
      </c>
      <c r="T43" s="56">
        <f>IFERROR(INDEX('Monthly VOL'!$N$2:$CG$65,MATCH($D43,'Monthly VOL'!$D$2:$D$65,0),MATCH(T$1,'Monthly VOL'!$N$1:$CG$1,0))/INDEX('Monthly CUST'!$N$2:$CG$65,MATCH($D43,'Monthly CUST'!$D$2:$D$65,0),MATCH(T$1,'Monthly CUST'!$N$1:$CG$1,0)),0)</f>
        <v>51.956521739130437</v>
      </c>
      <c r="U43" s="56">
        <f>IFERROR(INDEX('Monthly VOL'!$N$2:$CG$65,MATCH($D43,'Monthly VOL'!$D$2:$D$65,0),MATCH(U$1,'Monthly VOL'!$N$1:$CG$1,0))/INDEX('Monthly CUST'!$N$2:$CG$65,MATCH($D43,'Monthly CUST'!$D$2:$D$65,0),MATCH(U$1,'Monthly CUST'!$N$1:$CG$1,0)),0)</f>
        <v>57.911413043478262</v>
      </c>
      <c r="V43" s="56">
        <f>IFERROR(INDEX('Monthly VOL'!$N$2:$CG$65,MATCH($D43,'Monthly VOL'!$D$2:$D$65,0),MATCH(V$1,'Monthly VOL'!$N$1:$CG$1,0))/INDEX('Monthly CUST'!$N$2:$CG$65,MATCH($D43,'Monthly CUST'!$D$2:$D$65,0),MATCH(V$1,'Monthly CUST'!$N$1:$CG$1,0)),0)</f>
        <v>60.001739130434778</v>
      </c>
      <c r="W43" s="56">
        <f>IFERROR(INDEX('Monthly VOL'!$N$2:$CG$65,MATCH($D43,'Monthly VOL'!$D$2:$D$65,0),MATCH(W$1,'Monthly VOL'!$N$1:$CG$1,0))/INDEX('Monthly CUST'!$N$2:$CG$65,MATCH($D43,'Monthly CUST'!$D$2:$D$65,0),MATCH(W$1,'Monthly CUST'!$N$1:$CG$1,0)),0)</f>
        <v>51.062934782608693</v>
      </c>
      <c r="X43" s="56">
        <f>IFERROR(INDEX('Monthly VOL'!$N$2:$CG$65,MATCH($D43,'Monthly VOL'!$D$2:$D$65,0),MATCH(X$1,'Monthly VOL'!$N$1:$CG$1,0))/INDEX('Monthly CUST'!$N$2:$CG$65,MATCH($D43,'Monthly CUST'!$D$2:$D$65,0),MATCH(X$1,'Monthly CUST'!$N$1:$CG$1,0)),0)</f>
        <v>107.13097826086955</v>
      </c>
      <c r="Y43" s="56">
        <f>IFERROR(INDEX('Monthly VOL'!$N$2:$CG$65,MATCH($D43,'Monthly VOL'!$D$2:$D$65,0),MATCH(Y$1,'Monthly VOL'!$N$1:$CG$1,0))/INDEX('Monthly CUST'!$N$2:$CG$65,MATCH($D43,'Monthly CUST'!$D$2:$D$65,0),MATCH(Y$1,'Monthly CUST'!$N$1:$CG$1,0)),0)</f>
        <v>96.564845360824847</v>
      </c>
      <c r="Z43" s="56">
        <f>IFERROR(INDEX('Monthly VOL'!$N$2:$CG$65,MATCH($D43,'Monthly VOL'!$D$2:$D$65,0),MATCH(Z$1,'Monthly VOL'!$N$1:$CG$1,0))/INDEX('Monthly CUST'!$N$2:$CG$65,MATCH($D43,'Monthly CUST'!$D$2:$D$65,0),MATCH(Z$1,'Monthly CUST'!$N$1:$CG$1,0)),0)</f>
        <v>93.656276595744686</v>
      </c>
      <c r="AA43" s="56">
        <f>IFERROR(INDEX('Monthly VOL'!$N$2:$CG$65,MATCH($D43,'Monthly VOL'!$D$2:$D$65,0),MATCH(AA$1,'Monthly VOL'!$N$1:$CG$1,0))/INDEX('Monthly CUST'!$N$2:$CG$65,MATCH($D43,'Monthly CUST'!$D$2:$D$65,0),MATCH(AA$1,'Monthly CUST'!$N$1:$CG$1,0)),0)</f>
        <v>87.888478260869562</v>
      </c>
      <c r="AB43" s="56">
        <f>IFERROR(INDEX('Monthly VOL'!$N$2:$CG$65,MATCH($D43,'Monthly VOL'!$D$2:$D$65,0),MATCH(AB$1,'Monthly VOL'!$N$1:$CG$1,0))/INDEX('Monthly CUST'!$N$2:$CG$65,MATCH($D43,'Monthly CUST'!$D$2:$D$65,0),MATCH(AB$1,'Monthly CUST'!$N$1:$CG$1,0)),0)</f>
        <v>81.272688172043004</v>
      </c>
      <c r="AC43" s="56">
        <f>IFERROR(INDEX('Monthly VOL'!$N$2:$CG$65,MATCH($D43,'Monthly VOL'!$D$2:$D$65,0),MATCH(AC$1,'Monthly VOL'!$N$1:$CG$1,0))/INDEX('Monthly CUST'!$N$2:$CG$65,MATCH($D43,'Monthly CUST'!$D$2:$D$65,0),MATCH(AC$1,'Monthly CUST'!$N$1:$CG$1,0)),0)</f>
        <v>65.622</v>
      </c>
      <c r="AD43" s="56">
        <f>IFERROR(INDEX('Monthly VOL'!$N$2:$CG$65,MATCH($D43,'Monthly VOL'!$D$2:$D$65,0),MATCH(AD$1,'Monthly VOL'!$N$1:$CG$1,0))/INDEX('Monthly CUST'!$N$2:$CG$65,MATCH($D43,'Monthly CUST'!$D$2:$D$65,0),MATCH(AD$1,'Monthly CUST'!$N$1:$CG$1,0)),0)</f>
        <v>60.030851063829786</v>
      </c>
      <c r="AE43" s="56">
        <f>IFERROR(INDEX('Monthly VOL'!$N$2:$CG$65,MATCH($D43,'Monthly VOL'!$D$2:$D$65,0),MATCH(AE$1,'Monthly VOL'!$N$1:$CG$1,0))/INDEX('Monthly CUST'!$N$2:$CG$65,MATCH($D43,'Monthly CUST'!$D$2:$D$65,0),MATCH(AE$1,'Monthly CUST'!$N$1:$CG$1,0)),0)</f>
        <v>53.611578947368422</v>
      </c>
      <c r="AF43" s="56">
        <f>IFERROR(INDEX('Monthly VOL'!$N$2:$CG$65,MATCH($D43,'Monthly VOL'!$D$2:$D$65,0),MATCH(AF$1,'Monthly VOL'!$N$1:$CG$1,0))/INDEX('Monthly CUST'!$N$2:$CG$65,MATCH($D43,'Monthly CUST'!$D$2:$D$65,0),MATCH(AF$1,'Monthly CUST'!$N$1:$CG$1,0)),0)</f>
        <v>42.000105263157899</v>
      </c>
      <c r="AG43" s="56">
        <f>IFERROR(INDEX('Monthly VOL'!$N$2:$CG$65,MATCH($D43,'Monthly VOL'!$D$2:$D$65,0),MATCH(AG$1,'Monthly VOL'!$N$1:$CG$1,0))/INDEX('Monthly CUST'!$N$2:$CG$65,MATCH($D43,'Monthly CUST'!$D$2:$D$65,0),MATCH(AG$1,'Monthly CUST'!$N$1:$CG$1,0)),0)</f>
        <v>50.015520833333333</v>
      </c>
      <c r="AH43" s="56">
        <f>IFERROR(INDEX('Monthly VOL'!$N$2:$CG$65,MATCH($D43,'Monthly VOL'!$D$2:$D$65,0),MATCH(AH$1,'Monthly VOL'!$N$1:$CG$1,0))/INDEX('Monthly CUST'!$N$2:$CG$65,MATCH($D43,'Monthly CUST'!$D$2:$D$65,0),MATCH(AH$1,'Monthly CUST'!$N$1:$CG$1,0)),0)</f>
        <v>49.711595744680857</v>
      </c>
      <c r="AI43" s="56">
        <f>IFERROR(INDEX('Monthly VOL'!$N$2:$CG$65,MATCH($D43,'Monthly VOL'!$D$2:$D$65,0),MATCH(AI$1,'Monthly VOL'!$N$1:$CG$1,0))/INDEX('Monthly CUST'!$N$2:$CG$65,MATCH($D43,'Monthly CUST'!$D$2:$D$65,0),MATCH(AI$1,'Monthly CUST'!$N$1:$CG$1,0)),0)</f>
        <v>53.033229166666665</v>
      </c>
      <c r="AJ43" s="56">
        <f>IFERROR(INDEX('Monthly VOL'!$N$2:$CG$65,MATCH($D43,'Monthly VOL'!$D$2:$D$65,0),MATCH(AJ$1,'Monthly VOL'!$N$1:$CG$1,0))/INDEX('Monthly CUST'!$N$2:$CG$65,MATCH($D43,'Monthly CUST'!$D$2:$D$65,0),MATCH(AJ$1,'Monthly CUST'!$N$1:$CG$1,0)),0)</f>
        <v>67.188350515463924</v>
      </c>
      <c r="AK43" s="56">
        <f>IFERROR(INDEX('Monthly VOL'!$N$2:$CG$65,MATCH($D43,'Monthly VOL'!$D$2:$D$65,0),MATCH(AK$1,'Monthly VOL'!$N$1:$CG$1,0))/INDEX('Monthly CUST'!$N$2:$CG$65,MATCH($D43,'Monthly CUST'!$D$2:$D$65,0),MATCH(AK$1,'Monthly CUST'!$N$1:$CG$1,0)),0)</f>
        <v>79.180909090909083</v>
      </c>
      <c r="AL43" s="56">
        <f>IFERROR(INDEX('Monthly VOL'!$N$2:$CG$65,MATCH($D43,'Monthly VOL'!$D$2:$D$65,0),MATCH(AL$1,'Monthly VOL'!$N$1:$CG$1,0))/INDEX('Monthly CUST'!$N$2:$CG$65,MATCH($D43,'Monthly CUST'!$D$2:$D$65,0),MATCH(AL$1,'Monthly CUST'!$N$1:$CG$1,0)),0)</f>
        <v>75.092626262626268</v>
      </c>
      <c r="AM43" s="56">
        <f>IFERROR(INDEX('Monthly VOL'!$N$2:$CG$65,MATCH($D43,'Monthly VOL'!$D$2:$D$65,0),MATCH(AM$1,'Monthly VOL'!$N$1:$CG$1,0))/INDEX('Monthly CUST'!$N$2:$CG$65,MATCH($D43,'Monthly CUST'!$D$2:$D$65,0),MATCH(AM$1,'Monthly CUST'!$N$1:$CG$1,0)),0)</f>
        <v>76.914900000000003</v>
      </c>
      <c r="AN43" s="56">
        <f>IFERROR(INDEX('Monthly VOL'!$N$2:$CG$65,MATCH($D43,'Monthly VOL'!$D$2:$D$65,0),MATCH(AN$1,'Monthly VOL'!$N$1:$CG$1,0))/INDEX('Monthly CUST'!$N$2:$CG$65,MATCH($D43,'Monthly CUST'!$D$2:$D$65,0),MATCH(AN$1,'Monthly CUST'!$N$1:$CG$1,0)),0)</f>
        <v>67.941881188118813</v>
      </c>
      <c r="AO43" s="56">
        <f>IFERROR(INDEX('Monthly VOL'!$N$2:$CG$65,MATCH($D43,'Monthly VOL'!$D$2:$D$65,0),MATCH(AO$1,'Monthly VOL'!$N$1:$CG$1,0))/INDEX('Monthly CUST'!$N$2:$CG$65,MATCH($D43,'Monthly CUST'!$D$2:$D$65,0),MATCH(AO$1,'Monthly CUST'!$N$1:$CG$1,0)),0)</f>
        <v>43.936237623762381</v>
      </c>
      <c r="AP43" s="56">
        <f>IFERROR(INDEX('Monthly VOL'!$N$2:$CG$65,MATCH($D43,'Monthly VOL'!$D$2:$D$65,0),MATCH(AP$1,'Monthly VOL'!$N$1:$CG$1,0))/INDEX('Monthly CUST'!$N$2:$CG$65,MATCH($D43,'Monthly CUST'!$D$2:$D$65,0),MATCH(AP$1,'Monthly CUST'!$N$1:$CG$1,0)),0)</f>
        <v>42.037600000000005</v>
      </c>
      <c r="AQ43" s="56">
        <f>IFERROR(INDEX('Monthly VOL'!$N$2:$CG$65,MATCH($D43,'Monthly VOL'!$D$2:$D$65,0),MATCH(AQ$1,'Monthly VOL'!$N$1:$CG$1,0))/INDEX('Monthly CUST'!$N$2:$CG$65,MATCH($D43,'Monthly CUST'!$D$2:$D$65,0),MATCH(AQ$1,'Monthly CUST'!$N$1:$CG$1,0)),0)</f>
        <v>41.730495049504945</v>
      </c>
      <c r="AR43" s="56">
        <f>IFERROR(INDEX('Monthly VOL'!$N$2:$CG$65,MATCH($D43,'Monthly VOL'!$D$2:$D$65,0),MATCH(AR$1,'Monthly VOL'!$N$1:$CG$1,0))/INDEX('Monthly CUST'!$N$2:$CG$65,MATCH($D43,'Monthly CUST'!$D$2:$D$65,0),MATCH(AR$1,'Monthly CUST'!$N$1:$CG$1,0)),0)</f>
        <v>45.490101010101014</v>
      </c>
      <c r="AS43" s="56">
        <f>IFERROR(INDEX('Monthly VOL'!$N$2:$CG$65,MATCH($D43,'Monthly VOL'!$D$2:$D$65,0),MATCH(AS$1,'Monthly VOL'!$N$1:$CG$1,0))/INDEX('Monthly CUST'!$N$2:$CG$65,MATCH($D43,'Monthly CUST'!$D$2:$D$65,0),MATCH(AS$1,'Monthly CUST'!$N$1:$CG$1,0)),0)</f>
        <v>41.958811881188119</v>
      </c>
      <c r="AT43" s="56">
        <f>IFERROR(INDEX('Monthly VOL'!$N$2:$CG$65,MATCH($D43,'Monthly VOL'!$D$2:$D$65,0),MATCH(AT$1,'Monthly VOL'!$N$1:$CG$1,0))/INDEX('Monthly CUST'!$N$2:$CG$65,MATCH($D43,'Monthly CUST'!$D$2:$D$65,0),MATCH(AT$1,'Monthly CUST'!$N$1:$CG$1,0)),0)</f>
        <v>44.674158415841589</v>
      </c>
      <c r="AU43" s="56">
        <f>IFERROR(INDEX('Monthly VOL'!$N$2:$CG$65,MATCH($D43,'Monthly VOL'!$D$2:$D$65,0),MATCH(AU$1,'Monthly VOL'!$N$1:$CG$1,0))/INDEX('Monthly CUST'!$N$2:$CG$65,MATCH($D43,'Monthly CUST'!$D$2:$D$65,0),MATCH(AU$1,'Monthly CUST'!$N$1:$CG$1,0)),0)</f>
        <v>43.178316831683169</v>
      </c>
      <c r="AV43" s="56">
        <f>IFERROR(INDEX('Monthly VOL'!$N$2:$CG$65,MATCH($D43,'Monthly VOL'!$D$2:$D$65,0),MATCH(AV$1,'Monthly VOL'!$N$1:$CG$1,0))/INDEX('Monthly CUST'!$N$2:$CG$65,MATCH($D43,'Monthly CUST'!$D$2:$D$65,0),MATCH(AV$1,'Monthly CUST'!$N$1:$CG$1,0)),0)</f>
        <v>47.978019801980196</v>
      </c>
      <c r="AW43" s="56">
        <f>IFERROR(INDEX('Monthly VOL'!$N$2:$CG$65,MATCH($D43,'Monthly VOL'!$D$2:$D$65,0),MATCH(AW$1,'Monthly VOL'!$N$1:$CG$1,0))/INDEX('Monthly CUST'!$N$2:$CG$65,MATCH($D43,'Monthly CUST'!$D$2:$D$65,0),MATCH(AW$1,'Monthly CUST'!$N$1:$CG$1,0)),0)</f>
        <v>70.143838383838386</v>
      </c>
      <c r="AX43" s="56">
        <f>IFERROR(INDEX('Monthly VOL'!$N$2:$CG$65,MATCH($D43,'Monthly VOL'!$D$2:$D$65,0),MATCH(AX$1,'Monthly VOL'!$N$1:$CG$1,0))/INDEX('Monthly CUST'!$N$2:$CG$65,MATCH($D43,'Monthly CUST'!$D$2:$D$65,0),MATCH(AX$1,'Monthly CUST'!$N$1:$CG$1,0)),0)</f>
        <v>83.427549019607852</v>
      </c>
      <c r="AY43" s="56">
        <f>IFERROR(INDEX('Monthly VOL'!$N$2:$CG$65,MATCH($D43,'Monthly VOL'!$D$2:$D$65,0),MATCH(AY$1,'Monthly VOL'!$N$1:$CG$1,0))/INDEX('Monthly CUST'!$N$2:$CG$65,MATCH($D43,'Monthly CUST'!$D$2:$D$65,0),MATCH(AY$1,'Monthly CUST'!$N$1:$CG$1,0)),0)</f>
        <v>73.080808080808083</v>
      </c>
      <c r="AZ43" s="56">
        <f>IFERROR(INDEX('Monthly VOL'!$N$2:$CG$65,MATCH($D43,'Monthly VOL'!$D$2:$D$65,0),MATCH(AZ$1,'Monthly VOL'!$N$1:$CG$1,0))/INDEX('Monthly CUST'!$N$2:$CG$65,MATCH($D43,'Monthly CUST'!$D$2:$D$65,0),MATCH(AZ$1,'Monthly CUST'!$N$1:$CG$1,0)),0)</f>
        <v>72.088282828282829</v>
      </c>
      <c r="BA43" s="56">
        <f>IFERROR(INDEX('Monthly VOL'!$N$2:$CG$65,MATCH($D43,'Monthly VOL'!$D$2:$D$65,0),MATCH(BA$1,'Monthly VOL'!$N$1:$CG$1,0))/INDEX('Monthly CUST'!$N$2:$CG$65,MATCH($D43,'Monthly CUST'!$D$2:$D$65,0),MATCH(BA$1,'Monthly CUST'!$N$1:$CG$1,0)),0)</f>
        <v>60.564141414141417</v>
      </c>
      <c r="BB43" s="56">
        <f>IFERROR(INDEX('Monthly VOL'!$N$2:$CG$65,MATCH($D43,'Monthly VOL'!$D$2:$D$65,0),MATCH(BB$1,'Monthly VOL'!$N$1:$CG$1,0))/INDEX('Monthly CUST'!$N$2:$CG$65,MATCH($D43,'Monthly CUST'!$D$2:$D$65,0),MATCH(BB$1,'Monthly CUST'!$N$1:$CG$1,0)),0)</f>
        <v>49.732040816326531</v>
      </c>
      <c r="BC43" s="56">
        <f>IFERROR(INDEX('Monthly VOL'!$N$2:$CG$65,MATCH($D43,'Monthly VOL'!$D$2:$D$65,0),MATCH(BC$1,'Monthly VOL'!$N$1:$CG$1,0))/INDEX('Monthly CUST'!$N$2:$CG$65,MATCH($D43,'Monthly CUST'!$D$2:$D$65,0),MATCH(BC$1,'Monthly CUST'!$N$1:$CG$1,0)),0)</f>
        <v>53.229081632653056</v>
      </c>
      <c r="BD43" s="56">
        <f>IFERROR(INDEX('Monthly VOL'!$N$2:$CG$65,MATCH($D43,'Monthly VOL'!$D$2:$D$65,0),MATCH(BD$1,'Monthly VOL'!$N$1:$CG$1,0))/INDEX('Monthly CUST'!$N$2:$CG$65,MATCH($D43,'Monthly CUST'!$D$2:$D$65,0),MATCH(BD$1,'Monthly CUST'!$N$1:$CG$1,0)),0)</f>
        <v>33.642371134020621</v>
      </c>
      <c r="BE43" s="56">
        <f>IFERROR(INDEX('Monthly VOL'!$N$2:$CG$65,MATCH($D43,'Monthly VOL'!$D$2:$D$65,0),MATCH(BE$1,'Monthly VOL'!$N$1:$CG$1,0))/INDEX('Monthly CUST'!$N$2:$CG$65,MATCH($D43,'Monthly CUST'!$D$2:$D$65,0),MATCH(BE$1,'Monthly CUST'!$N$1:$CG$1,0)),0)</f>
        <v>66.805312499999999</v>
      </c>
      <c r="BF43" s="56">
        <f>IFERROR(INDEX('Monthly VOL'!$N$2:$CG$65,MATCH($D43,'Monthly VOL'!$D$2:$D$65,0),MATCH(BF$1,'Monthly VOL'!$N$1:$CG$1,0))/INDEX('Monthly CUST'!$N$2:$CG$65,MATCH($D43,'Monthly CUST'!$D$2:$D$65,0),MATCH(BF$1,'Monthly CUST'!$N$1:$CG$1,0)),0)</f>
        <v>51.201030927835049</v>
      </c>
      <c r="BG43" s="56">
        <f>IFERROR(INDEX('Monthly VOL'!$N$2:$CG$65,MATCH($D43,'Monthly VOL'!$D$2:$D$65,0),MATCH(BG$1,'Monthly VOL'!$N$1:$CG$1,0))/INDEX('Monthly CUST'!$N$2:$CG$65,MATCH($D43,'Monthly CUST'!$D$2:$D$65,0),MATCH(BG$1,'Monthly CUST'!$N$1:$CG$1,0)),0)</f>
        <v>51.931836734693874</v>
      </c>
      <c r="BH43" s="56">
        <f>IFERROR(INDEX('Monthly VOL'!$N$2:$CG$65,MATCH($D43,'Monthly VOL'!$D$2:$D$65,0),MATCH(BH$1,'Monthly VOL'!$N$1:$CG$1,0))/INDEX('Monthly CUST'!$N$2:$CG$65,MATCH($D43,'Monthly CUST'!$D$2:$D$65,0),MATCH(BH$1,'Monthly CUST'!$N$1:$CG$1,0)),0)</f>
        <v>34.155000000000001</v>
      </c>
      <c r="BI43" s="56">
        <f>IFERROR(INDEX('Monthly VOL'!$N$2:$CG$65,MATCH($D43,'Monthly VOL'!$D$2:$D$65,0),MATCH(BI$1,'Monthly VOL'!$N$1:$CG$1,0))/INDEX('Monthly CUST'!$N$2:$CG$65,MATCH($D43,'Monthly CUST'!$D$2:$D$65,0),MATCH(BI$1,'Monthly CUST'!$N$1:$CG$1,0)),0)</f>
        <v>62.946770833333339</v>
      </c>
      <c r="BJ43" s="56">
        <f>IFERROR(INDEX('Monthly VOL'!$N$2:$CG$65,MATCH($D43,'Monthly VOL'!$D$2:$D$65,0),MATCH(BJ$1,'Monthly VOL'!$N$1:$CG$1,0))/INDEX('Monthly CUST'!$N$2:$CG$65,MATCH($D43,'Monthly CUST'!$D$2:$D$65,0),MATCH(BJ$1,'Monthly CUST'!$N$1:$CG$1,0)),0)</f>
        <v>81.783656428088463</v>
      </c>
      <c r="BK43" s="56">
        <f>IFERROR(INDEX('Monthly VOL'!$N$2:$CG$65,MATCH($D43,'Monthly VOL'!$D$2:$D$65,0),MATCH(BK$1,'Monthly VOL'!$N$1:$CG$1,0))/INDEX('Monthly CUST'!$N$2:$CG$65,MATCH($D43,'Monthly CUST'!$D$2:$D$65,0),MATCH(BK$1,'Monthly CUST'!$N$1:$CG$1,0)),0)</f>
        <v>71.64079215803352</v>
      </c>
      <c r="BL43" s="56">
        <f>IFERROR(INDEX('Monthly VOL'!$N$2:$CG$65,MATCH($D43,'Monthly VOL'!$D$2:$D$65,0),MATCH(BL$1,'Monthly VOL'!$N$1:$CG$1,0))/INDEX('Monthly CUST'!$N$2:$CG$65,MATCH($D43,'Monthly CUST'!$D$2:$D$65,0),MATCH(BL$1,'Monthly CUST'!$N$1:$CG$1,0)),0)</f>
        <v>70.667824053341278</v>
      </c>
      <c r="BM43" s="56">
        <f>IFERROR(INDEX('Monthly VOL'!$N$2:$CG$65,MATCH($D43,'Monthly VOL'!$D$2:$D$65,0),MATCH(BM$1,'Monthly VOL'!$N$1:$CG$1,0))/INDEX('Monthly CUST'!$N$2:$CG$65,MATCH($D43,'Monthly CUST'!$D$2:$D$65,0),MATCH(BM$1,'Monthly CUST'!$N$1:$CG$1,0)),0)</f>
        <v>59.370759317311027</v>
      </c>
      <c r="BN43" s="56">
        <f>IFERROR(INDEX('Monthly VOL'!$N$2:$CG$65,MATCH($D43,'Monthly VOL'!$D$2:$D$65,0),MATCH(BN$1,'Monthly VOL'!$N$1:$CG$1,0))/INDEX('Monthly CUST'!$N$2:$CG$65,MATCH($D43,'Monthly CUST'!$D$2:$D$65,0),MATCH(BN$1,'Monthly CUST'!$N$1:$CG$1,0)),0)</f>
        <v>48.752099125364417</v>
      </c>
      <c r="BO43" s="56">
        <f>IFERROR(INDEX('Monthly VOL'!$N$2:$CG$65,MATCH($D43,'Monthly VOL'!$D$2:$D$65,0),MATCH(BO$1,'Monthly VOL'!$N$1:$CG$1,0))/INDEX('Monthly CUST'!$N$2:$CG$65,MATCH($D43,'Monthly CUST'!$D$2:$D$65,0),MATCH(BO$1,'Monthly CUST'!$N$1:$CG$1,0)),0)</f>
        <v>52.180232733487465</v>
      </c>
      <c r="BP43" s="56">
        <f>IFERROR(INDEX('Monthly VOL'!$N$2:$CG$65,MATCH($D43,'Monthly VOL'!$D$2:$D$65,0),MATCH(BP$1,'Monthly VOL'!$N$1:$CG$1,0))/INDEX('Monthly CUST'!$N$2:$CG$65,MATCH($D43,'Monthly CUST'!$D$2:$D$65,0),MATCH(BP$1,'Monthly CUST'!$N$1:$CG$1,0)),0)</f>
        <v>32.979467269310845</v>
      </c>
      <c r="BQ43" s="56">
        <f>IFERROR(INDEX('Monthly VOL'!$N$2:$CG$65,MATCH($D43,'Monthly VOL'!$D$2:$D$65,0),MATCH(BQ$1,'Monthly VOL'!$N$1:$CG$1,0))/INDEX('Monthly CUST'!$N$2:$CG$65,MATCH($D43,'Monthly CUST'!$D$2:$D$65,0),MATCH(BQ$1,'Monthly CUST'!$N$1:$CG$1,0)),0)</f>
        <v>65.488951662561561</v>
      </c>
      <c r="BR43" s="56">
        <f>IFERROR(INDEX('Monthly VOL'!$N$2:$CG$65,MATCH($D43,'Monthly VOL'!$D$2:$D$65,0),MATCH(BR$1,'Monthly VOL'!$N$1:$CG$1,0))/INDEX('Monthly CUST'!$N$2:$CG$65,MATCH($D43,'Monthly CUST'!$D$2:$D$65,0),MATCH(BR$1,'Monthly CUST'!$N$1:$CG$1,0)),0)</f>
        <v>50.192143618912176</v>
      </c>
      <c r="BS43" s="56">
        <f>IFERROR(INDEX('Monthly VOL'!$N$2:$CG$65,MATCH($D43,'Monthly VOL'!$D$2:$D$65,0),MATCH(BS$1,'Monthly VOL'!$N$1:$CG$1,0))/INDEX('Monthly CUST'!$N$2:$CG$65,MATCH($D43,'Monthly CUST'!$D$2:$D$65,0),MATCH(BS$1,'Monthly CUST'!$N$1:$CG$1,0)),0)</f>
        <v>50.908549311350136</v>
      </c>
      <c r="BT43" s="56">
        <f>IFERROR(INDEX('Monthly VOL'!$N$2:$CG$65,MATCH($D43,'Monthly VOL'!$D$2:$D$65,0),MATCH(BT$1,'Monthly VOL'!$N$1:$CG$1,0))/INDEX('Monthly CUST'!$N$2:$CG$65,MATCH($D43,'Monthly CUST'!$D$2:$D$65,0),MATCH(BT$1,'Monthly CUST'!$N$1:$CG$1,0)),0)</f>
        <v>33.481995073891618</v>
      </c>
      <c r="BU43" s="56">
        <f>IFERROR(INDEX('Monthly VOL'!$N$2:$CG$65,MATCH($D43,'Monthly VOL'!$D$2:$D$65,0),MATCH(BU$1,'Monthly VOL'!$N$1:$CG$1,0))/INDEX('Monthly CUST'!$N$2:$CG$65,MATCH($D43,'Monthly CUST'!$D$2:$D$65,0),MATCH(BU$1,'Monthly CUST'!$N$1:$CG$1,0)),0)</f>
        <v>61.706440373563204</v>
      </c>
      <c r="BV43" s="56">
        <f>IFERROR(INDEX('Monthly VOL'!$N$2:$CG$65,MATCH($D43,'Monthly VOL'!$D$2:$D$65,0),MATCH(BV$1,'Monthly VOL'!$N$1:$CG$1,0))/INDEX('Monthly CUST'!$N$2:$CG$65,MATCH($D43,'Monthly CUST'!$D$2:$D$65,0),MATCH(BV$1,'Monthly CUST'!$N$1:$CG$1,0)),0)</f>
        <v>80.172155808815759</v>
      </c>
      <c r="BW43" s="56">
        <f>IFERROR(INDEX('Monthly VOL'!$N$2:$CG$65,MATCH($D43,'Monthly VOL'!$D$2:$D$65,0),MATCH(BW$1,'Monthly VOL'!$N$1:$CG$1,0))/INDEX('Monthly CUST'!$N$2:$CG$65,MATCH($D43,'Monthly CUST'!$D$2:$D$65,0),MATCH(BW$1,'Monthly CUST'!$N$1:$CG$1,0)),0)</f>
        <v>70.229150933244654</v>
      </c>
      <c r="BX43" s="56">
        <f>IFERROR(INDEX('Monthly VOL'!$N$2:$CG$65,MATCH($D43,'Monthly VOL'!$D$2:$D$65,0),MATCH(BX$1,'Monthly VOL'!$N$1:$CG$1,0))/INDEX('Monthly CUST'!$N$2:$CG$65,MATCH($D43,'Monthly CUST'!$D$2:$D$65,0),MATCH(BX$1,'Monthly CUST'!$N$1:$CG$1,0)),0)</f>
        <v>69.275354613866554</v>
      </c>
      <c r="BY43" s="56">
        <f>IFERROR(INDEX('Monthly VOL'!$N$2:$CG$65,MATCH($D43,'Monthly VOL'!$D$2:$D$65,0),MATCH(BY$1,'Monthly VOL'!$N$1:$CG$1,0))/INDEX('Monthly CUST'!$N$2:$CG$65,MATCH($D43,'Monthly CUST'!$D$2:$D$65,0),MATCH(BY$1,'Monthly CUST'!$N$1:$CG$1,0)),0)</f>
        <v>58.200892138644782</v>
      </c>
      <c r="BZ43" s="56">
        <f>IFERROR(INDEX('Monthly VOL'!$N$2:$CG$65,MATCH($D43,'Monthly VOL'!$D$2:$D$65,0),MATCH(BZ$1,'Monthly VOL'!$N$1:$CG$1,0))/INDEX('Monthly CUST'!$N$2:$CG$65,MATCH($D43,'Monthly CUST'!$D$2:$D$65,0),MATCH(BZ$1,'Monthly CUST'!$N$1:$CG$1,0)),0)</f>
        <v>47.791466630283324</v>
      </c>
      <c r="CA43" s="56">
        <f>IFERROR(INDEX('Monthly VOL'!$N$2:$CG$65,MATCH($D43,'Monthly VOL'!$D$2:$D$65,0),MATCH(CA$1,'Monthly VOL'!$N$1:$CG$1,0))/INDEX('Monthly CUST'!$N$2:$CG$65,MATCH($D43,'Monthly CUST'!$D$2:$D$65,0),MATCH(CA$1,'Monthly CUST'!$N$1:$CG$1,0)),0)</f>
        <v>51.152050807704434</v>
      </c>
      <c r="CB43" s="56">
        <f>IFERROR(INDEX('Monthly VOL'!$N$2:$CG$65,MATCH($D43,'Monthly VOL'!$D$2:$D$65,0),MATCH(CB$1,'Monthly VOL'!$N$1:$CG$1,0))/INDEX('Monthly CUST'!$N$2:$CG$65,MATCH($D43,'Monthly CUST'!$D$2:$D$65,0),MATCH(CB$1,'Monthly CUST'!$N$1:$CG$1,0)),0)</f>
        <v>32.3296255497185</v>
      </c>
      <c r="CC43" s="56">
        <f>IFERROR(INDEX('Monthly VOL'!$N$2:$CG$65,MATCH($D43,'Monthly VOL'!$D$2:$D$65,0),MATCH(CC$1,'Monthly VOL'!$N$1:$CG$1,0))/INDEX('Monthly CUST'!$N$2:$CG$65,MATCH($D43,'Monthly CUST'!$D$2:$D$65,0),MATCH(CC$1,'Monthly CUST'!$N$1:$CG$1,0)),0)</f>
        <v>64.19852896970319</v>
      </c>
      <c r="CD43" s="56">
        <f>IFERROR(INDEX('Monthly VOL'!$N$2:$CG$65,MATCH($D43,'Monthly VOL'!$D$2:$D$65,0),MATCH(CD$1,'Monthly VOL'!$N$1:$CG$1,0))/INDEX('Monthly CUST'!$N$2:$CG$65,MATCH($D43,'Monthly CUST'!$D$2:$D$65,0),MATCH(CD$1,'Monthly CUST'!$N$1:$CG$1,0)),0)</f>
        <v>49.203135862874483</v>
      </c>
      <c r="CE43" s="56">
        <f>IFERROR(INDEX('Monthly VOL'!$N$2:$CG$65,MATCH($D43,'Monthly VOL'!$D$2:$D$65,0),MATCH(CE$1,'Monthly VOL'!$N$1:$CG$1,0))/INDEX('Monthly CUST'!$N$2:$CG$65,MATCH($D43,'Monthly CUST'!$D$2:$D$65,0),MATCH(CE$1,'Monthly CUST'!$N$1:$CG$1,0)),0)</f>
        <v>49.905425186988538</v>
      </c>
      <c r="CF43" s="56">
        <f>IFERROR(INDEX('Monthly VOL'!$N$2:$CG$65,MATCH($D43,'Monthly VOL'!$D$2:$D$65,0),MATCH(CF$1,'Monthly VOL'!$N$1:$CG$1,0))/INDEX('Monthly CUST'!$N$2:$CG$65,MATCH($D43,'Monthly CUST'!$D$2:$D$65,0),MATCH(CF$1,'Monthly CUST'!$N$1:$CG$1,0)),0)</f>
        <v>32.822251328593254</v>
      </c>
      <c r="CG43" s="56">
        <f>IFERROR(INDEX('Monthly VOL'!$N$2:$CG$65,MATCH($D43,'Monthly VOL'!$D$2:$D$65,0),MATCH(CG$1,'Monthly VOL'!$N$1:$CG$1,0))/INDEX('Monthly CUST'!$N$2:$CG$65,MATCH($D43,'Monthly CUST'!$D$2:$D$65,0),MATCH(CG$1,'Monthly CUST'!$N$1:$CG$1,0)),0)</f>
        <v>60.49054992285258</v>
      </c>
      <c r="CH43" s="264"/>
      <c r="CI43" s="264"/>
      <c r="CJ43" s="264"/>
      <c r="CM43" s="569">
        <f t="shared" si="24"/>
        <v>84.058817292659612</v>
      </c>
      <c r="CN43" s="569">
        <f t="shared" si="25"/>
        <v>79.294728780559225</v>
      </c>
      <c r="CO43" s="569">
        <f t="shared" si="26"/>
        <v>73.767617396148225</v>
      </c>
      <c r="CP43" s="569">
        <f t="shared" si="27"/>
        <v>56.707459679301259</v>
      </c>
      <c r="CQ43" s="569">
        <f t="shared" si="28"/>
        <v>50.600163960052107</v>
      </c>
      <c r="CR43" s="569">
        <f t="shared" si="29"/>
        <v>49.523718543175477</v>
      </c>
      <c r="CS43" s="569">
        <f t="shared" si="30"/>
        <v>40.377525802426511</v>
      </c>
      <c r="CT43" s="569">
        <f t="shared" si="31"/>
        <v>52.926548404840482</v>
      </c>
      <c r="CU43" s="569">
        <f t="shared" si="32"/>
        <v>48.528928362785827</v>
      </c>
      <c r="CV43" s="569">
        <f t="shared" si="33"/>
        <v>49.381127577681241</v>
      </c>
      <c r="CW43" s="569">
        <f t="shared" si="34"/>
        <v>49.773790105814705</v>
      </c>
      <c r="CX43" s="569">
        <f t="shared" si="35"/>
        <v>70.757172769360281</v>
      </c>
      <c r="CY43" s="569">
        <f t="shared" si="36"/>
        <v>84.058817292659612</v>
      </c>
      <c r="CZ43" s="569">
        <f t="shared" si="37"/>
        <v>79.294728780559225</v>
      </c>
      <c r="DA43" s="569">
        <f t="shared" si="38"/>
        <v>73.767617396148225</v>
      </c>
      <c r="DB43" s="569">
        <f t="shared" si="39"/>
        <v>56.707459679301259</v>
      </c>
      <c r="DC43" s="569">
        <f t="shared" si="40"/>
        <v>50.600163960052107</v>
      </c>
      <c r="DD43" s="569">
        <f t="shared" si="41"/>
        <v>49.523718543175477</v>
      </c>
      <c r="DE43" s="569">
        <f t="shared" si="42"/>
        <v>40.377525802426511</v>
      </c>
      <c r="DF43" s="569">
        <f t="shared" si="43"/>
        <v>52.926548404840482</v>
      </c>
      <c r="DG43" s="569">
        <f t="shared" si="44"/>
        <v>48.528928362785827</v>
      </c>
      <c r="DH43" s="569">
        <f t="shared" si="45"/>
        <v>49.381127577681241</v>
      </c>
      <c r="DI43" s="569">
        <f t="shared" si="46"/>
        <v>49.773790105814705</v>
      </c>
      <c r="DJ43" s="569">
        <f t="shared" si="47"/>
        <v>70.757172769360281</v>
      </c>
    </row>
    <row r="44" spans="1:114" s="261" customFormat="1">
      <c r="A44" s="55" t="s">
        <v>17</v>
      </c>
      <c r="B44" s="55" t="s">
        <v>993</v>
      </c>
      <c r="C44" s="55" t="s">
        <v>1245</v>
      </c>
      <c r="D44" s="55" t="s">
        <v>1253</v>
      </c>
      <c r="E44" s="55" t="str">
        <f>VLOOKUP(D44,'Input 14_Ref Table'!C:D,2,FALSE)</f>
        <v>CC820</v>
      </c>
      <c r="F44" s="172" t="s">
        <v>1287</v>
      </c>
      <c r="G44" s="55" t="str">
        <f>VLOOKUP(D44,'Input 14_Ref Table'!C:I,7,FALSE)</f>
        <v>CFG - FTS-2 - Fixed NR</v>
      </c>
      <c r="H44" s="55" t="str">
        <f>VLOOKUP(D44,'Input 14_Ref Table'!C:K,8,FALSE)</f>
        <v>FTS2</v>
      </c>
      <c r="I44" s="55" t="e">
        <f>INDEX(#REF!,MATCH(D44,#REF!,0))</f>
        <v>#REF!</v>
      </c>
      <c r="J44" s="261" t="str">
        <f>INDEX('Master '!$AD$2:AD$65,MATCH(D44,'Master '!$D$2:$D$65,0))</f>
        <v>UPC Growth Rate</v>
      </c>
      <c r="K44" s="567">
        <f>INDEX('Master '!$N$2:N$65,MATCH(D44,'Master '!$D$2:$D$65,0))</f>
        <v>5.7427510434033407E-2</v>
      </c>
      <c r="L44" s="290">
        <f>INDEX('Master '!$S$2:S$65,MATCH(D44,'Master '!$D$2:$D$65,0))</f>
        <v>-1.970443349753722E-2</v>
      </c>
      <c r="M44" s="1">
        <f>INDEX('Master '!$W$2:W$65,MATCH(D44,'Master '!$D$2:$D$65,0))</f>
        <v>636.79999999999995</v>
      </c>
      <c r="N44" s="56">
        <f>IFERROR(INDEX('Monthly VOL'!$N$2:$CG$65,MATCH($D44,'Monthly VOL'!$D$2:$D$65,0),MATCH(N$1,'Monthly VOL'!$N$1:$CG$1,0))/INDEX('Monthly CUST'!$N$2:$CG$65,MATCH($D44,'Monthly CUST'!$D$2:$D$65,0),MATCH(N$1,'Monthly CUST'!$N$1:$CG$1,0)),0)</f>
        <v>60.36</v>
      </c>
      <c r="O44" s="56">
        <f>IFERROR(INDEX('Monthly VOL'!$N$2:$CG$65,MATCH($D44,'Monthly VOL'!$D$2:$D$65,0),MATCH(O$1,'Monthly VOL'!$N$1:$CG$1,0))/INDEX('Monthly CUST'!$N$2:$CG$65,MATCH($D44,'Monthly CUST'!$D$2:$D$65,0),MATCH(O$1,'Monthly CUST'!$N$1:$CG$1,0)),0)</f>
        <v>64.547499999999999</v>
      </c>
      <c r="P44" s="56">
        <f>IFERROR(INDEX('Monthly VOL'!$N$2:$CG$65,MATCH($D44,'Monthly VOL'!$D$2:$D$65,0),MATCH(P$1,'Monthly VOL'!$N$1:$CG$1,0))/INDEX('Monthly CUST'!$N$2:$CG$65,MATCH($D44,'Monthly CUST'!$D$2:$D$65,0),MATCH(P$1,'Monthly CUST'!$N$1:$CG$1,0)),0)</f>
        <v>63.512500000000003</v>
      </c>
      <c r="Q44" s="56">
        <f>IFERROR(INDEX('Monthly VOL'!$N$2:$CG$65,MATCH($D44,'Monthly VOL'!$D$2:$D$65,0),MATCH(Q$1,'Monthly VOL'!$N$1:$CG$1,0))/INDEX('Monthly CUST'!$N$2:$CG$65,MATCH($D44,'Monthly CUST'!$D$2:$D$65,0),MATCH(Q$1,'Monthly CUST'!$N$1:$CG$1,0)),0)</f>
        <v>52.712499999999999</v>
      </c>
      <c r="R44" s="56">
        <f>IFERROR(INDEX('Monthly VOL'!$N$2:$CG$65,MATCH($D44,'Monthly VOL'!$D$2:$D$65,0),MATCH(R$1,'Monthly VOL'!$N$1:$CG$1,0))/INDEX('Monthly CUST'!$N$2:$CG$65,MATCH($D44,'Monthly CUST'!$D$2:$D$65,0),MATCH(R$1,'Monthly CUST'!$N$1:$CG$1,0)),0)</f>
        <v>46.884999999999998</v>
      </c>
      <c r="S44" s="56">
        <f>IFERROR(INDEX('Monthly VOL'!$N$2:$CG$65,MATCH($D44,'Monthly VOL'!$D$2:$D$65,0),MATCH(S$1,'Monthly VOL'!$N$1:$CG$1,0))/INDEX('Monthly CUST'!$N$2:$CG$65,MATCH($D44,'Monthly CUST'!$D$2:$D$65,0),MATCH(S$1,'Monthly CUST'!$N$1:$CG$1,0)),0)</f>
        <v>50.015000000000001</v>
      </c>
      <c r="T44" s="56">
        <f>IFERROR(INDEX('Monthly VOL'!$N$2:$CG$65,MATCH($D44,'Monthly VOL'!$D$2:$D$65,0),MATCH(T$1,'Monthly VOL'!$N$1:$CG$1,0))/INDEX('Monthly CUST'!$N$2:$CG$65,MATCH($D44,'Monthly CUST'!$D$2:$D$65,0),MATCH(T$1,'Monthly CUST'!$N$1:$CG$1,0)),0)</f>
        <v>45.25</v>
      </c>
      <c r="U44" s="56">
        <f>IFERROR(INDEX('Monthly VOL'!$N$2:$CG$65,MATCH($D44,'Monthly VOL'!$D$2:$D$65,0),MATCH(U$1,'Monthly VOL'!$N$1:$CG$1,0))/INDEX('Monthly CUST'!$N$2:$CG$65,MATCH($D44,'Monthly CUST'!$D$2:$D$65,0),MATCH(U$1,'Monthly CUST'!$N$1:$CG$1,0)),0)</f>
        <v>44.53</v>
      </c>
      <c r="V44" s="56">
        <f>IFERROR(INDEX('Monthly VOL'!$N$2:$CG$65,MATCH($D44,'Monthly VOL'!$D$2:$D$65,0),MATCH(V$1,'Monthly VOL'!$N$1:$CG$1,0))/INDEX('Monthly CUST'!$N$2:$CG$65,MATCH($D44,'Monthly CUST'!$D$2:$D$65,0),MATCH(V$1,'Monthly CUST'!$N$1:$CG$1,0)),0)</f>
        <v>85.2</v>
      </c>
      <c r="W44" s="56">
        <f>IFERROR(INDEX('Monthly VOL'!$N$2:$CG$65,MATCH($D44,'Monthly VOL'!$D$2:$D$65,0),MATCH(W$1,'Monthly VOL'!$N$1:$CG$1,0))/INDEX('Monthly CUST'!$N$2:$CG$65,MATCH($D44,'Monthly CUST'!$D$2:$D$65,0),MATCH(W$1,'Monthly CUST'!$N$1:$CG$1,0)),0)</f>
        <v>69.522000000000006</v>
      </c>
      <c r="X44" s="56">
        <f>IFERROR(INDEX('Monthly VOL'!$N$2:$CG$65,MATCH($D44,'Monthly VOL'!$D$2:$D$65,0),MATCH(X$1,'Monthly VOL'!$N$1:$CG$1,0))/INDEX('Monthly CUST'!$N$2:$CG$65,MATCH($D44,'Monthly CUST'!$D$2:$D$65,0),MATCH(X$1,'Monthly CUST'!$N$1:$CG$1,0)),0)</f>
        <v>67.294000000000011</v>
      </c>
      <c r="Y44" s="56">
        <f>IFERROR(INDEX('Monthly VOL'!$N$2:$CG$65,MATCH($D44,'Monthly VOL'!$D$2:$D$65,0),MATCH(Y$1,'Monthly VOL'!$N$1:$CG$1,0))/INDEX('Monthly CUST'!$N$2:$CG$65,MATCH($D44,'Monthly CUST'!$D$2:$D$65,0),MATCH(Y$1,'Monthly CUST'!$N$1:$CG$1,0)),0)</f>
        <v>85.039999999999992</v>
      </c>
      <c r="Z44" s="56">
        <f>IFERROR(INDEX('Monthly VOL'!$N$2:$CG$65,MATCH($D44,'Monthly VOL'!$D$2:$D$65,0),MATCH(Z$1,'Monthly VOL'!$N$1:$CG$1,0))/INDEX('Monthly CUST'!$N$2:$CG$65,MATCH($D44,'Monthly CUST'!$D$2:$D$65,0),MATCH(Z$1,'Monthly CUST'!$N$1:$CG$1,0)),0)</f>
        <v>113.758</v>
      </c>
      <c r="AA44" s="56">
        <f>IFERROR(INDEX('Monthly VOL'!$N$2:$CG$65,MATCH($D44,'Monthly VOL'!$D$2:$D$65,0),MATCH(AA$1,'Monthly VOL'!$N$1:$CG$1,0))/INDEX('Monthly CUST'!$N$2:$CG$65,MATCH($D44,'Monthly CUST'!$D$2:$D$65,0),MATCH(AA$1,'Monthly CUST'!$N$1:$CG$1,0)),0)</f>
        <v>92.31</v>
      </c>
      <c r="AB44" s="56">
        <f>IFERROR(INDEX('Monthly VOL'!$N$2:$CG$65,MATCH($D44,'Monthly VOL'!$D$2:$D$65,0),MATCH(AB$1,'Monthly VOL'!$N$1:$CG$1,0))/INDEX('Monthly CUST'!$N$2:$CG$65,MATCH($D44,'Monthly CUST'!$D$2:$D$65,0),MATCH(AB$1,'Monthly CUST'!$N$1:$CG$1,0)),0)</f>
        <v>38.744</v>
      </c>
      <c r="AC44" s="56">
        <f>IFERROR(INDEX('Monthly VOL'!$N$2:$CG$65,MATCH($D44,'Monthly VOL'!$D$2:$D$65,0),MATCH(AC$1,'Monthly VOL'!$N$1:$CG$1,0))/INDEX('Monthly CUST'!$N$2:$CG$65,MATCH($D44,'Monthly CUST'!$D$2:$D$65,0),MATCH(AC$1,'Monthly CUST'!$N$1:$CG$1,0)),0)</f>
        <v>111.042</v>
      </c>
      <c r="AD44" s="56">
        <f>IFERROR(INDEX('Monthly VOL'!$N$2:$CG$65,MATCH($D44,'Monthly VOL'!$D$2:$D$65,0),MATCH(AD$1,'Monthly VOL'!$N$1:$CG$1,0))/INDEX('Monthly CUST'!$N$2:$CG$65,MATCH($D44,'Monthly CUST'!$D$2:$D$65,0),MATCH(AD$1,'Monthly CUST'!$N$1:$CG$1,0)),0)</f>
        <v>38.730000000000004</v>
      </c>
      <c r="AE44" s="56">
        <f>IFERROR(INDEX('Monthly VOL'!$N$2:$CG$65,MATCH($D44,'Monthly VOL'!$D$2:$D$65,0),MATCH(AE$1,'Monthly VOL'!$N$1:$CG$1,0))/INDEX('Monthly CUST'!$N$2:$CG$65,MATCH($D44,'Monthly CUST'!$D$2:$D$65,0),MATCH(AE$1,'Monthly CUST'!$N$1:$CG$1,0)),0)</f>
        <v>112.36833333333334</v>
      </c>
      <c r="AF44" s="56">
        <f>IFERROR(INDEX('Monthly VOL'!$N$2:$CG$65,MATCH($D44,'Monthly VOL'!$D$2:$D$65,0),MATCH(AF$1,'Monthly VOL'!$N$1:$CG$1,0))/INDEX('Monthly CUST'!$N$2:$CG$65,MATCH($D44,'Monthly CUST'!$D$2:$D$65,0),MATCH(AF$1,'Monthly CUST'!$N$1:$CG$1,0)),0)</f>
        <v>82.01</v>
      </c>
      <c r="AG44" s="56">
        <f>IFERROR(INDEX('Monthly VOL'!$N$2:$CG$65,MATCH($D44,'Monthly VOL'!$D$2:$D$65,0),MATCH(AG$1,'Monthly VOL'!$N$1:$CG$1,0))/INDEX('Monthly CUST'!$N$2:$CG$65,MATCH($D44,'Monthly CUST'!$D$2:$D$65,0),MATCH(AG$1,'Monthly CUST'!$N$1:$CG$1,0)),0)</f>
        <v>70.981666666666669</v>
      </c>
      <c r="AH44" s="56">
        <f>IFERROR(INDEX('Monthly VOL'!$N$2:$CG$65,MATCH($D44,'Monthly VOL'!$D$2:$D$65,0),MATCH(AH$1,'Monthly VOL'!$N$1:$CG$1,0))/INDEX('Monthly CUST'!$N$2:$CG$65,MATCH($D44,'Monthly CUST'!$D$2:$D$65,0),MATCH(AH$1,'Monthly CUST'!$N$1:$CG$1,0)),0)</f>
        <v>42.374000000000002</v>
      </c>
      <c r="AI44" s="56">
        <f>IFERROR(INDEX('Monthly VOL'!$N$2:$CG$65,MATCH($D44,'Monthly VOL'!$D$2:$D$65,0),MATCH(AI$1,'Monthly VOL'!$N$1:$CG$1,0))/INDEX('Monthly CUST'!$N$2:$CG$65,MATCH($D44,'Monthly CUST'!$D$2:$D$65,0),MATCH(AI$1,'Monthly CUST'!$N$1:$CG$1,0)),0)</f>
        <v>44.154000000000003</v>
      </c>
      <c r="AJ44" s="56">
        <f>IFERROR(INDEX('Monthly VOL'!$N$2:$CG$65,MATCH($D44,'Monthly VOL'!$D$2:$D$65,0),MATCH(AJ$1,'Monthly VOL'!$N$1:$CG$1,0))/INDEX('Monthly CUST'!$N$2:$CG$65,MATCH($D44,'Monthly CUST'!$D$2:$D$65,0),MATCH(AJ$1,'Monthly CUST'!$N$1:$CG$1,0)),0)</f>
        <v>45.17</v>
      </c>
      <c r="AK44" s="56">
        <f>IFERROR(INDEX('Monthly VOL'!$N$2:$CG$65,MATCH($D44,'Monthly VOL'!$D$2:$D$65,0),MATCH(AK$1,'Monthly VOL'!$N$1:$CG$1,0))/INDEX('Monthly CUST'!$N$2:$CG$65,MATCH($D44,'Monthly CUST'!$D$2:$D$65,0),MATCH(AK$1,'Monthly CUST'!$N$1:$CG$1,0)),0)</f>
        <v>45.706000000000003</v>
      </c>
      <c r="AL44" s="56">
        <f>IFERROR(INDEX('Monthly VOL'!$N$2:$CG$65,MATCH($D44,'Monthly VOL'!$D$2:$D$65,0),MATCH(AL$1,'Monthly VOL'!$N$1:$CG$1,0))/INDEX('Monthly CUST'!$N$2:$CG$65,MATCH($D44,'Monthly CUST'!$D$2:$D$65,0),MATCH(AL$1,'Monthly CUST'!$N$1:$CG$1,0)),0)</f>
        <v>47.594000000000001</v>
      </c>
      <c r="AM44" s="56">
        <f>IFERROR(INDEX('Monthly VOL'!$N$2:$CG$65,MATCH($D44,'Monthly VOL'!$D$2:$D$65,0),MATCH(AM$1,'Monthly VOL'!$N$1:$CG$1,0))/INDEX('Monthly CUST'!$N$2:$CG$65,MATCH($D44,'Monthly CUST'!$D$2:$D$65,0),MATCH(AM$1,'Monthly CUST'!$N$1:$CG$1,0)),0)</f>
        <v>36.435000000000002</v>
      </c>
      <c r="AN44" s="56">
        <f>IFERROR(INDEX('Monthly VOL'!$N$2:$CG$65,MATCH($D44,'Monthly VOL'!$D$2:$D$65,0),MATCH(AN$1,'Monthly VOL'!$N$1:$CG$1,0))/INDEX('Monthly CUST'!$N$2:$CG$65,MATCH($D44,'Monthly CUST'!$D$2:$D$65,0),MATCH(AN$1,'Monthly CUST'!$N$1:$CG$1,0)),0)</f>
        <v>31.323333333333334</v>
      </c>
      <c r="AO44" s="56">
        <f>IFERROR(INDEX('Monthly VOL'!$N$2:$CG$65,MATCH($D44,'Monthly VOL'!$D$2:$D$65,0),MATCH(AO$1,'Monthly VOL'!$N$1:$CG$1,0))/INDEX('Monthly CUST'!$N$2:$CG$65,MATCH($D44,'Monthly CUST'!$D$2:$D$65,0),MATCH(AO$1,'Monthly CUST'!$N$1:$CG$1,0)),0)</f>
        <v>78.683333333333337</v>
      </c>
      <c r="AP44" s="56">
        <f>IFERROR(INDEX('Monthly VOL'!$N$2:$CG$65,MATCH($D44,'Monthly VOL'!$D$2:$D$65,0),MATCH(AP$1,'Monthly VOL'!$N$1:$CG$1,0))/INDEX('Monthly CUST'!$N$2:$CG$65,MATCH($D44,'Monthly CUST'!$D$2:$D$65,0),MATCH(AP$1,'Monthly CUST'!$N$1:$CG$1,0)),0)</f>
        <v>22.993333333333336</v>
      </c>
      <c r="AQ44" s="56">
        <f>IFERROR(INDEX('Monthly VOL'!$N$2:$CG$65,MATCH($D44,'Monthly VOL'!$D$2:$D$65,0),MATCH(AQ$1,'Monthly VOL'!$N$1:$CG$1,0))/INDEX('Monthly CUST'!$N$2:$CG$65,MATCH($D44,'Monthly CUST'!$D$2:$D$65,0),MATCH(AQ$1,'Monthly CUST'!$N$1:$CG$1,0)),0)</f>
        <v>-18.671666666666667</v>
      </c>
      <c r="AR44" s="56">
        <f>IFERROR(INDEX('Monthly VOL'!$N$2:$CG$65,MATCH($D44,'Monthly VOL'!$D$2:$D$65,0),MATCH(AR$1,'Monthly VOL'!$N$1:$CG$1,0))/INDEX('Monthly CUST'!$N$2:$CG$65,MATCH($D44,'Monthly CUST'!$D$2:$D$65,0),MATCH(AR$1,'Monthly CUST'!$N$1:$CG$1,0)),0)</f>
        <v>46.153333333333336</v>
      </c>
      <c r="AS44" s="56">
        <f>IFERROR(INDEX('Monthly VOL'!$N$2:$CG$65,MATCH($D44,'Monthly VOL'!$D$2:$D$65,0),MATCH(AS$1,'Monthly VOL'!$N$1:$CG$1,0))/INDEX('Monthly CUST'!$N$2:$CG$65,MATCH($D44,'Monthly CUST'!$D$2:$D$65,0),MATCH(AS$1,'Monthly CUST'!$N$1:$CG$1,0)),0)</f>
        <v>40.908000000000001</v>
      </c>
      <c r="AT44" s="56">
        <f>IFERROR(INDEX('Monthly VOL'!$N$2:$CG$65,MATCH($D44,'Monthly VOL'!$D$2:$D$65,0),MATCH(AT$1,'Monthly VOL'!$N$1:$CG$1,0))/INDEX('Monthly CUST'!$N$2:$CG$65,MATCH($D44,'Monthly CUST'!$D$2:$D$65,0),MATCH(AT$1,'Monthly CUST'!$N$1:$CG$1,0)),0)</f>
        <v>35.512</v>
      </c>
      <c r="AU44" s="56">
        <f>IFERROR(INDEX('Monthly VOL'!$N$2:$CG$65,MATCH($D44,'Monthly VOL'!$D$2:$D$65,0),MATCH(AU$1,'Monthly VOL'!$N$1:$CG$1,0))/INDEX('Monthly CUST'!$N$2:$CG$65,MATCH($D44,'Monthly CUST'!$D$2:$D$65,0),MATCH(AU$1,'Monthly CUST'!$N$1:$CG$1,0)),0)</f>
        <v>35.218000000000004</v>
      </c>
      <c r="AV44" s="56">
        <f>IFERROR(INDEX('Monthly VOL'!$N$2:$CG$65,MATCH($D44,'Monthly VOL'!$D$2:$D$65,0),MATCH(AV$1,'Monthly VOL'!$N$1:$CG$1,0))/INDEX('Monthly CUST'!$N$2:$CG$65,MATCH($D44,'Monthly CUST'!$D$2:$D$65,0),MATCH(AV$1,'Monthly CUST'!$N$1:$CG$1,0)),0)</f>
        <v>40.386000000000003</v>
      </c>
      <c r="AW44" s="56">
        <f>IFERROR(INDEX('Monthly VOL'!$N$2:$CG$65,MATCH($D44,'Monthly VOL'!$D$2:$D$65,0),MATCH(AW$1,'Monthly VOL'!$N$1:$CG$1,0))/INDEX('Monthly CUST'!$N$2:$CG$65,MATCH($D44,'Monthly CUST'!$D$2:$D$65,0),MATCH(AW$1,'Monthly CUST'!$N$1:$CG$1,0)),0)</f>
        <v>35.041666666666664</v>
      </c>
      <c r="AX44" s="56">
        <f>IFERROR(INDEX('Monthly VOL'!$N$2:$CG$65,MATCH($D44,'Monthly VOL'!$D$2:$D$65,0),MATCH(AX$1,'Monthly VOL'!$N$1:$CG$1,0))/INDEX('Monthly CUST'!$N$2:$CG$65,MATCH($D44,'Monthly CUST'!$D$2:$D$65,0),MATCH(AX$1,'Monthly CUST'!$N$1:$CG$1,0)),0)</f>
        <v>37.723333333333336</v>
      </c>
      <c r="AY44" s="56">
        <f>IFERROR(INDEX('Monthly VOL'!$N$2:$CG$65,MATCH($D44,'Monthly VOL'!$D$2:$D$65,0),MATCH(AY$1,'Monthly VOL'!$N$1:$CG$1,0))/INDEX('Monthly CUST'!$N$2:$CG$65,MATCH($D44,'Monthly CUST'!$D$2:$D$65,0),MATCH(AY$1,'Monthly CUST'!$N$1:$CG$1,0)),0)</f>
        <v>31.36</v>
      </c>
      <c r="AZ44" s="56">
        <f>IFERROR(INDEX('Monthly VOL'!$N$2:$CG$65,MATCH($D44,'Monthly VOL'!$D$2:$D$65,0),MATCH(AZ$1,'Monthly VOL'!$N$1:$CG$1,0))/INDEX('Monthly CUST'!$N$2:$CG$65,MATCH($D44,'Monthly CUST'!$D$2:$D$65,0),MATCH(AZ$1,'Monthly CUST'!$N$1:$CG$1,0)),0)</f>
        <v>33.126666666666665</v>
      </c>
      <c r="BA44" s="56">
        <f>IFERROR(INDEX('Monthly VOL'!$N$2:$CG$65,MATCH($D44,'Monthly VOL'!$D$2:$D$65,0),MATCH(BA$1,'Monthly VOL'!$N$1:$CG$1,0))/INDEX('Monthly CUST'!$N$2:$CG$65,MATCH($D44,'Monthly CUST'!$D$2:$D$65,0),MATCH(BA$1,'Monthly CUST'!$N$1:$CG$1,0)),0)</f>
        <v>42.126666666666665</v>
      </c>
      <c r="BB44" s="56">
        <f>IFERROR(INDEX('Monthly VOL'!$N$2:$CG$65,MATCH($D44,'Monthly VOL'!$D$2:$D$65,0),MATCH(BB$1,'Monthly VOL'!$N$1:$CG$1,0))/INDEX('Monthly CUST'!$N$2:$CG$65,MATCH($D44,'Monthly CUST'!$D$2:$D$65,0),MATCH(BB$1,'Monthly CUST'!$N$1:$CG$1,0)),0)</f>
        <v>35.011666666666663</v>
      </c>
      <c r="BC44" s="56">
        <f>IFERROR(INDEX('Monthly VOL'!$N$2:$CG$65,MATCH($D44,'Monthly VOL'!$D$2:$D$65,0),MATCH(BC$1,'Monthly VOL'!$N$1:$CG$1,0))/INDEX('Monthly CUST'!$N$2:$CG$65,MATCH($D44,'Monthly CUST'!$D$2:$D$65,0),MATCH(BC$1,'Monthly CUST'!$N$1:$CG$1,0)),0)</f>
        <v>38.931666666666665</v>
      </c>
      <c r="BD44" s="56">
        <f>IFERROR(INDEX('Monthly VOL'!$N$2:$CG$65,MATCH($D44,'Monthly VOL'!$D$2:$D$65,0),MATCH(BD$1,'Monthly VOL'!$N$1:$CG$1,0))/INDEX('Monthly CUST'!$N$2:$CG$65,MATCH($D44,'Monthly CUST'!$D$2:$D$65,0),MATCH(BD$1,'Monthly CUST'!$N$1:$CG$1,0)),0)</f>
        <v>160.92499999999998</v>
      </c>
      <c r="BE44" s="56">
        <f>IFERROR(INDEX('Monthly VOL'!$N$2:$CG$65,MATCH($D44,'Monthly VOL'!$D$2:$D$65,0),MATCH(BE$1,'Monthly VOL'!$N$1:$CG$1,0))/INDEX('Monthly CUST'!$N$2:$CG$65,MATCH($D44,'Monthly CUST'!$D$2:$D$65,0),MATCH(BE$1,'Monthly CUST'!$N$1:$CG$1,0)),0)</f>
        <v>38.274000000000001</v>
      </c>
      <c r="BF44" s="56">
        <f>IFERROR(INDEX('Monthly VOL'!$N$2:$CG$65,MATCH($D44,'Monthly VOL'!$D$2:$D$65,0),MATCH(BF$1,'Monthly VOL'!$N$1:$CG$1,0))/INDEX('Monthly CUST'!$N$2:$CG$65,MATCH($D44,'Monthly CUST'!$D$2:$D$65,0),MATCH(BF$1,'Monthly CUST'!$N$1:$CG$1,0)),0)</f>
        <v>37.152000000000001</v>
      </c>
      <c r="BG44" s="56">
        <f>IFERROR(INDEX('Monthly VOL'!$N$2:$CG$65,MATCH($D44,'Monthly VOL'!$D$2:$D$65,0),MATCH(BG$1,'Monthly VOL'!$N$1:$CG$1,0))/INDEX('Monthly CUST'!$N$2:$CG$65,MATCH($D44,'Monthly CUST'!$D$2:$D$65,0),MATCH(BG$1,'Monthly CUST'!$N$1:$CG$1,0)),0)</f>
        <v>38.85</v>
      </c>
      <c r="BH44" s="56">
        <f>IFERROR(INDEX('Monthly VOL'!$N$2:$CG$65,MATCH($D44,'Monthly VOL'!$D$2:$D$65,0),MATCH(BH$1,'Monthly VOL'!$N$1:$CG$1,0))/INDEX('Monthly CUST'!$N$2:$CG$65,MATCH($D44,'Monthly CUST'!$D$2:$D$65,0),MATCH(BH$1,'Monthly CUST'!$N$1:$CG$1,0)),0)</f>
        <v>37.387999999999998</v>
      </c>
      <c r="BI44" s="56">
        <f>IFERROR(INDEX('Monthly VOL'!$N$2:$CG$65,MATCH($D44,'Monthly VOL'!$D$2:$D$65,0),MATCH(BI$1,'Monthly VOL'!$N$1:$CG$1,0))/INDEX('Monthly CUST'!$N$2:$CG$65,MATCH($D44,'Monthly CUST'!$D$2:$D$65,0),MATCH(BI$1,'Monthly CUST'!$N$1:$CG$1,0)),0)</f>
        <v>49.589999999999996</v>
      </c>
      <c r="BJ44" s="56">
        <f>IFERROR(INDEX('Monthly VOL'!$N$2:$CG$65,MATCH($D44,'Monthly VOL'!$D$2:$D$65,0),MATCH(BJ$1,'Monthly VOL'!$N$1:$CG$1,0))/INDEX('Monthly CUST'!$N$2:$CG$65,MATCH($D44,'Monthly CUST'!$D$2:$D$65,0),MATCH(BJ$1,'Monthly CUST'!$N$1:$CG$1,0)),0)</f>
        <v>36.980016420361238</v>
      </c>
      <c r="BK44" s="56">
        <f>IFERROR(INDEX('Monthly VOL'!$N$2:$CG$65,MATCH($D44,'Monthly VOL'!$D$2:$D$65,0),MATCH(BK$1,'Monthly VOL'!$N$1:$CG$1,0))/INDEX('Monthly CUST'!$N$2:$CG$65,MATCH($D44,'Monthly CUST'!$D$2:$D$65,0),MATCH(BK$1,'Monthly CUST'!$N$1:$CG$1,0)),0)</f>
        <v>30.742068965517234</v>
      </c>
      <c r="BL44" s="56">
        <f>IFERROR(INDEX('Monthly VOL'!$N$2:$CG$65,MATCH($D44,'Monthly VOL'!$D$2:$D$65,0),MATCH(BL$1,'Monthly VOL'!$N$1:$CG$1,0))/INDEX('Monthly CUST'!$N$2:$CG$65,MATCH($D44,'Monthly CUST'!$D$2:$D$65,0),MATCH(BL$1,'Monthly CUST'!$N$1:$CG$1,0)),0)</f>
        <v>32.473924466338246</v>
      </c>
      <c r="BM44" s="56">
        <f>IFERROR(INDEX('Monthly VOL'!$N$2:$CG$65,MATCH($D44,'Monthly VOL'!$D$2:$D$65,0),MATCH(BM$1,'Monthly VOL'!$N$1:$CG$1,0))/INDEX('Monthly CUST'!$N$2:$CG$65,MATCH($D44,'Monthly CUST'!$D$2:$D$65,0),MATCH(BM$1,'Monthly CUST'!$N$1:$CG$1,0)),0)</f>
        <v>41.29658456486041</v>
      </c>
      <c r="BN44" s="56">
        <f>IFERROR(INDEX('Monthly VOL'!$N$2:$CG$65,MATCH($D44,'Monthly VOL'!$D$2:$D$65,0),MATCH(BN$1,'Monthly VOL'!$N$1:$CG$1,0))/INDEX('Monthly CUST'!$N$2:$CG$65,MATCH($D44,'Monthly CUST'!$D$2:$D$65,0),MATCH(BN$1,'Monthly CUST'!$N$1:$CG$1,0)),0)</f>
        <v>34.321781609195391</v>
      </c>
      <c r="BO44" s="56">
        <f>IFERROR(INDEX('Monthly VOL'!$N$2:$CG$65,MATCH($D44,'Monthly VOL'!$D$2:$D$65,0),MATCH(BO$1,'Monthly VOL'!$N$1:$CG$1,0))/INDEX('Monthly CUST'!$N$2:$CG$65,MATCH($D44,'Monthly CUST'!$D$2:$D$65,0),MATCH(BO$1,'Monthly CUST'!$N$1:$CG$1,0)),0)</f>
        <v>38.164540229885041</v>
      </c>
      <c r="BP44" s="56">
        <f>IFERROR(INDEX('Monthly VOL'!$N$2:$CG$65,MATCH($D44,'Monthly VOL'!$D$2:$D$65,0),MATCH(BP$1,'Monthly VOL'!$N$1:$CG$1,0))/INDEX('Monthly CUST'!$N$2:$CG$65,MATCH($D44,'Monthly CUST'!$D$2:$D$65,0),MATCH(BP$1,'Monthly CUST'!$N$1:$CG$1,0)),0)</f>
        <v>157.7540640394088</v>
      </c>
      <c r="BQ44" s="56">
        <f>IFERROR(INDEX('Monthly VOL'!$N$2:$CG$65,MATCH($D44,'Monthly VOL'!$D$2:$D$65,0),MATCH(BQ$1,'Monthly VOL'!$N$1:$CG$1,0))/INDEX('Monthly CUST'!$N$2:$CG$65,MATCH($D44,'Monthly CUST'!$D$2:$D$65,0),MATCH(BQ$1,'Monthly CUST'!$N$1:$CG$1,0)),0)</f>
        <v>37.519832512315261</v>
      </c>
      <c r="BR44" s="56">
        <f>IFERROR(INDEX('Monthly VOL'!$N$2:$CG$65,MATCH($D44,'Monthly VOL'!$D$2:$D$65,0),MATCH(BR$1,'Monthly VOL'!$N$1:$CG$1,0))/INDEX('Monthly CUST'!$N$2:$CG$65,MATCH($D44,'Monthly CUST'!$D$2:$D$65,0),MATCH(BR$1,'Monthly CUST'!$N$1:$CG$1,0)),0)</f>
        <v>36.4199408866995</v>
      </c>
      <c r="BS44" s="56">
        <f>IFERROR(INDEX('Monthly VOL'!$N$2:$CG$65,MATCH($D44,'Monthly VOL'!$D$2:$D$65,0),MATCH(BS$1,'Monthly VOL'!$N$1:$CG$1,0))/INDEX('Monthly CUST'!$N$2:$CG$65,MATCH($D44,'Monthly CUST'!$D$2:$D$65,0),MATCH(BS$1,'Monthly CUST'!$N$1:$CG$1,0)),0)</f>
        <v>38.08448275862068</v>
      </c>
      <c r="BT44" s="56">
        <f>IFERROR(INDEX('Monthly VOL'!$N$2:$CG$65,MATCH($D44,'Monthly VOL'!$D$2:$D$65,0),MATCH(BT$1,'Monthly VOL'!$N$1:$CG$1,0))/INDEX('Monthly CUST'!$N$2:$CG$65,MATCH($D44,'Monthly CUST'!$D$2:$D$65,0),MATCH(BT$1,'Monthly CUST'!$N$1:$CG$1,0)),0)</f>
        <v>36.651290640394073</v>
      </c>
      <c r="BU44" s="56">
        <f>IFERROR(INDEX('Monthly VOL'!$N$2:$CG$65,MATCH($D44,'Monthly VOL'!$D$2:$D$65,0),MATCH(BU$1,'Monthly VOL'!$N$1:$CG$1,0))/INDEX('Monthly CUST'!$N$2:$CG$65,MATCH($D44,'Monthly CUST'!$D$2:$D$65,0),MATCH(BU$1,'Monthly CUST'!$N$1:$CG$1,0)),0)</f>
        <v>48.612857142857116</v>
      </c>
      <c r="BV44" s="56">
        <f>IFERROR(INDEX('Monthly VOL'!$N$2:$CG$65,MATCH($D44,'Monthly VOL'!$D$2:$D$65,0),MATCH(BV$1,'Monthly VOL'!$N$1:$CG$1,0))/INDEX('Monthly CUST'!$N$2:$CG$65,MATCH($D44,'Monthly CUST'!$D$2:$D$65,0),MATCH(BV$1,'Monthly CUST'!$N$1:$CG$1,0)),0)</f>
        <v>36.251346146068393</v>
      </c>
      <c r="BW44" s="56">
        <f>IFERROR(INDEX('Monthly VOL'!$N$2:$CG$65,MATCH($D44,'Monthly VOL'!$D$2:$D$65,0),MATCH(BW$1,'Monthly VOL'!$N$1:$CG$1,0))/INDEX('Monthly CUST'!$N$2:$CG$65,MATCH($D44,'Monthly CUST'!$D$2:$D$65,0),MATCH(BW$1,'Monthly CUST'!$N$1:$CG$1,0)),0)</f>
        <v>30.136313912009495</v>
      </c>
      <c r="BX44" s="56">
        <f>IFERROR(INDEX('Monthly VOL'!$N$2:$CG$65,MATCH($D44,'Monthly VOL'!$D$2:$D$65,0),MATCH(BX$1,'Monthly VOL'!$N$1:$CG$1,0))/INDEX('Monthly CUST'!$N$2:$CG$65,MATCH($D44,'Monthly CUST'!$D$2:$D$65,0),MATCH(BX$1,'Monthly CUST'!$N$1:$CG$1,0)),0)</f>
        <v>31.834044181287236</v>
      </c>
      <c r="BY44" s="56">
        <f>IFERROR(INDEX('Monthly VOL'!$N$2:$CG$65,MATCH($D44,'Monthly VOL'!$D$2:$D$65,0),MATCH(BY$1,'Monthly VOL'!$N$1:$CG$1,0))/INDEX('Monthly CUST'!$N$2:$CG$65,MATCH($D44,'Monthly CUST'!$D$2:$D$65,0),MATCH(BY$1,'Monthly CUST'!$N$1:$CG$1,0)),0)</f>
        <v>40.482858760626698</v>
      </c>
      <c r="BZ44" s="56">
        <f>IFERROR(INDEX('Monthly VOL'!$N$2:$CG$65,MATCH($D44,'Monthly VOL'!$D$2:$D$65,0),MATCH(BZ$1,'Monthly VOL'!$N$1:$CG$1,0))/INDEX('Monthly CUST'!$N$2:$CG$65,MATCH($D44,'Monthly CUST'!$D$2:$D$65,0),MATCH(BZ$1,'Monthly CUST'!$N$1:$CG$1,0)),0)</f>
        <v>33.645490345960006</v>
      </c>
      <c r="CA44" s="56">
        <f>IFERROR(INDEX('Monthly VOL'!$N$2:$CG$65,MATCH($D44,'Monthly VOL'!$D$2:$D$65,0),MATCH(CA$1,'Monthly VOL'!$N$1:$CG$1,0))/INDEX('Monthly CUST'!$N$2:$CG$65,MATCH($D44,'Monthly CUST'!$D$2:$D$65,0),MATCH(CA$1,'Monthly CUST'!$N$1:$CG$1,0)),0)</f>
        <v>37.412529584961185</v>
      </c>
      <c r="CB44" s="56">
        <f>IFERROR(INDEX('Monthly VOL'!$N$2:$CG$65,MATCH($D44,'Monthly VOL'!$D$2:$D$65,0),MATCH(CB$1,'Monthly VOL'!$N$1:$CG$1,0))/INDEX('Monthly CUST'!$N$2:$CG$65,MATCH($D44,'Monthly CUST'!$D$2:$D$65,0),MATCH(CB$1,'Monthly CUST'!$N$1:$CG$1,0)),0)</f>
        <v>154.64560957557808</v>
      </c>
      <c r="CC44" s="56">
        <f>IFERROR(INDEX('Monthly VOL'!$N$2:$CG$65,MATCH($D44,'Monthly VOL'!$D$2:$D$65,0),MATCH(CC$1,'Monthly VOL'!$N$1:$CG$1,0))/INDEX('Monthly CUST'!$N$2:$CG$65,MATCH($D44,'Monthly CUST'!$D$2:$D$65,0),MATCH(CC$1,'Monthly CUST'!$N$1:$CG$1,0)),0)</f>
        <v>36.780525467737611</v>
      </c>
      <c r="CD44" s="56">
        <f>IFERROR(INDEX('Monthly VOL'!$N$2:$CG$65,MATCH($D44,'Monthly VOL'!$D$2:$D$65,0),MATCH(CD$1,'Monthly VOL'!$N$1:$CG$1,0))/INDEX('Monthly CUST'!$N$2:$CG$65,MATCH($D44,'Monthly CUST'!$D$2:$D$65,0),MATCH(CD$1,'Monthly CUST'!$N$1:$CG$1,0)),0)</f>
        <v>35.702306583513291</v>
      </c>
      <c r="CE44" s="56">
        <f>IFERROR(INDEX('Monthly VOL'!$N$2:$CG$65,MATCH($D44,'Monthly VOL'!$D$2:$D$65,0),MATCH(CE$1,'Monthly VOL'!$N$1:$CG$1,0))/INDEX('Monthly CUST'!$N$2:$CG$65,MATCH($D44,'Monthly CUST'!$D$2:$D$65,0),MATCH(CE$1,'Monthly CUST'!$N$1:$CG$1,0)),0)</f>
        <v>37.334049600815334</v>
      </c>
      <c r="CF44" s="56">
        <f>IFERROR(INDEX('Monthly VOL'!$N$2:$CG$65,MATCH($D44,'Monthly VOL'!$D$2:$D$65,0),MATCH(CF$1,'Monthly VOL'!$N$1:$CG$1,0))/INDEX('Monthly CUST'!$N$2:$CG$65,MATCH($D44,'Monthly CUST'!$D$2:$D$65,0),MATCH(CF$1,'Monthly CUST'!$N$1:$CG$1,0)),0)</f>
        <v>35.929097721371519</v>
      </c>
      <c r="CG44" s="56">
        <f>IFERROR(INDEX('Monthly VOL'!$N$2:$CG$65,MATCH($D44,'Monthly VOL'!$D$2:$D$65,0),MATCH(CG$1,'Monthly VOL'!$N$1:$CG$1,0))/INDEX('Monthly CUST'!$N$2:$CG$65,MATCH($D44,'Monthly CUST'!$D$2:$D$65,0),MATCH(CG$1,'Monthly CUST'!$N$1:$CG$1,0)),0)</f>
        <v>47.654968332160408</v>
      </c>
      <c r="CH44" s="264"/>
      <c r="CI44" s="264"/>
      <c r="CJ44" s="264"/>
      <c r="CM44" s="569">
        <f t="shared" si="24"/>
        <v>66.358444444444444</v>
      </c>
      <c r="CN44" s="569">
        <f t="shared" si="25"/>
        <v>53.368333333333339</v>
      </c>
      <c r="CO44" s="569">
        <f t="shared" si="26"/>
        <v>34.398000000000003</v>
      </c>
      <c r="CP44" s="569">
        <f t="shared" si="27"/>
        <v>77.284000000000006</v>
      </c>
      <c r="CQ44" s="569">
        <f t="shared" si="28"/>
        <v>32.245000000000005</v>
      </c>
      <c r="CR44" s="569">
        <f t="shared" si="29"/>
        <v>44.209444444444443</v>
      </c>
      <c r="CS44" s="569">
        <f t="shared" si="30"/>
        <v>96.362777777777794</v>
      </c>
      <c r="CT44" s="569">
        <f t="shared" si="31"/>
        <v>50.054555555555559</v>
      </c>
      <c r="CU44" s="569">
        <f t="shared" si="32"/>
        <v>38.345999999999997</v>
      </c>
      <c r="CV44" s="569">
        <f t="shared" si="33"/>
        <v>39.407333333333334</v>
      </c>
      <c r="CW44" s="569">
        <f t="shared" si="34"/>
        <v>40.981333333333339</v>
      </c>
      <c r="CX44" s="569">
        <f t="shared" si="35"/>
        <v>43.445888888888895</v>
      </c>
      <c r="CY44" s="569">
        <f t="shared" si="36"/>
        <v>66.358444444444444</v>
      </c>
      <c r="CZ44" s="569">
        <f t="shared" si="37"/>
        <v>53.368333333333339</v>
      </c>
      <c r="DA44" s="569">
        <f t="shared" si="38"/>
        <v>34.398000000000003</v>
      </c>
      <c r="DB44" s="569">
        <f t="shared" si="39"/>
        <v>77.284000000000006</v>
      </c>
      <c r="DC44" s="569">
        <f t="shared" si="40"/>
        <v>32.245000000000005</v>
      </c>
      <c r="DD44" s="569">
        <f t="shared" si="41"/>
        <v>44.209444444444443</v>
      </c>
      <c r="DE44" s="569">
        <f t="shared" si="42"/>
        <v>96.362777777777794</v>
      </c>
      <c r="DF44" s="569">
        <f t="shared" si="43"/>
        <v>50.054555555555559</v>
      </c>
      <c r="DG44" s="569">
        <f t="shared" si="44"/>
        <v>38.345999999999997</v>
      </c>
      <c r="DH44" s="569">
        <f t="shared" si="45"/>
        <v>39.407333333333334</v>
      </c>
      <c r="DI44" s="569">
        <f t="shared" si="46"/>
        <v>40.981333333333339</v>
      </c>
      <c r="DJ44" s="569">
        <f t="shared" si="47"/>
        <v>43.445888888888895</v>
      </c>
    </row>
    <row r="45" spans="1:114" s="261" customFormat="1">
      <c r="A45" s="55" t="s">
        <v>17</v>
      </c>
      <c r="B45" s="55" t="s">
        <v>993</v>
      </c>
      <c r="C45" s="55" t="s">
        <v>8</v>
      </c>
      <c r="D45" s="55" t="s">
        <v>1254</v>
      </c>
      <c r="E45" s="55" t="str">
        <f>VLOOKUP(D45,'Input 14_Ref Table'!C:D,2,FALSE)</f>
        <v>CR825</v>
      </c>
      <c r="F45" s="172" t="s">
        <v>1286</v>
      </c>
      <c r="G45" s="55" t="str">
        <f>VLOOKUP(D45,'Input 14_Ref Table'!C:I,7,FALSE)</f>
        <v>CFG - FTS-2.1 R</v>
      </c>
      <c r="H45" s="55" t="str">
        <f>VLOOKUP(D45,'Input 14_Ref Table'!C:K,8,FALSE)</f>
        <v>FTS_2.1</v>
      </c>
      <c r="I45" s="55" t="e">
        <f>INDEX(#REF!,MATCH(D45,#REF!,0))</f>
        <v>#REF!</v>
      </c>
      <c r="J45" s="261" t="str">
        <f>INDEX('Master '!$AD$2:AD$65,MATCH(D45,'Master '!$D$2:$D$65,0))</f>
        <v>UPC Growth Rate</v>
      </c>
      <c r="K45" s="567">
        <f>INDEX('Master '!$N$2:N$65,MATCH(D45,'Master '!$D$2:$D$65,0))</f>
        <v>-2.0400907354704373E-2</v>
      </c>
      <c r="L45" s="290">
        <f>INDEX('Master '!$S$2:S$65,MATCH(D45,'Master '!$D$2:$D$65,0))</f>
        <v>-4.2673976859106559E-2</v>
      </c>
      <c r="M45" s="1">
        <f>INDEX('Master '!$W$2:W$65,MATCH(D45,'Master '!$D$2:$D$65,0))</f>
        <v>871.59467421763247</v>
      </c>
      <c r="N45" s="56">
        <f>IFERROR(INDEX('Monthly VOL'!$N$2:$CG$65,MATCH($D45,'Monthly VOL'!$D$2:$D$65,0),MATCH(N$1,'Monthly VOL'!$N$1:$CG$1,0))/INDEX('Monthly CUST'!$N$2:$CG$65,MATCH($D45,'Monthly CUST'!$D$2:$D$65,0),MATCH(N$1,'Monthly CUST'!$N$1:$CG$1,0)),0)</f>
        <v>204.56021317829459</v>
      </c>
      <c r="O45" s="56">
        <f>IFERROR(INDEX('Monthly VOL'!$N$2:$CG$65,MATCH($D45,'Monthly VOL'!$D$2:$D$65,0),MATCH(O$1,'Monthly VOL'!$N$1:$CG$1,0))/INDEX('Monthly CUST'!$N$2:$CG$65,MATCH($D45,'Monthly CUST'!$D$2:$D$65,0),MATCH(O$1,'Monthly CUST'!$N$1:$CG$1,0)),0)</f>
        <v>143.08434951456312</v>
      </c>
      <c r="P45" s="56">
        <f>IFERROR(INDEX('Monthly VOL'!$N$2:$CG$65,MATCH($D45,'Monthly VOL'!$D$2:$D$65,0),MATCH(P$1,'Monthly VOL'!$N$1:$CG$1,0))/INDEX('Monthly CUST'!$N$2:$CG$65,MATCH($D45,'Monthly CUST'!$D$2:$D$65,0),MATCH(P$1,'Monthly CUST'!$N$1:$CG$1,0)),0)</f>
        <v>172.08037109374999</v>
      </c>
      <c r="Q45" s="56">
        <f>IFERROR(INDEX('Monthly VOL'!$N$2:$CG$65,MATCH($D45,'Monthly VOL'!$D$2:$D$65,0),MATCH(Q$1,'Monthly VOL'!$N$1:$CG$1,0))/INDEX('Monthly CUST'!$N$2:$CG$65,MATCH($D45,'Monthly CUST'!$D$2:$D$65,0),MATCH(Q$1,'Monthly CUST'!$N$1:$CG$1,0)),0)</f>
        <v>165.50551229508218</v>
      </c>
      <c r="R45" s="56">
        <f>IFERROR(INDEX('Monthly VOL'!$N$2:$CG$65,MATCH($D45,'Monthly VOL'!$D$2:$D$65,0),MATCH(R$1,'Monthly VOL'!$N$1:$CG$1,0))/INDEX('Monthly CUST'!$N$2:$CG$65,MATCH($D45,'Monthly CUST'!$D$2:$D$65,0),MATCH(R$1,'Monthly CUST'!$N$1:$CG$1,0)),0)</f>
        <v>78.340956340956339</v>
      </c>
      <c r="S45" s="56">
        <f>IFERROR(INDEX('Monthly VOL'!$N$2:$CG$65,MATCH($D45,'Monthly VOL'!$D$2:$D$65,0),MATCH(S$1,'Monthly VOL'!$N$1:$CG$1,0))/INDEX('Monthly CUST'!$N$2:$CG$65,MATCH($D45,'Monthly CUST'!$D$2:$D$65,0),MATCH(S$1,'Monthly CUST'!$N$1:$CG$1,0)),0)</f>
        <v>47.832116182572619</v>
      </c>
      <c r="T45" s="56">
        <f>IFERROR(INDEX('Monthly VOL'!$N$2:$CG$65,MATCH($D45,'Monthly VOL'!$D$2:$D$65,0),MATCH(T$1,'Monthly VOL'!$N$1:$CG$1,0))/INDEX('Monthly CUST'!$N$2:$CG$65,MATCH($D45,'Monthly CUST'!$D$2:$D$65,0),MATCH(T$1,'Monthly CUST'!$N$1:$CG$1,0)),0)</f>
        <v>33.663917525773194</v>
      </c>
      <c r="U45" s="56">
        <f>IFERROR(INDEX('Monthly VOL'!$N$2:$CG$65,MATCH($D45,'Monthly VOL'!$D$2:$D$65,0),MATCH(U$1,'Monthly VOL'!$N$1:$CG$1,0))/INDEX('Monthly CUST'!$N$2:$CG$65,MATCH($D45,'Monthly CUST'!$D$2:$D$65,0),MATCH(U$1,'Monthly CUST'!$N$1:$CG$1,0)),0)</f>
        <v>28.841203319502071</v>
      </c>
      <c r="V45" s="56">
        <f>IFERROR(INDEX('Monthly VOL'!$N$2:$CG$65,MATCH($D45,'Monthly VOL'!$D$2:$D$65,0),MATCH(V$1,'Monthly VOL'!$N$1:$CG$1,0))/INDEX('Monthly CUST'!$N$2:$CG$65,MATCH($D45,'Monthly CUST'!$D$2:$D$65,0),MATCH(V$1,'Monthly CUST'!$N$1:$CG$1,0)),0)</f>
        <v>29.67495867768595</v>
      </c>
      <c r="W45" s="56">
        <f>IFERROR(INDEX('Monthly VOL'!$N$2:$CG$65,MATCH($D45,'Monthly VOL'!$D$2:$D$65,0),MATCH(W$1,'Monthly VOL'!$N$1:$CG$1,0))/INDEX('Monthly CUST'!$N$2:$CG$65,MATCH($D45,'Monthly CUST'!$D$2:$D$65,0),MATCH(W$1,'Monthly CUST'!$N$1:$CG$1,0)),0)</f>
        <v>39.360144927536233</v>
      </c>
      <c r="X45" s="56">
        <f>IFERROR(INDEX('Monthly VOL'!$N$2:$CG$65,MATCH($D45,'Monthly VOL'!$D$2:$D$65,0),MATCH(X$1,'Monthly VOL'!$N$1:$CG$1,0))/INDEX('Monthly CUST'!$N$2:$CG$65,MATCH($D45,'Monthly CUST'!$D$2:$D$65,0),MATCH(X$1,'Monthly CUST'!$N$1:$CG$1,0)),0)</f>
        <v>105.41944214876034</v>
      </c>
      <c r="Y45" s="56">
        <f>IFERROR(INDEX('Monthly VOL'!$N$2:$CG$65,MATCH($D45,'Monthly VOL'!$D$2:$D$65,0),MATCH(Y$1,'Monthly VOL'!$N$1:$CG$1,0))/INDEX('Monthly CUST'!$N$2:$CG$65,MATCH($D45,'Monthly CUST'!$D$2:$D$65,0),MATCH(Y$1,'Monthly CUST'!$N$1:$CG$1,0)),0)</f>
        <v>144.00274793388451</v>
      </c>
      <c r="Z45" s="56">
        <f>IFERROR(INDEX('Monthly VOL'!$N$2:$CG$65,MATCH($D45,'Monthly VOL'!$D$2:$D$65,0),MATCH(Z$1,'Monthly VOL'!$N$1:$CG$1,0))/INDEX('Monthly CUST'!$N$2:$CG$65,MATCH($D45,'Monthly CUST'!$D$2:$D$65,0),MATCH(Z$1,'Monthly CUST'!$N$1:$CG$1,0)),0)</f>
        <v>179.3436929460581</v>
      </c>
      <c r="AA45" s="56">
        <f>IFERROR(INDEX('Monthly VOL'!$N$2:$CG$65,MATCH($D45,'Monthly VOL'!$D$2:$D$65,0),MATCH(AA$1,'Monthly VOL'!$N$1:$CG$1,0))/INDEX('Monthly CUST'!$N$2:$CG$65,MATCH($D45,'Monthly CUST'!$D$2:$D$65,0),MATCH(AA$1,'Monthly CUST'!$N$1:$CG$1,0)),0)</f>
        <v>166.66047916666668</v>
      </c>
      <c r="AB45" s="56">
        <f>IFERROR(INDEX('Monthly VOL'!$N$2:$CG$65,MATCH($D45,'Monthly VOL'!$D$2:$D$65,0),MATCH(AB$1,'Monthly VOL'!$N$1:$CG$1,0))/INDEX('Monthly CUST'!$N$2:$CG$65,MATCH($D45,'Monthly CUST'!$D$2:$D$65,0),MATCH(AB$1,'Monthly CUST'!$N$1:$CG$1,0)),0)</f>
        <v>155.54450207468878</v>
      </c>
      <c r="AC45" s="56">
        <f>IFERROR(INDEX('Monthly VOL'!$N$2:$CG$65,MATCH($D45,'Monthly VOL'!$D$2:$D$65,0),MATCH(AC$1,'Monthly VOL'!$N$1:$CG$1,0))/INDEX('Monthly CUST'!$N$2:$CG$65,MATCH($D45,'Monthly CUST'!$D$2:$D$65,0),MATCH(AC$1,'Monthly CUST'!$N$1:$CG$1,0)),0)</f>
        <v>149.61012474012452</v>
      </c>
      <c r="AD45" s="56">
        <f>IFERROR(INDEX('Monthly VOL'!$N$2:$CG$65,MATCH($D45,'Monthly VOL'!$D$2:$D$65,0),MATCH(AD$1,'Monthly VOL'!$N$1:$CG$1,0))/INDEX('Monthly CUST'!$N$2:$CG$65,MATCH($D45,'Monthly CUST'!$D$2:$D$65,0),MATCH(AD$1,'Monthly CUST'!$N$1:$CG$1,0)),0)</f>
        <v>74.900454545454551</v>
      </c>
      <c r="AE45" s="56">
        <f>IFERROR(INDEX('Monthly VOL'!$N$2:$CG$65,MATCH($D45,'Monthly VOL'!$D$2:$D$65,0),MATCH(AE$1,'Monthly VOL'!$N$1:$CG$1,0))/INDEX('Monthly CUST'!$N$2:$CG$65,MATCH($D45,'Monthly CUST'!$D$2:$D$65,0),MATCH(AE$1,'Monthly CUST'!$N$1:$CG$1,0)),0)</f>
        <v>35.511268191268186</v>
      </c>
      <c r="AF45" s="56">
        <f>IFERROR(INDEX('Monthly VOL'!$N$2:$CG$65,MATCH($D45,'Monthly VOL'!$D$2:$D$65,0),MATCH(AF$1,'Monthly VOL'!$N$1:$CG$1,0))/INDEX('Monthly CUST'!$N$2:$CG$65,MATCH($D45,'Monthly CUST'!$D$2:$D$65,0),MATCH(AF$1,'Monthly CUST'!$N$1:$CG$1,0)),0)</f>
        <v>26.467832310838446</v>
      </c>
      <c r="AG45" s="56">
        <f>IFERROR(INDEX('Monthly VOL'!$N$2:$CG$65,MATCH($D45,'Monthly VOL'!$D$2:$D$65,0),MATCH(AG$1,'Monthly VOL'!$N$1:$CG$1,0))/INDEX('Monthly CUST'!$N$2:$CG$65,MATCH($D45,'Monthly CUST'!$D$2:$D$65,0),MATCH(AG$1,'Monthly CUST'!$N$1:$CG$1,0)),0)</f>
        <v>29.605527950310556</v>
      </c>
      <c r="AH45" s="56">
        <f>IFERROR(INDEX('Monthly VOL'!$N$2:$CG$65,MATCH($D45,'Monthly VOL'!$D$2:$D$65,0),MATCH(AH$1,'Monthly VOL'!$N$1:$CG$1,0))/INDEX('Monthly CUST'!$N$2:$CG$65,MATCH($D45,'Monthly CUST'!$D$2:$D$65,0),MATCH(AH$1,'Monthly CUST'!$N$1:$CG$1,0)),0)</f>
        <v>23.754865424430644</v>
      </c>
      <c r="AI45" s="56">
        <f>IFERROR(INDEX('Monthly VOL'!$N$2:$CG$65,MATCH($D45,'Monthly VOL'!$D$2:$D$65,0),MATCH(AI$1,'Monthly VOL'!$N$1:$CG$1,0))/INDEX('Monthly CUST'!$N$2:$CG$65,MATCH($D45,'Monthly CUST'!$D$2:$D$65,0),MATCH(AI$1,'Monthly CUST'!$N$1:$CG$1,0)),0)</f>
        <v>43.158074534161486</v>
      </c>
      <c r="AJ45" s="56">
        <f>IFERROR(INDEX('Monthly VOL'!$N$2:$CG$65,MATCH($D45,'Monthly VOL'!$D$2:$D$65,0),MATCH(AJ$1,'Monthly VOL'!$N$1:$CG$1,0))/INDEX('Monthly CUST'!$N$2:$CG$65,MATCH($D45,'Monthly CUST'!$D$2:$D$65,0),MATCH(AJ$1,'Monthly CUST'!$N$1:$CG$1,0)),0)</f>
        <v>83.10145228215768</v>
      </c>
      <c r="AK45" s="56">
        <f>IFERROR(INDEX('Monthly VOL'!$N$2:$CG$65,MATCH($D45,'Monthly VOL'!$D$2:$D$65,0),MATCH(AK$1,'Monthly VOL'!$N$1:$CG$1,0))/INDEX('Monthly CUST'!$N$2:$CG$65,MATCH($D45,'Monthly CUST'!$D$2:$D$65,0),MATCH(AK$1,'Monthly CUST'!$N$1:$CG$1,0)),0)</f>
        <v>141.57075156576221</v>
      </c>
      <c r="AL45" s="56">
        <f>IFERROR(INDEX('Monthly VOL'!$N$2:$CG$65,MATCH($D45,'Monthly VOL'!$D$2:$D$65,0),MATCH(AL$1,'Monthly VOL'!$N$1:$CG$1,0))/INDEX('Monthly CUST'!$N$2:$CG$65,MATCH($D45,'Monthly CUST'!$D$2:$D$65,0),MATCH(AL$1,'Monthly CUST'!$N$1:$CG$1,0)),0)</f>
        <v>173.30298538622108</v>
      </c>
      <c r="AM45" s="56">
        <f>IFERROR(INDEX('Monthly VOL'!$N$2:$CG$65,MATCH($D45,'Monthly VOL'!$D$2:$D$65,0),MATCH(AM$1,'Monthly VOL'!$N$1:$CG$1,0))/INDEX('Monthly CUST'!$N$2:$CG$65,MATCH($D45,'Monthly CUST'!$D$2:$D$65,0),MATCH(AM$1,'Monthly CUST'!$N$1:$CG$1,0)),0)</f>
        <v>158.94789690721649</v>
      </c>
      <c r="AN45" s="56">
        <f>IFERROR(INDEX('Monthly VOL'!$N$2:$CG$65,MATCH($D45,'Monthly VOL'!$D$2:$D$65,0),MATCH(AN$1,'Monthly VOL'!$N$1:$CG$1,0))/INDEX('Monthly CUST'!$N$2:$CG$65,MATCH($D45,'Monthly CUST'!$D$2:$D$65,0),MATCH(AN$1,'Monthly CUST'!$N$1:$CG$1,0)),0)</f>
        <v>149.84704166666646</v>
      </c>
      <c r="AO45" s="56">
        <f>IFERROR(INDEX('Monthly VOL'!$N$2:$CG$65,MATCH($D45,'Monthly VOL'!$D$2:$D$65,0),MATCH(AO$1,'Monthly VOL'!$N$1:$CG$1,0))/INDEX('Monthly CUST'!$N$2:$CG$65,MATCH($D45,'Monthly CUST'!$D$2:$D$65,0),MATCH(AO$1,'Monthly CUST'!$N$1:$CG$1,0)),0)</f>
        <v>48.283173277661795</v>
      </c>
      <c r="AP45" s="56">
        <f>IFERROR(INDEX('Monthly VOL'!$N$2:$CG$65,MATCH($D45,'Monthly VOL'!$D$2:$D$65,0),MATCH(AP$1,'Monthly VOL'!$N$1:$CG$1,0))/INDEX('Monthly CUST'!$N$2:$CG$65,MATCH($D45,'Monthly CUST'!$D$2:$D$65,0),MATCH(AP$1,'Monthly CUST'!$N$1:$CG$1,0)),0)</f>
        <v>32.700400000000002</v>
      </c>
      <c r="AQ45" s="56">
        <f>IFERROR(INDEX('Monthly VOL'!$N$2:$CG$65,MATCH($D45,'Monthly VOL'!$D$2:$D$65,0),MATCH(AQ$1,'Monthly VOL'!$N$1:$CG$1,0))/INDEX('Monthly CUST'!$N$2:$CG$65,MATCH($D45,'Monthly CUST'!$D$2:$D$65,0),MATCH(AQ$1,'Monthly CUST'!$N$1:$CG$1,0)),0)</f>
        <v>24.802985386221291</v>
      </c>
      <c r="AR45" s="56">
        <f>IFERROR(INDEX('Monthly VOL'!$N$2:$CG$65,MATCH($D45,'Monthly VOL'!$D$2:$D$65,0),MATCH(AR$1,'Monthly VOL'!$N$1:$CG$1,0))/INDEX('Monthly CUST'!$N$2:$CG$65,MATCH($D45,'Monthly CUST'!$D$2:$D$65,0),MATCH(AR$1,'Monthly CUST'!$N$1:$CG$1,0)),0)</f>
        <v>25.903812500000001</v>
      </c>
      <c r="AS45" s="56">
        <f>IFERROR(INDEX('Monthly VOL'!$N$2:$CG$65,MATCH($D45,'Monthly VOL'!$D$2:$D$65,0),MATCH(AS$1,'Monthly VOL'!$N$1:$CG$1,0))/INDEX('Monthly CUST'!$N$2:$CG$65,MATCH($D45,'Monthly CUST'!$D$2:$D$65,0),MATCH(AS$1,'Monthly CUST'!$N$1:$CG$1,0)),0)</f>
        <v>19.743291666666686</v>
      </c>
      <c r="AT45" s="56">
        <f>IFERROR(INDEX('Monthly VOL'!$N$2:$CG$65,MATCH($D45,'Monthly VOL'!$D$2:$D$65,0),MATCH(AT$1,'Monthly VOL'!$N$1:$CG$1,0))/INDEX('Monthly CUST'!$N$2:$CG$65,MATCH($D45,'Monthly CUST'!$D$2:$D$65,0),MATCH(AT$1,'Monthly CUST'!$N$1:$CG$1,0)),0)</f>
        <v>18.032987551867219</v>
      </c>
      <c r="AU45" s="56">
        <f>IFERROR(INDEX('Monthly VOL'!$N$2:$CG$65,MATCH($D45,'Monthly VOL'!$D$2:$D$65,0),MATCH(AU$1,'Monthly VOL'!$N$1:$CG$1,0))/INDEX('Monthly CUST'!$N$2:$CG$65,MATCH($D45,'Monthly CUST'!$D$2:$D$65,0),MATCH(AU$1,'Monthly CUST'!$N$1:$CG$1,0)),0)</f>
        <v>27.83466804979253</v>
      </c>
      <c r="AV45" s="56">
        <f>IFERROR(INDEX('Monthly VOL'!$N$2:$CG$65,MATCH($D45,'Monthly VOL'!$D$2:$D$65,0),MATCH(AV$1,'Monthly VOL'!$N$1:$CG$1,0))/INDEX('Monthly CUST'!$N$2:$CG$65,MATCH($D45,'Monthly CUST'!$D$2:$D$65,0),MATCH(AV$1,'Monthly CUST'!$N$1:$CG$1,0)),0)</f>
        <v>48.782012448132782</v>
      </c>
      <c r="AW45" s="56">
        <f>IFERROR(INDEX('Monthly VOL'!$N$2:$CG$65,MATCH($D45,'Monthly VOL'!$D$2:$D$65,0),MATCH(AW$1,'Monthly VOL'!$N$1:$CG$1,0))/INDEX('Monthly CUST'!$N$2:$CG$65,MATCH($D45,'Monthly CUST'!$D$2:$D$65,0),MATCH(AW$1,'Monthly CUST'!$N$1:$CG$1,0)),0)</f>
        <v>123.35765072765072</v>
      </c>
      <c r="AX45" s="56">
        <f>IFERROR(INDEX('Monthly VOL'!$N$2:$CG$65,MATCH($D45,'Monthly VOL'!$D$2:$D$65,0),MATCH(AX$1,'Monthly VOL'!$N$1:$CG$1,0))/INDEX('Monthly CUST'!$N$2:$CG$65,MATCH($D45,'Monthly CUST'!$D$2:$D$65,0),MATCH(AX$1,'Monthly CUST'!$N$1:$CG$1,0)),0)</f>
        <v>158.06089211618257</v>
      </c>
      <c r="AY45" s="56">
        <f>IFERROR(INDEX('Monthly VOL'!$N$2:$CG$65,MATCH($D45,'Monthly VOL'!$D$2:$D$65,0),MATCH(AY$1,'Monthly VOL'!$N$1:$CG$1,0))/INDEX('Monthly CUST'!$N$2:$CG$65,MATCH($D45,'Monthly CUST'!$D$2:$D$65,0),MATCH(AY$1,'Monthly CUST'!$N$1:$CG$1,0)),0)</f>
        <v>115.66672839506172</v>
      </c>
      <c r="AZ45" s="56">
        <f>IFERROR(INDEX('Monthly VOL'!$N$2:$CG$65,MATCH($D45,'Monthly VOL'!$D$2:$D$65,0),MATCH(AZ$1,'Monthly VOL'!$N$1:$CG$1,0))/INDEX('Monthly CUST'!$N$2:$CG$65,MATCH($D45,'Monthly CUST'!$D$2:$D$65,0),MATCH(AZ$1,'Monthly CUST'!$N$1:$CG$1,0)),0)</f>
        <v>125.99451345755693</v>
      </c>
      <c r="BA45" s="56">
        <f>IFERROR(INDEX('Monthly VOL'!$N$2:$CG$65,MATCH($D45,'Monthly VOL'!$D$2:$D$65,0),MATCH(BA$1,'Monthly VOL'!$N$1:$CG$1,0))/INDEX('Monthly CUST'!$N$2:$CG$65,MATCH($D45,'Monthly CUST'!$D$2:$D$65,0),MATCH(BA$1,'Monthly CUST'!$N$1:$CG$1,0)),0)</f>
        <v>121.52388773388773</v>
      </c>
      <c r="BB45" s="56">
        <f>IFERROR(INDEX('Monthly VOL'!$N$2:$CG$65,MATCH($D45,'Monthly VOL'!$D$2:$D$65,0),MATCH(BB$1,'Monthly VOL'!$N$1:$CG$1,0))/INDEX('Monthly CUST'!$N$2:$CG$65,MATCH($D45,'Monthly CUST'!$D$2:$D$65,0),MATCH(BB$1,'Monthly CUST'!$N$1:$CG$1,0)),0)</f>
        <v>53.423064182194615</v>
      </c>
      <c r="BC45" s="56">
        <f>IFERROR(INDEX('Monthly VOL'!$N$2:$CG$65,MATCH($D45,'Monthly VOL'!$D$2:$D$65,0),MATCH(BC$1,'Monthly VOL'!$N$1:$CG$1,0))/INDEX('Monthly CUST'!$N$2:$CG$65,MATCH($D45,'Monthly CUST'!$D$2:$D$65,0),MATCH(BC$1,'Monthly CUST'!$N$1:$CG$1,0)),0)</f>
        <v>44.801732776617953</v>
      </c>
      <c r="BD45" s="56">
        <f>IFERROR(INDEX('Monthly VOL'!$N$2:$CG$65,MATCH($D45,'Monthly VOL'!$D$2:$D$65,0),MATCH(BD$1,'Monthly VOL'!$N$1:$CG$1,0))/INDEX('Monthly CUST'!$N$2:$CG$65,MATCH($D45,'Monthly CUST'!$D$2:$D$65,0),MATCH(BD$1,'Monthly CUST'!$N$1:$CG$1,0)),0)</f>
        <v>42.042050209205016</v>
      </c>
      <c r="BE45" s="56">
        <f>IFERROR(INDEX('Monthly VOL'!$N$2:$CG$65,MATCH($D45,'Monthly VOL'!$D$2:$D$65,0),MATCH(BE$1,'Monthly VOL'!$N$1:$CG$1,0))/INDEX('Monthly CUST'!$N$2:$CG$65,MATCH($D45,'Monthly CUST'!$D$2:$D$65,0),MATCH(BE$1,'Monthly CUST'!$N$1:$CG$1,0)),0)</f>
        <v>34.575126050420167</v>
      </c>
      <c r="BF45" s="56">
        <f>IFERROR(INDEX('Monthly VOL'!$N$2:$CG$65,MATCH($D45,'Monthly VOL'!$D$2:$D$65,0),MATCH(BF$1,'Monthly VOL'!$N$1:$CG$1,0))/INDEX('Monthly CUST'!$N$2:$CG$65,MATCH($D45,'Monthly CUST'!$D$2:$D$65,0),MATCH(BF$1,'Monthly CUST'!$N$1:$CG$1,0)),0)</f>
        <v>24.473354166666663</v>
      </c>
      <c r="BG45" s="56">
        <f>IFERROR(INDEX('Monthly VOL'!$N$2:$CG$65,MATCH($D45,'Monthly VOL'!$D$2:$D$65,0),MATCH(BG$1,'Monthly VOL'!$N$1:$CG$1,0))/INDEX('Monthly CUST'!$N$2:$CG$65,MATCH($D45,'Monthly CUST'!$D$2:$D$65,0),MATCH(BG$1,'Monthly CUST'!$N$1:$CG$1,0)),0)</f>
        <v>41.208503118503117</v>
      </c>
      <c r="BH45" s="56">
        <f>IFERROR(INDEX('Monthly VOL'!$N$2:$CG$65,MATCH($D45,'Monthly VOL'!$D$2:$D$65,0),MATCH(BH$1,'Monthly VOL'!$N$1:$CG$1,0))/INDEX('Monthly CUST'!$N$2:$CG$65,MATCH($D45,'Monthly CUST'!$D$2:$D$65,0),MATCH(BH$1,'Monthly CUST'!$N$1:$CG$1,0)),0)</f>
        <v>77.2183817427386</v>
      </c>
      <c r="BI45" s="56">
        <f>IFERROR(INDEX('Monthly VOL'!$N$2:$CG$65,MATCH($D45,'Monthly VOL'!$D$2:$D$65,0),MATCH(BI$1,'Monthly VOL'!$N$1:$CG$1,0))/INDEX('Monthly CUST'!$N$2:$CG$65,MATCH($D45,'Monthly CUST'!$D$2:$D$65,0),MATCH(BI$1,'Monthly CUST'!$N$1:$CG$1,0)),0)</f>
        <v>152.34029106029104</v>
      </c>
      <c r="BJ45" s="56">
        <f>IFERROR(INDEX('Monthly VOL'!$N$2:$CG$65,MATCH($D45,'Monthly VOL'!$D$2:$D$65,0),MATCH(BJ$1,'Monthly VOL'!$N$1:$CG$1,0))/INDEX('Monthly CUST'!$N$2:$CG$65,MATCH($D45,'Monthly CUST'!$D$2:$D$65,0),MATCH(BJ$1,'Monthly CUST'!$N$1:$CG$1,0)),0)</f>
        <v>151.31580526368685</v>
      </c>
      <c r="BK45" s="56">
        <f>IFERROR(INDEX('Monthly VOL'!$N$2:$CG$65,MATCH($D45,'Monthly VOL'!$D$2:$D$65,0),MATCH(BK$1,'Monthly VOL'!$N$1:$CG$1,0))/INDEX('Monthly CUST'!$N$2:$CG$65,MATCH($D45,'Monthly CUST'!$D$2:$D$65,0),MATCH(BK$1,'Monthly CUST'!$N$1:$CG$1,0)),0)</f>
        <v>110.73076910416229</v>
      </c>
      <c r="BL45" s="56">
        <f>IFERROR(INDEX('Monthly VOL'!$N$2:$CG$65,MATCH($D45,'Monthly VOL'!$D$2:$D$65,0),MATCH(BL$1,'Monthly VOL'!$N$1:$CG$1,0))/INDEX('Monthly CUST'!$N$2:$CG$65,MATCH($D45,'Monthly CUST'!$D$2:$D$65,0),MATCH(BL$1,'Monthly CUST'!$N$1:$CG$1,0)),0)</f>
        <v>120.61782650589475</v>
      </c>
      <c r="BM45" s="56">
        <f>IFERROR(INDEX('Monthly VOL'!$N$2:$CG$65,MATCH($D45,'Monthly VOL'!$D$2:$D$65,0),MATCH(BM$1,'Monthly VOL'!$N$1:$CG$1,0))/INDEX('Monthly CUST'!$N$2:$CG$65,MATCH($D45,'Monthly CUST'!$D$2:$D$65,0),MATCH(BM$1,'Monthly CUST'!$N$1:$CG$1,0)),0)</f>
        <v>116.33798016090314</v>
      </c>
      <c r="BN45" s="56">
        <f>IFERROR(INDEX('Monthly VOL'!$N$2:$CG$65,MATCH($D45,'Monthly VOL'!$D$2:$D$65,0),MATCH(BN$1,'Monthly VOL'!$N$1:$CG$1,0))/INDEX('Monthly CUST'!$N$2:$CG$65,MATCH($D45,'Monthly CUST'!$D$2:$D$65,0),MATCH(BN$1,'Monthly CUST'!$N$1:$CG$1,0)),0)</f>
        <v>51.143289577541076</v>
      </c>
      <c r="BO45" s="56">
        <f>IFERROR(INDEX('Monthly VOL'!$N$2:$CG$65,MATCH($D45,'Monthly VOL'!$D$2:$D$65,0),MATCH(BO$1,'Monthly VOL'!$N$1:$CG$1,0))/INDEX('Monthly CUST'!$N$2:$CG$65,MATCH($D45,'Monthly CUST'!$D$2:$D$65,0),MATCH(BO$1,'Monthly CUST'!$N$1:$CG$1,0)),0)</f>
        <v>42.889864668860682</v>
      </c>
      <c r="BP45" s="56">
        <f>IFERROR(INDEX('Monthly VOL'!$N$2:$CG$65,MATCH($D45,'Monthly VOL'!$D$2:$D$65,0),MATCH(BP$1,'Monthly VOL'!$N$1:$CG$1,0))/INDEX('Monthly CUST'!$N$2:$CG$65,MATCH($D45,'Monthly CUST'!$D$2:$D$65,0),MATCH(BP$1,'Monthly CUST'!$N$1:$CG$1,0)),0)</f>
        <v>40.247948731468007</v>
      </c>
      <c r="BQ45" s="56">
        <f>IFERROR(INDEX('Monthly VOL'!$N$2:$CG$65,MATCH($D45,'Monthly VOL'!$D$2:$D$65,0),MATCH(BQ$1,'Monthly VOL'!$N$1:$CG$1,0))/INDEX('Monthly CUST'!$N$2:$CG$65,MATCH($D45,'Monthly CUST'!$D$2:$D$65,0),MATCH(BQ$1,'Monthly CUST'!$N$1:$CG$1,0)),0)</f>
        <v>33.099667921443846</v>
      </c>
      <c r="BR45" s="56">
        <f>IFERROR(INDEX('Monthly VOL'!$N$2:$CG$65,MATCH($D45,'Monthly VOL'!$D$2:$D$65,0),MATCH(BR$1,'Monthly VOL'!$N$1:$CG$1,0))/INDEX('Monthly CUST'!$N$2:$CG$65,MATCH($D45,'Monthly CUST'!$D$2:$D$65,0),MATCH(BR$1,'Monthly CUST'!$N$1:$CG$1,0)),0)</f>
        <v>23.428978817293611</v>
      </c>
      <c r="BS45" s="56">
        <f>IFERROR(INDEX('Monthly VOL'!$N$2:$CG$65,MATCH($D45,'Monthly VOL'!$D$2:$D$65,0),MATCH(BS$1,'Monthly VOL'!$N$1:$CG$1,0))/INDEX('Monthly CUST'!$N$2:$CG$65,MATCH($D45,'Monthly CUST'!$D$2:$D$65,0),MATCH(BS$1,'Monthly CUST'!$N$1:$CG$1,0)),0)</f>
        <v>39.449972410025694</v>
      </c>
      <c r="BT45" s="56">
        <f>IFERROR(INDEX('Monthly VOL'!$N$2:$CG$65,MATCH($D45,'Monthly VOL'!$D$2:$D$65,0),MATCH(BT$1,'Monthly VOL'!$N$1:$CG$1,0))/INDEX('Monthly CUST'!$N$2:$CG$65,MATCH($D45,'Monthly CUST'!$D$2:$D$65,0),MATCH(BT$1,'Monthly CUST'!$N$1:$CG$1,0)),0)</f>
        <v>73.92316630715132</v>
      </c>
      <c r="BU45" s="56">
        <f>IFERROR(INDEX('Monthly VOL'!$N$2:$CG$65,MATCH($D45,'Monthly VOL'!$D$2:$D$65,0),MATCH(BU$1,'Monthly VOL'!$N$1:$CG$1,0))/INDEX('Monthly CUST'!$N$2:$CG$65,MATCH($D45,'Monthly CUST'!$D$2:$D$65,0),MATCH(BU$1,'Monthly CUST'!$N$1:$CG$1,0)),0)</f>
        <v>145.83932500487461</v>
      </c>
      <c r="BV45" s="56">
        <f>IFERROR(INDEX('Monthly VOL'!$N$2:$CG$65,MATCH($D45,'Monthly VOL'!$D$2:$D$65,0),MATCH(BV$1,'Monthly VOL'!$N$1:$CG$1,0))/INDEX('Monthly CUST'!$N$2:$CG$65,MATCH($D45,'Monthly CUST'!$D$2:$D$65,0),MATCH(BV$1,'Monthly CUST'!$N$1:$CG$1,0)),0)</f>
        <v>144.85855809144721</v>
      </c>
      <c r="BW45" s="56">
        <f>IFERROR(INDEX('Monthly VOL'!$N$2:$CG$65,MATCH($D45,'Monthly VOL'!$D$2:$D$65,0),MATCH(BW$1,'Monthly VOL'!$N$1:$CG$1,0))/INDEX('Monthly CUST'!$N$2:$CG$65,MATCH($D45,'Monthly CUST'!$D$2:$D$65,0),MATCH(BW$1,'Monthly CUST'!$N$1:$CG$1,0)),0)</f>
        <v>106.0054468258202</v>
      </c>
      <c r="BX45" s="56">
        <f>IFERROR(INDEX('Monthly VOL'!$N$2:$CG$65,MATCH($D45,'Monthly VOL'!$D$2:$D$65,0),MATCH(BX$1,'Monthly VOL'!$N$1:$CG$1,0))/INDEX('Monthly CUST'!$N$2:$CG$65,MATCH($D45,'Monthly CUST'!$D$2:$D$65,0),MATCH(BX$1,'Monthly CUST'!$N$1:$CG$1,0)),0)</f>
        <v>115.47058416878647</v>
      </c>
      <c r="BY45" s="56">
        <f>IFERROR(INDEX('Monthly VOL'!$N$2:$CG$65,MATCH($D45,'Monthly VOL'!$D$2:$D$65,0),MATCH(BY$1,'Monthly VOL'!$N$1:$CG$1,0))/INDEX('Monthly CUST'!$N$2:$CG$65,MATCH($D45,'Monthly CUST'!$D$2:$D$65,0),MATCH(BY$1,'Monthly CUST'!$N$1:$CG$1,0)),0)</f>
        <v>111.37337588768156</v>
      </c>
      <c r="BZ45" s="56">
        <f>IFERROR(INDEX('Monthly VOL'!$N$2:$CG$65,MATCH($D45,'Monthly VOL'!$D$2:$D$65,0),MATCH(BZ$1,'Monthly VOL'!$N$1:$CG$1,0))/INDEX('Monthly CUST'!$N$2:$CG$65,MATCH($D45,'Monthly CUST'!$D$2:$D$65,0),MATCH(BZ$1,'Monthly CUST'!$N$1:$CG$1,0)),0)</f>
        <v>48.960802021610505</v>
      </c>
      <c r="CA45" s="56">
        <f>IFERROR(INDEX('Monthly VOL'!$N$2:$CG$65,MATCH($D45,'Monthly VOL'!$D$2:$D$65,0),MATCH(CA$1,'Monthly VOL'!$N$1:$CG$1,0))/INDEX('Monthly CUST'!$N$2:$CG$65,MATCH($D45,'Monthly CUST'!$D$2:$D$65,0),MATCH(CA$1,'Monthly CUST'!$N$1:$CG$1,0)),0)</f>
        <v>41.059583576491505</v>
      </c>
      <c r="CB45" s="56">
        <f>IFERROR(INDEX('Monthly VOL'!$N$2:$CG$65,MATCH($D45,'Monthly VOL'!$D$2:$D$65,0),MATCH(CB$1,'Monthly VOL'!$N$1:$CG$1,0))/INDEX('Monthly CUST'!$N$2:$CG$65,MATCH($D45,'Monthly CUST'!$D$2:$D$65,0),MATCH(CB$1,'Monthly CUST'!$N$1:$CG$1,0)),0)</f>
        <v>38.530408698674833</v>
      </c>
      <c r="CC45" s="56">
        <f>IFERROR(INDEX('Monthly VOL'!$N$2:$CG$65,MATCH($D45,'Monthly VOL'!$D$2:$D$65,0),MATCH(CC$1,'Monthly VOL'!$N$1:$CG$1,0))/INDEX('Monthly CUST'!$N$2:$CG$65,MATCH($D45,'Monthly CUST'!$D$2:$D$65,0),MATCH(CC$1,'Monthly CUST'!$N$1:$CG$1,0)),0)</f>
        <v>31.687173458520039</v>
      </c>
      <c r="CD45" s="56">
        <f>IFERROR(INDEX('Monthly VOL'!$N$2:$CG$65,MATCH($D45,'Monthly VOL'!$D$2:$D$65,0),MATCH(CD$1,'Monthly VOL'!$N$1:$CG$1,0))/INDEX('Monthly CUST'!$N$2:$CG$65,MATCH($D45,'Monthly CUST'!$D$2:$D$65,0),MATCH(CD$1,'Monthly CUST'!$N$1:$CG$1,0)),0)</f>
        <v>22.429171117411926</v>
      </c>
      <c r="CE45" s="56">
        <f>IFERROR(INDEX('Monthly VOL'!$N$2:$CG$65,MATCH($D45,'Monthly VOL'!$D$2:$D$65,0),MATCH(CE$1,'Monthly VOL'!$N$1:$CG$1,0))/INDEX('Monthly CUST'!$N$2:$CG$65,MATCH($D45,'Monthly CUST'!$D$2:$D$65,0),MATCH(CE$1,'Monthly CUST'!$N$1:$CG$1,0)),0)</f>
        <v>37.766485200307862</v>
      </c>
      <c r="CF45" s="56">
        <f>IFERROR(INDEX('Monthly VOL'!$N$2:$CG$65,MATCH($D45,'Monthly VOL'!$D$2:$D$65,0),MATCH(CF$1,'Monthly VOL'!$N$1:$CG$1,0))/INDEX('Monthly CUST'!$N$2:$CG$65,MATCH($D45,'Monthly CUST'!$D$2:$D$65,0),MATCH(CF$1,'Monthly CUST'!$N$1:$CG$1,0)),0)</f>
        <v>70.768570818808058</v>
      </c>
      <c r="CG45" s="56">
        <f>IFERROR(INDEX('Monthly VOL'!$N$2:$CG$65,MATCH($D45,'Monthly VOL'!$D$2:$D$65,0),MATCH(CG$1,'Monthly VOL'!$N$1:$CG$1,0))/INDEX('Monthly CUST'!$N$2:$CG$65,MATCH($D45,'Monthly CUST'!$D$2:$D$65,0),MATCH(CG$1,'Monthly CUST'!$N$1:$CG$1,0)),0)</f>
        <v>139.61578102446887</v>
      </c>
      <c r="CH45" s="264"/>
      <c r="CI45" s="264"/>
      <c r="CJ45" s="264"/>
      <c r="CM45" s="569">
        <f t="shared" si="24"/>
        <v>170.23585681615393</v>
      </c>
      <c r="CN45" s="569">
        <f t="shared" si="25"/>
        <v>147.0917014896483</v>
      </c>
      <c r="CO45" s="569">
        <f t="shared" si="26"/>
        <v>143.79535239963738</v>
      </c>
      <c r="CP45" s="569">
        <f t="shared" si="27"/>
        <v>106.47239525055802</v>
      </c>
      <c r="CQ45" s="569">
        <f t="shared" si="28"/>
        <v>53.674639575883056</v>
      </c>
      <c r="CR45" s="569">
        <f t="shared" si="29"/>
        <v>35.038662118035809</v>
      </c>
      <c r="CS45" s="569">
        <f t="shared" si="30"/>
        <v>31.47123167334782</v>
      </c>
      <c r="CT45" s="569">
        <f t="shared" si="31"/>
        <v>27.974648555799135</v>
      </c>
      <c r="CU45" s="569">
        <f t="shared" si="32"/>
        <v>22.08706904765484</v>
      </c>
      <c r="CV45" s="569">
        <f t="shared" si="33"/>
        <v>37.400415234152376</v>
      </c>
      <c r="CW45" s="569">
        <f t="shared" si="34"/>
        <v>69.700615491009685</v>
      </c>
      <c r="CX45" s="569">
        <f t="shared" si="35"/>
        <v>139.08956445123465</v>
      </c>
      <c r="CY45" s="569">
        <f t="shared" si="36"/>
        <v>170.23585681615393</v>
      </c>
      <c r="CZ45" s="569">
        <f t="shared" si="37"/>
        <v>147.0917014896483</v>
      </c>
      <c r="DA45" s="569">
        <f t="shared" si="38"/>
        <v>143.79535239963738</v>
      </c>
      <c r="DB45" s="569">
        <f t="shared" si="39"/>
        <v>106.47239525055802</v>
      </c>
      <c r="DC45" s="569">
        <f t="shared" si="40"/>
        <v>53.674639575883056</v>
      </c>
      <c r="DD45" s="569">
        <f t="shared" si="41"/>
        <v>35.038662118035809</v>
      </c>
      <c r="DE45" s="569">
        <f t="shared" si="42"/>
        <v>31.47123167334782</v>
      </c>
      <c r="DF45" s="569">
        <f t="shared" si="43"/>
        <v>27.974648555799135</v>
      </c>
      <c r="DG45" s="569">
        <f t="shared" si="44"/>
        <v>22.08706904765484</v>
      </c>
      <c r="DH45" s="569">
        <f t="shared" si="45"/>
        <v>37.400415234152376</v>
      </c>
      <c r="DI45" s="569">
        <f t="shared" si="46"/>
        <v>69.700615491009685</v>
      </c>
      <c r="DJ45" s="569">
        <f t="shared" si="47"/>
        <v>139.08956445123465</v>
      </c>
    </row>
    <row r="46" spans="1:114" s="261" customFormat="1">
      <c r="A46" s="55" t="s">
        <v>17</v>
      </c>
      <c r="B46" s="55" t="s">
        <v>993</v>
      </c>
      <c r="C46" s="55" t="s">
        <v>8</v>
      </c>
      <c r="D46" s="55" t="s">
        <v>1255</v>
      </c>
      <c r="E46" s="55" t="str">
        <f>VLOOKUP(D46,'Input 14_Ref Table'!C:D,2,FALSE)</f>
        <v>CR827</v>
      </c>
      <c r="F46" s="172" t="s">
        <v>1287</v>
      </c>
      <c r="G46" s="55" t="str">
        <f>VLOOKUP(D46,'Input 14_Ref Table'!C:I,7,FALSE)</f>
        <v>CFG - FTS-2.1 - Fixed R</v>
      </c>
      <c r="H46" s="55" t="str">
        <f>VLOOKUP(D46,'Input 14_Ref Table'!C:K,8,FALSE)</f>
        <v>FTS_2.1</v>
      </c>
      <c r="I46" s="55" t="e">
        <f>INDEX(#REF!,MATCH(D46,#REF!,0))</f>
        <v>#REF!</v>
      </c>
      <c r="J46" s="261" t="str">
        <f>INDEX('Master '!$AD$2:AD$65,MATCH(D46,'Master '!$D$2:$D$65,0))</f>
        <v>UPC Growth Rate</v>
      </c>
      <c r="K46" s="567">
        <f>INDEX('Master '!$N$2:N$65,MATCH(D46,'Master '!$D$2:$D$65,0))</f>
        <v>-2.0400907354704373E-2</v>
      </c>
      <c r="L46" s="290">
        <f>INDEX('Master '!$S$2:S$65,MATCH(D46,'Master '!$D$2:$D$65,0))</f>
        <v>-4.2673976859106559E-2</v>
      </c>
      <c r="M46" s="1">
        <f>INDEX('Master '!$W$2:W$65,MATCH(D46,'Master '!$D$2:$D$65,0))</f>
        <v>871.59467421763247</v>
      </c>
      <c r="N46" s="56">
        <f>IFERROR(INDEX('Monthly VOL'!$N$2:$CG$65,MATCH($D46,'Monthly VOL'!$D$2:$D$65,0),MATCH(N$1,'Monthly VOL'!$N$1:$CG$1,0))/INDEX('Monthly CUST'!$N$2:$CG$65,MATCH($D46,'Monthly CUST'!$D$2:$D$65,0),MATCH(N$1,'Monthly CUST'!$N$1:$CG$1,0)),0)</f>
        <v>253.39750000000001</v>
      </c>
      <c r="O46" s="56">
        <f>IFERROR(INDEX('Monthly VOL'!$N$2:$CG$65,MATCH($D46,'Monthly VOL'!$D$2:$D$65,0),MATCH(O$1,'Monthly VOL'!$N$1:$CG$1,0))/INDEX('Monthly CUST'!$N$2:$CG$65,MATCH($D46,'Monthly CUST'!$D$2:$D$65,0),MATCH(O$1,'Monthly CUST'!$N$1:$CG$1,0)),0)</f>
        <v>178.00874999999999</v>
      </c>
      <c r="P46" s="56">
        <f>IFERROR(INDEX('Monthly VOL'!$N$2:$CG$65,MATCH($D46,'Monthly VOL'!$D$2:$D$65,0),MATCH(P$1,'Monthly VOL'!$N$1:$CG$1,0))/INDEX('Monthly CUST'!$N$2:$CG$65,MATCH($D46,'Monthly CUST'!$D$2:$D$65,0),MATCH(P$1,'Monthly CUST'!$N$1:$CG$1,0)),0)</f>
        <v>200.02375000000001</v>
      </c>
      <c r="Q46" s="56">
        <f>IFERROR(INDEX('Monthly VOL'!$N$2:$CG$65,MATCH($D46,'Monthly VOL'!$D$2:$D$65,0),MATCH(Q$1,'Monthly VOL'!$N$1:$CG$1,0))/INDEX('Monthly CUST'!$N$2:$CG$65,MATCH($D46,'Monthly CUST'!$D$2:$D$65,0),MATCH(Q$1,'Monthly CUST'!$N$1:$CG$1,0)),0)</f>
        <v>182.08111111111111</v>
      </c>
      <c r="R46" s="56">
        <f>IFERROR(INDEX('Monthly VOL'!$N$2:$CG$65,MATCH($D46,'Monthly VOL'!$D$2:$D$65,0),MATCH(R$1,'Monthly VOL'!$N$1:$CG$1,0))/INDEX('Monthly CUST'!$N$2:$CG$65,MATCH($D46,'Monthly CUST'!$D$2:$D$65,0),MATCH(R$1,'Monthly CUST'!$N$1:$CG$1,0)),0)</f>
        <v>118.80222222222223</v>
      </c>
      <c r="S46" s="56">
        <f>IFERROR(INDEX('Monthly VOL'!$N$2:$CG$65,MATCH($D46,'Monthly VOL'!$D$2:$D$65,0),MATCH(S$1,'Monthly VOL'!$N$1:$CG$1,0))/INDEX('Monthly CUST'!$N$2:$CG$65,MATCH($D46,'Monthly CUST'!$D$2:$D$65,0),MATCH(S$1,'Monthly CUST'!$N$1:$CG$1,0)),0)</f>
        <v>45.45</v>
      </c>
      <c r="T46" s="56">
        <f>IFERROR(INDEX('Monthly VOL'!$N$2:$CG$65,MATCH($D46,'Monthly VOL'!$D$2:$D$65,0),MATCH(T$1,'Monthly VOL'!$N$1:$CG$1,0))/INDEX('Monthly CUST'!$N$2:$CG$65,MATCH($D46,'Monthly CUST'!$D$2:$D$65,0),MATCH(T$1,'Monthly CUST'!$N$1:$CG$1,0)),0)</f>
        <v>39.222222222222221</v>
      </c>
      <c r="U46" s="56">
        <f>IFERROR(INDEX('Monthly VOL'!$N$2:$CG$65,MATCH($D46,'Monthly VOL'!$D$2:$D$65,0),MATCH(U$1,'Monthly VOL'!$N$1:$CG$1,0))/INDEX('Monthly CUST'!$N$2:$CG$65,MATCH($D46,'Monthly CUST'!$D$2:$D$65,0),MATCH(U$1,'Monthly CUST'!$N$1:$CG$1,0)),0)</f>
        <v>19.845555555555556</v>
      </c>
      <c r="V46" s="56">
        <f>IFERROR(INDEX('Monthly VOL'!$N$2:$CG$65,MATCH($D46,'Monthly VOL'!$D$2:$D$65,0),MATCH(V$1,'Monthly VOL'!$N$1:$CG$1,0))/INDEX('Monthly CUST'!$N$2:$CG$65,MATCH($D46,'Monthly CUST'!$D$2:$D$65,0),MATCH(V$1,'Monthly CUST'!$N$1:$CG$1,0)),0)</f>
        <v>35.849999999999994</v>
      </c>
      <c r="W46" s="56">
        <f>IFERROR(INDEX('Monthly VOL'!$N$2:$CG$65,MATCH($D46,'Monthly VOL'!$D$2:$D$65,0),MATCH(W$1,'Monthly VOL'!$N$1:$CG$1,0))/INDEX('Monthly CUST'!$N$2:$CG$65,MATCH($D46,'Monthly CUST'!$D$2:$D$65,0),MATCH(W$1,'Monthly CUST'!$N$1:$CG$1,0)),0)</f>
        <v>16.527000000000001</v>
      </c>
      <c r="X46" s="56">
        <f>IFERROR(INDEX('Monthly VOL'!$N$2:$CG$65,MATCH($D46,'Monthly VOL'!$D$2:$D$65,0),MATCH(X$1,'Monthly VOL'!$N$1:$CG$1,0))/INDEX('Monthly CUST'!$N$2:$CG$65,MATCH($D46,'Monthly CUST'!$D$2:$D$65,0),MATCH(X$1,'Monthly CUST'!$N$1:$CG$1,0)),0)</f>
        <v>105.50888888888889</v>
      </c>
      <c r="Y46" s="56">
        <f>IFERROR(INDEX('Monthly VOL'!$N$2:$CG$65,MATCH($D46,'Monthly VOL'!$D$2:$D$65,0),MATCH(Y$1,'Monthly VOL'!$N$1:$CG$1,0))/INDEX('Monthly CUST'!$N$2:$CG$65,MATCH($D46,'Monthly CUST'!$D$2:$D$65,0),MATCH(Y$1,'Monthly CUST'!$N$1:$CG$1,0)),0)</f>
        <v>140.94111111111113</v>
      </c>
      <c r="Z46" s="56">
        <f>IFERROR(INDEX('Monthly VOL'!$N$2:$CG$65,MATCH($D46,'Monthly VOL'!$D$2:$D$65,0),MATCH(Z$1,'Monthly VOL'!$N$1:$CG$1,0))/INDEX('Monthly CUST'!$N$2:$CG$65,MATCH($D46,'Monthly CUST'!$D$2:$D$65,0),MATCH(Z$1,'Monthly CUST'!$N$1:$CG$1,0)),0)</f>
        <v>193.32888888888888</v>
      </c>
      <c r="AA46" s="56">
        <f>IFERROR(INDEX('Monthly VOL'!$N$2:$CG$65,MATCH($D46,'Monthly VOL'!$D$2:$D$65,0),MATCH(AA$1,'Monthly VOL'!$N$1:$CG$1,0))/INDEX('Monthly CUST'!$N$2:$CG$65,MATCH($D46,'Monthly CUST'!$D$2:$D$65,0),MATCH(AA$1,'Monthly CUST'!$N$1:$CG$1,0)),0)</f>
        <v>137.48111111111109</v>
      </c>
      <c r="AB46" s="56">
        <f>IFERROR(INDEX('Monthly VOL'!$N$2:$CG$65,MATCH($D46,'Monthly VOL'!$D$2:$D$65,0),MATCH(AB$1,'Monthly VOL'!$N$1:$CG$1,0))/INDEX('Monthly CUST'!$N$2:$CG$65,MATCH($D46,'Monthly CUST'!$D$2:$D$65,0),MATCH(AB$1,'Monthly CUST'!$N$1:$CG$1,0)),0)</f>
        <v>127.06555555555555</v>
      </c>
      <c r="AC46" s="56">
        <f>IFERROR(INDEX('Monthly VOL'!$N$2:$CG$65,MATCH($D46,'Monthly VOL'!$D$2:$D$65,0),MATCH(AC$1,'Monthly VOL'!$N$1:$CG$1,0))/INDEX('Monthly CUST'!$N$2:$CG$65,MATCH($D46,'Monthly CUST'!$D$2:$D$65,0),MATCH(AC$1,'Monthly CUST'!$N$1:$CG$1,0)),0)</f>
        <v>122.88444444444445</v>
      </c>
      <c r="AD46" s="56">
        <f>IFERROR(INDEX('Monthly VOL'!$N$2:$CG$65,MATCH($D46,'Monthly VOL'!$D$2:$D$65,0),MATCH(AD$1,'Monthly VOL'!$N$1:$CG$1,0))/INDEX('Monthly CUST'!$N$2:$CG$65,MATCH($D46,'Monthly CUST'!$D$2:$D$65,0),MATCH(AD$1,'Monthly CUST'!$N$1:$CG$1,0)),0)</f>
        <v>56.696666666666665</v>
      </c>
      <c r="AE46" s="56">
        <f>IFERROR(INDEX('Monthly VOL'!$N$2:$CG$65,MATCH($D46,'Monthly VOL'!$D$2:$D$65,0),MATCH(AE$1,'Monthly VOL'!$N$1:$CG$1,0))/INDEX('Monthly CUST'!$N$2:$CG$65,MATCH($D46,'Monthly CUST'!$D$2:$D$65,0),MATCH(AE$1,'Monthly CUST'!$N$1:$CG$1,0)),0)</f>
        <v>27.446666666666669</v>
      </c>
      <c r="AF46" s="56">
        <f>IFERROR(INDEX('Monthly VOL'!$N$2:$CG$65,MATCH($D46,'Monthly VOL'!$D$2:$D$65,0),MATCH(AF$1,'Monthly VOL'!$N$1:$CG$1,0))/INDEX('Monthly CUST'!$N$2:$CG$65,MATCH($D46,'Monthly CUST'!$D$2:$D$65,0),MATCH(AF$1,'Monthly CUST'!$N$1:$CG$1,0)),0)</f>
        <v>19.29111111111111</v>
      </c>
      <c r="AG46" s="56">
        <f>IFERROR(INDEX('Monthly VOL'!$N$2:$CG$65,MATCH($D46,'Monthly VOL'!$D$2:$D$65,0),MATCH(AG$1,'Monthly VOL'!$N$1:$CG$1,0))/INDEX('Monthly CUST'!$N$2:$CG$65,MATCH($D46,'Monthly CUST'!$D$2:$D$65,0),MATCH(AG$1,'Monthly CUST'!$N$1:$CG$1,0)),0)</f>
        <v>22.19</v>
      </c>
      <c r="AH46" s="56">
        <f>IFERROR(INDEX('Monthly VOL'!$N$2:$CG$65,MATCH($D46,'Monthly VOL'!$D$2:$D$65,0),MATCH(AH$1,'Monthly VOL'!$N$1:$CG$1,0))/INDEX('Monthly CUST'!$N$2:$CG$65,MATCH($D46,'Monthly CUST'!$D$2:$D$65,0),MATCH(AH$1,'Monthly CUST'!$N$1:$CG$1,0)),0)</f>
        <v>10.324999999999999</v>
      </c>
      <c r="AI46" s="56">
        <f>IFERROR(INDEX('Monthly VOL'!$N$2:$CG$65,MATCH($D46,'Monthly VOL'!$D$2:$D$65,0),MATCH(AI$1,'Monthly VOL'!$N$1:$CG$1,0))/INDEX('Monthly CUST'!$N$2:$CG$65,MATCH($D46,'Monthly CUST'!$D$2:$D$65,0),MATCH(AI$1,'Monthly CUST'!$N$1:$CG$1,0)),0)</f>
        <v>44.125</v>
      </c>
      <c r="AJ46" s="56">
        <f>IFERROR(INDEX('Monthly VOL'!$N$2:$CG$65,MATCH($D46,'Monthly VOL'!$D$2:$D$65,0),MATCH(AJ$1,'Monthly VOL'!$N$1:$CG$1,0))/INDEX('Monthly CUST'!$N$2:$CG$65,MATCH($D46,'Monthly CUST'!$D$2:$D$65,0),MATCH(AJ$1,'Monthly CUST'!$N$1:$CG$1,0)),0)</f>
        <v>140.34875</v>
      </c>
      <c r="AK46" s="56">
        <f>IFERROR(INDEX('Monthly VOL'!$N$2:$CG$65,MATCH($D46,'Monthly VOL'!$D$2:$D$65,0),MATCH(AK$1,'Monthly VOL'!$N$1:$CG$1,0))/INDEX('Monthly CUST'!$N$2:$CG$65,MATCH($D46,'Monthly CUST'!$D$2:$D$65,0),MATCH(AK$1,'Monthly CUST'!$N$1:$CG$1,0)),0)</f>
        <v>223.01750000000001</v>
      </c>
      <c r="AL46" s="56">
        <f>IFERROR(INDEX('Monthly VOL'!$N$2:$CG$65,MATCH($D46,'Monthly VOL'!$D$2:$D$65,0),MATCH(AL$1,'Monthly VOL'!$N$1:$CG$1,0))/INDEX('Monthly CUST'!$N$2:$CG$65,MATCH($D46,'Monthly CUST'!$D$2:$D$65,0),MATCH(AL$1,'Monthly CUST'!$N$1:$CG$1,0)),0)</f>
        <v>213.215</v>
      </c>
      <c r="AM46" s="56">
        <f>IFERROR(INDEX('Monthly VOL'!$N$2:$CG$65,MATCH($D46,'Monthly VOL'!$D$2:$D$65,0),MATCH(AM$1,'Monthly VOL'!$N$1:$CG$1,0))/INDEX('Monthly CUST'!$N$2:$CG$65,MATCH($D46,'Monthly CUST'!$D$2:$D$65,0),MATCH(AM$1,'Monthly CUST'!$N$1:$CG$1,0)),0)</f>
        <v>220.54374999999999</v>
      </c>
      <c r="AN46" s="56">
        <f>IFERROR(INDEX('Monthly VOL'!$N$2:$CG$65,MATCH($D46,'Monthly VOL'!$D$2:$D$65,0),MATCH(AN$1,'Monthly VOL'!$N$1:$CG$1,0))/INDEX('Monthly CUST'!$N$2:$CG$65,MATCH($D46,'Monthly CUST'!$D$2:$D$65,0),MATCH(AN$1,'Monthly CUST'!$N$1:$CG$1,0)),0)</f>
        <v>181.47749999999999</v>
      </c>
      <c r="AO46" s="56">
        <f>IFERROR(INDEX('Monthly VOL'!$N$2:$CG$65,MATCH($D46,'Monthly VOL'!$D$2:$D$65,0),MATCH(AO$1,'Monthly VOL'!$N$1:$CG$1,0))/INDEX('Monthly CUST'!$N$2:$CG$65,MATCH($D46,'Monthly CUST'!$D$2:$D$65,0),MATCH(AO$1,'Monthly CUST'!$N$1:$CG$1,0)),0)</f>
        <v>68.582499999999996</v>
      </c>
      <c r="AP46" s="56">
        <f>IFERROR(INDEX('Monthly VOL'!$N$2:$CG$65,MATCH($D46,'Monthly VOL'!$D$2:$D$65,0),MATCH(AP$1,'Monthly VOL'!$N$1:$CG$1,0))/INDEX('Monthly CUST'!$N$2:$CG$65,MATCH($D46,'Monthly CUST'!$D$2:$D$65,0),MATCH(AP$1,'Monthly CUST'!$N$1:$CG$1,0)),0)</f>
        <v>46.43</v>
      </c>
      <c r="AQ46" s="56">
        <f>IFERROR(INDEX('Monthly VOL'!$N$2:$CG$65,MATCH($D46,'Monthly VOL'!$D$2:$D$65,0),MATCH(AQ$1,'Monthly VOL'!$N$1:$CG$1,0))/INDEX('Monthly CUST'!$N$2:$CG$65,MATCH($D46,'Monthly CUST'!$D$2:$D$65,0),MATCH(AQ$1,'Monthly CUST'!$N$1:$CG$1,0)),0)</f>
        <v>17.73</v>
      </c>
      <c r="AR46" s="56">
        <f>IFERROR(INDEX('Monthly VOL'!$N$2:$CG$65,MATCH($D46,'Monthly VOL'!$D$2:$D$65,0),MATCH(AR$1,'Monthly VOL'!$N$1:$CG$1,0))/INDEX('Monthly CUST'!$N$2:$CG$65,MATCH($D46,'Monthly CUST'!$D$2:$D$65,0),MATCH(AR$1,'Monthly CUST'!$N$1:$CG$1,0)),0)</f>
        <v>20.512499999999999</v>
      </c>
      <c r="AS46" s="56">
        <f>IFERROR(INDEX('Monthly VOL'!$N$2:$CG$65,MATCH($D46,'Monthly VOL'!$D$2:$D$65,0),MATCH(AS$1,'Monthly VOL'!$N$1:$CG$1,0))/INDEX('Monthly CUST'!$N$2:$CG$65,MATCH($D46,'Monthly CUST'!$D$2:$D$65,0),MATCH(AS$1,'Monthly CUST'!$N$1:$CG$1,0)),0)</f>
        <v>13.07</v>
      </c>
      <c r="AT46" s="56">
        <f>IFERROR(INDEX('Monthly VOL'!$N$2:$CG$65,MATCH($D46,'Monthly VOL'!$D$2:$D$65,0),MATCH(AT$1,'Monthly VOL'!$N$1:$CG$1,0))/INDEX('Monthly CUST'!$N$2:$CG$65,MATCH($D46,'Monthly CUST'!$D$2:$D$65,0),MATCH(AT$1,'Monthly CUST'!$N$1:$CG$1,0)),0)</f>
        <v>18.510000000000002</v>
      </c>
      <c r="AU46" s="56">
        <f>IFERROR(INDEX('Monthly VOL'!$N$2:$CG$65,MATCH($D46,'Monthly VOL'!$D$2:$D$65,0),MATCH(AU$1,'Monthly VOL'!$N$1:$CG$1,0))/INDEX('Monthly CUST'!$N$2:$CG$65,MATCH($D46,'Monthly CUST'!$D$2:$D$65,0),MATCH(AU$1,'Monthly CUST'!$N$1:$CG$1,0)),0)</f>
        <v>6.8112500000000002</v>
      </c>
      <c r="AV46" s="56">
        <f>IFERROR(INDEX('Monthly VOL'!$N$2:$CG$65,MATCH($D46,'Monthly VOL'!$D$2:$D$65,0),MATCH(AV$1,'Monthly VOL'!$N$1:$CG$1,0))/INDEX('Monthly CUST'!$N$2:$CG$65,MATCH($D46,'Monthly CUST'!$D$2:$D$65,0),MATCH(AV$1,'Monthly CUST'!$N$1:$CG$1,0)),0)</f>
        <v>43.183750000000003</v>
      </c>
      <c r="AW46" s="56">
        <f>IFERROR(INDEX('Monthly VOL'!$N$2:$CG$65,MATCH($D46,'Monthly VOL'!$D$2:$D$65,0),MATCH(AW$1,'Monthly VOL'!$N$1:$CG$1,0))/INDEX('Monthly CUST'!$N$2:$CG$65,MATCH($D46,'Monthly CUST'!$D$2:$D$65,0),MATCH(AW$1,'Monthly CUST'!$N$1:$CG$1,0)),0)</f>
        <v>137.0975</v>
      </c>
      <c r="AX46" s="56">
        <f>IFERROR(INDEX('Monthly VOL'!$N$2:$CG$65,MATCH($D46,'Monthly VOL'!$D$2:$D$65,0),MATCH(AX$1,'Monthly VOL'!$N$1:$CG$1,0))/INDEX('Monthly CUST'!$N$2:$CG$65,MATCH($D46,'Monthly CUST'!$D$2:$D$65,0),MATCH(AX$1,'Monthly CUST'!$N$1:$CG$1,0)),0)</f>
        <v>218.8942857142857</v>
      </c>
      <c r="AY46" s="56">
        <f>IFERROR(INDEX('Monthly VOL'!$N$2:$CG$65,MATCH($D46,'Monthly VOL'!$D$2:$D$65,0),MATCH(AY$1,'Monthly VOL'!$N$1:$CG$1,0))/INDEX('Monthly CUST'!$N$2:$CG$65,MATCH($D46,'Monthly CUST'!$D$2:$D$65,0),MATCH(AY$1,'Monthly CUST'!$N$1:$CG$1,0)),0)</f>
        <v>140.58750000000001</v>
      </c>
      <c r="AZ46" s="56">
        <f>IFERROR(INDEX('Monthly VOL'!$N$2:$CG$65,MATCH($D46,'Monthly VOL'!$D$2:$D$65,0),MATCH(AZ$1,'Monthly VOL'!$N$1:$CG$1,0))/INDEX('Monthly CUST'!$N$2:$CG$65,MATCH($D46,'Monthly CUST'!$D$2:$D$65,0),MATCH(AZ$1,'Monthly CUST'!$N$1:$CG$1,0)),0)</f>
        <v>215.28571428571428</v>
      </c>
      <c r="BA46" s="56">
        <f>IFERROR(INDEX('Monthly VOL'!$N$2:$CG$65,MATCH($D46,'Monthly VOL'!$D$2:$D$65,0),MATCH(BA$1,'Monthly VOL'!$N$1:$CG$1,0))/INDEX('Monthly CUST'!$N$2:$CG$65,MATCH($D46,'Monthly CUST'!$D$2:$D$65,0),MATCH(BA$1,'Monthly CUST'!$N$1:$CG$1,0)),0)</f>
        <v>162.32142857142858</v>
      </c>
      <c r="BB46" s="56">
        <f>IFERROR(INDEX('Monthly VOL'!$N$2:$CG$65,MATCH($D46,'Monthly VOL'!$D$2:$D$65,0),MATCH(BB$1,'Monthly VOL'!$N$1:$CG$1,0))/INDEX('Monthly CUST'!$N$2:$CG$65,MATCH($D46,'Monthly CUST'!$D$2:$D$65,0),MATCH(BB$1,'Monthly CUST'!$N$1:$CG$1,0)),0)</f>
        <v>73.291428571428568</v>
      </c>
      <c r="BC46" s="56">
        <f>IFERROR(INDEX('Monthly VOL'!$N$2:$CG$65,MATCH($D46,'Monthly VOL'!$D$2:$D$65,0),MATCH(BC$1,'Monthly VOL'!$N$1:$CG$1,0))/INDEX('Monthly CUST'!$N$2:$CG$65,MATCH($D46,'Monthly CUST'!$D$2:$D$65,0),MATCH(BC$1,'Monthly CUST'!$N$1:$CG$1,0)),0)</f>
        <v>51.582857142857144</v>
      </c>
      <c r="BD46" s="56">
        <f>IFERROR(INDEX('Monthly VOL'!$N$2:$CG$65,MATCH($D46,'Monthly VOL'!$D$2:$D$65,0),MATCH(BD$1,'Monthly VOL'!$N$1:$CG$1,0))/INDEX('Monthly CUST'!$N$2:$CG$65,MATCH($D46,'Monthly CUST'!$D$2:$D$65,0),MATCH(BD$1,'Monthly CUST'!$N$1:$CG$1,0)),0)</f>
        <v>44.651428571428575</v>
      </c>
      <c r="BE46" s="56">
        <f>IFERROR(INDEX('Monthly VOL'!$N$2:$CG$65,MATCH($D46,'Monthly VOL'!$D$2:$D$65,0),MATCH(BE$1,'Monthly VOL'!$N$1:$CG$1,0))/INDEX('Monthly CUST'!$N$2:$CG$65,MATCH($D46,'Monthly CUST'!$D$2:$D$65,0),MATCH(BE$1,'Monthly CUST'!$N$1:$CG$1,0)),0)</f>
        <v>25.245714285714286</v>
      </c>
      <c r="BF46" s="56">
        <f>IFERROR(INDEX('Monthly VOL'!$N$2:$CG$65,MATCH($D46,'Monthly VOL'!$D$2:$D$65,0),MATCH(BF$1,'Monthly VOL'!$N$1:$CG$1,0))/INDEX('Monthly CUST'!$N$2:$CG$65,MATCH($D46,'Monthly CUST'!$D$2:$D$65,0),MATCH(BF$1,'Monthly CUST'!$N$1:$CG$1,0)),0)</f>
        <v>35.547142857142859</v>
      </c>
      <c r="BG46" s="56">
        <f>IFERROR(INDEX('Monthly VOL'!$N$2:$CG$65,MATCH($D46,'Monthly VOL'!$D$2:$D$65,0),MATCH(BG$1,'Monthly VOL'!$N$1:$CG$1,0))/INDEX('Monthly CUST'!$N$2:$CG$65,MATCH($D46,'Monthly CUST'!$D$2:$D$65,0),MATCH(BG$1,'Monthly CUST'!$N$1:$CG$1,0)),0)</f>
        <v>40.93</v>
      </c>
      <c r="BH46" s="56">
        <f>IFERROR(INDEX('Monthly VOL'!$N$2:$CG$65,MATCH($D46,'Monthly VOL'!$D$2:$D$65,0),MATCH(BH$1,'Monthly VOL'!$N$1:$CG$1,0))/INDEX('Monthly CUST'!$N$2:$CG$65,MATCH($D46,'Monthly CUST'!$D$2:$D$65,0),MATCH(BH$1,'Monthly CUST'!$N$1:$CG$1,0)),0)</f>
        <v>106.73142857142857</v>
      </c>
      <c r="BI46" s="56">
        <f>IFERROR(INDEX('Monthly VOL'!$N$2:$CG$65,MATCH($D46,'Monthly VOL'!$D$2:$D$65,0),MATCH(BI$1,'Monthly VOL'!$N$1:$CG$1,0))/INDEX('Monthly CUST'!$N$2:$CG$65,MATCH($D46,'Monthly CUST'!$D$2:$D$65,0),MATCH(BI$1,'Monthly CUST'!$N$1:$CG$1,0)),0)</f>
        <v>222.5842857142857</v>
      </c>
      <c r="BJ46" s="56">
        <f>IFERROR(INDEX('Monthly VOL'!$N$2:$CG$65,MATCH($D46,'Monthly VOL'!$D$2:$D$65,0),MATCH(BJ$1,'Monthly VOL'!$N$1:$CG$1,0))/INDEX('Monthly CUST'!$N$2:$CG$65,MATCH($D46,'Monthly CUST'!$D$2:$D$65,0),MATCH(BJ$1,'Monthly CUST'!$N$1:$CG$1,0)),0)</f>
        <v>209.55319603112358</v>
      </c>
      <c r="BK46" s="56">
        <f>IFERROR(INDEX('Monthly VOL'!$N$2:$CG$65,MATCH($D46,'Monthly VOL'!$D$2:$D$65,0),MATCH(BK$1,'Monthly VOL'!$N$1:$CG$1,0))/INDEX('Monthly CUST'!$N$2:$CG$65,MATCH($D46,'Monthly CUST'!$D$2:$D$65,0),MATCH(BK$1,'Monthly CUST'!$N$1:$CG$1,0)),0)</f>
        <v>134.58807227832037</v>
      </c>
      <c r="BL46" s="56">
        <f>IFERROR(INDEX('Monthly VOL'!$N$2:$CG$65,MATCH($D46,'Monthly VOL'!$D$2:$D$65,0),MATCH(BL$1,'Monthly VOL'!$N$1:$CG$1,0))/INDEX('Monthly CUST'!$N$2:$CG$65,MATCH($D46,'Monthly CUST'!$D$2:$D$65,0),MATCH(BL$1,'Monthly CUST'!$N$1:$CG$1,0)),0)</f>
        <v>206.09861669618948</v>
      </c>
      <c r="BM46" s="56">
        <f>IFERROR(INDEX('Monthly VOL'!$N$2:$CG$65,MATCH($D46,'Monthly VOL'!$D$2:$D$65,0),MATCH(BM$1,'Monthly VOL'!$N$1:$CG$1,0))/INDEX('Monthly CUST'!$N$2:$CG$65,MATCH($D46,'Monthly CUST'!$D$2:$D$65,0),MATCH(BM$1,'Monthly CUST'!$N$1:$CG$1,0)),0)</f>
        <v>155.39452768483429</v>
      </c>
      <c r="BN46" s="56">
        <f>IFERROR(INDEX('Monthly VOL'!$N$2:$CG$65,MATCH($D46,'Monthly VOL'!$D$2:$D$65,0),MATCH(BN$1,'Monthly VOL'!$N$1:$CG$1,0))/INDEX('Monthly CUST'!$N$2:$CG$65,MATCH($D46,'Monthly CUST'!$D$2:$D$65,0),MATCH(BN$1,'Monthly CUST'!$N$1:$CG$1,0)),0)</f>
        <v>70.163791844600567</v>
      </c>
      <c r="BO46" s="56">
        <f>IFERROR(INDEX('Monthly VOL'!$N$2:$CG$65,MATCH($D46,'Monthly VOL'!$D$2:$D$65,0),MATCH(BO$1,'Monthly VOL'!$N$1:$CG$1,0))/INDEX('Monthly CUST'!$N$2:$CG$65,MATCH($D46,'Monthly CUST'!$D$2:$D$65,0),MATCH(BO$1,'Monthly CUST'!$N$1:$CG$1,0)),0)</f>
        <v>49.381611490816255</v>
      </c>
      <c r="BP46" s="56">
        <f>IFERROR(INDEX('Monthly VOL'!$N$2:$CG$65,MATCH($D46,'Monthly VOL'!$D$2:$D$65,0),MATCH(BP$1,'Monthly VOL'!$N$1:$CG$1,0))/INDEX('Monthly CUST'!$N$2:$CG$65,MATCH($D46,'Monthly CUST'!$D$2:$D$65,0),MATCH(BP$1,'Monthly CUST'!$N$1:$CG$1,0)),0)</f>
        <v>42.745974541845385</v>
      </c>
      <c r="BQ46" s="56">
        <f>IFERROR(INDEX('Monthly VOL'!$N$2:$CG$65,MATCH($D46,'Monthly VOL'!$D$2:$D$65,0),MATCH(BQ$1,'Monthly VOL'!$N$1:$CG$1,0))/INDEX('Monthly CUST'!$N$2:$CG$65,MATCH($D46,'Monthly CUST'!$D$2:$D$65,0),MATCH(BQ$1,'Monthly CUST'!$N$1:$CG$1,0)),0)</f>
        <v>24.168379258494099</v>
      </c>
      <c r="BR46" s="56">
        <f>IFERROR(INDEX('Monthly VOL'!$N$2:$CG$65,MATCH($D46,'Monthly VOL'!$D$2:$D$65,0),MATCH(BR$1,'Monthly VOL'!$N$1:$CG$1,0))/INDEX('Monthly CUST'!$N$2:$CG$65,MATCH($D46,'Monthly CUST'!$D$2:$D$65,0),MATCH(BR$1,'Monthly CUST'!$N$1:$CG$1,0)),0)</f>
        <v>34.030204905449793</v>
      </c>
      <c r="BS46" s="56">
        <f>IFERROR(INDEX('Monthly VOL'!$N$2:$CG$65,MATCH($D46,'Monthly VOL'!$D$2:$D$65,0),MATCH(BS$1,'Monthly VOL'!$N$1:$CG$1,0))/INDEX('Monthly CUST'!$N$2:$CG$65,MATCH($D46,'Monthly CUST'!$D$2:$D$65,0),MATCH(BS$1,'Monthly CUST'!$N$1:$CG$1,0)),0)</f>
        <v>39.183354127156768</v>
      </c>
      <c r="BT46" s="56">
        <f>IFERROR(INDEX('Monthly VOL'!$N$2:$CG$65,MATCH($D46,'Monthly VOL'!$D$2:$D$65,0),MATCH(BT$1,'Monthly VOL'!$N$1:$CG$1,0))/INDEX('Monthly CUST'!$N$2:$CG$65,MATCH($D46,'Monthly CUST'!$D$2:$D$65,0),MATCH(BT$1,'Monthly CUST'!$N$1:$CG$1,0)),0)</f>
        <v>102.17677405843204</v>
      </c>
      <c r="BU46" s="56">
        <f>IFERROR(INDEX('Monthly VOL'!$N$2:$CG$65,MATCH($D46,'Monthly VOL'!$D$2:$D$65,0),MATCH(BU$1,'Monthly VOL'!$N$1:$CG$1,0))/INDEX('Monthly CUST'!$N$2:$CG$65,MATCH($D46,'Monthly CUST'!$D$2:$D$65,0),MATCH(BU$1,'Monthly CUST'!$N$1:$CG$1,0)),0)</f>
        <v>213.08572905651351</v>
      </c>
      <c r="BV46" s="56">
        <f>IFERROR(INDEX('Monthly VOL'!$N$2:$CG$65,MATCH($D46,'Monthly VOL'!$D$2:$D$65,0),MATCH(BV$1,'Monthly VOL'!$N$1:$CG$1,0))/INDEX('Monthly CUST'!$N$2:$CG$65,MATCH($D46,'Monthly CUST'!$D$2:$D$65,0),MATCH(BV$1,'Monthly CUST'!$N$1:$CG$1,0)),0)</f>
        <v>200.6107277929396</v>
      </c>
      <c r="BW46" s="56">
        <f>IFERROR(INDEX('Monthly VOL'!$N$2:$CG$65,MATCH($D46,'Monthly VOL'!$D$2:$D$65,0),MATCH(BW$1,'Monthly VOL'!$N$1:$CG$1,0))/INDEX('Monthly CUST'!$N$2:$CG$65,MATCH($D46,'Monthly CUST'!$D$2:$D$65,0),MATCH(BW$1,'Monthly CUST'!$N$1:$CG$1,0)),0)</f>
        <v>128.84466399640357</v>
      </c>
      <c r="BX46" s="56">
        <f>IFERROR(INDEX('Monthly VOL'!$N$2:$CG$65,MATCH($D46,'Monthly VOL'!$D$2:$D$65,0),MATCH(BX$1,'Monthly VOL'!$N$1:$CG$1,0))/INDEX('Monthly CUST'!$N$2:$CG$65,MATCH($D46,'Monthly CUST'!$D$2:$D$65,0),MATCH(BX$1,'Monthly CUST'!$N$1:$CG$1,0)),0)</f>
        <v>197.30356909660242</v>
      </c>
      <c r="BY46" s="56">
        <f>IFERROR(INDEX('Monthly VOL'!$N$2:$CG$65,MATCH($D46,'Monthly VOL'!$D$2:$D$65,0),MATCH(BY$1,'Monthly VOL'!$N$1:$CG$1,0))/INDEX('Monthly CUST'!$N$2:$CG$65,MATCH($D46,'Monthly CUST'!$D$2:$D$65,0),MATCH(BY$1,'Monthly CUST'!$N$1:$CG$1,0)),0)</f>
        <v>148.76322520637987</v>
      </c>
      <c r="BZ46" s="56">
        <f>IFERROR(INDEX('Monthly VOL'!$N$2:$CG$65,MATCH($D46,'Monthly VOL'!$D$2:$D$65,0),MATCH(BZ$1,'Monthly VOL'!$N$1:$CG$1,0))/INDEX('Monthly CUST'!$N$2:$CG$65,MATCH($D46,'Monthly CUST'!$D$2:$D$65,0),MATCH(BZ$1,'Monthly CUST'!$N$1:$CG$1,0)),0)</f>
        <v>67.169623815076918</v>
      </c>
      <c r="CA46" s="56">
        <f>IFERROR(INDEX('Monthly VOL'!$N$2:$CG$65,MATCH($D46,'Monthly VOL'!$D$2:$D$65,0),MATCH(CA$1,'Monthly VOL'!$N$1:$CG$1,0))/INDEX('Monthly CUST'!$N$2:$CG$65,MATCH($D46,'Monthly CUST'!$D$2:$D$65,0),MATCH(CA$1,'Monthly CUST'!$N$1:$CG$1,0)),0)</f>
        <v>47.274301744791771</v>
      </c>
      <c r="CB46" s="56">
        <f>IFERROR(INDEX('Monthly VOL'!$N$2:$CG$65,MATCH($D46,'Monthly VOL'!$D$2:$D$65,0),MATCH(CB$1,'Monthly VOL'!$N$1:$CG$1,0))/INDEX('Monthly CUST'!$N$2:$CG$65,MATCH($D46,'Monthly CUST'!$D$2:$D$65,0),MATCH(CB$1,'Monthly CUST'!$N$1:$CG$1,0)),0)</f>
        <v>40.921833813426709</v>
      </c>
      <c r="CC46" s="56">
        <f>IFERROR(INDEX('Monthly VOL'!$N$2:$CG$65,MATCH($D46,'Monthly VOL'!$D$2:$D$65,0),MATCH(CC$1,'Monthly VOL'!$N$1:$CG$1,0))/INDEX('Monthly CUST'!$N$2:$CG$65,MATCH($D46,'Monthly CUST'!$D$2:$D$65,0),MATCH(CC$1,'Monthly CUST'!$N$1:$CG$1,0)),0)</f>
        <v>23.137018401295006</v>
      </c>
      <c r="CD46" s="56">
        <f>IFERROR(INDEX('Monthly VOL'!$N$2:$CG$65,MATCH($D46,'Monthly VOL'!$D$2:$D$65,0),MATCH(CD$1,'Monthly VOL'!$N$1:$CG$1,0))/INDEX('Monthly CUST'!$N$2:$CG$65,MATCH($D46,'Monthly CUST'!$D$2:$D$65,0),MATCH(CD$1,'Monthly CUST'!$N$1:$CG$1,0)),0)</f>
        <v>32.578000728803971</v>
      </c>
      <c r="CE46" s="56">
        <f>IFERROR(INDEX('Monthly VOL'!$N$2:$CG$65,MATCH($D46,'Monthly VOL'!$D$2:$D$65,0),MATCH(CE$1,'Monthly VOL'!$N$1:$CG$1,0))/INDEX('Monthly CUST'!$N$2:$CG$65,MATCH($D46,'Monthly CUST'!$D$2:$D$65,0),MATCH(CE$1,'Monthly CUST'!$N$1:$CG$1,0)),0)</f>
        <v>37.511244579872304</v>
      </c>
      <c r="CF46" s="56">
        <f>IFERROR(INDEX('Monthly VOL'!$N$2:$CG$65,MATCH($D46,'Monthly VOL'!$D$2:$D$65,0),MATCH(CF$1,'Monthly VOL'!$N$1:$CG$1,0))/INDEX('Monthly CUST'!$N$2:$CG$65,MATCH($D46,'Monthly CUST'!$D$2:$D$65,0),MATCH(CF$1,'Monthly CUST'!$N$1:$CG$1,0)),0)</f>
        <v>97.816484766724358</v>
      </c>
      <c r="CG46" s="56">
        <f>IFERROR(INDEX('Monthly VOL'!$N$2:$CG$65,MATCH($D46,'Monthly VOL'!$D$2:$D$65,0),MATCH(CG$1,'Monthly VOL'!$N$1:$CG$1,0))/INDEX('Monthly CUST'!$N$2:$CG$65,MATCH($D46,'Monthly CUST'!$D$2:$D$65,0),MATCH(CG$1,'Monthly CUST'!$N$1:$CG$1,0)),0)</f>
        <v>203.99251358575</v>
      </c>
      <c r="CH46" s="264"/>
      <c r="CI46" s="264"/>
      <c r="CJ46" s="264"/>
      <c r="CM46" s="569">
        <f t="shared" si="24"/>
        <v>208.47939153439154</v>
      </c>
      <c r="CN46" s="569">
        <f t="shared" si="25"/>
        <v>166.20412037037036</v>
      </c>
      <c r="CO46" s="569">
        <f t="shared" si="26"/>
        <v>174.60958994708994</v>
      </c>
      <c r="CP46" s="569">
        <f t="shared" si="27"/>
        <v>117.92945767195768</v>
      </c>
      <c r="CQ46" s="569">
        <f t="shared" si="28"/>
        <v>58.806031746031749</v>
      </c>
      <c r="CR46" s="569">
        <f t="shared" si="29"/>
        <v>32.253174603174607</v>
      </c>
      <c r="CS46" s="569">
        <f t="shared" si="30"/>
        <v>28.151679894179892</v>
      </c>
      <c r="CT46" s="569">
        <f t="shared" si="31"/>
        <v>20.168571428571429</v>
      </c>
      <c r="CU46" s="569">
        <f t="shared" si="32"/>
        <v>21.460714285714289</v>
      </c>
      <c r="CV46" s="569">
        <f t="shared" si="33"/>
        <v>30.622083333333336</v>
      </c>
      <c r="CW46" s="569">
        <f t="shared" si="34"/>
        <v>96.754642857142855</v>
      </c>
      <c r="CX46" s="569">
        <f t="shared" si="35"/>
        <v>194.23309523809522</v>
      </c>
      <c r="CY46" s="569">
        <f t="shared" si="36"/>
        <v>208.47939153439154</v>
      </c>
      <c r="CZ46" s="569">
        <f t="shared" si="37"/>
        <v>166.20412037037036</v>
      </c>
      <c r="DA46" s="569">
        <f t="shared" si="38"/>
        <v>174.60958994708994</v>
      </c>
      <c r="DB46" s="569">
        <f t="shared" si="39"/>
        <v>117.92945767195768</v>
      </c>
      <c r="DC46" s="569">
        <f t="shared" si="40"/>
        <v>58.806031746031749</v>
      </c>
      <c r="DD46" s="569">
        <f t="shared" si="41"/>
        <v>32.253174603174607</v>
      </c>
      <c r="DE46" s="569">
        <f t="shared" si="42"/>
        <v>28.151679894179892</v>
      </c>
      <c r="DF46" s="569">
        <f t="shared" si="43"/>
        <v>20.168571428571429</v>
      </c>
      <c r="DG46" s="569">
        <f t="shared" si="44"/>
        <v>21.460714285714289</v>
      </c>
      <c r="DH46" s="569">
        <f t="shared" si="45"/>
        <v>30.622083333333336</v>
      </c>
      <c r="DI46" s="569">
        <f t="shared" si="46"/>
        <v>96.754642857142855</v>
      </c>
      <c r="DJ46" s="569">
        <f t="shared" si="47"/>
        <v>194.23309523809522</v>
      </c>
    </row>
    <row r="47" spans="1:114" s="261" customFormat="1">
      <c r="A47" s="55" t="s">
        <v>17</v>
      </c>
      <c r="B47" s="55" t="s">
        <v>993</v>
      </c>
      <c r="C47" s="55" t="s">
        <v>1245</v>
      </c>
      <c r="D47" s="55" t="s">
        <v>1256</v>
      </c>
      <c r="E47" s="55" t="str">
        <f>VLOOKUP(D47,'Input 14_Ref Table'!C:D,2,FALSE)</f>
        <v>CC816</v>
      </c>
      <c r="F47" s="172" t="s">
        <v>1286</v>
      </c>
      <c r="G47" s="55" t="str">
        <f>VLOOKUP(D47,'Input 14_Ref Table'!C:I,7,FALSE)</f>
        <v>CFG - FTS-2.1 NR</v>
      </c>
      <c r="H47" s="55" t="str">
        <f>VLOOKUP(D47,'Input 14_Ref Table'!C:K,8,FALSE)</f>
        <v>FTS2.1</v>
      </c>
      <c r="I47" s="55" t="e">
        <f>INDEX(#REF!,MATCH(D47,#REF!,0))</f>
        <v>#REF!</v>
      </c>
      <c r="J47" s="261" t="str">
        <f>INDEX('Master '!$AD$2:AD$65,MATCH(D47,'Master '!$D$2:$D$65,0))</f>
        <v>UPC Growth Rate</v>
      </c>
      <c r="K47" s="567">
        <f>INDEX('Master '!$N$2:N$65,MATCH(D47,'Master '!$D$2:$D$65,0))</f>
        <v>2.748906551832106E-2</v>
      </c>
      <c r="L47" s="290">
        <f>INDEX('Master '!$S$2:S$65,MATCH(D47,'Master '!$D$2:$D$65,0))</f>
        <v>-1.8059022170019087E-2</v>
      </c>
      <c r="M47" s="1">
        <f>INDEX('Master '!$W$2:W$65,MATCH(D47,'Master '!$D$2:$D$65,0))</f>
        <v>1672</v>
      </c>
      <c r="N47" s="56">
        <f>IFERROR(INDEX('Monthly VOL'!$N$2:$CG$65,MATCH($D47,'Monthly VOL'!$D$2:$D$65,0),MATCH(N$1,'Monthly VOL'!$N$1:$CG$1,0))/INDEX('Monthly CUST'!$N$2:$CG$65,MATCH($D47,'Monthly CUST'!$D$2:$D$65,0),MATCH(N$1,'Monthly CUST'!$N$1:$CG$1,0)),0)</f>
        <v>257.78601990049748</v>
      </c>
      <c r="O47" s="56">
        <f>IFERROR(INDEX('Monthly VOL'!$N$2:$CG$65,MATCH($D47,'Monthly VOL'!$D$2:$D$65,0),MATCH(O$1,'Monthly VOL'!$N$1:$CG$1,0))/INDEX('Monthly CUST'!$N$2:$CG$65,MATCH($D47,'Monthly CUST'!$D$2:$D$65,0),MATCH(O$1,'Monthly CUST'!$N$1:$CG$1,0)),0)</f>
        <v>222.92517412935322</v>
      </c>
      <c r="P47" s="56">
        <f>IFERROR(INDEX('Monthly VOL'!$N$2:$CG$65,MATCH($D47,'Monthly VOL'!$D$2:$D$65,0),MATCH(P$1,'Monthly VOL'!$N$1:$CG$1,0))/INDEX('Monthly CUST'!$N$2:$CG$65,MATCH($D47,'Monthly CUST'!$D$2:$D$65,0),MATCH(P$1,'Monthly CUST'!$N$1:$CG$1,0)),0)</f>
        <v>215.51741293532339</v>
      </c>
      <c r="Q47" s="56">
        <f>IFERROR(INDEX('Monthly VOL'!$N$2:$CG$65,MATCH($D47,'Monthly VOL'!$D$2:$D$65,0),MATCH(Q$1,'Monthly VOL'!$N$1:$CG$1,0))/INDEX('Monthly CUST'!$N$2:$CG$65,MATCH($D47,'Monthly CUST'!$D$2:$D$65,0),MATCH(Q$1,'Monthly CUST'!$N$1:$CG$1,0)),0)</f>
        <v>166.44943298969071</v>
      </c>
      <c r="R47" s="56">
        <f>IFERROR(INDEX('Monthly VOL'!$N$2:$CG$65,MATCH($D47,'Monthly VOL'!$D$2:$D$65,0),MATCH(R$1,'Monthly VOL'!$N$1:$CG$1,0))/INDEX('Monthly CUST'!$N$2:$CG$65,MATCH($D47,'Monthly CUST'!$D$2:$D$65,0),MATCH(R$1,'Monthly CUST'!$N$1:$CG$1,0)),0)</f>
        <v>144.95269035532996</v>
      </c>
      <c r="S47" s="56">
        <f>IFERROR(INDEX('Monthly VOL'!$N$2:$CG$65,MATCH($D47,'Monthly VOL'!$D$2:$D$65,0),MATCH(S$1,'Monthly VOL'!$N$1:$CG$1,0))/INDEX('Monthly CUST'!$N$2:$CG$65,MATCH($D47,'Monthly CUST'!$D$2:$D$65,0),MATCH(S$1,'Monthly CUST'!$N$1:$CG$1,0)),0)</f>
        <v>133.45615384615385</v>
      </c>
      <c r="T47" s="56">
        <f>IFERROR(INDEX('Monthly VOL'!$N$2:$CG$65,MATCH($D47,'Monthly VOL'!$D$2:$D$65,0),MATCH(T$1,'Monthly VOL'!$N$1:$CG$1,0))/INDEX('Monthly CUST'!$N$2:$CG$65,MATCH($D47,'Monthly CUST'!$D$2:$D$65,0),MATCH(T$1,'Monthly CUST'!$N$1:$CG$1,0)),0)</f>
        <v>117.9381443298969</v>
      </c>
      <c r="U47" s="56">
        <f>IFERROR(INDEX('Monthly VOL'!$N$2:$CG$65,MATCH($D47,'Monthly VOL'!$D$2:$D$65,0),MATCH(U$1,'Monthly VOL'!$N$1:$CG$1,0))/INDEX('Monthly CUST'!$N$2:$CG$65,MATCH($D47,'Monthly CUST'!$D$2:$D$65,0),MATCH(U$1,'Monthly CUST'!$N$1:$CG$1,0)),0)</f>
        <v>128.64345177664973</v>
      </c>
      <c r="V47" s="56">
        <f>IFERROR(INDEX('Monthly VOL'!$N$2:$CG$65,MATCH($D47,'Monthly VOL'!$D$2:$D$65,0),MATCH(V$1,'Monthly VOL'!$N$1:$CG$1,0))/INDEX('Monthly CUST'!$N$2:$CG$65,MATCH($D47,'Monthly CUST'!$D$2:$D$65,0),MATCH(V$1,'Monthly CUST'!$N$1:$CG$1,0)),0)</f>
        <v>143.70664974619288</v>
      </c>
      <c r="W47" s="56">
        <f>IFERROR(INDEX('Monthly VOL'!$N$2:$CG$65,MATCH($D47,'Monthly VOL'!$D$2:$D$65,0),MATCH(W$1,'Monthly VOL'!$N$1:$CG$1,0))/INDEX('Monthly CUST'!$N$2:$CG$65,MATCH($D47,'Monthly CUST'!$D$2:$D$65,0),MATCH(W$1,'Monthly CUST'!$N$1:$CG$1,0)),0)</f>
        <v>140.02328205128205</v>
      </c>
      <c r="X47" s="56">
        <f>IFERROR(INDEX('Monthly VOL'!$N$2:$CG$65,MATCH($D47,'Monthly VOL'!$D$2:$D$65,0),MATCH(X$1,'Monthly VOL'!$N$1:$CG$1,0))/INDEX('Monthly CUST'!$N$2:$CG$65,MATCH($D47,'Monthly CUST'!$D$2:$D$65,0),MATCH(X$1,'Monthly CUST'!$N$1:$CG$1,0)),0)</f>
        <v>155.251269035533</v>
      </c>
      <c r="Y47" s="56">
        <f>IFERROR(INDEX('Monthly VOL'!$N$2:$CG$65,MATCH($D47,'Monthly VOL'!$D$2:$D$65,0),MATCH(Y$1,'Monthly VOL'!$N$1:$CG$1,0))/INDEX('Monthly CUST'!$N$2:$CG$65,MATCH($D47,'Monthly CUST'!$D$2:$D$65,0),MATCH(Y$1,'Monthly CUST'!$N$1:$CG$1,0)),0)</f>
        <v>172.07745370370372</v>
      </c>
      <c r="Z47" s="56">
        <f>IFERROR(INDEX('Monthly VOL'!$N$2:$CG$65,MATCH($D47,'Monthly VOL'!$D$2:$D$65,0),MATCH(Z$1,'Monthly VOL'!$N$1:$CG$1,0))/INDEX('Monthly CUST'!$N$2:$CG$65,MATCH($D47,'Monthly CUST'!$D$2:$D$65,0),MATCH(Z$1,'Monthly CUST'!$N$1:$CG$1,0)),0)</f>
        <v>189.64515463917527</v>
      </c>
      <c r="AA47" s="56">
        <f>IFERROR(INDEX('Monthly VOL'!$N$2:$CG$65,MATCH($D47,'Monthly VOL'!$D$2:$D$65,0),MATCH(AA$1,'Monthly VOL'!$N$1:$CG$1,0))/INDEX('Monthly CUST'!$N$2:$CG$65,MATCH($D47,'Monthly CUST'!$D$2:$D$65,0),MATCH(AA$1,'Monthly CUST'!$N$1:$CG$1,0)),0)</f>
        <v>185.68494897959184</v>
      </c>
      <c r="AB47" s="56">
        <f>IFERROR(INDEX('Monthly VOL'!$N$2:$CG$65,MATCH($D47,'Monthly VOL'!$D$2:$D$65,0),MATCH(AB$1,'Monthly VOL'!$N$1:$CG$1,0))/INDEX('Monthly CUST'!$N$2:$CG$65,MATCH($D47,'Monthly CUST'!$D$2:$D$65,0),MATCH(AB$1,'Monthly CUST'!$N$1:$CG$1,0)),0)</f>
        <v>178.73745</v>
      </c>
      <c r="AC47" s="56">
        <f>IFERROR(INDEX('Monthly VOL'!$N$2:$CG$65,MATCH($D47,'Monthly VOL'!$D$2:$D$65,0),MATCH(AC$1,'Monthly VOL'!$N$1:$CG$1,0))/INDEX('Monthly CUST'!$N$2:$CG$65,MATCH($D47,'Monthly CUST'!$D$2:$D$65,0),MATCH(AC$1,'Monthly CUST'!$N$1:$CG$1,0)),0)</f>
        <v>144.93106060606061</v>
      </c>
      <c r="AD47" s="56">
        <f>IFERROR(INDEX('Monthly VOL'!$N$2:$CG$65,MATCH($D47,'Monthly VOL'!$D$2:$D$65,0),MATCH(AD$1,'Monthly VOL'!$N$1:$CG$1,0))/INDEX('Monthly CUST'!$N$2:$CG$65,MATCH($D47,'Monthly CUST'!$D$2:$D$65,0),MATCH(AD$1,'Monthly CUST'!$N$1:$CG$1,0)),0)</f>
        <v>165.74798994974873</v>
      </c>
      <c r="AE47" s="56">
        <f>IFERROR(INDEX('Monthly VOL'!$N$2:$CG$65,MATCH($D47,'Monthly VOL'!$D$2:$D$65,0),MATCH(AE$1,'Monthly VOL'!$N$1:$CG$1,0))/INDEX('Monthly CUST'!$N$2:$CG$65,MATCH($D47,'Monthly CUST'!$D$2:$D$65,0),MATCH(AE$1,'Monthly CUST'!$N$1:$CG$1,0)),0)</f>
        <v>142.48939698492461</v>
      </c>
      <c r="AF47" s="56">
        <f>IFERROR(INDEX('Monthly VOL'!$N$2:$CG$65,MATCH($D47,'Monthly VOL'!$D$2:$D$65,0),MATCH(AF$1,'Monthly VOL'!$N$1:$CG$1,0))/INDEX('Monthly CUST'!$N$2:$CG$65,MATCH($D47,'Monthly CUST'!$D$2:$D$65,0),MATCH(AF$1,'Monthly CUST'!$N$1:$CG$1,0)),0)</f>
        <v>118.55358208955224</v>
      </c>
      <c r="AG47" s="56">
        <f>IFERROR(INDEX('Monthly VOL'!$N$2:$CG$65,MATCH($D47,'Monthly VOL'!$D$2:$D$65,0),MATCH(AG$1,'Monthly VOL'!$N$1:$CG$1,0))/INDEX('Monthly CUST'!$N$2:$CG$65,MATCH($D47,'Monthly CUST'!$D$2:$D$65,0),MATCH(AG$1,'Monthly CUST'!$N$1:$CG$1,0)),0)</f>
        <v>132.20029268292683</v>
      </c>
      <c r="AH47" s="56">
        <f>IFERROR(INDEX('Monthly VOL'!$N$2:$CG$65,MATCH($D47,'Monthly VOL'!$D$2:$D$65,0),MATCH(AH$1,'Monthly VOL'!$N$1:$CG$1,0))/INDEX('Monthly CUST'!$N$2:$CG$65,MATCH($D47,'Monthly CUST'!$D$2:$D$65,0),MATCH(AH$1,'Monthly CUST'!$N$1:$CG$1,0)),0)</f>
        <v>145.63876847290641</v>
      </c>
      <c r="AI47" s="56">
        <f>IFERROR(INDEX('Monthly VOL'!$N$2:$CG$65,MATCH($D47,'Monthly VOL'!$D$2:$D$65,0),MATCH(AI$1,'Monthly VOL'!$N$1:$CG$1,0))/INDEX('Monthly CUST'!$N$2:$CG$65,MATCH($D47,'Monthly CUST'!$D$2:$D$65,0),MATCH(AI$1,'Monthly CUST'!$N$1:$CG$1,0)),0)</f>
        <v>146.24019801980199</v>
      </c>
      <c r="AJ47" s="56">
        <f>IFERROR(INDEX('Monthly VOL'!$N$2:$CG$65,MATCH($D47,'Monthly VOL'!$D$2:$D$65,0),MATCH(AJ$1,'Monthly VOL'!$N$1:$CG$1,0))/INDEX('Monthly CUST'!$N$2:$CG$65,MATCH($D47,'Monthly CUST'!$D$2:$D$65,0),MATCH(AJ$1,'Monthly CUST'!$N$1:$CG$1,0)),0)</f>
        <v>154.39605769230769</v>
      </c>
      <c r="AK47" s="56">
        <f>IFERROR(INDEX('Monthly VOL'!$N$2:$CG$65,MATCH($D47,'Monthly VOL'!$D$2:$D$65,0),MATCH(AK$1,'Monthly VOL'!$N$1:$CG$1,0))/INDEX('Monthly CUST'!$N$2:$CG$65,MATCH($D47,'Monthly CUST'!$D$2:$D$65,0),MATCH(AK$1,'Monthly CUST'!$N$1:$CG$1,0)),0)</f>
        <v>177.20280952380952</v>
      </c>
      <c r="AL47" s="56">
        <f>IFERROR(INDEX('Monthly VOL'!$N$2:$CG$65,MATCH($D47,'Monthly VOL'!$D$2:$D$65,0),MATCH(AL$1,'Monthly VOL'!$N$1:$CG$1,0))/INDEX('Monthly CUST'!$N$2:$CG$65,MATCH($D47,'Monthly CUST'!$D$2:$D$65,0),MATCH(AL$1,'Monthly CUST'!$N$1:$CG$1,0)),0)</f>
        <v>175.98561904761905</v>
      </c>
      <c r="AM47" s="56">
        <f>IFERROR(INDEX('Monthly VOL'!$N$2:$CG$65,MATCH($D47,'Monthly VOL'!$D$2:$D$65,0),MATCH(AM$1,'Monthly VOL'!$N$1:$CG$1,0))/INDEX('Monthly CUST'!$N$2:$CG$65,MATCH($D47,'Monthly CUST'!$D$2:$D$65,0),MATCH(AM$1,'Monthly CUST'!$N$1:$CG$1,0)),0)</f>
        <v>173.63971428571426</v>
      </c>
      <c r="AN47" s="56">
        <f>IFERROR(INDEX('Monthly VOL'!$N$2:$CG$65,MATCH($D47,'Monthly VOL'!$D$2:$D$65,0),MATCH(AN$1,'Monthly VOL'!$N$1:$CG$1,0))/INDEX('Monthly CUST'!$N$2:$CG$65,MATCH($D47,'Monthly CUST'!$D$2:$D$65,0),MATCH(AN$1,'Monthly CUST'!$N$1:$CG$1,0)),0)</f>
        <v>154.18336492890995</v>
      </c>
      <c r="AO47" s="56">
        <f>IFERROR(INDEX('Monthly VOL'!$N$2:$CG$65,MATCH($D47,'Monthly VOL'!$D$2:$D$65,0),MATCH(AO$1,'Monthly VOL'!$N$1:$CG$1,0))/INDEX('Monthly CUST'!$N$2:$CG$65,MATCH($D47,'Monthly CUST'!$D$2:$D$65,0),MATCH(AO$1,'Monthly CUST'!$N$1:$CG$1,0)),0)</f>
        <v>117.96622641509434</v>
      </c>
      <c r="AP47" s="56">
        <f>IFERROR(INDEX('Monthly VOL'!$N$2:$CG$65,MATCH($D47,'Monthly VOL'!$D$2:$D$65,0),MATCH(AP$1,'Monthly VOL'!$N$1:$CG$1,0))/INDEX('Monthly CUST'!$N$2:$CG$65,MATCH($D47,'Monthly CUST'!$D$2:$D$65,0),MATCH(AP$1,'Monthly CUST'!$N$1:$CG$1,0)),0)</f>
        <v>132.30976303317536</v>
      </c>
      <c r="AQ47" s="56">
        <f>IFERROR(INDEX('Monthly VOL'!$N$2:$CG$65,MATCH($D47,'Monthly VOL'!$D$2:$D$65,0),MATCH(AQ$1,'Monthly VOL'!$N$1:$CG$1,0))/INDEX('Monthly CUST'!$N$2:$CG$65,MATCH($D47,'Monthly CUST'!$D$2:$D$65,0),MATCH(AQ$1,'Monthly CUST'!$N$1:$CG$1,0)),0)</f>
        <v>130.79547619047619</v>
      </c>
      <c r="AR47" s="56">
        <f>IFERROR(INDEX('Monthly VOL'!$N$2:$CG$65,MATCH($D47,'Monthly VOL'!$D$2:$D$65,0),MATCH(AR$1,'Monthly VOL'!$N$1:$CG$1,0))/INDEX('Monthly CUST'!$N$2:$CG$65,MATCH($D47,'Monthly CUST'!$D$2:$D$65,0),MATCH(AR$1,'Monthly CUST'!$N$1:$CG$1,0)),0)</f>
        <v>135.06172248803827</v>
      </c>
      <c r="AS47" s="56">
        <f>IFERROR(INDEX('Monthly VOL'!$N$2:$CG$65,MATCH($D47,'Monthly VOL'!$D$2:$D$65,0),MATCH(AS$1,'Monthly VOL'!$N$1:$CG$1,0))/INDEX('Monthly CUST'!$N$2:$CG$65,MATCH($D47,'Monthly CUST'!$D$2:$D$65,0),MATCH(AS$1,'Monthly CUST'!$N$1:$CG$1,0)),0)</f>
        <v>122.63660287081339</v>
      </c>
      <c r="AT47" s="56">
        <f>IFERROR(INDEX('Monthly VOL'!$N$2:$CG$65,MATCH($D47,'Monthly VOL'!$D$2:$D$65,0),MATCH(AT$1,'Monthly VOL'!$N$1:$CG$1,0))/INDEX('Monthly CUST'!$N$2:$CG$65,MATCH($D47,'Monthly CUST'!$D$2:$D$65,0),MATCH(AT$1,'Monthly CUST'!$N$1:$CG$1,0)),0)</f>
        <v>158.48139423076921</v>
      </c>
      <c r="AU47" s="56">
        <f>IFERROR(INDEX('Monthly VOL'!$N$2:$CG$65,MATCH($D47,'Monthly VOL'!$D$2:$D$65,0),MATCH(AU$1,'Monthly VOL'!$N$1:$CG$1,0))/INDEX('Monthly CUST'!$N$2:$CG$65,MATCH($D47,'Monthly CUST'!$D$2:$D$65,0),MATCH(AU$1,'Monthly CUST'!$N$1:$CG$1,0)),0)</f>
        <v>153.15261904761905</v>
      </c>
      <c r="AV47" s="56">
        <f>IFERROR(INDEX('Monthly VOL'!$N$2:$CG$65,MATCH($D47,'Monthly VOL'!$D$2:$D$65,0),MATCH(AV$1,'Monthly VOL'!$N$1:$CG$1,0))/INDEX('Monthly CUST'!$N$2:$CG$65,MATCH($D47,'Monthly CUST'!$D$2:$D$65,0),MATCH(AV$1,'Monthly CUST'!$N$1:$CG$1,0)),0)</f>
        <v>142.5773953488372</v>
      </c>
      <c r="AW47" s="56">
        <f>IFERROR(INDEX('Monthly VOL'!$N$2:$CG$65,MATCH($D47,'Monthly VOL'!$D$2:$D$65,0),MATCH(AW$1,'Monthly VOL'!$N$1:$CG$1,0))/INDEX('Monthly CUST'!$N$2:$CG$65,MATCH($D47,'Monthly CUST'!$D$2:$D$65,0),MATCH(AW$1,'Monthly CUST'!$N$1:$CG$1,0)),0)</f>
        <v>183.50177570093456</v>
      </c>
      <c r="AX47" s="56">
        <f>IFERROR(INDEX('Monthly VOL'!$N$2:$CG$65,MATCH($D47,'Monthly VOL'!$D$2:$D$65,0),MATCH(AX$1,'Monthly VOL'!$N$1:$CG$1,0))/INDEX('Monthly CUST'!$N$2:$CG$65,MATCH($D47,'Monthly CUST'!$D$2:$D$65,0),MATCH(AX$1,'Monthly CUST'!$N$1:$CG$1,0)),0)</f>
        <v>194.90679069767441</v>
      </c>
      <c r="AY47" s="56">
        <f>IFERROR(INDEX('Monthly VOL'!$N$2:$CG$65,MATCH($D47,'Monthly VOL'!$D$2:$D$65,0),MATCH(AY$1,'Monthly VOL'!$N$1:$CG$1,0))/INDEX('Monthly CUST'!$N$2:$CG$65,MATCH($D47,'Monthly CUST'!$D$2:$D$65,0),MATCH(AY$1,'Monthly CUST'!$N$1:$CG$1,0)),0)</f>
        <v>170.00327102803737</v>
      </c>
      <c r="AZ47" s="56">
        <f>IFERROR(INDEX('Monthly VOL'!$N$2:$CG$65,MATCH($D47,'Monthly VOL'!$D$2:$D$65,0),MATCH(AZ$1,'Monthly VOL'!$N$1:$CG$1,0))/INDEX('Monthly CUST'!$N$2:$CG$65,MATCH($D47,'Monthly CUST'!$D$2:$D$65,0),MATCH(AZ$1,'Monthly CUST'!$N$1:$CG$1,0)),0)</f>
        <v>159.89144186046514</v>
      </c>
      <c r="BA47" s="56">
        <f>IFERROR(INDEX('Monthly VOL'!$N$2:$CG$65,MATCH($D47,'Monthly VOL'!$D$2:$D$65,0),MATCH(BA$1,'Monthly VOL'!$N$1:$CG$1,0))/INDEX('Monthly CUST'!$N$2:$CG$65,MATCH($D47,'Monthly CUST'!$D$2:$D$65,0),MATCH(BA$1,'Monthly CUST'!$N$1:$CG$1,0)),0)</f>
        <v>175.95308755760368</v>
      </c>
      <c r="BB47" s="56">
        <f>IFERROR(INDEX('Monthly VOL'!$N$2:$CG$65,MATCH($D47,'Monthly VOL'!$D$2:$D$65,0),MATCH(BB$1,'Monthly VOL'!$N$1:$CG$1,0))/INDEX('Monthly CUST'!$N$2:$CG$65,MATCH($D47,'Monthly CUST'!$D$2:$D$65,0),MATCH(BB$1,'Monthly CUST'!$N$1:$CG$1,0)),0)</f>
        <v>138.49826484018266</v>
      </c>
      <c r="BC47" s="56">
        <f>IFERROR(INDEX('Monthly VOL'!$N$2:$CG$65,MATCH($D47,'Monthly VOL'!$D$2:$D$65,0),MATCH(BC$1,'Monthly VOL'!$N$1:$CG$1,0))/INDEX('Monthly CUST'!$N$2:$CG$65,MATCH($D47,'Monthly CUST'!$D$2:$D$65,0),MATCH(BC$1,'Monthly CUST'!$N$1:$CG$1,0)),0)</f>
        <v>130.01177272727273</v>
      </c>
      <c r="BD47" s="56">
        <f>IFERROR(INDEX('Monthly VOL'!$N$2:$CG$65,MATCH($D47,'Monthly VOL'!$D$2:$D$65,0),MATCH(BD$1,'Monthly VOL'!$N$1:$CG$1,0))/INDEX('Monthly CUST'!$N$2:$CG$65,MATCH($D47,'Monthly CUST'!$D$2:$D$65,0),MATCH(BD$1,'Monthly CUST'!$N$1:$CG$1,0)),0)</f>
        <v>131.3610909090909</v>
      </c>
      <c r="BE47" s="56">
        <f>IFERROR(INDEX('Monthly VOL'!$N$2:$CG$65,MATCH($D47,'Monthly VOL'!$D$2:$D$65,0),MATCH(BE$1,'Monthly VOL'!$N$1:$CG$1,0))/INDEX('Monthly CUST'!$N$2:$CG$65,MATCH($D47,'Monthly CUST'!$D$2:$D$65,0),MATCH(BE$1,'Monthly CUST'!$N$1:$CG$1,0)),0)</f>
        <v>132.36095022624434</v>
      </c>
      <c r="BF47" s="56">
        <f>IFERROR(INDEX('Monthly VOL'!$N$2:$CG$65,MATCH($D47,'Monthly VOL'!$D$2:$D$65,0),MATCH(BF$1,'Monthly VOL'!$N$1:$CG$1,0))/INDEX('Monthly CUST'!$N$2:$CG$65,MATCH($D47,'Monthly CUST'!$D$2:$D$65,0),MATCH(BF$1,'Monthly CUST'!$N$1:$CG$1,0)),0)</f>
        <v>137.41565610859729</v>
      </c>
      <c r="BG47" s="56">
        <f>IFERROR(INDEX('Monthly VOL'!$N$2:$CG$65,MATCH($D47,'Monthly VOL'!$D$2:$D$65,0),MATCH(BG$1,'Monthly VOL'!$N$1:$CG$1,0))/INDEX('Monthly CUST'!$N$2:$CG$65,MATCH($D47,'Monthly CUST'!$D$2:$D$65,0),MATCH(BG$1,'Monthly CUST'!$N$1:$CG$1,0)),0)</f>
        <v>133.34457399103138</v>
      </c>
      <c r="BH47" s="56">
        <f>IFERROR(INDEX('Monthly VOL'!$N$2:$CG$65,MATCH($D47,'Monthly VOL'!$D$2:$D$65,0),MATCH(BH$1,'Monthly VOL'!$N$1:$CG$1,0))/INDEX('Monthly CUST'!$N$2:$CG$65,MATCH($D47,'Monthly CUST'!$D$2:$D$65,0),MATCH(BH$1,'Monthly CUST'!$N$1:$CG$1,0)),0)</f>
        <v>132.20499999999998</v>
      </c>
      <c r="BI47" s="56">
        <f>IFERROR(INDEX('Monthly VOL'!$N$2:$CG$65,MATCH($D47,'Monthly VOL'!$D$2:$D$65,0),MATCH(BI$1,'Monthly VOL'!$N$1:$CG$1,0))/INDEX('Monthly CUST'!$N$2:$CG$65,MATCH($D47,'Monthly CUST'!$D$2:$D$65,0),MATCH(BI$1,'Monthly CUST'!$N$1:$CG$1,0)),0)</f>
        <v>180.4542600896861</v>
      </c>
      <c r="BJ47" s="56">
        <f>IFERROR(INDEX('Monthly VOL'!$N$2:$CG$65,MATCH($D47,'Monthly VOL'!$D$2:$D$65,0),MATCH(BJ$1,'Monthly VOL'!$N$1:$CG$1,0))/INDEX('Monthly CUST'!$N$2:$CG$65,MATCH($D47,'Monthly CUST'!$D$2:$D$65,0),MATCH(BJ$1,'Monthly CUST'!$N$1:$CG$1,0)),0)</f>
        <v>191.38696464337784</v>
      </c>
      <c r="BK47" s="56">
        <f>IFERROR(INDEX('Monthly VOL'!$N$2:$CG$65,MATCH($D47,'Monthly VOL'!$D$2:$D$65,0),MATCH(BK$1,'Monthly VOL'!$N$1:$CG$1,0))/INDEX('Monthly CUST'!$N$2:$CG$65,MATCH($D47,'Monthly CUST'!$D$2:$D$65,0),MATCH(BK$1,'Monthly CUST'!$N$1:$CG$1,0)),0)</f>
        <v>166.93317818756628</v>
      </c>
      <c r="BL47" s="56">
        <f>IFERROR(INDEX('Monthly VOL'!$N$2:$CG$65,MATCH($D47,'Monthly VOL'!$D$2:$D$65,0),MATCH(BL$1,'Monthly VOL'!$N$1:$CG$1,0))/INDEX('Monthly CUST'!$N$2:$CG$65,MATCH($D47,'Monthly CUST'!$D$2:$D$65,0),MATCH(BL$1,'Monthly CUST'!$N$1:$CG$1,0)),0)</f>
        <v>157.00395876711067</v>
      </c>
      <c r="BM47" s="56">
        <f>IFERROR(INDEX('Monthly VOL'!$N$2:$CG$65,MATCH($D47,'Monthly VOL'!$D$2:$D$65,0),MATCH(BM$1,'Monthly VOL'!$N$1:$CG$1,0))/INDEX('Monthly CUST'!$N$2:$CG$65,MATCH($D47,'Monthly CUST'!$D$2:$D$65,0),MATCH(BM$1,'Monthly CUST'!$N$1:$CG$1,0)),0)</f>
        <v>172.77554684851759</v>
      </c>
      <c r="BN47" s="56">
        <f>IFERROR(INDEX('Monthly VOL'!$N$2:$CG$65,MATCH($D47,'Monthly VOL'!$D$2:$D$65,0),MATCH(BN$1,'Monthly VOL'!$N$1:$CG$1,0))/INDEX('Monthly CUST'!$N$2:$CG$65,MATCH($D47,'Monthly CUST'!$D$2:$D$65,0),MATCH(BN$1,'Monthly CUST'!$N$1:$CG$1,0)),0)</f>
        <v>135.99712160492462</v>
      </c>
      <c r="BO47" s="56">
        <f>IFERROR(INDEX('Monthly VOL'!$N$2:$CG$65,MATCH($D47,'Monthly VOL'!$D$2:$D$65,0),MATCH(BO$1,'Monthly VOL'!$N$1:$CG$1,0))/INDEX('Monthly CUST'!$N$2:$CG$65,MATCH($D47,'Monthly CUST'!$D$2:$D$65,0),MATCH(BO$1,'Monthly CUST'!$N$1:$CG$1,0)),0)</f>
        <v>127.66388724122743</v>
      </c>
      <c r="BP47" s="56">
        <f>IFERROR(INDEX('Monthly VOL'!$N$2:$CG$65,MATCH($D47,'Monthly VOL'!$D$2:$D$65,0),MATCH(BP$1,'Monthly VOL'!$N$1:$CG$1,0))/INDEX('Monthly CUST'!$N$2:$CG$65,MATCH($D47,'Monthly CUST'!$D$2:$D$65,0),MATCH(BP$1,'Monthly CUST'!$N$1:$CG$1,0)),0)</f>
        <v>128.98883805608574</v>
      </c>
      <c r="BQ47" s="56">
        <f>IFERROR(INDEX('Monthly VOL'!$N$2:$CG$65,MATCH($D47,'Monthly VOL'!$D$2:$D$65,0),MATCH(BQ$1,'Monthly VOL'!$N$1:$CG$1,0))/INDEX('Monthly CUST'!$N$2:$CG$65,MATCH($D47,'Monthly CUST'!$D$2:$D$65,0),MATCH(BQ$1,'Monthly CUST'!$N$1:$CG$1,0)),0)</f>
        <v>129.97064089166381</v>
      </c>
      <c r="BR47" s="56">
        <f>IFERROR(INDEX('Monthly VOL'!$N$2:$CG$65,MATCH($D47,'Monthly VOL'!$D$2:$D$65,0),MATCH(BR$1,'Monthly VOL'!$N$1:$CG$1,0))/INDEX('Monthly CUST'!$N$2:$CG$65,MATCH($D47,'Monthly CUST'!$D$2:$D$65,0),MATCH(BR$1,'Monthly CUST'!$N$1:$CG$1,0)),0)</f>
        <v>134.93406372842441</v>
      </c>
      <c r="BS47" s="56">
        <f>IFERROR(INDEX('Monthly VOL'!$N$2:$CG$65,MATCH($D47,'Monthly VOL'!$D$2:$D$65,0),MATCH(BS$1,'Monthly VOL'!$N$1:$CG$1,0))/INDEX('Monthly CUST'!$N$2:$CG$65,MATCH($D47,'Monthly CUST'!$D$2:$D$65,0),MATCH(BS$1,'Monthly CUST'!$N$1:$CG$1,0)),0)</f>
        <v>130.9365013730756</v>
      </c>
      <c r="BT47" s="56">
        <f>IFERROR(INDEX('Monthly VOL'!$N$2:$CG$65,MATCH($D47,'Monthly VOL'!$D$2:$D$65,0),MATCH(BT$1,'Monthly VOL'!$N$1:$CG$1,0))/INDEX('Monthly CUST'!$N$2:$CG$65,MATCH($D47,'Monthly CUST'!$D$2:$D$65,0),MATCH(BT$1,'Monthly CUST'!$N$1:$CG$1,0)),0)</f>
        <v>129.81750697401262</v>
      </c>
      <c r="BU47" s="56">
        <f>IFERROR(INDEX('Monthly VOL'!$N$2:$CG$65,MATCH($D47,'Monthly VOL'!$D$2:$D$65,0),MATCH(BU$1,'Monthly VOL'!$N$1:$CG$1,0))/INDEX('Monthly CUST'!$N$2:$CG$65,MATCH($D47,'Monthly CUST'!$D$2:$D$65,0),MATCH(BU$1,'Monthly CUST'!$N$1:$CG$1,0)),0)</f>
        <v>177.19543260605207</v>
      </c>
      <c r="BV47" s="56">
        <f>IFERROR(INDEX('Monthly VOL'!$N$2:$CG$65,MATCH($D47,'Monthly VOL'!$D$2:$D$65,0),MATCH(BV$1,'Monthly VOL'!$N$1:$CG$1,0))/INDEX('Monthly CUST'!$N$2:$CG$65,MATCH($D47,'Monthly CUST'!$D$2:$D$65,0),MATCH(BV$1,'Monthly CUST'!$N$1:$CG$1,0)),0)</f>
        <v>187.93070320583041</v>
      </c>
      <c r="BW47" s="56">
        <f>IFERROR(INDEX('Monthly VOL'!$N$2:$CG$65,MATCH($D47,'Monthly VOL'!$D$2:$D$65,0),MATCH(BW$1,'Monthly VOL'!$N$1:$CG$1,0))/INDEX('Monthly CUST'!$N$2:$CG$65,MATCH($D47,'Monthly CUST'!$D$2:$D$65,0),MATCH(BW$1,'Monthly CUST'!$N$1:$CG$1,0)),0)</f>
        <v>163.91852822176529</v>
      </c>
      <c r="BX47" s="56">
        <f>IFERROR(INDEX('Monthly VOL'!$N$2:$CG$65,MATCH($D47,'Monthly VOL'!$D$2:$D$65,0),MATCH(BX$1,'Monthly VOL'!$N$1:$CG$1,0))/INDEX('Monthly CUST'!$N$2:$CG$65,MATCH($D47,'Monthly CUST'!$D$2:$D$65,0),MATCH(BX$1,'Monthly CUST'!$N$1:$CG$1,0)),0)</f>
        <v>154.16862079495465</v>
      </c>
      <c r="BY47" s="56">
        <f>IFERROR(INDEX('Monthly VOL'!$N$2:$CG$65,MATCH($D47,'Monthly VOL'!$D$2:$D$65,0),MATCH(BY$1,'Monthly VOL'!$N$1:$CG$1,0))/INDEX('Monthly CUST'!$N$2:$CG$65,MATCH($D47,'Monthly CUST'!$D$2:$D$65,0),MATCH(BY$1,'Monthly CUST'!$N$1:$CG$1,0)),0)</f>
        <v>169.65538941754303</v>
      </c>
      <c r="BZ47" s="56">
        <f>IFERROR(INDEX('Monthly VOL'!$N$2:$CG$65,MATCH($D47,'Monthly VOL'!$D$2:$D$65,0),MATCH(BZ$1,'Monthly VOL'!$N$1:$CG$1,0))/INDEX('Monthly CUST'!$N$2:$CG$65,MATCH($D47,'Monthly CUST'!$D$2:$D$65,0),MATCH(BZ$1,'Monthly CUST'!$N$1:$CG$1,0)),0)</f>
        <v>133.54114657080251</v>
      </c>
      <c r="CA47" s="56">
        <f>IFERROR(INDEX('Monthly VOL'!$N$2:$CG$65,MATCH($D47,'Monthly VOL'!$D$2:$D$65,0),MATCH(CA$1,'Monthly VOL'!$N$1:$CG$1,0))/INDEX('Monthly CUST'!$N$2:$CG$65,MATCH($D47,'Monthly CUST'!$D$2:$D$65,0),MATCH(CA$1,'Monthly CUST'!$N$1:$CG$1,0)),0)</f>
        <v>125.35840227122729</v>
      </c>
      <c r="CB47" s="56">
        <f>IFERROR(INDEX('Monthly VOL'!$N$2:$CG$65,MATCH($D47,'Monthly VOL'!$D$2:$D$65,0),MATCH(CB$1,'Monthly VOL'!$N$1:$CG$1,0))/INDEX('Monthly CUST'!$N$2:$CG$65,MATCH($D47,'Monthly CUST'!$D$2:$D$65,0),MATCH(CB$1,'Monthly CUST'!$N$1:$CG$1,0)),0)</f>
        <v>126.65942576994587</v>
      </c>
      <c r="CC47" s="56">
        <f>IFERROR(INDEX('Monthly VOL'!$N$2:$CG$65,MATCH($D47,'Monthly VOL'!$D$2:$D$65,0),MATCH(CC$1,'Monthly VOL'!$N$1:$CG$1,0))/INDEX('Monthly CUST'!$N$2:$CG$65,MATCH($D47,'Monthly CUST'!$D$2:$D$65,0),MATCH(CC$1,'Monthly CUST'!$N$1:$CG$1,0)),0)</f>
        <v>127.62349820634967</v>
      </c>
      <c r="CD47" s="56">
        <f>IFERROR(INDEX('Monthly VOL'!$N$2:$CG$65,MATCH($D47,'Monthly VOL'!$D$2:$D$65,0),MATCH(CD$1,'Monthly VOL'!$N$1:$CG$1,0))/INDEX('Monthly CUST'!$N$2:$CG$65,MATCH($D47,'Monthly CUST'!$D$2:$D$65,0),MATCH(CD$1,'Monthly CUST'!$N$1:$CG$1,0)),0)</f>
        <v>132.49728648006203</v>
      </c>
      <c r="CE47" s="56">
        <f>IFERROR(INDEX('Monthly VOL'!$N$2:$CG$65,MATCH($D47,'Monthly VOL'!$D$2:$D$65,0),MATCH(CE$1,'Monthly VOL'!$N$1:$CG$1,0))/INDEX('Monthly CUST'!$N$2:$CG$65,MATCH($D47,'Monthly CUST'!$D$2:$D$65,0),MATCH(CE$1,'Monthly CUST'!$N$1:$CG$1,0)),0)</f>
        <v>128.57191619191448</v>
      </c>
      <c r="CF47" s="56">
        <f>IFERROR(INDEX('Monthly VOL'!$N$2:$CG$65,MATCH($D47,'Monthly VOL'!$D$2:$D$65,0),MATCH(CF$1,'Monthly VOL'!$N$1:$CG$1,0))/INDEX('Monthly CUST'!$N$2:$CG$65,MATCH($D47,'Monthly CUST'!$D$2:$D$65,0),MATCH(CF$1,'Monthly CUST'!$N$1:$CG$1,0)),0)</f>
        <v>127.47312973751231</v>
      </c>
      <c r="CG47" s="56">
        <f>IFERROR(INDEX('Monthly VOL'!$N$2:$CG$65,MATCH($D47,'Monthly VOL'!$D$2:$D$65,0),MATCH(CG$1,'Monthly VOL'!$N$1:$CG$1,0))/INDEX('Monthly CUST'!$N$2:$CG$65,MATCH($D47,'Monthly CUST'!$D$2:$D$65,0),MATCH(CG$1,'Monthly CUST'!$N$1:$CG$1,0)),0)</f>
        <v>173.99545636019326</v>
      </c>
      <c r="CH47" s="264"/>
      <c r="CI47" s="264"/>
      <c r="CJ47" s="264"/>
      <c r="CM47" s="569">
        <f t="shared" si="24"/>
        <v>186.84585479482291</v>
      </c>
      <c r="CN47" s="569">
        <f t="shared" si="25"/>
        <v>176.44264476444781</v>
      </c>
      <c r="CO47" s="569">
        <f t="shared" si="26"/>
        <v>164.27075226312505</v>
      </c>
      <c r="CP47" s="569">
        <f t="shared" si="27"/>
        <v>146.28345819291954</v>
      </c>
      <c r="CQ47" s="569">
        <f t="shared" si="28"/>
        <v>145.51867260770223</v>
      </c>
      <c r="CR47" s="569">
        <f t="shared" si="29"/>
        <v>134.43221530089116</v>
      </c>
      <c r="CS47" s="569">
        <f t="shared" si="30"/>
        <v>128.32546516222715</v>
      </c>
      <c r="CT47" s="569">
        <f t="shared" si="31"/>
        <v>129.06594859332819</v>
      </c>
      <c r="CU47" s="569">
        <f t="shared" si="32"/>
        <v>147.17860627075765</v>
      </c>
      <c r="CV47" s="569">
        <f t="shared" si="33"/>
        <v>144.24579701948414</v>
      </c>
      <c r="CW47" s="569">
        <f t="shared" si="34"/>
        <v>143.05948434704831</v>
      </c>
      <c r="CX47" s="569">
        <f t="shared" si="35"/>
        <v>180.38628177147675</v>
      </c>
      <c r="CY47" s="569">
        <f t="shared" si="36"/>
        <v>186.84585479482291</v>
      </c>
      <c r="CZ47" s="569">
        <f t="shared" si="37"/>
        <v>176.44264476444781</v>
      </c>
      <c r="DA47" s="569">
        <f t="shared" si="38"/>
        <v>164.27075226312505</v>
      </c>
      <c r="DB47" s="569">
        <f t="shared" si="39"/>
        <v>146.28345819291954</v>
      </c>
      <c r="DC47" s="569">
        <f t="shared" si="40"/>
        <v>145.51867260770223</v>
      </c>
      <c r="DD47" s="569">
        <f t="shared" si="41"/>
        <v>134.43221530089116</v>
      </c>
      <c r="DE47" s="569">
        <f t="shared" si="42"/>
        <v>128.32546516222715</v>
      </c>
      <c r="DF47" s="569">
        <f t="shared" si="43"/>
        <v>129.06594859332819</v>
      </c>
      <c r="DG47" s="569">
        <f t="shared" si="44"/>
        <v>147.17860627075765</v>
      </c>
      <c r="DH47" s="569">
        <f t="shared" si="45"/>
        <v>144.24579701948414</v>
      </c>
      <c r="DI47" s="569">
        <f t="shared" si="46"/>
        <v>143.05948434704831</v>
      </c>
      <c r="DJ47" s="569">
        <f t="shared" si="47"/>
        <v>180.38628177147675</v>
      </c>
    </row>
    <row r="48" spans="1:114" s="261" customFormat="1">
      <c r="A48" s="55" t="s">
        <v>17</v>
      </c>
      <c r="B48" s="55" t="s">
        <v>993</v>
      </c>
      <c r="C48" s="55" t="s">
        <v>1245</v>
      </c>
      <c r="D48" s="55" t="s">
        <v>1257</v>
      </c>
      <c r="E48" s="55" t="str">
        <f>VLOOKUP(D48,'Input 14_Ref Table'!C:D,2,FALSE)</f>
        <v>CC827</v>
      </c>
      <c r="F48" s="172" t="s">
        <v>1287</v>
      </c>
      <c r="G48" s="55" t="str">
        <f>VLOOKUP(D48,'Input 14_Ref Table'!C:I,7,FALSE)</f>
        <v>CFG - FTS-2.1 - Fixed NR</v>
      </c>
      <c r="H48" s="55" t="str">
        <f>VLOOKUP(D48,'Input 14_Ref Table'!C:K,8,FALSE)</f>
        <v>FTS2.1</v>
      </c>
      <c r="I48" s="55" t="e">
        <f>INDEX(#REF!,MATCH(D48,#REF!,0))</f>
        <v>#REF!</v>
      </c>
      <c r="J48" s="261" t="str">
        <f>INDEX('Master '!$AD$2:AD$65,MATCH(D48,'Master '!$D$2:$D$65,0))</f>
        <v>UPC Growth Rate</v>
      </c>
      <c r="K48" s="567">
        <f>INDEX('Master '!$N$2:N$65,MATCH(D48,'Master '!$D$2:$D$65,0))</f>
        <v>2.748906551832106E-2</v>
      </c>
      <c r="L48" s="290">
        <f>INDEX('Master '!$S$2:S$65,MATCH(D48,'Master '!$D$2:$D$65,0))</f>
        <v>-1.8059022170019087E-2</v>
      </c>
      <c r="M48" s="1">
        <f>INDEX('Master '!$W$2:W$65,MATCH(D48,'Master '!$D$2:$D$65,0))</f>
        <v>1672</v>
      </c>
      <c r="N48" s="56">
        <f>IFERROR(INDEX('Monthly VOL'!$N$2:$CG$65,MATCH($D48,'Monthly VOL'!$D$2:$D$65,0),MATCH(N$1,'Monthly VOL'!$N$1:$CG$1,0))/INDEX('Monthly CUST'!$N$2:$CG$65,MATCH($D48,'Monthly CUST'!$D$2:$D$65,0),MATCH(N$1,'Monthly CUST'!$N$1:$CG$1,0)),0)</f>
        <v>118.01900000000001</v>
      </c>
      <c r="O48" s="56">
        <f>IFERROR(INDEX('Monthly VOL'!$N$2:$CG$65,MATCH($D48,'Monthly VOL'!$D$2:$D$65,0),MATCH(O$1,'Monthly VOL'!$N$1:$CG$1,0))/INDEX('Monthly CUST'!$N$2:$CG$65,MATCH($D48,'Monthly CUST'!$D$2:$D$65,0),MATCH(O$1,'Monthly CUST'!$N$1:$CG$1,0)),0)</f>
        <v>138.18</v>
      </c>
      <c r="P48" s="56">
        <f>IFERROR(INDEX('Monthly VOL'!$N$2:$CG$65,MATCH($D48,'Monthly VOL'!$D$2:$D$65,0),MATCH(P$1,'Monthly VOL'!$N$1:$CG$1,0))/INDEX('Monthly CUST'!$N$2:$CG$65,MATCH($D48,'Monthly CUST'!$D$2:$D$65,0),MATCH(P$1,'Monthly CUST'!$N$1:$CG$1,0)),0)</f>
        <v>122.68499999999999</v>
      </c>
      <c r="Q48" s="56">
        <f>IFERROR(INDEX('Monthly VOL'!$N$2:$CG$65,MATCH($D48,'Monthly VOL'!$D$2:$D$65,0),MATCH(Q$1,'Monthly VOL'!$N$1:$CG$1,0))/INDEX('Monthly CUST'!$N$2:$CG$65,MATCH($D48,'Monthly CUST'!$D$2:$D$65,0),MATCH(Q$1,'Monthly CUST'!$N$1:$CG$1,0)),0)</f>
        <v>142.52909090909091</v>
      </c>
      <c r="R48" s="56">
        <f>IFERROR(INDEX('Monthly VOL'!$N$2:$CG$65,MATCH($D48,'Monthly VOL'!$D$2:$D$65,0),MATCH(R$1,'Monthly VOL'!$N$1:$CG$1,0))/INDEX('Monthly CUST'!$N$2:$CG$65,MATCH($D48,'Monthly CUST'!$D$2:$D$65,0),MATCH(R$1,'Monthly CUST'!$N$1:$CG$1,0)),0)</f>
        <v>108.52727272727272</v>
      </c>
      <c r="S48" s="56">
        <f>IFERROR(INDEX('Monthly VOL'!$N$2:$CG$65,MATCH($D48,'Monthly VOL'!$D$2:$D$65,0),MATCH(S$1,'Monthly VOL'!$N$1:$CG$1,0))/INDEX('Monthly CUST'!$N$2:$CG$65,MATCH($D48,'Monthly CUST'!$D$2:$D$65,0),MATCH(S$1,'Monthly CUST'!$N$1:$CG$1,0)),0)</f>
        <v>108.21909090909092</v>
      </c>
      <c r="T48" s="56">
        <f>IFERROR(INDEX('Monthly VOL'!$N$2:$CG$65,MATCH($D48,'Monthly VOL'!$D$2:$D$65,0),MATCH(T$1,'Monthly VOL'!$N$1:$CG$1,0))/INDEX('Monthly CUST'!$N$2:$CG$65,MATCH($D48,'Monthly CUST'!$D$2:$D$65,0),MATCH(T$1,'Monthly CUST'!$N$1:$CG$1,0)),0)</f>
        <v>100.27272727272727</v>
      </c>
      <c r="U48" s="56">
        <f>IFERROR(INDEX('Monthly VOL'!$N$2:$CG$65,MATCH($D48,'Monthly VOL'!$D$2:$D$65,0),MATCH(U$1,'Monthly VOL'!$N$1:$CG$1,0))/INDEX('Monthly CUST'!$N$2:$CG$65,MATCH($D48,'Monthly CUST'!$D$2:$D$65,0),MATCH(U$1,'Monthly CUST'!$N$1:$CG$1,0)),0)</f>
        <v>108.33727272727273</v>
      </c>
      <c r="V48" s="56">
        <f>IFERROR(INDEX('Monthly VOL'!$N$2:$CG$65,MATCH($D48,'Monthly VOL'!$D$2:$D$65,0),MATCH(V$1,'Monthly VOL'!$N$1:$CG$1,0))/INDEX('Monthly CUST'!$N$2:$CG$65,MATCH($D48,'Monthly CUST'!$D$2:$D$65,0),MATCH(V$1,'Monthly CUST'!$N$1:$CG$1,0)),0)</f>
        <v>112.18181818181819</v>
      </c>
      <c r="W48" s="56">
        <f>IFERROR(INDEX('Monthly VOL'!$N$2:$CG$65,MATCH($D48,'Monthly VOL'!$D$2:$D$65,0),MATCH(W$1,'Monthly VOL'!$N$1:$CG$1,0))/INDEX('Monthly CUST'!$N$2:$CG$65,MATCH($D48,'Monthly CUST'!$D$2:$D$65,0),MATCH(W$1,'Monthly CUST'!$N$1:$CG$1,0)),0)</f>
        <v>108.90636363636364</v>
      </c>
      <c r="X48" s="56">
        <f>IFERROR(INDEX('Monthly VOL'!$N$2:$CG$65,MATCH($D48,'Monthly VOL'!$D$2:$D$65,0),MATCH(X$1,'Monthly VOL'!$N$1:$CG$1,0))/INDEX('Monthly CUST'!$N$2:$CG$65,MATCH($D48,'Monthly CUST'!$D$2:$D$65,0),MATCH(X$1,'Monthly CUST'!$N$1:$CG$1,0)),0)</f>
        <v>164.40636363636364</v>
      </c>
      <c r="Y48" s="56">
        <f>IFERROR(INDEX('Monthly VOL'!$N$2:$CG$65,MATCH($D48,'Monthly VOL'!$D$2:$D$65,0),MATCH(Y$1,'Monthly VOL'!$N$1:$CG$1,0))/INDEX('Monthly CUST'!$N$2:$CG$65,MATCH($D48,'Monthly CUST'!$D$2:$D$65,0),MATCH(Y$1,'Monthly CUST'!$N$1:$CG$1,0)),0)</f>
        <v>155.43636363636364</v>
      </c>
      <c r="Z48" s="56">
        <f>IFERROR(INDEX('Monthly VOL'!$N$2:$CG$65,MATCH($D48,'Monthly VOL'!$D$2:$D$65,0),MATCH(Z$1,'Monthly VOL'!$N$1:$CG$1,0))/INDEX('Monthly CUST'!$N$2:$CG$65,MATCH($D48,'Monthly CUST'!$D$2:$D$65,0),MATCH(Z$1,'Monthly CUST'!$N$1:$CG$1,0)),0)</f>
        <v>168.77181818181819</v>
      </c>
      <c r="AA48" s="56">
        <f>IFERROR(INDEX('Monthly VOL'!$N$2:$CG$65,MATCH($D48,'Monthly VOL'!$D$2:$D$65,0),MATCH(AA$1,'Monthly VOL'!$N$1:$CG$1,0))/INDEX('Monthly CUST'!$N$2:$CG$65,MATCH($D48,'Monthly CUST'!$D$2:$D$65,0),MATCH(AA$1,'Monthly CUST'!$N$1:$CG$1,0)),0)</f>
        <v>171.71454545454546</v>
      </c>
      <c r="AB48" s="56">
        <f>IFERROR(INDEX('Monthly VOL'!$N$2:$CG$65,MATCH($D48,'Monthly VOL'!$D$2:$D$65,0),MATCH(AB$1,'Monthly VOL'!$N$1:$CG$1,0))/INDEX('Monthly CUST'!$N$2:$CG$65,MATCH($D48,'Monthly CUST'!$D$2:$D$65,0),MATCH(AB$1,'Monthly CUST'!$N$1:$CG$1,0)),0)</f>
        <v>148.26363636363638</v>
      </c>
      <c r="AC48" s="56">
        <f>IFERROR(INDEX('Monthly VOL'!$N$2:$CG$65,MATCH($D48,'Monthly VOL'!$D$2:$D$65,0),MATCH(AC$1,'Monthly VOL'!$N$1:$CG$1,0))/INDEX('Monthly CUST'!$N$2:$CG$65,MATCH($D48,'Monthly CUST'!$D$2:$D$65,0),MATCH(AC$1,'Monthly CUST'!$N$1:$CG$1,0)),0)</f>
        <v>152.86727272727273</v>
      </c>
      <c r="AD48" s="56">
        <f>IFERROR(INDEX('Monthly VOL'!$N$2:$CG$65,MATCH($D48,'Monthly VOL'!$D$2:$D$65,0),MATCH(AD$1,'Monthly VOL'!$N$1:$CG$1,0))/INDEX('Monthly CUST'!$N$2:$CG$65,MATCH($D48,'Monthly CUST'!$D$2:$D$65,0),MATCH(AD$1,'Monthly CUST'!$N$1:$CG$1,0)),0)</f>
        <v>146.99818181818182</v>
      </c>
      <c r="AE48" s="56">
        <f>IFERROR(INDEX('Monthly VOL'!$N$2:$CG$65,MATCH($D48,'Monthly VOL'!$D$2:$D$65,0),MATCH(AE$1,'Monthly VOL'!$N$1:$CG$1,0))/INDEX('Monthly CUST'!$N$2:$CG$65,MATCH($D48,'Monthly CUST'!$D$2:$D$65,0),MATCH(AE$1,'Monthly CUST'!$N$1:$CG$1,0)),0)</f>
        <v>135.15727272727273</v>
      </c>
      <c r="AF48" s="56">
        <f>IFERROR(INDEX('Monthly VOL'!$N$2:$CG$65,MATCH($D48,'Monthly VOL'!$D$2:$D$65,0),MATCH(AF$1,'Monthly VOL'!$N$1:$CG$1,0))/INDEX('Monthly CUST'!$N$2:$CG$65,MATCH($D48,'Monthly CUST'!$D$2:$D$65,0),MATCH(AF$1,'Monthly CUST'!$N$1:$CG$1,0)),0)</f>
        <v>109.62727272727274</v>
      </c>
      <c r="AG48" s="56">
        <f>IFERROR(INDEX('Monthly VOL'!$N$2:$CG$65,MATCH($D48,'Monthly VOL'!$D$2:$D$65,0),MATCH(AG$1,'Monthly VOL'!$N$1:$CG$1,0))/INDEX('Monthly CUST'!$N$2:$CG$65,MATCH($D48,'Monthly CUST'!$D$2:$D$65,0),MATCH(AG$1,'Monthly CUST'!$N$1:$CG$1,0)),0)</f>
        <v>126.52545454545454</v>
      </c>
      <c r="AH48" s="56">
        <f>IFERROR(INDEX('Monthly VOL'!$N$2:$CG$65,MATCH($D48,'Monthly VOL'!$D$2:$D$65,0),MATCH(AH$1,'Monthly VOL'!$N$1:$CG$1,0))/INDEX('Monthly CUST'!$N$2:$CG$65,MATCH($D48,'Monthly CUST'!$D$2:$D$65,0),MATCH(AH$1,'Monthly CUST'!$N$1:$CG$1,0)),0)</f>
        <v>141.60300000000001</v>
      </c>
      <c r="AI48" s="56">
        <f>IFERROR(INDEX('Monthly VOL'!$N$2:$CG$65,MATCH($D48,'Monthly VOL'!$D$2:$D$65,0),MATCH(AI$1,'Monthly VOL'!$N$1:$CG$1,0))/INDEX('Monthly CUST'!$N$2:$CG$65,MATCH($D48,'Monthly CUST'!$D$2:$D$65,0),MATCH(AI$1,'Monthly CUST'!$N$1:$CG$1,0)),0)</f>
        <v>138.71899999999999</v>
      </c>
      <c r="AJ48" s="56">
        <f>IFERROR(INDEX('Monthly VOL'!$N$2:$CG$65,MATCH($D48,'Monthly VOL'!$D$2:$D$65,0),MATCH(AJ$1,'Monthly VOL'!$N$1:$CG$1,0))/INDEX('Monthly CUST'!$N$2:$CG$65,MATCH($D48,'Monthly CUST'!$D$2:$D$65,0),MATCH(AJ$1,'Monthly CUST'!$N$1:$CG$1,0)),0)</f>
        <v>143.97999999999999</v>
      </c>
      <c r="AK48" s="56">
        <f>IFERROR(INDEX('Monthly VOL'!$N$2:$CG$65,MATCH($D48,'Monthly VOL'!$D$2:$D$65,0),MATCH(AK$1,'Monthly VOL'!$N$1:$CG$1,0))/INDEX('Monthly CUST'!$N$2:$CG$65,MATCH($D48,'Monthly CUST'!$D$2:$D$65,0),MATCH(AK$1,'Monthly CUST'!$N$1:$CG$1,0)),0)</f>
        <v>148.31900000000002</v>
      </c>
      <c r="AL48" s="56">
        <f>IFERROR(INDEX('Monthly VOL'!$N$2:$CG$65,MATCH($D48,'Monthly VOL'!$D$2:$D$65,0),MATCH(AL$1,'Monthly VOL'!$N$1:$CG$1,0))/INDEX('Monthly CUST'!$N$2:$CG$65,MATCH($D48,'Monthly CUST'!$D$2:$D$65,0),MATCH(AL$1,'Monthly CUST'!$N$1:$CG$1,0)),0)</f>
        <v>145.42400000000001</v>
      </c>
      <c r="AM48" s="56">
        <f>IFERROR(INDEX('Monthly VOL'!$N$2:$CG$65,MATCH($D48,'Monthly VOL'!$D$2:$D$65,0),MATCH(AM$1,'Monthly VOL'!$N$1:$CG$1,0))/INDEX('Monthly CUST'!$N$2:$CG$65,MATCH($D48,'Monthly CUST'!$D$2:$D$65,0),MATCH(AM$1,'Monthly CUST'!$N$1:$CG$1,0)),0)</f>
        <v>146.80199999999999</v>
      </c>
      <c r="AN48" s="56">
        <f>IFERROR(INDEX('Monthly VOL'!$N$2:$CG$65,MATCH($D48,'Monthly VOL'!$D$2:$D$65,0),MATCH(AN$1,'Monthly VOL'!$N$1:$CG$1,0))/INDEX('Monthly CUST'!$N$2:$CG$65,MATCH($D48,'Monthly CUST'!$D$2:$D$65,0),MATCH(AN$1,'Monthly CUST'!$N$1:$CG$1,0)),0)</f>
        <v>141.631</v>
      </c>
      <c r="AO48" s="56">
        <f>IFERROR(INDEX('Monthly VOL'!$N$2:$CG$65,MATCH($D48,'Monthly VOL'!$D$2:$D$65,0),MATCH(AO$1,'Monthly VOL'!$N$1:$CG$1,0))/INDEX('Monthly CUST'!$N$2:$CG$65,MATCH($D48,'Monthly CUST'!$D$2:$D$65,0),MATCH(AO$1,'Monthly CUST'!$N$1:$CG$1,0)),0)</f>
        <v>86.838999999999999</v>
      </c>
      <c r="AP48" s="56">
        <f>IFERROR(INDEX('Monthly VOL'!$N$2:$CG$65,MATCH($D48,'Monthly VOL'!$D$2:$D$65,0),MATCH(AP$1,'Monthly VOL'!$N$1:$CG$1,0))/INDEX('Monthly CUST'!$N$2:$CG$65,MATCH($D48,'Monthly CUST'!$D$2:$D$65,0),MATCH(AP$1,'Monthly CUST'!$N$1:$CG$1,0)),0)</f>
        <v>86.722999999999999</v>
      </c>
      <c r="AQ48" s="56">
        <f>IFERROR(INDEX('Monthly VOL'!$N$2:$CG$65,MATCH($D48,'Monthly VOL'!$D$2:$D$65,0),MATCH(AQ$1,'Monthly VOL'!$N$1:$CG$1,0))/INDEX('Monthly CUST'!$N$2:$CG$65,MATCH($D48,'Monthly CUST'!$D$2:$D$65,0),MATCH(AQ$1,'Monthly CUST'!$N$1:$CG$1,0)),0)</f>
        <v>116.73099999999999</v>
      </c>
      <c r="AR48" s="56">
        <f>IFERROR(INDEX('Monthly VOL'!$N$2:$CG$65,MATCH($D48,'Monthly VOL'!$D$2:$D$65,0),MATCH(AR$1,'Monthly VOL'!$N$1:$CG$1,0))/INDEX('Monthly CUST'!$N$2:$CG$65,MATCH($D48,'Monthly CUST'!$D$2:$D$65,0),MATCH(AR$1,'Monthly CUST'!$N$1:$CG$1,0)),0)</f>
        <v>116.70399999999999</v>
      </c>
      <c r="AS48" s="56">
        <f>IFERROR(INDEX('Monthly VOL'!$N$2:$CG$65,MATCH($D48,'Monthly VOL'!$D$2:$D$65,0),MATCH(AS$1,'Monthly VOL'!$N$1:$CG$1,0))/INDEX('Monthly CUST'!$N$2:$CG$65,MATCH($D48,'Monthly CUST'!$D$2:$D$65,0),MATCH(AS$1,'Monthly CUST'!$N$1:$CG$1,0)),0)</f>
        <v>116.098</v>
      </c>
      <c r="AT48" s="56">
        <f>IFERROR(INDEX('Monthly VOL'!$N$2:$CG$65,MATCH($D48,'Monthly VOL'!$D$2:$D$65,0),MATCH(AT$1,'Monthly VOL'!$N$1:$CG$1,0))/INDEX('Monthly CUST'!$N$2:$CG$65,MATCH($D48,'Monthly CUST'!$D$2:$D$65,0),MATCH(AT$1,'Monthly CUST'!$N$1:$CG$1,0)),0)</f>
        <v>99.997</v>
      </c>
      <c r="AU48" s="56">
        <f>IFERROR(INDEX('Monthly VOL'!$N$2:$CG$65,MATCH($D48,'Monthly VOL'!$D$2:$D$65,0),MATCH(AU$1,'Monthly VOL'!$N$1:$CG$1,0))/INDEX('Monthly CUST'!$N$2:$CG$65,MATCH($D48,'Monthly CUST'!$D$2:$D$65,0),MATCH(AU$1,'Monthly CUST'!$N$1:$CG$1,0)),0)</f>
        <v>101.76222222222222</v>
      </c>
      <c r="AV48" s="56">
        <f>IFERROR(INDEX('Monthly VOL'!$N$2:$CG$65,MATCH($D48,'Monthly VOL'!$D$2:$D$65,0),MATCH(AV$1,'Monthly VOL'!$N$1:$CG$1,0))/INDEX('Monthly CUST'!$N$2:$CG$65,MATCH($D48,'Monthly CUST'!$D$2:$D$65,0),MATCH(AV$1,'Monthly CUST'!$N$1:$CG$1,0)),0)</f>
        <v>110.925</v>
      </c>
      <c r="AW48" s="56">
        <f>IFERROR(INDEX('Monthly VOL'!$N$2:$CG$65,MATCH($D48,'Monthly VOL'!$D$2:$D$65,0),MATCH(AW$1,'Monthly VOL'!$N$1:$CG$1,0))/INDEX('Monthly CUST'!$N$2:$CG$65,MATCH($D48,'Monthly CUST'!$D$2:$D$65,0),MATCH(AW$1,'Monthly CUST'!$N$1:$CG$1,0)),0)</f>
        <v>125.16500000000001</v>
      </c>
      <c r="AX48" s="56">
        <f>IFERROR(INDEX('Monthly VOL'!$N$2:$CG$65,MATCH($D48,'Monthly VOL'!$D$2:$D$65,0),MATCH(AX$1,'Monthly VOL'!$N$1:$CG$1,0))/INDEX('Monthly CUST'!$N$2:$CG$65,MATCH($D48,'Monthly CUST'!$D$2:$D$65,0),MATCH(AX$1,'Monthly CUST'!$N$1:$CG$1,0)),0)</f>
        <v>172.41199999999998</v>
      </c>
      <c r="AY48" s="56">
        <f>IFERROR(INDEX('Monthly VOL'!$N$2:$CG$65,MATCH($D48,'Monthly VOL'!$D$2:$D$65,0),MATCH(AY$1,'Monthly VOL'!$N$1:$CG$1,0))/INDEX('Monthly CUST'!$N$2:$CG$65,MATCH($D48,'Monthly CUST'!$D$2:$D$65,0),MATCH(AY$1,'Monthly CUST'!$N$1:$CG$1,0)),0)</f>
        <v>160.09</v>
      </c>
      <c r="AZ48" s="56">
        <f>IFERROR(INDEX('Monthly VOL'!$N$2:$CG$65,MATCH($D48,'Monthly VOL'!$D$2:$D$65,0),MATCH(AZ$1,'Monthly VOL'!$N$1:$CG$1,0))/INDEX('Monthly CUST'!$N$2:$CG$65,MATCH($D48,'Monthly CUST'!$D$2:$D$65,0),MATCH(AZ$1,'Monthly CUST'!$N$1:$CG$1,0)),0)</f>
        <v>145.00636363636363</v>
      </c>
      <c r="BA48" s="56">
        <f>IFERROR(INDEX('Monthly VOL'!$N$2:$CG$65,MATCH($D48,'Monthly VOL'!$D$2:$D$65,0),MATCH(BA$1,'Monthly VOL'!$N$1:$CG$1,0))/INDEX('Monthly CUST'!$N$2:$CG$65,MATCH($D48,'Monthly CUST'!$D$2:$D$65,0),MATCH(BA$1,'Monthly CUST'!$N$1:$CG$1,0)),0)</f>
        <v>205.95100000000002</v>
      </c>
      <c r="BB48" s="56">
        <f>IFERROR(INDEX('Monthly VOL'!$N$2:$CG$65,MATCH($D48,'Monthly VOL'!$D$2:$D$65,0),MATCH(BB$1,'Monthly VOL'!$N$1:$CG$1,0))/INDEX('Monthly CUST'!$N$2:$CG$65,MATCH($D48,'Monthly CUST'!$D$2:$D$65,0),MATCH(BB$1,'Monthly CUST'!$N$1:$CG$1,0)),0)</f>
        <v>172.63900000000001</v>
      </c>
      <c r="BC48" s="56">
        <f>IFERROR(INDEX('Monthly VOL'!$N$2:$CG$65,MATCH($D48,'Monthly VOL'!$D$2:$D$65,0),MATCH(BC$1,'Monthly VOL'!$N$1:$CG$1,0))/INDEX('Monthly CUST'!$N$2:$CG$65,MATCH($D48,'Monthly CUST'!$D$2:$D$65,0),MATCH(BC$1,'Monthly CUST'!$N$1:$CG$1,0)),0)</f>
        <v>153.56300000000002</v>
      </c>
      <c r="BD48" s="56">
        <f>IFERROR(INDEX('Monthly VOL'!$N$2:$CG$65,MATCH($D48,'Monthly VOL'!$D$2:$D$65,0),MATCH(BD$1,'Monthly VOL'!$N$1:$CG$1,0))/INDEX('Monthly CUST'!$N$2:$CG$65,MATCH($D48,'Monthly CUST'!$D$2:$D$65,0),MATCH(BD$1,'Monthly CUST'!$N$1:$CG$1,0)),0)</f>
        <v>142.41400000000002</v>
      </c>
      <c r="BE48" s="56">
        <f>IFERROR(INDEX('Monthly VOL'!$N$2:$CG$65,MATCH($D48,'Monthly VOL'!$D$2:$D$65,0),MATCH(BE$1,'Monthly VOL'!$N$1:$CG$1,0))/INDEX('Monthly CUST'!$N$2:$CG$65,MATCH($D48,'Monthly CUST'!$D$2:$D$65,0),MATCH(BE$1,'Monthly CUST'!$N$1:$CG$1,0)),0)</f>
        <v>130.02727272727273</v>
      </c>
      <c r="BF48" s="56">
        <f>IFERROR(INDEX('Monthly VOL'!$N$2:$CG$65,MATCH($D48,'Monthly VOL'!$D$2:$D$65,0),MATCH(BF$1,'Monthly VOL'!$N$1:$CG$1,0))/INDEX('Monthly CUST'!$N$2:$CG$65,MATCH($D48,'Monthly CUST'!$D$2:$D$65,0),MATCH(BF$1,'Monthly CUST'!$N$1:$CG$1,0)),0)</f>
        <v>133.595</v>
      </c>
      <c r="BG48" s="56">
        <f>IFERROR(INDEX('Monthly VOL'!$N$2:$CG$65,MATCH($D48,'Monthly VOL'!$D$2:$D$65,0),MATCH(BG$1,'Monthly VOL'!$N$1:$CG$1,0))/INDEX('Monthly CUST'!$N$2:$CG$65,MATCH($D48,'Monthly CUST'!$D$2:$D$65,0),MATCH(BG$1,'Monthly CUST'!$N$1:$CG$1,0)),0)</f>
        <v>116.699</v>
      </c>
      <c r="BH48" s="56">
        <f>IFERROR(INDEX('Monthly VOL'!$N$2:$CG$65,MATCH($D48,'Monthly VOL'!$D$2:$D$65,0),MATCH(BH$1,'Monthly VOL'!$N$1:$CG$1,0))/INDEX('Monthly CUST'!$N$2:$CG$65,MATCH($D48,'Monthly CUST'!$D$2:$D$65,0),MATCH(BH$1,'Monthly CUST'!$N$1:$CG$1,0)),0)</f>
        <v>104.03</v>
      </c>
      <c r="BI48" s="56">
        <f>IFERROR(INDEX('Monthly VOL'!$N$2:$CG$65,MATCH($D48,'Monthly VOL'!$D$2:$D$65,0),MATCH(BI$1,'Monthly VOL'!$N$1:$CG$1,0))/INDEX('Monthly CUST'!$N$2:$CG$65,MATCH($D48,'Monthly CUST'!$D$2:$D$65,0),MATCH(BI$1,'Monthly CUST'!$N$1:$CG$1,0)),0)</f>
        <v>131.46700000000001</v>
      </c>
      <c r="BJ48" s="56">
        <f>IFERROR(INDEX('Monthly VOL'!$N$2:$CG$65,MATCH($D48,'Monthly VOL'!$D$2:$D$65,0),MATCH(BJ$1,'Monthly VOL'!$N$1:$CG$1,0))/INDEX('Monthly CUST'!$N$2:$CG$65,MATCH($D48,'Monthly CUST'!$D$2:$D$65,0),MATCH(BJ$1,'Monthly CUST'!$N$1:$CG$1,0)),0)</f>
        <v>169.29840786962265</v>
      </c>
      <c r="BK48" s="56">
        <f>IFERROR(INDEX('Monthly VOL'!$N$2:$CG$65,MATCH($D48,'Monthly VOL'!$D$2:$D$65,0),MATCH(BK$1,'Monthly VOL'!$N$1:$CG$1,0))/INDEX('Monthly CUST'!$N$2:$CG$65,MATCH($D48,'Monthly CUST'!$D$2:$D$65,0),MATCH(BK$1,'Monthly CUST'!$N$1:$CG$1,0)),0)</f>
        <v>157.19893114080165</v>
      </c>
      <c r="BL48" s="56">
        <f>IFERROR(INDEX('Monthly VOL'!$N$2:$CG$65,MATCH($D48,'Monthly VOL'!$D$2:$D$65,0),MATCH(BL$1,'Monthly VOL'!$N$1:$CG$1,0))/INDEX('Monthly CUST'!$N$2:$CG$65,MATCH($D48,'Monthly CUST'!$D$2:$D$65,0),MATCH(BL$1,'Monthly CUST'!$N$1:$CG$1,0)),0)</f>
        <v>142.38769050066068</v>
      </c>
      <c r="BM48" s="56">
        <f>IFERROR(INDEX('Monthly VOL'!$N$2:$CG$65,MATCH($D48,'Monthly VOL'!$D$2:$D$65,0),MATCH(BM$1,'Monthly VOL'!$N$1:$CG$1,0))/INDEX('Monthly CUST'!$N$2:$CG$65,MATCH($D48,'Monthly CUST'!$D$2:$D$65,0),MATCH(BM$1,'Monthly CUST'!$N$1:$CG$1,0)),0)</f>
        <v>202.23172632506243</v>
      </c>
      <c r="BN48" s="56">
        <f>IFERROR(INDEX('Monthly VOL'!$N$2:$CG$65,MATCH($D48,'Monthly VOL'!$D$2:$D$65,0),MATCH(BN$1,'Monthly VOL'!$N$1:$CG$1,0))/INDEX('Monthly CUST'!$N$2:$CG$65,MATCH($D48,'Monthly CUST'!$D$2:$D$65,0),MATCH(BN$1,'Monthly CUST'!$N$1:$CG$1,0)),0)</f>
        <v>169.52130847159009</v>
      </c>
      <c r="BO48" s="56">
        <f>IFERROR(INDEX('Monthly VOL'!$N$2:$CG$65,MATCH($D48,'Monthly VOL'!$D$2:$D$65,0),MATCH(BO$1,'Monthly VOL'!$N$1:$CG$1,0))/INDEX('Monthly CUST'!$N$2:$CG$65,MATCH($D48,'Monthly CUST'!$D$2:$D$65,0),MATCH(BO$1,'Monthly CUST'!$N$1:$CG$1,0)),0)</f>
        <v>150.78980237850539</v>
      </c>
      <c r="BP48" s="56">
        <f>IFERROR(INDEX('Monthly VOL'!$N$2:$CG$65,MATCH($D48,'Monthly VOL'!$D$2:$D$65,0),MATCH(BP$1,'Monthly VOL'!$N$1:$CG$1,0))/INDEX('Monthly CUST'!$N$2:$CG$65,MATCH($D48,'Monthly CUST'!$D$2:$D$65,0),MATCH(BP$1,'Monthly CUST'!$N$1:$CG$1,0)),0)</f>
        <v>139.84214241667891</v>
      </c>
      <c r="BQ48" s="56">
        <f>IFERROR(INDEX('Monthly VOL'!$N$2:$CG$65,MATCH($D48,'Monthly VOL'!$D$2:$D$65,0),MATCH(BQ$1,'Monthly VOL'!$N$1:$CG$1,0))/INDEX('Monthly CUST'!$N$2:$CG$65,MATCH($D48,'Monthly CUST'!$D$2:$D$65,0),MATCH(BQ$1,'Monthly CUST'!$N$1:$CG$1,0)),0)</f>
        <v>127.67910732638379</v>
      </c>
      <c r="BR48" s="56">
        <f>IFERROR(INDEX('Monthly VOL'!$N$2:$CG$65,MATCH($D48,'Monthly VOL'!$D$2:$D$65,0),MATCH(BR$1,'Monthly VOL'!$N$1:$CG$1,0))/INDEX('Monthly CUST'!$N$2:$CG$65,MATCH($D48,'Monthly CUST'!$D$2:$D$65,0),MATCH(BR$1,'Monthly CUST'!$N$1:$CG$1,0)),0)</f>
        <v>131.1824049331963</v>
      </c>
      <c r="BS48" s="56">
        <f>IFERROR(INDEX('Monthly VOL'!$N$2:$CG$65,MATCH($D48,'Monthly VOL'!$D$2:$D$65,0),MATCH(BS$1,'Monthly VOL'!$N$1:$CG$1,0))/INDEX('Monthly CUST'!$N$2:$CG$65,MATCH($D48,'Monthly CUST'!$D$2:$D$65,0),MATCH(BS$1,'Monthly CUST'!$N$1:$CG$1,0)),0)</f>
        <v>114.59153017178093</v>
      </c>
      <c r="BT48" s="56">
        <f>IFERROR(INDEX('Monthly VOL'!$N$2:$CG$65,MATCH($D48,'Monthly VOL'!$D$2:$D$65,0),MATCH(BT$1,'Monthly VOL'!$N$1:$CG$1,0))/INDEX('Monthly CUST'!$N$2:$CG$65,MATCH($D48,'Monthly CUST'!$D$2:$D$65,0),MATCH(BT$1,'Monthly CUST'!$N$1:$CG$1,0)),0)</f>
        <v>102.15131992365292</v>
      </c>
      <c r="BU48" s="56">
        <f>IFERROR(INDEX('Monthly VOL'!$N$2:$CG$65,MATCH($D48,'Monthly VOL'!$D$2:$D$65,0),MATCH(BU$1,'Monthly VOL'!$N$1:$CG$1,0))/INDEX('Monthly CUST'!$N$2:$CG$65,MATCH($D48,'Monthly CUST'!$D$2:$D$65,0),MATCH(BU$1,'Monthly CUST'!$N$1:$CG$1,0)),0)</f>
        <v>129.09283453237413</v>
      </c>
      <c r="BV48" s="56">
        <f>IFERROR(INDEX('Monthly VOL'!$N$2:$CG$65,MATCH($D48,'Monthly VOL'!$D$2:$D$65,0),MATCH(BV$1,'Monthly VOL'!$N$1:$CG$1,0))/INDEX('Monthly CUST'!$N$2:$CG$65,MATCH($D48,'Monthly CUST'!$D$2:$D$65,0),MATCH(BV$1,'Monthly CUST'!$N$1:$CG$1,0)),0)</f>
        <v>166.24104416855619</v>
      </c>
      <c r="BW48" s="56">
        <f>IFERROR(INDEX('Monthly VOL'!$N$2:$CG$65,MATCH($D48,'Monthly VOL'!$D$2:$D$65,0),MATCH(BW$1,'Monthly VOL'!$N$1:$CG$1,0))/INDEX('Monthly CUST'!$N$2:$CG$65,MATCH($D48,'Monthly CUST'!$D$2:$D$65,0),MATCH(BW$1,'Monthly CUST'!$N$1:$CG$1,0)),0)</f>
        <v>154.36007215822661</v>
      </c>
      <c r="BX48" s="56">
        <f>IFERROR(INDEX('Monthly VOL'!$N$2:$CG$65,MATCH($D48,'Monthly VOL'!$D$2:$D$65,0),MATCH(BX$1,'Monthly VOL'!$N$1:$CG$1,0))/INDEX('Monthly CUST'!$N$2:$CG$65,MATCH($D48,'Monthly CUST'!$D$2:$D$65,0),MATCH(BX$1,'Monthly CUST'!$N$1:$CG$1,0)),0)</f>
        <v>139.81630804117142</v>
      </c>
      <c r="BY48" s="56">
        <f>IFERROR(INDEX('Monthly VOL'!$N$2:$CG$65,MATCH($D48,'Monthly VOL'!$D$2:$D$65,0),MATCH(BY$1,'Monthly VOL'!$N$1:$CG$1,0))/INDEX('Monthly CUST'!$N$2:$CG$65,MATCH($D48,'Monthly CUST'!$D$2:$D$65,0),MATCH(BY$1,'Monthly CUST'!$N$1:$CG$1,0)),0)</f>
        <v>198.57961909587689</v>
      </c>
      <c r="BZ48" s="56">
        <f>IFERROR(INDEX('Monthly VOL'!$N$2:$CG$65,MATCH($D48,'Monthly VOL'!$D$2:$D$65,0),MATCH(BZ$1,'Monthly VOL'!$N$1:$CG$1,0))/INDEX('Monthly CUST'!$N$2:$CG$65,MATCH($D48,'Monthly CUST'!$D$2:$D$65,0),MATCH(BZ$1,'Monthly CUST'!$N$1:$CG$1,0)),0)</f>
        <v>166.459919403611</v>
      </c>
      <c r="CA48" s="56">
        <f>IFERROR(INDEX('Monthly VOL'!$N$2:$CG$65,MATCH($D48,'Monthly VOL'!$D$2:$D$65,0),MATCH(CA$1,'Monthly VOL'!$N$1:$CG$1,0))/INDEX('Monthly CUST'!$N$2:$CG$65,MATCH($D48,'Monthly CUST'!$D$2:$D$65,0),MATCH(CA$1,'Monthly CUST'!$N$1:$CG$1,0)),0)</f>
        <v>148.06668599433917</v>
      </c>
      <c r="CB48" s="56">
        <f>IFERROR(INDEX('Monthly VOL'!$N$2:$CG$65,MATCH($D48,'Monthly VOL'!$D$2:$D$65,0),MATCH(CB$1,'Monthly VOL'!$N$1:$CG$1,0))/INDEX('Monthly CUST'!$N$2:$CG$65,MATCH($D48,'Monthly CUST'!$D$2:$D$65,0),MATCH(CB$1,'Monthly CUST'!$N$1:$CG$1,0)),0)</f>
        <v>137.31673006647313</v>
      </c>
      <c r="CC48" s="56">
        <f>IFERROR(INDEX('Monthly VOL'!$N$2:$CG$65,MATCH($D48,'Monthly VOL'!$D$2:$D$65,0),MATCH(CC$1,'Monthly VOL'!$N$1:$CG$1,0))/INDEX('Monthly CUST'!$N$2:$CG$65,MATCH($D48,'Monthly CUST'!$D$2:$D$65,0),MATCH(CC$1,'Monthly CUST'!$N$1:$CG$1,0)),0)</f>
        <v>125.37334749652837</v>
      </c>
      <c r="CD48" s="56">
        <f>IFERROR(INDEX('Monthly VOL'!$N$2:$CG$65,MATCH($D48,'Monthly VOL'!$D$2:$D$65,0),MATCH(CD$1,'Monthly VOL'!$N$1:$CG$1,0))/INDEX('Monthly CUST'!$N$2:$CG$65,MATCH($D48,'Monthly CUST'!$D$2:$D$65,0),MATCH(CD$1,'Monthly CUST'!$N$1:$CG$1,0)),0)</f>
        <v>128.81337897419129</v>
      </c>
      <c r="CE48" s="56">
        <f>IFERROR(INDEX('Monthly VOL'!$N$2:$CG$65,MATCH($D48,'Monthly VOL'!$D$2:$D$65,0),MATCH(CE$1,'Monthly VOL'!$N$1:$CG$1,0))/INDEX('Monthly CUST'!$N$2:$CG$65,MATCH($D48,'Monthly CUST'!$D$2:$D$65,0),MATCH(CE$1,'Monthly CUST'!$N$1:$CG$1,0)),0)</f>
        <v>112.52211918791232</v>
      </c>
      <c r="CF48" s="56">
        <f>IFERROR(INDEX('Monthly VOL'!$N$2:$CG$65,MATCH($D48,'Monthly VOL'!$D$2:$D$65,0),MATCH(CF$1,'Monthly VOL'!$N$1:$CG$1,0))/INDEX('Monthly CUST'!$N$2:$CG$65,MATCH($D48,'Monthly CUST'!$D$2:$D$65,0),MATCH(CF$1,'Monthly CUST'!$N$1:$CG$1,0)),0)</f>
        <v>100.30656697245495</v>
      </c>
      <c r="CG48" s="56">
        <f>IFERROR(INDEX('Monthly VOL'!$N$2:$CG$65,MATCH($D48,'Monthly VOL'!$D$2:$D$65,0),MATCH(CG$1,'Monthly VOL'!$N$1:$CG$1,0))/INDEX('Monthly CUST'!$N$2:$CG$65,MATCH($D48,'Monthly CUST'!$D$2:$D$65,0),MATCH(CG$1,'Monthly CUST'!$N$1:$CG$1,0)),0)</f>
        <v>126.76154417156337</v>
      </c>
      <c r="CH48" s="264"/>
      <c r="CI48" s="264"/>
      <c r="CJ48" s="264"/>
      <c r="CM48" s="569">
        <f t="shared" si="24"/>
        <v>162.20260606060606</v>
      </c>
      <c r="CN48" s="569">
        <f t="shared" si="25"/>
        <v>159.53551515151514</v>
      </c>
      <c r="CO48" s="569">
        <f t="shared" si="26"/>
        <v>144.96700000000001</v>
      </c>
      <c r="CP48" s="569">
        <f t="shared" si="27"/>
        <v>148.55242424242425</v>
      </c>
      <c r="CQ48" s="569">
        <f t="shared" si="28"/>
        <v>135.45339393939395</v>
      </c>
      <c r="CR48" s="569">
        <f t="shared" si="29"/>
        <v>135.15042424242424</v>
      </c>
      <c r="CS48" s="569">
        <f t="shared" si="30"/>
        <v>122.91509090909092</v>
      </c>
      <c r="CT48" s="569">
        <f t="shared" si="31"/>
        <v>124.2169090909091</v>
      </c>
      <c r="CU48" s="569">
        <f t="shared" si="32"/>
        <v>125.06500000000001</v>
      </c>
      <c r="CV48" s="569">
        <f t="shared" si="33"/>
        <v>119.06007407407407</v>
      </c>
      <c r="CW48" s="569">
        <f t="shared" si="34"/>
        <v>119.64499999999998</v>
      </c>
      <c r="CX48" s="569">
        <f t="shared" si="35"/>
        <v>134.98366666666666</v>
      </c>
      <c r="CY48" s="569">
        <f t="shared" si="36"/>
        <v>162.20260606060606</v>
      </c>
      <c r="CZ48" s="569">
        <f t="shared" si="37"/>
        <v>159.53551515151514</v>
      </c>
      <c r="DA48" s="569">
        <f t="shared" si="38"/>
        <v>144.96700000000001</v>
      </c>
      <c r="DB48" s="569">
        <f t="shared" si="39"/>
        <v>148.55242424242425</v>
      </c>
      <c r="DC48" s="569">
        <f t="shared" si="40"/>
        <v>135.45339393939395</v>
      </c>
      <c r="DD48" s="569">
        <f t="shared" si="41"/>
        <v>135.15042424242424</v>
      </c>
      <c r="DE48" s="569">
        <f t="shared" si="42"/>
        <v>122.91509090909092</v>
      </c>
      <c r="DF48" s="569">
        <f t="shared" si="43"/>
        <v>124.2169090909091</v>
      </c>
      <c r="DG48" s="569">
        <f t="shared" si="44"/>
        <v>125.06500000000001</v>
      </c>
      <c r="DH48" s="569">
        <f t="shared" si="45"/>
        <v>119.06007407407407</v>
      </c>
      <c r="DI48" s="569">
        <f t="shared" si="46"/>
        <v>119.64499999999998</v>
      </c>
      <c r="DJ48" s="569">
        <f t="shared" si="47"/>
        <v>134.98366666666666</v>
      </c>
    </row>
    <row r="49" spans="1:114" s="261" customFormat="1">
      <c r="A49" s="55" t="s">
        <v>17</v>
      </c>
      <c r="B49" s="55" t="s">
        <v>993</v>
      </c>
      <c r="C49" s="55" t="s">
        <v>8</v>
      </c>
      <c r="D49" s="55" t="s">
        <v>1291</v>
      </c>
      <c r="E49" s="55" t="str">
        <f>VLOOKUP(D49,'Input 14_Ref Table'!C:D,2,FALSE)</f>
        <v>CR245</v>
      </c>
      <c r="F49" s="172" t="s">
        <v>1286</v>
      </c>
      <c r="G49" s="55" t="str">
        <f>VLOOKUP(D49,'Input 14_Ref Table'!C:I,7,FALSE)</f>
        <v>CFG - FTS-3 R</v>
      </c>
      <c r="H49" s="55" t="str">
        <f>VLOOKUP(D49,'Input 14_Ref Table'!C:K,8,FALSE)</f>
        <v>FTS3</v>
      </c>
      <c r="I49" s="55" t="e">
        <f>INDEX(#REF!,MATCH(D49,#REF!,0))</f>
        <v>#REF!</v>
      </c>
      <c r="J49" s="261" t="str">
        <f>INDEX('Master '!$AD$2:AD$65,MATCH(D49,'Master '!$D$2:$D$65,0))</f>
        <v>UPC Growth Rate</v>
      </c>
      <c r="K49" s="567">
        <f>INDEX('Master '!$N$2:N$65,MATCH(D49,'Master '!$D$2:$D$65,0))</f>
        <v>2.6784283829125063E-2</v>
      </c>
      <c r="L49" s="290">
        <f>INDEX('Master '!$S$2:S$65,MATCH(D49,'Master '!$D$2:$D$65,0))</f>
        <v>1.22672019627513E-3</v>
      </c>
      <c r="M49" s="1">
        <f>INDEX('Master '!$W$2:W$65,MATCH(D49,'Master '!$D$2:$D$65,0))</f>
        <v>3591.2</v>
      </c>
      <c r="N49" s="56">
        <f>IFERROR(INDEX('Monthly VOL'!$N$2:$CG$65,MATCH($D49,'Monthly VOL'!$D$2:$D$65,0),MATCH(N$1,'Monthly VOL'!$N$1:$CG$1,0))/INDEX('Monthly CUST'!$N$2:$CG$65,MATCH($D49,'Monthly CUST'!$D$2:$D$65,0),MATCH(N$1,'Monthly CUST'!$N$1:$CG$1,0)),0)</f>
        <v>361.03384615384613</v>
      </c>
      <c r="O49" s="56">
        <f>IFERROR(INDEX('Monthly VOL'!$N$2:$CG$65,MATCH($D49,'Monthly VOL'!$D$2:$D$65,0),MATCH(O$1,'Monthly VOL'!$N$1:$CG$1,0))/INDEX('Monthly CUST'!$N$2:$CG$65,MATCH($D49,'Monthly CUST'!$D$2:$D$65,0),MATCH(O$1,'Monthly CUST'!$N$1:$CG$1,0)),0)</f>
        <v>286.46846153846155</v>
      </c>
      <c r="P49" s="56">
        <f>IFERROR(INDEX('Monthly VOL'!$N$2:$CG$65,MATCH($D49,'Monthly VOL'!$D$2:$D$65,0),MATCH(P$1,'Monthly VOL'!$N$1:$CG$1,0))/INDEX('Monthly CUST'!$N$2:$CG$65,MATCH($D49,'Monthly CUST'!$D$2:$D$65,0),MATCH(P$1,'Monthly CUST'!$N$1:$CG$1,0)),0)</f>
        <v>376.87</v>
      </c>
      <c r="Q49" s="56">
        <f>IFERROR(INDEX('Monthly VOL'!$N$2:$CG$65,MATCH($D49,'Monthly VOL'!$D$2:$D$65,0),MATCH(Q$1,'Monthly VOL'!$N$1:$CG$1,0))/INDEX('Monthly CUST'!$N$2:$CG$65,MATCH($D49,'Monthly CUST'!$D$2:$D$65,0),MATCH(Q$1,'Monthly CUST'!$N$1:$CG$1,0)),0)</f>
        <v>288.70499999999998</v>
      </c>
      <c r="R49" s="56">
        <f>IFERROR(INDEX('Monthly VOL'!$N$2:$CG$65,MATCH($D49,'Monthly VOL'!$D$2:$D$65,0),MATCH(R$1,'Monthly VOL'!$N$1:$CG$1,0))/INDEX('Monthly CUST'!$N$2:$CG$65,MATCH($D49,'Monthly CUST'!$D$2:$D$65,0),MATCH(R$1,'Monthly CUST'!$N$1:$CG$1,0)),0)</f>
        <v>183.59125</v>
      </c>
      <c r="S49" s="56">
        <f>IFERROR(INDEX('Monthly VOL'!$N$2:$CG$65,MATCH($D49,'Monthly VOL'!$D$2:$D$65,0),MATCH(S$1,'Monthly VOL'!$N$1:$CG$1,0))/INDEX('Monthly CUST'!$N$2:$CG$65,MATCH($D49,'Monthly CUST'!$D$2:$D$65,0),MATCH(S$1,'Monthly CUST'!$N$1:$CG$1,0)),0)</f>
        <v>88.827500000000001</v>
      </c>
      <c r="T49" s="56">
        <f>IFERROR(INDEX('Monthly VOL'!$N$2:$CG$65,MATCH($D49,'Monthly VOL'!$D$2:$D$65,0),MATCH(T$1,'Monthly VOL'!$N$1:$CG$1,0))/INDEX('Monthly CUST'!$N$2:$CG$65,MATCH($D49,'Monthly CUST'!$D$2:$D$65,0),MATCH(T$1,'Monthly CUST'!$N$1:$CG$1,0)),0)</f>
        <v>42.9375</v>
      </c>
      <c r="U49" s="56">
        <f>IFERROR(INDEX('Monthly VOL'!$N$2:$CG$65,MATCH($D49,'Monthly VOL'!$D$2:$D$65,0),MATCH(U$1,'Monthly VOL'!$N$1:$CG$1,0))/INDEX('Monthly CUST'!$N$2:$CG$65,MATCH($D49,'Monthly CUST'!$D$2:$D$65,0),MATCH(U$1,'Monthly CUST'!$N$1:$CG$1,0)),0)</f>
        <v>26.934374999999999</v>
      </c>
      <c r="V49" s="56">
        <f>IFERROR(INDEX('Monthly VOL'!$N$2:$CG$65,MATCH($D49,'Monthly VOL'!$D$2:$D$65,0),MATCH(V$1,'Monthly VOL'!$N$1:$CG$1,0))/INDEX('Monthly CUST'!$N$2:$CG$65,MATCH($D49,'Monthly CUST'!$D$2:$D$65,0),MATCH(V$1,'Monthly CUST'!$N$1:$CG$1,0)),0)</f>
        <v>34.591875000000002</v>
      </c>
      <c r="W49" s="56">
        <f>IFERROR(INDEX('Monthly VOL'!$N$2:$CG$65,MATCH($D49,'Monthly VOL'!$D$2:$D$65,0),MATCH(W$1,'Monthly VOL'!$N$1:$CG$1,0))/INDEX('Monthly CUST'!$N$2:$CG$65,MATCH($D49,'Monthly CUST'!$D$2:$D$65,0),MATCH(W$1,'Monthly CUST'!$N$1:$CG$1,0)),0)</f>
        <v>64.309375000000003</v>
      </c>
      <c r="X49" s="56">
        <f>IFERROR(INDEX('Monthly VOL'!$N$2:$CG$65,MATCH($D49,'Monthly VOL'!$D$2:$D$65,0),MATCH(X$1,'Monthly VOL'!$N$1:$CG$1,0))/INDEX('Monthly CUST'!$N$2:$CG$65,MATCH($D49,'Monthly CUST'!$D$2:$D$65,0),MATCH(X$1,'Monthly CUST'!$N$1:$CG$1,0)),0)</f>
        <v>228.823125</v>
      </c>
      <c r="Y49" s="56">
        <f>IFERROR(INDEX('Monthly VOL'!$N$2:$CG$65,MATCH($D49,'Monthly VOL'!$D$2:$D$65,0),MATCH(Y$1,'Monthly VOL'!$N$1:$CG$1,0))/INDEX('Monthly CUST'!$N$2:$CG$65,MATCH($D49,'Monthly CUST'!$D$2:$D$65,0),MATCH(Y$1,'Monthly CUST'!$N$1:$CG$1,0)),0)</f>
        <v>348.53187500000001</v>
      </c>
      <c r="Z49" s="56">
        <f>IFERROR(INDEX('Monthly VOL'!$N$2:$CG$65,MATCH($D49,'Monthly VOL'!$D$2:$D$65,0),MATCH(Z$1,'Monthly VOL'!$N$1:$CG$1,0))/INDEX('Monthly CUST'!$N$2:$CG$65,MATCH($D49,'Monthly CUST'!$D$2:$D$65,0),MATCH(Z$1,'Monthly CUST'!$N$1:$CG$1,0)),0)</f>
        <v>421.99</v>
      </c>
      <c r="AA49" s="56">
        <f>IFERROR(INDEX('Monthly VOL'!$N$2:$CG$65,MATCH($D49,'Monthly VOL'!$D$2:$D$65,0),MATCH(AA$1,'Monthly VOL'!$N$1:$CG$1,0))/INDEX('Monthly CUST'!$N$2:$CG$65,MATCH($D49,'Monthly CUST'!$D$2:$D$65,0),MATCH(AA$1,'Monthly CUST'!$N$1:$CG$1,0)),0)</f>
        <v>300.23374999999999</v>
      </c>
      <c r="AB49" s="56">
        <f>IFERROR(INDEX('Monthly VOL'!$N$2:$CG$65,MATCH($D49,'Monthly VOL'!$D$2:$D$65,0),MATCH(AB$1,'Monthly VOL'!$N$1:$CG$1,0))/INDEX('Monthly CUST'!$N$2:$CG$65,MATCH($D49,'Monthly CUST'!$D$2:$D$65,0),MATCH(AB$1,'Monthly CUST'!$N$1:$CG$1,0)),0)</f>
        <v>296.70249999999999</v>
      </c>
      <c r="AC49" s="56">
        <f>IFERROR(INDEX('Monthly VOL'!$N$2:$CG$65,MATCH($D49,'Monthly VOL'!$D$2:$D$65,0),MATCH(AC$1,'Monthly VOL'!$N$1:$CG$1,0))/INDEX('Monthly CUST'!$N$2:$CG$65,MATCH($D49,'Monthly CUST'!$D$2:$D$65,0),MATCH(AC$1,'Monthly CUST'!$N$1:$CG$1,0)),0)</f>
        <v>240.541875</v>
      </c>
      <c r="AD49" s="56">
        <f>IFERROR(INDEX('Monthly VOL'!$N$2:$CG$65,MATCH($D49,'Monthly VOL'!$D$2:$D$65,0),MATCH(AD$1,'Monthly VOL'!$N$1:$CG$1,0))/INDEX('Monthly CUST'!$N$2:$CG$65,MATCH($D49,'Monthly CUST'!$D$2:$D$65,0),MATCH(AD$1,'Monthly CUST'!$N$1:$CG$1,0)),0)</f>
        <v>128.51750000000001</v>
      </c>
      <c r="AE49" s="56">
        <f>IFERROR(INDEX('Monthly VOL'!$N$2:$CG$65,MATCH($D49,'Monthly VOL'!$D$2:$D$65,0),MATCH(AE$1,'Monthly VOL'!$N$1:$CG$1,0))/INDEX('Monthly CUST'!$N$2:$CG$65,MATCH($D49,'Monthly CUST'!$D$2:$D$65,0),MATCH(AE$1,'Monthly CUST'!$N$1:$CG$1,0)),0)</f>
        <v>66.275000000000006</v>
      </c>
      <c r="AF49" s="56">
        <f>IFERROR(INDEX('Monthly VOL'!$N$2:$CG$65,MATCH($D49,'Monthly VOL'!$D$2:$D$65,0),MATCH(AF$1,'Monthly VOL'!$N$1:$CG$1,0))/INDEX('Monthly CUST'!$N$2:$CG$65,MATCH($D49,'Monthly CUST'!$D$2:$D$65,0),MATCH(AF$1,'Monthly CUST'!$N$1:$CG$1,0)),0)</f>
        <v>31.49235294117647</v>
      </c>
      <c r="AG49" s="56">
        <f>IFERROR(INDEX('Monthly VOL'!$N$2:$CG$65,MATCH($D49,'Monthly VOL'!$D$2:$D$65,0),MATCH(AG$1,'Monthly VOL'!$N$1:$CG$1,0))/INDEX('Monthly CUST'!$N$2:$CG$65,MATCH($D49,'Monthly CUST'!$D$2:$D$65,0),MATCH(AG$1,'Monthly CUST'!$N$1:$CG$1,0)),0)</f>
        <v>36.965000000000003</v>
      </c>
      <c r="AH49" s="56">
        <f>IFERROR(INDEX('Monthly VOL'!$N$2:$CG$65,MATCH($D49,'Monthly VOL'!$D$2:$D$65,0),MATCH(AH$1,'Monthly VOL'!$N$1:$CG$1,0))/INDEX('Monthly CUST'!$N$2:$CG$65,MATCH($D49,'Monthly CUST'!$D$2:$D$65,0),MATCH(AH$1,'Monthly CUST'!$N$1:$CG$1,0)),0)</f>
        <v>36.089374999999997</v>
      </c>
      <c r="AI49" s="56">
        <f>IFERROR(INDEX('Monthly VOL'!$N$2:$CG$65,MATCH($D49,'Monthly VOL'!$D$2:$D$65,0),MATCH(AI$1,'Monthly VOL'!$N$1:$CG$1,0))/INDEX('Monthly CUST'!$N$2:$CG$65,MATCH($D49,'Monthly CUST'!$D$2:$D$65,0),MATCH(AI$1,'Monthly CUST'!$N$1:$CG$1,0)),0)</f>
        <v>93.545000000000002</v>
      </c>
      <c r="AJ49" s="56">
        <f>IFERROR(INDEX('Monthly VOL'!$N$2:$CG$65,MATCH($D49,'Monthly VOL'!$D$2:$D$65,0),MATCH(AJ$1,'Monthly VOL'!$N$1:$CG$1,0))/INDEX('Monthly CUST'!$N$2:$CG$65,MATCH($D49,'Monthly CUST'!$D$2:$D$65,0),MATCH(AJ$1,'Monthly CUST'!$N$1:$CG$1,0)),0)</f>
        <v>239.636875</v>
      </c>
      <c r="AK49" s="56">
        <f>IFERROR(INDEX('Monthly VOL'!$N$2:$CG$65,MATCH($D49,'Monthly VOL'!$D$2:$D$65,0),MATCH(AK$1,'Monthly VOL'!$N$1:$CG$1,0))/INDEX('Monthly CUST'!$N$2:$CG$65,MATCH($D49,'Monthly CUST'!$D$2:$D$65,0),MATCH(AK$1,'Monthly CUST'!$N$1:$CG$1,0)),0)</f>
        <v>413.364375</v>
      </c>
      <c r="AL49" s="56">
        <f>IFERROR(INDEX('Monthly VOL'!$N$2:$CG$65,MATCH($D49,'Monthly VOL'!$D$2:$D$65,0),MATCH(AL$1,'Monthly VOL'!$N$1:$CG$1,0))/INDEX('Monthly CUST'!$N$2:$CG$65,MATCH($D49,'Monthly CUST'!$D$2:$D$65,0),MATCH(AL$1,'Monthly CUST'!$N$1:$CG$1,0)),0)</f>
        <v>393.14812499999999</v>
      </c>
      <c r="AM49" s="56">
        <f>IFERROR(INDEX('Monthly VOL'!$N$2:$CG$65,MATCH($D49,'Monthly VOL'!$D$2:$D$65,0),MATCH(AM$1,'Monthly VOL'!$N$1:$CG$1,0))/INDEX('Monthly CUST'!$N$2:$CG$65,MATCH($D49,'Monthly CUST'!$D$2:$D$65,0),MATCH(AM$1,'Monthly CUST'!$N$1:$CG$1,0)),0)</f>
        <v>315.15750000000003</v>
      </c>
      <c r="AN49" s="56">
        <f>IFERROR(INDEX('Monthly VOL'!$N$2:$CG$65,MATCH($D49,'Monthly VOL'!$D$2:$D$65,0),MATCH(AN$1,'Monthly VOL'!$N$1:$CG$1,0))/INDEX('Monthly CUST'!$N$2:$CG$65,MATCH($D49,'Monthly CUST'!$D$2:$D$65,0),MATCH(AN$1,'Monthly CUST'!$N$1:$CG$1,0)),0)</f>
        <v>281.57499999999999</v>
      </c>
      <c r="AO49" s="56">
        <f>IFERROR(INDEX('Monthly VOL'!$N$2:$CG$65,MATCH($D49,'Monthly VOL'!$D$2:$D$65,0),MATCH(AO$1,'Monthly VOL'!$N$1:$CG$1,0))/INDEX('Monthly CUST'!$N$2:$CG$65,MATCH($D49,'Monthly CUST'!$D$2:$D$65,0),MATCH(AO$1,'Monthly CUST'!$N$1:$CG$1,0)),0)</f>
        <v>91.608125000000001</v>
      </c>
      <c r="AP49" s="56">
        <f>IFERROR(INDEX('Monthly VOL'!$N$2:$CG$65,MATCH($D49,'Monthly VOL'!$D$2:$D$65,0),MATCH(AP$1,'Monthly VOL'!$N$1:$CG$1,0))/INDEX('Monthly CUST'!$N$2:$CG$65,MATCH($D49,'Monthly CUST'!$D$2:$D$65,0),MATCH(AP$1,'Monthly CUST'!$N$1:$CG$1,0)),0)</f>
        <v>83.235294117647058</v>
      </c>
      <c r="AQ49" s="56">
        <f>IFERROR(INDEX('Monthly VOL'!$N$2:$CG$65,MATCH($D49,'Monthly VOL'!$D$2:$D$65,0),MATCH(AQ$1,'Monthly VOL'!$N$1:$CG$1,0))/INDEX('Monthly CUST'!$N$2:$CG$65,MATCH($D49,'Monthly CUST'!$D$2:$D$65,0),MATCH(AQ$1,'Monthly CUST'!$N$1:$CG$1,0)),0)</f>
        <v>66.582499999999996</v>
      </c>
      <c r="AR49" s="56">
        <f>IFERROR(INDEX('Monthly VOL'!$N$2:$CG$65,MATCH($D49,'Monthly VOL'!$D$2:$D$65,0),MATCH(AR$1,'Monthly VOL'!$N$1:$CG$1,0))/INDEX('Monthly CUST'!$N$2:$CG$65,MATCH($D49,'Monthly CUST'!$D$2:$D$65,0),MATCH(AR$1,'Monthly CUST'!$N$1:$CG$1,0)),0)</f>
        <v>49.308124999999997</v>
      </c>
      <c r="AS49" s="56">
        <f>IFERROR(INDEX('Monthly VOL'!$N$2:$CG$65,MATCH($D49,'Monthly VOL'!$D$2:$D$65,0),MATCH(AS$1,'Monthly VOL'!$N$1:$CG$1,0))/INDEX('Monthly CUST'!$N$2:$CG$65,MATCH($D49,'Monthly CUST'!$D$2:$D$65,0),MATCH(AS$1,'Monthly CUST'!$N$1:$CG$1,0)),0)</f>
        <v>24.645</v>
      </c>
      <c r="AT49" s="56">
        <f>IFERROR(INDEX('Monthly VOL'!$N$2:$CG$65,MATCH($D49,'Monthly VOL'!$D$2:$D$65,0),MATCH(AT$1,'Monthly VOL'!$N$1:$CG$1,0))/INDEX('Monthly CUST'!$N$2:$CG$65,MATCH($D49,'Monthly CUST'!$D$2:$D$65,0),MATCH(AT$1,'Monthly CUST'!$N$1:$CG$1,0)),0)</f>
        <v>42.758749999999999</v>
      </c>
      <c r="AU49" s="56">
        <f>IFERROR(INDEX('Monthly VOL'!$N$2:$CG$65,MATCH($D49,'Monthly VOL'!$D$2:$D$65,0),MATCH(AU$1,'Monthly VOL'!$N$1:$CG$1,0))/INDEX('Monthly CUST'!$N$2:$CG$65,MATCH($D49,'Monthly CUST'!$D$2:$D$65,0),MATCH(AU$1,'Monthly CUST'!$N$1:$CG$1,0)),0)</f>
        <v>83.926874999999995</v>
      </c>
      <c r="AV49" s="56">
        <f>IFERROR(INDEX('Monthly VOL'!$N$2:$CG$65,MATCH($D49,'Monthly VOL'!$D$2:$D$65,0),MATCH(AV$1,'Monthly VOL'!$N$1:$CG$1,0))/INDEX('Monthly CUST'!$N$2:$CG$65,MATCH($D49,'Monthly CUST'!$D$2:$D$65,0),MATCH(AV$1,'Monthly CUST'!$N$1:$CG$1,0)),0)</f>
        <v>149.72375</v>
      </c>
      <c r="AW49" s="56">
        <f>IFERROR(INDEX('Monthly VOL'!$N$2:$CG$65,MATCH($D49,'Monthly VOL'!$D$2:$D$65,0),MATCH(AW$1,'Monthly VOL'!$N$1:$CG$1,0))/INDEX('Monthly CUST'!$N$2:$CG$65,MATCH($D49,'Monthly CUST'!$D$2:$D$65,0),MATCH(AW$1,'Monthly CUST'!$N$1:$CG$1,0)),0)</f>
        <v>415.21470588235292</v>
      </c>
      <c r="AX49" s="56">
        <f>IFERROR(INDEX('Monthly VOL'!$N$2:$CG$65,MATCH($D49,'Monthly VOL'!$D$2:$D$65,0),MATCH(AX$1,'Monthly VOL'!$N$1:$CG$1,0))/INDEX('Monthly CUST'!$N$2:$CG$65,MATCH($D49,'Monthly CUST'!$D$2:$D$65,0),MATCH(AX$1,'Monthly CUST'!$N$1:$CG$1,0)),0)</f>
        <v>486.55687499999999</v>
      </c>
      <c r="AY49" s="56">
        <f>IFERROR(INDEX('Monthly VOL'!$N$2:$CG$65,MATCH($D49,'Monthly VOL'!$D$2:$D$65,0),MATCH(AY$1,'Monthly VOL'!$N$1:$CG$1,0))/INDEX('Monthly CUST'!$N$2:$CG$65,MATCH($D49,'Monthly CUST'!$D$2:$D$65,0),MATCH(AY$1,'Monthly CUST'!$N$1:$CG$1,0)),0)</f>
        <v>334.37625000000003</v>
      </c>
      <c r="AZ49" s="56">
        <f>IFERROR(INDEX('Monthly VOL'!$N$2:$CG$65,MATCH($D49,'Monthly VOL'!$D$2:$D$65,0),MATCH(AZ$1,'Monthly VOL'!$N$1:$CG$1,0))/INDEX('Monthly CUST'!$N$2:$CG$65,MATCH($D49,'Monthly CUST'!$D$2:$D$65,0),MATCH(AZ$1,'Monthly CUST'!$N$1:$CG$1,0)),0)</f>
        <v>261.93624999999997</v>
      </c>
      <c r="BA49" s="56">
        <f>IFERROR(INDEX('Monthly VOL'!$N$2:$CG$65,MATCH($D49,'Monthly VOL'!$D$2:$D$65,0),MATCH(BA$1,'Monthly VOL'!$N$1:$CG$1,0))/INDEX('Monthly CUST'!$N$2:$CG$65,MATCH($D49,'Monthly CUST'!$D$2:$D$65,0),MATCH(BA$1,'Monthly CUST'!$N$1:$CG$1,0)),0)</f>
        <v>223.02125000000001</v>
      </c>
      <c r="BB49" s="56">
        <f>IFERROR(INDEX('Monthly VOL'!$N$2:$CG$65,MATCH($D49,'Monthly VOL'!$D$2:$D$65,0),MATCH(BB$1,'Monthly VOL'!$N$1:$CG$1,0))/INDEX('Monthly CUST'!$N$2:$CG$65,MATCH($D49,'Monthly CUST'!$D$2:$D$65,0),MATCH(BB$1,'Monthly CUST'!$N$1:$CG$1,0)),0)</f>
        <v>83.345294117647057</v>
      </c>
      <c r="BC49" s="56">
        <f>IFERROR(INDEX('Monthly VOL'!$N$2:$CG$65,MATCH($D49,'Monthly VOL'!$D$2:$D$65,0),MATCH(BC$1,'Monthly VOL'!$N$1:$CG$1,0))/INDEX('Monthly CUST'!$N$2:$CG$65,MATCH($D49,'Monthly CUST'!$D$2:$D$65,0),MATCH(BC$1,'Monthly CUST'!$N$1:$CG$1,0)),0)</f>
        <v>73.461250000000007</v>
      </c>
      <c r="BD49" s="56">
        <f>IFERROR(INDEX('Monthly VOL'!$N$2:$CG$65,MATCH($D49,'Monthly VOL'!$D$2:$D$65,0),MATCH(BD$1,'Monthly VOL'!$N$1:$CG$1,0))/INDEX('Monthly CUST'!$N$2:$CG$65,MATCH($D49,'Monthly CUST'!$D$2:$D$65,0),MATCH(BD$1,'Monthly CUST'!$N$1:$CG$1,0)),0)</f>
        <v>63.409374999999997</v>
      </c>
      <c r="BE49" s="56">
        <f>IFERROR(INDEX('Monthly VOL'!$N$2:$CG$65,MATCH($D49,'Monthly VOL'!$D$2:$D$65,0),MATCH(BE$1,'Monthly VOL'!$N$1:$CG$1,0))/INDEX('Monthly CUST'!$N$2:$CG$65,MATCH($D49,'Monthly CUST'!$D$2:$D$65,0),MATCH(BE$1,'Monthly CUST'!$N$1:$CG$1,0)),0)</f>
        <v>40.99</v>
      </c>
      <c r="BF49" s="56">
        <f>IFERROR(INDEX('Monthly VOL'!$N$2:$CG$65,MATCH($D49,'Monthly VOL'!$D$2:$D$65,0),MATCH(BF$1,'Monthly VOL'!$N$1:$CG$1,0))/INDEX('Monthly CUST'!$N$2:$CG$65,MATCH($D49,'Monthly CUST'!$D$2:$D$65,0),MATCH(BF$1,'Monthly CUST'!$N$1:$CG$1,0)),0)</f>
        <v>35.415624999999999</v>
      </c>
      <c r="BG49" s="56">
        <f>IFERROR(INDEX('Monthly VOL'!$N$2:$CG$65,MATCH($D49,'Monthly VOL'!$D$2:$D$65,0),MATCH(BG$1,'Monthly VOL'!$N$1:$CG$1,0))/INDEX('Monthly CUST'!$N$2:$CG$65,MATCH($D49,'Monthly CUST'!$D$2:$D$65,0),MATCH(BG$1,'Monthly CUST'!$N$1:$CG$1,0)),0)</f>
        <v>78.105625000000003</v>
      </c>
      <c r="BH49" s="56">
        <f>IFERROR(INDEX('Monthly VOL'!$N$2:$CG$65,MATCH($D49,'Monthly VOL'!$D$2:$D$65,0),MATCH(BH$1,'Monthly VOL'!$N$1:$CG$1,0))/INDEX('Monthly CUST'!$N$2:$CG$65,MATCH($D49,'Monthly CUST'!$D$2:$D$65,0),MATCH(BH$1,'Monthly CUST'!$N$1:$CG$1,0)),0)</f>
        <v>198.01333333333332</v>
      </c>
      <c r="BI49" s="56">
        <f>IFERROR(INDEX('Monthly VOL'!$N$2:$CG$65,MATCH($D49,'Monthly VOL'!$D$2:$D$65,0),MATCH(BI$1,'Monthly VOL'!$N$1:$CG$1,0))/INDEX('Monthly CUST'!$N$2:$CG$65,MATCH($D49,'Monthly CUST'!$D$2:$D$65,0),MATCH(BI$1,'Monthly CUST'!$N$1:$CG$1,0)),0)</f>
        <v>290.51533333333333</v>
      </c>
      <c r="BJ49" s="56">
        <f>IFERROR(INDEX('Monthly VOL'!$N$2:$CG$65,MATCH($D49,'Monthly VOL'!$D$2:$D$65,0),MATCH(BJ$1,'Monthly VOL'!$N$1:$CG$1,0))/INDEX('Monthly CUST'!$N$2:$CG$65,MATCH($D49,'Monthly CUST'!$D$2:$D$65,0),MATCH(BJ$1,'Monthly CUST'!$N$1:$CG$1,0)),0)</f>
        <v>487.15374414519903</v>
      </c>
      <c r="BK49" s="56">
        <f>IFERROR(INDEX('Monthly VOL'!$N$2:$CG$65,MATCH($D49,'Monthly VOL'!$D$2:$D$65,0),MATCH(BK$1,'Monthly VOL'!$N$1:$CG$1,0))/INDEX('Monthly CUST'!$N$2:$CG$65,MATCH($D49,'Monthly CUST'!$D$2:$D$65,0),MATCH(BK$1,'Monthly CUST'!$N$1:$CG$1,0)),0)</f>
        <v>334.7864360990298</v>
      </c>
      <c r="BL49" s="56">
        <f>IFERROR(INDEX('Monthly VOL'!$N$2:$CG$65,MATCH($D49,'Monthly VOL'!$D$2:$D$65,0),MATCH(BL$1,'Monthly VOL'!$N$1:$CG$1,0))/INDEX('Monthly CUST'!$N$2:$CG$65,MATCH($D49,'Monthly CUST'!$D$2:$D$65,0),MATCH(BL$1,'Monthly CUST'!$N$1:$CG$1,0)),0)</f>
        <v>262.25757248801159</v>
      </c>
      <c r="BM49" s="56">
        <f>IFERROR(INDEX('Monthly VOL'!$N$2:$CG$65,MATCH($D49,'Monthly VOL'!$D$2:$D$65,0),MATCH(BM$1,'Monthly VOL'!$N$1:$CG$1,0))/INDEX('Monthly CUST'!$N$2:$CG$65,MATCH($D49,'Monthly CUST'!$D$2:$D$65,0),MATCH(BM$1,'Monthly CUST'!$N$1:$CG$1,0)),0)</f>
        <v>223.29483467157357</v>
      </c>
      <c r="BN49" s="56">
        <f>IFERROR(INDEX('Monthly VOL'!$N$2:$CG$65,MATCH($D49,'Monthly VOL'!$D$2:$D$65,0),MATCH(BN$1,'Monthly VOL'!$N$1:$CG$1,0))/INDEX('Monthly CUST'!$N$2:$CG$65,MATCH($D49,'Monthly CUST'!$D$2:$D$65,0),MATCH(BN$1,'Monthly CUST'!$N$1:$CG$1,0)),0)</f>
        <v>83.447535473205676</v>
      </c>
      <c r="BO49" s="56">
        <f>IFERROR(INDEX('Monthly VOL'!$N$2:$CG$65,MATCH($D49,'Monthly VOL'!$D$2:$D$65,0),MATCH(BO$1,'Monthly VOL'!$N$1:$CG$1,0))/INDEX('Monthly CUST'!$N$2:$CG$65,MATCH($D49,'Monthly CUST'!$D$2:$D$65,0),MATCH(BO$1,'Monthly CUST'!$N$1:$CG$1,0)),0)</f>
        <v>73.551366399018633</v>
      </c>
      <c r="BP49" s="56">
        <f>IFERROR(INDEX('Monthly VOL'!$N$2:$CG$65,MATCH($D49,'Monthly VOL'!$D$2:$D$65,0),MATCH(BP$1,'Monthly VOL'!$N$1:$CG$1,0))/INDEX('Monthly CUST'!$N$2:$CG$65,MATCH($D49,'Monthly CUST'!$D$2:$D$65,0),MATCH(BP$1,'Monthly CUST'!$N$1:$CG$1,0)),0)</f>
        <v>63.487160560945689</v>
      </c>
      <c r="BQ49" s="56">
        <f>IFERROR(INDEX('Monthly VOL'!$N$2:$CG$65,MATCH($D49,'Monthly VOL'!$D$2:$D$65,0),MATCH(BQ$1,'Monthly VOL'!$N$1:$CG$1,0))/INDEX('Monthly CUST'!$N$2:$CG$65,MATCH($D49,'Monthly CUST'!$D$2:$D$65,0),MATCH(BQ$1,'Monthly CUST'!$N$1:$CG$1,0)),0)</f>
        <v>41.040283260845321</v>
      </c>
      <c r="BR49" s="56">
        <f>IFERROR(INDEX('Monthly VOL'!$N$2:$CG$65,MATCH($D49,'Monthly VOL'!$D$2:$D$65,0),MATCH(BR$1,'Monthly VOL'!$N$1:$CG$1,0))/INDEX('Monthly CUST'!$N$2:$CG$65,MATCH($D49,'Monthly CUST'!$D$2:$D$65,0),MATCH(BR$1,'Monthly CUST'!$N$1:$CG$1,0)),0)</f>
        <v>35.459070062451211</v>
      </c>
      <c r="BS49" s="56">
        <f>IFERROR(INDEX('Monthly VOL'!$N$2:$CG$65,MATCH($D49,'Monthly VOL'!$D$2:$D$65,0),MATCH(BS$1,'Monthly VOL'!$N$1:$CG$1,0))/INDEX('Monthly CUST'!$N$2:$CG$65,MATCH($D49,'Monthly CUST'!$D$2:$D$65,0),MATCH(BS$1,'Monthly CUST'!$N$1:$CG$1,0)),0)</f>
        <v>78.201438747630206</v>
      </c>
      <c r="BT49" s="56">
        <f>IFERROR(INDEX('Monthly VOL'!$N$2:$CG$65,MATCH($D49,'Monthly VOL'!$D$2:$D$65,0),MATCH(BT$1,'Monthly VOL'!$N$1:$CG$1,0))/INDEX('Monthly CUST'!$N$2:$CG$65,MATCH($D49,'Monthly CUST'!$D$2:$D$65,0),MATCH(BT$1,'Monthly CUST'!$N$1:$CG$1,0)),0)</f>
        <v>198.25624028846511</v>
      </c>
      <c r="BU49" s="56">
        <f>IFERROR(INDEX('Monthly VOL'!$N$2:$CG$65,MATCH($D49,'Monthly VOL'!$D$2:$D$65,0),MATCH(BU$1,'Monthly VOL'!$N$1:$CG$1,0))/INDEX('Monthly CUST'!$N$2:$CG$65,MATCH($D49,'Monthly CUST'!$D$2:$D$65,0),MATCH(BU$1,'Monthly CUST'!$N$1:$CG$1,0)),0)</f>
        <v>290.87171436006093</v>
      </c>
      <c r="BV49" s="56">
        <f>IFERROR(INDEX('Monthly VOL'!$N$2:$CG$65,MATCH($D49,'Monthly VOL'!$D$2:$D$65,0),MATCH(BV$1,'Monthly VOL'!$N$1:$CG$1,0))/INDEX('Monthly CUST'!$N$2:$CG$65,MATCH($D49,'Monthly CUST'!$D$2:$D$65,0),MATCH(BV$1,'Monthly CUST'!$N$1:$CG$1,0)),0)</f>
        <v>487.75134548183297</v>
      </c>
      <c r="BW49" s="56">
        <f>IFERROR(INDEX('Monthly VOL'!$N$2:$CG$65,MATCH($D49,'Monthly VOL'!$D$2:$D$65,0),MATCH(BW$1,'Monthly VOL'!$N$1:$CG$1,0))/INDEX('Monthly CUST'!$N$2:$CG$65,MATCH($D49,'Monthly CUST'!$D$2:$D$65,0),MATCH(BW$1,'Monthly CUST'!$N$1:$CG$1,0)),0)</f>
        <v>335.19712538163151</v>
      </c>
      <c r="BX49" s="56">
        <f>IFERROR(INDEX('Monthly VOL'!$N$2:$CG$65,MATCH($D49,'Monthly VOL'!$D$2:$D$65,0),MATCH(BX$1,'Monthly VOL'!$N$1:$CG$1,0))/INDEX('Monthly CUST'!$N$2:$CG$65,MATCH($D49,'Monthly CUST'!$D$2:$D$65,0),MATCH(BX$1,'Monthly CUST'!$N$1:$CG$1,0)),0)</f>
        <v>262.57928914880875</v>
      </c>
      <c r="BY49" s="56">
        <f>IFERROR(INDEX('Monthly VOL'!$N$2:$CG$65,MATCH($D49,'Monthly VOL'!$D$2:$D$65,0),MATCH(BY$1,'Monthly VOL'!$N$1:$CG$1,0))/INDEX('Monthly CUST'!$N$2:$CG$65,MATCH($D49,'Monthly CUST'!$D$2:$D$65,0),MATCH(BY$1,'Monthly CUST'!$N$1:$CG$1,0)),0)</f>
        <v>223.56875495498912</v>
      </c>
      <c r="BZ49" s="56">
        <f>IFERROR(INDEX('Monthly VOL'!$N$2:$CG$65,MATCH($D49,'Monthly VOL'!$D$2:$D$65,0),MATCH(BZ$1,'Monthly VOL'!$N$1:$CG$1,0))/INDEX('Monthly CUST'!$N$2:$CG$65,MATCH($D49,'Monthly CUST'!$D$2:$D$65,0),MATCH(BZ$1,'Monthly CUST'!$N$1:$CG$1,0)),0)</f>
        <v>83.54990225030005</v>
      </c>
      <c r="CA49" s="56">
        <f>IFERROR(INDEX('Monthly VOL'!$N$2:$CG$65,MATCH($D49,'Monthly VOL'!$D$2:$D$65,0),MATCH(CA$1,'Monthly VOL'!$N$1:$CG$1,0))/INDEX('Monthly CUST'!$N$2:$CG$65,MATCH($D49,'Monthly CUST'!$D$2:$D$65,0),MATCH(CA$1,'Monthly CUST'!$N$1:$CG$1,0)),0)</f>
        <v>73.641593345643955</v>
      </c>
      <c r="CB49" s="56">
        <f>IFERROR(INDEX('Monthly VOL'!$N$2:$CG$65,MATCH($D49,'Monthly VOL'!$D$2:$D$65,0),MATCH(CB$1,'Monthly VOL'!$N$1:$CG$1,0))/INDEX('Monthly CUST'!$N$2:$CG$65,MATCH($D49,'Monthly CUST'!$D$2:$D$65,0),MATCH(CB$1,'Monthly CUST'!$N$1:$CG$1,0)),0)</f>
        <v>63.565041543009976</v>
      </c>
      <c r="CC49" s="56">
        <f>IFERROR(INDEX('Monthly VOL'!$N$2:$CG$65,MATCH($D49,'Monthly VOL'!$D$2:$D$65,0),MATCH(CC$1,'Monthly VOL'!$N$1:$CG$1,0))/INDEX('Monthly CUST'!$N$2:$CG$65,MATCH($D49,'Monthly CUST'!$D$2:$D$65,0),MATCH(CC$1,'Monthly CUST'!$N$1:$CG$1,0)),0)</f>
        <v>41.090628205182256</v>
      </c>
      <c r="CD49" s="56">
        <f>IFERROR(INDEX('Monthly VOL'!$N$2:$CG$65,MATCH($D49,'Monthly VOL'!$D$2:$D$65,0),MATCH(CD$1,'Monthly VOL'!$N$1:$CG$1,0))/INDEX('Monthly CUST'!$N$2:$CG$65,MATCH($D49,'Monthly CUST'!$D$2:$D$65,0),MATCH(CD$1,'Monthly CUST'!$N$1:$CG$1,0)),0)</f>
        <v>35.502568419837957</v>
      </c>
      <c r="CE49" s="56">
        <f>IFERROR(INDEX('Monthly VOL'!$N$2:$CG$65,MATCH($D49,'Monthly VOL'!$D$2:$D$65,0),MATCH(CE$1,'Monthly VOL'!$N$1:$CG$1,0))/INDEX('Monthly CUST'!$N$2:$CG$65,MATCH($D49,'Monthly CUST'!$D$2:$D$65,0),MATCH(CE$1,'Monthly CUST'!$N$1:$CG$1,0)),0)</f>
        <v>78.297370031919698</v>
      </c>
      <c r="CF49" s="56">
        <f>IFERROR(INDEX('Monthly VOL'!$N$2:$CG$65,MATCH($D49,'Monthly VOL'!$D$2:$D$65,0),MATCH(CF$1,'Monthly VOL'!$N$1:$CG$1,0))/INDEX('Monthly CUST'!$N$2:$CG$65,MATCH($D49,'Monthly CUST'!$D$2:$D$65,0),MATCH(CF$1,'Monthly CUST'!$N$1:$CG$1,0)),0)</f>
        <v>198.49944522246457</v>
      </c>
      <c r="CG49" s="56">
        <f>IFERROR(INDEX('Monthly VOL'!$N$2:$CG$65,MATCH($D49,'Monthly VOL'!$D$2:$D$65,0),MATCH(CG$1,'Monthly VOL'!$N$1:$CG$1,0))/INDEX('Monthly CUST'!$N$2:$CG$65,MATCH($D49,'Monthly CUST'!$D$2:$D$65,0),MATCH(CG$1,'Monthly CUST'!$N$1:$CG$1,0)),0)</f>
        <v>291.22853256659164</v>
      </c>
      <c r="CH49" s="264"/>
      <c r="CI49" s="264"/>
      <c r="CJ49" s="264"/>
      <c r="CM49" s="569">
        <f t="shared" si="24"/>
        <v>433.89833333333331</v>
      </c>
      <c r="CN49" s="569">
        <f t="shared" si="25"/>
        <v>316.5891666666667</v>
      </c>
      <c r="CO49" s="569">
        <f t="shared" si="26"/>
        <v>280.07124999999996</v>
      </c>
      <c r="CP49" s="569">
        <f t="shared" si="27"/>
        <v>185.05708333333334</v>
      </c>
      <c r="CQ49" s="569">
        <f t="shared" si="28"/>
        <v>98.3660294117647</v>
      </c>
      <c r="CR49" s="569">
        <f t="shared" si="29"/>
        <v>68.772916666666674</v>
      </c>
      <c r="CS49" s="569">
        <f t="shared" si="30"/>
        <v>48.06995098039215</v>
      </c>
      <c r="CT49" s="569">
        <f t="shared" si="31"/>
        <v>34.199999999999996</v>
      </c>
      <c r="CU49" s="569">
        <f t="shared" si="32"/>
        <v>38.087916666666665</v>
      </c>
      <c r="CV49" s="569">
        <f t="shared" si="33"/>
        <v>85.19250000000001</v>
      </c>
      <c r="CW49" s="569">
        <f t="shared" si="34"/>
        <v>195.79131944444444</v>
      </c>
      <c r="CX49" s="569">
        <f t="shared" si="35"/>
        <v>373.03147140522873</v>
      </c>
      <c r="CY49" s="569">
        <f t="shared" si="36"/>
        <v>433.89833333333331</v>
      </c>
      <c r="CZ49" s="569">
        <f t="shared" si="37"/>
        <v>316.5891666666667</v>
      </c>
      <c r="DA49" s="569">
        <f t="shared" si="38"/>
        <v>280.07124999999996</v>
      </c>
      <c r="DB49" s="569">
        <f t="shared" si="39"/>
        <v>185.05708333333334</v>
      </c>
      <c r="DC49" s="569">
        <f t="shared" si="40"/>
        <v>98.3660294117647</v>
      </c>
      <c r="DD49" s="569">
        <f t="shared" si="41"/>
        <v>68.772916666666674</v>
      </c>
      <c r="DE49" s="569">
        <f t="shared" si="42"/>
        <v>48.06995098039215</v>
      </c>
      <c r="DF49" s="569">
        <f t="shared" si="43"/>
        <v>34.199999999999996</v>
      </c>
      <c r="DG49" s="569">
        <f t="shared" si="44"/>
        <v>38.087916666666665</v>
      </c>
      <c r="DH49" s="569">
        <f t="shared" si="45"/>
        <v>85.19250000000001</v>
      </c>
      <c r="DI49" s="569">
        <f t="shared" si="46"/>
        <v>195.79131944444444</v>
      </c>
      <c r="DJ49" s="569">
        <f t="shared" si="47"/>
        <v>373.03147140522873</v>
      </c>
    </row>
    <row r="50" spans="1:114" s="261" customFormat="1">
      <c r="A50" s="55" t="s">
        <v>17</v>
      </c>
      <c r="B50" s="55" t="s">
        <v>993</v>
      </c>
      <c r="C50" s="55" t="s">
        <v>8</v>
      </c>
      <c r="D50" s="55" t="s">
        <v>1292</v>
      </c>
      <c r="E50" s="55" t="str">
        <f>VLOOKUP(D50,'Input 14_Ref Table'!C:D,2,FALSE)</f>
        <v>CR828</v>
      </c>
      <c r="F50" s="172" t="s">
        <v>1287</v>
      </c>
      <c r="G50" s="55" t="str">
        <f>VLOOKUP(D50,'Input 14_Ref Table'!C:I,7,FALSE)</f>
        <v>CFG - FTS-3 - Fixed R</v>
      </c>
      <c r="H50" s="55" t="str">
        <f>VLOOKUP(D50,'Input 14_Ref Table'!C:K,8,FALSE)</f>
        <v>FTS3</v>
      </c>
      <c r="I50" s="55" t="e">
        <f>INDEX(#REF!,MATCH(D50,#REF!,0))</f>
        <v>#REF!</v>
      </c>
      <c r="J50" s="261" t="str">
        <f>INDEX('Master '!$AD$2:AD$65,MATCH(D50,'Master '!$D$2:$D$65,0))</f>
        <v>UPC Growth Rate</v>
      </c>
      <c r="K50" s="567">
        <f>INDEX('Master '!$N$2:N$65,MATCH(D50,'Master '!$D$2:$D$65,0))</f>
        <v>2.6784283829125063E-2</v>
      </c>
      <c r="L50" s="290">
        <f>INDEX('Master '!$S$2:S$65,MATCH(D50,'Master '!$D$2:$D$65,0))</f>
        <v>1.22672019627513E-3</v>
      </c>
      <c r="M50" s="1">
        <f>INDEX('Master '!$W$2:W$65,MATCH(D50,'Master '!$D$2:$D$65,0))</f>
        <v>3591.2</v>
      </c>
      <c r="N50" s="56">
        <f>IFERROR(INDEX('Monthly VOL'!$N$2:$CG$65,MATCH($D50,'Monthly VOL'!$D$2:$D$65,0),MATCH(N$1,'Monthly VOL'!$N$1:$CG$1,0))/INDEX('Monthly CUST'!$N$2:$CG$65,MATCH($D50,'Monthly CUST'!$D$2:$D$65,0),MATCH(N$1,'Monthly CUST'!$N$1:$CG$1,0)),0)</f>
        <v>0</v>
      </c>
      <c r="O50" s="56">
        <f>IFERROR(INDEX('Monthly VOL'!$N$2:$CG$65,MATCH($D50,'Monthly VOL'!$D$2:$D$65,0),MATCH(O$1,'Monthly VOL'!$N$1:$CG$1,0))/INDEX('Monthly CUST'!$N$2:$CG$65,MATCH($D50,'Monthly CUST'!$D$2:$D$65,0),MATCH(O$1,'Monthly CUST'!$N$1:$CG$1,0)),0)</f>
        <v>0</v>
      </c>
      <c r="P50" s="56">
        <f>IFERROR(INDEX('Monthly VOL'!$N$2:$CG$65,MATCH($D50,'Monthly VOL'!$D$2:$D$65,0),MATCH(P$1,'Monthly VOL'!$N$1:$CG$1,0))/INDEX('Monthly CUST'!$N$2:$CG$65,MATCH($D50,'Monthly CUST'!$D$2:$D$65,0),MATCH(P$1,'Monthly CUST'!$N$1:$CG$1,0)),0)</f>
        <v>0</v>
      </c>
      <c r="Q50" s="56">
        <f>IFERROR(INDEX('Monthly VOL'!$N$2:$CG$65,MATCH($D50,'Monthly VOL'!$D$2:$D$65,0),MATCH(Q$1,'Monthly VOL'!$N$1:$CG$1,0))/INDEX('Monthly CUST'!$N$2:$CG$65,MATCH($D50,'Monthly CUST'!$D$2:$D$65,0),MATCH(Q$1,'Monthly CUST'!$N$1:$CG$1,0)),0)</f>
        <v>0</v>
      </c>
      <c r="R50" s="56">
        <f>IFERROR(INDEX('Monthly VOL'!$N$2:$CG$65,MATCH($D50,'Monthly VOL'!$D$2:$D$65,0),MATCH(R$1,'Monthly VOL'!$N$1:$CG$1,0))/INDEX('Monthly CUST'!$N$2:$CG$65,MATCH($D50,'Monthly CUST'!$D$2:$D$65,0),MATCH(R$1,'Monthly CUST'!$N$1:$CG$1,0)),0)</f>
        <v>0</v>
      </c>
      <c r="S50" s="56">
        <f>IFERROR(INDEX('Monthly VOL'!$N$2:$CG$65,MATCH($D50,'Monthly VOL'!$D$2:$D$65,0),MATCH(S$1,'Monthly VOL'!$N$1:$CG$1,0))/INDEX('Monthly CUST'!$N$2:$CG$65,MATCH($D50,'Monthly CUST'!$D$2:$D$65,0),MATCH(S$1,'Monthly CUST'!$N$1:$CG$1,0)),0)</f>
        <v>0</v>
      </c>
      <c r="T50" s="56">
        <f>IFERROR(INDEX('Monthly VOL'!$N$2:$CG$65,MATCH($D50,'Monthly VOL'!$D$2:$D$65,0),MATCH(T$1,'Monthly VOL'!$N$1:$CG$1,0))/INDEX('Monthly CUST'!$N$2:$CG$65,MATCH($D50,'Monthly CUST'!$D$2:$D$65,0),MATCH(T$1,'Monthly CUST'!$N$1:$CG$1,0)),0)</f>
        <v>0</v>
      </c>
      <c r="U50" s="56">
        <f>IFERROR(INDEX('Monthly VOL'!$N$2:$CG$65,MATCH($D50,'Monthly VOL'!$D$2:$D$65,0),MATCH(U$1,'Monthly VOL'!$N$1:$CG$1,0))/INDEX('Monthly CUST'!$N$2:$CG$65,MATCH($D50,'Monthly CUST'!$D$2:$D$65,0),MATCH(U$1,'Monthly CUST'!$N$1:$CG$1,0)),0)</f>
        <v>0</v>
      </c>
      <c r="V50" s="56">
        <f>IFERROR(INDEX('Monthly VOL'!$N$2:$CG$65,MATCH($D50,'Monthly VOL'!$D$2:$D$65,0),MATCH(V$1,'Monthly VOL'!$N$1:$CG$1,0))/INDEX('Monthly CUST'!$N$2:$CG$65,MATCH($D50,'Monthly CUST'!$D$2:$D$65,0),MATCH(V$1,'Monthly CUST'!$N$1:$CG$1,0)),0)</f>
        <v>0</v>
      </c>
      <c r="W50" s="56">
        <f>IFERROR(INDEX('Monthly VOL'!$N$2:$CG$65,MATCH($D50,'Monthly VOL'!$D$2:$D$65,0),MATCH(W$1,'Monthly VOL'!$N$1:$CG$1,0))/INDEX('Monthly CUST'!$N$2:$CG$65,MATCH($D50,'Monthly CUST'!$D$2:$D$65,0),MATCH(W$1,'Monthly CUST'!$N$1:$CG$1,0)),0)</f>
        <v>0</v>
      </c>
      <c r="X50" s="56">
        <f>IFERROR(INDEX('Monthly VOL'!$N$2:$CG$65,MATCH($D50,'Monthly VOL'!$D$2:$D$65,0),MATCH(X$1,'Monthly VOL'!$N$1:$CG$1,0))/INDEX('Monthly CUST'!$N$2:$CG$65,MATCH($D50,'Monthly CUST'!$D$2:$D$65,0),MATCH(X$1,'Monthly CUST'!$N$1:$CG$1,0)),0)</f>
        <v>0</v>
      </c>
      <c r="Y50" s="56">
        <f>IFERROR(INDEX('Monthly VOL'!$N$2:$CG$65,MATCH($D50,'Monthly VOL'!$D$2:$D$65,0),MATCH(Y$1,'Monthly VOL'!$N$1:$CG$1,0))/INDEX('Monthly CUST'!$N$2:$CG$65,MATCH($D50,'Monthly CUST'!$D$2:$D$65,0),MATCH(Y$1,'Monthly CUST'!$N$1:$CG$1,0)),0)</f>
        <v>0</v>
      </c>
      <c r="Z50" s="56">
        <f>IFERROR(INDEX('Monthly VOL'!$N$2:$CG$65,MATCH($D50,'Monthly VOL'!$D$2:$D$65,0),MATCH(Z$1,'Monthly VOL'!$N$1:$CG$1,0))/INDEX('Monthly CUST'!$N$2:$CG$65,MATCH($D50,'Monthly CUST'!$D$2:$D$65,0),MATCH(Z$1,'Monthly CUST'!$N$1:$CG$1,0)),0)</f>
        <v>0</v>
      </c>
      <c r="AA50" s="56">
        <f>IFERROR(INDEX('Monthly VOL'!$N$2:$CG$65,MATCH($D50,'Monthly VOL'!$D$2:$D$65,0),MATCH(AA$1,'Monthly VOL'!$N$1:$CG$1,0))/INDEX('Monthly CUST'!$N$2:$CG$65,MATCH($D50,'Monthly CUST'!$D$2:$D$65,0),MATCH(AA$1,'Monthly CUST'!$N$1:$CG$1,0)),0)</f>
        <v>0</v>
      </c>
      <c r="AB50" s="56">
        <f>IFERROR(INDEX('Monthly VOL'!$N$2:$CG$65,MATCH($D50,'Monthly VOL'!$D$2:$D$65,0),MATCH(AB$1,'Monthly VOL'!$N$1:$CG$1,0))/INDEX('Monthly CUST'!$N$2:$CG$65,MATCH($D50,'Monthly CUST'!$D$2:$D$65,0),MATCH(AB$1,'Monthly CUST'!$N$1:$CG$1,0)),0)</f>
        <v>0</v>
      </c>
      <c r="AC50" s="56">
        <f>IFERROR(INDEX('Monthly VOL'!$N$2:$CG$65,MATCH($D50,'Monthly VOL'!$D$2:$D$65,0),MATCH(AC$1,'Monthly VOL'!$N$1:$CG$1,0))/INDEX('Monthly CUST'!$N$2:$CG$65,MATCH($D50,'Monthly CUST'!$D$2:$D$65,0),MATCH(AC$1,'Monthly CUST'!$N$1:$CG$1,0)),0)</f>
        <v>0</v>
      </c>
      <c r="AD50" s="56">
        <f>IFERROR(INDEX('Monthly VOL'!$N$2:$CG$65,MATCH($D50,'Monthly VOL'!$D$2:$D$65,0),MATCH(AD$1,'Monthly VOL'!$N$1:$CG$1,0))/INDEX('Monthly CUST'!$N$2:$CG$65,MATCH($D50,'Monthly CUST'!$D$2:$D$65,0),MATCH(AD$1,'Monthly CUST'!$N$1:$CG$1,0)),0)</f>
        <v>0</v>
      </c>
      <c r="AE50" s="56">
        <f>IFERROR(INDEX('Monthly VOL'!$N$2:$CG$65,MATCH($D50,'Monthly VOL'!$D$2:$D$65,0),MATCH(AE$1,'Monthly VOL'!$N$1:$CG$1,0))/INDEX('Monthly CUST'!$N$2:$CG$65,MATCH($D50,'Monthly CUST'!$D$2:$D$65,0),MATCH(AE$1,'Monthly CUST'!$N$1:$CG$1,0)),0)</f>
        <v>0</v>
      </c>
      <c r="AF50" s="56">
        <f>IFERROR(INDEX('Monthly VOL'!$N$2:$CG$65,MATCH($D50,'Monthly VOL'!$D$2:$D$65,0),MATCH(AF$1,'Monthly VOL'!$N$1:$CG$1,0))/INDEX('Monthly CUST'!$N$2:$CG$65,MATCH($D50,'Monthly CUST'!$D$2:$D$65,0),MATCH(AF$1,'Monthly CUST'!$N$1:$CG$1,0)),0)</f>
        <v>0</v>
      </c>
      <c r="AG50" s="56">
        <f>IFERROR(INDEX('Monthly VOL'!$N$2:$CG$65,MATCH($D50,'Monthly VOL'!$D$2:$D$65,0),MATCH(AG$1,'Monthly VOL'!$N$1:$CG$1,0))/INDEX('Monthly CUST'!$N$2:$CG$65,MATCH($D50,'Monthly CUST'!$D$2:$D$65,0),MATCH(AG$1,'Monthly CUST'!$N$1:$CG$1,0)),0)</f>
        <v>0</v>
      </c>
      <c r="AH50" s="56">
        <f>IFERROR(INDEX('Monthly VOL'!$N$2:$CG$65,MATCH($D50,'Monthly VOL'!$D$2:$D$65,0),MATCH(AH$1,'Monthly VOL'!$N$1:$CG$1,0))/INDEX('Monthly CUST'!$N$2:$CG$65,MATCH($D50,'Monthly CUST'!$D$2:$D$65,0),MATCH(AH$1,'Monthly CUST'!$N$1:$CG$1,0)),0)</f>
        <v>0</v>
      </c>
      <c r="AI50" s="56">
        <f>IFERROR(INDEX('Monthly VOL'!$N$2:$CG$65,MATCH($D50,'Monthly VOL'!$D$2:$D$65,0),MATCH(AI$1,'Monthly VOL'!$N$1:$CG$1,0))/INDEX('Monthly CUST'!$N$2:$CG$65,MATCH($D50,'Monthly CUST'!$D$2:$D$65,0),MATCH(AI$1,'Monthly CUST'!$N$1:$CG$1,0)),0)</f>
        <v>0</v>
      </c>
      <c r="AJ50" s="56">
        <f>IFERROR(INDEX('Monthly VOL'!$N$2:$CG$65,MATCH($D50,'Monthly VOL'!$D$2:$D$65,0),MATCH(AJ$1,'Monthly VOL'!$N$1:$CG$1,0))/INDEX('Monthly CUST'!$N$2:$CG$65,MATCH($D50,'Monthly CUST'!$D$2:$D$65,0),MATCH(AJ$1,'Monthly CUST'!$N$1:$CG$1,0)),0)</f>
        <v>0</v>
      </c>
      <c r="AK50" s="56">
        <f>IFERROR(INDEX('Monthly VOL'!$N$2:$CG$65,MATCH($D50,'Monthly VOL'!$D$2:$D$65,0),MATCH(AK$1,'Monthly VOL'!$N$1:$CG$1,0))/INDEX('Monthly CUST'!$N$2:$CG$65,MATCH($D50,'Monthly CUST'!$D$2:$D$65,0),MATCH(AK$1,'Monthly CUST'!$N$1:$CG$1,0)),0)</f>
        <v>0</v>
      </c>
      <c r="AL50" s="56">
        <f>IFERROR(INDEX('Monthly VOL'!$N$2:$CG$65,MATCH($D50,'Monthly VOL'!$D$2:$D$65,0),MATCH(AL$1,'Monthly VOL'!$N$1:$CG$1,0))/INDEX('Monthly CUST'!$N$2:$CG$65,MATCH($D50,'Monthly CUST'!$D$2:$D$65,0),MATCH(AL$1,'Monthly CUST'!$N$1:$CG$1,0)),0)</f>
        <v>0</v>
      </c>
      <c r="AM50" s="56">
        <f>IFERROR(INDEX('Monthly VOL'!$N$2:$CG$65,MATCH($D50,'Monthly VOL'!$D$2:$D$65,0),MATCH(AM$1,'Monthly VOL'!$N$1:$CG$1,0))/INDEX('Monthly CUST'!$N$2:$CG$65,MATCH($D50,'Monthly CUST'!$D$2:$D$65,0),MATCH(AM$1,'Monthly CUST'!$N$1:$CG$1,0)),0)</f>
        <v>0</v>
      </c>
      <c r="AN50" s="56">
        <f>IFERROR(INDEX('Monthly VOL'!$N$2:$CG$65,MATCH($D50,'Monthly VOL'!$D$2:$D$65,0),MATCH(AN$1,'Monthly VOL'!$N$1:$CG$1,0))/INDEX('Monthly CUST'!$N$2:$CG$65,MATCH($D50,'Monthly CUST'!$D$2:$D$65,0),MATCH(AN$1,'Monthly CUST'!$N$1:$CG$1,0)),0)</f>
        <v>0</v>
      </c>
      <c r="AO50" s="56">
        <f>IFERROR(INDEX('Monthly VOL'!$N$2:$CG$65,MATCH($D50,'Monthly VOL'!$D$2:$D$65,0),MATCH(AO$1,'Monthly VOL'!$N$1:$CG$1,0))/INDEX('Monthly CUST'!$N$2:$CG$65,MATCH($D50,'Monthly CUST'!$D$2:$D$65,0),MATCH(AO$1,'Monthly CUST'!$N$1:$CG$1,0)),0)</f>
        <v>0</v>
      </c>
      <c r="AP50" s="56">
        <f>IFERROR(INDEX('Monthly VOL'!$N$2:$CG$65,MATCH($D50,'Monthly VOL'!$D$2:$D$65,0),MATCH(AP$1,'Monthly VOL'!$N$1:$CG$1,0))/INDEX('Monthly CUST'!$N$2:$CG$65,MATCH($D50,'Monthly CUST'!$D$2:$D$65,0),MATCH(AP$1,'Monthly CUST'!$N$1:$CG$1,0)),0)</f>
        <v>0</v>
      </c>
      <c r="AQ50" s="56">
        <f>IFERROR(INDEX('Monthly VOL'!$N$2:$CG$65,MATCH($D50,'Monthly VOL'!$D$2:$D$65,0),MATCH(AQ$1,'Monthly VOL'!$N$1:$CG$1,0))/INDEX('Monthly CUST'!$N$2:$CG$65,MATCH($D50,'Monthly CUST'!$D$2:$D$65,0),MATCH(AQ$1,'Monthly CUST'!$N$1:$CG$1,0)),0)</f>
        <v>0</v>
      </c>
      <c r="AR50" s="56">
        <f>IFERROR(INDEX('Monthly VOL'!$N$2:$CG$65,MATCH($D50,'Monthly VOL'!$D$2:$D$65,0),MATCH(AR$1,'Monthly VOL'!$N$1:$CG$1,0))/INDEX('Monthly CUST'!$N$2:$CG$65,MATCH($D50,'Monthly CUST'!$D$2:$D$65,0),MATCH(AR$1,'Monthly CUST'!$N$1:$CG$1,0)),0)</f>
        <v>0</v>
      </c>
      <c r="AS50" s="56">
        <f>IFERROR(INDEX('Monthly VOL'!$N$2:$CG$65,MATCH($D50,'Monthly VOL'!$D$2:$D$65,0),MATCH(AS$1,'Monthly VOL'!$N$1:$CG$1,0))/INDEX('Monthly CUST'!$N$2:$CG$65,MATCH($D50,'Monthly CUST'!$D$2:$D$65,0),MATCH(AS$1,'Monthly CUST'!$N$1:$CG$1,0)),0)</f>
        <v>0</v>
      </c>
      <c r="AT50" s="56">
        <f>IFERROR(INDEX('Monthly VOL'!$N$2:$CG$65,MATCH($D50,'Monthly VOL'!$D$2:$D$65,0),MATCH(AT$1,'Monthly VOL'!$N$1:$CG$1,0))/INDEX('Monthly CUST'!$N$2:$CG$65,MATCH($D50,'Monthly CUST'!$D$2:$D$65,0),MATCH(AT$1,'Monthly CUST'!$N$1:$CG$1,0)),0)</f>
        <v>0</v>
      </c>
      <c r="AU50" s="56">
        <f>IFERROR(INDEX('Monthly VOL'!$N$2:$CG$65,MATCH($D50,'Monthly VOL'!$D$2:$D$65,0),MATCH(AU$1,'Monthly VOL'!$N$1:$CG$1,0))/INDEX('Monthly CUST'!$N$2:$CG$65,MATCH($D50,'Monthly CUST'!$D$2:$D$65,0),MATCH(AU$1,'Monthly CUST'!$N$1:$CG$1,0)),0)</f>
        <v>0</v>
      </c>
      <c r="AV50" s="56">
        <f>IFERROR(INDEX('Monthly VOL'!$N$2:$CG$65,MATCH($D50,'Monthly VOL'!$D$2:$D$65,0),MATCH(AV$1,'Monthly VOL'!$N$1:$CG$1,0))/INDEX('Monthly CUST'!$N$2:$CG$65,MATCH($D50,'Monthly CUST'!$D$2:$D$65,0),MATCH(AV$1,'Monthly CUST'!$N$1:$CG$1,0)),0)</f>
        <v>0</v>
      </c>
      <c r="AW50" s="56">
        <f>IFERROR(INDEX('Monthly VOL'!$N$2:$CG$65,MATCH($D50,'Monthly VOL'!$D$2:$D$65,0),MATCH(AW$1,'Monthly VOL'!$N$1:$CG$1,0))/INDEX('Monthly CUST'!$N$2:$CG$65,MATCH($D50,'Monthly CUST'!$D$2:$D$65,0),MATCH(AW$1,'Monthly CUST'!$N$1:$CG$1,0)),0)</f>
        <v>0</v>
      </c>
      <c r="AX50" s="56">
        <f>IFERROR(INDEX('Monthly VOL'!$N$2:$CG$65,MATCH($D50,'Monthly VOL'!$D$2:$D$65,0),MATCH(AX$1,'Monthly VOL'!$N$1:$CG$1,0))/INDEX('Monthly CUST'!$N$2:$CG$65,MATCH($D50,'Monthly CUST'!$D$2:$D$65,0),MATCH(AX$1,'Monthly CUST'!$N$1:$CG$1,0)),0)</f>
        <v>0</v>
      </c>
      <c r="AY50" s="56">
        <f>IFERROR(INDEX('Monthly VOL'!$N$2:$CG$65,MATCH($D50,'Monthly VOL'!$D$2:$D$65,0),MATCH(AY$1,'Monthly VOL'!$N$1:$CG$1,0))/INDEX('Monthly CUST'!$N$2:$CG$65,MATCH($D50,'Monthly CUST'!$D$2:$D$65,0),MATCH(AY$1,'Monthly CUST'!$N$1:$CG$1,0)),0)</f>
        <v>0</v>
      </c>
      <c r="AZ50" s="56">
        <f>IFERROR(INDEX('Monthly VOL'!$N$2:$CG$65,MATCH($D50,'Monthly VOL'!$D$2:$D$65,0),MATCH(AZ$1,'Monthly VOL'!$N$1:$CG$1,0))/INDEX('Monthly CUST'!$N$2:$CG$65,MATCH($D50,'Monthly CUST'!$D$2:$D$65,0),MATCH(AZ$1,'Monthly CUST'!$N$1:$CG$1,0)),0)</f>
        <v>0</v>
      </c>
      <c r="BA50" s="56">
        <f>IFERROR(INDEX('Monthly VOL'!$N$2:$CG$65,MATCH($D50,'Monthly VOL'!$D$2:$D$65,0),MATCH(BA$1,'Monthly VOL'!$N$1:$CG$1,0))/INDEX('Monthly CUST'!$N$2:$CG$65,MATCH($D50,'Monthly CUST'!$D$2:$D$65,0),MATCH(BA$1,'Monthly CUST'!$N$1:$CG$1,0)),0)</f>
        <v>0</v>
      </c>
      <c r="BB50" s="56">
        <f>IFERROR(INDEX('Monthly VOL'!$N$2:$CG$65,MATCH($D50,'Monthly VOL'!$D$2:$D$65,0),MATCH(BB$1,'Monthly VOL'!$N$1:$CG$1,0))/INDEX('Monthly CUST'!$N$2:$CG$65,MATCH($D50,'Monthly CUST'!$D$2:$D$65,0),MATCH(BB$1,'Monthly CUST'!$N$1:$CG$1,0)),0)</f>
        <v>0</v>
      </c>
      <c r="BC50" s="56">
        <f>IFERROR(INDEX('Monthly VOL'!$N$2:$CG$65,MATCH($D50,'Monthly VOL'!$D$2:$D$65,0),MATCH(BC$1,'Monthly VOL'!$N$1:$CG$1,0))/INDEX('Monthly CUST'!$N$2:$CG$65,MATCH($D50,'Monthly CUST'!$D$2:$D$65,0),MATCH(BC$1,'Monthly CUST'!$N$1:$CG$1,0)),0)</f>
        <v>0</v>
      </c>
      <c r="BD50" s="56">
        <f>IFERROR(INDEX('Monthly VOL'!$N$2:$CG$65,MATCH($D50,'Monthly VOL'!$D$2:$D$65,0),MATCH(BD$1,'Monthly VOL'!$N$1:$CG$1,0))/INDEX('Monthly CUST'!$N$2:$CG$65,MATCH($D50,'Monthly CUST'!$D$2:$D$65,0),MATCH(BD$1,'Monthly CUST'!$N$1:$CG$1,0)),0)</f>
        <v>0</v>
      </c>
      <c r="BE50" s="56">
        <f>IFERROR(INDEX('Monthly VOL'!$N$2:$CG$65,MATCH($D50,'Monthly VOL'!$D$2:$D$65,0),MATCH(BE$1,'Monthly VOL'!$N$1:$CG$1,0))/INDEX('Monthly CUST'!$N$2:$CG$65,MATCH($D50,'Monthly CUST'!$D$2:$D$65,0),MATCH(BE$1,'Monthly CUST'!$N$1:$CG$1,0)),0)</f>
        <v>0</v>
      </c>
      <c r="BF50" s="56">
        <f>IFERROR(INDEX('Monthly VOL'!$N$2:$CG$65,MATCH($D50,'Monthly VOL'!$D$2:$D$65,0),MATCH(BF$1,'Monthly VOL'!$N$1:$CG$1,0))/INDEX('Monthly CUST'!$N$2:$CG$65,MATCH($D50,'Monthly CUST'!$D$2:$D$65,0),MATCH(BF$1,'Monthly CUST'!$N$1:$CG$1,0)),0)</f>
        <v>0</v>
      </c>
      <c r="BG50" s="56">
        <f>IFERROR(INDEX('Monthly VOL'!$N$2:$CG$65,MATCH($D50,'Monthly VOL'!$D$2:$D$65,0),MATCH(BG$1,'Monthly VOL'!$N$1:$CG$1,0))/INDEX('Monthly CUST'!$N$2:$CG$65,MATCH($D50,'Monthly CUST'!$D$2:$D$65,0),MATCH(BG$1,'Monthly CUST'!$N$1:$CG$1,0)),0)</f>
        <v>0</v>
      </c>
      <c r="BH50" s="56">
        <f>IFERROR(INDEX('Monthly VOL'!$N$2:$CG$65,MATCH($D50,'Monthly VOL'!$D$2:$D$65,0),MATCH(BH$1,'Monthly VOL'!$N$1:$CG$1,0))/INDEX('Monthly CUST'!$N$2:$CG$65,MATCH($D50,'Monthly CUST'!$D$2:$D$65,0),MATCH(BH$1,'Monthly CUST'!$N$1:$CG$1,0)),0)</f>
        <v>0</v>
      </c>
      <c r="BI50" s="56">
        <f>IFERROR(INDEX('Monthly VOL'!$N$2:$CG$65,MATCH($D50,'Monthly VOL'!$D$2:$D$65,0),MATCH(BI$1,'Monthly VOL'!$N$1:$CG$1,0))/INDEX('Monthly CUST'!$N$2:$CG$65,MATCH($D50,'Monthly CUST'!$D$2:$D$65,0),MATCH(BI$1,'Monthly CUST'!$N$1:$CG$1,0)),0)</f>
        <v>0</v>
      </c>
      <c r="BJ50" s="56">
        <f>IFERROR(INDEX('Monthly VOL'!$N$2:$CG$65,MATCH($D50,'Monthly VOL'!$D$2:$D$65,0),MATCH(BJ$1,'Monthly VOL'!$N$1:$CG$1,0))/INDEX('Monthly CUST'!$N$2:$CG$65,MATCH($D50,'Monthly CUST'!$D$2:$D$65,0),MATCH(BJ$1,'Monthly CUST'!$N$1:$CG$1,0)),0)</f>
        <v>0</v>
      </c>
      <c r="BK50" s="56">
        <f>IFERROR(INDEX('Monthly VOL'!$N$2:$CG$65,MATCH($D50,'Monthly VOL'!$D$2:$D$65,0),MATCH(BK$1,'Monthly VOL'!$N$1:$CG$1,0))/INDEX('Monthly CUST'!$N$2:$CG$65,MATCH($D50,'Monthly CUST'!$D$2:$D$65,0),MATCH(BK$1,'Monthly CUST'!$N$1:$CG$1,0)),0)</f>
        <v>0</v>
      </c>
      <c r="BL50" s="56">
        <f>IFERROR(INDEX('Monthly VOL'!$N$2:$CG$65,MATCH($D50,'Monthly VOL'!$D$2:$D$65,0),MATCH(BL$1,'Monthly VOL'!$N$1:$CG$1,0))/INDEX('Monthly CUST'!$N$2:$CG$65,MATCH($D50,'Monthly CUST'!$D$2:$D$65,0),MATCH(BL$1,'Monthly CUST'!$N$1:$CG$1,0)),0)</f>
        <v>0</v>
      </c>
      <c r="BM50" s="56">
        <f>IFERROR(INDEX('Monthly VOL'!$N$2:$CG$65,MATCH($D50,'Monthly VOL'!$D$2:$D$65,0),MATCH(BM$1,'Monthly VOL'!$N$1:$CG$1,0))/INDEX('Monthly CUST'!$N$2:$CG$65,MATCH($D50,'Monthly CUST'!$D$2:$D$65,0),MATCH(BM$1,'Monthly CUST'!$N$1:$CG$1,0)),0)</f>
        <v>0</v>
      </c>
      <c r="BN50" s="56">
        <f>IFERROR(INDEX('Monthly VOL'!$N$2:$CG$65,MATCH($D50,'Monthly VOL'!$D$2:$D$65,0),MATCH(BN$1,'Monthly VOL'!$N$1:$CG$1,0))/INDEX('Monthly CUST'!$N$2:$CG$65,MATCH($D50,'Monthly CUST'!$D$2:$D$65,0),MATCH(BN$1,'Monthly CUST'!$N$1:$CG$1,0)),0)</f>
        <v>0</v>
      </c>
      <c r="BO50" s="56">
        <f>IFERROR(INDEX('Monthly VOL'!$N$2:$CG$65,MATCH($D50,'Monthly VOL'!$D$2:$D$65,0),MATCH(BO$1,'Monthly VOL'!$N$1:$CG$1,0))/INDEX('Monthly CUST'!$N$2:$CG$65,MATCH($D50,'Monthly CUST'!$D$2:$D$65,0),MATCH(BO$1,'Monthly CUST'!$N$1:$CG$1,0)),0)</f>
        <v>0</v>
      </c>
      <c r="BP50" s="56">
        <f>IFERROR(INDEX('Monthly VOL'!$N$2:$CG$65,MATCH($D50,'Monthly VOL'!$D$2:$D$65,0),MATCH(BP$1,'Monthly VOL'!$N$1:$CG$1,0))/INDEX('Monthly CUST'!$N$2:$CG$65,MATCH($D50,'Monthly CUST'!$D$2:$D$65,0),MATCH(BP$1,'Monthly CUST'!$N$1:$CG$1,0)),0)</f>
        <v>0</v>
      </c>
      <c r="BQ50" s="56">
        <f>IFERROR(INDEX('Monthly VOL'!$N$2:$CG$65,MATCH($D50,'Monthly VOL'!$D$2:$D$65,0),MATCH(BQ$1,'Monthly VOL'!$N$1:$CG$1,0))/INDEX('Monthly CUST'!$N$2:$CG$65,MATCH($D50,'Monthly CUST'!$D$2:$D$65,0),MATCH(BQ$1,'Monthly CUST'!$N$1:$CG$1,0)),0)</f>
        <v>0</v>
      </c>
      <c r="BR50" s="56">
        <f>IFERROR(INDEX('Monthly VOL'!$N$2:$CG$65,MATCH($D50,'Monthly VOL'!$D$2:$D$65,0),MATCH(BR$1,'Monthly VOL'!$N$1:$CG$1,0))/INDEX('Monthly CUST'!$N$2:$CG$65,MATCH($D50,'Monthly CUST'!$D$2:$D$65,0),MATCH(BR$1,'Monthly CUST'!$N$1:$CG$1,0)),0)</f>
        <v>0</v>
      </c>
      <c r="BS50" s="56">
        <f>IFERROR(INDEX('Monthly VOL'!$N$2:$CG$65,MATCH($D50,'Monthly VOL'!$D$2:$D$65,0),MATCH(BS$1,'Monthly VOL'!$N$1:$CG$1,0))/INDEX('Monthly CUST'!$N$2:$CG$65,MATCH($D50,'Monthly CUST'!$D$2:$D$65,0),MATCH(BS$1,'Monthly CUST'!$N$1:$CG$1,0)),0)</f>
        <v>0</v>
      </c>
      <c r="BT50" s="56">
        <f>IFERROR(INDEX('Monthly VOL'!$N$2:$CG$65,MATCH($D50,'Monthly VOL'!$D$2:$D$65,0),MATCH(BT$1,'Monthly VOL'!$N$1:$CG$1,0))/INDEX('Monthly CUST'!$N$2:$CG$65,MATCH($D50,'Monthly CUST'!$D$2:$D$65,0),MATCH(BT$1,'Monthly CUST'!$N$1:$CG$1,0)),0)</f>
        <v>0</v>
      </c>
      <c r="BU50" s="56">
        <f>IFERROR(INDEX('Monthly VOL'!$N$2:$CG$65,MATCH($D50,'Monthly VOL'!$D$2:$D$65,0),MATCH(BU$1,'Monthly VOL'!$N$1:$CG$1,0))/INDEX('Monthly CUST'!$N$2:$CG$65,MATCH($D50,'Monthly CUST'!$D$2:$D$65,0),MATCH(BU$1,'Monthly CUST'!$N$1:$CG$1,0)),0)</f>
        <v>0</v>
      </c>
      <c r="BV50" s="56">
        <f>IFERROR(INDEX('Monthly VOL'!$N$2:$CG$65,MATCH($D50,'Monthly VOL'!$D$2:$D$65,0),MATCH(BV$1,'Monthly VOL'!$N$1:$CG$1,0))/INDEX('Monthly CUST'!$N$2:$CG$65,MATCH($D50,'Monthly CUST'!$D$2:$D$65,0),MATCH(BV$1,'Monthly CUST'!$N$1:$CG$1,0)),0)</f>
        <v>0</v>
      </c>
      <c r="BW50" s="56">
        <f>IFERROR(INDEX('Monthly VOL'!$N$2:$CG$65,MATCH($D50,'Monthly VOL'!$D$2:$D$65,0),MATCH(BW$1,'Monthly VOL'!$N$1:$CG$1,0))/INDEX('Monthly CUST'!$N$2:$CG$65,MATCH($D50,'Monthly CUST'!$D$2:$D$65,0),MATCH(BW$1,'Monthly CUST'!$N$1:$CG$1,0)),0)</f>
        <v>0</v>
      </c>
      <c r="BX50" s="56">
        <f>IFERROR(INDEX('Monthly VOL'!$N$2:$CG$65,MATCH($D50,'Monthly VOL'!$D$2:$D$65,0),MATCH(BX$1,'Monthly VOL'!$N$1:$CG$1,0))/INDEX('Monthly CUST'!$N$2:$CG$65,MATCH($D50,'Monthly CUST'!$D$2:$D$65,0),MATCH(BX$1,'Monthly CUST'!$N$1:$CG$1,0)),0)</f>
        <v>0</v>
      </c>
      <c r="BY50" s="56">
        <f>IFERROR(INDEX('Monthly VOL'!$N$2:$CG$65,MATCH($D50,'Monthly VOL'!$D$2:$D$65,0),MATCH(BY$1,'Monthly VOL'!$N$1:$CG$1,0))/INDEX('Monthly CUST'!$N$2:$CG$65,MATCH($D50,'Monthly CUST'!$D$2:$D$65,0),MATCH(BY$1,'Monthly CUST'!$N$1:$CG$1,0)),0)</f>
        <v>0</v>
      </c>
      <c r="BZ50" s="56">
        <f>IFERROR(INDEX('Monthly VOL'!$N$2:$CG$65,MATCH($D50,'Monthly VOL'!$D$2:$D$65,0),MATCH(BZ$1,'Monthly VOL'!$N$1:$CG$1,0))/INDEX('Monthly CUST'!$N$2:$CG$65,MATCH($D50,'Monthly CUST'!$D$2:$D$65,0),MATCH(BZ$1,'Monthly CUST'!$N$1:$CG$1,0)),0)</f>
        <v>0</v>
      </c>
      <c r="CA50" s="56">
        <f>IFERROR(INDEX('Monthly VOL'!$N$2:$CG$65,MATCH($D50,'Monthly VOL'!$D$2:$D$65,0),MATCH(CA$1,'Monthly VOL'!$N$1:$CG$1,0))/INDEX('Monthly CUST'!$N$2:$CG$65,MATCH($D50,'Monthly CUST'!$D$2:$D$65,0),MATCH(CA$1,'Monthly CUST'!$N$1:$CG$1,0)),0)</f>
        <v>0</v>
      </c>
      <c r="CB50" s="56">
        <f>IFERROR(INDEX('Monthly VOL'!$N$2:$CG$65,MATCH($D50,'Monthly VOL'!$D$2:$D$65,0),MATCH(CB$1,'Monthly VOL'!$N$1:$CG$1,0))/INDEX('Monthly CUST'!$N$2:$CG$65,MATCH($D50,'Monthly CUST'!$D$2:$D$65,0),MATCH(CB$1,'Monthly CUST'!$N$1:$CG$1,0)),0)</f>
        <v>0</v>
      </c>
      <c r="CC50" s="56">
        <f>IFERROR(INDEX('Monthly VOL'!$N$2:$CG$65,MATCH($D50,'Monthly VOL'!$D$2:$D$65,0),MATCH(CC$1,'Monthly VOL'!$N$1:$CG$1,0))/INDEX('Monthly CUST'!$N$2:$CG$65,MATCH($D50,'Monthly CUST'!$D$2:$D$65,0),MATCH(CC$1,'Monthly CUST'!$N$1:$CG$1,0)),0)</f>
        <v>0</v>
      </c>
      <c r="CD50" s="56">
        <f>IFERROR(INDEX('Monthly VOL'!$N$2:$CG$65,MATCH($D50,'Monthly VOL'!$D$2:$D$65,0),MATCH(CD$1,'Monthly VOL'!$N$1:$CG$1,0))/INDEX('Monthly CUST'!$N$2:$CG$65,MATCH($D50,'Monthly CUST'!$D$2:$D$65,0),MATCH(CD$1,'Monthly CUST'!$N$1:$CG$1,0)),0)</f>
        <v>0</v>
      </c>
      <c r="CE50" s="56">
        <f>IFERROR(INDEX('Monthly VOL'!$N$2:$CG$65,MATCH($D50,'Monthly VOL'!$D$2:$D$65,0),MATCH(CE$1,'Monthly VOL'!$N$1:$CG$1,0))/INDEX('Monthly CUST'!$N$2:$CG$65,MATCH($D50,'Monthly CUST'!$D$2:$D$65,0),MATCH(CE$1,'Monthly CUST'!$N$1:$CG$1,0)),0)</f>
        <v>0</v>
      </c>
      <c r="CF50" s="56">
        <f>IFERROR(INDEX('Monthly VOL'!$N$2:$CG$65,MATCH($D50,'Monthly VOL'!$D$2:$D$65,0),MATCH(CF$1,'Monthly VOL'!$N$1:$CG$1,0))/INDEX('Monthly CUST'!$N$2:$CG$65,MATCH($D50,'Monthly CUST'!$D$2:$D$65,0),MATCH(CF$1,'Monthly CUST'!$N$1:$CG$1,0)),0)</f>
        <v>0</v>
      </c>
      <c r="CG50" s="56">
        <f>IFERROR(INDEX('Monthly VOL'!$N$2:$CG$65,MATCH($D50,'Monthly VOL'!$D$2:$D$65,0),MATCH(CG$1,'Monthly VOL'!$N$1:$CG$1,0))/INDEX('Monthly CUST'!$N$2:$CG$65,MATCH($D50,'Monthly CUST'!$D$2:$D$65,0),MATCH(CG$1,'Monthly CUST'!$N$1:$CG$1,0)),0)</f>
        <v>0</v>
      </c>
      <c r="CH50" s="264"/>
      <c r="CI50" s="264"/>
      <c r="CJ50" s="264"/>
      <c r="CM50" s="569">
        <f t="shared" si="24"/>
        <v>0</v>
      </c>
      <c r="CN50" s="569">
        <f t="shared" si="25"/>
        <v>0</v>
      </c>
      <c r="CO50" s="569">
        <f t="shared" si="26"/>
        <v>0</v>
      </c>
      <c r="CP50" s="569">
        <f t="shared" si="27"/>
        <v>0</v>
      </c>
      <c r="CQ50" s="569">
        <f t="shared" si="28"/>
        <v>0</v>
      </c>
      <c r="CR50" s="569">
        <f t="shared" si="29"/>
        <v>0</v>
      </c>
      <c r="CS50" s="569">
        <f t="shared" si="30"/>
        <v>0</v>
      </c>
      <c r="CT50" s="569">
        <f t="shared" si="31"/>
        <v>0</v>
      </c>
      <c r="CU50" s="569">
        <f t="shared" si="32"/>
        <v>0</v>
      </c>
      <c r="CV50" s="569">
        <f t="shared" si="33"/>
        <v>0</v>
      </c>
      <c r="CW50" s="569">
        <f t="shared" si="34"/>
        <v>0</v>
      </c>
      <c r="CX50" s="569">
        <f t="shared" si="35"/>
        <v>0</v>
      </c>
      <c r="CY50" s="569">
        <f t="shared" si="36"/>
        <v>0</v>
      </c>
      <c r="CZ50" s="569">
        <f t="shared" si="37"/>
        <v>0</v>
      </c>
      <c r="DA50" s="569">
        <f t="shared" si="38"/>
        <v>0</v>
      </c>
      <c r="DB50" s="569">
        <f t="shared" si="39"/>
        <v>0</v>
      </c>
      <c r="DC50" s="569">
        <f t="shared" si="40"/>
        <v>0</v>
      </c>
      <c r="DD50" s="569">
        <f t="shared" si="41"/>
        <v>0</v>
      </c>
      <c r="DE50" s="569">
        <f t="shared" si="42"/>
        <v>0</v>
      </c>
      <c r="DF50" s="569">
        <f t="shared" si="43"/>
        <v>0</v>
      </c>
      <c r="DG50" s="569">
        <f t="shared" si="44"/>
        <v>0</v>
      </c>
      <c r="DH50" s="569">
        <f t="shared" si="45"/>
        <v>0</v>
      </c>
      <c r="DI50" s="569">
        <f t="shared" si="46"/>
        <v>0</v>
      </c>
      <c r="DJ50" s="569">
        <f t="shared" si="47"/>
        <v>0</v>
      </c>
    </row>
    <row r="51" spans="1:114" s="261" customFormat="1">
      <c r="A51" s="55" t="s">
        <v>17</v>
      </c>
      <c r="B51" s="55" t="s">
        <v>993</v>
      </c>
      <c r="C51" s="55" t="s">
        <v>1245</v>
      </c>
      <c r="D51" s="55" t="s">
        <v>1299</v>
      </c>
      <c r="E51" s="55" t="str">
        <f>VLOOKUP(D51,'Input 14_Ref Table'!C:D,2,FALSE)</f>
        <v>CC245</v>
      </c>
      <c r="F51" s="172" t="s">
        <v>1286</v>
      </c>
      <c r="G51" s="55" t="str">
        <f>VLOOKUP(D51,'Input 14_Ref Table'!C:I,7,FALSE)</f>
        <v>CFG - FTS-3 NR</v>
      </c>
      <c r="H51" s="55" t="str">
        <f>VLOOKUP(D51,'Input 14_Ref Table'!C:K,8,FALSE)</f>
        <v>FTS3</v>
      </c>
      <c r="I51" s="55" t="e">
        <f>INDEX(#REF!,MATCH(D51,#REF!,0))</f>
        <v>#REF!</v>
      </c>
      <c r="J51" s="261" t="str">
        <f>INDEX('Master '!$AD$2:AD$65,MATCH(D51,'Master '!$D$2:$D$65,0))</f>
        <v>UPC Growth Rate</v>
      </c>
      <c r="K51" s="567">
        <f>INDEX('Master '!$N$2:N$65,MATCH(D51,'Master '!$D$2:$D$65,0))</f>
        <v>2.6784283829125063E-2</v>
      </c>
      <c r="L51" s="290">
        <f>INDEX('Master '!$S$2:S$65,MATCH(D51,'Master '!$D$2:$D$65,0))</f>
        <v>1.22672019627513E-3</v>
      </c>
      <c r="M51" s="1">
        <f>INDEX('Master '!$W$2:W$65,MATCH(D51,'Master '!$D$2:$D$65,0))</f>
        <v>3591.2</v>
      </c>
      <c r="N51" s="56">
        <f>IFERROR(INDEX('Monthly VOL'!$N$2:$CG$65,MATCH($D51,'Monthly VOL'!$D$2:$D$65,0),MATCH(N$1,'Monthly VOL'!$N$1:$CG$1,0))/INDEX('Monthly CUST'!$N$2:$CG$65,MATCH($D51,'Monthly CUST'!$D$2:$D$65,0),MATCH(N$1,'Monthly CUST'!$N$1:$CG$1,0)),0)</f>
        <v>403.5785365853659</v>
      </c>
      <c r="O51" s="56">
        <f>IFERROR(INDEX('Monthly VOL'!$N$2:$CG$65,MATCH($D51,'Monthly VOL'!$D$2:$D$65,0),MATCH(O$1,'Monthly VOL'!$N$1:$CG$1,0))/INDEX('Monthly CUST'!$N$2:$CG$65,MATCH($D51,'Monthly CUST'!$D$2:$D$65,0),MATCH(O$1,'Monthly CUST'!$N$1:$CG$1,0)),0)</f>
        <v>365.65194331983804</v>
      </c>
      <c r="P51" s="56">
        <f>IFERROR(INDEX('Monthly VOL'!$N$2:$CG$65,MATCH($D51,'Monthly VOL'!$D$2:$D$65,0),MATCH(P$1,'Monthly VOL'!$N$1:$CG$1,0))/INDEX('Monthly CUST'!$N$2:$CG$65,MATCH($D51,'Monthly CUST'!$D$2:$D$65,0),MATCH(P$1,'Monthly CUST'!$N$1:$CG$1,0)),0)</f>
        <v>365.28915662650604</v>
      </c>
      <c r="Q51" s="56">
        <f>IFERROR(INDEX('Monthly VOL'!$N$2:$CG$65,MATCH($D51,'Monthly VOL'!$D$2:$D$65,0),MATCH(Q$1,'Monthly VOL'!$N$1:$CG$1,0))/INDEX('Monthly CUST'!$N$2:$CG$65,MATCH($D51,'Monthly CUST'!$D$2:$D$65,0),MATCH(Q$1,'Monthly CUST'!$N$1:$CG$1,0)),0)</f>
        <v>349.2239607843137</v>
      </c>
      <c r="R51" s="56">
        <f>IFERROR(INDEX('Monthly VOL'!$N$2:$CG$65,MATCH($D51,'Monthly VOL'!$D$2:$D$65,0),MATCH(R$1,'Monthly VOL'!$N$1:$CG$1,0))/INDEX('Monthly CUST'!$N$2:$CG$65,MATCH($D51,'Monthly CUST'!$D$2:$D$65,0),MATCH(R$1,'Monthly CUST'!$N$1:$CG$1,0)),0)</f>
        <v>316.63015564202294</v>
      </c>
      <c r="S51" s="56">
        <f>IFERROR(INDEX('Monthly VOL'!$N$2:$CG$65,MATCH($D51,'Monthly VOL'!$D$2:$D$65,0),MATCH(S$1,'Monthly VOL'!$N$1:$CG$1,0))/INDEX('Monthly CUST'!$N$2:$CG$65,MATCH($D51,'Monthly CUST'!$D$2:$D$65,0),MATCH(S$1,'Monthly CUST'!$N$1:$CG$1,0)),0)</f>
        <v>310.74649805447473</v>
      </c>
      <c r="T51" s="56">
        <f>IFERROR(INDEX('Monthly VOL'!$N$2:$CG$65,MATCH($D51,'Monthly VOL'!$D$2:$D$65,0),MATCH(T$1,'Monthly VOL'!$N$1:$CG$1,0))/INDEX('Monthly CUST'!$N$2:$CG$65,MATCH($D51,'Monthly CUST'!$D$2:$D$65,0),MATCH(T$1,'Monthly CUST'!$N$1:$CG$1,0)),0)</f>
        <v>278.64960629921262</v>
      </c>
      <c r="U51" s="56">
        <f>IFERROR(INDEX('Monthly VOL'!$N$2:$CG$65,MATCH($D51,'Monthly VOL'!$D$2:$D$65,0),MATCH(U$1,'Monthly VOL'!$N$1:$CG$1,0))/INDEX('Monthly CUST'!$N$2:$CG$65,MATCH($D51,'Monthly CUST'!$D$2:$D$65,0),MATCH(U$1,'Monthly CUST'!$N$1:$CG$1,0)),0)</f>
        <v>293.24857707509881</v>
      </c>
      <c r="V51" s="56">
        <f>IFERROR(INDEX('Monthly VOL'!$N$2:$CG$65,MATCH($D51,'Monthly VOL'!$D$2:$D$65,0),MATCH(V$1,'Monthly VOL'!$N$1:$CG$1,0))/INDEX('Monthly CUST'!$N$2:$CG$65,MATCH($D51,'Monthly CUST'!$D$2:$D$65,0),MATCH(V$1,'Monthly CUST'!$N$1:$CG$1,0)),0)</f>
        <v>316.15042635658955</v>
      </c>
      <c r="W51" s="56">
        <f>IFERROR(INDEX('Monthly VOL'!$N$2:$CG$65,MATCH($D51,'Monthly VOL'!$D$2:$D$65,0),MATCH(W$1,'Monthly VOL'!$N$1:$CG$1,0))/INDEX('Monthly CUST'!$N$2:$CG$65,MATCH($D51,'Monthly CUST'!$D$2:$D$65,0),MATCH(W$1,'Monthly CUST'!$N$1:$CG$1,0)),0)</f>
        <v>286.89290076335919</v>
      </c>
      <c r="X51" s="56">
        <f>IFERROR(INDEX('Monthly VOL'!$N$2:$CG$65,MATCH($D51,'Monthly VOL'!$D$2:$D$65,0),MATCH(X$1,'Monthly VOL'!$N$1:$CG$1,0))/INDEX('Monthly CUST'!$N$2:$CG$65,MATCH($D51,'Monthly CUST'!$D$2:$D$65,0),MATCH(X$1,'Monthly CUST'!$N$1:$CG$1,0)),0)</f>
        <v>340.62822641509433</v>
      </c>
      <c r="Y51" s="56">
        <f>IFERROR(INDEX('Monthly VOL'!$N$2:$CG$65,MATCH($D51,'Monthly VOL'!$D$2:$D$65,0),MATCH(Y$1,'Monthly VOL'!$N$1:$CG$1,0))/INDEX('Monthly CUST'!$N$2:$CG$65,MATCH($D51,'Monthly CUST'!$D$2:$D$65,0),MATCH(Y$1,'Monthly CUST'!$N$1:$CG$1,0)),0)</f>
        <v>315.93325342465749</v>
      </c>
      <c r="Z51" s="56">
        <f>IFERROR(INDEX('Monthly VOL'!$N$2:$CG$65,MATCH($D51,'Monthly VOL'!$D$2:$D$65,0),MATCH(Z$1,'Monthly VOL'!$N$1:$CG$1,0))/INDEX('Monthly CUST'!$N$2:$CG$65,MATCH($D51,'Monthly CUST'!$D$2:$D$65,0),MATCH(Z$1,'Monthly CUST'!$N$1:$CG$1,0)),0)</f>
        <v>348.38984905660413</v>
      </c>
      <c r="AA51" s="56">
        <f>IFERROR(INDEX('Monthly VOL'!$N$2:$CG$65,MATCH($D51,'Monthly VOL'!$D$2:$D$65,0),MATCH(AA$1,'Monthly VOL'!$N$1:$CG$1,0))/INDEX('Monthly CUST'!$N$2:$CG$65,MATCH($D51,'Monthly CUST'!$D$2:$D$65,0),MATCH(AA$1,'Monthly CUST'!$N$1:$CG$1,0)),0)</f>
        <v>357.35003745318386</v>
      </c>
      <c r="AB51" s="56">
        <f>IFERROR(INDEX('Monthly VOL'!$N$2:$CG$65,MATCH($D51,'Monthly VOL'!$D$2:$D$65,0),MATCH(AB$1,'Monthly VOL'!$N$1:$CG$1,0))/INDEX('Monthly CUST'!$N$2:$CG$65,MATCH($D51,'Monthly CUST'!$D$2:$D$65,0),MATCH(AB$1,'Monthly CUST'!$N$1:$CG$1,0)),0)</f>
        <v>322.82249999999999</v>
      </c>
      <c r="AC51" s="56">
        <f>IFERROR(INDEX('Monthly VOL'!$N$2:$CG$65,MATCH($D51,'Monthly VOL'!$D$2:$D$65,0),MATCH(AC$1,'Monthly VOL'!$N$1:$CG$1,0))/INDEX('Monthly CUST'!$N$2:$CG$65,MATCH($D51,'Monthly CUST'!$D$2:$D$65,0),MATCH(AC$1,'Monthly CUST'!$N$1:$CG$1,0)),0)</f>
        <v>336.84713235294117</v>
      </c>
      <c r="AD51" s="56">
        <f>IFERROR(INDEX('Monthly VOL'!$N$2:$CG$65,MATCH($D51,'Monthly VOL'!$D$2:$D$65,0),MATCH(AD$1,'Monthly VOL'!$N$1:$CG$1,0))/INDEX('Monthly CUST'!$N$2:$CG$65,MATCH($D51,'Monthly CUST'!$D$2:$D$65,0),MATCH(AD$1,'Monthly CUST'!$N$1:$CG$1,0)),0)</f>
        <v>324.6315671641791</v>
      </c>
      <c r="AE51" s="56">
        <f>IFERROR(INDEX('Monthly VOL'!$N$2:$CG$65,MATCH($D51,'Monthly VOL'!$D$2:$D$65,0),MATCH(AE$1,'Monthly VOL'!$N$1:$CG$1,0))/INDEX('Monthly CUST'!$N$2:$CG$65,MATCH($D51,'Monthly CUST'!$D$2:$D$65,0),MATCH(AE$1,'Monthly CUST'!$N$1:$CG$1,0)),0)</f>
        <v>302.51811111111147</v>
      </c>
      <c r="AF51" s="56">
        <f>IFERROR(INDEX('Monthly VOL'!$N$2:$CG$65,MATCH($D51,'Monthly VOL'!$D$2:$D$65,0),MATCH(AF$1,'Monthly VOL'!$N$1:$CG$1,0))/INDEX('Monthly CUST'!$N$2:$CG$65,MATCH($D51,'Monthly CUST'!$D$2:$D$65,0),MATCH(AF$1,'Monthly CUST'!$N$1:$CG$1,0)),0)</f>
        <v>259.77098181818144</v>
      </c>
      <c r="AG51" s="56">
        <f>IFERROR(INDEX('Monthly VOL'!$N$2:$CG$65,MATCH($D51,'Monthly VOL'!$D$2:$D$65,0),MATCH(AG$1,'Monthly VOL'!$N$1:$CG$1,0))/INDEX('Monthly CUST'!$N$2:$CG$65,MATCH($D51,'Monthly CUST'!$D$2:$D$65,0),MATCH(AG$1,'Monthly CUST'!$N$1:$CG$1,0)),0)</f>
        <v>283.65787545787578</v>
      </c>
      <c r="AH51" s="56">
        <f>IFERROR(INDEX('Monthly VOL'!$N$2:$CG$65,MATCH($D51,'Monthly VOL'!$D$2:$D$65,0),MATCH(AH$1,'Monthly VOL'!$N$1:$CG$1,0))/INDEX('Monthly CUST'!$N$2:$CG$65,MATCH($D51,'Monthly CUST'!$D$2:$D$65,0),MATCH(AH$1,'Monthly CUST'!$N$1:$CG$1,0)),0)</f>
        <v>309.16188191881918</v>
      </c>
      <c r="AI51" s="56">
        <f>IFERROR(INDEX('Monthly VOL'!$N$2:$CG$65,MATCH($D51,'Monthly VOL'!$D$2:$D$65,0),MATCH(AI$1,'Monthly VOL'!$N$1:$CG$1,0))/INDEX('Monthly CUST'!$N$2:$CG$65,MATCH($D51,'Monthly CUST'!$D$2:$D$65,0),MATCH(AI$1,'Monthly CUST'!$N$1:$CG$1,0)),0)</f>
        <v>310.57007352941173</v>
      </c>
      <c r="AJ51" s="56">
        <f>IFERROR(INDEX('Monthly VOL'!$N$2:$CG$65,MATCH($D51,'Monthly VOL'!$D$2:$D$65,0),MATCH(AJ$1,'Monthly VOL'!$N$1:$CG$1,0))/INDEX('Monthly CUST'!$N$2:$CG$65,MATCH($D51,'Monthly CUST'!$D$2:$D$65,0),MATCH(AJ$1,'Monthly CUST'!$N$1:$CG$1,0)),0)</f>
        <v>343.63563636363637</v>
      </c>
      <c r="AK51" s="56">
        <f>IFERROR(INDEX('Monthly VOL'!$N$2:$CG$65,MATCH($D51,'Monthly VOL'!$D$2:$D$65,0),MATCH(AK$1,'Monthly VOL'!$N$1:$CG$1,0))/INDEX('Monthly CUST'!$N$2:$CG$65,MATCH($D51,'Monthly CUST'!$D$2:$D$65,0),MATCH(AK$1,'Monthly CUST'!$N$1:$CG$1,0)),0)</f>
        <v>363.72974545454542</v>
      </c>
      <c r="AL51" s="56">
        <f>IFERROR(INDEX('Monthly VOL'!$N$2:$CG$65,MATCH($D51,'Monthly VOL'!$D$2:$D$65,0),MATCH(AL$1,'Monthly VOL'!$N$1:$CG$1,0))/INDEX('Monthly CUST'!$N$2:$CG$65,MATCH($D51,'Monthly CUST'!$D$2:$D$65,0),MATCH(AL$1,'Monthly CUST'!$N$1:$CG$1,0)),0)</f>
        <v>354.83865942028984</v>
      </c>
      <c r="AM51" s="56">
        <f>IFERROR(INDEX('Monthly VOL'!$N$2:$CG$65,MATCH($D51,'Monthly VOL'!$D$2:$D$65,0),MATCH(AM$1,'Monthly VOL'!$N$1:$CG$1,0))/INDEX('Monthly CUST'!$N$2:$CG$65,MATCH($D51,'Monthly CUST'!$D$2:$D$65,0),MATCH(AM$1,'Monthly CUST'!$N$1:$CG$1,0)),0)</f>
        <v>348.39606498194951</v>
      </c>
      <c r="AN51" s="56">
        <f>IFERROR(INDEX('Monthly VOL'!$N$2:$CG$65,MATCH($D51,'Monthly VOL'!$D$2:$D$65,0),MATCH(AN$1,'Monthly VOL'!$N$1:$CG$1,0))/INDEX('Monthly CUST'!$N$2:$CG$65,MATCH($D51,'Monthly CUST'!$D$2:$D$65,0),MATCH(AN$1,'Monthly CUST'!$N$1:$CG$1,0)),0)</f>
        <v>328.82855595667939</v>
      </c>
      <c r="AO51" s="56">
        <f>IFERROR(INDEX('Monthly VOL'!$N$2:$CG$65,MATCH($D51,'Monthly VOL'!$D$2:$D$65,0),MATCH(AO$1,'Monthly VOL'!$N$1:$CG$1,0))/INDEX('Monthly CUST'!$N$2:$CG$65,MATCH($D51,'Monthly CUST'!$D$2:$D$65,0),MATCH(AO$1,'Monthly CUST'!$N$1:$CG$1,0)),0)</f>
        <v>249.36228571428572</v>
      </c>
      <c r="AP51" s="56">
        <f>IFERROR(INDEX('Monthly VOL'!$N$2:$CG$65,MATCH($D51,'Monthly VOL'!$D$2:$D$65,0),MATCH(AP$1,'Monthly VOL'!$N$1:$CG$1,0))/INDEX('Monthly CUST'!$N$2:$CG$65,MATCH($D51,'Monthly CUST'!$D$2:$D$65,0),MATCH(AP$1,'Monthly CUST'!$N$1:$CG$1,0)),0)</f>
        <v>261.02573476702509</v>
      </c>
      <c r="AQ51" s="56">
        <f>IFERROR(INDEX('Monthly VOL'!$N$2:$CG$65,MATCH($D51,'Monthly VOL'!$D$2:$D$65,0),MATCH(AQ$1,'Monthly VOL'!$N$1:$CG$1,0))/INDEX('Monthly CUST'!$N$2:$CG$65,MATCH($D51,'Monthly CUST'!$D$2:$D$65,0),MATCH(AQ$1,'Monthly CUST'!$N$1:$CG$1,0)),0)</f>
        <v>259.43685920577616</v>
      </c>
      <c r="AR51" s="56">
        <f>IFERROR(INDEX('Monthly VOL'!$N$2:$CG$65,MATCH($D51,'Monthly VOL'!$D$2:$D$65,0),MATCH(AR$1,'Monthly VOL'!$N$1:$CG$1,0))/INDEX('Monthly CUST'!$N$2:$CG$65,MATCH($D51,'Monthly CUST'!$D$2:$D$65,0),MATCH(AR$1,'Monthly CUST'!$N$1:$CG$1,0)),0)</f>
        <v>284.03014388489208</v>
      </c>
      <c r="AS51" s="56">
        <f>IFERROR(INDEX('Monthly VOL'!$N$2:$CG$65,MATCH($D51,'Monthly VOL'!$D$2:$D$65,0),MATCH(AS$1,'Monthly VOL'!$N$1:$CG$1,0))/INDEX('Monthly CUST'!$N$2:$CG$65,MATCH($D51,'Monthly CUST'!$D$2:$D$65,0),MATCH(AS$1,'Monthly CUST'!$N$1:$CG$1,0)),0)</f>
        <v>264.22267857142862</v>
      </c>
      <c r="AT51" s="56">
        <f>IFERROR(INDEX('Monthly VOL'!$N$2:$CG$65,MATCH($D51,'Monthly VOL'!$D$2:$D$65,0),MATCH(AT$1,'Monthly VOL'!$N$1:$CG$1,0))/INDEX('Monthly CUST'!$N$2:$CG$65,MATCH($D51,'Monthly CUST'!$D$2:$D$65,0),MATCH(AT$1,'Monthly CUST'!$N$1:$CG$1,0)),0)</f>
        <v>279.90185714285718</v>
      </c>
      <c r="AU51" s="56">
        <f>IFERROR(INDEX('Monthly VOL'!$N$2:$CG$65,MATCH($D51,'Monthly VOL'!$D$2:$D$65,0),MATCH(AU$1,'Monthly VOL'!$N$1:$CG$1,0))/INDEX('Monthly CUST'!$N$2:$CG$65,MATCH($D51,'Monthly CUST'!$D$2:$D$65,0),MATCH(AU$1,'Monthly CUST'!$N$1:$CG$1,0)),0)</f>
        <v>280.40989399293284</v>
      </c>
      <c r="AV51" s="56">
        <f>IFERROR(INDEX('Monthly VOL'!$N$2:$CG$65,MATCH($D51,'Monthly VOL'!$D$2:$D$65,0),MATCH(AV$1,'Monthly VOL'!$N$1:$CG$1,0))/INDEX('Monthly CUST'!$N$2:$CG$65,MATCH($D51,'Monthly CUST'!$D$2:$D$65,0),MATCH(AV$1,'Monthly CUST'!$N$1:$CG$1,0)),0)</f>
        <v>313.04373665480426</v>
      </c>
      <c r="AW51" s="56">
        <f>IFERROR(INDEX('Monthly VOL'!$N$2:$CG$65,MATCH($D51,'Monthly VOL'!$D$2:$D$65,0),MATCH(AW$1,'Monthly VOL'!$N$1:$CG$1,0))/INDEX('Monthly CUST'!$N$2:$CG$65,MATCH($D51,'Monthly CUST'!$D$2:$D$65,0),MATCH(AW$1,'Monthly CUST'!$N$1:$CG$1,0)),0)</f>
        <v>339.07530035335691</v>
      </c>
      <c r="AX51" s="56">
        <f>IFERROR(INDEX('Monthly VOL'!$N$2:$CG$65,MATCH($D51,'Monthly VOL'!$D$2:$D$65,0),MATCH(AX$1,'Monthly VOL'!$N$1:$CG$1,0))/INDEX('Monthly CUST'!$N$2:$CG$65,MATCH($D51,'Monthly CUST'!$D$2:$D$65,0),MATCH(AX$1,'Monthly CUST'!$N$1:$CG$1,0)),0)</f>
        <v>358.40000000000003</v>
      </c>
      <c r="AY51" s="56">
        <f>IFERROR(INDEX('Monthly VOL'!$N$2:$CG$65,MATCH($D51,'Monthly VOL'!$D$2:$D$65,0),MATCH(AY$1,'Monthly VOL'!$N$1:$CG$1,0))/INDEX('Monthly CUST'!$N$2:$CG$65,MATCH($D51,'Monthly CUST'!$D$2:$D$65,0),MATCH(AY$1,'Monthly CUST'!$N$1:$CG$1,0)),0)</f>
        <v>311.98566433566469</v>
      </c>
      <c r="AZ51" s="56">
        <f>IFERROR(INDEX('Monthly VOL'!$N$2:$CG$65,MATCH($D51,'Monthly VOL'!$D$2:$D$65,0),MATCH(AZ$1,'Monthly VOL'!$N$1:$CG$1,0))/INDEX('Monthly CUST'!$N$2:$CG$65,MATCH($D51,'Monthly CUST'!$D$2:$D$65,0),MATCH(AZ$1,'Monthly CUST'!$N$1:$CG$1,0)),0)</f>
        <v>318.58715789473683</v>
      </c>
      <c r="BA51" s="56">
        <f>IFERROR(INDEX('Monthly VOL'!$N$2:$CG$65,MATCH($D51,'Monthly VOL'!$D$2:$D$65,0),MATCH(BA$1,'Monthly VOL'!$N$1:$CG$1,0))/INDEX('Monthly CUST'!$N$2:$CG$65,MATCH($D51,'Monthly CUST'!$D$2:$D$65,0),MATCH(BA$1,'Monthly CUST'!$N$1:$CG$1,0)),0)</f>
        <v>359.11707317073171</v>
      </c>
      <c r="BB51" s="56">
        <f>IFERROR(INDEX('Monthly VOL'!$N$2:$CG$65,MATCH($D51,'Monthly VOL'!$D$2:$D$65,0),MATCH(BB$1,'Monthly VOL'!$N$1:$CG$1,0))/INDEX('Monthly CUST'!$N$2:$CG$65,MATCH($D51,'Monthly CUST'!$D$2:$D$65,0),MATCH(BB$1,'Monthly CUST'!$N$1:$CG$1,0)),0)</f>
        <v>301.86340277777776</v>
      </c>
      <c r="BC51" s="56">
        <f>IFERROR(INDEX('Monthly VOL'!$N$2:$CG$65,MATCH($D51,'Monthly VOL'!$D$2:$D$65,0),MATCH(BC$1,'Monthly VOL'!$N$1:$CG$1,0))/INDEX('Monthly CUST'!$N$2:$CG$65,MATCH($D51,'Monthly CUST'!$D$2:$D$65,0),MATCH(BC$1,'Monthly CUST'!$N$1:$CG$1,0)),0)</f>
        <v>294.12418118466866</v>
      </c>
      <c r="BD51" s="56">
        <f>IFERROR(INDEX('Monthly VOL'!$N$2:$CG$65,MATCH($D51,'Monthly VOL'!$D$2:$D$65,0),MATCH(BD$1,'Monthly VOL'!$N$1:$CG$1,0))/INDEX('Monthly CUST'!$N$2:$CG$65,MATCH($D51,'Monthly CUST'!$D$2:$D$65,0),MATCH(BD$1,'Monthly CUST'!$N$1:$CG$1,0)),0)</f>
        <v>292.17752613240452</v>
      </c>
      <c r="BE51" s="56">
        <f>IFERROR(INDEX('Monthly VOL'!$N$2:$CG$65,MATCH($D51,'Monthly VOL'!$D$2:$D$65,0),MATCH(BE$1,'Monthly VOL'!$N$1:$CG$1,0))/INDEX('Monthly CUST'!$N$2:$CG$65,MATCH($D51,'Monthly CUST'!$D$2:$D$65,0),MATCH(BE$1,'Monthly CUST'!$N$1:$CG$1,0)),0)</f>
        <v>278.9669072164948</v>
      </c>
      <c r="BF51" s="56">
        <f>IFERROR(INDEX('Monthly VOL'!$N$2:$CG$65,MATCH($D51,'Monthly VOL'!$D$2:$D$65,0),MATCH(BF$1,'Monthly VOL'!$N$1:$CG$1,0))/INDEX('Monthly CUST'!$N$2:$CG$65,MATCH($D51,'Monthly CUST'!$D$2:$D$65,0),MATCH(BF$1,'Monthly CUST'!$N$1:$CG$1,0)),0)</f>
        <v>313.3466206896552</v>
      </c>
      <c r="BG51" s="56">
        <f>IFERROR(INDEX('Monthly VOL'!$N$2:$CG$65,MATCH($D51,'Monthly VOL'!$D$2:$D$65,0),MATCH(BG$1,'Monthly VOL'!$N$1:$CG$1,0))/INDEX('Monthly CUST'!$N$2:$CG$65,MATCH($D51,'Monthly CUST'!$D$2:$D$65,0),MATCH(BG$1,'Monthly CUST'!$N$1:$CG$1,0)),0)</f>
        <v>298.45160409556314</v>
      </c>
      <c r="BH51" s="56">
        <f>IFERROR(INDEX('Monthly VOL'!$N$2:$CG$65,MATCH($D51,'Monthly VOL'!$D$2:$D$65,0),MATCH(BH$1,'Monthly VOL'!$N$1:$CG$1,0))/INDEX('Monthly CUST'!$N$2:$CG$65,MATCH($D51,'Monthly CUST'!$D$2:$D$65,0),MATCH(BH$1,'Monthly CUST'!$N$1:$CG$1,0)),0)</f>
        <v>290.66034013605474</v>
      </c>
      <c r="BI51" s="56">
        <f>IFERROR(INDEX('Monthly VOL'!$N$2:$CG$65,MATCH($D51,'Monthly VOL'!$D$2:$D$65,0),MATCH(BI$1,'Monthly VOL'!$N$1:$CG$1,0))/INDEX('Monthly CUST'!$N$2:$CG$65,MATCH($D51,'Monthly CUST'!$D$2:$D$65,0),MATCH(BI$1,'Monthly CUST'!$N$1:$CG$1,0)),0)</f>
        <v>379.17208754208752</v>
      </c>
      <c r="BJ51" s="56">
        <f>IFERROR(INDEX('Monthly VOL'!$N$2:$CG$65,MATCH($D51,'Monthly VOL'!$D$2:$D$65,0),MATCH(BJ$1,'Monthly VOL'!$N$1:$CG$1,0))/INDEX('Monthly CUST'!$N$2:$CG$65,MATCH($D51,'Monthly CUST'!$D$2:$D$65,0),MATCH(BJ$1,'Monthly CUST'!$N$1:$CG$1,0)),0)</f>
        <v>358.83965651834507</v>
      </c>
      <c r="BK51" s="56">
        <f>IFERROR(INDEX('Monthly VOL'!$N$2:$CG$65,MATCH($D51,'Monthly VOL'!$D$2:$D$65,0),MATCH(BK$1,'Monthly VOL'!$N$1:$CG$1,0))/INDEX('Monthly CUST'!$N$2:$CG$65,MATCH($D51,'Monthly CUST'!$D$2:$D$65,0),MATCH(BK$1,'Monthly CUST'!$N$1:$CG$1,0)),0)</f>
        <v>312.3683834510536</v>
      </c>
      <c r="BL51" s="56">
        <f>IFERROR(INDEX('Monthly VOL'!$N$2:$CG$65,MATCH($D51,'Monthly VOL'!$D$2:$D$65,0),MATCH(BL$1,'Monthly VOL'!$N$1:$CG$1,0))/INDEX('Monthly CUST'!$N$2:$CG$65,MATCH($D51,'Monthly CUST'!$D$2:$D$65,0),MATCH(BL$1,'Monthly CUST'!$N$1:$CG$1,0)),0)</f>
        <v>318.97797519560021</v>
      </c>
      <c r="BM51" s="56">
        <f>IFERROR(INDEX('Monthly VOL'!$N$2:$CG$65,MATCH($D51,'Monthly VOL'!$D$2:$D$65,0),MATCH(BM$1,'Monthly VOL'!$N$1:$CG$1,0))/INDEX('Monthly CUST'!$N$2:$CG$65,MATCH($D51,'Monthly CUST'!$D$2:$D$65,0),MATCH(BM$1,'Monthly CUST'!$N$1:$CG$1,0)),0)</f>
        <v>359.55760933721751</v>
      </c>
      <c r="BN51" s="56">
        <f>IFERROR(INDEX('Monthly VOL'!$N$2:$CG$65,MATCH($D51,'Monthly VOL'!$D$2:$D$65,0),MATCH(BN$1,'Monthly VOL'!$N$1:$CG$1,0))/INDEX('Monthly CUST'!$N$2:$CG$65,MATCH($D51,'Monthly CUST'!$D$2:$D$65,0),MATCH(BN$1,'Monthly CUST'!$N$1:$CG$1,0)),0)</f>
        <v>302.23370471048162</v>
      </c>
      <c r="BO51" s="56">
        <f>IFERROR(INDEX('Monthly VOL'!$N$2:$CG$65,MATCH($D51,'Monthly VOL'!$D$2:$D$65,0),MATCH(BO$1,'Monthly VOL'!$N$1:$CG$1,0))/INDEX('Monthly CUST'!$N$2:$CG$65,MATCH($D51,'Monthly CUST'!$D$2:$D$65,0),MATCH(BO$1,'Monthly CUST'!$N$1:$CG$1,0)),0)</f>
        <v>294.48498925794081</v>
      </c>
      <c r="BP51" s="56">
        <f>IFERROR(INDEX('Monthly VOL'!$N$2:$CG$65,MATCH($D51,'Monthly VOL'!$D$2:$D$65,0),MATCH(BP$1,'Monthly VOL'!$N$1:$CG$1,0))/INDEX('Monthly CUST'!$N$2:$CG$65,MATCH($D51,'Monthly CUST'!$D$2:$D$65,0),MATCH(BP$1,'Monthly CUST'!$N$1:$CG$1,0)),0)</f>
        <v>292.53594620460888</v>
      </c>
      <c r="BQ51" s="56">
        <f>IFERROR(INDEX('Monthly VOL'!$N$2:$CG$65,MATCH($D51,'Monthly VOL'!$D$2:$D$65,0),MATCH(BQ$1,'Monthly VOL'!$N$1:$CG$1,0))/INDEX('Monthly CUST'!$N$2:$CG$65,MATCH($D51,'Monthly CUST'!$D$2:$D$65,0),MATCH(BQ$1,'Monthly CUST'!$N$1:$CG$1,0)),0)</f>
        <v>279.30912155566972</v>
      </c>
      <c r="BR51" s="56">
        <f>IFERROR(INDEX('Monthly VOL'!$N$2:$CG$65,MATCH($D51,'Monthly VOL'!$D$2:$D$65,0),MATCH(BR$1,'Monthly VOL'!$N$1:$CG$1,0))/INDEX('Monthly CUST'!$N$2:$CG$65,MATCH($D51,'Monthly CUST'!$D$2:$D$65,0),MATCH(BR$1,'Monthly CUST'!$N$1:$CG$1,0)),0)</f>
        <v>313.73100931768977</v>
      </c>
      <c r="BS51" s="56">
        <f>IFERROR(INDEX('Monthly VOL'!$N$2:$CG$65,MATCH($D51,'Monthly VOL'!$D$2:$D$65,0),MATCH(BS$1,'Monthly VOL'!$N$1:$CG$1,0))/INDEX('Monthly CUST'!$N$2:$CG$65,MATCH($D51,'Monthly CUST'!$D$2:$D$65,0),MATCH(BS$1,'Monthly CUST'!$N$1:$CG$1,0)),0)</f>
        <v>298.81772070591791</v>
      </c>
      <c r="BT51" s="56">
        <f>IFERROR(INDEX('Monthly VOL'!$N$2:$CG$65,MATCH($D51,'Monthly VOL'!$D$2:$D$65,0),MATCH(BT$1,'Monthly VOL'!$N$1:$CG$1,0))/INDEX('Monthly CUST'!$N$2:$CG$65,MATCH($D51,'Monthly CUST'!$D$2:$D$65,0),MATCH(BT$1,'Monthly CUST'!$N$1:$CG$1,0)),0)</f>
        <v>291.01689904555587</v>
      </c>
      <c r="BU51" s="56">
        <f>IFERROR(INDEX('Monthly VOL'!$N$2:$CG$65,MATCH($D51,'Monthly VOL'!$D$2:$D$65,0),MATCH(BU$1,'Monthly VOL'!$N$1:$CG$1,0))/INDEX('Monthly CUST'!$N$2:$CG$65,MATCH($D51,'Monthly CUST'!$D$2:$D$65,0),MATCH(BU$1,'Monthly CUST'!$N$1:$CG$1,0)),0)</f>
        <v>379.63722559973922</v>
      </c>
      <c r="BV51" s="56">
        <f>IFERROR(INDEX('Monthly VOL'!$N$2:$CG$65,MATCH($D51,'Monthly VOL'!$D$2:$D$65,0),MATCH(BV$1,'Monthly VOL'!$N$1:$CG$1,0))/INDEX('Monthly CUST'!$N$2:$CG$65,MATCH($D51,'Monthly CUST'!$D$2:$D$65,0),MATCH(BV$1,'Monthly CUST'!$N$1:$CG$1,0)),0)</f>
        <v>359.2798523722206</v>
      </c>
      <c r="BW51" s="56">
        <f>IFERROR(INDEX('Monthly VOL'!$N$2:$CG$65,MATCH($D51,'Monthly VOL'!$D$2:$D$65,0),MATCH(BW$1,'Monthly VOL'!$N$1:$CG$1,0))/INDEX('Monthly CUST'!$N$2:$CG$65,MATCH($D51,'Monthly CUST'!$D$2:$D$65,0),MATCH(BW$1,'Monthly CUST'!$N$1:$CG$1,0)),0)</f>
        <v>312.75157205571088</v>
      </c>
      <c r="BX51" s="56">
        <f>IFERROR(INDEX('Monthly VOL'!$N$2:$CG$65,MATCH($D51,'Monthly VOL'!$D$2:$D$65,0),MATCH(BX$1,'Monthly VOL'!$N$1:$CG$1,0))/INDEX('Monthly CUST'!$N$2:$CG$65,MATCH($D51,'Monthly CUST'!$D$2:$D$65,0),MATCH(BX$1,'Monthly CUST'!$N$1:$CG$1,0)),0)</f>
        <v>319.36927191993965</v>
      </c>
      <c r="BY51" s="56">
        <f>IFERROR(INDEX('Monthly VOL'!$N$2:$CG$65,MATCH($D51,'Monthly VOL'!$D$2:$D$65,0),MATCH(BY$1,'Monthly VOL'!$N$1:$CG$1,0))/INDEX('Monthly CUST'!$N$2:$CG$65,MATCH($D51,'Monthly CUST'!$D$2:$D$65,0),MATCH(BY$1,'Monthly CUST'!$N$1:$CG$1,0)),0)</f>
        <v>359.99868591831591</v>
      </c>
      <c r="BZ51" s="56">
        <f>IFERROR(INDEX('Monthly VOL'!$N$2:$CG$65,MATCH($D51,'Monthly VOL'!$D$2:$D$65,0),MATCH(BZ$1,'Monthly VOL'!$N$1:$CG$1,0))/INDEX('Monthly CUST'!$N$2:$CG$65,MATCH($D51,'Monthly CUST'!$D$2:$D$65,0),MATCH(BZ$1,'Monthly CUST'!$N$1:$CG$1,0)),0)</f>
        <v>302.60446090004507</v>
      </c>
      <c r="CA51" s="56">
        <f>IFERROR(INDEX('Monthly VOL'!$N$2:$CG$65,MATCH($D51,'Monthly VOL'!$D$2:$D$65,0),MATCH(CA$1,'Monthly VOL'!$N$1:$CG$1,0))/INDEX('Monthly CUST'!$N$2:$CG$65,MATCH($D51,'Monthly CUST'!$D$2:$D$65,0),MATCH(CA$1,'Monthly CUST'!$N$1:$CG$1,0)),0)</f>
        <v>294.84623994176343</v>
      </c>
      <c r="CB51" s="56">
        <f>IFERROR(INDEX('Monthly VOL'!$N$2:$CG$65,MATCH($D51,'Monthly VOL'!$D$2:$D$65,0),MATCH(CB$1,'Monthly VOL'!$N$1:$CG$1,0))/INDEX('Monthly CUST'!$N$2:$CG$65,MATCH($D51,'Monthly CUST'!$D$2:$D$65,0),MATCH(CB$1,'Monthly CUST'!$N$1:$CG$1,0)),0)</f>
        <v>292.89480595795453</v>
      </c>
      <c r="CC51" s="56">
        <f>IFERROR(INDEX('Monthly VOL'!$N$2:$CG$65,MATCH($D51,'Monthly VOL'!$D$2:$D$65,0),MATCH(CC$1,'Monthly VOL'!$N$1:$CG$1,0))/INDEX('Monthly CUST'!$N$2:$CG$65,MATCH($D51,'Monthly CUST'!$D$2:$D$65,0),MATCH(CC$1,'Monthly CUST'!$N$1:$CG$1,0)),0)</f>
        <v>279.65175569608596</v>
      </c>
      <c r="CD51" s="56">
        <f>IFERROR(INDEX('Monthly VOL'!$N$2:$CG$65,MATCH($D51,'Monthly VOL'!$D$2:$D$65,0),MATCH(CD$1,'Monthly VOL'!$N$1:$CG$1,0))/INDEX('Monthly CUST'!$N$2:$CG$65,MATCH($D51,'Monthly CUST'!$D$2:$D$65,0),MATCH(CD$1,'Monthly CUST'!$N$1:$CG$1,0)),0)</f>
        <v>314.1158694830176</v>
      </c>
      <c r="CE51" s="56">
        <f>IFERROR(INDEX('Monthly VOL'!$N$2:$CG$65,MATCH($D51,'Monthly VOL'!$D$2:$D$65,0),MATCH(CE$1,'Monthly VOL'!$N$1:$CG$1,0))/INDEX('Monthly CUST'!$N$2:$CG$65,MATCH($D51,'Monthly CUST'!$D$2:$D$65,0),MATCH(CE$1,'Monthly CUST'!$N$1:$CG$1,0)),0)</f>
        <v>299.18428643891281</v>
      </c>
      <c r="CF51" s="56">
        <f>IFERROR(INDEX('Monthly VOL'!$N$2:$CG$65,MATCH($D51,'Monthly VOL'!$D$2:$D$65,0),MATCH(CF$1,'Monthly VOL'!$N$1:$CG$1,0))/INDEX('Monthly CUST'!$N$2:$CG$65,MATCH($D51,'Monthly CUST'!$D$2:$D$65,0),MATCH(CF$1,'Monthly CUST'!$N$1:$CG$1,0)),0)</f>
        <v>291.37389535307244</v>
      </c>
      <c r="CG51" s="56">
        <f>IFERROR(INDEX('Monthly VOL'!$N$2:$CG$65,MATCH($D51,'Monthly VOL'!$D$2:$D$65,0),MATCH(CG$1,'Monthly VOL'!$N$1:$CG$1,0))/INDEX('Monthly CUST'!$N$2:$CG$65,MATCH($D51,'Monthly CUST'!$D$2:$D$65,0),MATCH(CG$1,'Monthly CUST'!$N$1:$CG$1,0)),0)</f>
        <v>380.10293425164031</v>
      </c>
      <c r="CH51" s="264"/>
      <c r="CI51" s="264"/>
      <c r="CJ51" s="264"/>
      <c r="CM51" s="569">
        <f t="shared" si="24"/>
        <v>353.876169492298</v>
      </c>
      <c r="CN51" s="569">
        <f t="shared" si="25"/>
        <v>339.24392225693265</v>
      </c>
      <c r="CO51" s="569">
        <f t="shared" si="26"/>
        <v>323.41273795047204</v>
      </c>
      <c r="CP51" s="569">
        <f t="shared" si="27"/>
        <v>315.10883041265288</v>
      </c>
      <c r="CQ51" s="569">
        <f t="shared" si="28"/>
        <v>295.84023490299398</v>
      </c>
      <c r="CR51" s="569">
        <f t="shared" si="29"/>
        <v>285.35971716718541</v>
      </c>
      <c r="CS51" s="569">
        <f t="shared" si="30"/>
        <v>278.65955061182598</v>
      </c>
      <c r="CT51" s="569">
        <f t="shared" si="31"/>
        <v>275.6158204152664</v>
      </c>
      <c r="CU51" s="569">
        <f t="shared" si="32"/>
        <v>300.80345325044385</v>
      </c>
      <c r="CV51" s="569">
        <f t="shared" si="33"/>
        <v>296.47719053930263</v>
      </c>
      <c r="CW51" s="569">
        <f t="shared" si="34"/>
        <v>315.77990438483181</v>
      </c>
      <c r="CX51" s="569">
        <f t="shared" si="35"/>
        <v>360.6590444499966</v>
      </c>
      <c r="CY51" s="569">
        <f t="shared" si="36"/>
        <v>353.876169492298</v>
      </c>
      <c r="CZ51" s="569">
        <f t="shared" si="37"/>
        <v>339.24392225693265</v>
      </c>
      <c r="DA51" s="569">
        <f t="shared" si="38"/>
        <v>323.41273795047204</v>
      </c>
      <c r="DB51" s="569">
        <f t="shared" si="39"/>
        <v>315.10883041265288</v>
      </c>
      <c r="DC51" s="569">
        <f t="shared" si="40"/>
        <v>295.84023490299398</v>
      </c>
      <c r="DD51" s="569">
        <f t="shared" si="41"/>
        <v>285.35971716718541</v>
      </c>
      <c r="DE51" s="569">
        <f t="shared" si="42"/>
        <v>278.65955061182598</v>
      </c>
      <c r="DF51" s="569">
        <f t="shared" si="43"/>
        <v>275.6158204152664</v>
      </c>
      <c r="DG51" s="569">
        <f t="shared" si="44"/>
        <v>300.80345325044385</v>
      </c>
      <c r="DH51" s="569">
        <f t="shared" si="45"/>
        <v>296.47719053930263</v>
      </c>
      <c r="DI51" s="569">
        <f t="shared" si="46"/>
        <v>315.77990438483181</v>
      </c>
      <c r="DJ51" s="569">
        <f t="shared" si="47"/>
        <v>360.6590444499966</v>
      </c>
    </row>
    <row r="52" spans="1:114" s="261" customFormat="1">
      <c r="A52" s="55" t="s">
        <v>17</v>
      </c>
      <c r="B52" s="55" t="s">
        <v>993</v>
      </c>
      <c r="C52" s="55" t="s">
        <v>1245</v>
      </c>
      <c r="D52" s="55" t="s">
        <v>1300</v>
      </c>
      <c r="E52" s="55" t="str">
        <f>VLOOKUP(D52,'Input 14_Ref Table'!C:D,2,FALSE)</f>
        <v>CC828</v>
      </c>
      <c r="F52" s="172" t="s">
        <v>1287</v>
      </c>
      <c r="G52" s="55" t="str">
        <f>VLOOKUP(D52,'Input 14_Ref Table'!C:I,7,FALSE)</f>
        <v>CFG - FTS-3 - Fixed NR</v>
      </c>
      <c r="H52" s="55" t="str">
        <f>VLOOKUP(D52,'Input 14_Ref Table'!C:K,8,FALSE)</f>
        <v>FTS3</v>
      </c>
      <c r="I52" s="55" t="e">
        <f>INDEX(#REF!,MATCH(D52,#REF!,0))</f>
        <v>#REF!</v>
      </c>
      <c r="J52" s="261" t="str">
        <f>INDEX('Master '!$AD$2:AD$65,MATCH(D52,'Master '!$D$2:$D$65,0))</f>
        <v>UPC Growth Rate</v>
      </c>
      <c r="K52" s="567">
        <f>INDEX('Master '!$N$2:N$65,MATCH(D52,'Master '!$D$2:$D$65,0))</f>
        <v>2.6784283829125063E-2</v>
      </c>
      <c r="L52" s="290">
        <f>INDEX('Master '!$S$2:S$65,MATCH(D52,'Master '!$D$2:$D$65,0))</f>
        <v>1.22672019627513E-3</v>
      </c>
      <c r="M52" s="1">
        <f>INDEX('Master '!$W$2:W$65,MATCH(D52,'Master '!$D$2:$D$65,0))</f>
        <v>3591.2</v>
      </c>
      <c r="N52" s="56">
        <f>IFERROR(INDEX('Monthly VOL'!$N$2:$CG$65,MATCH($D52,'Monthly VOL'!$D$2:$D$65,0),MATCH(N$1,'Monthly VOL'!$N$1:$CG$1,0))/INDEX('Monthly CUST'!$N$2:$CG$65,MATCH($D52,'Monthly CUST'!$D$2:$D$65,0),MATCH(N$1,'Monthly CUST'!$N$1:$CG$1,0)),0)</f>
        <v>276.26437499999997</v>
      </c>
      <c r="O52" s="56">
        <f>IFERROR(INDEX('Monthly VOL'!$N$2:$CG$65,MATCH($D52,'Monthly VOL'!$D$2:$D$65,0),MATCH(O$1,'Monthly VOL'!$N$1:$CG$1,0))/INDEX('Monthly CUST'!$N$2:$CG$65,MATCH($D52,'Monthly CUST'!$D$2:$D$65,0),MATCH(O$1,'Monthly CUST'!$N$1:$CG$1,0)),0)</f>
        <v>278.51937500000003</v>
      </c>
      <c r="P52" s="56">
        <f>IFERROR(INDEX('Monthly VOL'!$N$2:$CG$65,MATCH($D52,'Monthly VOL'!$D$2:$D$65,0),MATCH(P$1,'Monthly VOL'!$N$1:$CG$1,0))/INDEX('Monthly CUST'!$N$2:$CG$65,MATCH($D52,'Monthly CUST'!$D$2:$D$65,0),MATCH(P$1,'Monthly CUST'!$N$1:$CG$1,0)),0)</f>
        <v>273.33187500000003</v>
      </c>
      <c r="Q52" s="56">
        <f>IFERROR(INDEX('Monthly VOL'!$N$2:$CG$65,MATCH($D52,'Monthly VOL'!$D$2:$D$65,0),MATCH(Q$1,'Monthly VOL'!$N$1:$CG$1,0))/INDEX('Monthly CUST'!$N$2:$CG$65,MATCH($D52,'Monthly CUST'!$D$2:$D$65,0),MATCH(Q$1,'Monthly CUST'!$N$1:$CG$1,0)),0)</f>
        <v>325.24588235294118</v>
      </c>
      <c r="R52" s="56">
        <f>IFERROR(INDEX('Monthly VOL'!$N$2:$CG$65,MATCH($D52,'Monthly VOL'!$D$2:$D$65,0),MATCH(R$1,'Monthly VOL'!$N$1:$CG$1,0))/INDEX('Monthly CUST'!$N$2:$CG$65,MATCH($D52,'Monthly CUST'!$D$2:$D$65,0),MATCH(R$1,'Monthly CUST'!$N$1:$CG$1,0)),0)</f>
        <v>255.18277777777777</v>
      </c>
      <c r="S52" s="56">
        <f>IFERROR(INDEX('Monthly VOL'!$N$2:$CG$65,MATCH($D52,'Monthly VOL'!$D$2:$D$65,0),MATCH(S$1,'Monthly VOL'!$N$1:$CG$1,0))/INDEX('Monthly CUST'!$N$2:$CG$65,MATCH($D52,'Monthly CUST'!$D$2:$D$65,0),MATCH(S$1,'Monthly CUST'!$N$1:$CG$1,0)),0)</f>
        <v>295.98529411764707</v>
      </c>
      <c r="T52" s="56">
        <f>IFERROR(INDEX('Monthly VOL'!$N$2:$CG$65,MATCH($D52,'Monthly VOL'!$D$2:$D$65,0),MATCH(T$1,'Monthly VOL'!$N$1:$CG$1,0))/INDEX('Monthly CUST'!$N$2:$CG$65,MATCH($D52,'Monthly CUST'!$D$2:$D$65,0),MATCH(T$1,'Monthly CUST'!$N$1:$CG$1,0)),0)</f>
        <v>270.47058823529414</v>
      </c>
      <c r="U52" s="56">
        <f>IFERROR(INDEX('Monthly VOL'!$N$2:$CG$65,MATCH($D52,'Monthly VOL'!$D$2:$D$65,0),MATCH(U$1,'Monthly VOL'!$N$1:$CG$1,0))/INDEX('Monthly CUST'!$N$2:$CG$65,MATCH($D52,'Monthly CUST'!$D$2:$D$65,0),MATCH(U$1,'Monthly CUST'!$N$1:$CG$1,0)),0)</f>
        <v>289.78529411764708</v>
      </c>
      <c r="V52" s="56">
        <f>IFERROR(INDEX('Monthly VOL'!$N$2:$CG$65,MATCH($D52,'Monthly VOL'!$D$2:$D$65,0),MATCH(V$1,'Monthly VOL'!$N$1:$CG$1,0))/INDEX('Monthly CUST'!$N$2:$CG$65,MATCH($D52,'Monthly CUST'!$D$2:$D$65,0),MATCH(V$1,'Monthly CUST'!$N$1:$CG$1,0)),0)</f>
        <v>285.05882352941177</v>
      </c>
      <c r="W52" s="56">
        <f>IFERROR(INDEX('Monthly VOL'!$N$2:$CG$65,MATCH($D52,'Monthly VOL'!$D$2:$D$65,0),MATCH(W$1,'Monthly VOL'!$N$1:$CG$1,0))/INDEX('Monthly CUST'!$N$2:$CG$65,MATCH($D52,'Monthly CUST'!$D$2:$D$65,0),MATCH(W$1,'Monthly CUST'!$N$1:$CG$1,0)),0)</f>
        <v>256.10941176470584</v>
      </c>
      <c r="X52" s="56">
        <f>IFERROR(INDEX('Monthly VOL'!$N$2:$CG$65,MATCH($D52,'Monthly VOL'!$D$2:$D$65,0),MATCH(X$1,'Monthly VOL'!$N$1:$CG$1,0))/INDEX('Monthly CUST'!$N$2:$CG$65,MATCH($D52,'Monthly CUST'!$D$2:$D$65,0),MATCH(X$1,'Monthly CUST'!$N$1:$CG$1,0)),0)</f>
        <v>315.26529411764704</v>
      </c>
      <c r="Y52" s="56">
        <f>IFERROR(INDEX('Monthly VOL'!$N$2:$CG$65,MATCH($D52,'Monthly VOL'!$D$2:$D$65,0),MATCH(Y$1,'Monthly VOL'!$N$1:$CG$1,0))/INDEX('Monthly CUST'!$N$2:$CG$65,MATCH($D52,'Monthly CUST'!$D$2:$D$65,0),MATCH(Y$1,'Monthly CUST'!$N$1:$CG$1,0)),0)</f>
        <v>255.4135294117647</v>
      </c>
      <c r="Z52" s="56">
        <f>IFERROR(INDEX('Monthly VOL'!$N$2:$CG$65,MATCH($D52,'Monthly VOL'!$D$2:$D$65,0),MATCH(Z$1,'Monthly VOL'!$N$1:$CG$1,0))/INDEX('Monthly CUST'!$N$2:$CG$65,MATCH($D52,'Monthly CUST'!$D$2:$D$65,0),MATCH(Z$1,'Monthly CUST'!$N$1:$CG$1,0)),0)</f>
        <v>281.315</v>
      </c>
      <c r="AA52" s="56">
        <f>IFERROR(INDEX('Monthly VOL'!$N$2:$CG$65,MATCH($D52,'Monthly VOL'!$D$2:$D$65,0),MATCH(AA$1,'Monthly VOL'!$N$1:$CG$1,0))/INDEX('Monthly CUST'!$N$2:$CG$65,MATCH($D52,'Monthly CUST'!$D$2:$D$65,0),MATCH(AA$1,'Monthly CUST'!$N$1:$CG$1,0)),0)</f>
        <v>288.10058823529414</v>
      </c>
      <c r="AB52" s="56">
        <f>IFERROR(INDEX('Monthly VOL'!$N$2:$CG$65,MATCH($D52,'Monthly VOL'!$D$2:$D$65,0),MATCH(AB$1,'Monthly VOL'!$N$1:$CG$1,0))/INDEX('Monthly CUST'!$N$2:$CG$65,MATCH($D52,'Monthly CUST'!$D$2:$D$65,0),MATCH(AB$1,'Monthly CUST'!$N$1:$CG$1,0)),0)</f>
        <v>305.32823529411763</v>
      </c>
      <c r="AC52" s="56">
        <f>IFERROR(INDEX('Monthly VOL'!$N$2:$CG$65,MATCH($D52,'Monthly VOL'!$D$2:$D$65,0),MATCH(AC$1,'Monthly VOL'!$N$1:$CG$1,0))/INDEX('Monthly CUST'!$N$2:$CG$65,MATCH($D52,'Monthly CUST'!$D$2:$D$65,0),MATCH(AC$1,'Monthly CUST'!$N$1:$CG$1,0)),0)</f>
        <v>305.97352941176473</v>
      </c>
      <c r="AD52" s="56">
        <f>IFERROR(INDEX('Monthly VOL'!$N$2:$CG$65,MATCH($D52,'Monthly VOL'!$D$2:$D$65,0),MATCH(AD$1,'Monthly VOL'!$N$1:$CG$1,0))/INDEX('Monthly CUST'!$N$2:$CG$65,MATCH($D52,'Monthly CUST'!$D$2:$D$65,0),MATCH(AD$1,'Monthly CUST'!$N$1:$CG$1,0)),0)</f>
        <v>315.4588235294118</v>
      </c>
      <c r="AE52" s="56">
        <f>IFERROR(INDEX('Monthly VOL'!$N$2:$CG$65,MATCH($D52,'Monthly VOL'!$D$2:$D$65,0),MATCH(AE$1,'Monthly VOL'!$N$1:$CG$1,0))/INDEX('Monthly CUST'!$N$2:$CG$65,MATCH($D52,'Monthly CUST'!$D$2:$D$65,0),MATCH(AE$1,'Monthly CUST'!$N$1:$CG$1,0)),0)</f>
        <v>311.70999999999998</v>
      </c>
      <c r="AF52" s="56">
        <f>IFERROR(INDEX('Monthly VOL'!$N$2:$CG$65,MATCH($D52,'Monthly VOL'!$D$2:$D$65,0),MATCH(AF$1,'Monthly VOL'!$N$1:$CG$1,0))/INDEX('Monthly CUST'!$N$2:$CG$65,MATCH($D52,'Monthly CUST'!$D$2:$D$65,0),MATCH(AF$1,'Monthly CUST'!$N$1:$CG$1,0)),0)</f>
        <v>265.96555555555557</v>
      </c>
      <c r="AG52" s="56">
        <f>IFERROR(INDEX('Monthly VOL'!$N$2:$CG$65,MATCH($D52,'Monthly VOL'!$D$2:$D$65,0),MATCH(AG$1,'Monthly VOL'!$N$1:$CG$1,0))/INDEX('Monthly CUST'!$N$2:$CG$65,MATCH($D52,'Monthly CUST'!$D$2:$D$65,0),MATCH(AG$1,'Monthly CUST'!$N$1:$CG$1,0)),0)</f>
        <v>301.05388888888888</v>
      </c>
      <c r="AH52" s="56">
        <f>IFERROR(INDEX('Monthly VOL'!$N$2:$CG$65,MATCH($D52,'Monthly VOL'!$D$2:$D$65,0),MATCH(AH$1,'Monthly VOL'!$N$1:$CG$1,0))/INDEX('Monthly CUST'!$N$2:$CG$65,MATCH($D52,'Monthly CUST'!$D$2:$D$65,0),MATCH(AH$1,'Monthly CUST'!$N$1:$CG$1,0)),0)</f>
        <v>316.59722222222223</v>
      </c>
      <c r="AI52" s="56">
        <f>IFERROR(INDEX('Monthly VOL'!$N$2:$CG$65,MATCH($D52,'Monthly VOL'!$D$2:$D$65,0),MATCH(AI$1,'Monthly VOL'!$N$1:$CG$1,0))/INDEX('Monthly CUST'!$N$2:$CG$65,MATCH($D52,'Monthly CUST'!$D$2:$D$65,0),MATCH(AI$1,'Monthly CUST'!$N$1:$CG$1,0)),0)</f>
        <v>304.51666666666665</v>
      </c>
      <c r="AJ52" s="56">
        <f>IFERROR(INDEX('Monthly VOL'!$N$2:$CG$65,MATCH($D52,'Monthly VOL'!$D$2:$D$65,0),MATCH(AJ$1,'Monthly VOL'!$N$1:$CG$1,0))/INDEX('Monthly CUST'!$N$2:$CG$65,MATCH($D52,'Monthly CUST'!$D$2:$D$65,0),MATCH(AJ$1,'Monthly CUST'!$N$1:$CG$1,0)),0)</f>
        <v>327.31736842105261</v>
      </c>
      <c r="AK52" s="56">
        <f>IFERROR(INDEX('Monthly VOL'!$N$2:$CG$65,MATCH($D52,'Monthly VOL'!$D$2:$D$65,0),MATCH(AK$1,'Monthly VOL'!$N$1:$CG$1,0))/INDEX('Monthly CUST'!$N$2:$CG$65,MATCH($D52,'Monthly CUST'!$D$2:$D$65,0),MATCH(AK$1,'Monthly CUST'!$N$1:$CG$1,0)),0)</f>
        <v>304.88</v>
      </c>
      <c r="AL52" s="56">
        <f>IFERROR(INDEX('Monthly VOL'!$N$2:$CG$65,MATCH($D52,'Monthly VOL'!$D$2:$D$65,0),MATCH(AL$1,'Monthly VOL'!$N$1:$CG$1,0))/INDEX('Monthly CUST'!$N$2:$CG$65,MATCH($D52,'Monthly CUST'!$D$2:$D$65,0),MATCH(AL$1,'Monthly CUST'!$N$1:$CG$1,0)),0)</f>
        <v>283.18799999999999</v>
      </c>
      <c r="AM52" s="56">
        <f>IFERROR(INDEX('Monthly VOL'!$N$2:$CG$65,MATCH($D52,'Monthly VOL'!$D$2:$D$65,0),MATCH(AM$1,'Monthly VOL'!$N$1:$CG$1,0))/INDEX('Monthly CUST'!$N$2:$CG$65,MATCH($D52,'Monthly CUST'!$D$2:$D$65,0),MATCH(AM$1,'Monthly CUST'!$N$1:$CG$1,0)),0)</f>
        <v>271.9136842105263</v>
      </c>
      <c r="AN52" s="56">
        <f>IFERROR(INDEX('Monthly VOL'!$N$2:$CG$65,MATCH($D52,'Monthly VOL'!$D$2:$D$65,0),MATCH(AN$1,'Monthly VOL'!$N$1:$CG$1,0))/INDEX('Monthly CUST'!$N$2:$CG$65,MATCH($D52,'Monthly CUST'!$D$2:$D$65,0),MATCH(AN$1,'Monthly CUST'!$N$1:$CG$1,0)),0)</f>
        <v>253.94421052631577</v>
      </c>
      <c r="AO52" s="56">
        <f>IFERROR(INDEX('Monthly VOL'!$N$2:$CG$65,MATCH($D52,'Monthly VOL'!$D$2:$D$65,0),MATCH(AO$1,'Monthly VOL'!$N$1:$CG$1,0))/INDEX('Monthly CUST'!$N$2:$CG$65,MATCH($D52,'Monthly CUST'!$D$2:$D$65,0),MATCH(AO$1,'Monthly CUST'!$N$1:$CG$1,0)),0)</f>
        <v>180.16947368421052</v>
      </c>
      <c r="AP52" s="56">
        <f>IFERROR(INDEX('Monthly VOL'!$N$2:$CG$65,MATCH($D52,'Monthly VOL'!$D$2:$D$65,0),MATCH(AP$1,'Monthly VOL'!$N$1:$CG$1,0))/INDEX('Monthly CUST'!$N$2:$CG$65,MATCH($D52,'Monthly CUST'!$D$2:$D$65,0),MATCH(AP$1,'Monthly CUST'!$N$1:$CG$1,0)),0)</f>
        <v>226.47</v>
      </c>
      <c r="AQ52" s="56">
        <f>IFERROR(INDEX('Monthly VOL'!$N$2:$CG$65,MATCH($D52,'Monthly VOL'!$D$2:$D$65,0),MATCH(AQ$1,'Monthly VOL'!$N$1:$CG$1,0))/INDEX('Monthly CUST'!$N$2:$CG$65,MATCH($D52,'Monthly CUST'!$D$2:$D$65,0),MATCH(AQ$1,'Monthly CUST'!$N$1:$CG$1,0)),0)</f>
        <v>267.67941176470589</v>
      </c>
      <c r="AR52" s="56">
        <f>IFERROR(INDEX('Monthly VOL'!$N$2:$CG$65,MATCH($D52,'Monthly VOL'!$D$2:$D$65,0),MATCH(AR$1,'Monthly VOL'!$N$1:$CG$1,0))/INDEX('Monthly CUST'!$N$2:$CG$65,MATCH($D52,'Monthly CUST'!$D$2:$D$65,0),MATCH(AR$1,'Monthly CUST'!$N$1:$CG$1,0)),0)</f>
        <v>284.29588235294113</v>
      </c>
      <c r="AS52" s="56">
        <f>IFERROR(INDEX('Monthly VOL'!$N$2:$CG$65,MATCH($D52,'Monthly VOL'!$D$2:$D$65,0),MATCH(AS$1,'Monthly VOL'!$N$1:$CG$1,0))/INDEX('Monthly CUST'!$N$2:$CG$65,MATCH($D52,'Monthly CUST'!$D$2:$D$65,0),MATCH(AS$1,'Monthly CUST'!$N$1:$CG$1,0)),0)</f>
        <v>273.09352941176473</v>
      </c>
      <c r="AT52" s="56">
        <f>IFERROR(INDEX('Monthly VOL'!$N$2:$CG$65,MATCH($D52,'Monthly VOL'!$D$2:$D$65,0),MATCH(AT$1,'Monthly VOL'!$N$1:$CG$1,0))/INDEX('Monthly CUST'!$N$2:$CG$65,MATCH($D52,'Monthly CUST'!$D$2:$D$65,0),MATCH(AT$1,'Monthly CUST'!$N$1:$CG$1,0)),0)</f>
        <v>268.93764705882353</v>
      </c>
      <c r="AU52" s="56">
        <f>IFERROR(INDEX('Monthly VOL'!$N$2:$CG$65,MATCH($D52,'Monthly VOL'!$D$2:$D$65,0),MATCH(AU$1,'Monthly VOL'!$N$1:$CG$1,0))/INDEX('Monthly CUST'!$N$2:$CG$65,MATCH($D52,'Monthly CUST'!$D$2:$D$65,0),MATCH(AU$1,'Monthly CUST'!$N$1:$CG$1,0)),0)</f>
        <v>265.34117647058827</v>
      </c>
      <c r="AV52" s="56">
        <f>IFERROR(INDEX('Monthly VOL'!$N$2:$CG$65,MATCH($D52,'Monthly VOL'!$D$2:$D$65,0),MATCH(AV$1,'Monthly VOL'!$N$1:$CG$1,0))/INDEX('Monthly CUST'!$N$2:$CG$65,MATCH($D52,'Monthly CUST'!$D$2:$D$65,0),MATCH(AV$1,'Monthly CUST'!$N$1:$CG$1,0)),0)</f>
        <v>295.18058823529412</v>
      </c>
      <c r="AW52" s="56">
        <f>IFERROR(INDEX('Monthly VOL'!$N$2:$CG$65,MATCH($D52,'Monthly VOL'!$D$2:$D$65,0),MATCH(AW$1,'Monthly VOL'!$N$1:$CG$1,0))/INDEX('Monthly CUST'!$N$2:$CG$65,MATCH($D52,'Monthly CUST'!$D$2:$D$65,0),MATCH(AW$1,'Monthly CUST'!$N$1:$CG$1,0)),0)</f>
        <v>299.47647058823532</v>
      </c>
      <c r="AX52" s="56">
        <f>IFERROR(INDEX('Monthly VOL'!$N$2:$CG$65,MATCH($D52,'Monthly VOL'!$D$2:$D$65,0),MATCH(AX$1,'Monthly VOL'!$N$1:$CG$1,0))/INDEX('Monthly CUST'!$N$2:$CG$65,MATCH($D52,'Monthly CUST'!$D$2:$D$65,0),MATCH(AX$1,'Monthly CUST'!$N$1:$CG$1,0)),0)</f>
        <v>300.46470588235292</v>
      </c>
      <c r="AY52" s="56">
        <f>IFERROR(INDEX('Monthly VOL'!$N$2:$CG$65,MATCH($D52,'Monthly VOL'!$D$2:$D$65,0),MATCH(AY$1,'Monthly VOL'!$N$1:$CG$1,0))/INDEX('Monthly CUST'!$N$2:$CG$65,MATCH($D52,'Monthly CUST'!$D$2:$D$65,0),MATCH(AY$1,'Monthly CUST'!$N$1:$CG$1,0)),0)</f>
        <v>261.4435294117647</v>
      </c>
      <c r="AZ52" s="56">
        <f>IFERROR(INDEX('Monthly VOL'!$N$2:$CG$65,MATCH($D52,'Monthly VOL'!$D$2:$D$65,0),MATCH(AZ$1,'Monthly VOL'!$N$1:$CG$1,0))/INDEX('Monthly CUST'!$N$2:$CG$65,MATCH($D52,'Monthly CUST'!$D$2:$D$65,0),MATCH(AZ$1,'Monthly CUST'!$N$1:$CG$1,0)),0)</f>
        <v>272.38470588235293</v>
      </c>
      <c r="BA52" s="56">
        <f>IFERROR(INDEX('Monthly VOL'!$N$2:$CG$65,MATCH($D52,'Monthly VOL'!$D$2:$D$65,0),MATCH(BA$1,'Monthly VOL'!$N$1:$CG$1,0))/INDEX('Monthly CUST'!$N$2:$CG$65,MATCH($D52,'Monthly CUST'!$D$2:$D$65,0),MATCH(BA$1,'Monthly CUST'!$N$1:$CG$1,0)),0)</f>
        <v>325.97117647058826</v>
      </c>
      <c r="BB52" s="56">
        <f>IFERROR(INDEX('Monthly VOL'!$N$2:$CG$65,MATCH($D52,'Monthly VOL'!$D$2:$D$65,0),MATCH(BB$1,'Monthly VOL'!$N$1:$CG$1,0))/INDEX('Monthly CUST'!$N$2:$CG$65,MATCH($D52,'Monthly CUST'!$D$2:$D$65,0),MATCH(BB$1,'Monthly CUST'!$N$1:$CG$1,0)),0)</f>
        <v>281.12941176470588</v>
      </c>
      <c r="BC52" s="56">
        <f>IFERROR(INDEX('Monthly VOL'!$N$2:$CG$65,MATCH($D52,'Monthly VOL'!$D$2:$D$65,0),MATCH(BC$1,'Monthly VOL'!$N$1:$CG$1,0))/INDEX('Monthly CUST'!$N$2:$CG$65,MATCH($D52,'Monthly CUST'!$D$2:$D$65,0),MATCH(BC$1,'Monthly CUST'!$N$1:$CG$1,0)),0)</f>
        <v>286.31058823529412</v>
      </c>
      <c r="BD52" s="56">
        <f>IFERROR(INDEX('Monthly VOL'!$N$2:$CG$65,MATCH($D52,'Monthly VOL'!$D$2:$D$65,0),MATCH(BD$1,'Monthly VOL'!$N$1:$CG$1,0))/INDEX('Monthly CUST'!$N$2:$CG$65,MATCH($D52,'Monthly CUST'!$D$2:$D$65,0),MATCH(BD$1,'Monthly CUST'!$N$1:$CG$1,0)),0)</f>
        <v>289.37823529411764</v>
      </c>
      <c r="BE52" s="56">
        <f>IFERROR(INDEX('Monthly VOL'!$N$2:$CG$65,MATCH($D52,'Monthly VOL'!$D$2:$D$65,0),MATCH(BE$1,'Monthly VOL'!$N$1:$CG$1,0))/INDEX('Monthly CUST'!$N$2:$CG$65,MATCH($D52,'Monthly CUST'!$D$2:$D$65,0),MATCH(BE$1,'Monthly CUST'!$N$1:$CG$1,0)),0)</f>
        <v>283.06411764705882</v>
      </c>
      <c r="BF52" s="56">
        <f>IFERROR(INDEX('Monthly VOL'!$N$2:$CG$65,MATCH($D52,'Monthly VOL'!$D$2:$D$65,0),MATCH(BF$1,'Monthly VOL'!$N$1:$CG$1,0))/INDEX('Monthly CUST'!$N$2:$CG$65,MATCH($D52,'Monthly CUST'!$D$2:$D$65,0),MATCH(BF$1,'Monthly CUST'!$N$1:$CG$1,0)),0)</f>
        <v>286.13058823529411</v>
      </c>
      <c r="BG52" s="56">
        <f>IFERROR(INDEX('Monthly VOL'!$N$2:$CG$65,MATCH($D52,'Monthly VOL'!$D$2:$D$65,0),MATCH(BG$1,'Monthly VOL'!$N$1:$CG$1,0))/INDEX('Monthly CUST'!$N$2:$CG$65,MATCH($D52,'Monthly CUST'!$D$2:$D$65,0),MATCH(BG$1,'Monthly CUST'!$N$1:$CG$1,0)),0)</f>
        <v>291.12235294117647</v>
      </c>
      <c r="BH52" s="56">
        <f>IFERROR(INDEX('Monthly VOL'!$N$2:$CG$65,MATCH($D52,'Monthly VOL'!$D$2:$D$65,0),MATCH(BH$1,'Monthly VOL'!$N$1:$CG$1,0))/INDEX('Monthly CUST'!$N$2:$CG$65,MATCH($D52,'Monthly CUST'!$D$2:$D$65,0),MATCH(BH$1,'Monthly CUST'!$N$1:$CG$1,0)),0)</f>
        <v>274.35117647058826</v>
      </c>
      <c r="BI52" s="56">
        <f>IFERROR(INDEX('Monthly VOL'!$N$2:$CG$65,MATCH($D52,'Monthly VOL'!$D$2:$D$65,0),MATCH(BI$1,'Monthly VOL'!$N$1:$CG$1,0))/INDEX('Monthly CUST'!$N$2:$CG$65,MATCH($D52,'Monthly CUST'!$D$2:$D$65,0),MATCH(BI$1,'Monthly CUST'!$N$1:$CG$1,0)),0)</f>
        <v>370.81812500000001</v>
      </c>
      <c r="BJ52" s="56">
        <f>IFERROR(INDEX('Monthly VOL'!$N$2:$CG$65,MATCH($D52,'Monthly VOL'!$D$2:$D$65,0),MATCH(BJ$1,'Monthly VOL'!$N$1:$CG$1,0))/INDEX('Monthly CUST'!$N$2:$CG$65,MATCH($D52,'Monthly CUST'!$D$2:$D$65,0),MATCH(BJ$1,'Monthly CUST'!$N$1:$CG$1,0)),0)</f>
        <v>300.83329200532671</v>
      </c>
      <c r="BK52" s="56">
        <f>IFERROR(INDEX('Monthly VOL'!$N$2:$CG$65,MATCH($D52,'Monthly VOL'!$D$2:$D$65,0),MATCH(BK$1,'Monthly VOL'!$N$1:$CG$1,0))/INDEX('Monthly CUST'!$N$2:$CG$65,MATCH($D52,'Monthly CUST'!$D$2:$D$65,0),MATCH(BK$1,'Monthly CUST'!$N$1:$CG$1,0)),0)</f>
        <v>261.76424746947959</v>
      </c>
      <c r="BL52" s="56">
        <f>IFERROR(INDEX('Monthly VOL'!$N$2:$CG$65,MATCH($D52,'Monthly VOL'!$D$2:$D$65,0),MATCH(BL$1,'Monthly VOL'!$N$1:$CG$1,0))/INDEX('Monthly CUST'!$N$2:$CG$65,MATCH($D52,'Monthly CUST'!$D$2:$D$65,0),MATCH(BL$1,'Monthly CUST'!$N$1:$CG$1,0)),0)</f>
        <v>272.71884570221528</v>
      </c>
      <c r="BM52" s="56">
        <f>IFERROR(INDEX('Monthly VOL'!$N$2:$CG$65,MATCH($D52,'Monthly VOL'!$D$2:$D$65,0),MATCH(BM$1,'Monthly VOL'!$N$1:$CG$1,0))/INDEX('Monthly CUST'!$N$2:$CG$65,MATCH($D52,'Monthly CUST'!$D$2:$D$65,0),MATCH(BM$1,'Monthly CUST'!$N$1:$CG$1,0)),0)</f>
        <v>326.37105189616835</v>
      </c>
      <c r="BN52" s="56">
        <f>IFERROR(INDEX('Monthly VOL'!$N$2:$CG$65,MATCH($D52,'Monthly VOL'!$D$2:$D$65,0),MATCH(BN$1,'Monthly VOL'!$N$1:$CG$1,0))/INDEX('Monthly CUST'!$N$2:$CG$65,MATCH($D52,'Monthly CUST'!$D$2:$D$65,0),MATCH(BN$1,'Monthly CUST'!$N$1:$CG$1,0)),0)</f>
        <v>281.47427889188464</v>
      </c>
      <c r="BO52" s="56">
        <f>IFERROR(INDEX('Monthly VOL'!$N$2:$CG$65,MATCH($D52,'Monthly VOL'!$D$2:$D$65,0),MATCH(BO$1,'Monthly VOL'!$N$1:$CG$1,0))/INDEX('Monthly CUST'!$N$2:$CG$65,MATCH($D52,'Monthly CUST'!$D$2:$D$65,0),MATCH(BO$1,'Monthly CUST'!$N$1:$CG$1,0)),0)</f>
        <v>286.66181121628978</v>
      </c>
      <c r="BP52" s="56">
        <f>IFERROR(INDEX('Monthly VOL'!$N$2:$CG$65,MATCH($D52,'Monthly VOL'!$D$2:$D$65,0),MATCH(BP$1,'Monthly VOL'!$N$1:$CG$1,0))/INDEX('Monthly CUST'!$N$2:$CG$65,MATCH($D52,'Monthly CUST'!$D$2:$D$65,0),MATCH(BP$1,'Monthly CUST'!$N$1:$CG$1,0)),0)</f>
        <v>289.73322141971545</v>
      </c>
      <c r="BQ52" s="56">
        <f>IFERROR(INDEX('Monthly VOL'!$N$2:$CG$65,MATCH($D52,'Monthly VOL'!$D$2:$D$65,0),MATCH(BQ$1,'Monthly VOL'!$N$1:$CG$1,0))/INDEX('Monthly CUST'!$N$2:$CG$65,MATCH($D52,'Monthly CUST'!$D$2:$D$65,0),MATCH(BQ$1,'Monthly CUST'!$N$1:$CG$1,0)),0)</f>
        <v>283.4113581170173</v>
      </c>
      <c r="BR52" s="56">
        <f>IFERROR(INDEX('Monthly VOL'!$N$2:$CG$65,MATCH($D52,'Monthly VOL'!$D$2:$D$65,0),MATCH(BR$1,'Monthly VOL'!$N$1:$CG$1,0))/INDEX('Monthly CUST'!$N$2:$CG$65,MATCH($D52,'Monthly CUST'!$D$2:$D$65,0),MATCH(BR$1,'Monthly CUST'!$N$1:$CG$1,0)),0)</f>
        <v>286.48159040665445</v>
      </c>
      <c r="BS52" s="56">
        <f>IFERROR(INDEX('Monthly VOL'!$N$2:$CG$65,MATCH($D52,'Monthly VOL'!$D$2:$D$65,0),MATCH(BS$1,'Monthly VOL'!$N$1:$CG$1,0))/INDEX('Monthly CUST'!$N$2:$CG$65,MATCH($D52,'Monthly CUST'!$D$2:$D$65,0),MATCH(BS$1,'Monthly CUST'!$N$1:$CG$1,0)),0)</f>
        <v>291.47947861111658</v>
      </c>
      <c r="BT52" s="56">
        <f>IFERROR(INDEX('Monthly VOL'!$N$2:$CG$65,MATCH($D52,'Monthly VOL'!$D$2:$D$65,0),MATCH(BT$1,'Monthly VOL'!$N$1:$CG$1,0))/INDEX('Monthly CUST'!$N$2:$CG$65,MATCH($D52,'Monthly CUST'!$D$2:$D$65,0),MATCH(BT$1,'Monthly CUST'!$N$1:$CG$1,0)),0)</f>
        <v>274.68772859963661</v>
      </c>
      <c r="BU52" s="56">
        <f>IFERROR(INDEX('Monthly VOL'!$N$2:$CG$65,MATCH($D52,'Monthly VOL'!$D$2:$D$65,0),MATCH(BU$1,'Monthly VOL'!$N$1:$CG$1,0))/INDEX('Monthly CUST'!$N$2:$CG$65,MATCH($D52,'Monthly CUST'!$D$2:$D$65,0),MATCH(BU$1,'Monthly CUST'!$N$1:$CG$1,0)),0)</f>
        <v>371.27301508308244</v>
      </c>
      <c r="BV52" s="56">
        <f>IFERROR(INDEX('Monthly VOL'!$N$2:$CG$65,MATCH($D52,'Monthly VOL'!$D$2:$D$65,0),MATCH(BV$1,'Monthly VOL'!$N$1:$CG$1,0))/INDEX('Monthly CUST'!$N$2:$CG$65,MATCH($D52,'Monthly CUST'!$D$2:$D$65,0),MATCH(BV$1,'Monthly CUST'!$N$1:$CG$1,0)),0)</f>
        <v>301.20233028034158</v>
      </c>
      <c r="BW52" s="56">
        <f>IFERROR(INDEX('Monthly VOL'!$N$2:$CG$65,MATCH($D52,'Monthly VOL'!$D$2:$D$65,0),MATCH(BW$1,'Monthly VOL'!$N$1:$CG$1,0))/INDEX('Monthly CUST'!$N$2:$CG$65,MATCH($D52,'Monthly CUST'!$D$2:$D$65,0),MATCH(BW$1,'Monthly CUST'!$N$1:$CG$1,0)),0)</f>
        <v>262.08535895851321</v>
      </c>
      <c r="BX52" s="56">
        <f>IFERROR(INDEX('Monthly VOL'!$N$2:$CG$65,MATCH($D52,'Monthly VOL'!$D$2:$D$65,0),MATCH(BX$1,'Monthly VOL'!$N$1:$CG$1,0))/INDEX('Monthly CUST'!$N$2:$CG$65,MATCH($D52,'Monthly CUST'!$D$2:$D$65,0),MATCH(BX$1,'Monthly CUST'!$N$1:$CG$1,0)),0)</f>
        <v>273.05339541814305</v>
      </c>
      <c r="BY52" s="56">
        <f>IFERROR(INDEX('Monthly VOL'!$N$2:$CG$65,MATCH($D52,'Monthly VOL'!$D$2:$D$65,0),MATCH(BY$1,'Monthly VOL'!$N$1:$CG$1,0))/INDEX('Monthly CUST'!$N$2:$CG$65,MATCH($D52,'Monthly CUST'!$D$2:$D$65,0),MATCH(BY$1,'Monthly CUST'!$N$1:$CG$1,0)),0)</f>
        <v>326.771417857009</v>
      </c>
      <c r="BZ52" s="56">
        <f>IFERROR(INDEX('Monthly VOL'!$N$2:$CG$65,MATCH($D52,'Monthly VOL'!$D$2:$D$65,0),MATCH(BZ$1,'Monthly VOL'!$N$1:$CG$1,0))/INDEX('Monthly CUST'!$N$2:$CG$65,MATCH($D52,'Monthly CUST'!$D$2:$D$65,0),MATCH(BZ$1,'Monthly CUST'!$N$1:$CG$1,0)),0)</f>
        <v>281.81956907453332</v>
      </c>
      <c r="CA52" s="56">
        <f>IFERROR(INDEX('Monthly VOL'!$N$2:$CG$65,MATCH($D52,'Monthly VOL'!$D$2:$D$65,0),MATCH(CA$1,'Monthly VOL'!$N$1:$CG$1,0))/INDEX('Monthly CUST'!$N$2:$CG$65,MATCH($D52,'Monthly CUST'!$D$2:$D$65,0),MATCH(CA$1,'Monthly CUST'!$N$1:$CG$1,0)),0)</f>
        <v>287.01346504960964</v>
      </c>
      <c r="CB52" s="56">
        <f>IFERROR(INDEX('Monthly VOL'!$N$2:$CG$65,MATCH($D52,'Monthly VOL'!$D$2:$D$65,0),MATCH(CB$1,'Monthly VOL'!$N$1:$CG$1,0))/INDEX('Monthly CUST'!$N$2:$CG$65,MATCH($D52,'Monthly CUST'!$D$2:$D$65,0),MATCH(CB$1,'Monthly CUST'!$N$1:$CG$1,0)),0)</f>
        <v>290.08864301396289</v>
      </c>
      <c r="CC52" s="56">
        <f>IFERROR(INDEX('Monthly VOL'!$N$2:$CG$65,MATCH($D52,'Monthly VOL'!$D$2:$D$65,0),MATCH(CC$1,'Monthly VOL'!$N$1:$CG$1,0))/INDEX('Monthly CUST'!$N$2:$CG$65,MATCH($D52,'Monthly CUST'!$D$2:$D$65,0),MATCH(CC$1,'Monthly CUST'!$N$1:$CG$1,0)),0)</f>
        <v>283.75902455387325</v>
      </c>
      <c r="CD52" s="56">
        <f>IFERROR(INDEX('Monthly VOL'!$N$2:$CG$65,MATCH($D52,'Monthly VOL'!$D$2:$D$65,0),MATCH(CD$1,'Monthly VOL'!$N$1:$CG$1,0))/INDEX('Monthly CUST'!$N$2:$CG$65,MATCH($D52,'Monthly CUST'!$D$2:$D$65,0),MATCH(CD$1,'Monthly CUST'!$N$1:$CG$1,0)),0)</f>
        <v>286.83302315946736</v>
      </c>
      <c r="CE52" s="56">
        <f>IFERROR(INDEX('Monthly VOL'!$N$2:$CG$65,MATCH($D52,'Monthly VOL'!$D$2:$D$65,0),MATCH(CE$1,'Monthly VOL'!$N$1:$CG$1,0))/INDEX('Monthly CUST'!$N$2:$CG$65,MATCH($D52,'Monthly CUST'!$D$2:$D$65,0),MATCH(CE$1,'Monthly CUST'!$N$1:$CG$1,0)),0)</f>
        <v>291.83704237432863</v>
      </c>
      <c r="CF52" s="56">
        <f>IFERROR(INDEX('Monthly VOL'!$N$2:$CG$65,MATCH($D52,'Monthly VOL'!$D$2:$D$65,0),MATCH(CF$1,'Monthly VOL'!$N$1:$CG$1,0))/INDEX('Monthly CUST'!$N$2:$CG$65,MATCH($D52,'Monthly CUST'!$D$2:$D$65,0),MATCH(CF$1,'Monthly CUST'!$N$1:$CG$1,0)),0)</f>
        <v>275.02469358397877</v>
      </c>
      <c r="CG52" s="56">
        <f>IFERROR(INDEX('Monthly VOL'!$N$2:$CG$65,MATCH($D52,'Monthly VOL'!$D$2:$D$65,0),MATCH(CG$1,'Monthly VOL'!$N$1:$CG$1,0))/INDEX('Monthly CUST'!$N$2:$CG$65,MATCH($D52,'Monthly CUST'!$D$2:$D$65,0),MATCH(CG$1,'Monthly CUST'!$N$1:$CG$1,0)),0)</f>
        <v>371.72846318901685</v>
      </c>
      <c r="CH52" s="264"/>
      <c r="CI52" s="264"/>
      <c r="CJ52" s="264"/>
      <c r="CM52" s="569">
        <f t="shared" si="24"/>
        <v>288.32256862745095</v>
      </c>
      <c r="CN52" s="569">
        <f t="shared" si="25"/>
        <v>273.81926728586171</v>
      </c>
      <c r="CO52" s="569">
        <f t="shared" si="26"/>
        <v>277.21905056759545</v>
      </c>
      <c r="CP52" s="569">
        <f t="shared" si="27"/>
        <v>270.70472652218785</v>
      </c>
      <c r="CQ52" s="569">
        <f t="shared" si="28"/>
        <v>274.35274509803924</v>
      </c>
      <c r="CR52" s="569">
        <f t="shared" si="29"/>
        <v>288.56666666666666</v>
      </c>
      <c r="CS52" s="569">
        <f t="shared" si="30"/>
        <v>279.8798910675381</v>
      </c>
      <c r="CT52" s="569">
        <f t="shared" si="31"/>
        <v>285.73717864923748</v>
      </c>
      <c r="CU52" s="569">
        <f t="shared" si="32"/>
        <v>290.55515250544664</v>
      </c>
      <c r="CV52" s="569">
        <f t="shared" si="33"/>
        <v>286.99339869281044</v>
      </c>
      <c r="CW52" s="569">
        <f t="shared" si="34"/>
        <v>298.94971104231166</v>
      </c>
      <c r="CX52" s="569">
        <f t="shared" si="35"/>
        <v>325.05819852941175</v>
      </c>
      <c r="CY52" s="569">
        <f t="shared" si="36"/>
        <v>288.32256862745095</v>
      </c>
      <c r="CZ52" s="569">
        <f t="shared" si="37"/>
        <v>273.81926728586171</v>
      </c>
      <c r="DA52" s="569">
        <f t="shared" si="38"/>
        <v>277.21905056759545</v>
      </c>
      <c r="DB52" s="569">
        <f t="shared" si="39"/>
        <v>270.70472652218785</v>
      </c>
      <c r="DC52" s="569">
        <f t="shared" si="40"/>
        <v>274.35274509803924</v>
      </c>
      <c r="DD52" s="569">
        <f t="shared" si="41"/>
        <v>288.56666666666666</v>
      </c>
      <c r="DE52" s="569">
        <f t="shared" si="42"/>
        <v>279.8798910675381</v>
      </c>
      <c r="DF52" s="569">
        <f t="shared" si="43"/>
        <v>285.73717864923748</v>
      </c>
      <c r="DG52" s="569">
        <f t="shared" si="44"/>
        <v>290.55515250544664</v>
      </c>
      <c r="DH52" s="569">
        <f t="shared" si="45"/>
        <v>286.99339869281044</v>
      </c>
      <c r="DI52" s="569">
        <f t="shared" si="46"/>
        <v>298.94971104231166</v>
      </c>
      <c r="DJ52" s="569">
        <f t="shared" si="47"/>
        <v>325.05819852941175</v>
      </c>
    </row>
    <row r="53" spans="1:114" s="261" customFormat="1">
      <c r="A53" s="55" t="s">
        <v>17</v>
      </c>
      <c r="B53" s="55" t="s">
        <v>993</v>
      </c>
      <c r="C53" s="55" t="s">
        <v>1245</v>
      </c>
      <c r="D53" s="55" t="s">
        <v>1301</v>
      </c>
      <c r="E53" s="55" t="str">
        <f>VLOOKUP(D53,'Input 14_Ref Table'!C:D,2,FALSE)</f>
        <v>CC824</v>
      </c>
      <c r="F53" s="172" t="s">
        <v>1286</v>
      </c>
      <c r="G53" s="55" t="str">
        <f>VLOOKUP(D53,'Input 14_Ref Table'!C:I,7,FALSE)</f>
        <v>CFG - FTS-3.1 NR</v>
      </c>
      <c r="H53" s="55" t="str">
        <f>VLOOKUP(D53,'Input 14_Ref Table'!C:K,8,FALSE)</f>
        <v>FTS3.1</v>
      </c>
      <c r="I53" s="55" t="e">
        <f>INDEX(#REF!,MATCH(D53,#REF!,0))</f>
        <v>#REF!</v>
      </c>
      <c r="J53" s="261" t="str">
        <f>INDEX('Master '!$AD$2:AD$65,MATCH(D53,'Master '!$D$2:$D$65,0))</f>
        <v>UPC Growth Rate</v>
      </c>
      <c r="K53" s="567">
        <f>INDEX('Master '!$N$2:N$65,MATCH(D53,'Master '!$D$2:$D$65,0))</f>
        <v>-1.0532413897830479E-2</v>
      </c>
      <c r="L53" s="290">
        <f>INDEX('Master '!$S$2:S$65,MATCH(D53,'Master '!$D$2:$D$65,0))</f>
        <v>-5.3752990430621737E-3</v>
      </c>
      <c r="M53" s="1">
        <f>INDEX('Master '!$W$2:W$65,MATCH(D53,'Master '!$D$2:$D$65,0))</f>
        <v>6652.05</v>
      </c>
      <c r="N53" s="56">
        <f>IFERROR(INDEX('Monthly VOL'!$N$2:$CG$65,MATCH($D53,'Monthly VOL'!$D$2:$D$65,0),MATCH(N$1,'Monthly VOL'!$N$1:$CG$1,0))/INDEX('Monthly CUST'!$N$2:$CG$65,MATCH($D53,'Monthly CUST'!$D$2:$D$65,0),MATCH(N$1,'Monthly CUST'!$N$1:$CG$1,0)),0)</f>
        <v>738.00379629629629</v>
      </c>
      <c r="O53" s="56">
        <f>IFERROR(INDEX('Monthly VOL'!$N$2:$CG$65,MATCH($D53,'Monthly VOL'!$D$2:$D$65,0),MATCH(O$1,'Monthly VOL'!$N$1:$CG$1,0))/INDEX('Monthly CUST'!$N$2:$CG$65,MATCH($D53,'Monthly CUST'!$D$2:$D$65,0),MATCH(O$1,'Monthly CUST'!$N$1:$CG$1,0)),0)</f>
        <v>705.61935779816508</v>
      </c>
      <c r="P53" s="56">
        <f>IFERROR(INDEX('Monthly VOL'!$N$2:$CG$65,MATCH($D53,'Monthly VOL'!$D$2:$D$65,0),MATCH(P$1,'Monthly VOL'!$N$1:$CG$1,0))/INDEX('Monthly CUST'!$N$2:$CG$65,MATCH($D53,'Monthly CUST'!$D$2:$D$65,0),MATCH(P$1,'Monthly CUST'!$N$1:$CG$1,0)),0)</f>
        <v>679.99076923076927</v>
      </c>
      <c r="Q53" s="56">
        <f>IFERROR(INDEX('Monthly VOL'!$N$2:$CG$65,MATCH($D53,'Monthly VOL'!$D$2:$D$65,0),MATCH(Q$1,'Monthly VOL'!$N$1:$CG$1,0))/INDEX('Monthly CUST'!$N$2:$CG$65,MATCH($D53,'Monthly CUST'!$D$2:$D$65,0),MATCH(Q$1,'Monthly CUST'!$N$1:$CG$1,0)),0)</f>
        <v>663.6382388059701</v>
      </c>
      <c r="R53" s="56">
        <f>IFERROR(INDEX('Monthly VOL'!$N$2:$CG$65,MATCH($D53,'Monthly VOL'!$D$2:$D$65,0),MATCH(R$1,'Monthly VOL'!$N$1:$CG$1,0))/INDEX('Monthly CUST'!$N$2:$CG$65,MATCH($D53,'Monthly CUST'!$D$2:$D$65,0),MATCH(R$1,'Monthly CUST'!$N$1:$CG$1,0)),0)</f>
        <v>575.36736526946106</v>
      </c>
      <c r="S53" s="56">
        <f>IFERROR(INDEX('Monthly VOL'!$N$2:$CG$65,MATCH($D53,'Monthly VOL'!$D$2:$D$65,0),MATCH(S$1,'Monthly VOL'!$N$1:$CG$1,0))/INDEX('Monthly CUST'!$N$2:$CG$65,MATCH($D53,'Monthly CUST'!$D$2:$D$65,0),MATCH(S$1,'Monthly CUST'!$N$1:$CG$1,0)),0)</f>
        <v>592.63284848484852</v>
      </c>
      <c r="T53" s="56">
        <f>IFERROR(INDEX('Monthly VOL'!$N$2:$CG$65,MATCH($D53,'Monthly VOL'!$D$2:$D$65,0),MATCH(T$1,'Monthly VOL'!$N$1:$CG$1,0))/INDEX('Monthly CUST'!$N$2:$CG$65,MATCH($D53,'Monthly CUST'!$D$2:$D$65,0),MATCH(T$1,'Monthly CUST'!$N$1:$CG$1,0)),0)</f>
        <v>529.98784194528878</v>
      </c>
      <c r="U53" s="56">
        <f>IFERROR(INDEX('Monthly VOL'!$N$2:$CG$65,MATCH($D53,'Monthly VOL'!$D$2:$D$65,0),MATCH(U$1,'Monthly VOL'!$N$1:$CG$1,0))/INDEX('Monthly CUST'!$N$2:$CG$65,MATCH($D53,'Monthly CUST'!$D$2:$D$65,0),MATCH(U$1,'Monthly CUST'!$N$1:$CG$1,0)),0)</f>
        <v>542.37006116207954</v>
      </c>
      <c r="V53" s="56">
        <f>IFERROR(INDEX('Monthly VOL'!$N$2:$CG$65,MATCH($D53,'Monthly VOL'!$D$2:$D$65,0),MATCH(V$1,'Monthly VOL'!$N$1:$CG$1,0))/INDEX('Monthly CUST'!$N$2:$CG$65,MATCH($D53,'Monthly CUST'!$D$2:$D$65,0),MATCH(V$1,'Monthly CUST'!$N$1:$CG$1,0)),0)</f>
        <v>559.11070769230776</v>
      </c>
      <c r="W53" s="56">
        <f>IFERROR(INDEX('Monthly VOL'!$N$2:$CG$65,MATCH($D53,'Monthly VOL'!$D$2:$D$65,0),MATCH(W$1,'Monthly VOL'!$N$1:$CG$1,0))/INDEX('Monthly CUST'!$N$2:$CG$65,MATCH($D53,'Monthly CUST'!$D$2:$D$65,0),MATCH(W$1,'Monthly CUST'!$N$1:$CG$1,0)),0)</f>
        <v>512.71631097560976</v>
      </c>
      <c r="X53" s="56">
        <f>IFERROR(INDEX('Monthly VOL'!$N$2:$CG$65,MATCH($D53,'Monthly VOL'!$D$2:$D$65,0),MATCH(X$1,'Monthly VOL'!$N$1:$CG$1,0))/INDEX('Monthly CUST'!$N$2:$CG$65,MATCH($D53,'Monthly CUST'!$D$2:$D$65,0),MATCH(X$1,'Monthly CUST'!$N$1:$CG$1,0)),0)</f>
        <v>621.67157099697886</v>
      </c>
      <c r="Y53" s="56">
        <f>IFERROR(INDEX('Monthly VOL'!$N$2:$CG$65,MATCH($D53,'Monthly VOL'!$D$2:$D$65,0),MATCH(Y$1,'Monthly VOL'!$N$1:$CG$1,0))/INDEX('Monthly CUST'!$N$2:$CG$65,MATCH($D53,'Monthly CUST'!$D$2:$D$65,0),MATCH(Y$1,'Monthly CUST'!$N$1:$CG$1,0)),0)</f>
        <v>637.67316417910456</v>
      </c>
      <c r="Z53" s="56">
        <f>IFERROR(INDEX('Monthly VOL'!$N$2:$CG$65,MATCH($D53,'Monthly VOL'!$D$2:$D$65,0),MATCH(Z$1,'Monthly VOL'!$N$1:$CG$1,0))/INDEX('Monthly CUST'!$N$2:$CG$65,MATCH($D53,'Monthly CUST'!$D$2:$D$65,0),MATCH(Z$1,'Monthly CUST'!$N$1:$CG$1,0)),0)</f>
        <v>677.4848484848485</v>
      </c>
      <c r="AA53" s="56">
        <f>IFERROR(INDEX('Monthly VOL'!$N$2:$CG$65,MATCH($D53,'Monthly VOL'!$D$2:$D$65,0),MATCH(AA$1,'Monthly VOL'!$N$1:$CG$1,0))/INDEX('Monthly CUST'!$N$2:$CG$65,MATCH($D53,'Monthly CUST'!$D$2:$D$65,0),MATCH(AA$1,'Monthly CUST'!$N$1:$CG$1,0)),0)</f>
        <v>686.50954407294842</v>
      </c>
      <c r="AB53" s="56">
        <f>IFERROR(INDEX('Monthly VOL'!$N$2:$CG$65,MATCH($D53,'Monthly VOL'!$D$2:$D$65,0),MATCH(AB$1,'Monthly VOL'!$N$1:$CG$1,0))/INDEX('Monthly CUST'!$N$2:$CG$65,MATCH($D53,'Monthly CUST'!$D$2:$D$65,0),MATCH(AB$1,'Monthly CUST'!$N$1:$CG$1,0)),0)</f>
        <v>612.88160606060603</v>
      </c>
      <c r="AC53" s="56">
        <f>IFERROR(INDEX('Monthly VOL'!$N$2:$CG$65,MATCH($D53,'Monthly VOL'!$D$2:$D$65,0),MATCH(AC$1,'Monthly VOL'!$N$1:$CG$1,0))/INDEX('Monthly CUST'!$N$2:$CG$65,MATCH($D53,'Monthly CUST'!$D$2:$D$65,0),MATCH(AC$1,'Monthly CUST'!$N$1:$CG$1,0)),0)</f>
        <v>608.27673652694614</v>
      </c>
      <c r="AD53" s="56">
        <f>IFERROR(INDEX('Monthly VOL'!$N$2:$CG$65,MATCH($D53,'Monthly VOL'!$D$2:$D$65,0),MATCH(AD$1,'Monthly VOL'!$N$1:$CG$1,0))/INDEX('Monthly CUST'!$N$2:$CG$65,MATCH($D53,'Monthly CUST'!$D$2:$D$65,0),MATCH(AD$1,'Monthly CUST'!$N$1:$CG$1,0)),0)</f>
        <v>591.96419161676647</v>
      </c>
      <c r="AE53" s="56">
        <f>IFERROR(INDEX('Monthly VOL'!$N$2:$CG$65,MATCH($D53,'Monthly VOL'!$D$2:$D$65,0),MATCH(AE$1,'Monthly VOL'!$N$1:$CG$1,0))/INDEX('Monthly CUST'!$N$2:$CG$65,MATCH($D53,'Monthly CUST'!$D$2:$D$65,0),MATCH(AE$1,'Monthly CUST'!$N$1:$CG$1,0)),0)</f>
        <v>617.1692424242425</v>
      </c>
      <c r="AF53" s="56">
        <f>IFERROR(INDEX('Monthly VOL'!$N$2:$CG$65,MATCH($D53,'Monthly VOL'!$D$2:$D$65,0),MATCH(AF$1,'Monthly VOL'!$N$1:$CG$1,0))/INDEX('Monthly CUST'!$N$2:$CG$65,MATCH($D53,'Monthly CUST'!$D$2:$D$65,0),MATCH(AF$1,'Monthly CUST'!$N$1:$CG$1,0)),0)</f>
        <v>519.88157099697878</v>
      </c>
      <c r="AG53" s="56">
        <f>IFERROR(INDEX('Monthly VOL'!$N$2:$CG$65,MATCH($D53,'Monthly VOL'!$D$2:$D$65,0),MATCH(AG$1,'Monthly VOL'!$N$1:$CG$1,0))/INDEX('Monthly CUST'!$N$2:$CG$65,MATCH($D53,'Monthly CUST'!$D$2:$D$65,0),MATCH(AG$1,'Monthly CUST'!$N$1:$CG$1,0)),0)</f>
        <v>524.94117824773411</v>
      </c>
      <c r="AH53" s="56">
        <f>IFERROR(INDEX('Monthly VOL'!$N$2:$CG$65,MATCH($D53,'Monthly VOL'!$D$2:$D$65,0),MATCH(AH$1,'Monthly VOL'!$N$1:$CG$1,0))/INDEX('Monthly CUST'!$N$2:$CG$65,MATCH($D53,'Monthly CUST'!$D$2:$D$65,0),MATCH(AH$1,'Monthly CUST'!$N$1:$CG$1,0)),0)</f>
        <v>561.65498480243161</v>
      </c>
      <c r="AI53" s="56">
        <f>IFERROR(INDEX('Monthly VOL'!$N$2:$CG$65,MATCH($D53,'Monthly VOL'!$D$2:$D$65,0),MATCH(AI$1,'Monthly VOL'!$N$1:$CG$1,0))/INDEX('Monthly CUST'!$N$2:$CG$65,MATCH($D53,'Monthly CUST'!$D$2:$D$65,0),MATCH(AI$1,'Monthly CUST'!$N$1:$CG$1,0)),0)</f>
        <v>540.05984802431612</v>
      </c>
      <c r="AJ53" s="56">
        <f>IFERROR(INDEX('Monthly VOL'!$N$2:$CG$65,MATCH($D53,'Monthly VOL'!$D$2:$D$65,0),MATCH(AJ$1,'Monthly VOL'!$N$1:$CG$1,0))/INDEX('Monthly CUST'!$N$2:$CG$65,MATCH($D53,'Monthly CUST'!$D$2:$D$65,0),MATCH(AJ$1,'Monthly CUST'!$N$1:$CG$1,0)),0)</f>
        <v>580.77174311926603</v>
      </c>
      <c r="AK53" s="56">
        <f>IFERROR(INDEX('Monthly VOL'!$N$2:$CG$65,MATCH($D53,'Monthly VOL'!$D$2:$D$65,0),MATCH(AK$1,'Monthly VOL'!$N$1:$CG$1,0))/INDEX('Monthly CUST'!$N$2:$CG$65,MATCH($D53,'Monthly CUST'!$D$2:$D$65,0),MATCH(AK$1,'Monthly CUST'!$N$1:$CG$1,0)),0)</f>
        <v>662.74546546546549</v>
      </c>
      <c r="AL53" s="56">
        <f>IFERROR(INDEX('Monthly VOL'!$N$2:$CG$65,MATCH($D53,'Monthly VOL'!$D$2:$D$65,0),MATCH(AL$1,'Monthly VOL'!$N$1:$CG$1,0))/INDEX('Monthly CUST'!$N$2:$CG$65,MATCH($D53,'Monthly CUST'!$D$2:$D$65,0),MATCH(AL$1,'Monthly CUST'!$N$1:$CG$1,0)),0)</f>
        <v>749.22169642857136</v>
      </c>
      <c r="AM53" s="56">
        <f>IFERROR(INDEX('Monthly VOL'!$N$2:$CG$65,MATCH($D53,'Monthly VOL'!$D$2:$D$65,0),MATCH(AM$1,'Monthly VOL'!$N$1:$CG$1,0))/INDEX('Monthly CUST'!$N$2:$CG$65,MATCH($D53,'Monthly CUST'!$D$2:$D$65,0),MATCH(AM$1,'Monthly CUST'!$N$1:$CG$1,0)),0)</f>
        <v>587.53976261127593</v>
      </c>
      <c r="AN53" s="56">
        <f>IFERROR(INDEX('Monthly VOL'!$N$2:$CG$65,MATCH($D53,'Monthly VOL'!$D$2:$D$65,0),MATCH(AN$1,'Monthly VOL'!$N$1:$CG$1,0))/INDEX('Monthly CUST'!$N$2:$CG$65,MATCH($D53,'Monthly CUST'!$D$2:$D$65,0),MATCH(AN$1,'Monthly CUST'!$N$1:$CG$1,0)),0)</f>
        <v>594.84437869822489</v>
      </c>
      <c r="AO53" s="56">
        <f>IFERROR(INDEX('Monthly VOL'!$N$2:$CG$65,MATCH($D53,'Monthly VOL'!$D$2:$D$65,0),MATCH(AO$1,'Monthly VOL'!$N$1:$CG$1,0))/INDEX('Monthly CUST'!$N$2:$CG$65,MATCH($D53,'Monthly CUST'!$D$2:$D$65,0),MATCH(AO$1,'Monthly CUST'!$N$1:$CG$1,0)),0)</f>
        <v>423.71890207715131</v>
      </c>
      <c r="AP53" s="56">
        <f>IFERROR(INDEX('Monthly VOL'!$N$2:$CG$65,MATCH($D53,'Monthly VOL'!$D$2:$D$65,0),MATCH(AP$1,'Monthly VOL'!$N$1:$CG$1,0))/INDEX('Monthly CUST'!$N$2:$CG$65,MATCH($D53,'Monthly CUST'!$D$2:$D$65,0),MATCH(AP$1,'Monthly CUST'!$N$1:$CG$1,0)),0)</f>
        <v>451.64139465875371</v>
      </c>
      <c r="AQ53" s="56">
        <f>IFERROR(INDEX('Monthly VOL'!$N$2:$CG$65,MATCH($D53,'Monthly VOL'!$D$2:$D$65,0),MATCH(AQ$1,'Monthly VOL'!$N$1:$CG$1,0))/INDEX('Monthly CUST'!$N$2:$CG$65,MATCH($D53,'Monthly CUST'!$D$2:$D$65,0),MATCH(AQ$1,'Monthly CUST'!$N$1:$CG$1,0)),0)</f>
        <v>488.87827380952382</v>
      </c>
      <c r="AR53" s="56">
        <f>IFERROR(INDEX('Monthly VOL'!$N$2:$CG$65,MATCH($D53,'Monthly VOL'!$D$2:$D$65,0),MATCH(AR$1,'Monthly VOL'!$N$1:$CG$1,0))/INDEX('Monthly CUST'!$N$2:$CG$65,MATCH($D53,'Monthly CUST'!$D$2:$D$65,0),MATCH(AR$1,'Monthly CUST'!$N$1:$CG$1,0)),0)</f>
        <v>518.98997005988019</v>
      </c>
      <c r="AS53" s="56">
        <f>IFERROR(INDEX('Monthly VOL'!$N$2:$CG$65,MATCH($D53,'Monthly VOL'!$D$2:$D$65,0),MATCH(AS$1,'Monthly VOL'!$N$1:$CG$1,0))/INDEX('Monthly CUST'!$N$2:$CG$65,MATCH($D53,'Monthly CUST'!$D$2:$D$65,0),MATCH(AS$1,'Monthly CUST'!$N$1:$CG$1,0)),0)</f>
        <v>491.04738235294116</v>
      </c>
      <c r="AT53" s="56">
        <f>IFERROR(INDEX('Monthly VOL'!$N$2:$CG$65,MATCH($D53,'Monthly VOL'!$D$2:$D$65,0),MATCH(AT$1,'Monthly VOL'!$N$1:$CG$1,0))/INDEX('Monthly CUST'!$N$2:$CG$65,MATCH($D53,'Monthly CUST'!$D$2:$D$65,0),MATCH(AT$1,'Monthly CUST'!$N$1:$CG$1,0)),0)</f>
        <v>500.51808383233538</v>
      </c>
      <c r="AU53" s="56">
        <f>IFERROR(INDEX('Monthly VOL'!$N$2:$CG$65,MATCH($D53,'Monthly VOL'!$D$2:$D$65,0),MATCH(AU$1,'Monthly VOL'!$N$1:$CG$1,0))/INDEX('Monthly CUST'!$N$2:$CG$65,MATCH($D53,'Monthly CUST'!$D$2:$D$65,0),MATCH(AU$1,'Monthly CUST'!$N$1:$CG$1,0)),0)</f>
        <v>502.17452662721888</v>
      </c>
      <c r="AV53" s="56">
        <f>IFERROR(INDEX('Monthly VOL'!$N$2:$CG$65,MATCH($D53,'Monthly VOL'!$D$2:$D$65,0),MATCH(AV$1,'Monthly VOL'!$N$1:$CG$1,0))/INDEX('Monthly CUST'!$N$2:$CG$65,MATCH($D53,'Monthly CUST'!$D$2:$D$65,0),MATCH(AV$1,'Monthly CUST'!$N$1:$CG$1,0)),0)</f>
        <v>557.43913173652697</v>
      </c>
      <c r="AW53" s="56">
        <f>IFERROR(INDEX('Monthly VOL'!$N$2:$CG$65,MATCH($D53,'Monthly VOL'!$D$2:$D$65,0),MATCH(AW$1,'Monthly VOL'!$N$1:$CG$1,0))/INDEX('Monthly CUST'!$N$2:$CG$65,MATCH($D53,'Monthly CUST'!$D$2:$D$65,0),MATCH(AW$1,'Monthly CUST'!$N$1:$CG$1,0)),0)</f>
        <v>645.19180722891565</v>
      </c>
      <c r="AX53" s="56">
        <f>IFERROR(INDEX('Monthly VOL'!$N$2:$CG$65,MATCH($D53,'Monthly VOL'!$D$2:$D$65,0),MATCH(AX$1,'Monthly VOL'!$N$1:$CG$1,0))/INDEX('Monthly CUST'!$N$2:$CG$65,MATCH($D53,'Monthly CUST'!$D$2:$D$65,0),MATCH(AX$1,'Monthly CUST'!$N$1:$CG$1,0)),0)</f>
        <v>691.97423880597012</v>
      </c>
      <c r="AY53" s="56">
        <f>IFERROR(INDEX('Monthly VOL'!$N$2:$CG$65,MATCH($D53,'Monthly VOL'!$D$2:$D$65,0),MATCH(AY$1,'Monthly VOL'!$N$1:$CG$1,0))/INDEX('Monthly CUST'!$N$2:$CG$65,MATCH($D53,'Monthly CUST'!$D$2:$D$65,0),MATCH(AY$1,'Monthly CUST'!$N$1:$CG$1,0)),0)</f>
        <v>565.8200595238095</v>
      </c>
      <c r="AZ53" s="56">
        <f>IFERROR(INDEX('Monthly VOL'!$N$2:$CG$65,MATCH($D53,'Monthly VOL'!$D$2:$D$65,0),MATCH(AZ$1,'Monthly VOL'!$N$1:$CG$1,0))/INDEX('Monthly CUST'!$N$2:$CG$65,MATCH($D53,'Monthly CUST'!$D$2:$D$65,0),MATCH(AZ$1,'Monthly CUST'!$N$1:$CG$1,0)),0)</f>
        <v>607.06857566765575</v>
      </c>
      <c r="BA53" s="56">
        <f>IFERROR(INDEX('Monthly VOL'!$N$2:$CG$65,MATCH($D53,'Monthly VOL'!$D$2:$D$65,0),MATCH(BA$1,'Monthly VOL'!$N$1:$CG$1,0))/INDEX('Monthly CUST'!$N$2:$CG$65,MATCH($D53,'Monthly CUST'!$D$2:$D$65,0),MATCH(BA$1,'Monthly CUST'!$N$1:$CG$1,0)),0)</f>
        <v>669.53032934131738</v>
      </c>
      <c r="BB53" s="56">
        <f>IFERROR(INDEX('Monthly VOL'!$N$2:$CG$65,MATCH($D53,'Monthly VOL'!$D$2:$D$65,0),MATCH(BB$1,'Monthly VOL'!$N$1:$CG$1,0))/INDEX('Monthly CUST'!$N$2:$CG$65,MATCH($D53,'Monthly CUST'!$D$2:$D$65,0),MATCH(BB$1,'Monthly CUST'!$N$1:$CG$1,0)),0)</f>
        <v>554.85078078078072</v>
      </c>
      <c r="BC53" s="56">
        <f>IFERROR(INDEX('Monthly VOL'!$N$2:$CG$65,MATCH($D53,'Monthly VOL'!$D$2:$D$65,0),MATCH(BC$1,'Monthly VOL'!$N$1:$CG$1,0))/INDEX('Monthly CUST'!$N$2:$CG$65,MATCH($D53,'Monthly CUST'!$D$2:$D$65,0),MATCH(BC$1,'Monthly CUST'!$N$1:$CG$1,0)),0)</f>
        <v>548.19528358208959</v>
      </c>
      <c r="BD53" s="56">
        <f>IFERROR(INDEX('Monthly VOL'!$N$2:$CG$65,MATCH($D53,'Monthly VOL'!$D$2:$D$65,0),MATCH(BD$1,'Monthly VOL'!$N$1:$CG$1,0))/INDEX('Monthly CUST'!$N$2:$CG$65,MATCH($D53,'Monthly CUST'!$D$2:$D$65,0),MATCH(BD$1,'Monthly CUST'!$N$1:$CG$1,0)),0)</f>
        <v>567.29567073170733</v>
      </c>
      <c r="BE53" s="56">
        <f>IFERROR(INDEX('Monthly VOL'!$N$2:$CG$65,MATCH($D53,'Monthly VOL'!$D$2:$D$65,0),MATCH(BE$1,'Monthly VOL'!$N$1:$CG$1,0))/INDEX('Monthly CUST'!$N$2:$CG$65,MATCH($D53,'Monthly CUST'!$D$2:$D$65,0),MATCH(BE$1,'Monthly CUST'!$N$1:$CG$1,0)),0)</f>
        <v>539.77921212121214</v>
      </c>
      <c r="BF53" s="56">
        <f>IFERROR(INDEX('Monthly VOL'!$N$2:$CG$65,MATCH($D53,'Monthly VOL'!$D$2:$D$65,0),MATCH(BF$1,'Monthly VOL'!$N$1:$CG$1,0))/INDEX('Monthly CUST'!$N$2:$CG$65,MATCH($D53,'Monthly CUST'!$D$2:$D$65,0),MATCH(BF$1,'Monthly CUST'!$N$1:$CG$1,0)),0)</f>
        <v>559.13750750750751</v>
      </c>
      <c r="BG53" s="56">
        <f>IFERROR(INDEX('Monthly VOL'!$N$2:$CG$65,MATCH($D53,'Monthly VOL'!$D$2:$D$65,0),MATCH(BG$1,'Monthly VOL'!$N$1:$CG$1,0))/INDEX('Monthly CUST'!$N$2:$CG$65,MATCH($D53,'Monthly CUST'!$D$2:$D$65,0),MATCH(BG$1,'Monthly CUST'!$N$1:$CG$1,0)),0)</f>
        <v>545.4712688821752</v>
      </c>
      <c r="BH53" s="56">
        <f>IFERROR(INDEX('Monthly VOL'!$N$2:$CG$65,MATCH($D53,'Monthly VOL'!$D$2:$D$65,0),MATCH(BH$1,'Monthly VOL'!$N$1:$CG$1,0))/INDEX('Monthly CUST'!$N$2:$CG$65,MATCH($D53,'Monthly CUST'!$D$2:$D$65,0),MATCH(BH$1,'Monthly CUST'!$N$1:$CG$1,0)),0)</f>
        <v>552.09903323262836</v>
      </c>
      <c r="BI53" s="56">
        <f>IFERROR(INDEX('Monthly VOL'!$N$2:$CG$65,MATCH($D53,'Monthly VOL'!$D$2:$D$65,0),MATCH(BI$1,'Monthly VOL'!$N$1:$CG$1,0))/INDEX('Monthly CUST'!$N$2:$CG$65,MATCH($D53,'Monthly CUST'!$D$2:$D$65,0),MATCH(BI$1,'Monthly CUST'!$N$1:$CG$1,0)),0)</f>
        <v>725.86706231454014</v>
      </c>
      <c r="BJ53" s="56">
        <f>IFERROR(INDEX('Monthly VOL'!$N$2:$CG$65,MATCH($D53,'Monthly VOL'!$D$2:$D$65,0),MATCH(BJ$1,'Monthly VOL'!$N$1:$CG$1,0))/INDEX('Monthly CUST'!$N$2:$CG$65,MATCH($D53,'Monthly CUST'!$D$2:$D$65,0),MATCH(BJ$1,'Monthly CUST'!$N$1:$CG$1,0)),0)</f>
        <v>688.25467034229268</v>
      </c>
      <c r="BK53" s="56">
        <f>IFERROR(INDEX('Monthly VOL'!$N$2:$CG$65,MATCH($D53,'Monthly VOL'!$D$2:$D$65,0),MATCH(BK$1,'Monthly VOL'!$N$1:$CG$1,0))/INDEX('Monthly CUST'!$N$2:$CG$65,MATCH($D53,'Monthly CUST'!$D$2:$D$65,0),MATCH(BK$1,'Monthly CUST'!$N$1:$CG$1,0)),0)</f>
        <v>562.77860749930574</v>
      </c>
      <c r="BL53" s="56">
        <f>IFERROR(INDEX('Monthly VOL'!$N$2:$CG$65,MATCH($D53,'Monthly VOL'!$D$2:$D$65,0),MATCH(BL$1,'Monthly VOL'!$N$1:$CG$1,0))/INDEX('Monthly CUST'!$N$2:$CG$65,MATCH($D53,'Monthly CUST'!$D$2:$D$65,0),MATCH(BL$1,'Monthly CUST'!$N$1:$CG$1,0)),0)</f>
        <v>603.80540053379627</v>
      </c>
      <c r="BM53" s="56">
        <f>IFERROR(INDEX('Monthly VOL'!$N$2:$CG$65,MATCH($D53,'Monthly VOL'!$D$2:$D$65,0),MATCH(BM$1,'Monthly VOL'!$N$1:$CG$1,0))/INDEX('Monthly CUST'!$N$2:$CG$65,MATCH($D53,'Monthly CUST'!$D$2:$D$65,0),MATCH(BM$1,'Monthly CUST'!$N$1:$CG$1,0)),0)</f>
        <v>665.93140360270786</v>
      </c>
      <c r="BN53" s="56">
        <f>IFERROR(INDEX('Monthly VOL'!$N$2:$CG$65,MATCH($D53,'Monthly VOL'!$D$2:$D$65,0),MATCH(BN$1,'Monthly VOL'!$N$1:$CG$1,0))/INDEX('Monthly CUST'!$N$2:$CG$65,MATCH($D53,'Monthly CUST'!$D$2:$D$65,0),MATCH(BN$1,'Monthly CUST'!$N$1:$CG$1,0)),0)</f>
        <v>551.86829190980745</v>
      </c>
      <c r="BO53" s="56">
        <f>IFERROR(INDEX('Monthly VOL'!$N$2:$CG$65,MATCH($D53,'Monthly VOL'!$D$2:$D$65,0),MATCH(BO$1,'Monthly VOL'!$N$1:$CG$1,0))/INDEX('Monthly CUST'!$N$2:$CG$65,MATCH($D53,'Monthly CUST'!$D$2:$D$65,0),MATCH(BO$1,'Monthly CUST'!$N$1:$CG$1,0)),0)</f>
        <v>545.24856999883957</v>
      </c>
      <c r="BP53" s="56">
        <f>IFERROR(INDEX('Monthly VOL'!$N$2:$CG$65,MATCH($D53,'Monthly VOL'!$D$2:$D$65,0),MATCH(BP$1,'Monthly VOL'!$N$1:$CG$1,0))/INDEX('Monthly CUST'!$N$2:$CG$65,MATCH($D53,'Monthly CUST'!$D$2:$D$65,0),MATCH(BP$1,'Monthly CUST'!$N$1:$CG$1,0)),0)</f>
        <v>564.24628685568985</v>
      </c>
      <c r="BQ53" s="56">
        <f>IFERROR(INDEX('Monthly VOL'!$N$2:$CG$65,MATCH($D53,'Monthly VOL'!$D$2:$D$65,0),MATCH(BQ$1,'Monthly VOL'!$N$1:$CG$1,0))/INDEX('Monthly CUST'!$N$2:$CG$65,MATCH($D53,'Monthly CUST'!$D$2:$D$65,0),MATCH(BQ$1,'Monthly CUST'!$N$1:$CG$1,0)),0)</f>
        <v>536.87773743883213</v>
      </c>
      <c r="BR53" s="56">
        <f>IFERROR(INDEX('Monthly VOL'!$N$2:$CG$65,MATCH($D53,'Monthly VOL'!$D$2:$D$65,0),MATCH(BR$1,'Monthly VOL'!$N$1:$CG$1,0))/INDEX('Monthly CUST'!$N$2:$CG$65,MATCH($D53,'Monthly CUST'!$D$2:$D$65,0),MATCH(BR$1,'Monthly CUST'!$N$1:$CG$1,0)),0)</f>
        <v>556.13197619846221</v>
      </c>
      <c r="BS53" s="56">
        <f>IFERROR(INDEX('Monthly VOL'!$N$2:$CG$65,MATCH($D53,'Monthly VOL'!$D$2:$D$65,0),MATCH(BS$1,'Monthly VOL'!$N$1:$CG$1,0))/INDEX('Monthly CUST'!$N$2:$CG$65,MATCH($D53,'Monthly CUST'!$D$2:$D$65,0),MATCH(BS$1,'Monthly CUST'!$N$1:$CG$1,0)),0)</f>
        <v>542.53919769253491</v>
      </c>
      <c r="BT53" s="56">
        <f>IFERROR(INDEX('Monthly VOL'!$N$2:$CG$65,MATCH($D53,'Monthly VOL'!$D$2:$D$65,0),MATCH(BT$1,'Monthly VOL'!$N$1:$CG$1,0))/INDEX('Monthly CUST'!$N$2:$CG$65,MATCH($D53,'Monthly CUST'!$D$2:$D$65,0),MATCH(BT$1,'Monthly CUST'!$N$1:$CG$1,0)),0)</f>
        <v>549.13133582761748</v>
      </c>
      <c r="BU53" s="56">
        <f>IFERROR(INDEX('Monthly VOL'!$N$2:$CG$65,MATCH($D53,'Monthly VOL'!$D$2:$D$65,0),MATCH(BU$1,'Monthly VOL'!$N$1:$CG$1,0))/INDEX('Monthly CUST'!$N$2:$CG$65,MATCH($D53,'Monthly CUST'!$D$2:$D$65,0),MATCH(BU$1,'Monthly CUST'!$N$1:$CG$1,0)),0)</f>
        <v>721.96530978909038</v>
      </c>
      <c r="BV53" s="56">
        <f>IFERROR(INDEX('Monthly VOL'!$N$2:$CG$65,MATCH($D53,'Monthly VOL'!$D$2:$D$65,0),MATCH(BV$1,'Monthly VOL'!$N$1:$CG$1,0))/INDEX('Monthly CUST'!$N$2:$CG$65,MATCH($D53,'Monthly CUST'!$D$2:$D$65,0),MATCH(BV$1,'Monthly CUST'!$N$1:$CG$1,0)),0)</f>
        <v>684.5550956714186</v>
      </c>
      <c r="BW53" s="56">
        <f>IFERROR(INDEX('Monthly VOL'!$N$2:$CG$65,MATCH($D53,'Monthly VOL'!$D$2:$D$65,0),MATCH(BW$1,'Monthly VOL'!$N$1:$CG$1,0))/INDEX('Monthly CUST'!$N$2:$CG$65,MATCH($D53,'Monthly CUST'!$D$2:$D$65,0),MATCH(BW$1,'Monthly CUST'!$N$1:$CG$1,0)),0)</f>
        <v>559.7535041889588</v>
      </c>
      <c r="BX53" s="56">
        <f>IFERROR(INDEX('Monthly VOL'!$N$2:$CG$65,MATCH($D53,'Monthly VOL'!$D$2:$D$65,0),MATCH(BX$1,'Monthly VOL'!$N$1:$CG$1,0))/INDEX('Monthly CUST'!$N$2:$CG$65,MATCH($D53,'Monthly CUST'!$D$2:$D$65,0),MATCH(BX$1,'Monthly CUST'!$N$1:$CG$1,0)),0)</f>
        <v>600.5597659421112</v>
      </c>
      <c r="BY53" s="56">
        <f>IFERROR(INDEX('Monthly VOL'!$N$2:$CG$65,MATCH($D53,'Monthly VOL'!$D$2:$D$65,0),MATCH(BY$1,'Monthly VOL'!$N$1:$CG$1,0))/INDEX('Monthly CUST'!$N$2:$CG$65,MATCH($D53,'Monthly CUST'!$D$2:$D$65,0),MATCH(BY$1,'Monthly CUST'!$N$1:$CG$1,0)),0)</f>
        <v>662.35182316617716</v>
      </c>
      <c r="BZ53" s="56">
        <f>IFERROR(INDEX('Monthly VOL'!$N$2:$CG$65,MATCH($D53,'Monthly VOL'!$D$2:$D$65,0),MATCH(BZ$1,'Monthly VOL'!$N$1:$CG$1,0))/INDEX('Monthly CUST'!$N$2:$CG$65,MATCH($D53,'Monthly CUST'!$D$2:$D$65,0),MATCH(BZ$1,'Monthly CUST'!$N$1:$CG$1,0)),0)</f>
        <v>548.90183480840824</v>
      </c>
      <c r="CA53" s="56">
        <f>IFERROR(INDEX('Monthly VOL'!$N$2:$CG$65,MATCH($D53,'Monthly VOL'!$D$2:$D$65,0),MATCH(CA$1,'Monthly VOL'!$N$1:$CG$1,0))/INDEX('Monthly CUST'!$N$2:$CG$65,MATCH($D53,'Monthly CUST'!$D$2:$D$65,0),MATCH(CA$1,'Monthly CUST'!$N$1:$CG$1,0)),0)</f>
        <v>542.31769588229372</v>
      </c>
      <c r="CB53" s="56">
        <f>IFERROR(INDEX('Monthly VOL'!$N$2:$CG$65,MATCH($D53,'Monthly VOL'!$D$2:$D$65,0),MATCH(CB$1,'Monthly VOL'!$N$1:$CG$1,0))/INDEX('Monthly CUST'!$N$2:$CG$65,MATCH($D53,'Monthly CUST'!$D$2:$D$65,0),MATCH(CB$1,'Monthly CUST'!$N$1:$CG$1,0)),0)</f>
        <v>561.21329432990308</v>
      </c>
      <c r="CC53" s="56">
        <f>IFERROR(INDEX('Monthly VOL'!$N$2:$CG$65,MATCH($D53,'Monthly VOL'!$D$2:$D$65,0),MATCH(CC$1,'Monthly VOL'!$N$1:$CG$1,0))/INDEX('Monthly CUST'!$N$2:$CG$65,MATCH($D53,'Monthly CUST'!$D$2:$D$65,0),MATCH(CC$1,'Monthly CUST'!$N$1:$CG$1,0)),0)</f>
        <v>533.99185905053571</v>
      </c>
      <c r="CD53" s="56">
        <f>IFERROR(INDEX('Monthly VOL'!$N$2:$CG$65,MATCH($D53,'Monthly VOL'!$D$2:$D$65,0),MATCH(CD$1,'Monthly VOL'!$N$1:$CG$1,0))/INDEX('Monthly CUST'!$N$2:$CG$65,MATCH($D53,'Monthly CUST'!$D$2:$D$65,0),MATCH(CD$1,'Monthly CUST'!$N$1:$CG$1,0)),0)</f>
        <v>553.14260051898634</v>
      </c>
      <c r="CE53" s="56">
        <f>IFERROR(INDEX('Monthly VOL'!$N$2:$CG$65,MATCH($D53,'Monthly VOL'!$D$2:$D$65,0),MATCH(CE$1,'Monthly VOL'!$N$1:$CG$1,0))/INDEX('Monthly CUST'!$N$2:$CG$65,MATCH($D53,'Monthly CUST'!$D$2:$D$65,0),MATCH(CE$1,'Monthly CUST'!$N$1:$CG$1,0)),0)</f>
        <v>539.62288726235454</v>
      </c>
      <c r="CF53" s="56">
        <f>IFERROR(INDEX('Monthly VOL'!$N$2:$CG$65,MATCH($D53,'Monthly VOL'!$D$2:$D$65,0),MATCH(CF$1,'Monthly VOL'!$N$1:$CG$1,0))/INDEX('Monthly CUST'!$N$2:$CG$65,MATCH($D53,'Monthly CUST'!$D$2:$D$65,0),MATCH(CF$1,'Monthly CUST'!$N$1:$CG$1,0)),0)</f>
        <v>546.17959068362779</v>
      </c>
      <c r="CG53" s="56">
        <f>IFERROR(INDEX('Monthly VOL'!$N$2:$CG$65,MATCH($D53,'Monthly VOL'!$D$2:$D$65,0),MATCH(CG$1,'Monthly VOL'!$N$1:$CG$1,0))/INDEX('Monthly CUST'!$N$2:$CG$65,MATCH($D53,'Monthly CUST'!$D$2:$D$65,0),MATCH(CG$1,'Monthly CUST'!$N$1:$CG$1,0)),0)</f>
        <v>718.08453035025695</v>
      </c>
      <c r="CH53" s="264"/>
      <c r="CI53" s="264"/>
      <c r="CJ53" s="264"/>
      <c r="CM53" s="569">
        <f t="shared" si="24"/>
        <v>706.2269279064634</v>
      </c>
      <c r="CN53" s="569">
        <f t="shared" si="25"/>
        <v>613.28978873601125</v>
      </c>
      <c r="CO53" s="569">
        <f t="shared" si="26"/>
        <v>604.93152014216219</v>
      </c>
      <c r="CP53" s="569">
        <f t="shared" si="27"/>
        <v>567.17532264847159</v>
      </c>
      <c r="CQ53" s="569">
        <f t="shared" si="28"/>
        <v>532.81878901876701</v>
      </c>
      <c r="CR53" s="569">
        <f t="shared" si="29"/>
        <v>551.41426660528532</v>
      </c>
      <c r="CS53" s="569">
        <f t="shared" si="30"/>
        <v>535.38907059618873</v>
      </c>
      <c r="CT53" s="569">
        <f t="shared" si="31"/>
        <v>518.58925757396253</v>
      </c>
      <c r="CU53" s="569">
        <f t="shared" si="32"/>
        <v>540.4368587140915</v>
      </c>
      <c r="CV53" s="569">
        <f t="shared" si="33"/>
        <v>529.23521451123679</v>
      </c>
      <c r="CW53" s="569">
        <f t="shared" si="34"/>
        <v>563.43663602947379</v>
      </c>
      <c r="CX53" s="569">
        <f t="shared" si="35"/>
        <v>677.93477833630709</v>
      </c>
      <c r="CY53" s="569">
        <f t="shared" si="36"/>
        <v>706.2269279064634</v>
      </c>
      <c r="CZ53" s="569">
        <f t="shared" si="37"/>
        <v>613.28978873601125</v>
      </c>
      <c r="DA53" s="569">
        <f t="shared" si="38"/>
        <v>604.93152014216219</v>
      </c>
      <c r="DB53" s="569">
        <f t="shared" si="39"/>
        <v>567.17532264847159</v>
      </c>
      <c r="DC53" s="569">
        <f t="shared" si="40"/>
        <v>532.81878901876701</v>
      </c>
      <c r="DD53" s="569">
        <f t="shared" si="41"/>
        <v>551.41426660528532</v>
      </c>
      <c r="DE53" s="569">
        <f t="shared" si="42"/>
        <v>535.38907059618873</v>
      </c>
      <c r="DF53" s="569">
        <f t="shared" si="43"/>
        <v>518.58925757396253</v>
      </c>
      <c r="DG53" s="569">
        <f t="shared" si="44"/>
        <v>540.4368587140915</v>
      </c>
      <c r="DH53" s="569">
        <f t="shared" si="45"/>
        <v>529.23521451123679</v>
      </c>
      <c r="DI53" s="569">
        <f t="shared" si="46"/>
        <v>563.43663602947379</v>
      </c>
      <c r="DJ53" s="569">
        <f t="shared" si="47"/>
        <v>677.93477833630709</v>
      </c>
    </row>
    <row r="54" spans="1:114" s="261" customFormat="1">
      <c r="A54" s="55" t="s">
        <v>17</v>
      </c>
      <c r="B54" s="55" t="s">
        <v>993</v>
      </c>
      <c r="C54" s="55" t="s">
        <v>1245</v>
      </c>
      <c r="D54" s="55" t="s">
        <v>1302</v>
      </c>
      <c r="E54" s="55" t="str">
        <f>VLOOKUP(D54,'Input 14_Ref Table'!C:D,2,FALSE)</f>
        <v>CC826</v>
      </c>
      <c r="F54" s="172" t="s">
        <v>1287</v>
      </c>
      <c r="G54" s="55" t="str">
        <f>VLOOKUP(D54,'Input 14_Ref Table'!C:I,7,FALSE)</f>
        <v>CFG - FTS-3.1 - Fixed NR</v>
      </c>
      <c r="H54" s="55" t="str">
        <f>VLOOKUP(D54,'Input 14_Ref Table'!C:K,8,FALSE)</f>
        <v>FTS3.1</v>
      </c>
      <c r="I54" s="55" t="e">
        <f>INDEX(#REF!,MATCH(D54,#REF!,0))</f>
        <v>#REF!</v>
      </c>
      <c r="J54" s="261" t="str">
        <f>INDEX('Master '!$AD$2:AD$65,MATCH(D54,'Master '!$D$2:$D$65,0))</f>
        <v>UPC Growth Rate</v>
      </c>
      <c r="K54" s="567">
        <f>INDEX('Master '!$N$2:N$65,MATCH(D54,'Master '!$D$2:$D$65,0))</f>
        <v>-1.0532413897830479E-2</v>
      </c>
      <c r="L54" s="290">
        <f>INDEX('Master '!$S$2:S$65,MATCH(D54,'Master '!$D$2:$D$65,0))</f>
        <v>-5.3752990430621737E-3</v>
      </c>
      <c r="M54" s="1">
        <f>INDEX('Master '!$W$2:W$65,MATCH(D54,'Master '!$D$2:$D$65,0))</f>
        <v>6652.05</v>
      </c>
      <c r="N54" s="56">
        <f>IFERROR(INDEX('Monthly VOL'!$N$2:$CG$65,MATCH($D54,'Monthly VOL'!$D$2:$D$65,0),MATCH(N$1,'Monthly VOL'!$N$1:$CG$1,0))/INDEX('Monthly CUST'!$N$2:$CG$65,MATCH($D54,'Monthly CUST'!$D$2:$D$65,0),MATCH(N$1,'Monthly CUST'!$N$1:$CG$1,0)),0)</f>
        <v>546.13555555555558</v>
      </c>
      <c r="O54" s="56">
        <f>IFERROR(INDEX('Monthly VOL'!$N$2:$CG$65,MATCH($D54,'Monthly VOL'!$D$2:$D$65,0),MATCH(O$1,'Monthly VOL'!$N$1:$CG$1,0))/INDEX('Monthly CUST'!$N$2:$CG$65,MATCH($D54,'Monthly CUST'!$D$2:$D$65,0),MATCH(O$1,'Monthly CUST'!$N$1:$CG$1,0)),0)</f>
        <v>564.11333333333334</v>
      </c>
      <c r="P54" s="56">
        <f>IFERROR(INDEX('Monthly VOL'!$N$2:$CG$65,MATCH($D54,'Monthly VOL'!$D$2:$D$65,0),MATCH(P$1,'Monthly VOL'!$N$1:$CG$1,0))/INDEX('Monthly CUST'!$N$2:$CG$65,MATCH($D54,'Monthly CUST'!$D$2:$D$65,0),MATCH(P$1,'Monthly CUST'!$N$1:$CG$1,0)),0)</f>
        <v>558.37777777777774</v>
      </c>
      <c r="Q54" s="56">
        <f>IFERROR(INDEX('Monthly VOL'!$N$2:$CG$65,MATCH($D54,'Monthly VOL'!$D$2:$D$65,0),MATCH(Q$1,'Monthly VOL'!$N$1:$CG$1,0))/INDEX('Monthly CUST'!$N$2:$CG$65,MATCH($D54,'Monthly CUST'!$D$2:$D$65,0),MATCH(Q$1,'Monthly CUST'!$N$1:$CG$1,0)),0)</f>
        <v>652.22</v>
      </c>
      <c r="R54" s="56">
        <f>IFERROR(INDEX('Monthly VOL'!$N$2:$CG$65,MATCH($D54,'Monthly VOL'!$D$2:$D$65,0),MATCH(R$1,'Monthly VOL'!$N$1:$CG$1,0))/INDEX('Monthly CUST'!$N$2:$CG$65,MATCH($D54,'Monthly CUST'!$D$2:$D$65,0),MATCH(R$1,'Monthly CUST'!$N$1:$CG$1,0)),0)</f>
        <v>553.44285714285718</v>
      </c>
      <c r="S54" s="56">
        <f>IFERROR(INDEX('Monthly VOL'!$N$2:$CG$65,MATCH($D54,'Monthly VOL'!$D$2:$D$65,0),MATCH(S$1,'Monthly VOL'!$N$1:$CG$1,0))/INDEX('Monthly CUST'!$N$2:$CG$65,MATCH($D54,'Monthly CUST'!$D$2:$D$65,0),MATCH(S$1,'Monthly CUST'!$N$1:$CG$1,0)),0)</f>
        <v>594.60857142857151</v>
      </c>
      <c r="T54" s="56">
        <f>IFERROR(INDEX('Monthly VOL'!$N$2:$CG$65,MATCH($D54,'Monthly VOL'!$D$2:$D$65,0),MATCH(T$1,'Monthly VOL'!$N$1:$CG$1,0))/INDEX('Monthly CUST'!$N$2:$CG$65,MATCH($D54,'Monthly CUST'!$D$2:$D$65,0),MATCH(T$1,'Monthly CUST'!$N$1:$CG$1,0)),0)</f>
        <v>518.71428571428567</v>
      </c>
      <c r="U54" s="56">
        <f>IFERROR(INDEX('Monthly VOL'!$N$2:$CG$65,MATCH($D54,'Monthly VOL'!$D$2:$D$65,0),MATCH(U$1,'Monthly VOL'!$N$1:$CG$1,0))/INDEX('Monthly CUST'!$N$2:$CG$65,MATCH($D54,'Monthly CUST'!$D$2:$D$65,0),MATCH(U$1,'Monthly CUST'!$N$1:$CG$1,0)),0)</f>
        <v>549.24714285714288</v>
      </c>
      <c r="V54" s="56">
        <f>IFERROR(INDEX('Monthly VOL'!$N$2:$CG$65,MATCH($D54,'Monthly VOL'!$D$2:$D$65,0),MATCH(V$1,'Monthly VOL'!$N$1:$CG$1,0))/INDEX('Monthly CUST'!$N$2:$CG$65,MATCH($D54,'Monthly CUST'!$D$2:$D$65,0),MATCH(V$1,'Monthly CUST'!$N$1:$CG$1,0)),0)</f>
        <v>572.14285714285711</v>
      </c>
      <c r="W54" s="56">
        <f>IFERROR(INDEX('Monthly VOL'!$N$2:$CG$65,MATCH($D54,'Monthly VOL'!$D$2:$D$65,0),MATCH(W$1,'Monthly VOL'!$N$1:$CG$1,0))/INDEX('Monthly CUST'!$N$2:$CG$65,MATCH($D54,'Monthly CUST'!$D$2:$D$65,0),MATCH(W$1,'Monthly CUST'!$N$1:$CG$1,0)),0)</f>
        <v>508.79</v>
      </c>
      <c r="X54" s="56">
        <f>IFERROR(INDEX('Monthly VOL'!$N$2:$CG$65,MATCH($D54,'Monthly VOL'!$D$2:$D$65,0),MATCH(X$1,'Monthly VOL'!$N$1:$CG$1,0))/INDEX('Monthly CUST'!$N$2:$CG$65,MATCH($D54,'Monthly CUST'!$D$2:$D$65,0),MATCH(X$1,'Monthly CUST'!$N$1:$CG$1,0)),0)</f>
        <v>618.68571428571431</v>
      </c>
      <c r="Y54" s="56">
        <f>IFERROR(INDEX('Monthly VOL'!$N$2:$CG$65,MATCH($D54,'Monthly VOL'!$D$2:$D$65,0),MATCH(Y$1,'Monthly VOL'!$N$1:$CG$1,0))/INDEX('Monthly CUST'!$N$2:$CG$65,MATCH($D54,'Monthly CUST'!$D$2:$D$65,0),MATCH(Y$1,'Monthly CUST'!$N$1:$CG$1,0)),0)</f>
        <v>579.91428571428571</v>
      </c>
      <c r="Z54" s="56">
        <f>IFERROR(INDEX('Monthly VOL'!$N$2:$CG$65,MATCH($D54,'Monthly VOL'!$D$2:$D$65,0),MATCH(Z$1,'Monthly VOL'!$N$1:$CG$1,0))/INDEX('Monthly CUST'!$N$2:$CG$65,MATCH($D54,'Monthly CUST'!$D$2:$D$65,0),MATCH(Z$1,'Monthly CUST'!$N$1:$CG$1,0)),0)</f>
        <v>571.36714285714288</v>
      </c>
      <c r="AA54" s="56">
        <f>IFERROR(INDEX('Monthly VOL'!$N$2:$CG$65,MATCH($D54,'Monthly VOL'!$D$2:$D$65,0),MATCH(AA$1,'Monthly VOL'!$N$1:$CG$1,0))/INDEX('Monthly CUST'!$N$2:$CG$65,MATCH($D54,'Monthly CUST'!$D$2:$D$65,0),MATCH(AA$1,'Monthly CUST'!$N$1:$CG$1,0)),0)</f>
        <v>631.55142857142857</v>
      </c>
      <c r="AB54" s="56">
        <f>IFERROR(INDEX('Monthly VOL'!$N$2:$CG$65,MATCH($D54,'Monthly VOL'!$D$2:$D$65,0),MATCH(AB$1,'Monthly VOL'!$N$1:$CG$1,0))/INDEX('Monthly CUST'!$N$2:$CG$65,MATCH($D54,'Monthly CUST'!$D$2:$D$65,0),MATCH(AB$1,'Monthly CUST'!$N$1:$CG$1,0)),0)</f>
        <v>534.45142857142855</v>
      </c>
      <c r="AC54" s="56">
        <f>IFERROR(INDEX('Monthly VOL'!$N$2:$CG$65,MATCH($D54,'Monthly VOL'!$D$2:$D$65,0),MATCH(AC$1,'Monthly VOL'!$N$1:$CG$1,0))/INDEX('Monthly CUST'!$N$2:$CG$65,MATCH($D54,'Monthly CUST'!$D$2:$D$65,0),MATCH(AC$1,'Monthly CUST'!$N$1:$CG$1,0)),0)</f>
        <v>610.6957142857143</v>
      </c>
      <c r="AD54" s="56">
        <f>IFERROR(INDEX('Monthly VOL'!$N$2:$CG$65,MATCH($D54,'Monthly VOL'!$D$2:$D$65,0),MATCH(AD$1,'Monthly VOL'!$N$1:$CG$1,0))/INDEX('Monthly CUST'!$N$2:$CG$65,MATCH($D54,'Monthly CUST'!$D$2:$D$65,0),MATCH(AD$1,'Monthly CUST'!$N$1:$CG$1,0)),0)</f>
        <v>569.09714285714279</v>
      </c>
      <c r="AE54" s="56">
        <f>IFERROR(INDEX('Monthly VOL'!$N$2:$CG$65,MATCH($D54,'Monthly VOL'!$D$2:$D$65,0),MATCH(AE$1,'Monthly VOL'!$N$1:$CG$1,0))/INDEX('Monthly CUST'!$N$2:$CG$65,MATCH($D54,'Monthly CUST'!$D$2:$D$65,0),MATCH(AE$1,'Monthly CUST'!$N$1:$CG$1,0)),0)</f>
        <v>563.12571428571425</v>
      </c>
      <c r="AF54" s="56">
        <f>IFERROR(INDEX('Monthly VOL'!$N$2:$CG$65,MATCH($D54,'Monthly VOL'!$D$2:$D$65,0),MATCH(AF$1,'Monthly VOL'!$N$1:$CG$1,0))/INDEX('Monthly CUST'!$N$2:$CG$65,MATCH($D54,'Monthly CUST'!$D$2:$D$65,0),MATCH(AF$1,'Monthly CUST'!$N$1:$CG$1,0)),0)</f>
        <v>482.12714285714281</v>
      </c>
      <c r="AG54" s="56">
        <f>IFERROR(INDEX('Monthly VOL'!$N$2:$CG$65,MATCH($D54,'Monthly VOL'!$D$2:$D$65,0),MATCH(AG$1,'Monthly VOL'!$N$1:$CG$1,0))/INDEX('Monthly CUST'!$N$2:$CG$65,MATCH($D54,'Monthly CUST'!$D$2:$D$65,0),MATCH(AG$1,'Monthly CUST'!$N$1:$CG$1,0)),0)</f>
        <v>475.26857142857142</v>
      </c>
      <c r="AH54" s="56">
        <f>IFERROR(INDEX('Monthly VOL'!$N$2:$CG$65,MATCH($D54,'Monthly VOL'!$D$2:$D$65,0),MATCH(AH$1,'Monthly VOL'!$N$1:$CG$1,0))/INDEX('Monthly CUST'!$N$2:$CG$65,MATCH($D54,'Monthly CUST'!$D$2:$D$65,0),MATCH(AH$1,'Monthly CUST'!$N$1:$CG$1,0)),0)</f>
        <v>565.61714285714288</v>
      </c>
      <c r="AI54" s="56">
        <f>IFERROR(INDEX('Monthly VOL'!$N$2:$CG$65,MATCH($D54,'Monthly VOL'!$D$2:$D$65,0),MATCH(AI$1,'Monthly VOL'!$N$1:$CG$1,0))/INDEX('Monthly CUST'!$N$2:$CG$65,MATCH($D54,'Monthly CUST'!$D$2:$D$65,0),MATCH(AI$1,'Monthly CUST'!$N$1:$CG$1,0)),0)</f>
        <v>525.21428571428567</v>
      </c>
      <c r="AJ54" s="56">
        <f>IFERROR(INDEX('Monthly VOL'!$N$2:$CG$65,MATCH($D54,'Monthly VOL'!$D$2:$D$65,0),MATCH(AJ$1,'Monthly VOL'!$N$1:$CG$1,0))/INDEX('Monthly CUST'!$N$2:$CG$65,MATCH($D54,'Monthly CUST'!$D$2:$D$65,0),MATCH(AJ$1,'Monthly CUST'!$N$1:$CG$1,0)),0)</f>
        <v>595.62</v>
      </c>
      <c r="AK54" s="56">
        <f>IFERROR(INDEX('Monthly VOL'!$N$2:$CG$65,MATCH($D54,'Monthly VOL'!$D$2:$D$65,0),MATCH(AK$1,'Monthly VOL'!$N$1:$CG$1,0))/INDEX('Monthly CUST'!$N$2:$CG$65,MATCH($D54,'Monthly CUST'!$D$2:$D$65,0),MATCH(AK$1,'Monthly CUST'!$N$1:$CG$1,0)),0)</f>
        <v>574.38571428571424</v>
      </c>
      <c r="AL54" s="56">
        <f>IFERROR(INDEX('Monthly VOL'!$N$2:$CG$65,MATCH($D54,'Monthly VOL'!$D$2:$D$65,0),MATCH(AL$1,'Monthly VOL'!$N$1:$CG$1,0))/INDEX('Monthly CUST'!$N$2:$CG$65,MATCH($D54,'Monthly CUST'!$D$2:$D$65,0),MATCH(AL$1,'Monthly CUST'!$N$1:$CG$1,0)),0)</f>
        <v>567.00428571428574</v>
      </c>
      <c r="AM54" s="56">
        <f>IFERROR(INDEX('Monthly VOL'!$N$2:$CG$65,MATCH($D54,'Monthly VOL'!$D$2:$D$65,0),MATCH(AM$1,'Monthly VOL'!$N$1:$CG$1,0))/INDEX('Monthly CUST'!$N$2:$CG$65,MATCH($D54,'Monthly CUST'!$D$2:$D$65,0),MATCH(AM$1,'Monthly CUST'!$N$1:$CG$1,0)),0)</f>
        <v>560.54714285714283</v>
      </c>
      <c r="AN54" s="56">
        <f>IFERROR(INDEX('Monthly VOL'!$N$2:$CG$65,MATCH($D54,'Monthly VOL'!$D$2:$D$65,0),MATCH(AN$1,'Monthly VOL'!$N$1:$CG$1,0))/INDEX('Monthly CUST'!$N$2:$CG$65,MATCH($D54,'Monthly CUST'!$D$2:$D$65,0),MATCH(AN$1,'Monthly CUST'!$N$1:$CG$1,0)),0)</f>
        <v>517.23571428571427</v>
      </c>
      <c r="AO54" s="56">
        <f>IFERROR(INDEX('Monthly VOL'!$N$2:$CG$65,MATCH($D54,'Monthly VOL'!$D$2:$D$65,0),MATCH(AO$1,'Monthly VOL'!$N$1:$CG$1,0))/INDEX('Monthly CUST'!$N$2:$CG$65,MATCH($D54,'Monthly CUST'!$D$2:$D$65,0),MATCH(AO$1,'Monthly CUST'!$N$1:$CG$1,0)),0)</f>
        <v>225.50571428571428</v>
      </c>
      <c r="AP54" s="56">
        <f>IFERROR(INDEX('Monthly VOL'!$N$2:$CG$65,MATCH($D54,'Monthly VOL'!$D$2:$D$65,0),MATCH(AP$1,'Monthly VOL'!$N$1:$CG$1,0))/INDEX('Monthly CUST'!$N$2:$CG$65,MATCH($D54,'Monthly CUST'!$D$2:$D$65,0),MATCH(AP$1,'Monthly CUST'!$N$1:$CG$1,0)),0)</f>
        <v>429.11428571428576</v>
      </c>
      <c r="AQ54" s="56">
        <f>IFERROR(INDEX('Monthly VOL'!$N$2:$CG$65,MATCH($D54,'Monthly VOL'!$D$2:$D$65,0),MATCH(AQ$1,'Monthly VOL'!$N$1:$CG$1,0))/INDEX('Monthly CUST'!$N$2:$CG$65,MATCH($D54,'Monthly CUST'!$D$2:$D$65,0),MATCH(AQ$1,'Monthly CUST'!$N$1:$CG$1,0)),0)</f>
        <v>473.83571428571429</v>
      </c>
      <c r="AR54" s="56">
        <f>IFERROR(INDEX('Monthly VOL'!$N$2:$CG$65,MATCH($D54,'Monthly VOL'!$D$2:$D$65,0),MATCH(AR$1,'Monthly VOL'!$N$1:$CG$1,0))/INDEX('Monthly CUST'!$N$2:$CG$65,MATCH($D54,'Monthly CUST'!$D$2:$D$65,0),MATCH(AR$1,'Monthly CUST'!$N$1:$CG$1,0)),0)</f>
        <v>521.66</v>
      </c>
      <c r="AS54" s="56">
        <f>IFERROR(INDEX('Monthly VOL'!$N$2:$CG$65,MATCH($D54,'Monthly VOL'!$D$2:$D$65,0),MATCH(AS$1,'Monthly VOL'!$N$1:$CG$1,0))/INDEX('Monthly CUST'!$N$2:$CG$65,MATCH($D54,'Monthly CUST'!$D$2:$D$65,0),MATCH(AS$1,'Monthly CUST'!$N$1:$CG$1,0)),0)</f>
        <v>423.5385714285714</v>
      </c>
      <c r="AT54" s="56">
        <f>IFERROR(INDEX('Monthly VOL'!$N$2:$CG$65,MATCH($D54,'Monthly VOL'!$D$2:$D$65,0),MATCH(AT$1,'Monthly VOL'!$N$1:$CG$1,0))/INDEX('Monthly CUST'!$N$2:$CG$65,MATCH($D54,'Monthly CUST'!$D$2:$D$65,0),MATCH(AT$1,'Monthly CUST'!$N$1:$CG$1,0)),0)</f>
        <v>480.4242857142857</v>
      </c>
      <c r="AU54" s="56">
        <f>IFERROR(INDEX('Monthly VOL'!$N$2:$CG$65,MATCH($D54,'Monthly VOL'!$D$2:$D$65,0),MATCH(AU$1,'Monthly VOL'!$N$1:$CG$1,0))/INDEX('Monthly CUST'!$N$2:$CG$65,MATCH($D54,'Monthly CUST'!$D$2:$D$65,0),MATCH(AU$1,'Monthly CUST'!$N$1:$CG$1,0)),0)</f>
        <v>521.2928571428572</v>
      </c>
      <c r="AV54" s="56">
        <f>IFERROR(INDEX('Monthly VOL'!$N$2:$CG$65,MATCH($D54,'Monthly VOL'!$D$2:$D$65,0),MATCH(AV$1,'Monthly VOL'!$N$1:$CG$1,0))/INDEX('Monthly CUST'!$N$2:$CG$65,MATCH($D54,'Monthly CUST'!$D$2:$D$65,0),MATCH(AV$1,'Monthly CUST'!$N$1:$CG$1,0)),0)</f>
        <v>541.61</v>
      </c>
      <c r="AW54" s="56">
        <f>IFERROR(INDEX('Monthly VOL'!$N$2:$CG$65,MATCH($D54,'Monthly VOL'!$D$2:$D$65,0),MATCH(AW$1,'Monthly VOL'!$N$1:$CG$1,0))/INDEX('Monthly CUST'!$N$2:$CG$65,MATCH($D54,'Monthly CUST'!$D$2:$D$65,0),MATCH(AW$1,'Monthly CUST'!$N$1:$CG$1,0)),0)</f>
        <v>493.34857142857146</v>
      </c>
      <c r="AX54" s="56">
        <f>IFERROR(INDEX('Monthly VOL'!$N$2:$CG$65,MATCH($D54,'Monthly VOL'!$D$2:$D$65,0),MATCH(AX$1,'Monthly VOL'!$N$1:$CG$1,0))/INDEX('Monthly CUST'!$N$2:$CG$65,MATCH($D54,'Monthly CUST'!$D$2:$D$65,0),MATCH(AX$1,'Monthly CUST'!$N$1:$CG$1,0)),0)</f>
        <v>694.77571428571434</v>
      </c>
      <c r="AY54" s="56">
        <f>IFERROR(INDEX('Monthly VOL'!$N$2:$CG$65,MATCH($D54,'Monthly VOL'!$D$2:$D$65,0),MATCH(AY$1,'Monthly VOL'!$N$1:$CG$1,0))/INDEX('Monthly CUST'!$N$2:$CG$65,MATCH($D54,'Monthly CUST'!$D$2:$D$65,0),MATCH(AY$1,'Monthly CUST'!$N$1:$CG$1,0)),0)</f>
        <v>525.12285714285713</v>
      </c>
      <c r="AZ54" s="56">
        <f>IFERROR(INDEX('Monthly VOL'!$N$2:$CG$65,MATCH($D54,'Monthly VOL'!$D$2:$D$65,0),MATCH(AZ$1,'Monthly VOL'!$N$1:$CG$1,0))/INDEX('Monthly CUST'!$N$2:$CG$65,MATCH($D54,'Monthly CUST'!$D$2:$D$65,0),MATCH(AZ$1,'Monthly CUST'!$N$1:$CG$1,0)),0)</f>
        <v>577.49571428571426</v>
      </c>
      <c r="BA54" s="56">
        <f>IFERROR(INDEX('Monthly VOL'!$N$2:$CG$65,MATCH($D54,'Monthly VOL'!$D$2:$D$65,0),MATCH(BA$1,'Monthly VOL'!$N$1:$CG$1,0))/INDEX('Monthly CUST'!$N$2:$CG$65,MATCH($D54,'Monthly CUST'!$D$2:$D$65,0),MATCH(BA$1,'Monthly CUST'!$N$1:$CG$1,0)),0)</f>
        <v>545.99285714285713</v>
      </c>
      <c r="BB54" s="56">
        <f>IFERROR(INDEX('Monthly VOL'!$N$2:$CG$65,MATCH($D54,'Monthly VOL'!$D$2:$D$65,0),MATCH(BB$1,'Monthly VOL'!$N$1:$CG$1,0))/INDEX('Monthly CUST'!$N$2:$CG$65,MATCH($D54,'Monthly CUST'!$D$2:$D$65,0),MATCH(BB$1,'Monthly CUST'!$N$1:$CG$1,0)),0)</f>
        <v>495.33714285714285</v>
      </c>
      <c r="BC54" s="56">
        <f>IFERROR(INDEX('Monthly VOL'!$N$2:$CG$65,MATCH($D54,'Monthly VOL'!$D$2:$D$65,0),MATCH(BC$1,'Monthly VOL'!$N$1:$CG$1,0))/INDEX('Monthly CUST'!$N$2:$CG$65,MATCH($D54,'Monthly CUST'!$D$2:$D$65,0),MATCH(BC$1,'Monthly CUST'!$N$1:$CG$1,0)),0)</f>
        <v>516.70285714285717</v>
      </c>
      <c r="BD54" s="56">
        <f>IFERROR(INDEX('Monthly VOL'!$N$2:$CG$65,MATCH($D54,'Monthly VOL'!$D$2:$D$65,0),MATCH(BD$1,'Monthly VOL'!$N$1:$CG$1,0))/INDEX('Monthly CUST'!$N$2:$CG$65,MATCH($D54,'Monthly CUST'!$D$2:$D$65,0),MATCH(BD$1,'Monthly CUST'!$N$1:$CG$1,0)),0)</f>
        <v>529.28142857142859</v>
      </c>
      <c r="BE54" s="56">
        <f>IFERROR(INDEX('Monthly VOL'!$N$2:$CG$65,MATCH($D54,'Monthly VOL'!$D$2:$D$65,0),MATCH(BE$1,'Monthly VOL'!$N$1:$CG$1,0))/INDEX('Monthly CUST'!$N$2:$CG$65,MATCH($D54,'Monthly CUST'!$D$2:$D$65,0),MATCH(BE$1,'Monthly CUST'!$N$1:$CG$1,0)),0)</f>
        <v>430.61714285714288</v>
      </c>
      <c r="BF54" s="56">
        <f>IFERROR(INDEX('Monthly VOL'!$N$2:$CG$65,MATCH($D54,'Monthly VOL'!$D$2:$D$65,0),MATCH(BF$1,'Monthly VOL'!$N$1:$CG$1,0))/INDEX('Monthly CUST'!$N$2:$CG$65,MATCH($D54,'Monthly CUST'!$D$2:$D$65,0),MATCH(BF$1,'Monthly CUST'!$N$1:$CG$1,0)),0)</f>
        <v>937.79142857142858</v>
      </c>
      <c r="BG54" s="56">
        <f>IFERROR(INDEX('Monthly VOL'!$N$2:$CG$65,MATCH($D54,'Monthly VOL'!$D$2:$D$65,0),MATCH(BG$1,'Monthly VOL'!$N$1:$CG$1,0))/INDEX('Monthly CUST'!$N$2:$CG$65,MATCH($D54,'Monthly CUST'!$D$2:$D$65,0),MATCH(BG$1,'Monthly CUST'!$N$1:$CG$1,0)),0)</f>
        <v>574.30666666666673</v>
      </c>
      <c r="BH54" s="56">
        <f>IFERROR(INDEX('Monthly VOL'!$N$2:$CG$65,MATCH($D54,'Monthly VOL'!$D$2:$D$65,0),MATCH(BH$1,'Monthly VOL'!$N$1:$CG$1,0))/INDEX('Monthly CUST'!$N$2:$CG$65,MATCH($D54,'Monthly CUST'!$D$2:$D$65,0),MATCH(BH$1,'Monthly CUST'!$N$1:$CG$1,0)),0)</f>
        <v>466.21833333333331</v>
      </c>
      <c r="BI54" s="56">
        <f>IFERROR(INDEX('Monthly VOL'!$N$2:$CG$65,MATCH($D54,'Monthly VOL'!$D$2:$D$65,0),MATCH(BI$1,'Monthly VOL'!$N$1:$CG$1,0))/INDEX('Monthly CUST'!$N$2:$CG$65,MATCH($D54,'Monthly CUST'!$D$2:$D$65,0),MATCH(BI$1,'Monthly CUST'!$N$1:$CG$1,0)),0)</f>
        <v>754.5916666666667</v>
      </c>
      <c r="BJ54" s="56">
        <f>IFERROR(INDEX('Monthly VOL'!$N$2:$CG$65,MATCH($D54,'Monthly VOL'!$D$2:$D$65,0),MATCH(BJ$1,'Monthly VOL'!$N$1:$CG$1,0))/INDEX('Monthly CUST'!$N$2:$CG$65,MATCH($D54,'Monthly CUST'!$D$2:$D$65,0),MATCH(BJ$1,'Monthly CUST'!$N$1:$CG$1,0)),0)</f>
        <v>691.04108705357135</v>
      </c>
      <c r="BK54" s="56">
        <f>IFERROR(INDEX('Monthly VOL'!$N$2:$CG$65,MATCH($D54,'Monthly VOL'!$D$2:$D$65,0),MATCH(BK$1,'Monthly VOL'!$N$1:$CG$1,0))/INDEX('Monthly CUST'!$N$2:$CG$65,MATCH($D54,'Monthly CUST'!$D$2:$D$65,0),MATCH(BK$1,'Monthly CUST'!$N$1:$CG$1,0)),0)</f>
        <v>522.30016475136699</v>
      </c>
      <c r="BL54" s="56">
        <f>IFERROR(INDEX('Monthly VOL'!$N$2:$CG$65,MATCH($D54,'Monthly VOL'!$D$2:$D$65,0),MATCH(BL$1,'Monthly VOL'!$N$1:$CG$1,0))/INDEX('Monthly CUST'!$N$2:$CG$65,MATCH($D54,'Monthly CUST'!$D$2:$D$65,0),MATCH(BL$1,'Monthly CUST'!$N$1:$CG$1,0)),0)</f>
        <v>574.39150212534173</v>
      </c>
      <c r="BM54" s="56">
        <f>IFERROR(INDEX('Monthly VOL'!$N$2:$CG$65,MATCH($D54,'Monthly VOL'!$D$2:$D$65,0),MATCH(BM$1,'Monthly VOL'!$N$1:$CG$1,0))/INDEX('Monthly CUST'!$N$2:$CG$65,MATCH($D54,'Monthly CUST'!$D$2:$D$65,0),MATCH(BM$1,'Monthly CUST'!$N$1:$CG$1,0)),0)</f>
        <v>543.05798226033835</v>
      </c>
      <c r="BN54" s="56">
        <f>IFERROR(INDEX('Monthly VOL'!$N$2:$CG$65,MATCH($D54,'Monthly VOL'!$D$2:$D$65,0),MATCH(BN$1,'Monthly VOL'!$N$1:$CG$1,0))/INDEX('Monthly CUST'!$N$2:$CG$65,MATCH($D54,'Monthly CUST'!$D$2:$D$65,0),MATCH(BN$1,'Monthly CUST'!$N$1:$CG$1,0)),0)</f>
        <v>492.67455758714959</v>
      </c>
      <c r="BO54" s="56">
        <f>IFERROR(INDEX('Monthly VOL'!$N$2:$CG$65,MATCH($D54,'Monthly VOL'!$D$2:$D$65,0),MATCH(BO$1,'Monthly VOL'!$N$1:$CG$1,0))/INDEX('Monthly CUST'!$N$2:$CG$65,MATCH($D54,'Monthly CUST'!$D$2:$D$65,0),MATCH(BO$1,'Monthly CUST'!$N$1:$CG$1,0)),0)</f>
        <v>513.92542476930964</v>
      </c>
      <c r="BP54" s="56">
        <f>IFERROR(INDEX('Monthly VOL'!$N$2:$CG$65,MATCH($D54,'Monthly VOL'!$D$2:$D$65,0),MATCH(BP$1,'Monthly VOL'!$N$1:$CG$1,0))/INDEX('Monthly CUST'!$N$2:$CG$65,MATCH($D54,'Monthly CUST'!$D$2:$D$65,0),MATCH(BP$1,'Monthly CUST'!$N$1:$CG$1,0)),0)</f>
        <v>526.43638261491799</v>
      </c>
      <c r="BQ54" s="56">
        <f>IFERROR(INDEX('Monthly VOL'!$N$2:$CG$65,MATCH($D54,'Monthly VOL'!$D$2:$D$65,0),MATCH(BQ$1,'Monthly VOL'!$N$1:$CG$1,0))/INDEX('Monthly CUST'!$N$2:$CG$65,MATCH($D54,'Monthly CUST'!$D$2:$D$65,0),MATCH(BQ$1,'Monthly CUST'!$N$1:$CG$1,0)),0)</f>
        <v>428.30244694121672</v>
      </c>
      <c r="BR54" s="56">
        <f>IFERROR(INDEX('Monthly VOL'!$N$2:$CG$65,MATCH($D54,'Monthly VOL'!$D$2:$D$65,0),MATCH(BR$1,'Monthly VOL'!$N$1:$CG$1,0))/INDEX('Monthly CUST'!$N$2:$CG$65,MATCH($D54,'Monthly CUST'!$D$2:$D$65,0),MATCH(BR$1,'Monthly CUST'!$N$1:$CG$1,0)),0)</f>
        <v>932.75051920283659</v>
      </c>
      <c r="BS54" s="56">
        <f>IFERROR(INDEX('Monthly VOL'!$N$2:$CG$65,MATCH($D54,'Monthly VOL'!$D$2:$D$65,0),MATCH(BS$1,'Monthly VOL'!$N$1:$CG$1,0))/INDEX('Monthly CUST'!$N$2:$CG$65,MATCH($D54,'Monthly CUST'!$D$2:$D$65,0),MATCH(BS$1,'Monthly CUST'!$N$1:$CG$1,0)),0)</f>
        <v>571.21959659090919</v>
      </c>
      <c r="BT54" s="56">
        <f>IFERROR(INDEX('Monthly VOL'!$N$2:$CG$65,MATCH($D54,'Monthly VOL'!$D$2:$D$65,0),MATCH(BT$1,'Monthly VOL'!$N$1:$CG$1,0))/INDEX('Monthly CUST'!$N$2:$CG$65,MATCH($D54,'Monthly CUST'!$D$2:$D$65,0),MATCH(BT$1,'Monthly CUST'!$N$1:$CG$1,0)),0)</f>
        <v>463.71227037230858</v>
      </c>
      <c r="BU54" s="56">
        <f>IFERROR(INDEX('Monthly VOL'!$N$2:$CG$65,MATCH($D54,'Monthly VOL'!$D$2:$D$65,0),MATCH(BU$1,'Monthly VOL'!$N$1:$CG$1,0))/INDEX('Monthly CUST'!$N$2:$CG$65,MATCH($D54,'Monthly CUST'!$D$2:$D$65,0),MATCH(BU$1,'Monthly CUST'!$N$1:$CG$1,0)),0)</f>
        <v>750.53551080293062</v>
      </c>
      <c r="BV54" s="56">
        <f>IFERROR(INDEX('Monthly VOL'!$N$2:$CG$65,MATCH($D54,'Monthly VOL'!$D$2:$D$65,0),MATCH(BV$1,'Monthly VOL'!$N$1:$CG$1,0))/INDEX('Monthly CUST'!$N$2:$CG$65,MATCH($D54,'Monthly CUST'!$D$2:$D$65,0),MATCH(BV$1,'Monthly CUST'!$N$1:$CG$1,0)),0)</f>
        <v>687.32653455961565</v>
      </c>
      <c r="BW54" s="56">
        <f>IFERROR(INDEX('Monthly VOL'!$N$2:$CG$65,MATCH($D54,'Monthly VOL'!$D$2:$D$65,0),MATCH(BW$1,'Monthly VOL'!$N$1:$CG$1,0))/INDEX('Monthly CUST'!$N$2:$CG$65,MATCH($D54,'Monthly CUST'!$D$2:$D$65,0),MATCH(BW$1,'Monthly CUST'!$N$1:$CG$1,0)),0)</f>
        <v>519.49264517558777</v>
      </c>
      <c r="BX54" s="56">
        <f>IFERROR(INDEX('Monthly VOL'!$N$2:$CG$65,MATCH($D54,'Monthly VOL'!$D$2:$D$65,0),MATCH(BX$1,'Monthly VOL'!$N$1:$CG$1,0))/INDEX('Monthly CUST'!$N$2:$CG$65,MATCH($D54,'Monthly CUST'!$D$2:$D$65,0),MATCH(BX$1,'Monthly CUST'!$N$1:$CG$1,0)),0)</f>
        <v>571.30397603362428</v>
      </c>
      <c r="BY54" s="56">
        <f>IFERROR(INDEX('Monthly VOL'!$N$2:$CG$65,MATCH($D54,'Monthly VOL'!$D$2:$D$65,0),MATCH(BY$1,'Monthly VOL'!$N$1:$CG$1,0))/INDEX('Monthly CUST'!$N$2:$CG$65,MATCH($D54,'Monthly CUST'!$D$2:$D$65,0),MATCH(BY$1,'Monthly CUST'!$N$1:$CG$1,0)),0)</f>
        <v>540.13888320796707</v>
      </c>
      <c r="BZ54" s="56">
        <f>IFERROR(INDEX('Monthly VOL'!$N$2:$CG$65,MATCH($D54,'Monthly VOL'!$D$2:$D$65,0),MATCH(BZ$1,'Monthly VOL'!$N$1:$CG$1,0))/INDEX('Monthly CUST'!$N$2:$CG$65,MATCH($D54,'Monthly CUST'!$D$2:$D$65,0),MATCH(BZ$1,'Monthly CUST'!$N$1:$CG$1,0)),0)</f>
        <v>490.02628450921031</v>
      </c>
      <c r="CA54" s="56">
        <f>IFERROR(INDEX('Monthly VOL'!$N$2:$CG$65,MATCH($D54,'Monthly VOL'!$D$2:$D$65,0),MATCH(CA$1,'Monthly VOL'!$N$1:$CG$1,0))/INDEX('Monthly CUST'!$N$2:$CG$65,MATCH($D54,'Monthly CUST'!$D$2:$D$65,0),MATCH(CA$1,'Monthly CUST'!$N$1:$CG$1,0)),0)</f>
        <v>511.16292192534183</v>
      </c>
      <c r="CB54" s="56">
        <f>IFERROR(INDEX('Monthly VOL'!$N$2:$CG$65,MATCH($D54,'Monthly VOL'!$D$2:$D$65,0),MATCH(CB$1,'Monthly VOL'!$N$1:$CG$1,0))/INDEX('Monthly CUST'!$N$2:$CG$65,MATCH($D54,'Monthly CUST'!$D$2:$D$65,0),MATCH(CB$1,'Monthly CUST'!$N$1:$CG$1,0)),0)</f>
        <v>523.6066296312149</v>
      </c>
      <c r="CC54" s="56">
        <f>IFERROR(INDEX('Monthly VOL'!$N$2:$CG$65,MATCH($D54,'Monthly VOL'!$D$2:$D$65,0),MATCH(CC$1,'Monthly VOL'!$N$1:$CG$1,0))/INDEX('Monthly CUST'!$N$2:$CG$65,MATCH($D54,'Monthly CUST'!$D$2:$D$65,0),MATCH(CC$1,'Monthly CUST'!$N$1:$CG$1,0)),0)</f>
        <v>426.00019320803233</v>
      </c>
      <c r="CD54" s="56">
        <f>IFERROR(INDEX('Monthly VOL'!$N$2:$CG$65,MATCH($D54,'Monthly VOL'!$D$2:$D$65,0),MATCH(CD$1,'Monthly VOL'!$N$1:$CG$1,0))/INDEX('Monthly CUST'!$N$2:$CG$65,MATCH($D54,'Monthly CUST'!$D$2:$D$65,0),MATCH(CD$1,'Monthly CUST'!$N$1:$CG$1,0)),0)</f>
        <v>927.73670622954978</v>
      </c>
      <c r="CE54" s="56">
        <f>IFERROR(INDEX('Monthly VOL'!$N$2:$CG$65,MATCH($D54,'Monthly VOL'!$D$2:$D$65,0),MATCH(CE$1,'Monthly VOL'!$N$1:$CG$1,0))/INDEX('Monthly CUST'!$N$2:$CG$65,MATCH($D54,'Monthly CUST'!$D$2:$D$65,0),MATCH(CE$1,'Monthly CUST'!$N$1:$CG$1,0)),0)</f>
        <v>568.14912043997572</v>
      </c>
      <c r="CF54" s="56">
        <f>IFERROR(INDEX('Monthly VOL'!$N$2:$CG$65,MATCH($D54,'Monthly VOL'!$D$2:$D$65,0),MATCH(CF$1,'Monthly VOL'!$N$1:$CG$1,0))/INDEX('Monthly CUST'!$N$2:$CG$65,MATCH($D54,'Monthly CUST'!$D$2:$D$65,0),MATCH(CF$1,'Monthly CUST'!$N$1:$CG$1,0)),0)</f>
        <v>461.21967824912008</v>
      </c>
      <c r="CG54" s="56">
        <f>IFERROR(INDEX('Monthly VOL'!$N$2:$CG$65,MATCH($D54,'Monthly VOL'!$D$2:$D$65,0),MATCH(CG$1,'Monthly VOL'!$N$1:$CG$1,0))/INDEX('Monthly CUST'!$N$2:$CG$65,MATCH($D54,'Monthly CUST'!$D$2:$D$65,0),MATCH(CG$1,'Monthly CUST'!$N$1:$CG$1,0)),0)</f>
        <v>746.50115798992738</v>
      </c>
      <c r="CH54" s="264"/>
      <c r="CI54" s="264"/>
      <c r="CJ54" s="264"/>
      <c r="CM54" s="569">
        <f t="shared" si="24"/>
        <v>611.04904761904766</v>
      </c>
      <c r="CN54" s="569">
        <f t="shared" si="25"/>
        <v>572.40714285714284</v>
      </c>
      <c r="CO54" s="569">
        <f t="shared" si="26"/>
        <v>543.06095238095236</v>
      </c>
      <c r="CP54" s="569">
        <f t="shared" si="27"/>
        <v>460.73142857142858</v>
      </c>
      <c r="CQ54" s="569">
        <f t="shared" si="28"/>
        <v>497.84952380952382</v>
      </c>
      <c r="CR54" s="569">
        <f t="shared" si="29"/>
        <v>517.88809523809516</v>
      </c>
      <c r="CS54" s="569">
        <f t="shared" si="30"/>
        <v>511.02285714285716</v>
      </c>
      <c r="CT54" s="569">
        <f t="shared" si="31"/>
        <v>443.14142857142861</v>
      </c>
      <c r="CU54" s="569">
        <f t="shared" si="32"/>
        <v>661.27761904761917</v>
      </c>
      <c r="CV54" s="569">
        <f t="shared" si="33"/>
        <v>540.27126984126983</v>
      </c>
      <c r="CW54" s="569">
        <f t="shared" si="34"/>
        <v>534.48277777777776</v>
      </c>
      <c r="CX54" s="569">
        <f t="shared" si="35"/>
        <v>607.44198412698415</v>
      </c>
      <c r="CY54" s="569">
        <f t="shared" si="36"/>
        <v>611.04904761904766</v>
      </c>
      <c r="CZ54" s="569">
        <f t="shared" si="37"/>
        <v>572.40714285714284</v>
      </c>
      <c r="DA54" s="569">
        <f t="shared" si="38"/>
        <v>543.06095238095236</v>
      </c>
      <c r="DB54" s="569">
        <f t="shared" si="39"/>
        <v>460.73142857142858</v>
      </c>
      <c r="DC54" s="569">
        <f t="shared" si="40"/>
        <v>497.84952380952382</v>
      </c>
      <c r="DD54" s="569">
        <f t="shared" si="41"/>
        <v>517.88809523809516</v>
      </c>
      <c r="DE54" s="569">
        <f t="shared" si="42"/>
        <v>511.02285714285716</v>
      </c>
      <c r="DF54" s="569">
        <f t="shared" si="43"/>
        <v>443.14142857142861</v>
      </c>
      <c r="DG54" s="569">
        <f t="shared" si="44"/>
        <v>661.27761904761917</v>
      </c>
      <c r="DH54" s="569">
        <f t="shared" si="45"/>
        <v>540.27126984126983</v>
      </c>
      <c r="DI54" s="569">
        <f t="shared" si="46"/>
        <v>534.48277777777776</v>
      </c>
      <c r="DJ54" s="569">
        <f t="shared" si="47"/>
        <v>607.44198412698415</v>
      </c>
    </row>
    <row r="55" spans="1:114" s="261" customFormat="1">
      <c r="A55" s="55" t="s">
        <v>17</v>
      </c>
      <c r="B55" s="55" t="s">
        <v>993</v>
      </c>
      <c r="C55" s="55" t="s">
        <v>1245</v>
      </c>
      <c r="D55" s="55" t="s">
        <v>65</v>
      </c>
      <c r="E55" s="55" t="str">
        <f>VLOOKUP(D55,'Input 14_Ref Table'!C:D,2,FALSE)</f>
        <v>CC601</v>
      </c>
      <c r="F55" s="172" t="s">
        <v>1286</v>
      </c>
      <c r="G55" s="55" t="str">
        <f>VLOOKUP(D55,'Input 14_Ref Table'!C:I,7,FALSE)</f>
        <v>CFG - FTS-4</v>
      </c>
      <c r="H55" s="55" t="str">
        <f>VLOOKUP(D55,'Input 14_Ref Table'!C:K,8,FALSE)</f>
        <v>FTS4</v>
      </c>
      <c r="I55" s="55" t="e">
        <f>INDEX(#REF!,MATCH(D55,#REF!,0))</f>
        <v>#REF!</v>
      </c>
      <c r="J55" s="261" t="str">
        <f>INDEX('Master '!$AD$2:AD$65,MATCH(D55,'Master '!$D$2:$D$65,0))</f>
        <v>UPC Growth Rate</v>
      </c>
      <c r="K55" s="567">
        <f>INDEX('Master '!$N$2:N$65,MATCH(D55,'Master '!$D$2:$D$65,0))</f>
        <v>1.8974393636890258E-2</v>
      </c>
      <c r="L55" s="290">
        <f>INDEX('Master '!$S$2:S$65,MATCH(D55,'Master '!$D$2:$D$65,0))</f>
        <v>-1.9094755816262625E-5</v>
      </c>
      <c r="M55" s="1">
        <f>INDEX('Master '!$W$2:W$65,MATCH(D55,'Master '!$D$2:$D$65,0))</f>
        <v>13092.349999999999</v>
      </c>
      <c r="N55" s="56">
        <f>IFERROR(INDEX('Monthly VOL'!$N$2:$CG$65,MATCH($D55,'Monthly VOL'!$D$2:$D$65,0),MATCH(N$1,'Monthly VOL'!$N$1:$CG$1,0))/INDEX('Monthly CUST'!$N$2:$CG$65,MATCH($D55,'Monthly CUST'!$D$2:$D$65,0),MATCH(N$1,'Monthly CUST'!$N$1:$CG$1,0)),0)</f>
        <v>1587.3217258883249</v>
      </c>
      <c r="O55" s="56">
        <f>IFERROR(INDEX('Monthly VOL'!$N$2:$CG$65,MATCH($D55,'Monthly VOL'!$D$2:$D$65,0),MATCH(O$1,'Monthly VOL'!$N$1:$CG$1,0))/INDEX('Monthly CUST'!$N$2:$CG$65,MATCH($D55,'Monthly CUST'!$D$2:$D$65,0),MATCH(O$1,'Monthly CUST'!$N$1:$CG$1,0)),0)</f>
        <v>1390.6742131979695</v>
      </c>
      <c r="P55" s="56">
        <f>IFERROR(INDEX('Monthly VOL'!$N$2:$CG$65,MATCH($D55,'Monthly VOL'!$D$2:$D$65,0),MATCH(P$1,'Monthly VOL'!$N$1:$CG$1,0))/INDEX('Monthly CUST'!$N$2:$CG$65,MATCH($D55,'Monthly CUST'!$D$2:$D$65,0),MATCH(P$1,'Monthly CUST'!$N$1:$CG$1,0)),0)</f>
        <v>1317.07</v>
      </c>
      <c r="Q55" s="56">
        <f>IFERROR(INDEX('Monthly VOL'!$N$2:$CG$65,MATCH($D55,'Monthly VOL'!$D$2:$D$65,0),MATCH(Q$1,'Monthly VOL'!$N$1:$CG$1,0))/INDEX('Monthly CUST'!$N$2:$CG$65,MATCH($D55,'Monthly CUST'!$D$2:$D$65,0),MATCH(Q$1,'Monthly CUST'!$N$1:$CG$1,0)),0)</f>
        <v>1491.3239215686276</v>
      </c>
      <c r="R55" s="56">
        <f>IFERROR(INDEX('Monthly VOL'!$N$2:$CG$65,MATCH($D55,'Monthly VOL'!$D$2:$D$65,0),MATCH(R$1,'Monthly VOL'!$N$1:$CG$1,0))/INDEX('Monthly CUST'!$N$2:$CG$65,MATCH($D55,'Monthly CUST'!$D$2:$D$65,0),MATCH(R$1,'Monthly CUST'!$N$1:$CG$1,0)),0)</f>
        <v>1100.2023529411765</v>
      </c>
      <c r="S55" s="56">
        <f>IFERROR(INDEX('Monthly VOL'!$N$2:$CG$65,MATCH($D55,'Monthly VOL'!$D$2:$D$65,0),MATCH(S$1,'Monthly VOL'!$N$1:$CG$1,0))/INDEX('Monthly CUST'!$N$2:$CG$65,MATCH($D55,'Monthly CUST'!$D$2:$D$65,0),MATCH(S$1,'Monthly CUST'!$N$1:$CG$1,0)),0)</f>
        <v>1186.7355609756098</v>
      </c>
      <c r="T55" s="56">
        <f>IFERROR(INDEX('Monthly VOL'!$N$2:$CG$65,MATCH($D55,'Monthly VOL'!$D$2:$D$65,0),MATCH(T$1,'Monthly VOL'!$N$1:$CG$1,0))/INDEX('Monthly CUST'!$N$2:$CG$65,MATCH($D55,'Monthly CUST'!$D$2:$D$65,0),MATCH(T$1,'Monthly CUST'!$N$1:$CG$1,0)),0)</f>
        <v>1015.3073170731707</v>
      </c>
      <c r="U55" s="56">
        <f>IFERROR(INDEX('Monthly VOL'!$N$2:$CG$65,MATCH($D55,'Monthly VOL'!$D$2:$D$65,0),MATCH(U$1,'Monthly VOL'!$N$1:$CG$1,0))/INDEX('Monthly CUST'!$N$2:$CG$65,MATCH($D55,'Monthly CUST'!$D$2:$D$65,0),MATCH(U$1,'Monthly CUST'!$N$1:$CG$1,0)),0)</f>
        <v>1013.2479024390244</v>
      </c>
      <c r="V55" s="56">
        <f>IFERROR(INDEX('Monthly VOL'!$N$2:$CG$65,MATCH($D55,'Monthly VOL'!$D$2:$D$65,0),MATCH(V$1,'Monthly VOL'!$N$1:$CG$1,0))/INDEX('Monthly CUST'!$N$2:$CG$65,MATCH($D55,'Monthly CUST'!$D$2:$D$65,0),MATCH(V$1,'Monthly CUST'!$N$1:$CG$1,0)),0)</f>
        <v>1078.6868446601941</v>
      </c>
      <c r="W55" s="56">
        <f>IFERROR(INDEX('Monthly VOL'!$N$2:$CG$65,MATCH($D55,'Monthly VOL'!$D$2:$D$65,0),MATCH(W$1,'Monthly VOL'!$N$1:$CG$1,0))/INDEX('Monthly CUST'!$N$2:$CG$65,MATCH($D55,'Monthly CUST'!$D$2:$D$65,0),MATCH(W$1,'Monthly CUST'!$N$1:$CG$1,0)),0)</f>
        <v>1121.5339215686274</v>
      </c>
      <c r="X55" s="56">
        <f>IFERROR(INDEX('Monthly VOL'!$N$2:$CG$65,MATCH($D55,'Monthly VOL'!$D$2:$D$65,0),MATCH(X$1,'Monthly VOL'!$N$1:$CG$1,0))/INDEX('Monthly CUST'!$N$2:$CG$65,MATCH($D55,'Monthly CUST'!$D$2:$D$65,0),MATCH(X$1,'Monthly CUST'!$N$1:$CG$1,0)),0)</f>
        <v>1344.1431707317072</v>
      </c>
      <c r="Y55" s="56">
        <f>IFERROR(INDEX('Monthly VOL'!$N$2:$CG$65,MATCH($D55,'Monthly VOL'!$D$2:$D$65,0),MATCH(Y$1,'Monthly VOL'!$N$1:$CG$1,0))/INDEX('Monthly CUST'!$N$2:$CG$65,MATCH($D55,'Monthly CUST'!$D$2:$D$65,0),MATCH(Y$1,'Monthly CUST'!$N$1:$CG$1,0)),0)</f>
        <v>1509.9702403846154</v>
      </c>
      <c r="Z55" s="56">
        <f>IFERROR(INDEX('Monthly VOL'!$N$2:$CG$65,MATCH($D55,'Monthly VOL'!$D$2:$D$65,0),MATCH(Z$1,'Monthly VOL'!$N$1:$CG$1,0))/INDEX('Monthly CUST'!$N$2:$CG$65,MATCH($D55,'Monthly CUST'!$D$2:$D$65,0),MATCH(Z$1,'Monthly CUST'!$N$1:$CG$1,0)),0)</f>
        <v>1551.3023557692309</v>
      </c>
      <c r="AA55" s="56">
        <f>IFERROR(INDEX('Monthly VOL'!$N$2:$CG$65,MATCH($D55,'Monthly VOL'!$D$2:$D$65,0),MATCH(AA$1,'Monthly VOL'!$N$1:$CG$1,0))/INDEX('Monthly CUST'!$N$2:$CG$65,MATCH($D55,'Monthly CUST'!$D$2:$D$65,0),MATCH(AA$1,'Monthly CUST'!$N$1:$CG$1,0)),0)</f>
        <v>1483.8792307692308</v>
      </c>
      <c r="AB55" s="56">
        <f>IFERROR(INDEX('Monthly VOL'!$N$2:$CG$65,MATCH($D55,'Monthly VOL'!$D$2:$D$65,0),MATCH(AB$1,'Monthly VOL'!$N$1:$CG$1,0))/INDEX('Monthly CUST'!$N$2:$CG$65,MATCH($D55,'Monthly CUST'!$D$2:$D$65,0),MATCH(AB$1,'Monthly CUST'!$N$1:$CG$1,0)),0)</f>
        <v>1342.1235096153846</v>
      </c>
      <c r="AC55" s="56">
        <f>IFERROR(INDEX('Monthly VOL'!$N$2:$CG$65,MATCH($D55,'Monthly VOL'!$D$2:$D$65,0),MATCH(AC$1,'Monthly VOL'!$N$1:$CG$1,0))/INDEX('Monthly CUST'!$N$2:$CG$65,MATCH($D55,'Monthly CUST'!$D$2:$D$65,0),MATCH(AC$1,'Monthly CUST'!$N$1:$CG$1,0)),0)</f>
        <v>1334.0336792452831</v>
      </c>
      <c r="AD55" s="56">
        <f>IFERROR(INDEX('Monthly VOL'!$N$2:$CG$65,MATCH($D55,'Monthly VOL'!$D$2:$D$65,0),MATCH(AD$1,'Monthly VOL'!$N$1:$CG$1,0))/INDEX('Monthly CUST'!$N$2:$CG$65,MATCH($D55,'Monthly CUST'!$D$2:$D$65,0),MATCH(AD$1,'Monthly CUST'!$N$1:$CG$1,0)),0)</f>
        <v>1185.3595673076923</v>
      </c>
      <c r="AE55" s="56">
        <f>IFERROR(INDEX('Monthly VOL'!$N$2:$CG$65,MATCH($D55,'Monthly VOL'!$D$2:$D$65,0),MATCH(AE$1,'Monthly VOL'!$N$1:$CG$1,0))/INDEX('Monthly CUST'!$N$2:$CG$65,MATCH($D55,'Monthly CUST'!$D$2:$D$65,0),MATCH(AE$1,'Monthly CUST'!$N$1:$CG$1,0)),0)</f>
        <v>1116.7902380952382</v>
      </c>
      <c r="AF55" s="56">
        <f>IFERROR(INDEX('Monthly VOL'!$N$2:$CG$65,MATCH($D55,'Monthly VOL'!$D$2:$D$65,0),MATCH(AF$1,'Monthly VOL'!$N$1:$CG$1,0))/INDEX('Monthly CUST'!$N$2:$CG$65,MATCH($D55,'Monthly CUST'!$D$2:$D$65,0),MATCH(AF$1,'Monthly CUST'!$N$1:$CG$1,0)),0)</f>
        <v>1061.5664928909953</v>
      </c>
      <c r="AG55" s="56">
        <f>IFERROR(INDEX('Monthly VOL'!$N$2:$CG$65,MATCH($D55,'Monthly VOL'!$D$2:$D$65,0),MATCH(AG$1,'Monthly VOL'!$N$1:$CG$1,0))/INDEX('Monthly CUST'!$N$2:$CG$65,MATCH($D55,'Monthly CUST'!$D$2:$D$65,0),MATCH(AG$1,'Monthly CUST'!$N$1:$CG$1,0)),0)</f>
        <v>928.88390697674424</v>
      </c>
      <c r="AH55" s="56">
        <f>IFERROR(INDEX('Monthly VOL'!$N$2:$CG$65,MATCH($D55,'Monthly VOL'!$D$2:$D$65,0),MATCH(AH$1,'Monthly VOL'!$N$1:$CG$1,0))/INDEX('Monthly CUST'!$N$2:$CG$65,MATCH($D55,'Monthly CUST'!$D$2:$D$65,0),MATCH(AH$1,'Monthly CUST'!$N$1:$CG$1,0)),0)</f>
        <v>1052.671142857143</v>
      </c>
      <c r="AI55" s="56">
        <f>IFERROR(INDEX('Monthly VOL'!$N$2:$CG$65,MATCH($D55,'Monthly VOL'!$D$2:$D$65,0),MATCH(AI$1,'Monthly VOL'!$N$1:$CG$1,0))/INDEX('Monthly CUST'!$N$2:$CG$65,MATCH($D55,'Monthly CUST'!$D$2:$D$65,0),MATCH(AI$1,'Monthly CUST'!$N$1:$CG$1,0)),0)</f>
        <v>1109.9722641509434</v>
      </c>
      <c r="AJ55" s="56">
        <f>IFERROR(INDEX('Monthly VOL'!$N$2:$CG$65,MATCH($D55,'Monthly VOL'!$D$2:$D$65,0),MATCH(AJ$1,'Monthly VOL'!$N$1:$CG$1,0))/INDEX('Monthly CUST'!$N$2:$CG$65,MATCH($D55,'Monthly CUST'!$D$2:$D$65,0),MATCH(AJ$1,'Monthly CUST'!$N$1:$CG$1,0)),0)</f>
        <v>1315.1052380952381</v>
      </c>
      <c r="AK55" s="56">
        <f>IFERROR(INDEX('Monthly VOL'!$N$2:$CG$65,MATCH($D55,'Monthly VOL'!$D$2:$D$65,0),MATCH(AK$1,'Monthly VOL'!$N$1:$CG$1,0))/INDEX('Monthly CUST'!$N$2:$CG$65,MATCH($D55,'Monthly CUST'!$D$2:$D$65,0),MATCH(AK$1,'Monthly CUST'!$N$1:$CG$1,0)),0)</f>
        <v>1651.1330476190476</v>
      </c>
      <c r="AL55" s="56">
        <f>IFERROR(INDEX('Monthly VOL'!$N$2:$CG$65,MATCH($D55,'Monthly VOL'!$D$2:$D$65,0),MATCH(AL$1,'Monthly VOL'!$N$1:$CG$1,0))/INDEX('Monthly CUST'!$N$2:$CG$65,MATCH($D55,'Monthly CUST'!$D$2:$D$65,0),MATCH(AL$1,'Monthly CUST'!$N$1:$CG$1,0)),0)</f>
        <v>1500.1405714285715</v>
      </c>
      <c r="AM55" s="56">
        <f>IFERROR(INDEX('Monthly VOL'!$N$2:$CG$65,MATCH($D55,'Monthly VOL'!$D$2:$D$65,0),MATCH(AM$1,'Monthly VOL'!$N$1:$CG$1,0))/INDEX('Monthly CUST'!$N$2:$CG$65,MATCH($D55,'Monthly CUST'!$D$2:$D$65,0),MATCH(AM$1,'Monthly CUST'!$N$1:$CG$1,0)),0)</f>
        <v>1389.9821904761905</v>
      </c>
      <c r="AN55" s="56">
        <f>IFERROR(INDEX('Monthly VOL'!$N$2:$CG$65,MATCH($D55,'Monthly VOL'!$D$2:$D$65,0),MATCH(AN$1,'Monthly VOL'!$N$1:$CG$1,0))/INDEX('Monthly CUST'!$N$2:$CG$65,MATCH($D55,'Monthly CUST'!$D$2:$D$65,0),MATCH(AN$1,'Monthly CUST'!$N$1:$CG$1,0)),0)</f>
        <v>1241.5514354066986</v>
      </c>
      <c r="AO55" s="56">
        <f>IFERROR(INDEX('Monthly VOL'!$N$2:$CG$65,MATCH($D55,'Monthly VOL'!$D$2:$D$65,0),MATCH(AO$1,'Monthly VOL'!$N$1:$CG$1,0))/INDEX('Monthly CUST'!$N$2:$CG$65,MATCH($D55,'Monthly CUST'!$D$2:$D$65,0),MATCH(AO$1,'Monthly CUST'!$N$1:$CG$1,0)),0)</f>
        <v>810.01923444976069</v>
      </c>
      <c r="AP55" s="56">
        <f>IFERROR(INDEX('Monthly VOL'!$N$2:$CG$65,MATCH($D55,'Monthly VOL'!$D$2:$D$65,0),MATCH(AP$1,'Monthly VOL'!$N$1:$CG$1,0))/INDEX('Monthly CUST'!$N$2:$CG$65,MATCH($D55,'Monthly CUST'!$D$2:$D$65,0),MATCH(AP$1,'Monthly CUST'!$N$1:$CG$1,0)),0)</f>
        <v>852.11635071090041</v>
      </c>
      <c r="AQ55" s="56">
        <f>IFERROR(INDEX('Monthly VOL'!$N$2:$CG$65,MATCH($D55,'Monthly VOL'!$D$2:$D$65,0),MATCH(AQ$1,'Monthly VOL'!$N$1:$CG$1,0))/INDEX('Monthly CUST'!$N$2:$CG$65,MATCH($D55,'Monthly CUST'!$D$2:$D$65,0),MATCH(AQ$1,'Monthly CUST'!$N$1:$CG$1,0)),0)</f>
        <v>971.96638095238097</v>
      </c>
      <c r="AR55" s="56">
        <f>IFERROR(INDEX('Monthly VOL'!$N$2:$CG$65,MATCH($D55,'Monthly VOL'!$D$2:$D$65,0),MATCH(AR$1,'Monthly VOL'!$N$1:$CG$1,0))/INDEX('Monthly CUST'!$N$2:$CG$65,MATCH($D55,'Monthly CUST'!$D$2:$D$65,0),MATCH(AR$1,'Monthly CUST'!$N$1:$CG$1,0)),0)</f>
        <v>957.4499047619048</v>
      </c>
      <c r="AS55" s="56">
        <f>IFERROR(INDEX('Monthly VOL'!$N$2:$CG$65,MATCH($D55,'Monthly VOL'!$D$2:$D$65,0),MATCH(AS$1,'Monthly VOL'!$N$1:$CG$1,0))/INDEX('Monthly CUST'!$N$2:$CG$65,MATCH($D55,'Monthly CUST'!$D$2:$D$65,0),MATCH(AS$1,'Monthly CUST'!$N$1:$CG$1,0)),0)</f>
        <v>912.3567298578198</v>
      </c>
      <c r="AT55" s="56">
        <f>IFERROR(INDEX('Monthly VOL'!$N$2:$CG$65,MATCH($D55,'Monthly VOL'!$D$2:$D$65,0),MATCH(AT$1,'Monthly VOL'!$N$1:$CG$1,0))/INDEX('Monthly CUST'!$N$2:$CG$65,MATCH($D55,'Monthly CUST'!$D$2:$D$65,0),MATCH(AT$1,'Monthly CUST'!$N$1:$CG$1,0)),0)</f>
        <v>993.58877358490565</v>
      </c>
      <c r="AU55" s="56">
        <f>IFERROR(INDEX('Monthly VOL'!$N$2:$CG$65,MATCH($D55,'Monthly VOL'!$D$2:$D$65,0),MATCH(AU$1,'Monthly VOL'!$N$1:$CG$1,0))/INDEX('Monthly CUST'!$N$2:$CG$65,MATCH($D55,'Monthly CUST'!$D$2:$D$65,0),MATCH(AU$1,'Monthly CUST'!$N$1:$CG$1,0)),0)</f>
        <v>955.53890995260656</v>
      </c>
      <c r="AV55" s="56">
        <f>IFERROR(INDEX('Monthly VOL'!$N$2:$CG$65,MATCH($D55,'Monthly VOL'!$D$2:$D$65,0),MATCH(AV$1,'Monthly VOL'!$N$1:$CG$1,0))/INDEX('Monthly CUST'!$N$2:$CG$65,MATCH($D55,'Monthly CUST'!$D$2:$D$65,0),MATCH(AV$1,'Monthly CUST'!$N$1:$CG$1,0)),0)</f>
        <v>1163.4670192307692</v>
      </c>
      <c r="AW55" s="56">
        <f>IFERROR(INDEX('Monthly VOL'!$N$2:$CG$65,MATCH($D55,'Monthly VOL'!$D$2:$D$65,0),MATCH(AW$1,'Monthly VOL'!$N$1:$CG$1,0))/INDEX('Monthly CUST'!$N$2:$CG$65,MATCH($D55,'Monthly CUST'!$D$2:$D$65,0),MATCH(AW$1,'Monthly CUST'!$N$1:$CG$1,0)),0)</f>
        <v>1439.0541428571428</v>
      </c>
      <c r="AX55" s="56">
        <f>IFERROR(INDEX('Monthly VOL'!$N$2:$CG$65,MATCH($D55,'Monthly VOL'!$D$2:$D$65,0),MATCH(AX$1,'Monthly VOL'!$N$1:$CG$1,0))/INDEX('Monthly CUST'!$N$2:$CG$65,MATCH($D55,'Monthly CUST'!$D$2:$D$65,0),MATCH(AX$1,'Monthly CUST'!$N$1:$CG$1,0)),0)</f>
        <v>1508.2987677725118</v>
      </c>
      <c r="AY55" s="56">
        <f>IFERROR(INDEX('Monthly VOL'!$N$2:$CG$65,MATCH($D55,'Monthly VOL'!$D$2:$D$65,0),MATCH(AY$1,'Monthly VOL'!$N$1:$CG$1,0))/INDEX('Monthly CUST'!$N$2:$CG$65,MATCH($D55,'Monthly CUST'!$D$2:$D$65,0),MATCH(AY$1,'Monthly CUST'!$N$1:$CG$1,0)),0)</f>
        <v>1280.0980476190477</v>
      </c>
      <c r="AZ55" s="56">
        <f>IFERROR(INDEX('Monthly VOL'!$N$2:$CG$65,MATCH($D55,'Monthly VOL'!$D$2:$D$65,0),MATCH(AZ$1,'Monthly VOL'!$N$1:$CG$1,0))/INDEX('Monthly CUST'!$N$2:$CG$65,MATCH($D55,'Monthly CUST'!$D$2:$D$65,0),MATCH(AZ$1,'Monthly CUST'!$N$1:$CG$1,0)),0)</f>
        <v>1250.4781516587677</v>
      </c>
      <c r="BA55" s="56">
        <f>IFERROR(INDEX('Monthly VOL'!$N$2:$CG$65,MATCH($D55,'Monthly VOL'!$D$2:$D$65,0),MATCH(BA$1,'Monthly VOL'!$N$1:$CG$1,0))/INDEX('Monthly CUST'!$N$2:$CG$65,MATCH($D55,'Monthly CUST'!$D$2:$D$65,0),MATCH(BA$1,'Monthly CUST'!$N$1:$CG$1,0)),0)</f>
        <v>1349.2827230046946</v>
      </c>
      <c r="BB55" s="56">
        <f>IFERROR(INDEX('Monthly VOL'!$N$2:$CG$65,MATCH($D55,'Monthly VOL'!$D$2:$D$65,0),MATCH(BB$1,'Monthly VOL'!$N$1:$CG$1,0))/INDEX('Monthly CUST'!$N$2:$CG$65,MATCH($D55,'Monthly CUST'!$D$2:$D$65,0),MATCH(BB$1,'Monthly CUST'!$N$1:$CG$1,0)),0)</f>
        <v>1049.5985915492959</v>
      </c>
      <c r="BC55" s="56">
        <f>IFERROR(INDEX('Monthly VOL'!$N$2:$CG$65,MATCH($D55,'Monthly VOL'!$D$2:$D$65,0),MATCH(BC$1,'Monthly VOL'!$N$1:$CG$1,0))/INDEX('Monthly CUST'!$N$2:$CG$65,MATCH($D55,'Monthly CUST'!$D$2:$D$65,0),MATCH(BC$1,'Monthly CUST'!$N$1:$CG$1,0)),0)</f>
        <v>1062.614882629108</v>
      </c>
      <c r="BD55" s="56">
        <f>IFERROR(INDEX('Monthly VOL'!$N$2:$CG$65,MATCH($D55,'Monthly VOL'!$D$2:$D$65,0),MATCH(BD$1,'Monthly VOL'!$N$1:$CG$1,0))/INDEX('Monthly CUST'!$N$2:$CG$65,MATCH($D55,'Monthly CUST'!$D$2:$D$65,0),MATCH(BD$1,'Monthly CUST'!$N$1:$CG$1,0)),0)</f>
        <v>1028.5661682242992</v>
      </c>
      <c r="BE55" s="56">
        <f>IFERROR(INDEX('Monthly VOL'!$N$2:$CG$65,MATCH($D55,'Monthly VOL'!$D$2:$D$65,0),MATCH(BE$1,'Monthly VOL'!$N$1:$CG$1,0))/INDEX('Monthly CUST'!$N$2:$CG$65,MATCH($D55,'Monthly CUST'!$D$2:$D$65,0),MATCH(BE$1,'Monthly CUST'!$N$1:$CG$1,0)),0)</f>
        <v>947.28327102803735</v>
      </c>
      <c r="BF55" s="56">
        <f>IFERROR(INDEX('Monthly VOL'!$N$2:$CG$65,MATCH($D55,'Monthly VOL'!$D$2:$D$65,0),MATCH(BF$1,'Monthly VOL'!$N$1:$CG$1,0))/INDEX('Monthly CUST'!$N$2:$CG$65,MATCH($D55,'Monthly CUST'!$D$2:$D$65,0),MATCH(BF$1,'Monthly CUST'!$N$1:$CG$1,0)),0)</f>
        <v>1037.6235813953488</v>
      </c>
      <c r="BG55" s="56">
        <f>IFERROR(INDEX('Monthly VOL'!$N$2:$CG$65,MATCH($D55,'Monthly VOL'!$D$2:$D$65,0),MATCH(BG$1,'Monthly VOL'!$N$1:$CG$1,0))/INDEX('Monthly CUST'!$N$2:$CG$65,MATCH($D55,'Monthly CUST'!$D$2:$D$65,0),MATCH(BG$1,'Monthly CUST'!$N$1:$CG$1,0)),0)</f>
        <v>1035.6195370370372</v>
      </c>
      <c r="BH55" s="56">
        <f>IFERROR(INDEX('Monthly VOL'!$N$2:$CG$65,MATCH($D55,'Monthly VOL'!$D$2:$D$65,0),MATCH(BH$1,'Monthly VOL'!$N$1:$CG$1,0))/INDEX('Monthly CUST'!$N$2:$CG$65,MATCH($D55,'Monthly CUST'!$D$2:$D$65,0),MATCH(BH$1,'Monthly CUST'!$N$1:$CG$1,0)),0)</f>
        <v>1186.0913551401868</v>
      </c>
      <c r="BI55" s="56">
        <f>IFERROR(INDEX('Monthly VOL'!$N$2:$CG$65,MATCH($D55,'Monthly VOL'!$D$2:$D$65,0),MATCH(BI$1,'Monthly VOL'!$N$1:$CG$1,0))/INDEX('Monthly CUST'!$N$2:$CG$65,MATCH($D55,'Monthly CUST'!$D$2:$D$65,0),MATCH(BI$1,'Monthly CUST'!$N$1:$CG$1,0)),0)</f>
        <v>1522.0097641509435</v>
      </c>
      <c r="BJ55" s="56">
        <f>IFERROR(INDEX('Monthly VOL'!$N$2:$CG$65,MATCH($D55,'Monthly VOL'!$D$2:$D$65,0),MATCH(BJ$1,'Monthly VOL'!$N$1:$CG$1,0))/INDEX('Monthly CUST'!$N$2:$CG$65,MATCH($D55,'Monthly CUST'!$D$2:$D$65,0),MATCH(BJ$1,'Monthly CUST'!$N$1:$CG$1,0)),0)</f>
        <v>1508.2699671758435</v>
      </c>
      <c r="BK55" s="56">
        <f>IFERROR(INDEX('Monthly VOL'!$N$2:$CG$65,MATCH($D55,'Monthly VOL'!$D$2:$D$65,0),MATCH(BK$1,'Monthly VOL'!$N$1:$CG$1,0))/INDEX('Monthly CUST'!$N$2:$CG$65,MATCH($D55,'Monthly CUST'!$D$2:$D$65,0),MATCH(BK$1,'Monthly CUST'!$N$1:$CG$1,0)),0)</f>
        <v>1280.0736044594075</v>
      </c>
      <c r="BL55" s="56">
        <f>IFERROR(INDEX('Monthly VOL'!$N$2:$CG$65,MATCH($D55,'Monthly VOL'!$D$2:$D$65,0),MATCH(BL$1,'Monthly VOL'!$N$1:$CG$1,0))/INDEX('Monthly CUST'!$N$2:$CG$65,MATCH($D55,'Monthly CUST'!$D$2:$D$65,0),MATCH(BL$1,'Monthly CUST'!$N$1:$CG$1,0)),0)</f>
        <v>1250.4542740838083</v>
      </c>
      <c r="BM55" s="56">
        <f>IFERROR(INDEX('Monthly VOL'!$N$2:$CG$65,MATCH($D55,'Monthly VOL'!$D$2:$D$65,0),MATCH(BM$1,'Monthly VOL'!$N$1:$CG$1,0))/INDEX('Monthly CUST'!$N$2:$CG$65,MATCH($D55,'Monthly CUST'!$D$2:$D$65,0),MATCH(BM$1,'Monthly CUST'!$N$1:$CG$1,0)),0)</f>
        <v>1349.2569587805717</v>
      </c>
      <c r="BN55" s="56">
        <f>IFERROR(INDEX('Monthly VOL'!$N$2:$CG$65,MATCH($D55,'Monthly VOL'!$D$2:$D$65,0),MATCH(BN$1,'Monthly VOL'!$N$1:$CG$1,0))/INDEX('Monthly CUST'!$N$2:$CG$65,MATCH($D55,'Monthly CUST'!$D$2:$D$65,0),MATCH(BN$1,'Monthly CUST'!$N$1:$CG$1,0)),0)</f>
        <v>1049.5785497204852</v>
      </c>
      <c r="BO55" s="56">
        <f>IFERROR(INDEX('Monthly VOL'!$N$2:$CG$65,MATCH($D55,'Monthly VOL'!$D$2:$D$65,0),MATCH(BO$1,'Monthly VOL'!$N$1:$CG$1,0))/INDEX('Monthly CUST'!$N$2:$CG$65,MATCH($D55,'Monthly CUST'!$D$2:$D$65,0),MATCH(BO$1,'Monthly CUST'!$N$1:$CG$1,0)),0)</f>
        <v>1062.5945922573974</v>
      </c>
      <c r="BP55" s="56">
        <f>IFERROR(INDEX('Monthly VOL'!$N$2:$CG$65,MATCH($D55,'Monthly VOL'!$D$2:$D$65,0),MATCH(BP$1,'Monthly VOL'!$N$1:$CG$1,0))/INDEX('Monthly CUST'!$N$2:$CG$65,MATCH($D55,'Monthly CUST'!$D$2:$D$65,0),MATCH(BP$1,'Monthly CUST'!$N$1:$CG$1,0)),0)</f>
        <v>1028.5465280044759</v>
      </c>
      <c r="BQ55" s="56">
        <f>IFERROR(INDEX('Monthly VOL'!$N$2:$CG$65,MATCH($D55,'Monthly VOL'!$D$2:$D$65,0),MATCH(BQ$1,'Monthly VOL'!$N$1:$CG$1,0))/INDEX('Monthly CUST'!$N$2:$CG$65,MATCH($D55,'Monthly CUST'!$D$2:$D$65,0),MATCH(BQ$1,'Monthly CUST'!$N$1:$CG$1,0)),0)</f>
        <v>947.26518288528814</v>
      </c>
      <c r="BR55" s="56">
        <f>IFERROR(INDEX('Monthly VOL'!$N$2:$CG$65,MATCH($D55,'Monthly VOL'!$D$2:$D$65,0),MATCH(BR$1,'Monthly VOL'!$N$1:$CG$1,0))/INDEX('Monthly CUST'!$N$2:$CG$65,MATCH($D55,'Monthly CUST'!$D$2:$D$65,0),MATCH(BR$1,'Monthly CUST'!$N$1:$CG$1,0)),0)</f>
        <v>1037.6037682264327</v>
      </c>
      <c r="BS55" s="56">
        <f>IFERROR(INDEX('Monthly VOL'!$N$2:$CG$65,MATCH($D55,'Monthly VOL'!$D$2:$D$65,0),MATCH(BS$1,'Monthly VOL'!$N$1:$CG$1,0))/INDEX('Monthly CUST'!$N$2:$CG$65,MATCH($D55,'Monthly CUST'!$D$2:$D$65,0),MATCH(BS$1,'Monthly CUST'!$N$1:$CG$1,0)),0)</f>
        <v>1035.5997621348588</v>
      </c>
      <c r="BT55" s="56">
        <f>IFERROR(INDEX('Monthly VOL'!$N$2:$CG$65,MATCH($D55,'Monthly VOL'!$D$2:$D$65,0),MATCH(BT$1,'Monthly VOL'!$N$1:$CG$1,0))/INDEX('Monthly CUST'!$N$2:$CG$65,MATCH($D55,'Monthly CUST'!$D$2:$D$65,0),MATCH(BT$1,'Monthly CUST'!$N$1:$CG$1,0)),0)</f>
        <v>1186.0687070153847</v>
      </c>
      <c r="BU55" s="56">
        <f>IFERROR(INDEX('Monthly VOL'!$N$2:$CG$65,MATCH($D55,'Monthly VOL'!$D$2:$D$65,0),MATCH(BU$1,'Monthly VOL'!$N$1:$CG$1,0))/INDEX('Monthly CUST'!$N$2:$CG$65,MATCH($D55,'Monthly CUST'!$D$2:$D$65,0),MATCH(BU$1,'Monthly CUST'!$N$1:$CG$1,0)),0)</f>
        <v>1521.9807017461474</v>
      </c>
      <c r="BV55" s="56">
        <f>IFERROR(INDEX('Monthly VOL'!$N$2:$CG$65,MATCH($D55,'Monthly VOL'!$D$2:$D$65,0),MATCH(BV$1,'Monthly VOL'!$N$1:$CG$1,0))/INDEX('Monthly CUST'!$N$2:$CG$65,MATCH($D55,'Monthly CUST'!$D$2:$D$65,0),MATCH(BV$1,'Monthly CUST'!$N$1:$CG$1,0)),0)</f>
        <v>1508.2411671291152</v>
      </c>
      <c r="BW55" s="56">
        <f>IFERROR(INDEX('Monthly VOL'!$N$2:$CG$65,MATCH($D55,'Monthly VOL'!$D$2:$D$65,0),MATCH(BW$1,'Monthly VOL'!$N$1:$CG$1,0))/INDEX('Monthly CUST'!$N$2:$CG$65,MATCH($D55,'Monthly CUST'!$D$2:$D$65,0),MATCH(BW$1,'Monthly CUST'!$N$1:$CG$1,0)),0)</f>
        <v>1280.0491617665034</v>
      </c>
      <c r="BX55" s="56">
        <f>IFERROR(INDEX('Monthly VOL'!$N$2:$CG$65,MATCH($D55,'Monthly VOL'!$D$2:$D$65,0),MATCH(BX$1,'Monthly VOL'!$N$1:$CG$1,0))/INDEX('Monthly CUST'!$N$2:$CG$65,MATCH($D55,'Monthly CUST'!$D$2:$D$65,0),MATCH(BX$1,'Monthly CUST'!$N$1:$CG$1,0)),0)</f>
        <v>1250.4303969647851</v>
      </c>
      <c r="BY55" s="56">
        <f>IFERROR(INDEX('Monthly VOL'!$N$2:$CG$65,MATCH($D55,'Monthly VOL'!$D$2:$D$65,0),MATCH(BY$1,'Monthly VOL'!$N$1:$CG$1,0))/INDEX('Monthly CUST'!$N$2:$CG$65,MATCH($D55,'Monthly CUST'!$D$2:$D$65,0),MATCH(BY$1,'Monthly CUST'!$N$1:$CG$1,0)),0)</f>
        <v>1349.2311950484104</v>
      </c>
      <c r="BZ55" s="56">
        <f>IFERROR(INDEX('Monthly VOL'!$N$2:$CG$65,MATCH($D55,'Monthly VOL'!$D$2:$D$65,0),MATCH(BZ$1,'Monthly VOL'!$N$1:$CG$1,0))/INDEX('Monthly CUST'!$N$2:$CG$65,MATCH($D55,'Monthly CUST'!$D$2:$D$65,0),MATCH(BZ$1,'Monthly CUST'!$N$1:$CG$1,0)),0)</f>
        <v>1049.5585082743683</v>
      </c>
      <c r="CA55" s="56">
        <f>IFERROR(INDEX('Monthly VOL'!$N$2:$CG$65,MATCH($D55,'Monthly VOL'!$D$2:$D$65,0),MATCH(CA$1,'Monthly VOL'!$N$1:$CG$1,0))/INDEX('Monthly CUST'!$N$2:$CG$65,MATCH($D55,'Monthly CUST'!$D$2:$D$65,0),MATCH(CA$1,'Monthly CUST'!$N$1:$CG$1,0)),0)</f>
        <v>1062.5743022731265</v>
      </c>
      <c r="CB55" s="56">
        <f>IFERROR(INDEX('Monthly VOL'!$N$2:$CG$65,MATCH($D55,'Monthly VOL'!$D$2:$D$65,0),MATCH(CB$1,'Monthly VOL'!$N$1:$CG$1,0))/INDEX('Monthly CUST'!$N$2:$CG$65,MATCH($D55,'Monthly CUST'!$D$2:$D$65,0),MATCH(CB$1,'Monthly CUST'!$N$1:$CG$1,0)),0)</f>
        <v>1028.526888159678</v>
      </c>
      <c r="CC55" s="56">
        <f>IFERROR(INDEX('Monthly VOL'!$N$2:$CG$65,MATCH($D55,'Monthly VOL'!$D$2:$D$65,0),MATCH(CC$1,'Monthly VOL'!$N$1:$CG$1,0))/INDEX('Monthly CUST'!$N$2:$CG$65,MATCH($D55,'Monthly CUST'!$D$2:$D$65,0),MATCH(CC$1,'Monthly CUST'!$N$1:$CG$1,0)),0)</f>
        <v>947.24709508792762</v>
      </c>
      <c r="CD55" s="56">
        <f>IFERROR(INDEX('Monthly VOL'!$N$2:$CG$65,MATCH($D55,'Monthly VOL'!$D$2:$D$65,0),MATCH(CD$1,'Monthly VOL'!$N$1:$CG$1,0))/INDEX('Monthly CUST'!$N$2:$CG$65,MATCH($D55,'Monthly CUST'!$D$2:$D$65,0),MATCH(CD$1,'Monthly CUST'!$N$1:$CG$1,0)),0)</f>
        <v>1037.5839554358445</v>
      </c>
      <c r="CE55" s="56">
        <f>IFERROR(INDEX('Monthly VOL'!$N$2:$CG$65,MATCH($D55,'Monthly VOL'!$D$2:$D$65,0),MATCH(CE$1,'Monthly VOL'!$N$1:$CG$1,0))/INDEX('Monthly CUST'!$N$2:$CG$65,MATCH($D55,'Monthly CUST'!$D$2:$D$65,0),MATCH(CE$1,'Monthly CUST'!$N$1:$CG$1,0)),0)</f>
        <v>1035.5799876102774</v>
      </c>
      <c r="CF55" s="56">
        <f>IFERROR(INDEX('Monthly VOL'!$N$2:$CG$65,MATCH($D55,'Monthly VOL'!$D$2:$D$65,0),MATCH(CF$1,'Monthly VOL'!$N$1:$CG$1,0))/INDEX('Monthly CUST'!$N$2:$CG$65,MATCH($D55,'Monthly CUST'!$D$2:$D$65,0),MATCH(CF$1,'Monthly CUST'!$N$1:$CG$1,0)),0)</f>
        <v>1186.046059323043</v>
      </c>
      <c r="CG55" s="56">
        <f>IFERROR(INDEX('Monthly VOL'!$N$2:$CG$65,MATCH($D55,'Monthly VOL'!$D$2:$D$65,0),MATCH(CG$1,'Monthly VOL'!$N$1:$CG$1,0))/INDEX('Monthly CUST'!$N$2:$CG$65,MATCH($D55,'Monthly CUST'!$D$2:$D$65,0),MATCH(CG$1,'Monthly CUST'!$N$1:$CG$1,0)),0)</f>
        <v>1521.9516398962903</v>
      </c>
      <c r="CH55" s="264"/>
      <c r="CI55" s="264"/>
      <c r="CJ55" s="264"/>
      <c r="CM55" s="569">
        <f t="shared" si="24"/>
        <v>1519.9138983234382</v>
      </c>
      <c r="CN55" s="569">
        <f t="shared" si="25"/>
        <v>1384.6531562881564</v>
      </c>
      <c r="CO55" s="569">
        <f t="shared" si="26"/>
        <v>1278.0510322269504</v>
      </c>
      <c r="CP55" s="569">
        <f t="shared" si="27"/>
        <v>1164.4452122332461</v>
      </c>
      <c r="CQ55" s="569">
        <f t="shared" si="28"/>
        <v>1029.0248365226296</v>
      </c>
      <c r="CR55" s="569">
        <f t="shared" si="29"/>
        <v>1050.4571672255759</v>
      </c>
      <c r="CS55" s="569">
        <f t="shared" si="30"/>
        <v>1015.8608552923997</v>
      </c>
      <c r="CT55" s="569">
        <f t="shared" si="31"/>
        <v>929.5079692875338</v>
      </c>
      <c r="CU55" s="569">
        <f t="shared" si="32"/>
        <v>1027.9611659457989</v>
      </c>
      <c r="CV55" s="569">
        <f t="shared" si="33"/>
        <v>1033.7102370468622</v>
      </c>
      <c r="CW55" s="569">
        <f t="shared" si="34"/>
        <v>1221.5545374887313</v>
      </c>
      <c r="CX55" s="569">
        <f t="shared" si="35"/>
        <v>1537.3989848757112</v>
      </c>
      <c r="CY55" s="569">
        <f t="shared" si="36"/>
        <v>1519.9138983234382</v>
      </c>
      <c r="CZ55" s="569">
        <f t="shared" si="37"/>
        <v>1384.6531562881564</v>
      </c>
      <c r="DA55" s="569">
        <f t="shared" si="38"/>
        <v>1278.0510322269504</v>
      </c>
      <c r="DB55" s="569">
        <f t="shared" si="39"/>
        <v>1164.4452122332461</v>
      </c>
      <c r="DC55" s="569">
        <f t="shared" si="40"/>
        <v>1029.0248365226296</v>
      </c>
      <c r="DD55" s="569">
        <f t="shared" si="41"/>
        <v>1050.4571672255759</v>
      </c>
      <c r="DE55" s="569">
        <f t="shared" si="42"/>
        <v>1015.8608552923997</v>
      </c>
      <c r="DF55" s="569">
        <f t="shared" si="43"/>
        <v>929.5079692875338</v>
      </c>
      <c r="DG55" s="569">
        <f t="shared" si="44"/>
        <v>1027.9611659457989</v>
      </c>
      <c r="DH55" s="569">
        <f t="shared" si="45"/>
        <v>1033.7102370468622</v>
      </c>
      <c r="DI55" s="569">
        <f t="shared" si="46"/>
        <v>1221.5545374887313</v>
      </c>
      <c r="DJ55" s="569">
        <f t="shared" si="47"/>
        <v>1537.3989848757112</v>
      </c>
    </row>
    <row r="56" spans="1:114" s="261" customFormat="1">
      <c r="A56" s="55" t="s">
        <v>17</v>
      </c>
      <c r="B56" s="55" t="s">
        <v>993</v>
      </c>
      <c r="C56" s="55" t="s">
        <v>1245</v>
      </c>
      <c r="D56" s="55" t="s">
        <v>67</v>
      </c>
      <c r="E56" s="55" t="str">
        <f>VLOOKUP(D56,'Input 14_Ref Table'!C:D,2,FALSE)</f>
        <v>CC602</v>
      </c>
      <c r="F56" s="172" t="s">
        <v>1286</v>
      </c>
      <c r="G56" s="55" t="str">
        <f>VLOOKUP(D56,'Input 14_Ref Table'!C:I,7,FALSE)</f>
        <v>CFG - FTS-5</v>
      </c>
      <c r="H56" s="55" t="str">
        <f>VLOOKUP(D56,'Input 14_Ref Table'!C:K,8,FALSE)</f>
        <v>Base Period</v>
      </c>
      <c r="I56" s="55" t="e">
        <f>INDEX(#REF!,MATCH(D56,#REF!,0))</f>
        <v>#REF!</v>
      </c>
      <c r="J56" s="261" t="str">
        <f>INDEX('Master '!$AD$2:AD$65,MATCH(D56,'Master '!$D$2:$D$65,0))</f>
        <v>Base Period</v>
      </c>
      <c r="K56" s="567">
        <f>INDEX('Master '!$N$2:N$65,MATCH(D56,'Master '!$D$2:$D$65,0))</f>
        <v>0</v>
      </c>
      <c r="L56" s="290">
        <f>INDEX('Master '!$S$2:S$65,MATCH(D56,'Master '!$D$2:$D$65,0))</f>
        <v>0</v>
      </c>
      <c r="M56" s="1">
        <f>INDEX('Master '!$W$2:W$65,MATCH(D56,'Master '!$D$2:$D$65,0))</f>
        <v>29072.603888888887</v>
      </c>
      <c r="N56" s="56">
        <f>IFERROR(INDEX('Monthly VOL'!$N$2:$CG$65,MATCH($D56,'Monthly VOL'!$D$2:$D$65,0),MATCH(N$1,'Monthly VOL'!$N$1:$CG$1,0))/INDEX('Monthly CUST'!$N$2:$CG$65,MATCH($D56,'Monthly CUST'!$D$2:$D$65,0),MATCH(N$1,'Monthly CUST'!$N$1:$CG$1,0)),0)</f>
        <v>3934.4434285714283</v>
      </c>
      <c r="O56" s="56">
        <f>IFERROR(INDEX('Monthly VOL'!$N$2:$CG$65,MATCH($D56,'Monthly VOL'!$D$2:$D$65,0),MATCH(O$1,'Monthly VOL'!$N$1:$CG$1,0))/INDEX('Monthly CUST'!$N$2:$CG$65,MATCH($D56,'Monthly CUST'!$D$2:$D$65,0),MATCH(O$1,'Monthly CUST'!$N$1:$CG$1,0)),0)</f>
        <v>3587.8754054054057</v>
      </c>
      <c r="P56" s="56">
        <f>IFERROR(INDEX('Monthly VOL'!$N$2:$CG$65,MATCH($D56,'Monthly VOL'!$D$2:$D$65,0),MATCH(P$1,'Monthly VOL'!$N$1:$CG$1,0))/INDEX('Monthly CUST'!$N$2:$CG$65,MATCH($D56,'Monthly CUST'!$D$2:$D$65,0),MATCH(P$1,'Monthly CUST'!$N$1:$CG$1,0)),0)</f>
        <v>3782.2972972972975</v>
      </c>
      <c r="Q56" s="56">
        <f>IFERROR(INDEX('Monthly VOL'!$N$2:$CG$65,MATCH($D56,'Monthly VOL'!$D$2:$D$65,0),MATCH(Q$1,'Monthly VOL'!$N$1:$CG$1,0))/INDEX('Monthly CUST'!$N$2:$CG$65,MATCH($D56,'Monthly CUST'!$D$2:$D$65,0),MATCH(Q$1,'Monthly CUST'!$N$1:$CG$1,0)),0)</f>
        <v>3131.1057575757577</v>
      </c>
      <c r="R56" s="56">
        <f>IFERROR(INDEX('Monthly VOL'!$N$2:$CG$65,MATCH($D56,'Monthly VOL'!$D$2:$D$65,0),MATCH(R$1,'Monthly VOL'!$N$1:$CG$1,0))/INDEX('Monthly CUST'!$N$2:$CG$65,MATCH($D56,'Monthly CUST'!$D$2:$D$65,0),MATCH(R$1,'Monthly CUST'!$N$1:$CG$1,0)),0)</f>
        <v>2334.5448484848484</v>
      </c>
      <c r="S56" s="56">
        <f>IFERROR(INDEX('Monthly VOL'!$N$2:$CG$65,MATCH($D56,'Monthly VOL'!$D$2:$D$65,0),MATCH(S$1,'Monthly VOL'!$N$1:$CG$1,0))/INDEX('Monthly CUST'!$N$2:$CG$65,MATCH($D56,'Monthly CUST'!$D$2:$D$65,0),MATCH(S$1,'Monthly CUST'!$N$1:$CG$1,0)),0)</f>
        <v>2407.3418181818183</v>
      </c>
      <c r="T56" s="56">
        <f>IFERROR(INDEX('Monthly VOL'!$N$2:$CG$65,MATCH($D56,'Monthly VOL'!$D$2:$D$65,0),MATCH(T$1,'Monthly VOL'!$N$1:$CG$1,0))/INDEX('Monthly CUST'!$N$2:$CG$65,MATCH($D56,'Monthly CUST'!$D$2:$D$65,0),MATCH(T$1,'Monthly CUST'!$N$1:$CG$1,0)),0)</f>
        <v>2220.5757575757575</v>
      </c>
      <c r="U56" s="56">
        <f>IFERROR(INDEX('Monthly VOL'!$N$2:$CG$65,MATCH($D56,'Monthly VOL'!$D$2:$D$65,0),MATCH(U$1,'Monthly VOL'!$N$1:$CG$1,0))/INDEX('Monthly CUST'!$N$2:$CG$65,MATCH($D56,'Monthly CUST'!$D$2:$D$65,0),MATCH(U$1,'Monthly CUST'!$N$1:$CG$1,0)),0)</f>
        <v>2313.9958823529414</v>
      </c>
      <c r="V56" s="56">
        <f>IFERROR(INDEX('Monthly VOL'!$N$2:$CG$65,MATCH($D56,'Monthly VOL'!$D$2:$D$65,0),MATCH(V$1,'Monthly VOL'!$N$1:$CG$1,0))/INDEX('Monthly CUST'!$N$2:$CG$65,MATCH($D56,'Monthly CUST'!$D$2:$D$65,0),MATCH(V$1,'Monthly CUST'!$N$1:$CG$1,0)),0)</f>
        <v>2294.0847058823529</v>
      </c>
      <c r="W56" s="56">
        <f>IFERROR(INDEX('Monthly VOL'!$N$2:$CG$65,MATCH($D56,'Monthly VOL'!$D$2:$D$65,0),MATCH(W$1,'Monthly VOL'!$N$1:$CG$1,0))/INDEX('Monthly CUST'!$N$2:$CG$65,MATCH($D56,'Monthly CUST'!$D$2:$D$65,0),MATCH(W$1,'Monthly CUST'!$N$1:$CG$1,0)),0)</f>
        <v>2180.5023529411765</v>
      </c>
      <c r="X56" s="56">
        <f>IFERROR(INDEX('Monthly VOL'!$N$2:$CG$65,MATCH($D56,'Monthly VOL'!$D$2:$D$65,0),MATCH(X$1,'Monthly VOL'!$N$1:$CG$1,0))/INDEX('Monthly CUST'!$N$2:$CG$65,MATCH($D56,'Monthly CUST'!$D$2:$D$65,0),MATCH(X$1,'Monthly CUST'!$N$1:$CG$1,0)),0)</f>
        <v>2732.6026470588235</v>
      </c>
      <c r="Y56" s="56">
        <f>IFERROR(INDEX('Monthly VOL'!$N$2:$CG$65,MATCH($D56,'Monthly VOL'!$D$2:$D$65,0),MATCH(Y$1,'Monthly VOL'!$N$1:$CG$1,0))/INDEX('Monthly CUST'!$N$2:$CG$65,MATCH($D56,'Monthly CUST'!$D$2:$D$65,0),MATCH(Y$1,'Monthly CUST'!$N$1:$CG$1,0)),0)</f>
        <v>2935.5976470588239</v>
      </c>
      <c r="Z56" s="56">
        <f>IFERROR(INDEX('Monthly VOL'!$N$2:$CG$65,MATCH($D56,'Monthly VOL'!$D$2:$D$65,0),MATCH(Z$1,'Monthly VOL'!$N$1:$CG$1,0))/INDEX('Monthly CUST'!$N$2:$CG$65,MATCH($D56,'Monthly CUST'!$D$2:$D$65,0),MATCH(Z$1,'Monthly CUST'!$N$1:$CG$1,0)),0)</f>
        <v>3310.3658823529413</v>
      </c>
      <c r="AA56" s="56">
        <f>IFERROR(INDEX('Monthly VOL'!$N$2:$CG$65,MATCH($D56,'Monthly VOL'!$D$2:$D$65,0),MATCH(AA$1,'Monthly VOL'!$N$1:$CG$1,0))/INDEX('Monthly CUST'!$N$2:$CG$65,MATCH($D56,'Monthly CUST'!$D$2:$D$65,0),MATCH(AA$1,'Monthly CUST'!$N$1:$CG$1,0)),0)</f>
        <v>2872.14</v>
      </c>
      <c r="AB56" s="56">
        <f>IFERROR(INDEX('Monthly VOL'!$N$2:$CG$65,MATCH($D56,'Monthly VOL'!$D$2:$D$65,0),MATCH(AB$1,'Monthly VOL'!$N$1:$CG$1,0))/INDEX('Monthly CUST'!$N$2:$CG$65,MATCH($D56,'Monthly CUST'!$D$2:$D$65,0),MATCH(AB$1,'Monthly CUST'!$N$1:$CG$1,0)),0)</f>
        <v>2897.4794117647061</v>
      </c>
      <c r="AC56" s="56">
        <f>IFERROR(INDEX('Monthly VOL'!$N$2:$CG$65,MATCH($D56,'Monthly VOL'!$D$2:$D$65,0),MATCH(AC$1,'Monthly VOL'!$N$1:$CG$1,0))/INDEX('Monthly CUST'!$N$2:$CG$65,MATCH($D56,'Monthly CUST'!$D$2:$D$65,0),MATCH(AC$1,'Monthly CUST'!$N$1:$CG$1,0)),0)</f>
        <v>2711.8873529411762</v>
      </c>
      <c r="AD56" s="56">
        <f>IFERROR(INDEX('Monthly VOL'!$N$2:$CG$65,MATCH($D56,'Monthly VOL'!$D$2:$D$65,0),MATCH(AD$1,'Monthly VOL'!$N$1:$CG$1,0))/INDEX('Monthly CUST'!$N$2:$CG$65,MATCH($D56,'Monthly CUST'!$D$2:$D$65,0),MATCH(AD$1,'Monthly CUST'!$N$1:$CG$1,0)),0)</f>
        <v>2804.8558823529415</v>
      </c>
      <c r="AE56" s="56">
        <f>IFERROR(INDEX('Monthly VOL'!$N$2:$CG$65,MATCH($D56,'Monthly VOL'!$D$2:$D$65,0),MATCH(AE$1,'Monthly VOL'!$N$1:$CG$1,0))/INDEX('Monthly CUST'!$N$2:$CG$65,MATCH($D56,'Monthly CUST'!$D$2:$D$65,0),MATCH(AE$1,'Monthly CUST'!$N$1:$CG$1,0)),0)</f>
        <v>2359.508823529412</v>
      </c>
      <c r="AF56" s="56">
        <f>IFERROR(INDEX('Monthly VOL'!$N$2:$CG$65,MATCH($D56,'Monthly VOL'!$D$2:$D$65,0),MATCH(AF$1,'Monthly VOL'!$N$1:$CG$1,0))/INDEX('Monthly CUST'!$N$2:$CG$65,MATCH($D56,'Monthly CUST'!$D$2:$D$65,0),MATCH(AF$1,'Monthly CUST'!$N$1:$CG$1,0)),0)</f>
        <v>2120.8561111111112</v>
      </c>
      <c r="AG56" s="56">
        <f>IFERROR(INDEX('Monthly VOL'!$N$2:$CG$65,MATCH($D56,'Monthly VOL'!$D$2:$D$65,0),MATCH(AG$1,'Monthly VOL'!$N$1:$CG$1,0))/INDEX('Monthly CUST'!$N$2:$CG$65,MATCH($D56,'Monthly CUST'!$D$2:$D$65,0),MATCH(AG$1,'Monthly CUST'!$N$1:$CG$1,0)),0)</f>
        <v>2189.0485294117643</v>
      </c>
      <c r="AH56" s="56">
        <f>IFERROR(INDEX('Monthly VOL'!$N$2:$CG$65,MATCH($D56,'Monthly VOL'!$D$2:$D$65,0),MATCH(AH$1,'Monthly VOL'!$N$1:$CG$1,0))/INDEX('Monthly CUST'!$N$2:$CG$65,MATCH($D56,'Monthly CUST'!$D$2:$D$65,0),MATCH(AH$1,'Monthly CUST'!$N$1:$CG$1,0)),0)</f>
        <v>2370.7152941176473</v>
      </c>
      <c r="AI56" s="56">
        <f>IFERROR(INDEX('Monthly VOL'!$N$2:$CG$65,MATCH($D56,'Monthly VOL'!$D$2:$D$65,0),MATCH(AI$1,'Monthly VOL'!$N$1:$CG$1,0))/INDEX('Monthly CUST'!$N$2:$CG$65,MATCH($D56,'Monthly CUST'!$D$2:$D$65,0),MATCH(AI$1,'Monthly CUST'!$N$1:$CG$1,0)),0)</f>
        <v>1993.93</v>
      </c>
      <c r="AJ56" s="56">
        <f>IFERROR(INDEX('Monthly VOL'!$N$2:$CG$65,MATCH($D56,'Monthly VOL'!$D$2:$D$65,0),MATCH(AJ$1,'Monthly VOL'!$N$1:$CG$1,0))/INDEX('Monthly CUST'!$N$2:$CG$65,MATCH($D56,'Monthly CUST'!$D$2:$D$65,0),MATCH(AJ$1,'Monthly CUST'!$N$1:$CG$1,0)),0)</f>
        <v>2428.6959999999999</v>
      </c>
      <c r="AK56" s="56">
        <f>IFERROR(INDEX('Monthly VOL'!$N$2:$CG$65,MATCH($D56,'Monthly VOL'!$D$2:$D$65,0),MATCH(AK$1,'Monthly VOL'!$N$1:$CG$1,0))/INDEX('Monthly CUST'!$N$2:$CG$65,MATCH($D56,'Monthly CUST'!$D$2:$D$65,0),MATCH(AK$1,'Monthly CUST'!$N$1:$CG$1,0)),0)</f>
        <v>2575.1041666666665</v>
      </c>
      <c r="AL56" s="56">
        <f>IFERROR(INDEX('Monthly VOL'!$N$2:$CG$65,MATCH($D56,'Monthly VOL'!$D$2:$D$65,0),MATCH(AL$1,'Monthly VOL'!$N$1:$CG$1,0))/INDEX('Monthly CUST'!$N$2:$CG$65,MATCH($D56,'Monthly CUST'!$D$2:$D$65,0),MATCH(AL$1,'Monthly CUST'!$N$1:$CG$1,0)),0)</f>
        <v>2678.9994444444442</v>
      </c>
      <c r="AM56" s="56">
        <f>IFERROR(INDEX('Monthly VOL'!$N$2:$CG$65,MATCH($D56,'Monthly VOL'!$D$2:$D$65,0),MATCH(AM$1,'Monthly VOL'!$N$1:$CG$1,0))/INDEX('Monthly CUST'!$N$2:$CG$65,MATCH($D56,'Monthly CUST'!$D$2:$D$65,0),MATCH(AM$1,'Monthly CUST'!$N$1:$CG$1,0)),0)</f>
        <v>2636.2219444444445</v>
      </c>
      <c r="AN56" s="56">
        <f>IFERROR(INDEX('Monthly VOL'!$N$2:$CG$65,MATCH($D56,'Monthly VOL'!$D$2:$D$65,0),MATCH(AN$1,'Monthly VOL'!$N$1:$CG$1,0))/INDEX('Monthly CUST'!$N$2:$CG$65,MATCH($D56,'Monthly CUST'!$D$2:$D$65,0),MATCH(AN$1,'Monthly CUST'!$N$1:$CG$1,0)),0)</f>
        <v>2684.4752777777776</v>
      </c>
      <c r="AO56" s="56">
        <f>IFERROR(INDEX('Monthly VOL'!$N$2:$CG$65,MATCH($D56,'Monthly VOL'!$D$2:$D$65,0),MATCH(AO$1,'Monthly VOL'!$N$1:$CG$1,0))/INDEX('Monthly CUST'!$N$2:$CG$65,MATCH($D56,'Monthly CUST'!$D$2:$D$65,0),MATCH(AO$1,'Monthly CUST'!$N$1:$CG$1,0)),0)</f>
        <v>2844.6405555555557</v>
      </c>
      <c r="AP56" s="56">
        <f>IFERROR(INDEX('Monthly VOL'!$N$2:$CG$65,MATCH($D56,'Monthly VOL'!$D$2:$D$65,0),MATCH(AP$1,'Monthly VOL'!$N$1:$CG$1,0))/INDEX('Monthly CUST'!$N$2:$CG$65,MATCH($D56,'Monthly CUST'!$D$2:$D$65,0),MATCH(AP$1,'Monthly CUST'!$N$1:$CG$1,0)),0)</f>
        <v>2210.0419444444442</v>
      </c>
      <c r="AQ56" s="56">
        <f>IFERROR(INDEX('Monthly VOL'!$N$2:$CG$65,MATCH($D56,'Monthly VOL'!$D$2:$D$65,0),MATCH(AQ$1,'Monthly VOL'!$N$1:$CG$1,0))/INDEX('Monthly CUST'!$N$2:$CG$65,MATCH($D56,'Monthly CUST'!$D$2:$D$65,0),MATCH(AQ$1,'Monthly CUST'!$N$1:$CG$1,0)),0)</f>
        <v>1990.4038888888888</v>
      </c>
      <c r="AR56" s="56">
        <f>IFERROR(INDEX('Monthly VOL'!$N$2:$CG$65,MATCH($D56,'Monthly VOL'!$D$2:$D$65,0),MATCH(AR$1,'Monthly VOL'!$N$1:$CG$1,0))/INDEX('Monthly CUST'!$N$2:$CG$65,MATCH($D56,'Monthly CUST'!$D$2:$D$65,0),MATCH(AR$1,'Monthly CUST'!$N$1:$CG$1,0)),0)</f>
        <v>2049.056111111111</v>
      </c>
      <c r="AS56" s="56">
        <f>IFERROR(INDEX('Monthly VOL'!$N$2:$CG$65,MATCH($D56,'Monthly VOL'!$D$2:$D$65,0),MATCH(AS$1,'Monthly VOL'!$N$1:$CG$1,0))/INDEX('Monthly CUST'!$N$2:$CG$65,MATCH($D56,'Monthly CUST'!$D$2:$D$65,0),MATCH(AS$1,'Monthly CUST'!$N$1:$CG$1,0)),0)</f>
        <v>2177.839722222222</v>
      </c>
      <c r="AT56" s="56">
        <f>IFERROR(INDEX('Monthly VOL'!$N$2:$CG$65,MATCH($D56,'Monthly VOL'!$D$2:$D$65,0),MATCH(AT$1,'Monthly VOL'!$N$1:$CG$1,0))/INDEX('Monthly CUST'!$N$2:$CG$65,MATCH($D56,'Monthly CUST'!$D$2:$D$65,0),MATCH(AT$1,'Monthly CUST'!$N$1:$CG$1,0)),0)</f>
        <v>2150.549722222222</v>
      </c>
      <c r="AU56" s="56">
        <f>IFERROR(INDEX('Monthly VOL'!$N$2:$CG$65,MATCH($D56,'Monthly VOL'!$D$2:$D$65,0),MATCH(AU$1,'Monthly VOL'!$N$1:$CG$1,0))/INDEX('Monthly CUST'!$N$2:$CG$65,MATCH($D56,'Monthly CUST'!$D$2:$D$65,0),MATCH(AU$1,'Monthly CUST'!$N$1:$CG$1,0)),0)</f>
        <v>2085.1577777777775</v>
      </c>
      <c r="AV56" s="56">
        <f>IFERROR(INDEX('Monthly VOL'!$N$2:$CG$65,MATCH($D56,'Monthly VOL'!$D$2:$D$65,0),MATCH(AV$1,'Monthly VOL'!$N$1:$CG$1,0))/INDEX('Monthly CUST'!$N$2:$CG$65,MATCH($D56,'Monthly CUST'!$D$2:$D$65,0),MATCH(AV$1,'Monthly CUST'!$N$1:$CG$1,0)),0)</f>
        <v>2274.0100000000002</v>
      </c>
      <c r="AW56" s="56">
        <f>IFERROR(INDEX('Monthly VOL'!$N$2:$CG$65,MATCH($D56,'Monthly VOL'!$D$2:$D$65,0),MATCH(AW$1,'Monthly VOL'!$N$1:$CG$1,0))/INDEX('Monthly CUST'!$N$2:$CG$65,MATCH($D56,'Monthly CUST'!$D$2:$D$65,0),MATCH(AW$1,'Monthly CUST'!$N$1:$CG$1,0)),0)</f>
        <v>2798.7666666666669</v>
      </c>
      <c r="AX56" s="56">
        <f>IFERROR(INDEX('Monthly VOL'!$N$2:$CG$65,MATCH($D56,'Monthly VOL'!$D$2:$D$65,0),MATCH(AX$1,'Monthly VOL'!$N$1:$CG$1,0))/INDEX('Monthly CUST'!$N$2:$CG$65,MATCH($D56,'Monthly CUST'!$D$2:$D$65,0),MATCH(AX$1,'Monthly CUST'!$N$1:$CG$1,0)),0)</f>
        <v>2937.8266666666664</v>
      </c>
      <c r="AY56" s="56">
        <f>IFERROR(INDEX('Monthly VOL'!$N$2:$CG$65,MATCH($D56,'Monthly VOL'!$D$2:$D$65,0),MATCH(AY$1,'Monthly VOL'!$N$1:$CG$1,0))/INDEX('Monthly CUST'!$N$2:$CG$65,MATCH($D56,'Monthly CUST'!$D$2:$D$65,0),MATCH(AY$1,'Monthly CUST'!$N$1:$CG$1,0)),0)</f>
        <v>2748.8502777777776</v>
      </c>
      <c r="AZ56" s="56">
        <f>IFERROR(INDEX('Monthly VOL'!$N$2:$CG$65,MATCH($D56,'Monthly VOL'!$D$2:$D$65,0),MATCH(AZ$1,'Monthly VOL'!$N$1:$CG$1,0))/INDEX('Monthly CUST'!$N$2:$CG$65,MATCH($D56,'Monthly CUST'!$D$2:$D$65,0),MATCH(AZ$1,'Monthly CUST'!$N$1:$CG$1,0)),0)</f>
        <v>3459.0774999999999</v>
      </c>
      <c r="BA56" s="56">
        <f>IFERROR(INDEX('Monthly VOL'!$N$2:$CG$65,MATCH($D56,'Monthly VOL'!$D$2:$D$65,0),MATCH(BA$1,'Monthly VOL'!$N$1:$CG$1,0))/INDEX('Monthly CUST'!$N$2:$CG$65,MATCH($D56,'Monthly CUST'!$D$2:$D$65,0),MATCH(BA$1,'Monthly CUST'!$N$1:$CG$1,0)),0)</f>
        <v>2550.3483333333334</v>
      </c>
      <c r="BB56" s="56">
        <f>IFERROR(INDEX('Monthly VOL'!$N$2:$CG$65,MATCH($D56,'Monthly VOL'!$D$2:$D$65,0),MATCH(BB$1,'Monthly VOL'!$N$1:$CG$1,0))/INDEX('Monthly CUST'!$N$2:$CG$65,MATCH($D56,'Monthly CUST'!$D$2:$D$65,0),MATCH(BB$1,'Monthly CUST'!$N$1:$CG$1,0)),0)</f>
        <v>2010.5933333333332</v>
      </c>
      <c r="BC56" s="56">
        <f>IFERROR(INDEX('Monthly VOL'!$N$2:$CG$65,MATCH($D56,'Monthly VOL'!$D$2:$D$65,0),MATCH(BC$1,'Monthly VOL'!$N$1:$CG$1,0))/INDEX('Monthly CUST'!$N$2:$CG$65,MATCH($D56,'Monthly CUST'!$D$2:$D$65,0),MATCH(BC$1,'Monthly CUST'!$N$1:$CG$1,0)),0)</f>
        <v>1868.194722222222</v>
      </c>
      <c r="BD56" s="56">
        <f>IFERROR(INDEX('Monthly VOL'!$N$2:$CG$65,MATCH($D56,'Monthly VOL'!$D$2:$D$65,0),MATCH(BD$1,'Monthly VOL'!$N$1:$CG$1,0))/INDEX('Monthly CUST'!$N$2:$CG$65,MATCH($D56,'Monthly CUST'!$D$2:$D$65,0),MATCH(BD$1,'Monthly CUST'!$N$1:$CG$1,0)),0)</f>
        <v>1994.5954285714286</v>
      </c>
      <c r="BE56" s="56">
        <f>IFERROR(INDEX('Monthly VOL'!$N$2:$CG$65,MATCH($D56,'Monthly VOL'!$D$2:$D$65,0),MATCH(BE$1,'Monthly VOL'!$N$1:$CG$1,0))/INDEX('Monthly CUST'!$N$2:$CG$65,MATCH($D56,'Monthly CUST'!$D$2:$D$65,0),MATCH(BE$1,'Monthly CUST'!$N$1:$CG$1,0)),0)</f>
        <v>1816.38</v>
      </c>
      <c r="BF56" s="56">
        <f>IFERROR(INDEX('Monthly VOL'!$N$2:$CG$65,MATCH($D56,'Monthly VOL'!$D$2:$D$65,0),MATCH(BF$1,'Monthly VOL'!$N$1:$CG$1,0))/INDEX('Monthly CUST'!$N$2:$CG$65,MATCH($D56,'Monthly CUST'!$D$2:$D$65,0),MATCH(BF$1,'Monthly CUST'!$N$1:$CG$1,0)),0)</f>
        <v>2098.9997222222223</v>
      </c>
      <c r="BG56" s="56">
        <f>IFERROR(INDEX('Monthly VOL'!$N$2:$CG$65,MATCH($D56,'Monthly VOL'!$D$2:$D$65,0),MATCH(BG$1,'Monthly VOL'!$N$1:$CG$1,0))/INDEX('Monthly CUST'!$N$2:$CG$65,MATCH($D56,'Monthly CUST'!$D$2:$D$65,0),MATCH(BG$1,'Monthly CUST'!$N$1:$CG$1,0)),0)</f>
        <v>2586.9950000000003</v>
      </c>
      <c r="BH56" s="56">
        <f>IFERROR(INDEX('Monthly VOL'!$N$2:$CG$65,MATCH($D56,'Monthly VOL'!$D$2:$D$65,0),MATCH(BH$1,'Monthly VOL'!$N$1:$CG$1,0))/INDEX('Monthly CUST'!$N$2:$CG$65,MATCH($D56,'Monthly CUST'!$D$2:$D$65,0),MATCH(BH$1,'Monthly CUST'!$N$1:$CG$1,0)),0)</f>
        <v>2229.5852777777782</v>
      </c>
      <c r="BI56" s="56">
        <f>IFERROR(INDEX('Monthly VOL'!$N$2:$CG$65,MATCH($D56,'Monthly VOL'!$D$2:$D$65,0),MATCH(BI$1,'Monthly VOL'!$N$1:$CG$1,0))/INDEX('Monthly CUST'!$N$2:$CG$65,MATCH($D56,'Monthly CUST'!$D$2:$D$65,0),MATCH(BI$1,'Monthly CUST'!$N$1:$CG$1,0)),0)</f>
        <v>2750.1694594594596</v>
      </c>
      <c r="BJ56" s="56">
        <f>IFERROR(INDEX('Monthly VOL'!$N$2:$CG$65,MATCH($D56,'Monthly VOL'!$D$2:$D$65,0),MATCH(BJ$1,'Monthly VOL'!$N$1:$CG$1,0))/INDEX('Monthly CUST'!$N$2:$CG$65,MATCH($D56,'Monthly CUST'!$D$2:$D$65,0),MATCH(BJ$1,'Monthly CUST'!$N$1:$CG$1,0)),0)</f>
        <v>2937.8266666666664</v>
      </c>
      <c r="BK56" s="56">
        <f>IFERROR(INDEX('Monthly VOL'!$N$2:$CG$65,MATCH($D56,'Monthly VOL'!$D$2:$D$65,0),MATCH(BK$1,'Monthly VOL'!$N$1:$CG$1,0))/INDEX('Monthly CUST'!$N$2:$CG$65,MATCH($D56,'Monthly CUST'!$D$2:$D$65,0),MATCH(BK$1,'Monthly CUST'!$N$1:$CG$1,0)),0)</f>
        <v>2748.8502777777776</v>
      </c>
      <c r="BL56" s="56">
        <f>IFERROR(INDEX('Monthly VOL'!$N$2:$CG$65,MATCH($D56,'Monthly VOL'!$D$2:$D$65,0),MATCH(BL$1,'Monthly VOL'!$N$1:$CG$1,0))/INDEX('Monthly CUST'!$N$2:$CG$65,MATCH($D56,'Monthly CUST'!$D$2:$D$65,0),MATCH(BL$1,'Monthly CUST'!$N$1:$CG$1,0)),0)</f>
        <v>3459.0774999999999</v>
      </c>
      <c r="BM56" s="56">
        <f>IFERROR(INDEX('Monthly VOL'!$N$2:$CG$65,MATCH($D56,'Monthly VOL'!$D$2:$D$65,0),MATCH(BM$1,'Monthly VOL'!$N$1:$CG$1,0))/INDEX('Monthly CUST'!$N$2:$CG$65,MATCH($D56,'Monthly CUST'!$D$2:$D$65,0),MATCH(BM$1,'Monthly CUST'!$N$1:$CG$1,0)),0)</f>
        <v>2550.3483333333334</v>
      </c>
      <c r="BN56" s="56">
        <f>IFERROR(INDEX('Monthly VOL'!$N$2:$CG$65,MATCH($D56,'Monthly VOL'!$D$2:$D$65,0),MATCH(BN$1,'Monthly VOL'!$N$1:$CG$1,0))/INDEX('Monthly CUST'!$N$2:$CG$65,MATCH($D56,'Monthly CUST'!$D$2:$D$65,0),MATCH(BN$1,'Monthly CUST'!$N$1:$CG$1,0)),0)</f>
        <v>2010.5933333333332</v>
      </c>
      <c r="BO56" s="56">
        <f>IFERROR(INDEX('Monthly VOL'!$N$2:$CG$65,MATCH($D56,'Monthly VOL'!$D$2:$D$65,0),MATCH(BO$1,'Monthly VOL'!$N$1:$CG$1,0))/INDEX('Monthly CUST'!$N$2:$CG$65,MATCH($D56,'Monthly CUST'!$D$2:$D$65,0),MATCH(BO$1,'Monthly CUST'!$N$1:$CG$1,0)),0)</f>
        <v>1868.194722222222</v>
      </c>
      <c r="BP56" s="56">
        <f>IFERROR(INDEX('Monthly VOL'!$N$2:$CG$65,MATCH($D56,'Monthly VOL'!$D$2:$D$65,0),MATCH(BP$1,'Monthly VOL'!$N$1:$CG$1,0))/INDEX('Monthly CUST'!$N$2:$CG$65,MATCH($D56,'Monthly CUST'!$D$2:$D$65,0),MATCH(BP$1,'Monthly CUST'!$N$1:$CG$1,0)),0)</f>
        <v>1994.5954285714286</v>
      </c>
      <c r="BQ56" s="56">
        <f>IFERROR(INDEX('Monthly VOL'!$N$2:$CG$65,MATCH($D56,'Monthly VOL'!$D$2:$D$65,0),MATCH(BQ$1,'Monthly VOL'!$N$1:$CG$1,0))/INDEX('Monthly CUST'!$N$2:$CG$65,MATCH($D56,'Monthly CUST'!$D$2:$D$65,0),MATCH(BQ$1,'Monthly CUST'!$N$1:$CG$1,0)),0)</f>
        <v>1816.38</v>
      </c>
      <c r="BR56" s="56">
        <f>IFERROR(INDEX('Monthly VOL'!$N$2:$CG$65,MATCH($D56,'Monthly VOL'!$D$2:$D$65,0),MATCH(BR$1,'Monthly VOL'!$N$1:$CG$1,0))/INDEX('Monthly CUST'!$N$2:$CG$65,MATCH($D56,'Monthly CUST'!$D$2:$D$65,0),MATCH(BR$1,'Monthly CUST'!$N$1:$CG$1,0)),0)</f>
        <v>2098.9997222222223</v>
      </c>
      <c r="BS56" s="56">
        <f>IFERROR(INDEX('Monthly VOL'!$N$2:$CG$65,MATCH($D56,'Monthly VOL'!$D$2:$D$65,0),MATCH(BS$1,'Monthly VOL'!$N$1:$CG$1,0))/INDEX('Monthly CUST'!$N$2:$CG$65,MATCH($D56,'Monthly CUST'!$D$2:$D$65,0),MATCH(BS$1,'Monthly CUST'!$N$1:$CG$1,0)),0)</f>
        <v>2586.9950000000003</v>
      </c>
      <c r="BT56" s="56">
        <f>IFERROR(INDEX('Monthly VOL'!$N$2:$CG$65,MATCH($D56,'Monthly VOL'!$D$2:$D$65,0),MATCH(BT$1,'Monthly VOL'!$N$1:$CG$1,0))/INDEX('Monthly CUST'!$N$2:$CG$65,MATCH($D56,'Monthly CUST'!$D$2:$D$65,0),MATCH(BT$1,'Monthly CUST'!$N$1:$CG$1,0)),0)</f>
        <v>2229.5852777777782</v>
      </c>
      <c r="BU56" s="56">
        <f>IFERROR(INDEX('Monthly VOL'!$N$2:$CG$65,MATCH($D56,'Monthly VOL'!$D$2:$D$65,0),MATCH(BU$1,'Monthly VOL'!$N$1:$CG$1,0))/INDEX('Monthly CUST'!$N$2:$CG$65,MATCH($D56,'Monthly CUST'!$D$2:$D$65,0),MATCH(BU$1,'Monthly CUST'!$N$1:$CG$1,0)),0)</f>
        <v>2750.1694594594596</v>
      </c>
      <c r="BV56" s="56">
        <f>IFERROR(INDEX('Monthly VOL'!$N$2:$CG$65,MATCH($D56,'Monthly VOL'!$D$2:$D$65,0),MATCH(BV$1,'Monthly VOL'!$N$1:$CG$1,0))/INDEX('Monthly CUST'!$N$2:$CG$65,MATCH($D56,'Monthly CUST'!$D$2:$D$65,0),MATCH(BV$1,'Monthly CUST'!$N$1:$CG$1,0)),0)</f>
        <v>2937.8266666666664</v>
      </c>
      <c r="BW56" s="56">
        <f>IFERROR(INDEX('Monthly VOL'!$N$2:$CG$65,MATCH($D56,'Monthly VOL'!$D$2:$D$65,0),MATCH(BW$1,'Monthly VOL'!$N$1:$CG$1,0))/INDEX('Monthly CUST'!$N$2:$CG$65,MATCH($D56,'Monthly CUST'!$D$2:$D$65,0),MATCH(BW$1,'Monthly CUST'!$N$1:$CG$1,0)),0)</f>
        <v>2748.8502777777776</v>
      </c>
      <c r="BX56" s="56">
        <f>IFERROR(INDEX('Monthly VOL'!$N$2:$CG$65,MATCH($D56,'Monthly VOL'!$D$2:$D$65,0),MATCH(BX$1,'Monthly VOL'!$N$1:$CG$1,0))/INDEX('Monthly CUST'!$N$2:$CG$65,MATCH($D56,'Monthly CUST'!$D$2:$D$65,0),MATCH(BX$1,'Monthly CUST'!$N$1:$CG$1,0)),0)</f>
        <v>3459.0774999999999</v>
      </c>
      <c r="BY56" s="56">
        <f>IFERROR(INDEX('Monthly VOL'!$N$2:$CG$65,MATCH($D56,'Monthly VOL'!$D$2:$D$65,0),MATCH(BY$1,'Monthly VOL'!$N$1:$CG$1,0))/INDEX('Monthly CUST'!$N$2:$CG$65,MATCH($D56,'Monthly CUST'!$D$2:$D$65,0),MATCH(BY$1,'Monthly CUST'!$N$1:$CG$1,0)),0)</f>
        <v>2550.3483333333334</v>
      </c>
      <c r="BZ56" s="56">
        <f>IFERROR(INDEX('Monthly VOL'!$N$2:$CG$65,MATCH($D56,'Monthly VOL'!$D$2:$D$65,0),MATCH(BZ$1,'Monthly VOL'!$N$1:$CG$1,0))/INDEX('Monthly CUST'!$N$2:$CG$65,MATCH($D56,'Monthly CUST'!$D$2:$D$65,0),MATCH(BZ$1,'Monthly CUST'!$N$1:$CG$1,0)),0)</f>
        <v>2010.5933333333332</v>
      </c>
      <c r="CA56" s="56">
        <f>IFERROR(INDEX('Monthly VOL'!$N$2:$CG$65,MATCH($D56,'Monthly VOL'!$D$2:$D$65,0),MATCH(CA$1,'Monthly VOL'!$N$1:$CG$1,0))/INDEX('Monthly CUST'!$N$2:$CG$65,MATCH($D56,'Monthly CUST'!$D$2:$D$65,0),MATCH(CA$1,'Monthly CUST'!$N$1:$CG$1,0)),0)</f>
        <v>1868.194722222222</v>
      </c>
      <c r="CB56" s="56">
        <f>IFERROR(INDEX('Monthly VOL'!$N$2:$CG$65,MATCH($D56,'Monthly VOL'!$D$2:$D$65,0),MATCH(CB$1,'Monthly VOL'!$N$1:$CG$1,0))/INDEX('Monthly CUST'!$N$2:$CG$65,MATCH($D56,'Monthly CUST'!$D$2:$D$65,0),MATCH(CB$1,'Monthly CUST'!$N$1:$CG$1,0)),0)</f>
        <v>1994.5954285714286</v>
      </c>
      <c r="CC56" s="56">
        <f>IFERROR(INDEX('Monthly VOL'!$N$2:$CG$65,MATCH($D56,'Monthly VOL'!$D$2:$D$65,0),MATCH(CC$1,'Monthly VOL'!$N$1:$CG$1,0))/INDEX('Monthly CUST'!$N$2:$CG$65,MATCH($D56,'Monthly CUST'!$D$2:$D$65,0),MATCH(CC$1,'Monthly CUST'!$N$1:$CG$1,0)),0)</f>
        <v>1816.38</v>
      </c>
      <c r="CD56" s="56">
        <f>IFERROR(INDEX('Monthly VOL'!$N$2:$CG$65,MATCH($D56,'Monthly VOL'!$D$2:$D$65,0),MATCH(CD$1,'Monthly VOL'!$N$1:$CG$1,0))/INDEX('Monthly CUST'!$N$2:$CG$65,MATCH($D56,'Monthly CUST'!$D$2:$D$65,0),MATCH(CD$1,'Monthly CUST'!$N$1:$CG$1,0)),0)</f>
        <v>2098.9997222222223</v>
      </c>
      <c r="CE56" s="56">
        <f>IFERROR(INDEX('Monthly VOL'!$N$2:$CG$65,MATCH($D56,'Monthly VOL'!$D$2:$D$65,0),MATCH(CE$1,'Monthly VOL'!$N$1:$CG$1,0))/INDEX('Monthly CUST'!$N$2:$CG$65,MATCH($D56,'Monthly CUST'!$D$2:$D$65,0),MATCH(CE$1,'Monthly CUST'!$N$1:$CG$1,0)),0)</f>
        <v>2586.9950000000003</v>
      </c>
      <c r="CF56" s="56">
        <f>IFERROR(INDEX('Monthly VOL'!$N$2:$CG$65,MATCH($D56,'Monthly VOL'!$D$2:$D$65,0),MATCH(CF$1,'Monthly VOL'!$N$1:$CG$1,0))/INDEX('Monthly CUST'!$N$2:$CG$65,MATCH($D56,'Monthly CUST'!$D$2:$D$65,0),MATCH(CF$1,'Monthly CUST'!$N$1:$CG$1,0)),0)</f>
        <v>2229.5852777777782</v>
      </c>
      <c r="CG56" s="56">
        <f>IFERROR(INDEX('Monthly VOL'!$N$2:$CG$65,MATCH($D56,'Monthly VOL'!$D$2:$D$65,0),MATCH(CG$1,'Monthly VOL'!$N$1:$CG$1,0))/INDEX('Monthly CUST'!$N$2:$CG$65,MATCH($D56,'Monthly CUST'!$D$2:$D$65,0),MATCH(CG$1,'Monthly CUST'!$N$1:$CG$1,0)),0)</f>
        <v>2750.1694594594596</v>
      </c>
      <c r="CH56" s="264"/>
      <c r="CI56" s="264"/>
      <c r="CJ56" s="264"/>
      <c r="CM56" s="569">
        <f t="shared" si="24"/>
        <v>2975.7306644880173</v>
      </c>
      <c r="CN56" s="569">
        <f t="shared" si="25"/>
        <v>2752.4040740740743</v>
      </c>
      <c r="CO56" s="569">
        <f t="shared" si="26"/>
        <v>3013.6773965141615</v>
      </c>
      <c r="CP56" s="569">
        <f t="shared" si="27"/>
        <v>2702.2920806100215</v>
      </c>
      <c r="CQ56" s="569">
        <f t="shared" si="28"/>
        <v>2341.8303867102395</v>
      </c>
      <c r="CR56" s="569">
        <f t="shared" si="29"/>
        <v>2072.7024782135072</v>
      </c>
      <c r="CS56" s="569">
        <f t="shared" si="30"/>
        <v>2054.8358835978838</v>
      </c>
      <c r="CT56" s="569">
        <f t="shared" si="31"/>
        <v>2061.089417211329</v>
      </c>
      <c r="CU56" s="569">
        <f t="shared" si="32"/>
        <v>2206.7549128540304</v>
      </c>
      <c r="CV56" s="569">
        <f t="shared" si="33"/>
        <v>2222.0275925925926</v>
      </c>
      <c r="CW56" s="569">
        <f t="shared" si="34"/>
        <v>2310.7637592592596</v>
      </c>
      <c r="CX56" s="569">
        <f t="shared" si="35"/>
        <v>2708.013430930931</v>
      </c>
      <c r="CY56" s="569">
        <f t="shared" si="36"/>
        <v>2975.7306644880173</v>
      </c>
      <c r="CZ56" s="569">
        <f t="shared" si="37"/>
        <v>2752.4040740740743</v>
      </c>
      <c r="DA56" s="569">
        <f t="shared" si="38"/>
        <v>3013.6773965141615</v>
      </c>
      <c r="DB56" s="569">
        <f t="shared" si="39"/>
        <v>2702.2920806100215</v>
      </c>
      <c r="DC56" s="569">
        <f t="shared" si="40"/>
        <v>2341.8303867102395</v>
      </c>
      <c r="DD56" s="569">
        <f t="shared" si="41"/>
        <v>2072.7024782135072</v>
      </c>
      <c r="DE56" s="569">
        <f t="shared" si="42"/>
        <v>2054.8358835978838</v>
      </c>
      <c r="DF56" s="569">
        <f t="shared" si="43"/>
        <v>2061.089417211329</v>
      </c>
      <c r="DG56" s="569">
        <f t="shared" si="44"/>
        <v>2206.7549128540304</v>
      </c>
      <c r="DH56" s="569">
        <f t="shared" si="45"/>
        <v>2222.0275925925926</v>
      </c>
      <c r="DI56" s="569">
        <f t="shared" si="46"/>
        <v>2310.7637592592596</v>
      </c>
      <c r="DJ56" s="569">
        <f t="shared" si="47"/>
        <v>2708.013430930931</v>
      </c>
    </row>
    <row r="57" spans="1:114" s="261" customFormat="1">
      <c r="A57" s="55" t="s">
        <v>17</v>
      </c>
      <c r="B57" s="55" t="s">
        <v>993</v>
      </c>
      <c r="C57" s="55" t="s">
        <v>1245</v>
      </c>
      <c r="D57" s="55" t="s">
        <v>69</v>
      </c>
      <c r="E57" s="55" t="str">
        <f>VLOOKUP(D57,'Input 14_Ref Table'!C:D,2,FALSE)</f>
        <v>CC603</v>
      </c>
      <c r="F57" s="172" t="s">
        <v>1286</v>
      </c>
      <c r="G57" s="55" t="str">
        <f>VLOOKUP(D57,'Input 14_Ref Table'!C:I,7,FALSE)</f>
        <v>CFG - FTS-6</v>
      </c>
      <c r="H57" s="55" t="str">
        <f>VLOOKUP(D57,'Input 14_Ref Table'!C:K,8,FALSE)</f>
        <v>Base Period</v>
      </c>
      <c r="I57" s="55" t="e">
        <f>INDEX(#REF!,MATCH(D57,#REF!,0))</f>
        <v>#REF!</v>
      </c>
      <c r="J57" s="261" t="str">
        <f>INDEX('Master '!$AD$2:AD$65,MATCH(D57,'Master '!$D$2:$D$65,0))</f>
        <v>Base Period</v>
      </c>
      <c r="K57" s="567">
        <f>INDEX('Master '!$N$2:N$65,MATCH(D57,'Master '!$D$2:$D$65,0))</f>
        <v>0</v>
      </c>
      <c r="L57" s="290">
        <f>INDEX('Master '!$S$2:S$65,MATCH(D57,'Master '!$D$2:$D$65,0))</f>
        <v>0</v>
      </c>
      <c r="M57" s="1">
        <f>INDEX('Master '!$W$2:W$65,MATCH(D57,'Master '!$D$2:$D$65,0))</f>
        <v>82722.10633333333</v>
      </c>
      <c r="N57" s="56">
        <f>IFERROR(INDEX('Monthly VOL'!$N$2:$CG$65,MATCH($D57,'Monthly VOL'!$D$2:$D$65,0),MATCH(N$1,'Monthly VOL'!$N$1:$CG$1,0))/INDEX('Monthly CUST'!$N$2:$CG$65,MATCH($D57,'Monthly CUST'!$D$2:$D$65,0),MATCH(N$1,'Monthly CUST'!$N$1:$CG$1,0)),0)</f>
        <v>6675.2204347826091</v>
      </c>
      <c r="O57" s="56">
        <f>IFERROR(INDEX('Monthly VOL'!$N$2:$CG$65,MATCH($D57,'Monthly VOL'!$D$2:$D$65,0),MATCH(O$1,'Monthly VOL'!$N$1:$CG$1,0))/INDEX('Monthly CUST'!$N$2:$CG$65,MATCH($D57,'Monthly CUST'!$D$2:$D$65,0),MATCH(O$1,'Monthly CUST'!$N$1:$CG$1,0)),0)</f>
        <v>5308.9437499999995</v>
      </c>
      <c r="P57" s="56">
        <f>IFERROR(INDEX('Monthly VOL'!$N$2:$CG$65,MATCH($D57,'Monthly VOL'!$D$2:$D$65,0),MATCH(P$1,'Monthly VOL'!$N$1:$CG$1,0))/INDEX('Monthly CUST'!$N$2:$CG$65,MATCH($D57,'Monthly CUST'!$D$2:$D$65,0),MATCH(P$1,'Monthly CUST'!$N$1:$CG$1,0)),0)</f>
        <v>5485.2052000000003</v>
      </c>
      <c r="Q57" s="56">
        <f>IFERROR(INDEX('Monthly VOL'!$N$2:$CG$65,MATCH($D57,'Monthly VOL'!$D$2:$D$65,0),MATCH(Q$1,'Monthly VOL'!$N$1:$CG$1,0))/INDEX('Monthly CUST'!$N$2:$CG$65,MATCH($D57,'Monthly CUST'!$D$2:$D$65,0),MATCH(Q$1,'Monthly CUST'!$N$1:$CG$1,0)),0)</f>
        <v>4925.1930769230767</v>
      </c>
      <c r="R57" s="56">
        <f>IFERROR(INDEX('Monthly VOL'!$N$2:$CG$65,MATCH($D57,'Monthly VOL'!$D$2:$D$65,0),MATCH(R$1,'Monthly VOL'!$N$1:$CG$1,0))/INDEX('Monthly CUST'!$N$2:$CG$65,MATCH($D57,'Monthly CUST'!$D$2:$D$65,0),MATCH(R$1,'Monthly CUST'!$N$1:$CG$1,0)),0)</f>
        <v>4838.2680769230774</v>
      </c>
      <c r="S57" s="56">
        <f>IFERROR(INDEX('Monthly VOL'!$N$2:$CG$65,MATCH($D57,'Monthly VOL'!$D$2:$D$65,0),MATCH(S$1,'Monthly VOL'!$N$1:$CG$1,0))/INDEX('Monthly CUST'!$N$2:$CG$65,MATCH($D57,'Monthly CUST'!$D$2:$D$65,0),MATCH(S$1,'Monthly CUST'!$N$1:$CG$1,0)),0)</f>
        <v>4356.4019230769227</v>
      </c>
      <c r="T57" s="56">
        <f>IFERROR(INDEX('Monthly VOL'!$N$2:$CG$65,MATCH($D57,'Monthly VOL'!$D$2:$D$65,0),MATCH(T$1,'Monthly VOL'!$N$1:$CG$1,0))/INDEX('Monthly CUST'!$N$2:$CG$65,MATCH($D57,'Monthly CUST'!$D$2:$D$65,0),MATCH(T$1,'Monthly CUST'!$N$1:$CG$1,0)),0)</f>
        <v>3950.9230769230771</v>
      </c>
      <c r="U57" s="56">
        <f>IFERROR(INDEX('Monthly VOL'!$N$2:$CG$65,MATCH($D57,'Monthly VOL'!$D$2:$D$65,0),MATCH(U$1,'Monthly VOL'!$N$1:$CG$1,0))/INDEX('Monthly CUST'!$N$2:$CG$65,MATCH($D57,'Monthly CUST'!$D$2:$D$65,0),MATCH(U$1,'Monthly CUST'!$N$1:$CG$1,0)),0)</f>
        <v>4552.3696153846158</v>
      </c>
      <c r="V57" s="56">
        <f>IFERROR(INDEX('Monthly VOL'!$N$2:$CG$65,MATCH($D57,'Monthly VOL'!$D$2:$D$65,0),MATCH(V$1,'Monthly VOL'!$N$1:$CG$1,0))/INDEX('Monthly CUST'!$N$2:$CG$65,MATCH($D57,'Monthly CUST'!$D$2:$D$65,0),MATCH(V$1,'Monthly CUST'!$N$1:$CG$1,0)),0)</f>
        <v>5775.5576923076924</v>
      </c>
      <c r="W57" s="56">
        <f>IFERROR(INDEX('Monthly VOL'!$N$2:$CG$65,MATCH($D57,'Monthly VOL'!$D$2:$D$65,0),MATCH(W$1,'Monthly VOL'!$N$1:$CG$1,0))/INDEX('Monthly CUST'!$N$2:$CG$65,MATCH($D57,'Monthly CUST'!$D$2:$D$65,0),MATCH(W$1,'Monthly CUST'!$N$1:$CG$1,0)),0)</f>
        <v>4902.7085185185188</v>
      </c>
      <c r="X57" s="56">
        <f>IFERROR(INDEX('Monthly VOL'!$N$2:$CG$65,MATCH($D57,'Monthly VOL'!$D$2:$D$65,0),MATCH(X$1,'Monthly VOL'!$N$1:$CG$1,0))/INDEX('Monthly CUST'!$N$2:$CG$65,MATCH($D57,'Monthly CUST'!$D$2:$D$65,0),MATCH(X$1,'Monthly CUST'!$N$1:$CG$1,0)),0)</f>
        <v>4812.5274074074077</v>
      </c>
      <c r="Y57" s="56">
        <f>IFERROR(INDEX('Monthly VOL'!$N$2:$CG$65,MATCH($D57,'Monthly VOL'!$D$2:$D$65,0),MATCH(Y$1,'Monthly VOL'!$N$1:$CG$1,0))/INDEX('Monthly CUST'!$N$2:$CG$65,MATCH($D57,'Monthly CUST'!$D$2:$D$65,0),MATCH(Y$1,'Monthly CUST'!$N$1:$CG$1,0)),0)</f>
        <v>6397.3649999999998</v>
      </c>
      <c r="Z57" s="56">
        <f>IFERROR(INDEX('Monthly VOL'!$N$2:$CG$65,MATCH($D57,'Monthly VOL'!$D$2:$D$65,0),MATCH(Z$1,'Monthly VOL'!$N$1:$CG$1,0))/INDEX('Monthly CUST'!$N$2:$CG$65,MATCH($D57,'Monthly CUST'!$D$2:$D$65,0),MATCH(Z$1,'Monthly CUST'!$N$1:$CG$1,0)),0)</f>
        <v>7171.418846153847</v>
      </c>
      <c r="AA57" s="56">
        <f>IFERROR(INDEX('Monthly VOL'!$N$2:$CG$65,MATCH($D57,'Monthly VOL'!$D$2:$D$65,0),MATCH(AA$1,'Monthly VOL'!$N$1:$CG$1,0))/INDEX('Monthly CUST'!$N$2:$CG$65,MATCH($D57,'Monthly CUST'!$D$2:$D$65,0),MATCH(AA$1,'Monthly CUST'!$N$1:$CG$1,0)),0)</f>
        <v>5661.1976923076927</v>
      </c>
      <c r="AB57" s="56">
        <f>IFERROR(INDEX('Monthly VOL'!$N$2:$CG$65,MATCH($D57,'Monthly VOL'!$D$2:$D$65,0),MATCH(AB$1,'Monthly VOL'!$N$1:$CG$1,0))/INDEX('Monthly CUST'!$N$2:$CG$65,MATCH($D57,'Monthly CUST'!$D$2:$D$65,0),MATCH(AB$1,'Monthly CUST'!$N$1:$CG$1,0)),0)</f>
        <v>5260.4815384615376</v>
      </c>
      <c r="AC57" s="56">
        <f>IFERROR(INDEX('Monthly VOL'!$N$2:$CG$65,MATCH($D57,'Monthly VOL'!$D$2:$D$65,0),MATCH(AC$1,'Monthly VOL'!$N$1:$CG$1,0))/INDEX('Monthly CUST'!$N$2:$CG$65,MATCH($D57,'Monthly CUST'!$D$2:$D$65,0),MATCH(AC$1,'Monthly CUST'!$N$1:$CG$1,0)),0)</f>
        <v>6170.0480769230771</v>
      </c>
      <c r="AD57" s="56">
        <f>IFERROR(INDEX('Monthly VOL'!$N$2:$CG$65,MATCH($D57,'Monthly VOL'!$D$2:$D$65,0),MATCH(AD$1,'Monthly VOL'!$N$1:$CG$1,0))/INDEX('Monthly CUST'!$N$2:$CG$65,MATCH($D57,'Monthly CUST'!$D$2:$D$65,0),MATCH(AD$1,'Monthly CUST'!$N$1:$CG$1,0)),0)</f>
        <v>5716.2173076923073</v>
      </c>
      <c r="AE57" s="56">
        <f>IFERROR(INDEX('Monthly VOL'!$N$2:$CG$65,MATCH($D57,'Monthly VOL'!$D$2:$D$65,0),MATCH(AE$1,'Monthly VOL'!$N$1:$CG$1,0))/INDEX('Monthly CUST'!$N$2:$CG$65,MATCH($D57,'Monthly CUST'!$D$2:$D$65,0),MATCH(AE$1,'Monthly CUST'!$N$1:$CG$1,0)),0)</f>
        <v>5486.2769230769236</v>
      </c>
      <c r="AF57" s="56">
        <f>IFERROR(INDEX('Monthly VOL'!$N$2:$CG$65,MATCH($D57,'Monthly VOL'!$D$2:$D$65,0),MATCH(AF$1,'Monthly VOL'!$N$1:$CG$1,0))/INDEX('Monthly CUST'!$N$2:$CG$65,MATCH($D57,'Monthly CUST'!$D$2:$D$65,0),MATCH(AF$1,'Monthly CUST'!$N$1:$CG$1,0)),0)</f>
        <v>5735.1980769230768</v>
      </c>
      <c r="AG57" s="56">
        <f>IFERROR(INDEX('Monthly VOL'!$N$2:$CG$65,MATCH($D57,'Monthly VOL'!$D$2:$D$65,0),MATCH(AG$1,'Monthly VOL'!$N$1:$CG$1,0))/INDEX('Monthly CUST'!$N$2:$CG$65,MATCH($D57,'Monthly CUST'!$D$2:$D$65,0),MATCH(AG$1,'Monthly CUST'!$N$1:$CG$1,0)),0)</f>
        <v>5435.5807407407401</v>
      </c>
      <c r="AH57" s="56">
        <f>IFERROR(INDEX('Monthly VOL'!$N$2:$CG$65,MATCH($D57,'Monthly VOL'!$D$2:$D$65,0),MATCH(AH$1,'Monthly VOL'!$N$1:$CG$1,0))/INDEX('Monthly CUST'!$N$2:$CG$65,MATCH($D57,'Monthly CUST'!$D$2:$D$65,0),MATCH(AH$1,'Monthly CUST'!$N$1:$CG$1,0)),0)</f>
        <v>5411.4164000000001</v>
      </c>
      <c r="AI57" s="56">
        <f>IFERROR(INDEX('Monthly VOL'!$N$2:$CG$65,MATCH($D57,'Monthly VOL'!$D$2:$D$65,0),MATCH(AI$1,'Monthly VOL'!$N$1:$CG$1,0))/INDEX('Monthly CUST'!$N$2:$CG$65,MATCH($D57,'Monthly CUST'!$D$2:$D$65,0),MATCH(AI$1,'Monthly CUST'!$N$1:$CG$1,0)),0)</f>
        <v>4997.2619230769233</v>
      </c>
      <c r="AJ57" s="56">
        <f>IFERROR(INDEX('Monthly VOL'!$N$2:$CG$65,MATCH($D57,'Monthly VOL'!$D$2:$D$65,0),MATCH(AJ$1,'Monthly VOL'!$N$1:$CG$1,0))/INDEX('Monthly CUST'!$N$2:$CG$65,MATCH($D57,'Monthly CUST'!$D$2:$D$65,0),MATCH(AJ$1,'Monthly CUST'!$N$1:$CG$1,0)),0)</f>
        <v>5166.9915384615388</v>
      </c>
      <c r="AK57" s="56">
        <f>IFERROR(INDEX('Monthly VOL'!$N$2:$CG$65,MATCH($D57,'Monthly VOL'!$D$2:$D$65,0),MATCH(AK$1,'Monthly VOL'!$N$1:$CG$1,0))/INDEX('Monthly CUST'!$N$2:$CG$65,MATCH($D57,'Monthly CUST'!$D$2:$D$65,0),MATCH(AK$1,'Monthly CUST'!$N$1:$CG$1,0)),0)</f>
        <v>5733.7553846153851</v>
      </c>
      <c r="AL57" s="56">
        <f>IFERROR(INDEX('Monthly VOL'!$N$2:$CG$65,MATCH($D57,'Monthly VOL'!$D$2:$D$65,0),MATCH(AL$1,'Monthly VOL'!$N$1:$CG$1,0))/INDEX('Monthly CUST'!$N$2:$CG$65,MATCH($D57,'Monthly CUST'!$D$2:$D$65,0),MATCH(AL$1,'Monthly CUST'!$N$1:$CG$1,0)),0)</f>
        <v>6538.4115384615388</v>
      </c>
      <c r="AM57" s="56">
        <f>IFERROR(INDEX('Monthly VOL'!$N$2:$CG$65,MATCH($D57,'Monthly VOL'!$D$2:$D$65,0),MATCH(AM$1,'Monthly VOL'!$N$1:$CG$1,0))/INDEX('Monthly CUST'!$N$2:$CG$65,MATCH($D57,'Monthly CUST'!$D$2:$D$65,0),MATCH(AM$1,'Monthly CUST'!$N$1:$CG$1,0)),0)</f>
        <v>6203.5377777777776</v>
      </c>
      <c r="AN57" s="56">
        <f>IFERROR(INDEX('Monthly VOL'!$N$2:$CG$65,MATCH($D57,'Monthly VOL'!$D$2:$D$65,0),MATCH(AN$1,'Monthly VOL'!$N$1:$CG$1,0))/INDEX('Monthly CUST'!$N$2:$CG$65,MATCH($D57,'Monthly CUST'!$D$2:$D$65,0),MATCH(AN$1,'Monthly CUST'!$N$1:$CG$1,0)),0)</f>
        <v>5475.5876923076921</v>
      </c>
      <c r="AO57" s="56">
        <f>IFERROR(INDEX('Monthly VOL'!$N$2:$CG$65,MATCH($D57,'Monthly VOL'!$D$2:$D$65,0),MATCH(AO$1,'Monthly VOL'!$N$1:$CG$1,0))/INDEX('Monthly CUST'!$N$2:$CG$65,MATCH($D57,'Monthly CUST'!$D$2:$D$65,0),MATCH(AO$1,'Monthly CUST'!$N$1:$CG$1,0)),0)</f>
        <v>4756.2914814814812</v>
      </c>
      <c r="AP57" s="56">
        <f>IFERROR(INDEX('Monthly VOL'!$N$2:$CG$65,MATCH($D57,'Monthly VOL'!$D$2:$D$65,0),MATCH(AP$1,'Monthly VOL'!$N$1:$CG$1,0))/INDEX('Monthly CUST'!$N$2:$CG$65,MATCH($D57,'Monthly CUST'!$D$2:$D$65,0),MATCH(AP$1,'Monthly CUST'!$N$1:$CG$1,0)),0)</f>
        <v>5218.597777777778</v>
      </c>
      <c r="AQ57" s="56">
        <f>IFERROR(INDEX('Monthly VOL'!$N$2:$CG$65,MATCH($D57,'Monthly VOL'!$D$2:$D$65,0),MATCH(AQ$1,'Monthly VOL'!$N$1:$CG$1,0))/INDEX('Monthly CUST'!$N$2:$CG$65,MATCH($D57,'Monthly CUST'!$D$2:$D$65,0),MATCH(AQ$1,'Monthly CUST'!$N$1:$CG$1,0)),0)</f>
        <v>4904.8355555555554</v>
      </c>
      <c r="AR57" s="56">
        <f>IFERROR(INDEX('Monthly VOL'!$N$2:$CG$65,MATCH($D57,'Monthly VOL'!$D$2:$D$65,0),MATCH(AR$1,'Monthly VOL'!$N$1:$CG$1,0))/INDEX('Monthly CUST'!$N$2:$CG$65,MATCH($D57,'Monthly CUST'!$D$2:$D$65,0),MATCH(AR$1,'Monthly CUST'!$N$1:$CG$1,0)),0)</f>
        <v>4493.5514814814815</v>
      </c>
      <c r="AS57" s="56">
        <f>IFERROR(INDEX('Monthly VOL'!$N$2:$CG$65,MATCH($D57,'Monthly VOL'!$D$2:$D$65,0),MATCH(AS$1,'Monthly VOL'!$N$1:$CG$1,0))/INDEX('Monthly CUST'!$N$2:$CG$65,MATCH($D57,'Monthly CUST'!$D$2:$D$65,0),MATCH(AS$1,'Monthly CUST'!$N$1:$CG$1,0)),0)</f>
        <v>4751.7739285714288</v>
      </c>
      <c r="AT57" s="56">
        <f>IFERROR(INDEX('Monthly VOL'!$N$2:$CG$65,MATCH($D57,'Monthly VOL'!$D$2:$D$65,0),MATCH(AT$1,'Monthly VOL'!$N$1:$CG$1,0))/INDEX('Monthly CUST'!$N$2:$CG$65,MATCH($D57,'Monthly CUST'!$D$2:$D$65,0),MATCH(AT$1,'Monthly CUST'!$N$1:$CG$1,0)),0)</f>
        <v>5704.5551724137931</v>
      </c>
      <c r="AU57" s="56">
        <f>IFERROR(INDEX('Monthly VOL'!$N$2:$CG$65,MATCH($D57,'Monthly VOL'!$D$2:$D$65,0),MATCH(AU$1,'Monthly VOL'!$N$1:$CG$1,0))/INDEX('Monthly CUST'!$N$2:$CG$65,MATCH($D57,'Monthly CUST'!$D$2:$D$65,0),MATCH(AU$1,'Monthly CUST'!$N$1:$CG$1,0)),0)</f>
        <v>6616.4960714285717</v>
      </c>
      <c r="AV57" s="56">
        <f>IFERROR(INDEX('Monthly VOL'!$N$2:$CG$65,MATCH($D57,'Monthly VOL'!$D$2:$D$65,0),MATCH(AV$1,'Monthly VOL'!$N$1:$CG$1,0))/INDEX('Monthly CUST'!$N$2:$CG$65,MATCH($D57,'Monthly CUST'!$D$2:$D$65,0),MATCH(AV$1,'Monthly CUST'!$N$1:$CG$1,0)),0)</f>
        <v>5296.4913793103451</v>
      </c>
      <c r="AW57" s="56">
        <f>IFERROR(INDEX('Monthly VOL'!$N$2:$CG$65,MATCH($D57,'Monthly VOL'!$D$2:$D$65,0),MATCH(AW$1,'Monthly VOL'!$N$1:$CG$1,0))/INDEX('Monthly CUST'!$N$2:$CG$65,MATCH($D57,'Monthly CUST'!$D$2:$D$65,0),MATCH(AW$1,'Monthly CUST'!$N$1:$CG$1,0)),0)</f>
        <v>6651.7382758620688</v>
      </c>
      <c r="AX57" s="56">
        <f>IFERROR(INDEX('Monthly VOL'!$N$2:$CG$65,MATCH($D57,'Monthly VOL'!$D$2:$D$65,0),MATCH(AX$1,'Monthly VOL'!$N$1:$CG$1,0))/INDEX('Monthly CUST'!$N$2:$CG$65,MATCH($D57,'Monthly CUST'!$D$2:$D$65,0),MATCH(AX$1,'Monthly CUST'!$N$1:$CG$1,0)),0)</f>
        <v>7506.1953571428576</v>
      </c>
      <c r="AY57" s="56">
        <f>IFERROR(INDEX('Monthly VOL'!$N$2:$CG$65,MATCH($D57,'Monthly VOL'!$D$2:$D$65,0),MATCH(AY$1,'Monthly VOL'!$N$1:$CG$1,0))/INDEX('Monthly CUST'!$N$2:$CG$65,MATCH($D57,'Monthly CUST'!$D$2:$D$65,0),MATCH(AY$1,'Monthly CUST'!$N$1:$CG$1,0)),0)</f>
        <v>6934.2193103448271</v>
      </c>
      <c r="AZ57" s="56">
        <f>IFERROR(INDEX('Monthly VOL'!$N$2:$CG$65,MATCH($D57,'Monthly VOL'!$D$2:$D$65,0),MATCH(AZ$1,'Monthly VOL'!$N$1:$CG$1,0))/INDEX('Monthly CUST'!$N$2:$CG$65,MATCH($D57,'Monthly CUST'!$D$2:$D$65,0),MATCH(AZ$1,'Monthly CUST'!$N$1:$CG$1,0)),0)</f>
        <v>6827.5014285714287</v>
      </c>
      <c r="BA57" s="56">
        <f>IFERROR(INDEX('Monthly VOL'!$N$2:$CG$65,MATCH($D57,'Monthly VOL'!$D$2:$D$65,0),MATCH(BA$1,'Monthly VOL'!$N$1:$CG$1,0))/INDEX('Monthly CUST'!$N$2:$CG$65,MATCH($D57,'Monthly CUST'!$D$2:$D$65,0),MATCH(BA$1,'Monthly CUST'!$N$1:$CG$1,0)),0)</f>
        <v>6673.6986666666662</v>
      </c>
      <c r="BB57" s="56">
        <f>IFERROR(INDEX('Monthly VOL'!$N$2:$CG$65,MATCH($D57,'Monthly VOL'!$D$2:$D$65,0),MATCH(BB$1,'Monthly VOL'!$N$1:$CG$1,0))/INDEX('Monthly CUST'!$N$2:$CG$65,MATCH($D57,'Monthly CUST'!$D$2:$D$65,0),MATCH(BB$1,'Monthly CUST'!$N$1:$CG$1,0)),0)</f>
        <v>5023.1196666666665</v>
      </c>
      <c r="BC57" s="56">
        <f>IFERROR(INDEX('Monthly VOL'!$N$2:$CG$65,MATCH($D57,'Monthly VOL'!$D$2:$D$65,0),MATCH(BC$1,'Monthly VOL'!$N$1:$CG$1,0))/INDEX('Monthly CUST'!$N$2:$CG$65,MATCH($D57,'Monthly CUST'!$D$2:$D$65,0),MATCH(BC$1,'Monthly CUST'!$N$1:$CG$1,0)),0)</f>
        <v>5582.4299999999994</v>
      </c>
      <c r="BD57" s="56">
        <f>IFERROR(INDEX('Monthly VOL'!$N$2:$CG$65,MATCH($D57,'Monthly VOL'!$D$2:$D$65,0),MATCH(BD$1,'Monthly VOL'!$N$1:$CG$1,0))/INDEX('Monthly CUST'!$N$2:$CG$65,MATCH($D57,'Monthly CUST'!$D$2:$D$65,0),MATCH(BD$1,'Monthly CUST'!$N$1:$CG$1,0)),0)</f>
        <v>5933.8016666666663</v>
      </c>
      <c r="BE57" s="56">
        <f>IFERROR(INDEX('Monthly VOL'!$N$2:$CG$65,MATCH($D57,'Monthly VOL'!$D$2:$D$65,0),MATCH(BE$1,'Monthly VOL'!$N$1:$CG$1,0))/INDEX('Monthly CUST'!$N$2:$CG$65,MATCH($D57,'Monthly CUST'!$D$2:$D$65,0),MATCH(BE$1,'Monthly CUST'!$N$1:$CG$1,0)),0)</f>
        <v>6600.7280645161291</v>
      </c>
      <c r="BF57" s="56">
        <f>IFERROR(INDEX('Monthly VOL'!$N$2:$CG$65,MATCH($D57,'Monthly VOL'!$D$2:$D$65,0),MATCH(BF$1,'Monthly VOL'!$N$1:$CG$1,0))/INDEX('Monthly CUST'!$N$2:$CG$65,MATCH($D57,'Monthly CUST'!$D$2:$D$65,0),MATCH(BF$1,'Monthly CUST'!$N$1:$CG$1,0)),0)</f>
        <v>8025.4063333333334</v>
      </c>
      <c r="BG57" s="56">
        <f>IFERROR(INDEX('Monthly VOL'!$N$2:$CG$65,MATCH($D57,'Monthly VOL'!$D$2:$D$65,0),MATCH(BG$1,'Monthly VOL'!$N$1:$CG$1,0))/INDEX('Monthly CUST'!$N$2:$CG$65,MATCH($D57,'Monthly CUST'!$D$2:$D$65,0),MATCH(BG$1,'Monthly CUST'!$N$1:$CG$1,0)),0)</f>
        <v>8976.7625806451615</v>
      </c>
      <c r="BH57" s="56">
        <f>IFERROR(INDEX('Monthly VOL'!$N$2:$CG$65,MATCH($D57,'Monthly VOL'!$D$2:$D$65,0),MATCH(BH$1,'Monthly VOL'!$N$1:$CG$1,0))/INDEX('Monthly CUST'!$N$2:$CG$65,MATCH($D57,'Monthly CUST'!$D$2:$D$65,0),MATCH(BH$1,'Monthly CUST'!$N$1:$CG$1,0)),0)</f>
        <v>7246.7734375</v>
      </c>
      <c r="BI57" s="56">
        <f>IFERROR(INDEX('Monthly VOL'!$N$2:$CG$65,MATCH($D57,'Monthly VOL'!$D$2:$D$65,0),MATCH(BI$1,'Monthly VOL'!$N$1:$CG$1,0))/INDEX('Monthly CUST'!$N$2:$CG$65,MATCH($D57,'Monthly CUST'!$D$2:$D$65,0),MATCH(BI$1,'Monthly CUST'!$N$1:$CG$1,0)),0)</f>
        <v>7331.4409677419362</v>
      </c>
      <c r="BJ57" s="56">
        <f>IFERROR(INDEX('Monthly VOL'!$N$2:$CG$65,MATCH($D57,'Monthly VOL'!$D$2:$D$65,0),MATCH(BJ$1,'Monthly VOL'!$N$1:$CG$1,0))/INDEX('Monthly CUST'!$N$2:$CG$65,MATCH($D57,'Monthly CUST'!$D$2:$D$65,0),MATCH(BJ$1,'Monthly CUST'!$N$1:$CG$1,0)),0)</f>
        <v>7506.1953571428576</v>
      </c>
      <c r="BK57" s="56">
        <f>IFERROR(INDEX('Monthly VOL'!$N$2:$CG$65,MATCH($D57,'Monthly VOL'!$D$2:$D$65,0),MATCH(BK$1,'Monthly VOL'!$N$1:$CG$1,0))/INDEX('Monthly CUST'!$N$2:$CG$65,MATCH($D57,'Monthly CUST'!$D$2:$D$65,0),MATCH(BK$1,'Monthly CUST'!$N$1:$CG$1,0)),0)</f>
        <v>6934.2193103448271</v>
      </c>
      <c r="BL57" s="56">
        <f>IFERROR(INDEX('Monthly VOL'!$N$2:$CG$65,MATCH($D57,'Monthly VOL'!$D$2:$D$65,0),MATCH(BL$1,'Monthly VOL'!$N$1:$CG$1,0))/INDEX('Monthly CUST'!$N$2:$CG$65,MATCH($D57,'Monthly CUST'!$D$2:$D$65,0),MATCH(BL$1,'Monthly CUST'!$N$1:$CG$1,0)),0)</f>
        <v>6827.5014285714287</v>
      </c>
      <c r="BM57" s="56">
        <f>IFERROR(INDEX('Monthly VOL'!$N$2:$CG$65,MATCH($D57,'Monthly VOL'!$D$2:$D$65,0),MATCH(BM$1,'Monthly VOL'!$N$1:$CG$1,0))/INDEX('Monthly CUST'!$N$2:$CG$65,MATCH($D57,'Monthly CUST'!$D$2:$D$65,0),MATCH(BM$1,'Monthly CUST'!$N$1:$CG$1,0)),0)</f>
        <v>6673.6986666666662</v>
      </c>
      <c r="BN57" s="56">
        <f>IFERROR(INDEX('Monthly VOL'!$N$2:$CG$65,MATCH($D57,'Monthly VOL'!$D$2:$D$65,0),MATCH(BN$1,'Monthly VOL'!$N$1:$CG$1,0))/INDEX('Monthly CUST'!$N$2:$CG$65,MATCH($D57,'Monthly CUST'!$D$2:$D$65,0),MATCH(BN$1,'Monthly CUST'!$N$1:$CG$1,0)),0)</f>
        <v>5023.1196666666665</v>
      </c>
      <c r="BO57" s="56">
        <f>IFERROR(INDEX('Monthly VOL'!$N$2:$CG$65,MATCH($D57,'Monthly VOL'!$D$2:$D$65,0),MATCH(BO$1,'Monthly VOL'!$N$1:$CG$1,0))/INDEX('Monthly CUST'!$N$2:$CG$65,MATCH($D57,'Monthly CUST'!$D$2:$D$65,0),MATCH(BO$1,'Monthly CUST'!$N$1:$CG$1,0)),0)</f>
        <v>5582.4299999999994</v>
      </c>
      <c r="BP57" s="56">
        <f>IFERROR(INDEX('Monthly VOL'!$N$2:$CG$65,MATCH($D57,'Monthly VOL'!$D$2:$D$65,0),MATCH(BP$1,'Monthly VOL'!$N$1:$CG$1,0))/INDEX('Monthly CUST'!$N$2:$CG$65,MATCH($D57,'Monthly CUST'!$D$2:$D$65,0),MATCH(BP$1,'Monthly CUST'!$N$1:$CG$1,0)),0)</f>
        <v>5933.8016666666663</v>
      </c>
      <c r="BQ57" s="56">
        <f>IFERROR(INDEX('Monthly VOL'!$N$2:$CG$65,MATCH($D57,'Monthly VOL'!$D$2:$D$65,0),MATCH(BQ$1,'Monthly VOL'!$N$1:$CG$1,0))/INDEX('Monthly CUST'!$N$2:$CG$65,MATCH($D57,'Monthly CUST'!$D$2:$D$65,0),MATCH(BQ$1,'Monthly CUST'!$N$1:$CG$1,0)),0)</f>
        <v>6600.7280645161291</v>
      </c>
      <c r="BR57" s="56">
        <f>IFERROR(INDEX('Monthly VOL'!$N$2:$CG$65,MATCH($D57,'Monthly VOL'!$D$2:$D$65,0),MATCH(BR$1,'Monthly VOL'!$N$1:$CG$1,0))/INDEX('Monthly CUST'!$N$2:$CG$65,MATCH($D57,'Monthly CUST'!$D$2:$D$65,0),MATCH(BR$1,'Monthly CUST'!$N$1:$CG$1,0)),0)</f>
        <v>8025.4063333333334</v>
      </c>
      <c r="BS57" s="56">
        <f>IFERROR(INDEX('Monthly VOL'!$N$2:$CG$65,MATCH($D57,'Monthly VOL'!$D$2:$D$65,0),MATCH(BS$1,'Monthly VOL'!$N$1:$CG$1,0))/INDEX('Monthly CUST'!$N$2:$CG$65,MATCH($D57,'Monthly CUST'!$D$2:$D$65,0),MATCH(BS$1,'Monthly CUST'!$N$1:$CG$1,0)),0)</f>
        <v>8976.7625806451615</v>
      </c>
      <c r="BT57" s="56">
        <f>IFERROR(INDEX('Monthly VOL'!$N$2:$CG$65,MATCH($D57,'Monthly VOL'!$D$2:$D$65,0),MATCH(BT$1,'Monthly VOL'!$N$1:$CG$1,0))/INDEX('Monthly CUST'!$N$2:$CG$65,MATCH($D57,'Monthly CUST'!$D$2:$D$65,0),MATCH(BT$1,'Monthly CUST'!$N$1:$CG$1,0)),0)</f>
        <v>7246.7734375</v>
      </c>
      <c r="BU57" s="56">
        <f>IFERROR(INDEX('Monthly VOL'!$N$2:$CG$65,MATCH($D57,'Monthly VOL'!$D$2:$D$65,0),MATCH(BU$1,'Monthly VOL'!$N$1:$CG$1,0))/INDEX('Monthly CUST'!$N$2:$CG$65,MATCH($D57,'Monthly CUST'!$D$2:$D$65,0),MATCH(BU$1,'Monthly CUST'!$N$1:$CG$1,0)),0)</f>
        <v>7331.4409677419362</v>
      </c>
      <c r="BV57" s="56">
        <f>IFERROR(INDEX('Monthly VOL'!$N$2:$CG$65,MATCH($D57,'Monthly VOL'!$D$2:$D$65,0),MATCH(BV$1,'Monthly VOL'!$N$1:$CG$1,0))/INDEX('Monthly CUST'!$N$2:$CG$65,MATCH($D57,'Monthly CUST'!$D$2:$D$65,0),MATCH(BV$1,'Monthly CUST'!$N$1:$CG$1,0)),0)</f>
        <v>7506.1953571428576</v>
      </c>
      <c r="BW57" s="56">
        <f>IFERROR(INDEX('Monthly VOL'!$N$2:$CG$65,MATCH($D57,'Monthly VOL'!$D$2:$D$65,0),MATCH(BW$1,'Monthly VOL'!$N$1:$CG$1,0))/INDEX('Monthly CUST'!$N$2:$CG$65,MATCH($D57,'Monthly CUST'!$D$2:$D$65,0),MATCH(BW$1,'Monthly CUST'!$N$1:$CG$1,0)),0)</f>
        <v>6934.2193103448271</v>
      </c>
      <c r="BX57" s="56">
        <f>IFERROR(INDEX('Monthly VOL'!$N$2:$CG$65,MATCH($D57,'Monthly VOL'!$D$2:$D$65,0),MATCH(BX$1,'Monthly VOL'!$N$1:$CG$1,0))/INDEX('Monthly CUST'!$N$2:$CG$65,MATCH($D57,'Monthly CUST'!$D$2:$D$65,0),MATCH(BX$1,'Monthly CUST'!$N$1:$CG$1,0)),0)</f>
        <v>6827.5014285714287</v>
      </c>
      <c r="BY57" s="56">
        <f>IFERROR(INDEX('Monthly VOL'!$N$2:$CG$65,MATCH($D57,'Monthly VOL'!$D$2:$D$65,0),MATCH(BY$1,'Monthly VOL'!$N$1:$CG$1,0))/INDEX('Monthly CUST'!$N$2:$CG$65,MATCH($D57,'Monthly CUST'!$D$2:$D$65,0),MATCH(BY$1,'Monthly CUST'!$N$1:$CG$1,0)),0)</f>
        <v>6673.6986666666662</v>
      </c>
      <c r="BZ57" s="56">
        <f>IFERROR(INDEX('Monthly VOL'!$N$2:$CG$65,MATCH($D57,'Monthly VOL'!$D$2:$D$65,0),MATCH(BZ$1,'Monthly VOL'!$N$1:$CG$1,0))/INDEX('Monthly CUST'!$N$2:$CG$65,MATCH($D57,'Monthly CUST'!$D$2:$D$65,0),MATCH(BZ$1,'Monthly CUST'!$N$1:$CG$1,0)),0)</f>
        <v>5023.1196666666665</v>
      </c>
      <c r="CA57" s="56">
        <f>IFERROR(INDEX('Monthly VOL'!$N$2:$CG$65,MATCH($D57,'Monthly VOL'!$D$2:$D$65,0),MATCH(CA$1,'Monthly VOL'!$N$1:$CG$1,0))/INDEX('Monthly CUST'!$N$2:$CG$65,MATCH($D57,'Monthly CUST'!$D$2:$D$65,0),MATCH(CA$1,'Monthly CUST'!$N$1:$CG$1,0)),0)</f>
        <v>5582.4299999999994</v>
      </c>
      <c r="CB57" s="56">
        <f>IFERROR(INDEX('Monthly VOL'!$N$2:$CG$65,MATCH($D57,'Monthly VOL'!$D$2:$D$65,0),MATCH(CB$1,'Monthly VOL'!$N$1:$CG$1,0))/INDEX('Monthly CUST'!$N$2:$CG$65,MATCH($D57,'Monthly CUST'!$D$2:$D$65,0),MATCH(CB$1,'Monthly CUST'!$N$1:$CG$1,0)),0)</f>
        <v>5933.8016666666663</v>
      </c>
      <c r="CC57" s="56">
        <f>IFERROR(INDEX('Monthly VOL'!$N$2:$CG$65,MATCH($D57,'Monthly VOL'!$D$2:$D$65,0),MATCH(CC$1,'Monthly VOL'!$N$1:$CG$1,0))/INDEX('Monthly CUST'!$N$2:$CG$65,MATCH($D57,'Monthly CUST'!$D$2:$D$65,0),MATCH(CC$1,'Monthly CUST'!$N$1:$CG$1,0)),0)</f>
        <v>6600.7280645161291</v>
      </c>
      <c r="CD57" s="56">
        <f>IFERROR(INDEX('Monthly VOL'!$N$2:$CG$65,MATCH($D57,'Monthly VOL'!$D$2:$D$65,0),MATCH(CD$1,'Monthly VOL'!$N$1:$CG$1,0))/INDEX('Monthly CUST'!$N$2:$CG$65,MATCH($D57,'Monthly CUST'!$D$2:$D$65,0),MATCH(CD$1,'Monthly CUST'!$N$1:$CG$1,0)),0)</f>
        <v>8025.4063333333334</v>
      </c>
      <c r="CE57" s="56">
        <f>IFERROR(INDEX('Monthly VOL'!$N$2:$CG$65,MATCH($D57,'Monthly VOL'!$D$2:$D$65,0),MATCH(CE$1,'Monthly VOL'!$N$1:$CG$1,0))/INDEX('Monthly CUST'!$N$2:$CG$65,MATCH($D57,'Monthly CUST'!$D$2:$D$65,0),MATCH(CE$1,'Monthly CUST'!$N$1:$CG$1,0)),0)</f>
        <v>8976.7625806451615</v>
      </c>
      <c r="CF57" s="56">
        <f>IFERROR(INDEX('Monthly VOL'!$N$2:$CG$65,MATCH($D57,'Monthly VOL'!$D$2:$D$65,0),MATCH(CF$1,'Monthly VOL'!$N$1:$CG$1,0))/INDEX('Monthly CUST'!$N$2:$CG$65,MATCH($D57,'Monthly CUST'!$D$2:$D$65,0),MATCH(CF$1,'Monthly CUST'!$N$1:$CG$1,0)),0)</f>
        <v>7246.7734375</v>
      </c>
      <c r="CG57" s="56">
        <f>IFERROR(INDEX('Monthly VOL'!$N$2:$CG$65,MATCH($D57,'Monthly VOL'!$D$2:$D$65,0),MATCH(CG$1,'Monthly VOL'!$N$1:$CG$1,0))/INDEX('Monthly CUST'!$N$2:$CG$65,MATCH($D57,'Monthly CUST'!$D$2:$D$65,0),MATCH(CG$1,'Monthly CUST'!$N$1:$CG$1,0)),0)</f>
        <v>7331.4409677419362</v>
      </c>
      <c r="CH57" s="264"/>
      <c r="CI57" s="264"/>
      <c r="CJ57" s="264"/>
      <c r="CM57" s="569">
        <f t="shared" si="24"/>
        <v>7072.0085805860808</v>
      </c>
      <c r="CN57" s="569">
        <f t="shared" si="25"/>
        <v>6266.3182601434319</v>
      </c>
      <c r="CO57" s="569">
        <f t="shared" si="26"/>
        <v>5854.5235531135522</v>
      </c>
      <c r="CP57" s="569">
        <f t="shared" si="27"/>
        <v>5866.6794083570749</v>
      </c>
      <c r="CQ57" s="569">
        <f t="shared" si="28"/>
        <v>5319.3115840455839</v>
      </c>
      <c r="CR57" s="569">
        <f t="shared" si="29"/>
        <v>5324.5141595441601</v>
      </c>
      <c r="CS57" s="569">
        <f t="shared" si="30"/>
        <v>5387.5170750237412</v>
      </c>
      <c r="CT57" s="569">
        <f t="shared" si="31"/>
        <v>5596.0275779427657</v>
      </c>
      <c r="CU57" s="569">
        <f t="shared" si="32"/>
        <v>6380.4593019157082</v>
      </c>
      <c r="CV57" s="569">
        <f t="shared" si="33"/>
        <v>6863.5068583835528</v>
      </c>
      <c r="CW57" s="569">
        <f t="shared" si="34"/>
        <v>5903.4187850906283</v>
      </c>
      <c r="CX57" s="569">
        <f t="shared" si="35"/>
        <v>6572.311542739797</v>
      </c>
      <c r="CY57" s="569">
        <f t="shared" si="36"/>
        <v>7072.0085805860808</v>
      </c>
      <c r="CZ57" s="569">
        <f t="shared" si="37"/>
        <v>6266.3182601434319</v>
      </c>
      <c r="DA57" s="569">
        <f t="shared" si="38"/>
        <v>5854.5235531135522</v>
      </c>
      <c r="DB57" s="569">
        <f t="shared" si="39"/>
        <v>5866.6794083570749</v>
      </c>
      <c r="DC57" s="569">
        <f t="shared" si="40"/>
        <v>5319.3115840455839</v>
      </c>
      <c r="DD57" s="569">
        <f t="shared" si="41"/>
        <v>5324.5141595441601</v>
      </c>
      <c r="DE57" s="569">
        <f t="shared" si="42"/>
        <v>5387.5170750237412</v>
      </c>
      <c r="DF57" s="569">
        <f t="shared" si="43"/>
        <v>5596.0275779427657</v>
      </c>
      <c r="DG57" s="569">
        <f t="shared" si="44"/>
        <v>6380.4593019157082</v>
      </c>
      <c r="DH57" s="569">
        <f t="shared" si="45"/>
        <v>6863.5068583835528</v>
      </c>
      <c r="DI57" s="569">
        <f t="shared" si="46"/>
        <v>5903.4187850906283</v>
      </c>
      <c r="DJ57" s="569">
        <f t="shared" si="47"/>
        <v>6572.311542739797</v>
      </c>
    </row>
    <row r="58" spans="1:114" s="261" customFormat="1">
      <c r="A58" s="55" t="s">
        <v>17</v>
      </c>
      <c r="B58" s="55" t="s">
        <v>993</v>
      </c>
      <c r="C58" s="55" t="s">
        <v>1245</v>
      </c>
      <c r="D58" s="55" t="s">
        <v>71</v>
      </c>
      <c r="E58" s="55" t="str">
        <f>VLOOKUP(D58,'Input 14_Ref Table'!C:D,2,FALSE)</f>
        <v>CC605</v>
      </c>
      <c r="F58" s="172" t="s">
        <v>1286</v>
      </c>
      <c r="G58" s="55" t="str">
        <f>VLOOKUP(D58,'Input 14_Ref Table'!C:I,7,FALSE)</f>
        <v>CFG - FTS-7</v>
      </c>
      <c r="H58" s="55" t="str">
        <f>VLOOKUP(D58,'Input 14_Ref Table'!C:K,8,FALSE)</f>
        <v>Base Period</v>
      </c>
      <c r="I58" s="55" t="e">
        <f>INDEX(#REF!,MATCH(D58,#REF!,0))</f>
        <v>#REF!</v>
      </c>
      <c r="J58" s="261" t="str">
        <f>INDEX('Master '!$AD$2:AD$65,MATCH(D58,'Master '!$D$2:$D$65,0))</f>
        <v>Base Period</v>
      </c>
      <c r="K58" s="567">
        <f>INDEX('Master '!$N$2:N$65,MATCH(D58,'Master '!$D$2:$D$65,0))</f>
        <v>0</v>
      </c>
      <c r="L58" s="290">
        <f>INDEX('Master '!$S$2:S$65,MATCH(D58,'Master '!$D$2:$D$65,0))</f>
        <v>0</v>
      </c>
      <c r="M58" s="1">
        <f>INDEX('Master '!$W$2:W$65,MATCH(D58,'Master '!$D$2:$D$65,0))</f>
        <v>165170.7373076923</v>
      </c>
      <c r="N58" s="56">
        <f>IFERROR(INDEX('Monthly VOL'!$N$2:$CG$65,MATCH($D58,'Monthly VOL'!$D$2:$D$65,0),MATCH(N$1,'Monthly VOL'!$N$1:$CG$1,0))/INDEX('Monthly CUST'!$N$2:$CG$65,MATCH($D58,'Monthly CUST'!$D$2:$D$65,0),MATCH(N$1,'Monthly CUST'!$N$1:$CG$1,0)),0)</f>
        <v>17608.011739130434</v>
      </c>
      <c r="O58" s="56">
        <f>IFERROR(INDEX('Monthly VOL'!$N$2:$CG$65,MATCH($D58,'Monthly VOL'!$D$2:$D$65,0),MATCH(O$1,'Monthly VOL'!$N$1:$CG$1,0))/INDEX('Monthly CUST'!$N$2:$CG$65,MATCH($D58,'Monthly CUST'!$D$2:$D$65,0),MATCH(O$1,'Monthly CUST'!$N$1:$CG$1,0)),0)</f>
        <v>12822.118636363635</v>
      </c>
      <c r="P58" s="56">
        <f>IFERROR(INDEX('Monthly VOL'!$N$2:$CG$65,MATCH($D58,'Monthly VOL'!$D$2:$D$65,0),MATCH(P$1,'Monthly VOL'!$N$1:$CG$1,0))/INDEX('Monthly CUST'!$N$2:$CG$65,MATCH($D58,'Monthly CUST'!$D$2:$D$65,0),MATCH(P$1,'Monthly CUST'!$N$1:$CG$1,0)),0)</f>
        <v>13669.636363636364</v>
      </c>
      <c r="Q58" s="56">
        <f>IFERROR(INDEX('Monthly VOL'!$N$2:$CG$65,MATCH($D58,'Monthly VOL'!$D$2:$D$65,0),MATCH(Q$1,'Monthly VOL'!$N$1:$CG$1,0))/INDEX('Monthly CUST'!$N$2:$CG$65,MATCH($D58,'Monthly CUST'!$D$2:$D$65,0),MATCH(Q$1,'Monthly CUST'!$N$1:$CG$1,0)),0)</f>
        <v>12578.319999999998</v>
      </c>
      <c r="R58" s="56">
        <f>IFERROR(INDEX('Monthly VOL'!$N$2:$CG$65,MATCH($D58,'Monthly VOL'!$D$2:$D$65,0),MATCH(R$1,'Monthly VOL'!$N$1:$CG$1,0))/INDEX('Monthly CUST'!$N$2:$CG$65,MATCH($D58,'Monthly CUST'!$D$2:$D$65,0),MATCH(R$1,'Monthly CUST'!$N$1:$CG$1,0)),0)</f>
        <v>14990.413333333334</v>
      </c>
      <c r="S58" s="56">
        <f>IFERROR(INDEX('Monthly VOL'!$N$2:$CG$65,MATCH($D58,'Monthly VOL'!$D$2:$D$65,0),MATCH(S$1,'Monthly VOL'!$N$1:$CG$1,0))/INDEX('Monthly CUST'!$N$2:$CG$65,MATCH($D58,'Monthly CUST'!$D$2:$D$65,0),MATCH(S$1,'Monthly CUST'!$N$1:$CG$1,0)),0)</f>
        <v>11201.882173913044</v>
      </c>
      <c r="T58" s="56">
        <f>IFERROR(INDEX('Monthly VOL'!$N$2:$CG$65,MATCH($D58,'Monthly VOL'!$D$2:$D$65,0),MATCH(T$1,'Monthly VOL'!$N$1:$CG$1,0))/INDEX('Monthly CUST'!$N$2:$CG$65,MATCH($D58,'Monthly CUST'!$D$2:$D$65,0),MATCH(T$1,'Monthly CUST'!$N$1:$CG$1,0)),0)</f>
        <v>12554.451818181818</v>
      </c>
      <c r="U58" s="56">
        <f>IFERROR(INDEX('Monthly VOL'!$N$2:$CG$65,MATCH($D58,'Monthly VOL'!$D$2:$D$65,0),MATCH(U$1,'Monthly VOL'!$N$1:$CG$1,0))/INDEX('Monthly CUST'!$N$2:$CG$65,MATCH($D58,'Monthly CUST'!$D$2:$D$65,0),MATCH(U$1,'Monthly CUST'!$N$1:$CG$1,0)),0)</f>
        <v>12893.081818181818</v>
      </c>
      <c r="V58" s="56">
        <f>IFERROR(INDEX('Monthly VOL'!$N$2:$CG$65,MATCH($D58,'Monthly VOL'!$D$2:$D$65,0),MATCH(V$1,'Monthly VOL'!$N$1:$CG$1,0))/INDEX('Monthly CUST'!$N$2:$CG$65,MATCH($D58,'Monthly CUST'!$D$2:$D$65,0),MATCH(V$1,'Monthly CUST'!$N$1:$CG$1,0)),0)</f>
        <v>11287.201818181818</v>
      </c>
      <c r="W58" s="56">
        <f>IFERROR(INDEX('Monthly VOL'!$N$2:$CG$65,MATCH($D58,'Monthly VOL'!$D$2:$D$65,0),MATCH(W$1,'Monthly VOL'!$N$1:$CG$1,0))/INDEX('Monthly CUST'!$N$2:$CG$65,MATCH($D58,'Monthly CUST'!$D$2:$D$65,0),MATCH(W$1,'Monthly CUST'!$N$1:$CG$1,0)),0)</f>
        <v>13023.018181818183</v>
      </c>
      <c r="X58" s="56">
        <f>IFERROR(INDEX('Monthly VOL'!$N$2:$CG$65,MATCH($D58,'Monthly VOL'!$D$2:$D$65,0),MATCH(X$1,'Monthly VOL'!$N$1:$CG$1,0))/INDEX('Monthly CUST'!$N$2:$CG$65,MATCH($D58,'Monthly CUST'!$D$2:$D$65,0),MATCH(X$1,'Monthly CUST'!$N$1:$CG$1,0)),0)</f>
        <v>13264.999545454544</v>
      </c>
      <c r="Y58" s="56">
        <f>IFERROR(INDEX('Monthly VOL'!$N$2:$CG$65,MATCH($D58,'Monthly VOL'!$D$2:$D$65,0),MATCH(Y$1,'Monthly VOL'!$N$1:$CG$1,0))/INDEX('Monthly CUST'!$N$2:$CG$65,MATCH($D58,'Monthly CUST'!$D$2:$D$65,0),MATCH(Y$1,'Monthly CUST'!$N$1:$CG$1,0)),0)</f>
        <v>14058.69090909091</v>
      </c>
      <c r="Z58" s="56">
        <f>IFERROR(INDEX('Monthly VOL'!$N$2:$CG$65,MATCH($D58,'Monthly VOL'!$D$2:$D$65,0),MATCH(Z$1,'Monthly VOL'!$N$1:$CG$1,0))/INDEX('Monthly CUST'!$N$2:$CG$65,MATCH($D58,'Monthly CUST'!$D$2:$D$65,0),MATCH(Z$1,'Monthly CUST'!$N$1:$CG$1,0)),0)</f>
        <v>16544.710454545453</v>
      </c>
      <c r="AA58" s="56">
        <f>IFERROR(INDEX('Monthly VOL'!$N$2:$CG$65,MATCH($D58,'Monthly VOL'!$D$2:$D$65,0),MATCH(AA$1,'Monthly VOL'!$N$1:$CG$1,0))/INDEX('Monthly CUST'!$N$2:$CG$65,MATCH($D58,'Monthly CUST'!$D$2:$D$65,0),MATCH(AA$1,'Monthly CUST'!$N$1:$CG$1,0)),0)</f>
        <v>14415.92090909091</v>
      </c>
      <c r="AB58" s="56">
        <f>IFERROR(INDEX('Monthly VOL'!$N$2:$CG$65,MATCH($D58,'Monthly VOL'!$D$2:$D$65,0),MATCH(AB$1,'Monthly VOL'!$N$1:$CG$1,0))/INDEX('Monthly CUST'!$N$2:$CG$65,MATCH($D58,'Monthly CUST'!$D$2:$D$65,0),MATCH(AB$1,'Monthly CUST'!$N$1:$CG$1,0)),0)</f>
        <v>15002.451818181818</v>
      </c>
      <c r="AC58" s="56">
        <f>IFERROR(INDEX('Monthly VOL'!$N$2:$CG$65,MATCH($D58,'Monthly VOL'!$D$2:$D$65,0),MATCH(AC$1,'Monthly VOL'!$N$1:$CG$1,0))/INDEX('Monthly CUST'!$N$2:$CG$65,MATCH($D58,'Monthly CUST'!$D$2:$D$65,0),MATCH(AC$1,'Monthly CUST'!$N$1:$CG$1,0)),0)</f>
        <v>14016.824090909091</v>
      </c>
      <c r="AD58" s="56">
        <f>IFERROR(INDEX('Monthly VOL'!$N$2:$CG$65,MATCH($D58,'Monthly VOL'!$D$2:$D$65,0),MATCH(AD$1,'Monthly VOL'!$N$1:$CG$1,0))/INDEX('Monthly CUST'!$N$2:$CG$65,MATCH($D58,'Monthly CUST'!$D$2:$D$65,0),MATCH(AD$1,'Monthly CUST'!$N$1:$CG$1,0)),0)</f>
        <v>13700.113636363636</v>
      </c>
      <c r="AE58" s="56">
        <f>IFERROR(INDEX('Monthly VOL'!$N$2:$CG$65,MATCH($D58,'Monthly VOL'!$D$2:$D$65,0),MATCH(AE$1,'Monthly VOL'!$N$1:$CG$1,0))/INDEX('Monthly CUST'!$N$2:$CG$65,MATCH($D58,'Monthly CUST'!$D$2:$D$65,0),MATCH(AE$1,'Monthly CUST'!$N$1:$CG$1,0)),0)</f>
        <v>12338.904999999999</v>
      </c>
      <c r="AF58" s="56">
        <f>IFERROR(INDEX('Monthly VOL'!$N$2:$CG$65,MATCH($D58,'Monthly VOL'!$D$2:$D$65,0),MATCH(AF$1,'Monthly VOL'!$N$1:$CG$1,0))/INDEX('Monthly CUST'!$N$2:$CG$65,MATCH($D58,'Monthly CUST'!$D$2:$D$65,0),MATCH(AF$1,'Monthly CUST'!$N$1:$CG$1,0)),0)</f>
        <v>12774.37590909091</v>
      </c>
      <c r="AG58" s="56">
        <f>IFERROR(INDEX('Monthly VOL'!$N$2:$CG$65,MATCH($D58,'Monthly VOL'!$D$2:$D$65,0),MATCH(AG$1,'Monthly VOL'!$N$1:$CG$1,0))/INDEX('Monthly CUST'!$N$2:$CG$65,MATCH($D58,'Monthly CUST'!$D$2:$D$65,0),MATCH(AG$1,'Monthly CUST'!$N$1:$CG$1,0)),0)</f>
        <v>11384.232</v>
      </c>
      <c r="AH58" s="56">
        <f>IFERROR(INDEX('Monthly VOL'!$N$2:$CG$65,MATCH($D58,'Monthly VOL'!$D$2:$D$65,0),MATCH(AH$1,'Monthly VOL'!$N$1:$CG$1,0))/INDEX('Monthly CUST'!$N$2:$CG$65,MATCH($D58,'Monthly CUST'!$D$2:$D$65,0),MATCH(AH$1,'Monthly CUST'!$N$1:$CG$1,0)),0)</f>
        <v>11700.033913043479</v>
      </c>
      <c r="AI58" s="56">
        <f>IFERROR(INDEX('Monthly VOL'!$N$2:$CG$65,MATCH($D58,'Monthly VOL'!$D$2:$D$65,0),MATCH(AI$1,'Monthly VOL'!$N$1:$CG$1,0))/INDEX('Monthly CUST'!$N$2:$CG$65,MATCH($D58,'Monthly CUST'!$D$2:$D$65,0),MATCH(AI$1,'Monthly CUST'!$N$1:$CG$1,0)),0)</f>
        <v>13616.254782608696</v>
      </c>
      <c r="AJ58" s="56">
        <f>IFERROR(INDEX('Monthly VOL'!$N$2:$CG$65,MATCH($D58,'Monthly VOL'!$D$2:$D$65,0),MATCH(AJ$1,'Monthly VOL'!$N$1:$CG$1,0))/INDEX('Monthly CUST'!$N$2:$CG$65,MATCH($D58,'Monthly CUST'!$D$2:$D$65,0),MATCH(AJ$1,'Monthly CUST'!$N$1:$CG$1,0)),0)</f>
        <v>13352.87043478261</v>
      </c>
      <c r="AK58" s="56">
        <f>IFERROR(INDEX('Monthly VOL'!$N$2:$CG$65,MATCH($D58,'Monthly VOL'!$D$2:$D$65,0),MATCH(AK$1,'Monthly VOL'!$N$1:$CG$1,0))/INDEX('Monthly CUST'!$N$2:$CG$65,MATCH($D58,'Monthly CUST'!$D$2:$D$65,0),MATCH(AK$1,'Monthly CUST'!$N$1:$CG$1,0)),0)</f>
        <v>14081.327826086956</v>
      </c>
      <c r="AL58" s="56">
        <f>IFERROR(INDEX('Monthly VOL'!$N$2:$CG$65,MATCH($D58,'Monthly VOL'!$D$2:$D$65,0),MATCH(AL$1,'Monthly VOL'!$N$1:$CG$1,0))/INDEX('Monthly CUST'!$N$2:$CG$65,MATCH($D58,'Monthly CUST'!$D$2:$D$65,0),MATCH(AL$1,'Monthly CUST'!$N$1:$CG$1,0)),0)</f>
        <v>13842.4828</v>
      </c>
      <c r="AM58" s="56">
        <f>IFERROR(INDEX('Monthly VOL'!$N$2:$CG$65,MATCH($D58,'Monthly VOL'!$D$2:$D$65,0),MATCH(AM$1,'Monthly VOL'!$N$1:$CG$1,0))/INDEX('Monthly CUST'!$N$2:$CG$65,MATCH($D58,'Monthly CUST'!$D$2:$D$65,0),MATCH(AM$1,'Monthly CUST'!$N$1:$CG$1,0)),0)</f>
        <v>13115.87</v>
      </c>
      <c r="AN58" s="56">
        <f>IFERROR(INDEX('Monthly VOL'!$N$2:$CG$65,MATCH($D58,'Monthly VOL'!$D$2:$D$65,0),MATCH(AN$1,'Monthly VOL'!$N$1:$CG$1,0))/INDEX('Monthly CUST'!$N$2:$CG$65,MATCH($D58,'Monthly CUST'!$D$2:$D$65,0),MATCH(AN$1,'Monthly CUST'!$N$1:$CG$1,0)),0)</f>
        <v>13570.496399999998</v>
      </c>
      <c r="AO58" s="56">
        <f>IFERROR(INDEX('Monthly VOL'!$N$2:$CG$65,MATCH($D58,'Monthly VOL'!$D$2:$D$65,0),MATCH(AO$1,'Monthly VOL'!$N$1:$CG$1,0))/INDEX('Monthly CUST'!$N$2:$CG$65,MATCH($D58,'Monthly CUST'!$D$2:$D$65,0),MATCH(AO$1,'Monthly CUST'!$N$1:$CG$1,0)),0)</f>
        <v>10897.469166666668</v>
      </c>
      <c r="AP58" s="56">
        <f>IFERROR(INDEX('Monthly VOL'!$N$2:$CG$65,MATCH($D58,'Monthly VOL'!$D$2:$D$65,0),MATCH(AP$1,'Monthly VOL'!$N$1:$CG$1,0))/INDEX('Monthly CUST'!$N$2:$CG$65,MATCH($D58,'Monthly CUST'!$D$2:$D$65,0),MATCH(AP$1,'Monthly CUST'!$N$1:$CG$1,0)),0)</f>
        <v>11508.196153846153</v>
      </c>
      <c r="AQ58" s="56">
        <f>IFERROR(INDEX('Monthly VOL'!$N$2:$CG$65,MATCH($D58,'Monthly VOL'!$D$2:$D$65,0),MATCH(AQ$1,'Monthly VOL'!$N$1:$CG$1,0))/INDEX('Monthly CUST'!$N$2:$CG$65,MATCH($D58,'Monthly CUST'!$D$2:$D$65,0),MATCH(AQ$1,'Monthly CUST'!$N$1:$CG$1,0)),0)</f>
        <v>12368.757600000001</v>
      </c>
      <c r="AR58" s="56">
        <f>IFERROR(INDEX('Monthly VOL'!$N$2:$CG$65,MATCH($D58,'Monthly VOL'!$D$2:$D$65,0),MATCH(AR$1,'Monthly VOL'!$N$1:$CG$1,0))/INDEX('Monthly CUST'!$N$2:$CG$65,MATCH($D58,'Monthly CUST'!$D$2:$D$65,0),MATCH(AR$1,'Monthly CUST'!$N$1:$CG$1,0)),0)</f>
        <v>11405.1944</v>
      </c>
      <c r="AS58" s="56">
        <f>IFERROR(INDEX('Monthly VOL'!$N$2:$CG$65,MATCH($D58,'Monthly VOL'!$D$2:$D$65,0),MATCH(AS$1,'Monthly VOL'!$N$1:$CG$1,0))/INDEX('Monthly CUST'!$N$2:$CG$65,MATCH($D58,'Monthly CUST'!$D$2:$D$65,0),MATCH(AS$1,'Monthly CUST'!$N$1:$CG$1,0)),0)</f>
        <v>11400.371200000001</v>
      </c>
      <c r="AT58" s="56">
        <f>IFERROR(INDEX('Monthly VOL'!$N$2:$CG$65,MATCH($D58,'Monthly VOL'!$D$2:$D$65,0),MATCH(AT$1,'Monthly VOL'!$N$1:$CG$1,0))/INDEX('Monthly CUST'!$N$2:$CG$65,MATCH($D58,'Monthly CUST'!$D$2:$D$65,0),MATCH(AT$1,'Monthly CUST'!$N$1:$CG$1,0)),0)</f>
        <v>11870.938799999998</v>
      </c>
      <c r="AU58" s="56">
        <f>IFERROR(INDEX('Monthly VOL'!$N$2:$CG$65,MATCH($D58,'Monthly VOL'!$D$2:$D$65,0),MATCH(AU$1,'Monthly VOL'!$N$1:$CG$1,0))/INDEX('Monthly CUST'!$N$2:$CG$65,MATCH($D58,'Monthly CUST'!$D$2:$D$65,0),MATCH(AU$1,'Monthly CUST'!$N$1:$CG$1,0)),0)</f>
        <v>12109.492692307693</v>
      </c>
      <c r="AV58" s="56">
        <f>IFERROR(INDEX('Monthly VOL'!$N$2:$CG$65,MATCH($D58,'Monthly VOL'!$D$2:$D$65,0),MATCH(AV$1,'Monthly VOL'!$N$1:$CG$1,0))/INDEX('Monthly CUST'!$N$2:$CG$65,MATCH($D58,'Monthly CUST'!$D$2:$D$65,0),MATCH(AV$1,'Monthly CUST'!$N$1:$CG$1,0)),0)</f>
        <v>12627.173461538461</v>
      </c>
      <c r="AW58" s="56">
        <f>IFERROR(INDEX('Monthly VOL'!$N$2:$CG$65,MATCH($D58,'Monthly VOL'!$D$2:$D$65,0),MATCH(AW$1,'Monthly VOL'!$N$1:$CG$1,0))/INDEX('Monthly CUST'!$N$2:$CG$65,MATCH($D58,'Monthly CUST'!$D$2:$D$65,0),MATCH(AW$1,'Monthly CUST'!$N$1:$CG$1,0)),0)</f>
        <v>14300.893461538461</v>
      </c>
      <c r="AX58" s="56">
        <f>IFERROR(INDEX('Monthly VOL'!$N$2:$CG$65,MATCH($D58,'Monthly VOL'!$D$2:$D$65,0),MATCH(AX$1,'Monthly VOL'!$N$1:$CG$1,0))/INDEX('Monthly CUST'!$N$2:$CG$65,MATCH($D58,'Monthly CUST'!$D$2:$D$65,0),MATCH(AX$1,'Monthly CUST'!$N$1:$CG$1,0)),0)</f>
        <v>14956.400769230768</v>
      </c>
      <c r="AY58" s="56">
        <f>IFERROR(INDEX('Monthly VOL'!$N$2:$CG$65,MATCH($D58,'Monthly VOL'!$D$2:$D$65,0),MATCH(AY$1,'Monthly VOL'!$N$1:$CG$1,0))/INDEX('Monthly CUST'!$N$2:$CG$65,MATCH($D58,'Monthly CUST'!$D$2:$D$65,0),MATCH(AY$1,'Monthly CUST'!$N$1:$CG$1,0)),0)</f>
        <v>13759.786153846155</v>
      </c>
      <c r="AZ58" s="56">
        <f>IFERROR(INDEX('Monthly VOL'!$N$2:$CG$65,MATCH($D58,'Monthly VOL'!$D$2:$D$65,0),MATCH(AZ$1,'Monthly VOL'!$N$1:$CG$1,0))/INDEX('Monthly CUST'!$N$2:$CG$65,MATCH($D58,'Monthly CUST'!$D$2:$D$65,0),MATCH(AZ$1,'Monthly CUST'!$N$1:$CG$1,0)),0)</f>
        <v>14608.024615384616</v>
      </c>
      <c r="BA58" s="56">
        <f>IFERROR(INDEX('Monthly VOL'!$N$2:$CG$65,MATCH($D58,'Monthly VOL'!$D$2:$D$65,0),MATCH(BA$1,'Monthly VOL'!$N$1:$CG$1,0))/INDEX('Monthly CUST'!$N$2:$CG$65,MATCH($D58,'Monthly CUST'!$D$2:$D$65,0),MATCH(BA$1,'Monthly CUST'!$N$1:$CG$1,0)),0)</f>
        <v>13146.644615384615</v>
      </c>
      <c r="BB58" s="56">
        <f>IFERROR(INDEX('Monthly VOL'!$N$2:$CG$65,MATCH($D58,'Monthly VOL'!$D$2:$D$65,0),MATCH(BB$1,'Monthly VOL'!$N$1:$CG$1,0))/INDEX('Monthly CUST'!$N$2:$CG$65,MATCH($D58,'Monthly CUST'!$D$2:$D$65,0),MATCH(BB$1,'Monthly CUST'!$N$1:$CG$1,0)),0)</f>
        <v>12335.083461538461</v>
      </c>
      <c r="BC58" s="56">
        <f>IFERROR(INDEX('Monthly VOL'!$N$2:$CG$65,MATCH($D58,'Monthly VOL'!$D$2:$D$65,0),MATCH(BC$1,'Monthly VOL'!$N$1:$CG$1,0))/INDEX('Monthly CUST'!$N$2:$CG$65,MATCH($D58,'Monthly CUST'!$D$2:$D$65,0),MATCH(BC$1,'Monthly CUST'!$N$1:$CG$1,0)),0)</f>
        <v>13040.793076923077</v>
      </c>
      <c r="BD58" s="56">
        <f>IFERROR(INDEX('Monthly VOL'!$N$2:$CG$65,MATCH($D58,'Monthly VOL'!$D$2:$D$65,0),MATCH(BD$1,'Monthly VOL'!$N$1:$CG$1,0))/INDEX('Monthly CUST'!$N$2:$CG$65,MATCH($D58,'Monthly CUST'!$D$2:$D$65,0),MATCH(BD$1,'Monthly CUST'!$N$1:$CG$1,0)),0)</f>
        <v>12826.705384615385</v>
      </c>
      <c r="BE58" s="56">
        <f>IFERROR(INDEX('Monthly VOL'!$N$2:$CG$65,MATCH($D58,'Monthly VOL'!$D$2:$D$65,0),MATCH(BE$1,'Monthly VOL'!$N$1:$CG$1,0))/INDEX('Monthly CUST'!$N$2:$CG$65,MATCH($D58,'Monthly CUST'!$D$2:$D$65,0),MATCH(BE$1,'Monthly CUST'!$N$1:$CG$1,0)),0)</f>
        <v>13803.99153846154</v>
      </c>
      <c r="BF58" s="56">
        <f>IFERROR(INDEX('Monthly VOL'!$N$2:$CG$65,MATCH($D58,'Monthly VOL'!$D$2:$D$65,0),MATCH(BF$1,'Monthly VOL'!$N$1:$CG$1,0))/INDEX('Monthly CUST'!$N$2:$CG$65,MATCH($D58,'Monthly CUST'!$D$2:$D$65,0),MATCH(BF$1,'Monthly CUST'!$N$1:$CG$1,0)),0)</f>
        <v>13221.06</v>
      </c>
      <c r="BG58" s="56">
        <f>IFERROR(INDEX('Monthly VOL'!$N$2:$CG$65,MATCH($D58,'Monthly VOL'!$D$2:$D$65,0),MATCH(BG$1,'Monthly VOL'!$N$1:$CG$1,0))/INDEX('Monthly CUST'!$N$2:$CG$65,MATCH($D58,'Monthly CUST'!$D$2:$D$65,0),MATCH(BG$1,'Monthly CUST'!$N$1:$CG$1,0)),0)</f>
        <v>13233.601153846153</v>
      </c>
      <c r="BH58" s="56">
        <f>IFERROR(INDEX('Monthly VOL'!$N$2:$CG$65,MATCH($D58,'Monthly VOL'!$D$2:$D$65,0),MATCH(BH$1,'Monthly VOL'!$N$1:$CG$1,0))/INDEX('Monthly CUST'!$N$2:$CG$65,MATCH($D58,'Monthly CUST'!$D$2:$D$65,0),MATCH(BH$1,'Monthly CUST'!$N$1:$CG$1,0)),0)</f>
        <v>15799.266153846153</v>
      </c>
      <c r="BI58" s="56">
        <f>IFERROR(INDEX('Monthly VOL'!$N$2:$CG$65,MATCH($D58,'Monthly VOL'!$D$2:$D$65,0),MATCH(BI$1,'Monthly VOL'!$N$1:$CG$1,0))/INDEX('Monthly CUST'!$N$2:$CG$65,MATCH($D58,'Monthly CUST'!$D$2:$D$65,0),MATCH(BI$1,'Monthly CUST'!$N$1:$CG$1,0)),0)</f>
        <v>14439.380384615386</v>
      </c>
      <c r="BJ58" s="56">
        <f>IFERROR(INDEX('Monthly VOL'!$N$2:$CG$65,MATCH($D58,'Monthly VOL'!$D$2:$D$65,0),MATCH(BJ$1,'Monthly VOL'!$N$1:$CG$1,0))/INDEX('Monthly CUST'!$N$2:$CG$65,MATCH($D58,'Monthly CUST'!$D$2:$D$65,0),MATCH(BJ$1,'Monthly CUST'!$N$1:$CG$1,0)),0)</f>
        <v>14956.400769230768</v>
      </c>
      <c r="BK58" s="56">
        <f>IFERROR(INDEX('Monthly VOL'!$N$2:$CG$65,MATCH($D58,'Monthly VOL'!$D$2:$D$65,0),MATCH(BK$1,'Monthly VOL'!$N$1:$CG$1,0))/INDEX('Monthly CUST'!$N$2:$CG$65,MATCH($D58,'Monthly CUST'!$D$2:$D$65,0),MATCH(BK$1,'Monthly CUST'!$N$1:$CG$1,0)),0)</f>
        <v>13759.786153846155</v>
      </c>
      <c r="BL58" s="56">
        <f>IFERROR(INDEX('Monthly VOL'!$N$2:$CG$65,MATCH($D58,'Monthly VOL'!$D$2:$D$65,0),MATCH(BL$1,'Monthly VOL'!$N$1:$CG$1,0))/INDEX('Monthly CUST'!$N$2:$CG$65,MATCH($D58,'Monthly CUST'!$D$2:$D$65,0),MATCH(BL$1,'Monthly CUST'!$N$1:$CG$1,0)),0)</f>
        <v>14608.024615384616</v>
      </c>
      <c r="BM58" s="56">
        <f>IFERROR(INDEX('Monthly VOL'!$N$2:$CG$65,MATCH($D58,'Monthly VOL'!$D$2:$D$65,0),MATCH(BM$1,'Monthly VOL'!$N$1:$CG$1,0))/INDEX('Monthly CUST'!$N$2:$CG$65,MATCH($D58,'Monthly CUST'!$D$2:$D$65,0),MATCH(BM$1,'Monthly CUST'!$N$1:$CG$1,0)),0)</f>
        <v>13146.644615384615</v>
      </c>
      <c r="BN58" s="56">
        <f>IFERROR(INDEX('Monthly VOL'!$N$2:$CG$65,MATCH($D58,'Monthly VOL'!$D$2:$D$65,0),MATCH(BN$1,'Monthly VOL'!$N$1:$CG$1,0))/INDEX('Monthly CUST'!$N$2:$CG$65,MATCH($D58,'Monthly CUST'!$D$2:$D$65,0),MATCH(BN$1,'Monthly CUST'!$N$1:$CG$1,0)),0)</f>
        <v>12335.083461538461</v>
      </c>
      <c r="BO58" s="56">
        <f>IFERROR(INDEX('Monthly VOL'!$N$2:$CG$65,MATCH($D58,'Monthly VOL'!$D$2:$D$65,0),MATCH(BO$1,'Monthly VOL'!$N$1:$CG$1,0))/INDEX('Monthly CUST'!$N$2:$CG$65,MATCH($D58,'Monthly CUST'!$D$2:$D$65,0),MATCH(BO$1,'Monthly CUST'!$N$1:$CG$1,0)),0)</f>
        <v>13040.793076923077</v>
      </c>
      <c r="BP58" s="56">
        <f>IFERROR(INDEX('Monthly VOL'!$N$2:$CG$65,MATCH($D58,'Monthly VOL'!$D$2:$D$65,0),MATCH(BP$1,'Monthly VOL'!$N$1:$CG$1,0))/INDEX('Monthly CUST'!$N$2:$CG$65,MATCH($D58,'Monthly CUST'!$D$2:$D$65,0),MATCH(BP$1,'Monthly CUST'!$N$1:$CG$1,0)),0)</f>
        <v>12826.705384615385</v>
      </c>
      <c r="BQ58" s="56">
        <f>IFERROR(INDEX('Monthly VOL'!$N$2:$CG$65,MATCH($D58,'Monthly VOL'!$D$2:$D$65,0),MATCH(BQ$1,'Monthly VOL'!$N$1:$CG$1,0))/INDEX('Monthly CUST'!$N$2:$CG$65,MATCH($D58,'Monthly CUST'!$D$2:$D$65,0),MATCH(BQ$1,'Monthly CUST'!$N$1:$CG$1,0)),0)</f>
        <v>13803.99153846154</v>
      </c>
      <c r="BR58" s="56">
        <f>IFERROR(INDEX('Monthly VOL'!$N$2:$CG$65,MATCH($D58,'Monthly VOL'!$D$2:$D$65,0),MATCH(BR$1,'Monthly VOL'!$N$1:$CG$1,0))/INDEX('Monthly CUST'!$N$2:$CG$65,MATCH($D58,'Monthly CUST'!$D$2:$D$65,0),MATCH(BR$1,'Monthly CUST'!$N$1:$CG$1,0)),0)</f>
        <v>13221.06</v>
      </c>
      <c r="BS58" s="56">
        <f>IFERROR(INDEX('Monthly VOL'!$N$2:$CG$65,MATCH($D58,'Monthly VOL'!$D$2:$D$65,0),MATCH(BS$1,'Monthly VOL'!$N$1:$CG$1,0))/INDEX('Monthly CUST'!$N$2:$CG$65,MATCH($D58,'Monthly CUST'!$D$2:$D$65,0),MATCH(BS$1,'Monthly CUST'!$N$1:$CG$1,0)),0)</f>
        <v>13233.601153846153</v>
      </c>
      <c r="BT58" s="56">
        <f>IFERROR(INDEX('Monthly VOL'!$N$2:$CG$65,MATCH($D58,'Monthly VOL'!$D$2:$D$65,0),MATCH(BT$1,'Monthly VOL'!$N$1:$CG$1,0))/INDEX('Monthly CUST'!$N$2:$CG$65,MATCH($D58,'Monthly CUST'!$D$2:$D$65,0),MATCH(BT$1,'Monthly CUST'!$N$1:$CG$1,0)),0)</f>
        <v>15799.266153846153</v>
      </c>
      <c r="BU58" s="56">
        <f>IFERROR(INDEX('Monthly VOL'!$N$2:$CG$65,MATCH($D58,'Monthly VOL'!$D$2:$D$65,0),MATCH(BU$1,'Monthly VOL'!$N$1:$CG$1,0))/INDEX('Monthly CUST'!$N$2:$CG$65,MATCH($D58,'Monthly CUST'!$D$2:$D$65,0),MATCH(BU$1,'Monthly CUST'!$N$1:$CG$1,0)),0)</f>
        <v>14439.380384615386</v>
      </c>
      <c r="BV58" s="56">
        <f>IFERROR(INDEX('Monthly VOL'!$N$2:$CG$65,MATCH($D58,'Monthly VOL'!$D$2:$D$65,0),MATCH(BV$1,'Monthly VOL'!$N$1:$CG$1,0))/INDEX('Monthly CUST'!$N$2:$CG$65,MATCH($D58,'Monthly CUST'!$D$2:$D$65,0),MATCH(BV$1,'Monthly CUST'!$N$1:$CG$1,0)),0)</f>
        <v>14956.400769230768</v>
      </c>
      <c r="BW58" s="56">
        <f>IFERROR(INDEX('Monthly VOL'!$N$2:$CG$65,MATCH($D58,'Monthly VOL'!$D$2:$D$65,0),MATCH(BW$1,'Monthly VOL'!$N$1:$CG$1,0))/INDEX('Monthly CUST'!$N$2:$CG$65,MATCH($D58,'Monthly CUST'!$D$2:$D$65,0),MATCH(BW$1,'Monthly CUST'!$N$1:$CG$1,0)),0)</f>
        <v>13759.786153846155</v>
      </c>
      <c r="BX58" s="56">
        <f>IFERROR(INDEX('Monthly VOL'!$N$2:$CG$65,MATCH($D58,'Monthly VOL'!$D$2:$D$65,0),MATCH(BX$1,'Monthly VOL'!$N$1:$CG$1,0))/INDEX('Monthly CUST'!$N$2:$CG$65,MATCH($D58,'Monthly CUST'!$D$2:$D$65,0),MATCH(BX$1,'Monthly CUST'!$N$1:$CG$1,0)),0)</f>
        <v>14608.024615384616</v>
      </c>
      <c r="BY58" s="56">
        <f>IFERROR(INDEX('Monthly VOL'!$N$2:$CG$65,MATCH($D58,'Monthly VOL'!$D$2:$D$65,0),MATCH(BY$1,'Monthly VOL'!$N$1:$CG$1,0))/INDEX('Monthly CUST'!$N$2:$CG$65,MATCH($D58,'Monthly CUST'!$D$2:$D$65,0),MATCH(BY$1,'Monthly CUST'!$N$1:$CG$1,0)),0)</f>
        <v>13146.644615384615</v>
      </c>
      <c r="BZ58" s="56">
        <f>IFERROR(INDEX('Monthly VOL'!$N$2:$CG$65,MATCH($D58,'Monthly VOL'!$D$2:$D$65,0),MATCH(BZ$1,'Monthly VOL'!$N$1:$CG$1,0))/INDEX('Monthly CUST'!$N$2:$CG$65,MATCH($D58,'Monthly CUST'!$D$2:$D$65,0),MATCH(BZ$1,'Monthly CUST'!$N$1:$CG$1,0)),0)</f>
        <v>12335.083461538461</v>
      </c>
      <c r="CA58" s="56">
        <f>IFERROR(INDEX('Monthly VOL'!$N$2:$CG$65,MATCH($D58,'Monthly VOL'!$D$2:$D$65,0),MATCH(CA$1,'Monthly VOL'!$N$1:$CG$1,0))/INDEX('Monthly CUST'!$N$2:$CG$65,MATCH($D58,'Monthly CUST'!$D$2:$D$65,0),MATCH(CA$1,'Monthly CUST'!$N$1:$CG$1,0)),0)</f>
        <v>13040.793076923077</v>
      </c>
      <c r="CB58" s="56">
        <f>IFERROR(INDEX('Monthly VOL'!$N$2:$CG$65,MATCH($D58,'Monthly VOL'!$D$2:$D$65,0),MATCH(CB$1,'Monthly VOL'!$N$1:$CG$1,0))/INDEX('Monthly CUST'!$N$2:$CG$65,MATCH($D58,'Monthly CUST'!$D$2:$D$65,0),MATCH(CB$1,'Monthly CUST'!$N$1:$CG$1,0)),0)</f>
        <v>12826.705384615385</v>
      </c>
      <c r="CC58" s="56">
        <f>IFERROR(INDEX('Monthly VOL'!$N$2:$CG$65,MATCH($D58,'Monthly VOL'!$D$2:$D$65,0),MATCH(CC$1,'Monthly VOL'!$N$1:$CG$1,0))/INDEX('Monthly CUST'!$N$2:$CG$65,MATCH($D58,'Monthly CUST'!$D$2:$D$65,0),MATCH(CC$1,'Monthly CUST'!$N$1:$CG$1,0)),0)</f>
        <v>13803.99153846154</v>
      </c>
      <c r="CD58" s="56">
        <f>IFERROR(INDEX('Monthly VOL'!$N$2:$CG$65,MATCH($D58,'Monthly VOL'!$D$2:$D$65,0),MATCH(CD$1,'Monthly VOL'!$N$1:$CG$1,0))/INDEX('Monthly CUST'!$N$2:$CG$65,MATCH($D58,'Monthly CUST'!$D$2:$D$65,0),MATCH(CD$1,'Monthly CUST'!$N$1:$CG$1,0)),0)</f>
        <v>13221.06</v>
      </c>
      <c r="CE58" s="56">
        <f>IFERROR(INDEX('Monthly VOL'!$N$2:$CG$65,MATCH($D58,'Monthly VOL'!$D$2:$D$65,0),MATCH(CE$1,'Monthly VOL'!$N$1:$CG$1,0))/INDEX('Monthly CUST'!$N$2:$CG$65,MATCH($D58,'Monthly CUST'!$D$2:$D$65,0),MATCH(CE$1,'Monthly CUST'!$N$1:$CG$1,0)),0)</f>
        <v>13233.601153846153</v>
      </c>
      <c r="CF58" s="56">
        <f>IFERROR(INDEX('Monthly VOL'!$N$2:$CG$65,MATCH($D58,'Monthly VOL'!$D$2:$D$65,0),MATCH(CF$1,'Monthly VOL'!$N$1:$CG$1,0))/INDEX('Monthly CUST'!$N$2:$CG$65,MATCH($D58,'Monthly CUST'!$D$2:$D$65,0),MATCH(CF$1,'Monthly CUST'!$N$1:$CG$1,0)),0)</f>
        <v>15799.266153846153</v>
      </c>
      <c r="CG58" s="56">
        <f>IFERROR(INDEX('Monthly VOL'!$N$2:$CG$65,MATCH($D58,'Monthly VOL'!$D$2:$D$65,0),MATCH(CG$1,'Monthly VOL'!$N$1:$CG$1,0))/INDEX('Monthly CUST'!$N$2:$CG$65,MATCH($D58,'Monthly CUST'!$D$2:$D$65,0),MATCH(CG$1,'Monthly CUST'!$N$1:$CG$1,0)),0)</f>
        <v>14439.380384615386</v>
      </c>
      <c r="CH58" s="264"/>
      <c r="CI58" s="264"/>
      <c r="CJ58" s="264"/>
      <c r="CM58" s="569">
        <f t="shared" si="24"/>
        <v>15114.531341258742</v>
      </c>
      <c r="CN58" s="569">
        <f t="shared" si="25"/>
        <v>13763.859020979022</v>
      </c>
      <c r="CO58" s="569">
        <f t="shared" si="26"/>
        <v>14393.657611188812</v>
      </c>
      <c r="CP58" s="569">
        <f t="shared" si="27"/>
        <v>12686.979290986792</v>
      </c>
      <c r="CQ58" s="569">
        <f t="shared" si="28"/>
        <v>12514.464417249415</v>
      </c>
      <c r="CR58" s="569">
        <f t="shared" si="29"/>
        <v>12582.818558974359</v>
      </c>
      <c r="CS58" s="569">
        <f t="shared" si="30"/>
        <v>12335.425231235431</v>
      </c>
      <c r="CT58" s="569">
        <f t="shared" si="31"/>
        <v>12196.198246153848</v>
      </c>
      <c r="CU58" s="569">
        <f t="shared" si="32"/>
        <v>12264.010904347824</v>
      </c>
      <c r="CV58" s="569">
        <f t="shared" si="33"/>
        <v>12986.449542920847</v>
      </c>
      <c r="CW58" s="569">
        <f t="shared" si="34"/>
        <v>13926.436683389074</v>
      </c>
      <c r="CX58" s="569">
        <f t="shared" si="35"/>
        <v>14273.867224080268</v>
      </c>
      <c r="CY58" s="569">
        <f t="shared" si="36"/>
        <v>15114.531341258742</v>
      </c>
      <c r="CZ58" s="569">
        <f t="shared" si="37"/>
        <v>13763.859020979022</v>
      </c>
      <c r="DA58" s="569">
        <f t="shared" si="38"/>
        <v>14393.657611188812</v>
      </c>
      <c r="DB58" s="569">
        <f t="shared" si="39"/>
        <v>12686.979290986792</v>
      </c>
      <c r="DC58" s="569">
        <f t="shared" si="40"/>
        <v>12514.464417249415</v>
      </c>
      <c r="DD58" s="569">
        <f t="shared" si="41"/>
        <v>12582.818558974359</v>
      </c>
      <c r="DE58" s="569">
        <f t="shared" si="42"/>
        <v>12335.425231235431</v>
      </c>
      <c r="DF58" s="569">
        <f t="shared" si="43"/>
        <v>12196.198246153848</v>
      </c>
      <c r="DG58" s="569">
        <f t="shared" si="44"/>
        <v>12264.010904347824</v>
      </c>
      <c r="DH58" s="569">
        <f t="shared" si="45"/>
        <v>12986.449542920847</v>
      </c>
      <c r="DI58" s="569">
        <f t="shared" si="46"/>
        <v>13926.436683389074</v>
      </c>
      <c r="DJ58" s="569">
        <f t="shared" si="47"/>
        <v>14273.867224080268</v>
      </c>
    </row>
    <row r="59" spans="1:114" s="261" customFormat="1">
      <c r="A59" s="55" t="s">
        <v>17</v>
      </c>
      <c r="B59" s="55" t="s">
        <v>993</v>
      </c>
      <c r="C59" s="55" t="s">
        <v>1245</v>
      </c>
      <c r="D59" s="55" t="s">
        <v>73</v>
      </c>
      <c r="E59" s="55" t="str">
        <f>VLOOKUP(D59,'Input 14_Ref Table'!C:D,2,FALSE)</f>
        <v>CI406</v>
      </c>
      <c r="F59" s="172" t="s">
        <v>1286</v>
      </c>
      <c r="G59" s="55" t="str">
        <f>VLOOKUP(D59,'Input 14_Ref Table'!C:I,7,FALSE)</f>
        <v>CFG - FTS-8</v>
      </c>
      <c r="H59" s="55" t="str">
        <f>VLOOKUP(D59,'Input 14_Ref Table'!C:K,8,FALSE)</f>
        <v>Base Period</v>
      </c>
      <c r="I59" s="55" t="e">
        <f>INDEX(#REF!,MATCH(D59,#REF!,0))</f>
        <v>#REF!</v>
      </c>
      <c r="J59" s="261" t="str">
        <f>INDEX('Master '!$AD$2:AD$65,MATCH(D59,'Master '!$D$2:$D$65,0))</f>
        <v>Base Period</v>
      </c>
      <c r="K59" s="567">
        <f>INDEX('Master '!$N$2:N$65,MATCH(D59,'Master '!$D$2:$D$65,0))</f>
        <v>0</v>
      </c>
      <c r="L59" s="290">
        <f>INDEX('Master '!$S$2:S$65,MATCH(D59,'Master '!$D$2:$D$65,0))</f>
        <v>0</v>
      </c>
      <c r="M59" s="1">
        <f>INDEX('Master '!$W$2:W$65,MATCH(D59,'Master '!$D$2:$D$65,0))</f>
        <v>293058.25764705881</v>
      </c>
      <c r="N59" s="56">
        <f>IFERROR(INDEX('Monthly VOL'!$N$2:$CG$65,MATCH($D59,'Monthly VOL'!$D$2:$D$65,0),MATCH(N$1,'Monthly VOL'!$N$1:$CG$1,0))/INDEX('Monthly CUST'!$N$2:$CG$65,MATCH($D59,'Monthly CUST'!$D$2:$D$65,0),MATCH(N$1,'Monthly CUST'!$N$1:$CG$1,0)),0)</f>
        <v>32532.318749999999</v>
      </c>
      <c r="O59" s="56">
        <f>IFERROR(INDEX('Monthly VOL'!$N$2:$CG$65,MATCH($D59,'Monthly VOL'!$D$2:$D$65,0),MATCH(O$1,'Monthly VOL'!$N$1:$CG$1,0))/INDEX('Monthly CUST'!$N$2:$CG$65,MATCH($D59,'Monthly CUST'!$D$2:$D$65,0),MATCH(O$1,'Monthly CUST'!$N$1:$CG$1,0)),0)</f>
        <v>27363.859375</v>
      </c>
      <c r="P59" s="56">
        <f>IFERROR(INDEX('Monthly VOL'!$N$2:$CG$65,MATCH($D59,'Monthly VOL'!$D$2:$D$65,0),MATCH(P$1,'Monthly VOL'!$N$1:$CG$1,0))/INDEX('Monthly CUST'!$N$2:$CG$65,MATCH($D59,'Monthly CUST'!$D$2:$D$65,0),MATCH(P$1,'Monthly CUST'!$N$1:$CG$1,0)),0)</f>
        <v>29878.358124999999</v>
      </c>
      <c r="Q59" s="56">
        <f>IFERROR(INDEX('Monthly VOL'!$N$2:$CG$65,MATCH($D59,'Monthly VOL'!$D$2:$D$65,0),MATCH(Q$1,'Monthly VOL'!$N$1:$CG$1,0))/INDEX('Monthly CUST'!$N$2:$CG$65,MATCH($D59,'Monthly CUST'!$D$2:$D$65,0),MATCH(Q$1,'Monthly CUST'!$N$1:$CG$1,0)),0)</f>
        <v>21880.997777777779</v>
      </c>
      <c r="R59" s="56">
        <f>IFERROR(INDEX('Monthly VOL'!$N$2:$CG$65,MATCH($D59,'Monthly VOL'!$D$2:$D$65,0),MATCH(R$1,'Monthly VOL'!$N$1:$CG$1,0))/INDEX('Monthly CUST'!$N$2:$CG$65,MATCH($D59,'Monthly CUST'!$D$2:$D$65,0),MATCH(R$1,'Monthly CUST'!$N$1:$CG$1,0)),0)</f>
        <v>22108.383333333335</v>
      </c>
      <c r="S59" s="56">
        <f>IFERROR(INDEX('Monthly VOL'!$N$2:$CG$65,MATCH($D59,'Monthly VOL'!$D$2:$D$65,0),MATCH(S$1,'Monthly VOL'!$N$1:$CG$1,0))/INDEX('Monthly CUST'!$N$2:$CG$65,MATCH($D59,'Monthly CUST'!$D$2:$D$65,0),MATCH(S$1,'Monthly CUST'!$N$1:$CG$1,0)),0)</f>
        <v>19808.908888888887</v>
      </c>
      <c r="T59" s="56">
        <f>IFERROR(INDEX('Monthly VOL'!$N$2:$CG$65,MATCH($D59,'Monthly VOL'!$D$2:$D$65,0),MATCH(T$1,'Monthly VOL'!$N$1:$CG$1,0))/INDEX('Monthly CUST'!$N$2:$CG$65,MATCH($D59,'Monthly CUST'!$D$2:$D$65,0),MATCH(T$1,'Monthly CUST'!$N$1:$CG$1,0)),0)</f>
        <v>21878.06111111111</v>
      </c>
      <c r="U59" s="56">
        <f>IFERROR(INDEX('Monthly VOL'!$N$2:$CG$65,MATCH($D59,'Monthly VOL'!$D$2:$D$65,0),MATCH(U$1,'Monthly VOL'!$N$1:$CG$1,0))/INDEX('Monthly CUST'!$N$2:$CG$65,MATCH($D59,'Monthly CUST'!$D$2:$D$65,0),MATCH(U$1,'Monthly CUST'!$N$1:$CG$1,0)),0)</f>
        <v>20612.920555555556</v>
      </c>
      <c r="V59" s="56">
        <f>IFERROR(INDEX('Monthly VOL'!$N$2:$CG$65,MATCH($D59,'Monthly VOL'!$D$2:$D$65,0),MATCH(V$1,'Monthly VOL'!$N$1:$CG$1,0))/INDEX('Monthly CUST'!$N$2:$CG$65,MATCH($D59,'Monthly CUST'!$D$2:$D$65,0),MATCH(V$1,'Monthly CUST'!$N$1:$CG$1,0)),0)</f>
        <v>19053.39</v>
      </c>
      <c r="W59" s="56">
        <f>IFERROR(INDEX('Monthly VOL'!$N$2:$CG$65,MATCH($D59,'Monthly VOL'!$D$2:$D$65,0),MATCH(W$1,'Monthly VOL'!$N$1:$CG$1,0))/INDEX('Monthly CUST'!$N$2:$CG$65,MATCH($D59,'Monthly CUST'!$D$2:$D$65,0),MATCH(W$1,'Monthly CUST'!$N$1:$CG$1,0)),0)</f>
        <v>22796.946111111112</v>
      </c>
      <c r="X59" s="56">
        <f>IFERROR(INDEX('Monthly VOL'!$N$2:$CG$65,MATCH($D59,'Monthly VOL'!$D$2:$D$65,0),MATCH(X$1,'Monthly VOL'!$N$1:$CG$1,0))/INDEX('Monthly CUST'!$N$2:$CG$65,MATCH($D59,'Monthly CUST'!$D$2:$D$65,0),MATCH(X$1,'Monthly CUST'!$N$1:$CG$1,0)),0)</f>
        <v>24443.151764705883</v>
      </c>
      <c r="Y59" s="56">
        <f>IFERROR(INDEX('Monthly VOL'!$N$2:$CG$65,MATCH($D59,'Monthly VOL'!$D$2:$D$65,0),MATCH(Y$1,'Monthly VOL'!$N$1:$CG$1,0))/INDEX('Monthly CUST'!$N$2:$CG$65,MATCH($D59,'Monthly CUST'!$D$2:$D$65,0),MATCH(Y$1,'Monthly CUST'!$N$1:$CG$1,0)),0)</f>
        <v>23901.265555555558</v>
      </c>
      <c r="Z59" s="56">
        <f>IFERROR(INDEX('Monthly VOL'!$N$2:$CG$65,MATCH($D59,'Monthly VOL'!$D$2:$D$65,0),MATCH(Z$1,'Monthly VOL'!$N$1:$CG$1,0))/INDEX('Monthly CUST'!$N$2:$CG$65,MATCH($D59,'Monthly CUST'!$D$2:$D$65,0),MATCH(Z$1,'Monthly CUST'!$N$1:$CG$1,0)),0)</f>
        <v>28791.135294117645</v>
      </c>
      <c r="AA59" s="56">
        <f>IFERROR(INDEX('Monthly VOL'!$N$2:$CG$65,MATCH($D59,'Monthly VOL'!$D$2:$D$65,0),MATCH(AA$1,'Monthly VOL'!$N$1:$CG$1,0))/INDEX('Monthly CUST'!$N$2:$CG$65,MATCH($D59,'Monthly CUST'!$D$2:$D$65,0),MATCH(AA$1,'Monthly CUST'!$N$1:$CG$1,0)),0)</f>
        <v>25764.521764705882</v>
      </c>
      <c r="AB59" s="56">
        <f>IFERROR(INDEX('Monthly VOL'!$N$2:$CG$65,MATCH($D59,'Monthly VOL'!$D$2:$D$65,0),MATCH(AB$1,'Monthly VOL'!$N$1:$CG$1,0))/INDEX('Monthly CUST'!$N$2:$CG$65,MATCH($D59,'Monthly CUST'!$D$2:$D$65,0),MATCH(AB$1,'Monthly CUST'!$N$1:$CG$1,0)),0)</f>
        <v>28286.915882352943</v>
      </c>
      <c r="AC59" s="56">
        <f>IFERROR(INDEX('Monthly VOL'!$N$2:$CG$65,MATCH($D59,'Monthly VOL'!$D$2:$D$65,0),MATCH(AC$1,'Monthly VOL'!$N$1:$CG$1,0))/INDEX('Monthly CUST'!$N$2:$CG$65,MATCH($D59,'Monthly CUST'!$D$2:$D$65,0),MATCH(AC$1,'Monthly CUST'!$N$1:$CG$1,0)),0)</f>
        <v>21966.390588235296</v>
      </c>
      <c r="AD59" s="56">
        <f>IFERROR(INDEX('Monthly VOL'!$N$2:$CG$65,MATCH($D59,'Monthly VOL'!$D$2:$D$65,0),MATCH(AD$1,'Monthly VOL'!$N$1:$CG$1,0))/INDEX('Monthly CUST'!$N$2:$CG$65,MATCH($D59,'Monthly CUST'!$D$2:$D$65,0),MATCH(AD$1,'Monthly CUST'!$N$1:$CG$1,0)),0)</f>
        <v>20675.389411764707</v>
      </c>
      <c r="AE59" s="56">
        <f>IFERROR(INDEX('Monthly VOL'!$N$2:$CG$65,MATCH($D59,'Monthly VOL'!$D$2:$D$65,0),MATCH(AE$1,'Monthly VOL'!$N$1:$CG$1,0))/INDEX('Monthly CUST'!$N$2:$CG$65,MATCH($D59,'Monthly CUST'!$D$2:$D$65,0),MATCH(AE$1,'Monthly CUST'!$N$1:$CG$1,0)),0)</f>
        <v>22311.908823529411</v>
      </c>
      <c r="AF59" s="56">
        <f>IFERROR(INDEX('Monthly VOL'!$N$2:$CG$65,MATCH($D59,'Monthly VOL'!$D$2:$D$65,0),MATCH(AF$1,'Monthly VOL'!$N$1:$CG$1,0))/INDEX('Monthly CUST'!$N$2:$CG$65,MATCH($D59,'Monthly CUST'!$D$2:$D$65,0),MATCH(AF$1,'Monthly CUST'!$N$1:$CG$1,0)),0)</f>
        <v>19437.873157894737</v>
      </c>
      <c r="AG59" s="56">
        <f>IFERROR(INDEX('Monthly VOL'!$N$2:$CG$65,MATCH($D59,'Monthly VOL'!$D$2:$D$65,0),MATCH(AG$1,'Monthly VOL'!$N$1:$CG$1,0))/INDEX('Monthly CUST'!$N$2:$CG$65,MATCH($D59,'Monthly CUST'!$D$2:$D$65,0),MATCH(AG$1,'Monthly CUST'!$N$1:$CG$1,0)),0)</f>
        <v>21852.171666666669</v>
      </c>
      <c r="AH59" s="56">
        <f>IFERROR(INDEX('Monthly VOL'!$N$2:$CG$65,MATCH($D59,'Monthly VOL'!$D$2:$D$65,0),MATCH(AH$1,'Monthly VOL'!$N$1:$CG$1,0))/INDEX('Monthly CUST'!$N$2:$CG$65,MATCH($D59,'Monthly CUST'!$D$2:$D$65,0),MATCH(AH$1,'Monthly CUST'!$N$1:$CG$1,0)),0)</f>
        <v>20580.262941176468</v>
      </c>
      <c r="AI59" s="56">
        <f>IFERROR(INDEX('Monthly VOL'!$N$2:$CG$65,MATCH($D59,'Monthly VOL'!$D$2:$D$65,0),MATCH(AI$1,'Monthly VOL'!$N$1:$CG$1,0))/INDEX('Monthly CUST'!$N$2:$CG$65,MATCH($D59,'Monthly CUST'!$D$2:$D$65,0),MATCH(AI$1,'Monthly CUST'!$N$1:$CG$1,0)),0)</f>
        <v>24983.191764705884</v>
      </c>
      <c r="AJ59" s="56">
        <f>IFERROR(INDEX('Monthly VOL'!$N$2:$CG$65,MATCH($D59,'Monthly VOL'!$D$2:$D$65,0),MATCH(AJ$1,'Monthly VOL'!$N$1:$CG$1,0))/INDEX('Monthly CUST'!$N$2:$CG$65,MATCH($D59,'Monthly CUST'!$D$2:$D$65,0),MATCH(AJ$1,'Monthly CUST'!$N$1:$CG$1,0)),0)</f>
        <v>27098.591874999998</v>
      </c>
      <c r="AK59" s="56">
        <f>IFERROR(INDEX('Monthly VOL'!$N$2:$CG$65,MATCH($D59,'Monthly VOL'!$D$2:$D$65,0),MATCH(AK$1,'Monthly VOL'!$N$1:$CG$1,0))/INDEX('Monthly CUST'!$N$2:$CG$65,MATCH($D59,'Monthly CUST'!$D$2:$D$65,0),MATCH(AK$1,'Monthly CUST'!$N$1:$CG$1,0)),0)</f>
        <v>27282.751111111113</v>
      </c>
      <c r="AL59" s="56">
        <f>IFERROR(INDEX('Monthly VOL'!$N$2:$CG$65,MATCH($D59,'Monthly VOL'!$D$2:$D$65,0),MATCH(AL$1,'Monthly VOL'!$N$1:$CG$1,0))/INDEX('Monthly CUST'!$N$2:$CG$65,MATCH($D59,'Monthly CUST'!$D$2:$D$65,0),MATCH(AL$1,'Monthly CUST'!$N$1:$CG$1,0)),0)</f>
        <v>32257.446315789472</v>
      </c>
      <c r="AM59" s="56">
        <f>IFERROR(INDEX('Monthly VOL'!$N$2:$CG$65,MATCH($D59,'Monthly VOL'!$D$2:$D$65,0),MATCH(AM$1,'Monthly VOL'!$N$1:$CG$1,0))/INDEX('Monthly CUST'!$N$2:$CG$65,MATCH($D59,'Monthly CUST'!$D$2:$D$65,0),MATCH(AM$1,'Monthly CUST'!$N$1:$CG$1,0)),0)</f>
        <v>29553.89875</v>
      </c>
      <c r="AN59" s="56">
        <f>IFERROR(INDEX('Monthly VOL'!$N$2:$CG$65,MATCH($D59,'Monthly VOL'!$D$2:$D$65,0),MATCH(AN$1,'Monthly VOL'!$N$1:$CG$1,0))/INDEX('Monthly CUST'!$N$2:$CG$65,MATCH($D59,'Monthly CUST'!$D$2:$D$65,0),MATCH(AN$1,'Monthly CUST'!$N$1:$CG$1,0)),0)</f>
        <v>28433.71</v>
      </c>
      <c r="AO59" s="56">
        <f>IFERROR(INDEX('Monthly VOL'!$N$2:$CG$65,MATCH($D59,'Monthly VOL'!$D$2:$D$65,0),MATCH(AO$1,'Monthly VOL'!$N$1:$CG$1,0))/INDEX('Monthly CUST'!$N$2:$CG$65,MATCH($D59,'Monthly CUST'!$D$2:$D$65,0),MATCH(AO$1,'Monthly CUST'!$N$1:$CG$1,0)),0)</f>
        <v>20514.908823529411</v>
      </c>
      <c r="AP59" s="56">
        <f>IFERROR(INDEX('Monthly VOL'!$N$2:$CG$65,MATCH($D59,'Monthly VOL'!$D$2:$D$65,0),MATCH(AP$1,'Monthly VOL'!$N$1:$CG$1,0))/INDEX('Monthly CUST'!$N$2:$CG$65,MATCH($D59,'Monthly CUST'!$D$2:$D$65,0),MATCH(AP$1,'Monthly CUST'!$N$1:$CG$1,0)),0)</f>
        <v>21262.638235294115</v>
      </c>
      <c r="AQ59" s="56">
        <f>IFERROR(INDEX('Monthly VOL'!$N$2:$CG$65,MATCH($D59,'Monthly VOL'!$D$2:$D$65,0),MATCH(AQ$1,'Monthly VOL'!$N$1:$CG$1,0))/INDEX('Monthly CUST'!$N$2:$CG$65,MATCH($D59,'Monthly CUST'!$D$2:$D$65,0),MATCH(AQ$1,'Monthly CUST'!$N$1:$CG$1,0)),0)</f>
        <v>22117.82</v>
      </c>
      <c r="AR59" s="56">
        <f>IFERROR(INDEX('Monthly VOL'!$N$2:$CG$65,MATCH($D59,'Monthly VOL'!$D$2:$D$65,0),MATCH(AR$1,'Monthly VOL'!$N$1:$CG$1,0))/INDEX('Monthly CUST'!$N$2:$CG$65,MATCH($D59,'Monthly CUST'!$D$2:$D$65,0),MATCH(AR$1,'Monthly CUST'!$N$1:$CG$1,0)),0)</f>
        <v>24063.880588235294</v>
      </c>
      <c r="AS59" s="56">
        <f>IFERROR(INDEX('Monthly VOL'!$N$2:$CG$65,MATCH($D59,'Monthly VOL'!$D$2:$D$65,0),MATCH(AS$1,'Monthly VOL'!$N$1:$CG$1,0))/INDEX('Monthly CUST'!$N$2:$CG$65,MATCH($D59,'Monthly CUST'!$D$2:$D$65,0),MATCH(AS$1,'Monthly CUST'!$N$1:$CG$1,0)),0)</f>
        <v>23896.093529411766</v>
      </c>
      <c r="AT59" s="56">
        <f>IFERROR(INDEX('Monthly VOL'!$N$2:$CG$65,MATCH($D59,'Monthly VOL'!$D$2:$D$65,0),MATCH(AT$1,'Monthly VOL'!$N$1:$CG$1,0))/INDEX('Monthly CUST'!$N$2:$CG$65,MATCH($D59,'Monthly CUST'!$D$2:$D$65,0),MATCH(AT$1,'Monthly CUST'!$N$1:$CG$1,0)),0)</f>
        <v>23461.74</v>
      </c>
      <c r="AU59" s="56">
        <f>IFERROR(INDEX('Monthly VOL'!$N$2:$CG$65,MATCH($D59,'Monthly VOL'!$D$2:$D$65,0),MATCH(AU$1,'Monthly VOL'!$N$1:$CG$1,0))/INDEX('Monthly CUST'!$N$2:$CG$65,MATCH($D59,'Monthly CUST'!$D$2:$D$65,0),MATCH(AU$1,'Monthly CUST'!$N$1:$CG$1,0)),0)</f>
        <v>25417.215882352939</v>
      </c>
      <c r="AV59" s="56">
        <f>IFERROR(INDEX('Monthly VOL'!$N$2:$CG$65,MATCH($D59,'Monthly VOL'!$D$2:$D$65,0),MATCH(AV$1,'Monthly VOL'!$N$1:$CG$1,0))/INDEX('Monthly CUST'!$N$2:$CG$65,MATCH($D59,'Monthly CUST'!$D$2:$D$65,0),MATCH(AV$1,'Monthly CUST'!$N$1:$CG$1,0)),0)</f>
        <v>25860.436470588233</v>
      </c>
      <c r="AW59" s="56">
        <f>IFERROR(INDEX('Monthly VOL'!$N$2:$CG$65,MATCH($D59,'Monthly VOL'!$D$2:$D$65,0),MATCH(AW$1,'Monthly VOL'!$N$1:$CG$1,0))/INDEX('Monthly CUST'!$N$2:$CG$65,MATCH($D59,'Monthly CUST'!$D$2:$D$65,0),MATCH(AW$1,'Monthly CUST'!$N$1:$CG$1,0)),0)</f>
        <v>28647.054117647058</v>
      </c>
      <c r="AX59" s="56">
        <f>IFERROR(INDEX('Monthly VOL'!$N$2:$CG$65,MATCH($D59,'Monthly VOL'!$D$2:$D$65,0),MATCH(AX$1,'Monthly VOL'!$N$1:$CG$1,0))/INDEX('Monthly CUST'!$N$2:$CG$65,MATCH($D59,'Monthly CUST'!$D$2:$D$65,0),MATCH(AX$1,'Monthly CUST'!$N$1:$CG$1,0)),0)</f>
        <v>28498.691764705884</v>
      </c>
      <c r="AY59" s="56">
        <f>IFERROR(INDEX('Monthly VOL'!$N$2:$CG$65,MATCH($D59,'Monthly VOL'!$D$2:$D$65,0),MATCH(AY$1,'Monthly VOL'!$N$1:$CG$1,0))/INDEX('Monthly CUST'!$N$2:$CG$65,MATCH($D59,'Monthly CUST'!$D$2:$D$65,0),MATCH(AY$1,'Monthly CUST'!$N$1:$CG$1,0)),0)</f>
        <v>26413.014705882353</v>
      </c>
      <c r="AZ59" s="56">
        <f>IFERROR(INDEX('Monthly VOL'!$N$2:$CG$65,MATCH($D59,'Monthly VOL'!$D$2:$D$65,0),MATCH(AZ$1,'Monthly VOL'!$N$1:$CG$1,0))/INDEX('Monthly CUST'!$N$2:$CG$65,MATCH($D59,'Monthly CUST'!$D$2:$D$65,0),MATCH(AZ$1,'Monthly CUST'!$N$1:$CG$1,0)),0)</f>
        <v>27848.054117647058</v>
      </c>
      <c r="BA59" s="56">
        <f>IFERROR(INDEX('Monthly VOL'!$N$2:$CG$65,MATCH($D59,'Monthly VOL'!$D$2:$D$65,0),MATCH(BA$1,'Monthly VOL'!$N$1:$CG$1,0))/INDEX('Monthly CUST'!$N$2:$CG$65,MATCH($D59,'Monthly CUST'!$D$2:$D$65,0),MATCH(BA$1,'Monthly CUST'!$N$1:$CG$1,0)),0)</f>
        <v>25055.509411764706</v>
      </c>
      <c r="BB59" s="56">
        <f>IFERROR(INDEX('Monthly VOL'!$N$2:$CG$65,MATCH($D59,'Monthly VOL'!$D$2:$D$65,0),MATCH(BB$1,'Monthly VOL'!$N$1:$CG$1,0))/INDEX('Monthly CUST'!$N$2:$CG$65,MATCH($D59,'Monthly CUST'!$D$2:$D$65,0),MATCH(BB$1,'Monthly CUST'!$N$1:$CG$1,0)),0)</f>
        <v>24925.261764705883</v>
      </c>
      <c r="BC59" s="56">
        <f>IFERROR(INDEX('Monthly VOL'!$N$2:$CG$65,MATCH($D59,'Monthly VOL'!$D$2:$D$65,0),MATCH(BC$1,'Monthly VOL'!$N$1:$CG$1,0))/INDEX('Monthly CUST'!$N$2:$CG$65,MATCH($D59,'Monthly CUST'!$D$2:$D$65,0),MATCH(BC$1,'Monthly CUST'!$N$1:$CG$1,0)),0)</f>
        <v>22841.829411764706</v>
      </c>
      <c r="BD59" s="56">
        <f>IFERROR(INDEX('Monthly VOL'!$N$2:$CG$65,MATCH($D59,'Monthly VOL'!$D$2:$D$65,0),MATCH(BD$1,'Monthly VOL'!$N$1:$CG$1,0))/INDEX('Monthly CUST'!$N$2:$CG$65,MATCH($D59,'Monthly CUST'!$D$2:$D$65,0),MATCH(BD$1,'Monthly CUST'!$N$1:$CG$1,0)),0)</f>
        <v>20645.188823529414</v>
      </c>
      <c r="BE59" s="56">
        <f>IFERROR(INDEX('Monthly VOL'!$N$2:$CG$65,MATCH($D59,'Monthly VOL'!$D$2:$D$65,0),MATCH(BE$1,'Monthly VOL'!$N$1:$CG$1,0))/INDEX('Monthly CUST'!$N$2:$CG$65,MATCH($D59,'Monthly CUST'!$D$2:$D$65,0),MATCH(BE$1,'Monthly CUST'!$N$1:$CG$1,0)),0)</f>
        <v>19499.627058823527</v>
      </c>
      <c r="BF59" s="56">
        <f>IFERROR(INDEX('Monthly VOL'!$N$2:$CG$65,MATCH($D59,'Monthly VOL'!$D$2:$D$65,0),MATCH(BF$1,'Monthly VOL'!$N$1:$CG$1,0))/INDEX('Monthly CUST'!$N$2:$CG$65,MATCH($D59,'Monthly CUST'!$D$2:$D$65,0),MATCH(BF$1,'Monthly CUST'!$N$1:$CG$1,0)),0)</f>
        <v>18774.506470588236</v>
      </c>
      <c r="BG59" s="56">
        <f>IFERROR(INDEX('Monthly VOL'!$N$2:$CG$65,MATCH($D59,'Monthly VOL'!$D$2:$D$65,0),MATCH(BG$1,'Monthly VOL'!$N$1:$CG$1,0))/INDEX('Monthly CUST'!$N$2:$CG$65,MATCH($D59,'Monthly CUST'!$D$2:$D$65,0),MATCH(BG$1,'Monthly CUST'!$N$1:$CG$1,0)),0)</f>
        <v>24316.966470588235</v>
      </c>
      <c r="BH59" s="56">
        <f>IFERROR(INDEX('Monthly VOL'!$N$2:$CG$65,MATCH($D59,'Monthly VOL'!$D$2:$D$65,0),MATCH(BH$1,'Monthly VOL'!$N$1:$CG$1,0))/INDEX('Monthly CUST'!$N$2:$CG$65,MATCH($D59,'Monthly CUST'!$D$2:$D$65,0),MATCH(BH$1,'Monthly CUST'!$N$1:$CG$1,0)),0)</f>
        <v>29301.263529411764</v>
      </c>
      <c r="BI59" s="56">
        <f>IFERROR(INDEX('Monthly VOL'!$N$2:$CG$65,MATCH($D59,'Monthly VOL'!$D$2:$D$65,0),MATCH(BI$1,'Monthly VOL'!$N$1:$CG$1,0))/INDEX('Monthly CUST'!$N$2:$CG$65,MATCH($D59,'Monthly CUST'!$D$2:$D$65,0),MATCH(BI$1,'Monthly CUST'!$N$1:$CG$1,0)),0)</f>
        <v>24938.344117647059</v>
      </c>
      <c r="BJ59" s="56">
        <f>IFERROR(INDEX('Monthly VOL'!$N$2:$CG$65,MATCH($D59,'Monthly VOL'!$D$2:$D$65,0),MATCH(BJ$1,'Monthly VOL'!$N$1:$CG$1,0))/INDEX('Monthly CUST'!$N$2:$CG$65,MATCH($D59,'Monthly CUST'!$D$2:$D$65,0),MATCH(BJ$1,'Monthly CUST'!$N$1:$CG$1,0)),0)</f>
        <v>25498.829473684211</v>
      </c>
      <c r="BK59" s="56">
        <f>IFERROR(INDEX('Monthly VOL'!$N$2:$CG$65,MATCH($D59,'Monthly VOL'!$D$2:$D$65,0),MATCH(BK$1,'Monthly VOL'!$N$1:$CG$1,0))/INDEX('Monthly CUST'!$N$2:$CG$65,MATCH($D59,'Monthly CUST'!$D$2:$D$65,0),MATCH(BK$1,'Monthly CUST'!$N$1:$CG$1,0)),0)</f>
        <v>23632.697368421053</v>
      </c>
      <c r="BL59" s="56">
        <f>IFERROR(INDEX('Monthly VOL'!$N$2:$CG$65,MATCH($D59,'Monthly VOL'!$D$2:$D$65,0),MATCH(BL$1,'Monthly VOL'!$N$1:$CG$1,0))/INDEX('Monthly CUST'!$N$2:$CG$65,MATCH($D59,'Monthly CUST'!$D$2:$D$65,0),MATCH(BL$1,'Monthly CUST'!$N$1:$CG$1,0)),0)</f>
        <v>24916.68</v>
      </c>
      <c r="BM59" s="56">
        <f>IFERROR(INDEX('Monthly VOL'!$N$2:$CG$65,MATCH($D59,'Monthly VOL'!$D$2:$D$65,0),MATCH(BM$1,'Monthly VOL'!$N$1:$CG$1,0))/INDEX('Monthly CUST'!$N$2:$CG$65,MATCH($D59,'Monthly CUST'!$D$2:$D$65,0),MATCH(BM$1,'Monthly CUST'!$N$1:$CG$1,0)),0)</f>
        <v>22418.087368421053</v>
      </c>
      <c r="BN59" s="56">
        <f>IFERROR(INDEX('Monthly VOL'!$N$2:$CG$65,MATCH($D59,'Monthly VOL'!$D$2:$D$65,0),MATCH(BN$1,'Monthly VOL'!$N$1:$CG$1,0))/INDEX('Monthly CUST'!$N$2:$CG$65,MATCH($D59,'Monthly CUST'!$D$2:$D$65,0),MATCH(BN$1,'Monthly CUST'!$N$1:$CG$1,0)),0)</f>
        <v>22301.55</v>
      </c>
      <c r="BO59" s="56">
        <f>IFERROR(INDEX('Monthly VOL'!$N$2:$CG$65,MATCH($D59,'Monthly VOL'!$D$2:$D$65,0),MATCH(BO$1,'Monthly VOL'!$N$1:$CG$1,0))/INDEX('Monthly CUST'!$N$2:$CG$65,MATCH($D59,'Monthly CUST'!$D$2:$D$65,0),MATCH(BO$1,'Monthly CUST'!$N$1:$CG$1,0)),0)</f>
        <v>20437.426315789471</v>
      </c>
      <c r="BP59" s="56">
        <f>IFERROR(INDEX('Monthly VOL'!$N$2:$CG$65,MATCH($D59,'Monthly VOL'!$D$2:$D$65,0),MATCH(BP$1,'Monthly VOL'!$N$1:$CG$1,0))/INDEX('Monthly CUST'!$N$2:$CG$65,MATCH($D59,'Monthly CUST'!$D$2:$D$65,0),MATCH(BP$1,'Monthly CUST'!$N$1:$CG$1,0)),0)</f>
        <v>18472.01105263158</v>
      </c>
      <c r="BQ59" s="56">
        <f>IFERROR(INDEX('Monthly VOL'!$N$2:$CG$65,MATCH($D59,'Monthly VOL'!$D$2:$D$65,0),MATCH(BQ$1,'Monthly VOL'!$N$1:$CG$1,0))/INDEX('Monthly CUST'!$N$2:$CG$65,MATCH($D59,'Monthly CUST'!$D$2:$D$65,0),MATCH(BQ$1,'Monthly CUST'!$N$1:$CG$1,0)),0)</f>
        <v>17447.034736842103</v>
      </c>
      <c r="BR59" s="56">
        <f>IFERROR(INDEX('Monthly VOL'!$N$2:$CG$65,MATCH($D59,'Monthly VOL'!$D$2:$D$65,0),MATCH(BR$1,'Monthly VOL'!$N$1:$CG$1,0))/INDEX('Monthly CUST'!$N$2:$CG$65,MATCH($D59,'Monthly CUST'!$D$2:$D$65,0),MATCH(BR$1,'Monthly CUST'!$N$1:$CG$1,0)),0)</f>
        <v>16798.242631578945</v>
      </c>
      <c r="BS59" s="56">
        <f>IFERROR(INDEX('Monthly VOL'!$N$2:$CG$65,MATCH($D59,'Monthly VOL'!$D$2:$D$65,0),MATCH(BS$1,'Monthly VOL'!$N$1:$CG$1,0))/INDEX('Monthly CUST'!$N$2:$CG$65,MATCH($D59,'Monthly CUST'!$D$2:$D$65,0),MATCH(BS$1,'Monthly CUST'!$N$1:$CG$1,0)),0)</f>
        <v>21757.285789473684</v>
      </c>
      <c r="BT59" s="56">
        <f>IFERROR(INDEX('Monthly VOL'!$N$2:$CG$65,MATCH($D59,'Monthly VOL'!$D$2:$D$65,0),MATCH(BT$1,'Monthly VOL'!$N$1:$CG$1,0))/INDEX('Monthly CUST'!$N$2:$CG$65,MATCH($D59,'Monthly CUST'!$D$2:$D$65,0),MATCH(BT$1,'Monthly CUST'!$N$1:$CG$1,0)),0)</f>
        <v>26216.92</v>
      </c>
      <c r="BU59" s="56">
        <f>IFERROR(INDEX('Monthly VOL'!$N$2:$CG$65,MATCH($D59,'Monthly VOL'!$D$2:$D$65,0),MATCH(BU$1,'Monthly VOL'!$N$1:$CG$1,0))/INDEX('Monthly CUST'!$N$2:$CG$65,MATCH($D59,'Monthly CUST'!$D$2:$D$65,0),MATCH(BU$1,'Monthly CUST'!$N$1:$CG$1,0)),0)</f>
        <v>22313.255263157895</v>
      </c>
      <c r="BV59" s="56">
        <f>IFERROR(INDEX('Monthly VOL'!$N$2:$CG$65,MATCH($D59,'Monthly VOL'!$D$2:$D$65,0),MATCH(BV$1,'Monthly VOL'!$N$1:$CG$1,0))/INDEX('Monthly CUST'!$N$2:$CG$65,MATCH($D59,'Monthly CUST'!$D$2:$D$65,0),MATCH(BV$1,'Monthly CUST'!$N$1:$CG$1,0)),0)</f>
        <v>27762.452105263157</v>
      </c>
      <c r="BW59" s="56">
        <f>IFERROR(INDEX('Monthly VOL'!$N$2:$CG$65,MATCH($D59,'Monthly VOL'!$D$2:$D$65,0),MATCH(BW$1,'Monthly VOL'!$N$1:$CG$1,0))/INDEX('Monthly CUST'!$N$2:$CG$65,MATCH($D59,'Monthly CUST'!$D$2:$D$65,0),MATCH(BW$1,'Monthly CUST'!$N$1:$CG$1,0)),0)</f>
        <v>25896.32</v>
      </c>
      <c r="BX59" s="56">
        <f>IFERROR(INDEX('Monthly VOL'!$N$2:$CG$65,MATCH($D59,'Monthly VOL'!$D$2:$D$65,0),MATCH(BX$1,'Monthly VOL'!$N$1:$CG$1,0))/INDEX('Monthly CUST'!$N$2:$CG$65,MATCH($D59,'Monthly CUST'!$D$2:$D$65,0),MATCH(BX$1,'Monthly CUST'!$N$1:$CG$1,0)),0)</f>
        <v>27180.302631578947</v>
      </c>
      <c r="BY59" s="56">
        <f>IFERROR(INDEX('Monthly VOL'!$N$2:$CG$65,MATCH($D59,'Monthly VOL'!$D$2:$D$65,0),MATCH(BY$1,'Monthly VOL'!$N$1:$CG$1,0))/INDEX('Monthly CUST'!$N$2:$CG$65,MATCH($D59,'Monthly CUST'!$D$2:$D$65,0),MATCH(BY$1,'Monthly CUST'!$N$1:$CG$1,0)),0)</f>
        <v>24681.71</v>
      </c>
      <c r="BZ59" s="56">
        <f>IFERROR(INDEX('Monthly VOL'!$N$2:$CG$65,MATCH($D59,'Monthly VOL'!$D$2:$D$65,0),MATCH(BZ$1,'Monthly VOL'!$N$1:$CG$1,0))/INDEX('Monthly CUST'!$N$2:$CG$65,MATCH($D59,'Monthly CUST'!$D$2:$D$65,0),MATCH(BZ$1,'Monthly CUST'!$N$1:$CG$1,0)),0)</f>
        <v>24565.172631578949</v>
      </c>
      <c r="CA59" s="56">
        <f>IFERROR(INDEX('Monthly VOL'!$N$2:$CG$65,MATCH($D59,'Monthly VOL'!$D$2:$D$65,0),MATCH(CA$1,'Monthly VOL'!$N$1:$CG$1,0))/INDEX('Monthly CUST'!$N$2:$CG$65,MATCH($D59,'Monthly CUST'!$D$2:$D$65,0),MATCH(CA$1,'Monthly CUST'!$N$1:$CG$1,0)),0)</f>
        <v>22701.048947368421</v>
      </c>
      <c r="CB59" s="56">
        <f>IFERROR(INDEX('Monthly VOL'!$N$2:$CG$65,MATCH($D59,'Monthly VOL'!$D$2:$D$65,0),MATCH(CB$1,'Monthly VOL'!$N$1:$CG$1,0))/INDEX('Monthly CUST'!$N$2:$CG$65,MATCH($D59,'Monthly CUST'!$D$2:$D$65,0),MATCH(CB$1,'Monthly CUST'!$N$1:$CG$1,0)),0)</f>
        <v>20735.633684210527</v>
      </c>
      <c r="CC59" s="56">
        <f>IFERROR(INDEX('Monthly VOL'!$N$2:$CG$65,MATCH($D59,'Monthly VOL'!$D$2:$D$65,0),MATCH(CC$1,'Monthly VOL'!$N$1:$CG$1,0))/INDEX('Monthly CUST'!$N$2:$CG$65,MATCH($D59,'Monthly CUST'!$D$2:$D$65,0),MATCH(CC$1,'Monthly CUST'!$N$1:$CG$1,0)),0)</f>
        <v>19710.657368421053</v>
      </c>
      <c r="CD59" s="56">
        <f>IFERROR(INDEX('Monthly VOL'!$N$2:$CG$65,MATCH($D59,'Monthly VOL'!$D$2:$D$65,0),MATCH(CD$1,'Monthly VOL'!$N$1:$CG$1,0))/INDEX('Monthly CUST'!$N$2:$CG$65,MATCH($D59,'Monthly CUST'!$D$2:$D$65,0),MATCH(CD$1,'Monthly CUST'!$N$1:$CG$1,0)),0)</f>
        <v>19061.865263157895</v>
      </c>
      <c r="CE59" s="56">
        <f>IFERROR(INDEX('Monthly VOL'!$N$2:$CG$65,MATCH($D59,'Monthly VOL'!$D$2:$D$65,0),MATCH(CE$1,'Monthly VOL'!$N$1:$CG$1,0))/INDEX('Monthly CUST'!$N$2:$CG$65,MATCH($D59,'Monthly CUST'!$D$2:$D$65,0),MATCH(CE$1,'Monthly CUST'!$N$1:$CG$1,0)),0)</f>
        <v>24020.908421052631</v>
      </c>
      <c r="CF59" s="56">
        <f>IFERROR(INDEX('Monthly VOL'!$N$2:$CG$65,MATCH($D59,'Monthly VOL'!$D$2:$D$65,0),MATCH(CF$1,'Monthly VOL'!$N$1:$CG$1,0))/INDEX('Monthly CUST'!$N$2:$CG$65,MATCH($D59,'Monthly CUST'!$D$2:$D$65,0),MATCH(CF$1,'Monthly CUST'!$N$1:$CG$1,0)),0)</f>
        <v>28480.542631578945</v>
      </c>
      <c r="CG59" s="56">
        <f>IFERROR(INDEX('Monthly VOL'!$N$2:$CG$65,MATCH($D59,'Monthly VOL'!$D$2:$D$65,0),MATCH(CG$1,'Monthly VOL'!$N$1:$CG$1,0))/INDEX('Monthly CUST'!$N$2:$CG$65,MATCH($D59,'Monthly CUST'!$D$2:$D$65,0),MATCH(CG$1,'Monthly CUST'!$N$1:$CG$1,0)),0)</f>
        <v>24576.877894736841</v>
      </c>
      <c r="CH59" s="264"/>
      <c r="CI59" s="264"/>
      <c r="CJ59" s="264"/>
      <c r="CM59" s="569">
        <f t="shared" si="24"/>
        <v>29849.091124871</v>
      </c>
      <c r="CN59" s="569">
        <f t="shared" si="25"/>
        <v>27243.811740196077</v>
      </c>
      <c r="CO59" s="569">
        <f t="shared" si="26"/>
        <v>28189.559999999998</v>
      </c>
      <c r="CP59" s="569">
        <f t="shared" si="27"/>
        <v>22512.269607843136</v>
      </c>
      <c r="CQ59" s="569">
        <f t="shared" si="28"/>
        <v>22287.763137254904</v>
      </c>
      <c r="CR59" s="569">
        <f t="shared" si="29"/>
        <v>22423.852745098036</v>
      </c>
      <c r="CS59" s="569">
        <f t="shared" si="30"/>
        <v>21382.314189886481</v>
      </c>
      <c r="CT59" s="569">
        <f t="shared" si="31"/>
        <v>21749.297418300655</v>
      </c>
      <c r="CU59" s="569">
        <f t="shared" si="32"/>
        <v>20938.836470588238</v>
      </c>
      <c r="CV59" s="569">
        <f t="shared" si="33"/>
        <v>24905.791372549018</v>
      </c>
      <c r="CW59" s="569">
        <f t="shared" si="34"/>
        <v>27420.097291666665</v>
      </c>
      <c r="CX59" s="569">
        <f t="shared" si="35"/>
        <v>26956.049782135076</v>
      </c>
      <c r="CY59" s="569">
        <f t="shared" si="36"/>
        <v>29849.091124871</v>
      </c>
      <c r="CZ59" s="569">
        <f t="shared" si="37"/>
        <v>27243.811740196077</v>
      </c>
      <c r="DA59" s="569">
        <f t="shared" si="38"/>
        <v>28189.559999999998</v>
      </c>
      <c r="DB59" s="569">
        <f t="shared" si="39"/>
        <v>22512.269607843136</v>
      </c>
      <c r="DC59" s="569">
        <f t="shared" si="40"/>
        <v>22287.763137254904</v>
      </c>
      <c r="DD59" s="569">
        <f t="shared" si="41"/>
        <v>22423.852745098036</v>
      </c>
      <c r="DE59" s="569">
        <f t="shared" si="42"/>
        <v>21382.314189886481</v>
      </c>
      <c r="DF59" s="569">
        <f t="shared" si="43"/>
        <v>21749.297418300655</v>
      </c>
      <c r="DG59" s="569">
        <f t="shared" si="44"/>
        <v>20938.836470588238</v>
      </c>
      <c r="DH59" s="569">
        <f t="shared" si="45"/>
        <v>24905.791372549018</v>
      </c>
      <c r="DI59" s="569">
        <f t="shared" si="46"/>
        <v>27420.097291666665</v>
      </c>
      <c r="DJ59" s="569">
        <f t="shared" si="47"/>
        <v>26956.049782135076</v>
      </c>
    </row>
    <row r="60" spans="1:114" s="261" customFormat="1">
      <c r="A60" s="55" t="s">
        <v>17</v>
      </c>
      <c r="B60" s="55" t="s">
        <v>993</v>
      </c>
      <c r="C60" s="55" t="s">
        <v>1245</v>
      </c>
      <c r="D60" s="55" t="s">
        <v>75</v>
      </c>
      <c r="E60" s="55" t="str">
        <f>VLOOKUP(D60,'Input 14_Ref Table'!C:D,2,FALSE)</f>
        <v>CC905</v>
      </c>
      <c r="F60" s="172" t="s">
        <v>1286</v>
      </c>
      <c r="G60" s="55" t="str">
        <f>VLOOKUP(D60,'Input 14_Ref Table'!C:I,7,FALSE)</f>
        <v>CFG - FTS-9</v>
      </c>
      <c r="H60" s="55" t="str">
        <f>VLOOKUP(D60,'Input 14_Ref Table'!C:K,8,FALSE)</f>
        <v>Base Period</v>
      </c>
      <c r="I60" s="55" t="e">
        <f>INDEX(#REF!,MATCH(D60,#REF!,0))</f>
        <v>#REF!</v>
      </c>
      <c r="J60" s="261" t="str">
        <f>INDEX('Master '!$AD$2:AD$65,MATCH(D60,'Master '!$D$2:$D$65,0))</f>
        <v>Base Period</v>
      </c>
      <c r="K60" s="567">
        <f>INDEX('Master '!$N$2:N$65,MATCH(D60,'Master '!$D$2:$D$65,0))</f>
        <v>0</v>
      </c>
      <c r="L60" s="290">
        <f>INDEX('Master '!$S$2:S$65,MATCH(D60,'Master '!$D$2:$D$65,0))</f>
        <v>0</v>
      </c>
      <c r="M60" s="1">
        <f>INDEX('Master '!$W$2:W$65,MATCH(D60,'Master '!$D$2:$D$65,0))</f>
        <v>522822.03811764705</v>
      </c>
      <c r="N60" s="56">
        <f>IFERROR(INDEX('Monthly VOL'!$N$2:$CG$65,MATCH($D60,'Monthly VOL'!$D$2:$D$65,0),MATCH(N$1,'Monthly VOL'!$N$1:$CG$1,0))/INDEX('Monthly CUST'!$N$2:$CG$65,MATCH($D60,'Monthly CUST'!$D$2:$D$65,0),MATCH(N$1,'Monthly CUST'!$N$1:$CG$1,0)),0)</f>
        <v>54409.305</v>
      </c>
      <c r="O60" s="56">
        <f>IFERROR(INDEX('Monthly VOL'!$N$2:$CG$65,MATCH($D60,'Monthly VOL'!$D$2:$D$65,0),MATCH(O$1,'Monthly VOL'!$N$1:$CG$1,0))/INDEX('Monthly CUST'!$N$2:$CG$65,MATCH($D60,'Monthly CUST'!$D$2:$D$65,0),MATCH(O$1,'Monthly CUST'!$N$1:$CG$1,0)),0)</f>
        <v>49523.764999999999</v>
      </c>
      <c r="P60" s="56">
        <f>IFERROR(INDEX('Monthly VOL'!$N$2:$CG$65,MATCH($D60,'Monthly VOL'!$D$2:$D$65,0),MATCH(P$1,'Monthly VOL'!$N$1:$CG$1,0))/INDEX('Monthly CUST'!$N$2:$CG$65,MATCH($D60,'Monthly CUST'!$D$2:$D$65,0),MATCH(P$1,'Monthly CUST'!$N$1:$CG$1,0)),0)</f>
        <v>48538.383750000001</v>
      </c>
      <c r="Q60" s="56">
        <f>IFERROR(INDEX('Monthly VOL'!$N$2:$CG$65,MATCH($D60,'Monthly VOL'!$D$2:$D$65,0),MATCH(Q$1,'Monthly VOL'!$N$1:$CG$1,0))/INDEX('Monthly CUST'!$N$2:$CG$65,MATCH($D60,'Monthly CUST'!$D$2:$D$65,0),MATCH(Q$1,'Monthly CUST'!$N$1:$CG$1,0)),0)</f>
        <v>47312.678571428572</v>
      </c>
      <c r="R60" s="56">
        <f>IFERROR(INDEX('Monthly VOL'!$N$2:$CG$65,MATCH($D60,'Monthly VOL'!$D$2:$D$65,0),MATCH(R$1,'Monthly VOL'!$N$1:$CG$1,0))/INDEX('Monthly CUST'!$N$2:$CG$65,MATCH($D60,'Monthly CUST'!$D$2:$D$65,0),MATCH(R$1,'Monthly CUST'!$N$1:$CG$1,0)),0)</f>
        <v>47457.51142857143</v>
      </c>
      <c r="S60" s="56">
        <f>IFERROR(INDEX('Monthly VOL'!$N$2:$CG$65,MATCH($D60,'Monthly VOL'!$D$2:$D$65,0),MATCH(S$1,'Monthly VOL'!$N$1:$CG$1,0))/INDEX('Monthly CUST'!$N$2:$CG$65,MATCH($D60,'Monthly CUST'!$D$2:$D$65,0),MATCH(S$1,'Monthly CUST'!$N$1:$CG$1,0)),0)</f>
        <v>45346.595714285715</v>
      </c>
      <c r="T60" s="56">
        <f>IFERROR(INDEX('Monthly VOL'!$N$2:$CG$65,MATCH($D60,'Monthly VOL'!$D$2:$D$65,0),MATCH(T$1,'Monthly VOL'!$N$1:$CG$1,0))/INDEX('Monthly CUST'!$N$2:$CG$65,MATCH($D60,'Monthly CUST'!$D$2:$D$65,0),MATCH(T$1,'Monthly CUST'!$N$1:$CG$1,0)),0)</f>
        <v>46178.334285714292</v>
      </c>
      <c r="U60" s="56">
        <f>IFERROR(INDEX('Monthly VOL'!$N$2:$CG$65,MATCH($D60,'Monthly VOL'!$D$2:$D$65,0),MATCH(U$1,'Monthly VOL'!$N$1:$CG$1,0))/INDEX('Monthly CUST'!$N$2:$CG$65,MATCH($D60,'Monthly CUST'!$D$2:$D$65,0),MATCH(U$1,'Monthly CUST'!$N$1:$CG$1,0)),0)</f>
        <v>45589.48857142857</v>
      </c>
      <c r="V60" s="56">
        <f>IFERROR(INDEX('Monthly VOL'!$N$2:$CG$65,MATCH($D60,'Monthly VOL'!$D$2:$D$65,0),MATCH(V$1,'Monthly VOL'!$N$1:$CG$1,0))/INDEX('Monthly CUST'!$N$2:$CG$65,MATCH($D60,'Monthly CUST'!$D$2:$D$65,0),MATCH(V$1,'Monthly CUST'!$N$1:$CG$1,0)),0)</f>
        <v>43122.615714285712</v>
      </c>
      <c r="W60" s="56">
        <f>IFERROR(INDEX('Monthly VOL'!$N$2:$CG$65,MATCH($D60,'Monthly VOL'!$D$2:$D$65,0),MATCH(W$1,'Monthly VOL'!$N$1:$CG$1,0))/INDEX('Monthly CUST'!$N$2:$CG$65,MATCH($D60,'Monthly CUST'!$D$2:$D$65,0),MATCH(W$1,'Monthly CUST'!$N$1:$CG$1,0)),0)</f>
        <v>46022.771428571432</v>
      </c>
      <c r="X60" s="56">
        <f>IFERROR(INDEX('Monthly VOL'!$N$2:$CG$65,MATCH($D60,'Monthly VOL'!$D$2:$D$65,0),MATCH(X$1,'Monthly VOL'!$N$1:$CG$1,0))/INDEX('Monthly CUST'!$N$2:$CG$65,MATCH($D60,'Monthly CUST'!$D$2:$D$65,0),MATCH(X$1,'Monthly CUST'!$N$1:$CG$1,0)),0)</f>
        <v>43121.602857142854</v>
      </c>
      <c r="Y60" s="56">
        <f>IFERROR(INDEX('Monthly VOL'!$N$2:$CG$65,MATCH($D60,'Monthly VOL'!$D$2:$D$65,0),MATCH(Y$1,'Monthly VOL'!$N$1:$CG$1,0))/INDEX('Monthly CUST'!$N$2:$CG$65,MATCH($D60,'Monthly CUST'!$D$2:$D$65,0),MATCH(Y$1,'Monthly CUST'!$N$1:$CG$1,0)),0)</f>
        <v>46360.748571428572</v>
      </c>
      <c r="Z60" s="56">
        <f>IFERROR(INDEX('Monthly VOL'!$N$2:$CG$65,MATCH($D60,'Monthly VOL'!$D$2:$D$65,0),MATCH(Z$1,'Monthly VOL'!$N$1:$CG$1,0))/INDEX('Monthly CUST'!$N$2:$CG$65,MATCH($D60,'Monthly CUST'!$D$2:$D$65,0),MATCH(Z$1,'Monthly CUST'!$N$1:$CG$1,0)),0)</f>
        <v>51574.6</v>
      </c>
      <c r="AA60" s="56">
        <f>IFERROR(INDEX('Monthly VOL'!$N$2:$CG$65,MATCH($D60,'Monthly VOL'!$D$2:$D$65,0),MATCH(AA$1,'Monthly VOL'!$N$1:$CG$1,0))/INDEX('Monthly CUST'!$N$2:$CG$65,MATCH($D60,'Monthly CUST'!$D$2:$D$65,0),MATCH(AA$1,'Monthly CUST'!$N$1:$CG$1,0)),0)</f>
        <v>45411.44</v>
      </c>
      <c r="AB60" s="56">
        <f>IFERROR(INDEX('Monthly VOL'!$N$2:$CG$65,MATCH($D60,'Monthly VOL'!$D$2:$D$65,0),MATCH(AB$1,'Monthly VOL'!$N$1:$CG$1,0))/INDEX('Monthly CUST'!$N$2:$CG$65,MATCH($D60,'Monthly CUST'!$D$2:$D$65,0),MATCH(AB$1,'Monthly CUST'!$N$1:$CG$1,0)),0)</f>
        <v>46233.201428571425</v>
      </c>
      <c r="AC60" s="56">
        <f>IFERROR(INDEX('Monthly VOL'!$N$2:$CG$65,MATCH($D60,'Monthly VOL'!$D$2:$D$65,0),MATCH(AC$1,'Monthly VOL'!$N$1:$CG$1,0))/INDEX('Monthly CUST'!$N$2:$CG$65,MATCH($D60,'Monthly CUST'!$D$2:$D$65,0),MATCH(AC$1,'Monthly CUST'!$N$1:$CG$1,0)),0)</f>
        <v>46190.181428571428</v>
      </c>
      <c r="AD60" s="56">
        <f>IFERROR(INDEX('Monthly VOL'!$N$2:$CG$65,MATCH($D60,'Monthly VOL'!$D$2:$D$65,0),MATCH(AD$1,'Monthly VOL'!$N$1:$CG$1,0))/INDEX('Monthly CUST'!$N$2:$CG$65,MATCH($D60,'Monthly CUST'!$D$2:$D$65,0),MATCH(AD$1,'Monthly CUST'!$N$1:$CG$1,0)),0)</f>
        <v>44889.615714285712</v>
      </c>
      <c r="AE60" s="56">
        <f>IFERROR(INDEX('Monthly VOL'!$N$2:$CG$65,MATCH($D60,'Monthly VOL'!$D$2:$D$65,0),MATCH(AE$1,'Monthly VOL'!$N$1:$CG$1,0))/INDEX('Monthly CUST'!$N$2:$CG$65,MATCH($D60,'Monthly CUST'!$D$2:$D$65,0),MATCH(AE$1,'Monthly CUST'!$N$1:$CG$1,0)),0)</f>
        <v>43205.587142857141</v>
      </c>
      <c r="AF60" s="56">
        <f>IFERROR(INDEX('Monthly VOL'!$N$2:$CG$65,MATCH($D60,'Monthly VOL'!$D$2:$D$65,0),MATCH(AF$1,'Monthly VOL'!$N$1:$CG$1,0))/INDEX('Monthly CUST'!$N$2:$CG$65,MATCH($D60,'Monthly CUST'!$D$2:$D$65,0),MATCH(AF$1,'Monthly CUST'!$N$1:$CG$1,0)),0)</f>
        <v>43259.128571428577</v>
      </c>
      <c r="AG60" s="56">
        <f>IFERROR(INDEX('Monthly VOL'!$N$2:$CG$65,MATCH($D60,'Monthly VOL'!$D$2:$D$65,0),MATCH(AG$1,'Monthly VOL'!$N$1:$CG$1,0))/INDEX('Monthly CUST'!$N$2:$CG$65,MATCH($D60,'Monthly CUST'!$D$2:$D$65,0),MATCH(AG$1,'Monthly CUST'!$N$1:$CG$1,0)),0)</f>
        <v>50882.598333333335</v>
      </c>
      <c r="AH60" s="56">
        <f>IFERROR(INDEX('Monthly VOL'!$N$2:$CG$65,MATCH($D60,'Monthly VOL'!$D$2:$D$65,0),MATCH(AH$1,'Monthly VOL'!$N$1:$CG$1,0))/INDEX('Monthly CUST'!$N$2:$CG$65,MATCH($D60,'Monthly CUST'!$D$2:$D$65,0),MATCH(AH$1,'Monthly CUST'!$N$1:$CG$1,0)),0)</f>
        <v>48370.29</v>
      </c>
      <c r="AI60" s="56">
        <f>IFERROR(INDEX('Monthly VOL'!$N$2:$CG$65,MATCH($D60,'Monthly VOL'!$D$2:$D$65,0),MATCH(AI$1,'Monthly VOL'!$N$1:$CG$1,0))/INDEX('Monthly CUST'!$N$2:$CG$65,MATCH($D60,'Monthly CUST'!$D$2:$D$65,0),MATCH(AI$1,'Monthly CUST'!$N$1:$CG$1,0)),0)</f>
        <v>53777.453333333331</v>
      </c>
      <c r="AJ60" s="56">
        <f>IFERROR(INDEX('Monthly VOL'!$N$2:$CG$65,MATCH($D60,'Monthly VOL'!$D$2:$D$65,0),MATCH(AJ$1,'Monthly VOL'!$N$1:$CG$1,0))/INDEX('Monthly CUST'!$N$2:$CG$65,MATCH($D60,'Monthly CUST'!$D$2:$D$65,0),MATCH(AJ$1,'Monthly CUST'!$N$1:$CG$1,0)),0)</f>
        <v>49481.758333333331</v>
      </c>
      <c r="AK60" s="56">
        <f>IFERROR(INDEX('Monthly VOL'!$N$2:$CG$65,MATCH($D60,'Monthly VOL'!$D$2:$D$65,0),MATCH(AK$1,'Monthly VOL'!$N$1:$CG$1,0))/INDEX('Monthly CUST'!$N$2:$CG$65,MATCH($D60,'Monthly CUST'!$D$2:$D$65,0),MATCH(AK$1,'Monthly CUST'!$N$1:$CG$1,0)),0)</f>
        <v>50800.994999999995</v>
      </c>
      <c r="AL60" s="56">
        <f>IFERROR(INDEX('Monthly VOL'!$N$2:$CG$65,MATCH($D60,'Monthly VOL'!$D$2:$D$65,0),MATCH(AL$1,'Monthly VOL'!$N$1:$CG$1,0))/INDEX('Monthly CUST'!$N$2:$CG$65,MATCH($D60,'Monthly CUST'!$D$2:$D$65,0),MATCH(AL$1,'Monthly CUST'!$N$1:$CG$1,0)),0)</f>
        <v>53092.584999999999</v>
      </c>
      <c r="AM60" s="56">
        <f>IFERROR(INDEX('Monthly VOL'!$N$2:$CG$65,MATCH($D60,'Monthly VOL'!$D$2:$D$65,0),MATCH(AM$1,'Monthly VOL'!$N$1:$CG$1,0))/INDEX('Monthly CUST'!$N$2:$CG$65,MATCH($D60,'Monthly CUST'!$D$2:$D$65,0),MATCH(AM$1,'Monthly CUST'!$N$1:$CG$1,0)),0)</f>
        <v>51913.515000000007</v>
      </c>
      <c r="AN60" s="56">
        <f>IFERROR(INDEX('Monthly VOL'!$N$2:$CG$65,MATCH($D60,'Monthly VOL'!$D$2:$D$65,0),MATCH(AN$1,'Monthly VOL'!$N$1:$CG$1,0))/INDEX('Monthly CUST'!$N$2:$CG$65,MATCH($D60,'Monthly CUST'!$D$2:$D$65,0),MATCH(AN$1,'Monthly CUST'!$N$1:$CG$1,0)),0)</f>
        <v>51939.118333333339</v>
      </c>
      <c r="AO60" s="56">
        <f>IFERROR(INDEX('Monthly VOL'!$N$2:$CG$65,MATCH($D60,'Monthly VOL'!$D$2:$D$65,0),MATCH(AO$1,'Monthly VOL'!$N$1:$CG$1,0))/INDEX('Monthly CUST'!$N$2:$CG$65,MATCH($D60,'Monthly CUST'!$D$2:$D$65,0),MATCH(AO$1,'Monthly CUST'!$N$1:$CG$1,0)),0)</f>
        <v>41205.794999999998</v>
      </c>
      <c r="AP60" s="56">
        <f>IFERROR(INDEX('Monthly VOL'!$N$2:$CG$65,MATCH($D60,'Monthly VOL'!$D$2:$D$65,0),MATCH(AP$1,'Monthly VOL'!$N$1:$CG$1,0))/INDEX('Monthly CUST'!$N$2:$CG$65,MATCH($D60,'Monthly CUST'!$D$2:$D$65,0),MATCH(AP$1,'Monthly CUST'!$N$1:$CG$1,0)),0)</f>
        <v>43459.534999999996</v>
      </c>
      <c r="AQ60" s="56">
        <f>IFERROR(INDEX('Monthly VOL'!$N$2:$CG$65,MATCH($D60,'Monthly VOL'!$D$2:$D$65,0),MATCH(AQ$1,'Monthly VOL'!$N$1:$CG$1,0))/INDEX('Monthly CUST'!$N$2:$CG$65,MATCH($D60,'Monthly CUST'!$D$2:$D$65,0),MATCH(AQ$1,'Monthly CUST'!$N$1:$CG$1,0)),0)</f>
        <v>43122.456666666665</v>
      </c>
      <c r="AR60" s="56">
        <f>IFERROR(INDEX('Monthly VOL'!$N$2:$CG$65,MATCH($D60,'Monthly VOL'!$D$2:$D$65,0),MATCH(AR$1,'Monthly VOL'!$N$1:$CG$1,0))/INDEX('Monthly CUST'!$N$2:$CG$65,MATCH($D60,'Monthly CUST'!$D$2:$D$65,0),MATCH(AR$1,'Monthly CUST'!$N$1:$CG$1,0)),0)</f>
        <v>46828.343333333331</v>
      </c>
      <c r="AS60" s="56">
        <f>IFERROR(INDEX('Monthly VOL'!$N$2:$CG$65,MATCH($D60,'Monthly VOL'!$D$2:$D$65,0),MATCH(AS$1,'Monthly VOL'!$N$1:$CG$1,0))/INDEX('Monthly CUST'!$N$2:$CG$65,MATCH($D60,'Monthly CUST'!$D$2:$D$65,0),MATCH(AS$1,'Monthly CUST'!$N$1:$CG$1,0)),0)</f>
        <v>44492.013333333336</v>
      </c>
      <c r="AT60" s="56">
        <f>IFERROR(INDEX('Monthly VOL'!$N$2:$CG$65,MATCH($D60,'Monthly VOL'!$D$2:$D$65,0),MATCH(AT$1,'Monthly VOL'!$N$1:$CG$1,0))/INDEX('Monthly CUST'!$N$2:$CG$65,MATCH($D60,'Monthly CUST'!$D$2:$D$65,0),MATCH(AT$1,'Monthly CUST'!$N$1:$CG$1,0)),0)</f>
        <v>44172.005000000005</v>
      </c>
      <c r="AU60" s="56">
        <f>IFERROR(INDEX('Monthly VOL'!$N$2:$CG$65,MATCH($D60,'Monthly VOL'!$D$2:$D$65,0),MATCH(AU$1,'Monthly VOL'!$N$1:$CG$1,0))/INDEX('Monthly CUST'!$N$2:$CG$65,MATCH($D60,'Monthly CUST'!$D$2:$D$65,0),MATCH(AU$1,'Monthly CUST'!$N$1:$CG$1,0)),0)</f>
        <v>44862.853333333333</v>
      </c>
      <c r="AV60" s="56">
        <f>IFERROR(INDEX('Monthly VOL'!$N$2:$CG$65,MATCH($D60,'Monthly VOL'!$D$2:$D$65,0),MATCH(AV$1,'Monthly VOL'!$N$1:$CG$1,0))/INDEX('Monthly CUST'!$N$2:$CG$65,MATCH($D60,'Monthly CUST'!$D$2:$D$65,0),MATCH(AV$1,'Monthly CUST'!$N$1:$CG$1,0)),0)</f>
        <v>39262.934285714284</v>
      </c>
      <c r="AW60" s="56">
        <f>IFERROR(INDEX('Monthly VOL'!$N$2:$CG$65,MATCH($D60,'Monthly VOL'!$D$2:$D$65,0),MATCH(AW$1,'Monthly VOL'!$N$1:$CG$1,0))/INDEX('Monthly CUST'!$N$2:$CG$65,MATCH($D60,'Monthly CUST'!$D$2:$D$65,0),MATCH(AW$1,'Monthly CUST'!$N$1:$CG$1,0)),0)</f>
        <v>51066.591666666667</v>
      </c>
      <c r="AX60" s="56">
        <f>IFERROR(INDEX('Monthly VOL'!$N$2:$CG$65,MATCH($D60,'Monthly VOL'!$D$2:$D$65,0),MATCH(AX$1,'Monthly VOL'!$N$1:$CG$1,0))/INDEX('Monthly CUST'!$N$2:$CG$65,MATCH($D60,'Monthly CUST'!$D$2:$D$65,0),MATCH(AX$1,'Monthly CUST'!$N$1:$CG$1,0)),0)</f>
        <v>51809.841666666667</v>
      </c>
      <c r="AY60" s="56">
        <f>IFERROR(INDEX('Monthly VOL'!$N$2:$CG$65,MATCH($D60,'Monthly VOL'!$D$2:$D$65,0),MATCH(AY$1,'Monthly VOL'!$N$1:$CG$1,0))/INDEX('Monthly CUST'!$N$2:$CG$65,MATCH($D60,'Monthly CUST'!$D$2:$D$65,0),MATCH(AY$1,'Monthly CUST'!$N$1:$CG$1,0)),0)</f>
        <v>48004.22</v>
      </c>
      <c r="AZ60" s="56">
        <f>IFERROR(INDEX('Monthly VOL'!$N$2:$CG$65,MATCH($D60,'Monthly VOL'!$D$2:$D$65,0),MATCH(AZ$1,'Monthly VOL'!$N$1:$CG$1,0))/INDEX('Monthly CUST'!$N$2:$CG$65,MATCH($D60,'Monthly CUST'!$D$2:$D$65,0),MATCH(AZ$1,'Monthly CUST'!$N$1:$CG$1,0)),0)</f>
        <v>53694.386666666665</v>
      </c>
      <c r="BA60" s="56">
        <f>IFERROR(INDEX('Monthly VOL'!$N$2:$CG$65,MATCH($D60,'Monthly VOL'!$D$2:$D$65,0),MATCH(BA$1,'Monthly VOL'!$N$1:$CG$1,0))/INDEX('Monthly CUST'!$N$2:$CG$65,MATCH($D60,'Monthly CUST'!$D$2:$D$65,0),MATCH(BA$1,'Monthly CUST'!$N$1:$CG$1,0)),0)</f>
        <v>49369.388333333336</v>
      </c>
      <c r="BB60" s="56">
        <f>IFERROR(INDEX('Monthly VOL'!$N$2:$CG$65,MATCH($D60,'Monthly VOL'!$D$2:$D$65,0),MATCH(BB$1,'Monthly VOL'!$N$1:$CG$1,0))/INDEX('Monthly CUST'!$N$2:$CG$65,MATCH($D60,'Monthly CUST'!$D$2:$D$65,0),MATCH(BB$1,'Monthly CUST'!$N$1:$CG$1,0)),0)</f>
        <v>49233.445</v>
      </c>
      <c r="BC60" s="56">
        <f>IFERROR(INDEX('Monthly VOL'!$N$2:$CG$65,MATCH($D60,'Monthly VOL'!$D$2:$D$65,0),MATCH(BC$1,'Monthly VOL'!$N$1:$CG$1,0))/INDEX('Monthly CUST'!$N$2:$CG$65,MATCH($D60,'Monthly CUST'!$D$2:$D$65,0),MATCH(BC$1,'Monthly CUST'!$N$1:$CG$1,0)),0)</f>
        <v>47730.482857142859</v>
      </c>
      <c r="BD60" s="56">
        <f>IFERROR(INDEX('Monthly VOL'!$N$2:$CG$65,MATCH($D60,'Monthly VOL'!$D$2:$D$65,0),MATCH(BD$1,'Monthly VOL'!$N$1:$CG$1,0))/INDEX('Monthly CUST'!$N$2:$CG$65,MATCH($D60,'Monthly CUST'!$D$2:$D$65,0),MATCH(BD$1,'Monthly CUST'!$N$1:$CG$1,0)),0)</f>
        <v>39123.943749999999</v>
      </c>
      <c r="BE60" s="56">
        <f>IFERROR(INDEX('Monthly VOL'!$N$2:$CG$65,MATCH($D60,'Monthly VOL'!$D$2:$D$65,0),MATCH(BE$1,'Monthly VOL'!$N$1:$CG$1,0))/INDEX('Monthly CUST'!$N$2:$CG$65,MATCH($D60,'Monthly CUST'!$D$2:$D$65,0),MATCH(BE$1,'Monthly CUST'!$N$1:$CG$1,0)),0)</f>
        <v>38114.129999999997</v>
      </c>
      <c r="BF60" s="56">
        <f>IFERROR(INDEX('Monthly VOL'!$N$2:$CG$65,MATCH($D60,'Monthly VOL'!$D$2:$D$65,0),MATCH(BF$1,'Monthly VOL'!$N$1:$CG$1,0))/INDEX('Monthly CUST'!$N$2:$CG$65,MATCH($D60,'Monthly CUST'!$D$2:$D$65,0),MATCH(BF$1,'Monthly CUST'!$N$1:$CG$1,0)),0)</f>
        <v>34178.3125</v>
      </c>
      <c r="BG60" s="56">
        <f>IFERROR(INDEX('Monthly VOL'!$N$2:$CG$65,MATCH($D60,'Monthly VOL'!$D$2:$D$65,0),MATCH(BG$1,'Monthly VOL'!$N$1:$CG$1,0))/INDEX('Monthly CUST'!$N$2:$CG$65,MATCH($D60,'Monthly CUST'!$D$2:$D$65,0),MATCH(BG$1,'Monthly CUST'!$N$1:$CG$1,0)),0)</f>
        <v>38000.358749999999</v>
      </c>
      <c r="BH60" s="56">
        <f>IFERROR(INDEX('Monthly VOL'!$N$2:$CG$65,MATCH($D60,'Monthly VOL'!$D$2:$D$65,0),MATCH(BH$1,'Monthly VOL'!$N$1:$CG$1,0))/INDEX('Monthly CUST'!$N$2:$CG$65,MATCH($D60,'Monthly CUST'!$D$2:$D$65,0),MATCH(BH$1,'Monthly CUST'!$N$1:$CG$1,0)),0)</f>
        <v>40926.916250000002</v>
      </c>
      <c r="BI60" s="56">
        <f>IFERROR(INDEX('Monthly VOL'!$N$2:$CG$65,MATCH($D60,'Monthly VOL'!$D$2:$D$65,0),MATCH(BI$1,'Monthly VOL'!$N$1:$CG$1,0))/INDEX('Monthly CUST'!$N$2:$CG$65,MATCH($D60,'Monthly CUST'!$D$2:$D$65,0),MATCH(BI$1,'Monthly CUST'!$N$1:$CG$1,0)),0)</f>
        <v>41724.051249999997</v>
      </c>
      <c r="BJ60" s="56">
        <f>IFERROR(INDEX('Monthly VOL'!$N$2:$CG$65,MATCH($D60,'Monthly VOL'!$D$2:$D$65,0),MATCH(BJ$1,'Monthly VOL'!$N$1:$CG$1,0))/INDEX('Monthly CUST'!$N$2:$CG$65,MATCH($D60,'Monthly CUST'!$D$2:$D$65,0),MATCH(BJ$1,'Monthly CUST'!$N$1:$CG$1,0)),0)</f>
        <v>51809.841666666667</v>
      </c>
      <c r="BK60" s="56">
        <f>IFERROR(INDEX('Monthly VOL'!$N$2:$CG$65,MATCH($D60,'Monthly VOL'!$D$2:$D$65,0),MATCH(BK$1,'Monthly VOL'!$N$1:$CG$1,0))/INDEX('Monthly CUST'!$N$2:$CG$65,MATCH($D60,'Monthly CUST'!$D$2:$D$65,0),MATCH(BK$1,'Monthly CUST'!$N$1:$CG$1,0)),0)</f>
        <v>48004.22</v>
      </c>
      <c r="BL60" s="56">
        <f>IFERROR(INDEX('Monthly VOL'!$N$2:$CG$65,MATCH($D60,'Monthly VOL'!$D$2:$D$65,0),MATCH(BL$1,'Monthly VOL'!$N$1:$CG$1,0))/INDEX('Monthly CUST'!$N$2:$CG$65,MATCH($D60,'Monthly CUST'!$D$2:$D$65,0),MATCH(BL$1,'Monthly CUST'!$N$1:$CG$1,0)),0)</f>
        <v>53694.386666666665</v>
      </c>
      <c r="BM60" s="56">
        <f>IFERROR(INDEX('Monthly VOL'!$N$2:$CG$65,MATCH($D60,'Monthly VOL'!$D$2:$D$65,0),MATCH(BM$1,'Monthly VOL'!$N$1:$CG$1,0))/INDEX('Monthly CUST'!$N$2:$CG$65,MATCH($D60,'Monthly CUST'!$D$2:$D$65,0),MATCH(BM$1,'Monthly CUST'!$N$1:$CG$1,0)),0)</f>
        <v>49369.388333333336</v>
      </c>
      <c r="BN60" s="56">
        <f>IFERROR(INDEX('Monthly VOL'!$N$2:$CG$65,MATCH($D60,'Monthly VOL'!$D$2:$D$65,0),MATCH(BN$1,'Monthly VOL'!$N$1:$CG$1,0))/INDEX('Monthly CUST'!$N$2:$CG$65,MATCH($D60,'Monthly CUST'!$D$2:$D$65,0),MATCH(BN$1,'Monthly CUST'!$N$1:$CG$1,0)),0)</f>
        <v>49233.445</v>
      </c>
      <c r="BO60" s="56">
        <f>IFERROR(INDEX('Monthly VOL'!$N$2:$CG$65,MATCH($D60,'Monthly VOL'!$D$2:$D$65,0),MATCH(BO$1,'Monthly VOL'!$N$1:$CG$1,0))/INDEX('Monthly CUST'!$N$2:$CG$65,MATCH($D60,'Monthly CUST'!$D$2:$D$65,0),MATCH(BO$1,'Monthly CUST'!$N$1:$CG$1,0)),0)</f>
        <v>47730.482857142859</v>
      </c>
      <c r="BP60" s="56">
        <f>IFERROR(INDEX('Monthly VOL'!$N$2:$CG$65,MATCH($D60,'Monthly VOL'!$D$2:$D$65,0),MATCH(BP$1,'Monthly VOL'!$N$1:$CG$1,0))/INDEX('Monthly CUST'!$N$2:$CG$65,MATCH($D60,'Monthly CUST'!$D$2:$D$65,0),MATCH(BP$1,'Monthly CUST'!$N$1:$CG$1,0)),0)</f>
        <v>39123.943749999999</v>
      </c>
      <c r="BQ60" s="56">
        <f>IFERROR(INDEX('Monthly VOL'!$N$2:$CG$65,MATCH($D60,'Monthly VOL'!$D$2:$D$65,0),MATCH(BQ$1,'Monthly VOL'!$N$1:$CG$1,0))/INDEX('Monthly CUST'!$N$2:$CG$65,MATCH($D60,'Monthly CUST'!$D$2:$D$65,0),MATCH(BQ$1,'Monthly CUST'!$N$1:$CG$1,0)),0)</f>
        <v>38114.129999999997</v>
      </c>
      <c r="BR60" s="56">
        <f>IFERROR(INDEX('Monthly VOL'!$N$2:$CG$65,MATCH($D60,'Monthly VOL'!$D$2:$D$65,0),MATCH(BR$1,'Monthly VOL'!$N$1:$CG$1,0))/INDEX('Monthly CUST'!$N$2:$CG$65,MATCH($D60,'Monthly CUST'!$D$2:$D$65,0),MATCH(BR$1,'Monthly CUST'!$N$1:$CG$1,0)),0)</f>
        <v>34178.3125</v>
      </c>
      <c r="BS60" s="56">
        <f>IFERROR(INDEX('Monthly VOL'!$N$2:$CG$65,MATCH($D60,'Monthly VOL'!$D$2:$D$65,0),MATCH(BS$1,'Monthly VOL'!$N$1:$CG$1,0))/INDEX('Monthly CUST'!$N$2:$CG$65,MATCH($D60,'Monthly CUST'!$D$2:$D$65,0),MATCH(BS$1,'Monthly CUST'!$N$1:$CG$1,0)),0)</f>
        <v>38000.358749999999</v>
      </c>
      <c r="BT60" s="56">
        <f>IFERROR(INDEX('Monthly VOL'!$N$2:$CG$65,MATCH($D60,'Monthly VOL'!$D$2:$D$65,0),MATCH(BT$1,'Monthly VOL'!$N$1:$CG$1,0))/INDEX('Monthly CUST'!$N$2:$CG$65,MATCH($D60,'Monthly CUST'!$D$2:$D$65,0),MATCH(BT$1,'Monthly CUST'!$N$1:$CG$1,0)),0)</f>
        <v>40926.916250000002</v>
      </c>
      <c r="BU60" s="56">
        <f>IFERROR(INDEX('Monthly VOL'!$N$2:$CG$65,MATCH($D60,'Monthly VOL'!$D$2:$D$65,0),MATCH(BU$1,'Monthly VOL'!$N$1:$CG$1,0))/INDEX('Monthly CUST'!$N$2:$CG$65,MATCH($D60,'Monthly CUST'!$D$2:$D$65,0),MATCH(BU$1,'Monthly CUST'!$N$1:$CG$1,0)),0)</f>
        <v>41724.051249999997</v>
      </c>
      <c r="BV60" s="56">
        <f>IFERROR(INDEX('Monthly VOL'!$N$2:$CG$65,MATCH($D60,'Monthly VOL'!$D$2:$D$65,0),MATCH(BV$1,'Monthly VOL'!$N$1:$CG$1,0))/INDEX('Monthly CUST'!$N$2:$CG$65,MATCH($D60,'Monthly CUST'!$D$2:$D$65,0),MATCH(BV$1,'Monthly CUST'!$N$1:$CG$1,0)),0)</f>
        <v>51809.841666666667</v>
      </c>
      <c r="BW60" s="56">
        <f>IFERROR(INDEX('Monthly VOL'!$N$2:$CG$65,MATCH($D60,'Monthly VOL'!$D$2:$D$65,0),MATCH(BW$1,'Monthly VOL'!$N$1:$CG$1,0))/INDEX('Monthly CUST'!$N$2:$CG$65,MATCH($D60,'Monthly CUST'!$D$2:$D$65,0),MATCH(BW$1,'Monthly CUST'!$N$1:$CG$1,0)),0)</f>
        <v>48004.22</v>
      </c>
      <c r="BX60" s="56">
        <f>IFERROR(INDEX('Monthly VOL'!$N$2:$CG$65,MATCH($D60,'Monthly VOL'!$D$2:$D$65,0),MATCH(BX$1,'Monthly VOL'!$N$1:$CG$1,0))/INDEX('Monthly CUST'!$N$2:$CG$65,MATCH($D60,'Monthly CUST'!$D$2:$D$65,0),MATCH(BX$1,'Monthly CUST'!$N$1:$CG$1,0)),0)</f>
        <v>53694.386666666665</v>
      </c>
      <c r="BY60" s="56">
        <f>IFERROR(INDEX('Monthly VOL'!$N$2:$CG$65,MATCH($D60,'Monthly VOL'!$D$2:$D$65,0),MATCH(BY$1,'Monthly VOL'!$N$1:$CG$1,0))/INDEX('Monthly CUST'!$N$2:$CG$65,MATCH($D60,'Monthly CUST'!$D$2:$D$65,0),MATCH(BY$1,'Monthly CUST'!$N$1:$CG$1,0)),0)</f>
        <v>49369.388333333336</v>
      </c>
      <c r="BZ60" s="56">
        <f>IFERROR(INDEX('Monthly VOL'!$N$2:$CG$65,MATCH($D60,'Monthly VOL'!$D$2:$D$65,0),MATCH(BZ$1,'Monthly VOL'!$N$1:$CG$1,0))/INDEX('Monthly CUST'!$N$2:$CG$65,MATCH($D60,'Monthly CUST'!$D$2:$D$65,0),MATCH(BZ$1,'Monthly CUST'!$N$1:$CG$1,0)),0)</f>
        <v>49233.445</v>
      </c>
      <c r="CA60" s="56">
        <f>IFERROR(INDEX('Monthly VOL'!$N$2:$CG$65,MATCH($D60,'Monthly VOL'!$D$2:$D$65,0),MATCH(CA$1,'Monthly VOL'!$N$1:$CG$1,0))/INDEX('Monthly CUST'!$N$2:$CG$65,MATCH($D60,'Monthly CUST'!$D$2:$D$65,0),MATCH(CA$1,'Monthly CUST'!$N$1:$CG$1,0)),0)</f>
        <v>47730.482857142859</v>
      </c>
      <c r="CB60" s="56">
        <f>IFERROR(INDEX('Monthly VOL'!$N$2:$CG$65,MATCH($D60,'Monthly VOL'!$D$2:$D$65,0),MATCH(CB$1,'Monthly VOL'!$N$1:$CG$1,0))/INDEX('Monthly CUST'!$N$2:$CG$65,MATCH($D60,'Monthly CUST'!$D$2:$D$65,0),MATCH(CB$1,'Monthly CUST'!$N$1:$CG$1,0)),0)</f>
        <v>39123.943749999999</v>
      </c>
      <c r="CC60" s="56">
        <f>IFERROR(INDEX('Monthly VOL'!$N$2:$CG$65,MATCH($D60,'Monthly VOL'!$D$2:$D$65,0),MATCH(CC$1,'Monthly VOL'!$N$1:$CG$1,0))/INDEX('Monthly CUST'!$N$2:$CG$65,MATCH($D60,'Monthly CUST'!$D$2:$D$65,0),MATCH(CC$1,'Monthly CUST'!$N$1:$CG$1,0)),0)</f>
        <v>38114.129999999997</v>
      </c>
      <c r="CD60" s="56">
        <f>IFERROR(INDEX('Monthly VOL'!$N$2:$CG$65,MATCH($D60,'Monthly VOL'!$D$2:$D$65,0),MATCH(CD$1,'Monthly VOL'!$N$1:$CG$1,0))/INDEX('Monthly CUST'!$N$2:$CG$65,MATCH($D60,'Monthly CUST'!$D$2:$D$65,0),MATCH(CD$1,'Monthly CUST'!$N$1:$CG$1,0)),0)</f>
        <v>34178.3125</v>
      </c>
      <c r="CE60" s="56">
        <f>IFERROR(INDEX('Monthly VOL'!$N$2:$CG$65,MATCH($D60,'Monthly VOL'!$D$2:$D$65,0),MATCH(CE$1,'Monthly VOL'!$N$1:$CG$1,0))/INDEX('Monthly CUST'!$N$2:$CG$65,MATCH($D60,'Monthly CUST'!$D$2:$D$65,0),MATCH(CE$1,'Monthly CUST'!$N$1:$CG$1,0)),0)</f>
        <v>38000.358749999999</v>
      </c>
      <c r="CF60" s="56">
        <f>IFERROR(INDEX('Monthly VOL'!$N$2:$CG$65,MATCH($D60,'Monthly VOL'!$D$2:$D$65,0),MATCH(CF$1,'Monthly VOL'!$N$1:$CG$1,0))/INDEX('Monthly CUST'!$N$2:$CG$65,MATCH($D60,'Monthly CUST'!$D$2:$D$65,0),MATCH(CF$1,'Monthly CUST'!$N$1:$CG$1,0)),0)</f>
        <v>40926.916250000002</v>
      </c>
      <c r="CG60" s="56">
        <f>IFERROR(INDEX('Monthly VOL'!$N$2:$CG$65,MATCH($D60,'Monthly VOL'!$D$2:$D$65,0),MATCH(CG$1,'Monthly VOL'!$N$1:$CG$1,0))/INDEX('Monthly CUST'!$N$2:$CG$65,MATCH($D60,'Monthly CUST'!$D$2:$D$65,0),MATCH(CG$1,'Monthly CUST'!$N$1:$CG$1,0)),0)</f>
        <v>41724.051249999997</v>
      </c>
      <c r="CH60" s="264"/>
      <c r="CI60" s="264"/>
      <c r="CJ60" s="264"/>
      <c r="CM60" s="569">
        <f t="shared" si="24"/>
        <v>52159.008888888893</v>
      </c>
      <c r="CN60" s="569">
        <f t="shared" si="25"/>
        <v>48443.058333333342</v>
      </c>
      <c r="CO60" s="569">
        <f t="shared" si="26"/>
        <v>50622.235476190479</v>
      </c>
      <c r="CP60" s="569">
        <f t="shared" si="27"/>
        <v>45588.454920634918</v>
      </c>
      <c r="CQ60" s="569">
        <f t="shared" si="28"/>
        <v>45860.865238095234</v>
      </c>
      <c r="CR60" s="569">
        <f t="shared" si="29"/>
        <v>44686.175555555557</v>
      </c>
      <c r="CS60" s="569">
        <f t="shared" si="30"/>
        <v>43070.47188492064</v>
      </c>
      <c r="CT60" s="569">
        <f t="shared" si="31"/>
        <v>44496.24722222222</v>
      </c>
      <c r="CU60" s="569">
        <f t="shared" si="32"/>
        <v>42240.202500000007</v>
      </c>
      <c r="CV60" s="569">
        <f t="shared" si="33"/>
        <v>45546.888472222221</v>
      </c>
      <c r="CW60" s="569">
        <f t="shared" si="34"/>
        <v>43223.869623015875</v>
      </c>
      <c r="CX60" s="569">
        <f t="shared" si="35"/>
        <v>47863.879305555551</v>
      </c>
      <c r="CY60" s="569">
        <f t="shared" si="36"/>
        <v>52159.008888888893</v>
      </c>
      <c r="CZ60" s="569">
        <f t="shared" si="37"/>
        <v>48443.058333333342</v>
      </c>
      <c r="DA60" s="569">
        <f t="shared" si="38"/>
        <v>50622.235476190479</v>
      </c>
      <c r="DB60" s="569">
        <f t="shared" si="39"/>
        <v>45588.454920634918</v>
      </c>
      <c r="DC60" s="569">
        <f t="shared" si="40"/>
        <v>45860.865238095234</v>
      </c>
      <c r="DD60" s="569">
        <f t="shared" si="41"/>
        <v>44686.175555555557</v>
      </c>
      <c r="DE60" s="569">
        <f t="shared" si="42"/>
        <v>43070.47188492064</v>
      </c>
      <c r="DF60" s="569">
        <f t="shared" si="43"/>
        <v>44496.24722222222</v>
      </c>
      <c r="DG60" s="569">
        <f t="shared" si="44"/>
        <v>42240.202500000007</v>
      </c>
      <c r="DH60" s="569">
        <f t="shared" si="45"/>
        <v>45546.888472222221</v>
      </c>
      <c r="DI60" s="569">
        <f t="shared" si="46"/>
        <v>43223.869623015875</v>
      </c>
      <c r="DJ60" s="569">
        <f t="shared" si="47"/>
        <v>47863.879305555551</v>
      </c>
    </row>
    <row r="61" spans="1:114" s="261" customFormat="1">
      <c r="A61" s="55" t="s">
        <v>17</v>
      </c>
      <c r="B61" s="55" t="s">
        <v>993</v>
      </c>
      <c r="C61" s="55" t="s">
        <v>1245</v>
      </c>
      <c r="D61" s="55" t="s">
        <v>77</v>
      </c>
      <c r="E61" s="55" t="str">
        <f>VLOOKUP(D61,'Input 14_Ref Table'!C:D,2,FALSE)</f>
        <v>CI905</v>
      </c>
      <c r="F61" s="172" t="s">
        <v>1286</v>
      </c>
      <c r="G61" s="55" t="str">
        <f>VLOOKUP(D61,'Input 14_Ref Table'!C:I,7,FALSE)</f>
        <v>CFG - FTS-10</v>
      </c>
      <c r="H61" s="55" t="str">
        <f>VLOOKUP(D61,'Input 14_Ref Table'!C:K,8,FALSE)</f>
        <v>Base Period</v>
      </c>
      <c r="I61" s="55" t="e">
        <f>INDEX(#REF!,MATCH(D61,#REF!,0))</f>
        <v>#REF!</v>
      </c>
      <c r="J61" s="261" t="str">
        <f>INDEX('Master '!$AD$2:AD$65,MATCH(D61,'Master '!$D$2:$D$65,0))</f>
        <v>Base Period</v>
      </c>
      <c r="K61" s="567">
        <f>INDEX('Master '!$N$2:N$65,MATCH(D61,'Master '!$D$2:$D$65,0))</f>
        <v>0</v>
      </c>
      <c r="L61" s="290">
        <f>INDEX('Master '!$S$2:S$65,MATCH(D61,'Master '!$D$2:$D$65,0))</f>
        <v>0</v>
      </c>
      <c r="M61" s="1">
        <f>INDEX('Master '!$W$2:W$65,MATCH(D61,'Master '!$D$2:$D$65,0))</f>
        <v>1210296.3333333335</v>
      </c>
      <c r="N61" s="56">
        <f>IFERROR(INDEX('Monthly VOL'!$N$2:$CG$65,MATCH($D61,'Monthly VOL'!$D$2:$D$65,0),MATCH(N$1,'Monthly VOL'!$N$1:$CG$1,0))/INDEX('Monthly CUST'!$N$2:$CG$65,MATCH($D61,'Monthly CUST'!$D$2:$D$65,0),MATCH(N$1,'Monthly CUST'!$N$1:$CG$1,0)),0)</f>
        <v>74012.785000000003</v>
      </c>
      <c r="O61" s="56">
        <f>IFERROR(INDEX('Monthly VOL'!$N$2:$CG$65,MATCH($D61,'Monthly VOL'!$D$2:$D$65,0),MATCH(O$1,'Monthly VOL'!$N$1:$CG$1,0))/INDEX('Monthly CUST'!$N$2:$CG$65,MATCH($D61,'Monthly CUST'!$D$2:$D$65,0),MATCH(O$1,'Monthly CUST'!$N$1:$CG$1,0)),0)</f>
        <v>60448.97</v>
      </c>
      <c r="P61" s="56">
        <f>IFERROR(INDEX('Monthly VOL'!$N$2:$CG$65,MATCH($D61,'Monthly VOL'!$D$2:$D$65,0),MATCH(P$1,'Monthly VOL'!$N$1:$CG$1,0))/INDEX('Monthly CUST'!$N$2:$CG$65,MATCH($D61,'Monthly CUST'!$D$2:$D$65,0),MATCH(P$1,'Monthly CUST'!$N$1:$CG$1,0)),0)</f>
        <v>63324.584999999999</v>
      </c>
      <c r="Q61" s="56">
        <f>IFERROR(INDEX('Monthly VOL'!$N$2:$CG$65,MATCH($D61,'Monthly VOL'!$D$2:$D$65,0),MATCH(Q$1,'Monthly VOL'!$N$1:$CG$1,0))/INDEX('Monthly CUST'!$N$2:$CG$65,MATCH($D61,'Monthly CUST'!$D$2:$D$65,0),MATCH(Q$1,'Monthly CUST'!$N$1:$CG$1,0)),0)</f>
        <v>66534.069999999992</v>
      </c>
      <c r="R61" s="56">
        <f>IFERROR(INDEX('Monthly VOL'!$N$2:$CG$65,MATCH($D61,'Monthly VOL'!$D$2:$D$65,0),MATCH(R$1,'Monthly VOL'!$N$1:$CG$1,0))/INDEX('Monthly CUST'!$N$2:$CG$65,MATCH($D61,'Monthly CUST'!$D$2:$D$65,0),MATCH(R$1,'Monthly CUST'!$N$1:$CG$1,0)),0)</f>
        <v>67636.259999999995</v>
      </c>
      <c r="S61" s="56">
        <f>IFERROR(INDEX('Monthly VOL'!$N$2:$CG$65,MATCH($D61,'Monthly VOL'!$D$2:$D$65,0),MATCH(S$1,'Monthly VOL'!$N$1:$CG$1,0))/INDEX('Monthly CUST'!$N$2:$CG$65,MATCH($D61,'Monthly CUST'!$D$2:$D$65,0),MATCH(S$1,'Monthly CUST'!$N$1:$CG$1,0)),0)</f>
        <v>61804.579999999994</v>
      </c>
      <c r="T61" s="56">
        <f>IFERROR(INDEX('Monthly VOL'!$N$2:$CG$65,MATCH($D61,'Monthly VOL'!$D$2:$D$65,0),MATCH(T$1,'Monthly VOL'!$N$1:$CG$1,0))/INDEX('Monthly CUST'!$N$2:$CG$65,MATCH($D61,'Monthly CUST'!$D$2:$D$65,0),MATCH(T$1,'Monthly CUST'!$N$1:$CG$1,0)),0)</f>
        <v>57593.276666666665</v>
      </c>
      <c r="U61" s="56">
        <f>IFERROR(INDEX('Monthly VOL'!$N$2:$CG$65,MATCH($D61,'Monthly VOL'!$D$2:$D$65,0),MATCH(U$1,'Monthly VOL'!$N$1:$CG$1,0))/INDEX('Monthly CUST'!$N$2:$CG$65,MATCH($D61,'Monthly CUST'!$D$2:$D$65,0),MATCH(U$1,'Monthly CUST'!$N$1:$CG$1,0)),0)</f>
        <v>65915.386666666673</v>
      </c>
      <c r="V61" s="56">
        <f>IFERROR(INDEX('Monthly VOL'!$N$2:$CG$65,MATCH($D61,'Monthly VOL'!$D$2:$D$65,0),MATCH(V$1,'Monthly VOL'!$N$1:$CG$1,0))/INDEX('Monthly CUST'!$N$2:$CG$65,MATCH($D61,'Monthly CUST'!$D$2:$D$65,0),MATCH(V$1,'Monthly CUST'!$N$1:$CG$1,0)),0)</f>
        <v>69315.773333333331</v>
      </c>
      <c r="W61" s="56">
        <f>IFERROR(INDEX('Monthly VOL'!$N$2:$CG$65,MATCH($D61,'Monthly VOL'!$D$2:$D$65,0),MATCH(W$1,'Monthly VOL'!$N$1:$CG$1,0))/INDEX('Monthly CUST'!$N$2:$CG$65,MATCH($D61,'Monthly CUST'!$D$2:$D$65,0),MATCH(W$1,'Monthly CUST'!$N$1:$CG$1,0)),0)</f>
        <v>75337.136666666673</v>
      </c>
      <c r="X61" s="56">
        <f>IFERROR(INDEX('Monthly VOL'!$N$2:$CG$65,MATCH($D61,'Monthly VOL'!$D$2:$D$65,0),MATCH(X$1,'Monthly VOL'!$N$1:$CG$1,0))/INDEX('Monthly CUST'!$N$2:$CG$65,MATCH($D61,'Monthly CUST'!$D$2:$D$65,0),MATCH(X$1,'Monthly CUST'!$N$1:$CG$1,0)),0)</f>
        <v>69724.3</v>
      </c>
      <c r="Y61" s="56">
        <f>IFERROR(INDEX('Monthly VOL'!$N$2:$CG$65,MATCH($D61,'Monthly VOL'!$D$2:$D$65,0),MATCH(Y$1,'Monthly VOL'!$N$1:$CG$1,0))/INDEX('Monthly CUST'!$N$2:$CG$65,MATCH($D61,'Monthly CUST'!$D$2:$D$65,0),MATCH(Y$1,'Monthly CUST'!$N$1:$CG$1,0)),0)</f>
        <v>67539.8</v>
      </c>
      <c r="Z61" s="56">
        <f>IFERROR(INDEX('Monthly VOL'!$N$2:$CG$65,MATCH($D61,'Monthly VOL'!$D$2:$D$65,0),MATCH(Z$1,'Monthly VOL'!$N$1:$CG$1,0))/INDEX('Monthly CUST'!$N$2:$CG$65,MATCH($D61,'Monthly CUST'!$D$2:$D$65,0),MATCH(Z$1,'Monthly CUST'!$N$1:$CG$1,0)),0)</f>
        <v>79867.31</v>
      </c>
      <c r="AA61" s="56">
        <f>IFERROR(INDEX('Monthly VOL'!$N$2:$CG$65,MATCH($D61,'Monthly VOL'!$D$2:$D$65,0),MATCH(AA$1,'Monthly VOL'!$N$1:$CG$1,0))/INDEX('Monthly CUST'!$N$2:$CG$65,MATCH($D61,'Monthly CUST'!$D$2:$D$65,0),MATCH(AA$1,'Monthly CUST'!$N$1:$CG$1,0)),0)</f>
        <v>70120.69666666667</v>
      </c>
      <c r="AB61" s="56">
        <f>IFERROR(INDEX('Monthly VOL'!$N$2:$CG$65,MATCH($D61,'Monthly VOL'!$D$2:$D$65,0),MATCH(AB$1,'Monthly VOL'!$N$1:$CG$1,0))/INDEX('Monthly CUST'!$N$2:$CG$65,MATCH($D61,'Monthly CUST'!$D$2:$D$65,0),MATCH(AB$1,'Monthly CUST'!$N$1:$CG$1,0)),0)</f>
        <v>78325.36</v>
      </c>
      <c r="AC61" s="56">
        <f>IFERROR(INDEX('Monthly VOL'!$N$2:$CG$65,MATCH($D61,'Monthly VOL'!$D$2:$D$65,0),MATCH(AC$1,'Monthly VOL'!$N$1:$CG$1,0))/INDEX('Monthly CUST'!$N$2:$CG$65,MATCH($D61,'Monthly CUST'!$D$2:$D$65,0),MATCH(AC$1,'Monthly CUST'!$N$1:$CG$1,0)),0)</f>
        <v>76150.096666666665</v>
      </c>
      <c r="AD61" s="56">
        <f>IFERROR(INDEX('Monthly VOL'!$N$2:$CG$65,MATCH($D61,'Monthly VOL'!$D$2:$D$65,0),MATCH(AD$1,'Monthly VOL'!$N$1:$CG$1,0))/INDEX('Monthly CUST'!$N$2:$CG$65,MATCH($D61,'Monthly CUST'!$D$2:$D$65,0),MATCH(AD$1,'Monthly CUST'!$N$1:$CG$1,0)),0)</f>
        <v>70650.693333333329</v>
      </c>
      <c r="AE61" s="56">
        <f>IFERROR(INDEX('Monthly VOL'!$N$2:$CG$65,MATCH($D61,'Monthly VOL'!$D$2:$D$65,0),MATCH(AE$1,'Monthly VOL'!$N$1:$CG$1,0))/INDEX('Monthly CUST'!$N$2:$CG$65,MATCH($D61,'Monthly CUST'!$D$2:$D$65,0),MATCH(AE$1,'Monthly CUST'!$N$1:$CG$1,0)),0)</f>
        <v>62134.933333333327</v>
      </c>
      <c r="AF61" s="56">
        <f>IFERROR(INDEX('Monthly VOL'!$N$2:$CG$65,MATCH($D61,'Monthly VOL'!$D$2:$D$65,0),MATCH(AF$1,'Monthly VOL'!$N$1:$CG$1,0))/INDEX('Monthly CUST'!$N$2:$CG$65,MATCH($D61,'Monthly CUST'!$D$2:$D$65,0),MATCH(AF$1,'Monthly CUST'!$N$1:$CG$1,0)),0)</f>
        <v>52657.72</v>
      </c>
      <c r="AG61" s="56">
        <f>IFERROR(INDEX('Monthly VOL'!$N$2:$CG$65,MATCH($D61,'Monthly VOL'!$D$2:$D$65,0),MATCH(AG$1,'Monthly VOL'!$N$1:$CG$1,0))/INDEX('Monthly CUST'!$N$2:$CG$65,MATCH($D61,'Monthly CUST'!$D$2:$D$65,0),MATCH(AG$1,'Monthly CUST'!$N$1:$CG$1,0)),0)</f>
        <v>62306.136666666665</v>
      </c>
      <c r="AH61" s="56">
        <f>IFERROR(INDEX('Monthly VOL'!$N$2:$CG$65,MATCH($D61,'Monthly VOL'!$D$2:$D$65,0),MATCH(AH$1,'Monthly VOL'!$N$1:$CG$1,0))/INDEX('Monthly CUST'!$N$2:$CG$65,MATCH($D61,'Monthly CUST'!$D$2:$D$65,0),MATCH(AH$1,'Monthly CUST'!$N$1:$CG$1,0)),0)</f>
        <v>61433.390000000007</v>
      </c>
      <c r="AI61" s="56">
        <f>IFERROR(INDEX('Monthly VOL'!$N$2:$CG$65,MATCH($D61,'Monthly VOL'!$D$2:$D$65,0),MATCH(AI$1,'Monthly VOL'!$N$1:$CG$1,0))/INDEX('Monthly CUST'!$N$2:$CG$65,MATCH($D61,'Monthly CUST'!$D$2:$D$65,0),MATCH(AI$1,'Monthly CUST'!$N$1:$CG$1,0)),0)</f>
        <v>68642.080000000002</v>
      </c>
      <c r="AJ61" s="56">
        <f>IFERROR(INDEX('Monthly VOL'!$N$2:$CG$65,MATCH($D61,'Monthly VOL'!$D$2:$D$65,0),MATCH(AJ$1,'Monthly VOL'!$N$1:$CG$1,0))/INDEX('Monthly CUST'!$N$2:$CG$65,MATCH($D61,'Monthly CUST'!$D$2:$D$65,0),MATCH(AJ$1,'Monthly CUST'!$N$1:$CG$1,0)),0)</f>
        <v>69385.133333333331</v>
      </c>
      <c r="AK61" s="56">
        <f>IFERROR(INDEX('Monthly VOL'!$N$2:$CG$65,MATCH($D61,'Monthly VOL'!$D$2:$D$65,0),MATCH(AK$1,'Monthly VOL'!$N$1:$CG$1,0))/INDEX('Monthly CUST'!$N$2:$CG$65,MATCH($D61,'Monthly CUST'!$D$2:$D$65,0),MATCH(AK$1,'Monthly CUST'!$N$1:$CG$1,0)),0)</f>
        <v>67138.22</v>
      </c>
      <c r="AL61" s="56">
        <f>IFERROR(INDEX('Monthly VOL'!$N$2:$CG$65,MATCH($D61,'Monthly VOL'!$D$2:$D$65,0),MATCH(AL$1,'Monthly VOL'!$N$1:$CG$1,0))/INDEX('Monthly CUST'!$N$2:$CG$65,MATCH($D61,'Monthly CUST'!$D$2:$D$65,0),MATCH(AL$1,'Monthly CUST'!$N$1:$CG$1,0)),0)</f>
        <v>73694.31</v>
      </c>
      <c r="AM61" s="56">
        <f>IFERROR(INDEX('Monthly VOL'!$N$2:$CG$65,MATCH($D61,'Monthly VOL'!$D$2:$D$65,0),MATCH(AM$1,'Monthly VOL'!$N$1:$CG$1,0))/INDEX('Monthly CUST'!$N$2:$CG$65,MATCH($D61,'Monthly CUST'!$D$2:$D$65,0),MATCH(AM$1,'Monthly CUST'!$N$1:$CG$1,0)),0)</f>
        <v>70226.213333333333</v>
      </c>
      <c r="AN61" s="56">
        <f>IFERROR(INDEX('Monthly VOL'!$N$2:$CG$65,MATCH($D61,'Monthly VOL'!$D$2:$D$65,0),MATCH(AN$1,'Monthly VOL'!$N$1:$CG$1,0))/INDEX('Monthly CUST'!$N$2:$CG$65,MATCH($D61,'Monthly CUST'!$D$2:$D$65,0),MATCH(AN$1,'Monthly CUST'!$N$1:$CG$1,0)),0)</f>
        <v>79421.683333333334</v>
      </c>
      <c r="AO61" s="56">
        <f>IFERROR(INDEX('Monthly VOL'!$N$2:$CG$65,MATCH($D61,'Monthly VOL'!$D$2:$D$65,0),MATCH(AO$1,'Monthly VOL'!$N$1:$CG$1,0))/INDEX('Monthly CUST'!$N$2:$CG$65,MATCH($D61,'Monthly CUST'!$D$2:$D$65,0),MATCH(AO$1,'Monthly CUST'!$N$1:$CG$1,0)),0)</f>
        <v>75394.52</v>
      </c>
      <c r="AP61" s="56">
        <f>IFERROR(INDEX('Monthly VOL'!$N$2:$CG$65,MATCH($D61,'Monthly VOL'!$D$2:$D$65,0),MATCH(AP$1,'Monthly VOL'!$N$1:$CG$1,0))/INDEX('Monthly CUST'!$N$2:$CG$65,MATCH($D61,'Monthly CUST'!$D$2:$D$65,0),MATCH(AP$1,'Monthly CUST'!$N$1:$CG$1,0)),0)</f>
        <v>70269.009999999995</v>
      </c>
      <c r="AQ61" s="56">
        <f>IFERROR(INDEX('Monthly VOL'!$N$2:$CG$65,MATCH($D61,'Monthly VOL'!$D$2:$D$65,0),MATCH(AQ$1,'Monthly VOL'!$N$1:$CG$1,0))/INDEX('Monthly CUST'!$N$2:$CG$65,MATCH($D61,'Monthly CUST'!$D$2:$D$65,0),MATCH(AQ$1,'Monthly CUST'!$N$1:$CG$1,0)),0)</f>
        <v>76840.960000000006</v>
      </c>
      <c r="AR61" s="56">
        <f>IFERROR(INDEX('Monthly VOL'!$N$2:$CG$65,MATCH($D61,'Monthly VOL'!$D$2:$D$65,0),MATCH(AR$1,'Monthly VOL'!$N$1:$CG$1,0))/INDEX('Monthly CUST'!$N$2:$CG$65,MATCH($D61,'Monthly CUST'!$D$2:$D$65,0),MATCH(AR$1,'Monthly CUST'!$N$1:$CG$1,0)),0)</f>
        <v>77242.33666666667</v>
      </c>
      <c r="AS61" s="56">
        <f>IFERROR(INDEX('Monthly VOL'!$N$2:$CG$65,MATCH($D61,'Monthly VOL'!$D$2:$D$65,0),MATCH(AS$1,'Monthly VOL'!$N$1:$CG$1,0))/INDEX('Monthly CUST'!$N$2:$CG$65,MATCH($D61,'Monthly CUST'!$D$2:$D$65,0),MATCH(AS$1,'Monthly CUST'!$N$1:$CG$1,0)),0)</f>
        <v>83403.823333333334</v>
      </c>
      <c r="AT61" s="56">
        <f>IFERROR(INDEX('Monthly VOL'!$N$2:$CG$65,MATCH($D61,'Monthly VOL'!$D$2:$D$65,0),MATCH(AT$1,'Monthly VOL'!$N$1:$CG$1,0))/INDEX('Monthly CUST'!$N$2:$CG$65,MATCH($D61,'Monthly CUST'!$D$2:$D$65,0),MATCH(AT$1,'Monthly CUST'!$N$1:$CG$1,0)),0)</f>
        <v>75313.13</v>
      </c>
      <c r="AU61" s="56">
        <f>IFERROR(INDEX('Monthly VOL'!$N$2:$CG$65,MATCH($D61,'Monthly VOL'!$D$2:$D$65,0),MATCH(AU$1,'Monthly VOL'!$N$1:$CG$1,0))/INDEX('Monthly CUST'!$N$2:$CG$65,MATCH($D61,'Monthly CUST'!$D$2:$D$65,0),MATCH(AU$1,'Monthly CUST'!$N$1:$CG$1,0)),0)</f>
        <v>80078.460000000006</v>
      </c>
      <c r="AV61" s="56">
        <f>IFERROR(INDEX('Monthly VOL'!$N$2:$CG$65,MATCH($D61,'Monthly VOL'!$D$2:$D$65,0),MATCH(AV$1,'Monthly VOL'!$N$1:$CG$1,0))/INDEX('Monthly CUST'!$N$2:$CG$65,MATCH($D61,'Monthly CUST'!$D$2:$D$65,0),MATCH(AV$1,'Monthly CUST'!$N$1:$CG$1,0)),0)</f>
        <v>85970.08666666667</v>
      </c>
      <c r="AW61" s="56">
        <f>IFERROR(INDEX('Monthly VOL'!$N$2:$CG$65,MATCH($D61,'Monthly VOL'!$D$2:$D$65,0),MATCH(AW$1,'Monthly VOL'!$N$1:$CG$1,0))/INDEX('Monthly CUST'!$N$2:$CG$65,MATCH($D61,'Monthly CUST'!$D$2:$D$65,0),MATCH(AW$1,'Monthly CUST'!$N$1:$CG$1,0)),0)</f>
        <v>81729.28333333334</v>
      </c>
      <c r="AX61" s="56">
        <f>IFERROR(INDEX('Monthly VOL'!$N$2:$CG$65,MATCH($D61,'Monthly VOL'!$D$2:$D$65,0),MATCH(AX$1,'Monthly VOL'!$N$1:$CG$1,0))/INDEX('Monthly CUST'!$N$2:$CG$65,MATCH($D61,'Monthly CUST'!$D$2:$D$65,0),MATCH(AX$1,'Monthly CUST'!$N$1:$CG$1,0)),0)</f>
        <v>124432.52</v>
      </c>
      <c r="AY61" s="56">
        <f>IFERROR(INDEX('Monthly VOL'!$N$2:$CG$65,MATCH($D61,'Monthly VOL'!$D$2:$D$65,0),MATCH(AY$1,'Monthly VOL'!$N$1:$CG$1,0))/INDEX('Monthly CUST'!$N$2:$CG$65,MATCH($D61,'Monthly CUST'!$D$2:$D$65,0),MATCH(AY$1,'Monthly CUST'!$N$1:$CG$1,0)),0)</f>
        <v>95236.489999999991</v>
      </c>
      <c r="AZ61" s="56">
        <f>IFERROR(INDEX('Monthly VOL'!$N$2:$CG$65,MATCH($D61,'Monthly VOL'!$D$2:$D$65,0),MATCH(AZ$1,'Monthly VOL'!$N$1:$CG$1,0))/INDEX('Monthly CUST'!$N$2:$CG$65,MATCH($D61,'Monthly CUST'!$D$2:$D$65,0),MATCH(AZ$1,'Monthly CUST'!$N$1:$CG$1,0)),0)</f>
        <v>99952.526666666672</v>
      </c>
      <c r="BA61" s="56">
        <f>IFERROR(INDEX('Monthly VOL'!$N$2:$CG$65,MATCH($D61,'Monthly VOL'!$D$2:$D$65,0),MATCH(BA$1,'Monthly VOL'!$N$1:$CG$1,0))/INDEX('Monthly CUST'!$N$2:$CG$65,MATCH($D61,'Monthly CUST'!$D$2:$D$65,0),MATCH(BA$1,'Monthly CUST'!$N$1:$CG$1,0)),0)</f>
        <v>103768.57</v>
      </c>
      <c r="BB61" s="56">
        <f>IFERROR(INDEX('Monthly VOL'!$N$2:$CG$65,MATCH($D61,'Monthly VOL'!$D$2:$D$65,0),MATCH(BB$1,'Monthly VOL'!$N$1:$CG$1,0))/INDEX('Monthly CUST'!$N$2:$CG$65,MATCH($D61,'Monthly CUST'!$D$2:$D$65,0),MATCH(BB$1,'Monthly CUST'!$N$1:$CG$1,0)),0)</f>
        <v>98882.206666666665</v>
      </c>
      <c r="BC61" s="56">
        <f>IFERROR(INDEX('Monthly VOL'!$N$2:$CG$65,MATCH($D61,'Monthly VOL'!$D$2:$D$65,0),MATCH(BC$1,'Monthly VOL'!$N$1:$CG$1,0))/INDEX('Monthly CUST'!$N$2:$CG$65,MATCH($D61,'Monthly CUST'!$D$2:$D$65,0),MATCH(BC$1,'Monthly CUST'!$N$1:$CG$1,0)),0)</f>
        <v>96995.616666666654</v>
      </c>
      <c r="BD61" s="56">
        <f>IFERROR(INDEX('Monthly VOL'!$N$2:$CG$65,MATCH($D61,'Monthly VOL'!$D$2:$D$65,0),MATCH(BD$1,'Monthly VOL'!$N$1:$CG$1,0))/INDEX('Monthly CUST'!$N$2:$CG$65,MATCH($D61,'Monthly CUST'!$D$2:$D$65,0),MATCH(BD$1,'Monthly CUST'!$N$1:$CG$1,0)),0)</f>
        <v>95586.116666666654</v>
      </c>
      <c r="BE61" s="56">
        <f>IFERROR(INDEX('Monthly VOL'!$N$2:$CG$65,MATCH($D61,'Monthly VOL'!$D$2:$D$65,0),MATCH(BE$1,'Monthly VOL'!$N$1:$CG$1,0))/INDEX('Monthly CUST'!$N$2:$CG$65,MATCH($D61,'Monthly CUST'!$D$2:$D$65,0),MATCH(BE$1,'Monthly CUST'!$N$1:$CG$1,0)),0)</f>
        <v>88347.973333333328</v>
      </c>
      <c r="BF61" s="56">
        <f>IFERROR(INDEX('Monthly VOL'!$N$2:$CG$65,MATCH($D61,'Monthly VOL'!$D$2:$D$65,0),MATCH(BF$1,'Monthly VOL'!$N$1:$CG$1,0))/INDEX('Monthly CUST'!$N$2:$CG$65,MATCH($D61,'Monthly CUST'!$D$2:$D$65,0),MATCH(BF$1,'Monthly CUST'!$N$1:$CG$1,0)),0)</f>
        <v>99593.373333333337</v>
      </c>
      <c r="BG61" s="56">
        <f>IFERROR(INDEX('Monthly VOL'!$N$2:$CG$65,MATCH($D61,'Monthly VOL'!$D$2:$D$65,0),MATCH(BG$1,'Monthly VOL'!$N$1:$CG$1,0))/INDEX('Monthly CUST'!$N$2:$CG$65,MATCH($D61,'Monthly CUST'!$D$2:$D$65,0),MATCH(BG$1,'Monthly CUST'!$N$1:$CG$1,0)),0)</f>
        <v>108860.63666666666</v>
      </c>
      <c r="BH61" s="56">
        <f>IFERROR(INDEX('Monthly VOL'!$N$2:$CG$65,MATCH($D61,'Monthly VOL'!$D$2:$D$65,0),MATCH(BH$1,'Monthly VOL'!$N$1:$CG$1,0))/INDEX('Monthly CUST'!$N$2:$CG$65,MATCH($D61,'Monthly CUST'!$D$2:$D$65,0),MATCH(BH$1,'Monthly CUST'!$N$1:$CG$1,0)),0)</f>
        <v>98494.56</v>
      </c>
      <c r="BI61" s="56">
        <f>IFERROR(INDEX('Monthly VOL'!$N$2:$CG$65,MATCH($D61,'Monthly VOL'!$D$2:$D$65,0),MATCH(BI$1,'Monthly VOL'!$N$1:$CG$1,0))/INDEX('Monthly CUST'!$N$2:$CG$65,MATCH($D61,'Monthly CUST'!$D$2:$D$65,0),MATCH(BI$1,'Monthly CUST'!$N$1:$CG$1,0)),0)</f>
        <v>100145.74333333333</v>
      </c>
      <c r="BJ61" s="56">
        <f>IFERROR(INDEX('Monthly VOL'!$N$2:$CG$65,MATCH($D61,'Monthly VOL'!$D$2:$D$65,0),MATCH(BJ$1,'Monthly VOL'!$N$1:$CG$1,0))/INDEX('Monthly CUST'!$N$2:$CG$65,MATCH($D61,'Monthly CUST'!$D$2:$D$65,0),MATCH(BJ$1,'Monthly CUST'!$N$1:$CG$1,0)),0)</f>
        <v>124432.52</v>
      </c>
      <c r="BK61" s="56">
        <f>IFERROR(INDEX('Monthly VOL'!$N$2:$CG$65,MATCH($D61,'Monthly VOL'!$D$2:$D$65,0),MATCH(BK$1,'Monthly VOL'!$N$1:$CG$1,0))/INDEX('Monthly CUST'!$N$2:$CG$65,MATCH($D61,'Monthly CUST'!$D$2:$D$65,0),MATCH(BK$1,'Monthly CUST'!$N$1:$CG$1,0)),0)</f>
        <v>95236.489999999991</v>
      </c>
      <c r="BL61" s="56">
        <f>IFERROR(INDEX('Monthly VOL'!$N$2:$CG$65,MATCH($D61,'Monthly VOL'!$D$2:$D$65,0),MATCH(BL$1,'Monthly VOL'!$N$1:$CG$1,0))/INDEX('Monthly CUST'!$N$2:$CG$65,MATCH($D61,'Monthly CUST'!$D$2:$D$65,0),MATCH(BL$1,'Monthly CUST'!$N$1:$CG$1,0)),0)</f>
        <v>99952.526666666672</v>
      </c>
      <c r="BM61" s="56">
        <f>IFERROR(INDEX('Monthly VOL'!$N$2:$CG$65,MATCH($D61,'Monthly VOL'!$D$2:$D$65,0),MATCH(BM$1,'Monthly VOL'!$N$1:$CG$1,0))/INDEX('Monthly CUST'!$N$2:$CG$65,MATCH($D61,'Monthly CUST'!$D$2:$D$65,0),MATCH(BM$1,'Monthly CUST'!$N$1:$CG$1,0)),0)</f>
        <v>103768.57</v>
      </c>
      <c r="BN61" s="56">
        <f>IFERROR(INDEX('Monthly VOL'!$N$2:$CG$65,MATCH($D61,'Monthly VOL'!$D$2:$D$65,0),MATCH(BN$1,'Monthly VOL'!$N$1:$CG$1,0))/INDEX('Monthly CUST'!$N$2:$CG$65,MATCH($D61,'Monthly CUST'!$D$2:$D$65,0),MATCH(BN$1,'Monthly CUST'!$N$1:$CG$1,0)),0)</f>
        <v>98882.206666666665</v>
      </c>
      <c r="BO61" s="56">
        <f>IFERROR(INDEX('Monthly VOL'!$N$2:$CG$65,MATCH($D61,'Monthly VOL'!$D$2:$D$65,0),MATCH(BO$1,'Monthly VOL'!$N$1:$CG$1,0))/INDEX('Monthly CUST'!$N$2:$CG$65,MATCH($D61,'Monthly CUST'!$D$2:$D$65,0),MATCH(BO$1,'Monthly CUST'!$N$1:$CG$1,0)),0)</f>
        <v>96995.616666666654</v>
      </c>
      <c r="BP61" s="56">
        <f>IFERROR(INDEX('Monthly VOL'!$N$2:$CG$65,MATCH($D61,'Monthly VOL'!$D$2:$D$65,0),MATCH(BP$1,'Monthly VOL'!$N$1:$CG$1,0))/INDEX('Monthly CUST'!$N$2:$CG$65,MATCH($D61,'Monthly CUST'!$D$2:$D$65,0),MATCH(BP$1,'Monthly CUST'!$N$1:$CG$1,0)),0)</f>
        <v>95586.116666666654</v>
      </c>
      <c r="BQ61" s="56">
        <f>IFERROR(INDEX('Monthly VOL'!$N$2:$CG$65,MATCH($D61,'Monthly VOL'!$D$2:$D$65,0),MATCH(BQ$1,'Monthly VOL'!$N$1:$CG$1,0))/INDEX('Monthly CUST'!$N$2:$CG$65,MATCH($D61,'Monthly CUST'!$D$2:$D$65,0),MATCH(BQ$1,'Monthly CUST'!$N$1:$CG$1,0)),0)</f>
        <v>88347.973333333328</v>
      </c>
      <c r="BR61" s="56">
        <f>IFERROR(INDEX('Monthly VOL'!$N$2:$CG$65,MATCH($D61,'Monthly VOL'!$D$2:$D$65,0),MATCH(BR$1,'Monthly VOL'!$N$1:$CG$1,0))/INDEX('Monthly CUST'!$N$2:$CG$65,MATCH($D61,'Monthly CUST'!$D$2:$D$65,0),MATCH(BR$1,'Monthly CUST'!$N$1:$CG$1,0)),0)</f>
        <v>99593.373333333337</v>
      </c>
      <c r="BS61" s="56">
        <f>IFERROR(INDEX('Monthly VOL'!$N$2:$CG$65,MATCH($D61,'Monthly VOL'!$D$2:$D$65,0),MATCH(BS$1,'Monthly VOL'!$N$1:$CG$1,0))/INDEX('Monthly CUST'!$N$2:$CG$65,MATCH($D61,'Monthly CUST'!$D$2:$D$65,0),MATCH(BS$1,'Monthly CUST'!$N$1:$CG$1,0)),0)</f>
        <v>108860.63666666666</v>
      </c>
      <c r="BT61" s="56">
        <f>IFERROR(INDEX('Monthly VOL'!$N$2:$CG$65,MATCH($D61,'Monthly VOL'!$D$2:$D$65,0),MATCH(BT$1,'Monthly VOL'!$N$1:$CG$1,0))/INDEX('Monthly CUST'!$N$2:$CG$65,MATCH($D61,'Monthly CUST'!$D$2:$D$65,0),MATCH(BT$1,'Monthly CUST'!$N$1:$CG$1,0)),0)</f>
        <v>98494.56</v>
      </c>
      <c r="BU61" s="56">
        <f>IFERROR(INDEX('Monthly VOL'!$N$2:$CG$65,MATCH($D61,'Monthly VOL'!$D$2:$D$65,0),MATCH(BU$1,'Monthly VOL'!$N$1:$CG$1,0))/INDEX('Monthly CUST'!$N$2:$CG$65,MATCH($D61,'Monthly CUST'!$D$2:$D$65,0),MATCH(BU$1,'Monthly CUST'!$N$1:$CG$1,0)),0)</f>
        <v>100145.74333333333</v>
      </c>
      <c r="BV61" s="56">
        <f>IFERROR(INDEX('Monthly VOL'!$N$2:$CG$65,MATCH($D61,'Monthly VOL'!$D$2:$D$65,0),MATCH(BV$1,'Monthly VOL'!$N$1:$CG$1,0))/INDEX('Monthly CUST'!$N$2:$CG$65,MATCH($D61,'Monthly CUST'!$D$2:$D$65,0),MATCH(BV$1,'Monthly CUST'!$N$1:$CG$1,0)),0)</f>
        <v>124432.52</v>
      </c>
      <c r="BW61" s="56">
        <f>IFERROR(INDEX('Monthly VOL'!$N$2:$CG$65,MATCH($D61,'Monthly VOL'!$D$2:$D$65,0),MATCH(BW$1,'Monthly VOL'!$N$1:$CG$1,0))/INDEX('Monthly CUST'!$N$2:$CG$65,MATCH($D61,'Monthly CUST'!$D$2:$D$65,0),MATCH(BW$1,'Monthly CUST'!$N$1:$CG$1,0)),0)</f>
        <v>95236.489999999991</v>
      </c>
      <c r="BX61" s="56">
        <f>IFERROR(INDEX('Monthly VOL'!$N$2:$CG$65,MATCH($D61,'Monthly VOL'!$D$2:$D$65,0),MATCH(BX$1,'Monthly VOL'!$N$1:$CG$1,0))/INDEX('Monthly CUST'!$N$2:$CG$65,MATCH($D61,'Monthly CUST'!$D$2:$D$65,0),MATCH(BX$1,'Monthly CUST'!$N$1:$CG$1,0)),0)</f>
        <v>99952.526666666672</v>
      </c>
      <c r="BY61" s="56">
        <f>IFERROR(INDEX('Monthly VOL'!$N$2:$CG$65,MATCH($D61,'Monthly VOL'!$D$2:$D$65,0),MATCH(BY$1,'Monthly VOL'!$N$1:$CG$1,0))/INDEX('Monthly CUST'!$N$2:$CG$65,MATCH($D61,'Monthly CUST'!$D$2:$D$65,0),MATCH(BY$1,'Monthly CUST'!$N$1:$CG$1,0)),0)</f>
        <v>103768.57</v>
      </c>
      <c r="BZ61" s="56">
        <f>IFERROR(INDEX('Monthly VOL'!$N$2:$CG$65,MATCH($D61,'Monthly VOL'!$D$2:$D$65,0),MATCH(BZ$1,'Monthly VOL'!$N$1:$CG$1,0))/INDEX('Monthly CUST'!$N$2:$CG$65,MATCH($D61,'Monthly CUST'!$D$2:$D$65,0),MATCH(BZ$1,'Monthly CUST'!$N$1:$CG$1,0)),0)</f>
        <v>98882.206666666665</v>
      </c>
      <c r="CA61" s="56">
        <f>IFERROR(INDEX('Monthly VOL'!$N$2:$CG$65,MATCH($D61,'Monthly VOL'!$D$2:$D$65,0),MATCH(CA$1,'Monthly VOL'!$N$1:$CG$1,0))/INDEX('Monthly CUST'!$N$2:$CG$65,MATCH($D61,'Monthly CUST'!$D$2:$D$65,0),MATCH(CA$1,'Monthly CUST'!$N$1:$CG$1,0)),0)</f>
        <v>96995.616666666654</v>
      </c>
      <c r="CB61" s="56">
        <f>IFERROR(INDEX('Monthly VOL'!$N$2:$CG$65,MATCH($D61,'Monthly VOL'!$D$2:$D$65,0),MATCH(CB$1,'Monthly VOL'!$N$1:$CG$1,0))/INDEX('Monthly CUST'!$N$2:$CG$65,MATCH($D61,'Monthly CUST'!$D$2:$D$65,0),MATCH(CB$1,'Monthly CUST'!$N$1:$CG$1,0)),0)</f>
        <v>95586.116666666654</v>
      </c>
      <c r="CC61" s="56">
        <f>IFERROR(INDEX('Monthly VOL'!$N$2:$CG$65,MATCH($D61,'Monthly VOL'!$D$2:$D$65,0),MATCH(CC$1,'Monthly VOL'!$N$1:$CG$1,0))/INDEX('Monthly CUST'!$N$2:$CG$65,MATCH($D61,'Monthly CUST'!$D$2:$D$65,0),MATCH(CC$1,'Monthly CUST'!$N$1:$CG$1,0)),0)</f>
        <v>88347.973333333328</v>
      </c>
      <c r="CD61" s="56">
        <f>IFERROR(INDEX('Monthly VOL'!$N$2:$CG$65,MATCH($D61,'Monthly VOL'!$D$2:$D$65,0),MATCH(CD$1,'Monthly VOL'!$N$1:$CG$1,0))/INDEX('Monthly CUST'!$N$2:$CG$65,MATCH($D61,'Monthly CUST'!$D$2:$D$65,0),MATCH(CD$1,'Monthly CUST'!$N$1:$CG$1,0)),0)</f>
        <v>99593.373333333337</v>
      </c>
      <c r="CE61" s="56">
        <f>IFERROR(INDEX('Monthly VOL'!$N$2:$CG$65,MATCH($D61,'Monthly VOL'!$D$2:$D$65,0),MATCH(CE$1,'Monthly VOL'!$N$1:$CG$1,0))/INDEX('Monthly CUST'!$N$2:$CG$65,MATCH($D61,'Monthly CUST'!$D$2:$D$65,0),MATCH(CE$1,'Monthly CUST'!$N$1:$CG$1,0)),0)</f>
        <v>108860.63666666666</v>
      </c>
      <c r="CF61" s="56">
        <f>IFERROR(INDEX('Monthly VOL'!$N$2:$CG$65,MATCH($D61,'Monthly VOL'!$D$2:$D$65,0),MATCH(CF$1,'Monthly VOL'!$N$1:$CG$1,0))/INDEX('Monthly CUST'!$N$2:$CG$65,MATCH($D61,'Monthly CUST'!$D$2:$D$65,0),MATCH(CF$1,'Monthly CUST'!$N$1:$CG$1,0)),0)</f>
        <v>98494.56</v>
      </c>
      <c r="CG61" s="56">
        <f>IFERROR(INDEX('Monthly VOL'!$N$2:$CG$65,MATCH($D61,'Monthly VOL'!$D$2:$D$65,0),MATCH(CG$1,'Monthly VOL'!$N$1:$CG$1,0))/INDEX('Monthly CUST'!$N$2:$CG$65,MATCH($D61,'Monthly CUST'!$D$2:$D$65,0),MATCH(CG$1,'Monthly CUST'!$N$1:$CG$1,0)),0)</f>
        <v>100145.74333333333</v>
      </c>
      <c r="CH61" s="264"/>
      <c r="CI61" s="264"/>
      <c r="CJ61" s="264"/>
      <c r="CM61" s="569">
        <f t="shared" si="24"/>
        <v>92664.713333333333</v>
      </c>
      <c r="CN61" s="569">
        <f t="shared" si="25"/>
        <v>78527.8</v>
      </c>
      <c r="CO61" s="569">
        <f t="shared" si="26"/>
        <v>85899.856666666674</v>
      </c>
      <c r="CP61" s="569">
        <f t="shared" si="27"/>
        <v>85104.395555555559</v>
      </c>
      <c r="CQ61" s="569">
        <f t="shared" si="28"/>
        <v>79933.969999999987</v>
      </c>
      <c r="CR61" s="569">
        <f t="shared" si="29"/>
        <v>78657.17</v>
      </c>
      <c r="CS61" s="569">
        <f t="shared" si="30"/>
        <v>75162.05777777778</v>
      </c>
      <c r="CT61" s="569">
        <f t="shared" si="31"/>
        <v>78019.311111111107</v>
      </c>
      <c r="CU61" s="569">
        <f t="shared" si="32"/>
        <v>78779.964444444457</v>
      </c>
      <c r="CV61" s="569">
        <f t="shared" si="33"/>
        <v>85860.392222222217</v>
      </c>
      <c r="CW61" s="569">
        <f t="shared" si="34"/>
        <v>84616.593333333338</v>
      </c>
      <c r="CX61" s="569">
        <f t="shared" si="35"/>
        <v>83004.415555555563</v>
      </c>
      <c r="CY61" s="569">
        <f t="shared" si="36"/>
        <v>92664.713333333333</v>
      </c>
      <c r="CZ61" s="569">
        <f t="shared" si="37"/>
        <v>78527.8</v>
      </c>
      <c r="DA61" s="569">
        <f t="shared" si="38"/>
        <v>85899.856666666674</v>
      </c>
      <c r="DB61" s="569">
        <f t="shared" si="39"/>
        <v>85104.395555555559</v>
      </c>
      <c r="DC61" s="569">
        <f t="shared" si="40"/>
        <v>79933.969999999987</v>
      </c>
      <c r="DD61" s="569">
        <f t="shared" si="41"/>
        <v>78657.17</v>
      </c>
      <c r="DE61" s="569">
        <f t="shared" si="42"/>
        <v>75162.05777777778</v>
      </c>
      <c r="DF61" s="569">
        <f t="shared" si="43"/>
        <v>78019.311111111107</v>
      </c>
      <c r="DG61" s="569">
        <f t="shared" si="44"/>
        <v>78779.964444444457</v>
      </c>
      <c r="DH61" s="569">
        <f t="shared" si="45"/>
        <v>85860.392222222217</v>
      </c>
      <c r="DI61" s="569">
        <f t="shared" si="46"/>
        <v>84616.593333333338</v>
      </c>
      <c r="DJ61" s="569">
        <f t="shared" si="47"/>
        <v>83004.415555555563</v>
      </c>
    </row>
    <row r="62" spans="1:114" s="261" customFormat="1">
      <c r="A62" s="55" t="s">
        <v>17</v>
      </c>
      <c r="B62" s="55" t="s">
        <v>993</v>
      </c>
      <c r="C62" s="55" t="s">
        <v>1245</v>
      </c>
      <c r="D62" s="55" t="s">
        <v>79</v>
      </c>
      <c r="E62" s="55" t="str">
        <f>VLOOKUP(D62,'Input 14_Ref Table'!C:D,2,FALSE)</f>
        <v>CI107</v>
      </c>
      <c r="F62" s="172" t="s">
        <v>1286</v>
      </c>
      <c r="G62" s="55" t="str">
        <f>VLOOKUP(D62,'Input 14_Ref Table'!C:I,7,FALSE)</f>
        <v>CFG - FTS-11</v>
      </c>
      <c r="H62" s="55" t="str">
        <f>VLOOKUP(D62,'Input 14_Ref Table'!C:K,8,FALSE)</f>
        <v>Base Period</v>
      </c>
      <c r="I62" s="55" t="e">
        <f>INDEX(#REF!,MATCH(D62,#REF!,0))</f>
        <v>#REF!</v>
      </c>
      <c r="J62" s="261" t="str">
        <f>INDEX('Master '!$AD$2:AD$65,MATCH(D62,'Master '!$D$2:$D$65,0))</f>
        <v>Adjusted</v>
      </c>
      <c r="K62" s="567">
        <f>INDEX('Master '!$N$2:N$65,MATCH(D62,'Master '!$D$2:$D$65,0))</f>
        <v>0</v>
      </c>
      <c r="L62" s="290">
        <f>INDEX('Master '!$S$2:S$65,MATCH(D62,'Master '!$D$2:$D$65,0))</f>
        <v>0</v>
      </c>
      <c r="M62" s="1">
        <f>INDEX('Master '!$W$2:W$65,MATCH(D62,'Master '!$D$2:$D$65,0))</f>
        <v>1227248.6200000001</v>
      </c>
      <c r="N62" s="56">
        <f>IFERROR(INDEX('Monthly VOL'!$N$2:$CG$65,MATCH($D62,'Monthly VOL'!$D$2:$D$65,0),MATCH(N$1,'Monthly VOL'!$N$1:$CG$1,0))/INDEX('Monthly CUST'!$N$2:$CG$65,MATCH($D62,'Monthly CUST'!$D$2:$D$65,0),MATCH(N$1,'Monthly CUST'!$N$1:$CG$1,0)),0)</f>
        <v>134512.60999999999</v>
      </c>
      <c r="O62" s="56">
        <f>IFERROR(INDEX('Monthly VOL'!$N$2:$CG$65,MATCH($D62,'Monthly VOL'!$D$2:$D$65,0),MATCH(O$1,'Monthly VOL'!$N$1:$CG$1,0))/INDEX('Monthly CUST'!$N$2:$CG$65,MATCH($D62,'Monthly CUST'!$D$2:$D$65,0),MATCH(O$1,'Monthly CUST'!$N$1:$CG$1,0)),0)</f>
        <v>63139.93</v>
      </c>
      <c r="P62" s="56">
        <f>IFERROR(INDEX('Monthly VOL'!$N$2:$CG$65,MATCH($D62,'Monthly VOL'!$D$2:$D$65,0),MATCH(P$1,'Monthly VOL'!$N$1:$CG$1,0))/INDEX('Monthly CUST'!$N$2:$CG$65,MATCH($D62,'Monthly CUST'!$D$2:$D$65,0),MATCH(P$1,'Monthly CUST'!$N$1:$CG$1,0)),0)</f>
        <v>66738.17</v>
      </c>
      <c r="Q62" s="56">
        <f>IFERROR(INDEX('Monthly VOL'!$N$2:$CG$65,MATCH($D62,'Monthly VOL'!$D$2:$D$65,0),MATCH(Q$1,'Monthly VOL'!$N$1:$CG$1,0))/INDEX('Monthly CUST'!$N$2:$CG$65,MATCH($D62,'Monthly CUST'!$D$2:$D$65,0),MATCH(Q$1,'Monthly CUST'!$N$1:$CG$1,0)),0)</f>
        <v>130964.11</v>
      </c>
      <c r="R62" s="56">
        <f>IFERROR(INDEX('Monthly VOL'!$N$2:$CG$65,MATCH($D62,'Monthly VOL'!$D$2:$D$65,0),MATCH(R$1,'Monthly VOL'!$N$1:$CG$1,0))/INDEX('Monthly CUST'!$N$2:$CG$65,MATCH($D62,'Monthly CUST'!$D$2:$D$65,0),MATCH(R$1,'Monthly CUST'!$N$1:$CG$1,0)),0)</f>
        <v>133189.285</v>
      </c>
      <c r="S62" s="56">
        <f>IFERROR(INDEX('Monthly VOL'!$N$2:$CG$65,MATCH($D62,'Monthly VOL'!$D$2:$D$65,0),MATCH(S$1,'Monthly VOL'!$N$1:$CG$1,0))/INDEX('Monthly CUST'!$N$2:$CG$65,MATCH($D62,'Monthly CUST'!$D$2:$D$65,0),MATCH(S$1,'Monthly CUST'!$N$1:$CG$1,0)),0)</f>
        <v>155453.285</v>
      </c>
      <c r="T62" s="56">
        <f>IFERROR(INDEX('Monthly VOL'!$N$2:$CG$65,MATCH($D62,'Monthly VOL'!$D$2:$D$65,0),MATCH(T$1,'Monthly VOL'!$N$1:$CG$1,0))/INDEX('Monthly CUST'!$N$2:$CG$65,MATCH($D62,'Monthly CUST'!$D$2:$D$65,0),MATCH(T$1,'Monthly CUST'!$N$1:$CG$1,0)),0)</f>
        <v>156522.85</v>
      </c>
      <c r="U62" s="56">
        <f>IFERROR(INDEX('Monthly VOL'!$N$2:$CG$65,MATCH($D62,'Monthly VOL'!$D$2:$D$65,0),MATCH(U$1,'Monthly VOL'!$N$1:$CG$1,0))/INDEX('Monthly CUST'!$N$2:$CG$65,MATCH($D62,'Monthly CUST'!$D$2:$D$65,0),MATCH(U$1,'Monthly CUST'!$N$1:$CG$1,0)),0)</f>
        <v>194724.1</v>
      </c>
      <c r="V62" s="56">
        <f>IFERROR(INDEX('Monthly VOL'!$N$2:$CG$65,MATCH($D62,'Monthly VOL'!$D$2:$D$65,0),MATCH(V$1,'Monthly VOL'!$N$1:$CG$1,0))/INDEX('Monthly CUST'!$N$2:$CG$65,MATCH($D62,'Monthly CUST'!$D$2:$D$65,0),MATCH(V$1,'Monthly CUST'!$N$1:$CG$1,0)),0)</f>
        <v>207755.01500000001</v>
      </c>
      <c r="W62" s="56">
        <f>IFERROR(INDEX('Monthly VOL'!$N$2:$CG$65,MATCH($D62,'Monthly VOL'!$D$2:$D$65,0),MATCH(W$1,'Monthly VOL'!$N$1:$CG$1,0))/INDEX('Monthly CUST'!$N$2:$CG$65,MATCH($D62,'Monthly CUST'!$D$2:$D$65,0),MATCH(W$1,'Monthly CUST'!$N$1:$CG$1,0)),0)</f>
        <v>200567.51500000001</v>
      </c>
      <c r="X62" s="56">
        <f>IFERROR(INDEX('Monthly VOL'!$N$2:$CG$65,MATCH($D62,'Monthly VOL'!$D$2:$D$65,0),MATCH(X$1,'Monthly VOL'!$N$1:$CG$1,0))/INDEX('Monthly CUST'!$N$2:$CG$65,MATCH($D62,'Monthly CUST'!$D$2:$D$65,0),MATCH(X$1,'Monthly CUST'!$N$1:$CG$1,0)),0)</f>
        <v>191794.7</v>
      </c>
      <c r="Y62" s="56">
        <f>IFERROR(INDEX('Monthly VOL'!$N$2:$CG$65,MATCH($D62,'Monthly VOL'!$D$2:$D$65,0),MATCH(Y$1,'Monthly VOL'!$N$1:$CG$1,0))/INDEX('Monthly CUST'!$N$2:$CG$65,MATCH($D62,'Monthly CUST'!$D$2:$D$65,0),MATCH(Y$1,'Monthly CUST'!$N$1:$CG$1,0)),0)</f>
        <v>172850.66</v>
      </c>
      <c r="Z62" s="56">
        <f>IFERROR(INDEX('Monthly VOL'!$N$2:$CG$65,MATCH($D62,'Monthly VOL'!$D$2:$D$65,0),MATCH(Z$1,'Monthly VOL'!$N$1:$CG$1,0))/INDEX('Monthly CUST'!$N$2:$CG$65,MATCH($D62,'Monthly CUST'!$D$2:$D$65,0),MATCH(Z$1,'Monthly CUST'!$N$1:$CG$1,0)),0)</f>
        <v>218414.655</v>
      </c>
      <c r="AA62" s="56">
        <f>IFERROR(INDEX('Monthly VOL'!$N$2:$CG$65,MATCH($D62,'Monthly VOL'!$D$2:$D$65,0),MATCH(AA$1,'Monthly VOL'!$N$1:$CG$1,0))/INDEX('Monthly CUST'!$N$2:$CG$65,MATCH($D62,'Monthly CUST'!$D$2:$D$65,0),MATCH(AA$1,'Monthly CUST'!$N$1:$CG$1,0)),0)</f>
        <v>182822.87</v>
      </c>
      <c r="AB62" s="56">
        <f>IFERROR(INDEX('Monthly VOL'!$N$2:$CG$65,MATCH($D62,'Monthly VOL'!$D$2:$D$65,0),MATCH(AB$1,'Monthly VOL'!$N$1:$CG$1,0))/INDEX('Monthly CUST'!$N$2:$CG$65,MATCH($D62,'Monthly CUST'!$D$2:$D$65,0),MATCH(AB$1,'Monthly CUST'!$N$1:$CG$1,0)),0)</f>
        <v>199626.345</v>
      </c>
      <c r="AC62" s="56">
        <f>IFERROR(INDEX('Monthly VOL'!$N$2:$CG$65,MATCH($D62,'Monthly VOL'!$D$2:$D$65,0),MATCH(AC$1,'Monthly VOL'!$N$1:$CG$1,0))/INDEX('Monthly CUST'!$N$2:$CG$65,MATCH($D62,'Monthly CUST'!$D$2:$D$65,0),MATCH(AC$1,'Monthly CUST'!$N$1:$CG$1,0)),0)</f>
        <v>200793.19</v>
      </c>
      <c r="AD62" s="56">
        <f>IFERROR(INDEX('Monthly VOL'!$N$2:$CG$65,MATCH($D62,'Monthly VOL'!$D$2:$D$65,0),MATCH(AD$1,'Monthly VOL'!$N$1:$CG$1,0))/INDEX('Monthly CUST'!$N$2:$CG$65,MATCH($D62,'Monthly CUST'!$D$2:$D$65,0),MATCH(AD$1,'Monthly CUST'!$N$1:$CG$1,0)),0)</f>
        <v>243187.86</v>
      </c>
      <c r="AE62" s="56">
        <f>IFERROR(INDEX('Monthly VOL'!$N$2:$CG$65,MATCH($D62,'Monthly VOL'!$D$2:$D$65,0),MATCH(AE$1,'Monthly VOL'!$N$1:$CG$1,0))/INDEX('Monthly CUST'!$N$2:$CG$65,MATCH($D62,'Monthly CUST'!$D$2:$D$65,0),MATCH(AE$1,'Monthly CUST'!$N$1:$CG$1,0)),0)</f>
        <v>216558.34</v>
      </c>
      <c r="AF62" s="56">
        <f>IFERROR(INDEX('Monthly VOL'!$N$2:$CG$65,MATCH($D62,'Monthly VOL'!$D$2:$D$65,0),MATCH(AF$1,'Monthly VOL'!$N$1:$CG$1,0))/INDEX('Monthly CUST'!$N$2:$CG$65,MATCH($D62,'Monthly CUST'!$D$2:$D$65,0),MATCH(AF$1,'Monthly CUST'!$N$1:$CG$1,0)),0)</f>
        <v>199991.59</v>
      </c>
      <c r="AG62" s="56">
        <f>IFERROR(INDEX('Monthly VOL'!$N$2:$CG$65,MATCH($D62,'Monthly VOL'!$D$2:$D$65,0),MATCH(AG$1,'Monthly VOL'!$N$1:$CG$1,0))/INDEX('Monthly CUST'!$N$2:$CG$65,MATCH($D62,'Monthly CUST'!$D$2:$D$65,0),MATCH(AG$1,'Monthly CUST'!$N$1:$CG$1,0)),0)</f>
        <v>215654.9</v>
      </c>
      <c r="AH62" s="56">
        <f>IFERROR(INDEX('Monthly VOL'!$N$2:$CG$65,MATCH($D62,'Monthly VOL'!$D$2:$D$65,0),MATCH(AH$1,'Monthly VOL'!$N$1:$CG$1,0))/INDEX('Monthly CUST'!$N$2:$CG$65,MATCH($D62,'Monthly CUST'!$D$2:$D$65,0),MATCH(AH$1,'Monthly CUST'!$N$1:$CG$1,0)),0)</f>
        <v>208652.86</v>
      </c>
      <c r="AI62" s="56">
        <f>IFERROR(INDEX('Monthly VOL'!$N$2:$CG$65,MATCH($D62,'Monthly VOL'!$D$2:$D$65,0),MATCH(AI$1,'Monthly VOL'!$N$1:$CG$1,0))/INDEX('Monthly CUST'!$N$2:$CG$65,MATCH($D62,'Monthly CUST'!$D$2:$D$65,0),MATCH(AI$1,'Monthly CUST'!$N$1:$CG$1,0)),0)</f>
        <v>187856.1</v>
      </c>
      <c r="AJ62" s="56">
        <f>IFERROR(INDEX('Monthly VOL'!$N$2:$CG$65,MATCH($D62,'Monthly VOL'!$D$2:$D$65,0),MATCH(AJ$1,'Monthly VOL'!$N$1:$CG$1,0))/INDEX('Monthly CUST'!$N$2:$CG$65,MATCH($D62,'Monthly CUST'!$D$2:$D$65,0),MATCH(AJ$1,'Monthly CUST'!$N$1:$CG$1,0)),0)</f>
        <v>222918.21</v>
      </c>
      <c r="AK62" s="56">
        <f>IFERROR(INDEX('Monthly VOL'!$N$2:$CG$65,MATCH($D62,'Monthly VOL'!$D$2:$D$65,0),MATCH(AK$1,'Monthly VOL'!$N$1:$CG$1,0))/INDEX('Monthly CUST'!$N$2:$CG$65,MATCH($D62,'Monthly CUST'!$D$2:$D$65,0),MATCH(AK$1,'Monthly CUST'!$N$1:$CG$1,0)),0)</f>
        <v>204962.93</v>
      </c>
      <c r="AL62" s="56">
        <f>IFERROR(INDEX('Monthly VOL'!$N$2:$CG$65,MATCH($D62,'Monthly VOL'!$D$2:$D$65,0),MATCH(AL$1,'Monthly VOL'!$N$1:$CG$1,0))/INDEX('Monthly CUST'!$N$2:$CG$65,MATCH($D62,'Monthly CUST'!$D$2:$D$65,0),MATCH(AL$1,'Monthly CUST'!$N$1:$CG$1,0)),0)</f>
        <v>238439.79</v>
      </c>
      <c r="AM62" s="56">
        <f>IFERROR(INDEX('Monthly VOL'!$N$2:$CG$65,MATCH($D62,'Monthly VOL'!$D$2:$D$65,0),MATCH(AM$1,'Monthly VOL'!$N$1:$CG$1,0))/INDEX('Monthly CUST'!$N$2:$CG$65,MATCH($D62,'Monthly CUST'!$D$2:$D$65,0),MATCH(AM$1,'Monthly CUST'!$N$1:$CG$1,0)),0)</f>
        <v>219634.24</v>
      </c>
      <c r="AN62" s="56">
        <f>IFERROR(INDEX('Monthly VOL'!$N$2:$CG$65,MATCH($D62,'Monthly VOL'!$D$2:$D$65,0),MATCH(AN$1,'Monthly VOL'!$N$1:$CG$1,0))/INDEX('Monthly CUST'!$N$2:$CG$65,MATCH($D62,'Monthly CUST'!$D$2:$D$65,0),MATCH(AN$1,'Monthly CUST'!$N$1:$CG$1,0)),0)</f>
        <v>219026.02</v>
      </c>
      <c r="AO62" s="56">
        <f>IFERROR(INDEX('Monthly VOL'!$N$2:$CG$65,MATCH($D62,'Monthly VOL'!$D$2:$D$65,0),MATCH(AO$1,'Monthly VOL'!$N$1:$CG$1,0))/INDEX('Monthly CUST'!$N$2:$CG$65,MATCH($D62,'Monthly CUST'!$D$2:$D$65,0),MATCH(AO$1,'Monthly CUST'!$N$1:$CG$1,0)),0)</f>
        <v>203773.24</v>
      </c>
      <c r="AP62" s="56">
        <f>IFERROR(INDEX('Monthly VOL'!$N$2:$CG$65,MATCH($D62,'Monthly VOL'!$D$2:$D$65,0),MATCH(AP$1,'Monthly VOL'!$N$1:$CG$1,0))/INDEX('Monthly CUST'!$N$2:$CG$65,MATCH($D62,'Monthly CUST'!$D$2:$D$65,0),MATCH(AP$1,'Monthly CUST'!$N$1:$CG$1,0)),0)</f>
        <v>205528.06</v>
      </c>
      <c r="AQ62" s="56">
        <f>IFERROR(INDEX('Monthly VOL'!$N$2:$CG$65,MATCH($D62,'Monthly VOL'!$D$2:$D$65,0),MATCH(AQ$1,'Monthly VOL'!$N$1:$CG$1,0))/INDEX('Monthly CUST'!$N$2:$CG$65,MATCH($D62,'Monthly CUST'!$D$2:$D$65,0),MATCH(AQ$1,'Monthly CUST'!$N$1:$CG$1,0)),0)</f>
        <v>168184.81</v>
      </c>
      <c r="AR62" s="56">
        <f>IFERROR(INDEX('Monthly VOL'!$N$2:$CG$65,MATCH($D62,'Monthly VOL'!$D$2:$D$65,0),MATCH(AR$1,'Monthly VOL'!$N$1:$CG$1,0))/INDEX('Monthly CUST'!$N$2:$CG$65,MATCH($D62,'Monthly CUST'!$D$2:$D$65,0),MATCH(AR$1,'Monthly CUST'!$N$1:$CG$1,0)),0)</f>
        <v>161036.29999999999</v>
      </c>
      <c r="AS62" s="56">
        <f>IFERROR(INDEX('Monthly VOL'!$N$2:$CG$65,MATCH($D62,'Monthly VOL'!$D$2:$D$65,0),MATCH(AS$1,'Monthly VOL'!$N$1:$CG$1,0))/INDEX('Monthly CUST'!$N$2:$CG$65,MATCH($D62,'Monthly CUST'!$D$2:$D$65,0),MATCH(AS$1,'Monthly CUST'!$N$1:$CG$1,0)),0)</f>
        <v>155018.89000000001</v>
      </c>
      <c r="AT62" s="56">
        <f>IFERROR(INDEX('Monthly VOL'!$N$2:$CG$65,MATCH($D62,'Monthly VOL'!$D$2:$D$65,0),MATCH(AT$1,'Monthly VOL'!$N$1:$CG$1,0))/INDEX('Monthly CUST'!$N$2:$CG$65,MATCH($D62,'Monthly CUST'!$D$2:$D$65,0),MATCH(AT$1,'Monthly CUST'!$N$1:$CG$1,0)),0)</f>
        <v>152144.92000000001</v>
      </c>
      <c r="AU62" s="56">
        <f>IFERROR(INDEX('Monthly VOL'!$N$2:$CG$65,MATCH($D62,'Monthly VOL'!$D$2:$D$65,0),MATCH(AU$1,'Monthly VOL'!$N$1:$CG$1,0))/INDEX('Monthly CUST'!$N$2:$CG$65,MATCH($D62,'Monthly CUST'!$D$2:$D$65,0),MATCH(AU$1,'Monthly CUST'!$N$1:$CG$1,0)),0)</f>
        <v>162663.1</v>
      </c>
      <c r="AV62" s="56">
        <f>IFERROR(INDEX('Monthly VOL'!$N$2:$CG$65,MATCH($D62,'Monthly VOL'!$D$2:$D$65,0),MATCH(AV$1,'Monthly VOL'!$N$1:$CG$1,0))/INDEX('Monthly CUST'!$N$2:$CG$65,MATCH($D62,'Monthly CUST'!$D$2:$D$65,0),MATCH(AV$1,'Monthly CUST'!$N$1:$CG$1,0)),0)</f>
        <v>151757.25</v>
      </c>
      <c r="AW62" s="56">
        <f>IFERROR(INDEX('Monthly VOL'!$N$2:$CG$65,MATCH($D62,'Monthly VOL'!$D$2:$D$65,0),MATCH(AW$1,'Monthly VOL'!$N$1:$CG$1,0))/INDEX('Monthly CUST'!$N$2:$CG$65,MATCH($D62,'Monthly CUST'!$D$2:$D$65,0),MATCH(AW$1,'Monthly CUST'!$N$1:$CG$1,0)),0)</f>
        <v>113252.75</v>
      </c>
      <c r="AX62" s="56">
        <f>IFERROR(INDEX('Monthly VOL'!$N$2:$CG$65,MATCH($D62,'Monthly VOL'!$D$2:$D$65,0),MATCH(AX$1,'Monthly VOL'!$N$1:$CG$1,0))/INDEX('Monthly CUST'!$N$2:$CG$65,MATCH($D62,'Monthly CUST'!$D$2:$D$65,0),MATCH(AX$1,'Monthly CUST'!$N$1:$CG$1,0)),0)</f>
        <v>146807.04999999999</v>
      </c>
      <c r="AY62" s="56">
        <f>IFERROR(INDEX('Monthly VOL'!$N$2:$CG$65,MATCH($D62,'Monthly VOL'!$D$2:$D$65,0),MATCH(AY$1,'Monthly VOL'!$N$1:$CG$1,0))/INDEX('Monthly CUST'!$N$2:$CG$65,MATCH($D62,'Monthly CUST'!$D$2:$D$65,0),MATCH(AY$1,'Monthly CUST'!$N$1:$CG$1,0)),0)</f>
        <v>148429.10999999999</v>
      </c>
      <c r="AZ62" s="56">
        <f>IFERROR(INDEX('Monthly VOL'!$N$2:$CG$65,MATCH($D62,'Monthly VOL'!$D$2:$D$65,0),MATCH(AZ$1,'Monthly VOL'!$N$1:$CG$1,0))/INDEX('Monthly CUST'!$N$2:$CG$65,MATCH($D62,'Monthly CUST'!$D$2:$D$65,0),MATCH(AZ$1,'Monthly CUST'!$N$1:$CG$1,0)),0)</f>
        <v>167804.58</v>
      </c>
      <c r="BA62" s="56">
        <f>IFERROR(INDEX('Monthly VOL'!$N$2:$CG$65,MATCH($D62,'Monthly VOL'!$D$2:$D$65,0),MATCH(BA$1,'Monthly VOL'!$N$1:$CG$1,0))/INDEX('Monthly CUST'!$N$2:$CG$65,MATCH($D62,'Monthly CUST'!$D$2:$D$65,0),MATCH(BA$1,'Monthly CUST'!$N$1:$CG$1,0)),0)</f>
        <v>169495.38</v>
      </c>
      <c r="BB62" s="56">
        <f>IFERROR(INDEX('Monthly VOL'!$N$2:$CG$65,MATCH($D62,'Monthly VOL'!$D$2:$D$65,0),MATCH(BB$1,'Monthly VOL'!$N$1:$CG$1,0))/INDEX('Monthly CUST'!$N$2:$CG$65,MATCH($D62,'Monthly CUST'!$D$2:$D$65,0),MATCH(BB$1,'Monthly CUST'!$N$1:$CG$1,0)),0)</f>
        <v>56433</v>
      </c>
      <c r="BC62" s="56">
        <f>IFERROR(INDEX('Monthly VOL'!$N$2:$CG$65,MATCH($D62,'Monthly VOL'!$D$2:$D$65,0),MATCH(BC$1,'Monthly VOL'!$N$1:$CG$1,0))/INDEX('Monthly CUST'!$N$2:$CG$65,MATCH($D62,'Monthly CUST'!$D$2:$D$65,0),MATCH(BC$1,'Monthly CUST'!$N$1:$CG$1,0)),0)</f>
        <v>0</v>
      </c>
      <c r="BD62" s="56">
        <f>IFERROR(INDEX('Monthly VOL'!$N$2:$CG$65,MATCH($D62,'Monthly VOL'!$D$2:$D$65,0),MATCH(BD$1,'Monthly VOL'!$N$1:$CG$1,0))/INDEX('Monthly CUST'!$N$2:$CG$65,MATCH($D62,'Monthly CUST'!$D$2:$D$65,0),MATCH(BD$1,'Monthly CUST'!$N$1:$CG$1,0)),0)</f>
        <v>120864.2</v>
      </c>
      <c r="BE62" s="56">
        <f>IFERROR(INDEX('Monthly VOL'!$N$2:$CG$65,MATCH($D62,'Monthly VOL'!$D$2:$D$65,0),MATCH(BE$1,'Monthly VOL'!$N$1:$CG$1,0))/INDEX('Monthly CUST'!$N$2:$CG$65,MATCH($D62,'Monthly CUST'!$D$2:$D$65,0),MATCH(BE$1,'Monthly CUST'!$N$1:$CG$1,0)),0)</f>
        <v>121782.78</v>
      </c>
      <c r="BF62" s="56">
        <f>IFERROR(INDEX('Monthly VOL'!$N$2:$CG$65,MATCH($D62,'Monthly VOL'!$D$2:$D$65,0),MATCH(BF$1,'Monthly VOL'!$N$1:$CG$1,0))/INDEX('Monthly CUST'!$N$2:$CG$65,MATCH($D62,'Monthly CUST'!$D$2:$D$65,0),MATCH(BF$1,'Monthly CUST'!$N$1:$CG$1,0)),0)</f>
        <v>23780.17</v>
      </c>
      <c r="BG62" s="56">
        <f>IFERROR(INDEX('Monthly VOL'!$N$2:$CG$65,MATCH($D62,'Monthly VOL'!$D$2:$D$65,0),MATCH(BG$1,'Monthly VOL'!$N$1:$CG$1,0))/INDEX('Monthly CUST'!$N$2:$CG$65,MATCH($D62,'Monthly CUST'!$D$2:$D$65,0),MATCH(BG$1,'Monthly CUST'!$N$1:$CG$1,0)),0)</f>
        <v>70132.570000000007</v>
      </c>
      <c r="BH62" s="56">
        <f>IFERROR(INDEX('Monthly VOL'!$N$2:$CG$65,MATCH($D62,'Monthly VOL'!$D$2:$D$65,0),MATCH(BH$1,'Monthly VOL'!$N$1:$CG$1,0))/INDEX('Monthly CUST'!$N$2:$CG$65,MATCH($D62,'Monthly CUST'!$D$2:$D$65,0),MATCH(BH$1,'Monthly CUST'!$N$1:$CG$1,0)),0)</f>
        <v>82525.06</v>
      </c>
      <c r="BI62" s="56">
        <f>IFERROR(INDEX('Monthly VOL'!$N$2:$CG$65,MATCH($D62,'Monthly VOL'!$D$2:$D$65,0),MATCH(BI$1,'Monthly VOL'!$N$1:$CG$1,0))/INDEX('Monthly CUST'!$N$2:$CG$65,MATCH($D62,'Monthly CUST'!$D$2:$D$65,0),MATCH(BI$1,'Monthly CUST'!$N$1:$CG$1,0)),0)</f>
        <v>119194.72</v>
      </c>
      <c r="BJ62" s="56">
        <f>IFERROR(INDEX('Monthly VOL'!$N$2:$CG$65,MATCH($D62,'Monthly VOL'!$D$2:$D$65,0),MATCH(BJ$1,'Monthly VOL'!$N$1:$CG$1,0))/INDEX('Monthly CUST'!$N$2:$CG$65,MATCH($D62,'Monthly CUST'!$D$2:$D$65,0),MATCH(BJ$1,'Monthly CUST'!$N$1:$CG$1,0)),0)</f>
        <v>127270.71833333334</v>
      </c>
      <c r="BK62" s="56">
        <f>IFERROR(INDEX('Monthly VOL'!$N$2:$CG$65,MATCH($D62,'Monthly VOL'!$D$2:$D$65,0),MATCH(BK$1,'Monthly VOL'!$N$1:$CG$1,0))/INDEX('Monthly CUST'!$N$2:$CG$65,MATCH($D62,'Monthly CUST'!$D$2:$D$65,0),MATCH(BK$1,'Monthly CUST'!$N$1:$CG$1,0)),0)</f>
        <v>127270.71833333334</v>
      </c>
      <c r="BL62" s="56">
        <f>IFERROR(INDEX('Monthly VOL'!$N$2:$CG$65,MATCH($D62,'Monthly VOL'!$D$2:$D$65,0),MATCH(BL$1,'Monthly VOL'!$N$1:$CG$1,0))/INDEX('Monthly CUST'!$N$2:$CG$65,MATCH($D62,'Monthly CUST'!$D$2:$D$65,0),MATCH(BL$1,'Monthly CUST'!$N$1:$CG$1,0)),0)</f>
        <v>127270.71833333334</v>
      </c>
      <c r="BM62" s="56">
        <f>IFERROR(INDEX('Monthly VOL'!$N$2:$CG$65,MATCH($D62,'Monthly VOL'!$D$2:$D$65,0),MATCH(BM$1,'Monthly VOL'!$N$1:$CG$1,0))/INDEX('Monthly CUST'!$N$2:$CG$65,MATCH($D62,'Monthly CUST'!$D$2:$D$65,0),MATCH(BM$1,'Monthly CUST'!$N$1:$CG$1,0)),0)</f>
        <v>127270.71833333334</v>
      </c>
      <c r="BN62" s="56">
        <f>IFERROR(INDEX('Monthly VOL'!$N$2:$CG$65,MATCH($D62,'Monthly VOL'!$D$2:$D$65,0),MATCH(BN$1,'Monthly VOL'!$N$1:$CG$1,0))/INDEX('Monthly CUST'!$N$2:$CG$65,MATCH($D62,'Monthly CUST'!$D$2:$D$65,0),MATCH(BN$1,'Monthly CUST'!$N$1:$CG$1,0)),0)</f>
        <v>127270.71833333334</v>
      </c>
      <c r="BO62" s="56">
        <f>IFERROR(INDEX('Monthly VOL'!$N$2:$CG$65,MATCH($D62,'Monthly VOL'!$D$2:$D$65,0),MATCH(BO$1,'Monthly VOL'!$N$1:$CG$1,0))/INDEX('Monthly CUST'!$N$2:$CG$65,MATCH($D62,'Monthly CUST'!$D$2:$D$65,0),MATCH(BO$1,'Monthly CUST'!$N$1:$CG$1,0)),0)</f>
        <v>127270.71833333334</v>
      </c>
      <c r="BP62" s="56">
        <f>IFERROR(INDEX('Monthly VOL'!$N$2:$CG$65,MATCH($D62,'Monthly VOL'!$D$2:$D$65,0),MATCH(BP$1,'Monthly VOL'!$N$1:$CG$1,0))/INDEX('Monthly CUST'!$N$2:$CG$65,MATCH($D62,'Monthly CUST'!$D$2:$D$65,0),MATCH(BP$1,'Monthly CUST'!$N$1:$CG$1,0)),0)</f>
        <v>127270.71833333334</v>
      </c>
      <c r="BQ62" s="56">
        <f>IFERROR(INDEX('Monthly VOL'!$N$2:$CG$65,MATCH($D62,'Monthly VOL'!$D$2:$D$65,0),MATCH(BQ$1,'Monthly VOL'!$N$1:$CG$1,0))/INDEX('Monthly CUST'!$N$2:$CG$65,MATCH($D62,'Monthly CUST'!$D$2:$D$65,0),MATCH(BQ$1,'Monthly CUST'!$N$1:$CG$1,0)),0)</f>
        <v>127270.71833333334</v>
      </c>
      <c r="BR62" s="56">
        <f>IFERROR(INDEX('Monthly VOL'!$N$2:$CG$65,MATCH($D62,'Monthly VOL'!$D$2:$D$65,0),MATCH(BR$1,'Monthly VOL'!$N$1:$CG$1,0))/INDEX('Monthly CUST'!$N$2:$CG$65,MATCH($D62,'Monthly CUST'!$D$2:$D$65,0),MATCH(BR$1,'Monthly CUST'!$N$1:$CG$1,0)),0)</f>
        <v>127270.71833333334</v>
      </c>
      <c r="BS62" s="56">
        <f>IFERROR(INDEX('Monthly VOL'!$N$2:$CG$65,MATCH($D62,'Monthly VOL'!$D$2:$D$65,0),MATCH(BS$1,'Monthly VOL'!$N$1:$CG$1,0))/INDEX('Monthly CUST'!$N$2:$CG$65,MATCH($D62,'Monthly CUST'!$D$2:$D$65,0),MATCH(BS$1,'Monthly CUST'!$N$1:$CG$1,0)),0)</f>
        <v>127270.71833333334</v>
      </c>
      <c r="BT62" s="56">
        <f>IFERROR(INDEX('Monthly VOL'!$N$2:$CG$65,MATCH($D62,'Monthly VOL'!$D$2:$D$65,0),MATCH(BT$1,'Monthly VOL'!$N$1:$CG$1,0))/INDEX('Monthly CUST'!$N$2:$CG$65,MATCH($D62,'Monthly CUST'!$D$2:$D$65,0),MATCH(BT$1,'Monthly CUST'!$N$1:$CG$1,0)),0)</f>
        <v>127270.71833333334</v>
      </c>
      <c r="BU62" s="56">
        <f>IFERROR(INDEX('Monthly VOL'!$N$2:$CG$65,MATCH($D62,'Monthly VOL'!$D$2:$D$65,0),MATCH(BU$1,'Monthly VOL'!$N$1:$CG$1,0))/INDEX('Monthly CUST'!$N$2:$CG$65,MATCH($D62,'Monthly CUST'!$D$2:$D$65,0),MATCH(BU$1,'Monthly CUST'!$N$1:$CG$1,0)),0)</f>
        <v>127270.71833333334</v>
      </c>
      <c r="BV62" s="56">
        <f>IFERROR(INDEX('Monthly VOL'!$N$2:$CG$65,MATCH($D62,'Monthly VOL'!$D$2:$D$65,0),MATCH(BV$1,'Monthly VOL'!$N$1:$CG$1,0))/INDEX('Monthly CUST'!$N$2:$CG$65,MATCH($D62,'Monthly CUST'!$D$2:$D$65,0),MATCH(BV$1,'Monthly CUST'!$N$1:$CG$1,0)),0)</f>
        <v>127270.71833333334</v>
      </c>
      <c r="BW62" s="56">
        <f>IFERROR(INDEX('Monthly VOL'!$N$2:$CG$65,MATCH($D62,'Monthly VOL'!$D$2:$D$65,0),MATCH(BW$1,'Monthly VOL'!$N$1:$CG$1,0))/INDEX('Monthly CUST'!$N$2:$CG$65,MATCH($D62,'Monthly CUST'!$D$2:$D$65,0),MATCH(BW$1,'Monthly CUST'!$N$1:$CG$1,0)),0)</f>
        <v>127270.71833333334</v>
      </c>
      <c r="BX62" s="56">
        <f>IFERROR(INDEX('Monthly VOL'!$N$2:$CG$65,MATCH($D62,'Monthly VOL'!$D$2:$D$65,0),MATCH(BX$1,'Monthly VOL'!$N$1:$CG$1,0))/INDEX('Monthly CUST'!$N$2:$CG$65,MATCH($D62,'Monthly CUST'!$D$2:$D$65,0),MATCH(BX$1,'Monthly CUST'!$N$1:$CG$1,0)),0)</f>
        <v>127270.71833333334</v>
      </c>
      <c r="BY62" s="56">
        <f>IFERROR(INDEX('Monthly VOL'!$N$2:$CG$65,MATCH($D62,'Monthly VOL'!$D$2:$D$65,0),MATCH(BY$1,'Monthly VOL'!$N$1:$CG$1,0))/INDEX('Monthly CUST'!$N$2:$CG$65,MATCH($D62,'Monthly CUST'!$D$2:$D$65,0),MATCH(BY$1,'Monthly CUST'!$N$1:$CG$1,0)),0)</f>
        <v>127270.71833333334</v>
      </c>
      <c r="BZ62" s="56">
        <f>IFERROR(INDEX('Monthly VOL'!$N$2:$CG$65,MATCH($D62,'Monthly VOL'!$D$2:$D$65,0),MATCH(BZ$1,'Monthly VOL'!$N$1:$CG$1,0))/INDEX('Monthly CUST'!$N$2:$CG$65,MATCH($D62,'Monthly CUST'!$D$2:$D$65,0),MATCH(BZ$1,'Monthly CUST'!$N$1:$CG$1,0)),0)</f>
        <v>127270.71833333334</v>
      </c>
      <c r="CA62" s="56">
        <f>IFERROR(INDEX('Monthly VOL'!$N$2:$CG$65,MATCH($D62,'Monthly VOL'!$D$2:$D$65,0),MATCH(CA$1,'Monthly VOL'!$N$1:$CG$1,0))/INDEX('Monthly CUST'!$N$2:$CG$65,MATCH($D62,'Monthly CUST'!$D$2:$D$65,0),MATCH(CA$1,'Monthly CUST'!$N$1:$CG$1,0)),0)</f>
        <v>127270.71833333334</v>
      </c>
      <c r="CB62" s="56">
        <f>IFERROR(INDEX('Monthly VOL'!$N$2:$CG$65,MATCH($D62,'Monthly VOL'!$D$2:$D$65,0),MATCH(CB$1,'Monthly VOL'!$N$1:$CG$1,0))/INDEX('Monthly CUST'!$N$2:$CG$65,MATCH($D62,'Monthly CUST'!$D$2:$D$65,0),MATCH(CB$1,'Monthly CUST'!$N$1:$CG$1,0)),0)</f>
        <v>127270.71833333334</v>
      </c>
      <c r="CC62" s="56">
        <f>IFERROR(INDEX('Monthly VOL'!$N$2:$CG$65,MATCH($D62,'Monthly VOL'!$D$2:$D$65,0),MATCH(CC$1,'Monthly VOL'!$N$1:$CG$1,0))/INDEX('Monthly CUST'!$N$2:$CG$65,MATCH($D62,'Monthly CUST'!$D$2:$D$65,0),MATCH(CC$1,'Monthly CUST'!$N$1:$CG$1,0)),0)</f>
        <v>127270.71833333334</v>
      </c>
      <c r="CD62" s="56">
        <f>IFERROR(INDEX('Monthly VOL'!$N$2:$CG$65,MATCH($D62,'Monthly VOL'!$D$2:$D$65,0),MATCH(CD$1,'Monthly VOL'!$N$1:$CG$1,0))/INDEX('Monthly CUST'!$N$2:$CG$65,MATCH($D62,'Monthly CUST'!$D$2:$D$65,0),MATCH(CD$1,'Monthly CUST'!$N$1:$CG$1,0)),0)</f>
        <v>127270.71833333334</v>
      </c>
      <c r="CE62" s="56">
        <f>IFERROR(INDEX('Monthly VOL'!$N$2:$CG$65,MATCH($D62,'Monthly VOL'!$D$2:$D$65,0),MATCH(CE$1,'Monthly VOL'!$N$1:$CG$1,0))/INDEX('Monthly CUST'!$N$2:$CG$65,MATCH($D62,'Monthly CUST'!$D$2:$D$65,0),MATCH(CE$1,'Monthly CUST'!$N$1:$CG$1,0)),0)</f>
        <v>127270.71833333334</v>
      </c>
      <c r="CF62" s="56">
        <f>IFERROR(INDEX('Monthly VOL'!$N$2:$CG$65,MATCH($D62,'Monthly VOL'!$D$2:$D$65,0),MATCH(CF$1,'Monthly VOL'!$N$1:$CG$1,0))/INDEX('Monthly CUST'!$N$2:$CG$65,MATCH($D62,'Monthly CUST'!$D$2:$D$65,0),MATCH(CF$1,'Monthly CUST'!$N$1:$CG$1,0)),0)</f>
        <v>127270.71833333334</v>
      </c>
      <c r="CG62" s="56">
        <f>IFERROR(INDEX('Monthly VOL'!$N$2:$CG$65,MATCH($D62,'Monthly VOL'!$D$2:$D$65,0),MATCH(CG$1,'Monthly VOL'!$N$1:$CG$1,0))/INDEX('Monthly CUST'!$N$2:$CG$65,MATCH($D62,'Monthly CUST'!$D$2:$D$65,0),MATCH(CG$1,'Monthly CUST'!$N$1:$CG$1,0)),0)</f>
        <v>127270.71833333334</v>
      </c>
      <c r="CH62" s="264"/>
      <c r="CI62" s="264"/>
      <c r="CJ62" s="264"/>
      <c r="CM62" s="569">
        <f t="shared" si="24"/>
        <v>201220.49833333332</v>
      </c>
      <c r="CN62" s="569">
        <f t="shared" si="25"/>
        <v>183628.74</v>
      </c>
      <c r="CO62" s="569">
        <f t="shared" si="26"/>
        <v>195485.64833333332</v>
      </c>
      <c r="CP62" s="569">
        <f t="shared" si="27"/>
        <v>191353.93666666668</v>
      </c>
      <c r="CQ62" s="569">
        <f t="shared" si="28"/>
        <v>168382.97333333333</v>
      </c>
      <c r="CR62" s="569">
        <f t="shared" si="29"/>
        <v>128247.71666666667</v>
      </c>
      <c r="CS62" s="569">
        <f t="shared" si="30"/>
        <v>160630.69666666668</v>
      </c>
      <c r="CT62" s="569">
        <f t="shared" si="31"/>
        <v>164152.19000000003</v>
      </c>
      <c r="CU62" s="569">
        <f t="shared" si="32"/>
        <v>128192.65000000001</v>
      </c>
      <c r="CV62" s="569">
        <f t="shared" si="33"/>
        <v>140217.25666666668</v>
      </c>
      <c r="CW62" s="569">
        <f t="shared" si="34"/>
        <v>152400.17333333331</v>
      </c>
      <c r="CX62" s="569">
        <f t="shared" si="35"/>
        <v>145803.46666666667</v>
      </c>
      <c r="CY62" s="569">
        <f t="shared" si="36"/>
        <v>201220.49833333332</v>
      </c>
      <c r="CZ62" s="569">
        <f t="shared" si="37"/>
        <v>183628.74</v>
      </c>
      <c r="DA62" s="569">
        <f t="shared" si="38"/>
        <v>195485.64833333332</v>
      </c>
      <c r="DB62" s="569">
        <f t="shared" si="39"/>
        <v>191353.93666666668</v>
      </c>
      <c r="DC62" s="569">
        <f t="shared" si="40"/>
        <v>168382.97333333333</v>
      </c>
      <c r="DD62" s="569">
        <f t="shared" si="41"/>
        <v>128247.71666666667</v>
      </c>
      <c r="DE62" s="569">
        <f t="shared" si="42"/>
        <v>160630.69666666668</v>
      </c>
      <c r="DF62" s="569">
        <f t="shared" si="43"/>
        <v>164152.19000000003</v>
      </c>
      <c r="DG62" s="569">
        <f t="shared" si="44"/>
        <v>128192.65000000001</v>
      </c>
      <c r="DH62" s="569">
        <f t="shared" si="45"/>
        <v>140217.25666666668</v>
      </c>
      <c r="DI62" s="569">
        <f t="shared" si="46"/>
        <v>152400.17333333331</v>
      </c>
      <c r="DJ62" s="569">
        <f t="shared" si="47"/>
        <v>145803.46666666667</v>
      </c>
    </row>
    <row r="63" spans="1:114" s="261" customFormat="1">
      <c r="A63" s="55" t="s">
        <v>17</v>
      </c>
      <c r="B63" s="55" t="s">
        <v>993</v>
      </c>
      <c r="C63" s="55" t="s">
        <v>1245</v>
      </c>
      <c r="D63" s="55" t="s">
        <v>81</v>
      </c>
      <c r="E63" s="55" t="str">
        <f>VLOOKUP(D63,'Input 14_Ref Table'!C:D,2,FALSE)</f>
        <v>CI108</v>
      </c>
      <c r="F63" s="172" t="s">
        <v>1286</v>
      </c>
      <c r="G63" s="55" t="str">
        <f>VLOOKUP(D63,'Input 14_Ref Table'!C:I,7,FALSE)</f>
        <v>CFG - FTS-12</v>
      </c>
      <c r="H63" s="55" t="str">
        <f>VLOOKUP(D63,'Input 14_Ref Table'!C:K,8,FALSE)</f>
        <v>Base Period</v>
      </c>
      <c r="I63" s="55" t="e">
        <f>INDEX(#REF!,MATCH(D63,#REF!,0))</f>
        <v>#REF!</v>
      </c>
      <c r="J63" s="261" t="str">
        <f>INDEX('Master '!$AD$2:AD$65,MATCH(D63,'Master '!$D$2:$D$65,0))</f>
        <v>Base Period</v>
      </c>
      <c r="K63" s="567">
        <f>INDEX('Master '!$N$2:N$65,MATCH(D63,'Master '!$D$2:$D$65,0))</f>
        <v>0</v>
      </c>
      <c r="L63" s="290">
        <f>INDEX('Master '!$S$2:S$65,MATCH(D63,'Master '!$D$2:$D$65,0))</f>
        <v>0</v>
      </c>
      <c r="M63" s="1">
        <f>INDEX('Master '!$W$2:W$65,MATCH(D63,'Master '!$D$2:$D$65,0))</f>
        <v>3405406.7120000003</v>
      </c>
      <c r="N63" s="56">
        <f>IFERROR(INDEX('Monthly VOL'!$N$2:$CG$65,MATCH($D63,'Monthly VOL'!$D$2:$D$65,0),MATCH(N$1,'Monthly VOL'!$N$1:$CG$1,0))/INDEX('Monthly CUST'!$N$2:$CG$65,MATCH($D63,'Monthly CUST'!$D$2:$D$65,0),MATCH(N$1,'Monthly CUST'!$N$1:$CG$1,0)),0)</f>
        <v>345686.16800000001</v>
      </c>
      <c r="O63" s="56">
        <f>IFERROR(INDEX('Monthly VOL'!$N$2:$CG$65,MATCH($D63,'Monthly VOL'!$D$2:$D$65,0),MATCH(O$1,'Monthly VOL'!$N$1:$CG$1,0))/INDEX('Monthly CUST'!$N$2:$CG$65,MATCH($D63,'Monthly CUST'!$D$2:$D$65,0),MATCH(O$1,'Monthly CUST'!$N$1:$CG$1,0)),0)</f>
        <v>331816.62</v>
      </c>
      <c r="P63" s="56">
        <f>IFERROR(INDEX('Monthly VOL'!$N$2:$CG$65,MATCH($D63,'Monthly VOL'!$D$2:$D$65,0),MATCH(P$1,'Monthly VOL'!$N$1:$CG$1,0))/INDEX('Monthly CUST'!$N$2:$CG$65,MATCH($D63,'Monthly CUST'!$D$2:$D$65,0),MATCH(P$1,'Monthly CUST'!$N$1:$CG$1,0)),0)</f>
        <v>358609.52999999997</v>
      </c>
      <c r="Q63" s="56">
        <f>IFERROR(INDEX('Monthly VOL'!$N$2:$CG$65,MATCH($D63,'Monthly VOL'!$D$2:$D$65,0),MATCH(Q$1,'Monthly VOL'!$N$1:$CG$1,0))/INDEX('Monthly CUST'!$N$2:$CG$65,MATCH($D63,'Monthly CUST'!$D$2:$D$65,0),MATCH(Q$1,'Monthly CUST'!$N$1:$CG$1,0)),0)</f>
        <v>393309.60499999998</v>
      </c>
      <c r="R63" s="56">
        <f>IFERROR(INDEX('Monthly VOL'!$N$2:$CG$65,MATCH($D63,'Monthly VOL'!$D$2:$D$65,0),MATCH(R$1,'Monthly VOL'!$N$1:$CG$1,0))/INDEX('Monthly CUST'!$N$2:$CG$65,MATCH($D63,'Monthly CUST'!$D$2:$D$65,0),MATCH(R$1,'Monthly CUST'!$N$1:$CG$1,0)),0)</f>
        <v>358208.08500000002</v>
      </c>
      <c r="S63" s="56">
        <f>IFERROR(INDEX('Monthly VOL'!$N$2:$CG$65,MATCH($D63,'Monthly VOL'!$D$2:$D$65,0),MATCH(S$1,'Monthly VOL'!$N$1:$CG$1,0))/INDEX('Monthly CUST'!$N$2:$CG$65,MATCH($D63,'Monthly CUST'!$D$2:$D$65,0),MATCH(S$1,'Monthly CUST'!$N$1:$CG$1,0)),0)</f>
        <v>378360.58500000002</v>
      </c>
      <c r="T63" s="56">
        <f>IFERROR(INDEX('Monthly VOL'!$N$2:$CG$65,MATCH($D63,'Monthly VOL'!$D$2:$D$65,0),MATCH(T$1,'Monthly VOL'!$N$1:$CG$1,0))/INDEX('Monthly CUST'!$N$2:$CG$65,MATCH($D63,'Monthly CUST'!$D$2:$D$65,0),MATCH(T$1,'Monthly CUST'!$N$1:$CG$1,0)),0)</f>
        <v>390948.03249999997</v>
      </c>
      <c r="U63" s="56">
        <f>IFERROR(INDEX('Monthly VOL'!$N$2:$CG$65,MATCH($D63,'Monthly VOL'!$D$2:$D$65,0),MATCH(U$1,'Monthly VOL'!$N$1:$CG$1,0))/INDEX('Monthly CUST'!$N$2:$CG$65,MATCH($D63,'Monthly CUST'!$D$2:$D$65,0),MATCH(U$1,'Monthly CUST'!$N$1:$CG$1,0)),0)</f>
        <v>428943.04499999998</v>
      </c>
      <c r="V63" s="56">
        <f>IFERROR(INDEX('Monthly VOL'!$N$2:$CG$65,MATCH($D63,'Monthly VOL'!$D$2:$D$65,0),MATCH(V$1,'Monthly VOL'!$N$1:$CG$1,0))/INDEX('Monthly CUST'!$N$2:$CG$65,MATCH($D63,'Monthly CUST'!$D$2:$D$65,0),MATCH(V$1,'Monthly CUST'!$N$1:$CG$1,0)),0)</f>
        <v>403735.23249999998</v>
      </c>
      <c r="W63" s="56">
        <f>IFERROR(INDEX('Monthly VOL'!$N$2:$CG$65,MATCH($D63,'Monthly VOL'!$D$2:$D$65,0),MATCH(W$1,'Monthly VOL'!$N$1:$CG$1,0))/INDEX('Monthly CUST'!$N$2:$CG$65,MATCH($D63,'Monthly CUST'!$D$2:$D$65,0),MATCH(W$1,'Monthly CUST'!$N$1:$CG$1,0)),0)</f>
        <v>384558.82500000001</v>
      </c>
      <c r="X63" s="56">
        <f>IFERROR(INDEX('Monthly VOL'!$N$2:$CG$65,MATCH($D63,'Monthly VOL'!$D$2:$D$65,0),MATCH(X$1,'Monthly VOL'!$N$1:$CG$1,0))/INDEX('Monthly CUST'!$N$2:$CG$65,MATCH($D63,'Monthly CUST'!$D$2:$D$65,0),MATCH(X$1,'Monthly CUST'!$N$1:$CG$1,0)),0)</f>
        <v>389128.15749999997</v>
      </c>
      <c r="Y63" s="56">
        <f>IFERROR(INDEX('Monthly VOL'!$N$2:$CG$65,MATCH($D63,'Monthly VOL'!$D$2:$D$65,0),MATCH(Y$1,'Monthly VOL'!$N$1:$CG$1,0))/INDEX('Monthly CUST'!$N$2:$CG$65,MATCH($D63,'Monthly CUST'!$D$2:$D$65,0),MATCH(Y$1,'Monthly CUST'!$N$1:$CG$1,0)),0)</f>
        <v>361732.98499999999</v>
      </c>
      <c r="Z63" s="56">
        <f>IFERROR(INDEX('Monthly VOL'!$N$2:$CG$65,MATCH($D63,'Monthly VOL'!$D$2:$D$65,0),MATCH(Z$1,'Monthly VOL'!$N$1:$CG$1,0))/INDEX('Monthly CUST'!$N$2:$CG$65,MATCH($D63,'Monthly CUST'!$D$2:$D$65,0),MATCH(Z$1,'Monthly CUST'!$N$1:$CG$1,0)),0)</f>
        <v>371183.92499999999</v>
      </c>
      <c r="AA63" s="56">
        <f>IFERROR(INDEX('Monthly VOL'!$N$2:$CG$65,MATCH($D63,'Monthly VOL'!$D$2:$D$65,0),MATCH(AA$1,'Monthly VOL'!$N$1:$CG$1,0))/INDEX('Monthly CUST'!$N$2:$CG$65,MATCH($D63,'Monthly CUST'!$D$2:$D$65,0),MATCH(AA$1,'Monthly CUST'!$N$1:$CG$1,0)),0)</f>
        <v>333793.70750000002</v>
      </c>
      <c r="AB63" s="56">
        <f>IFERROR(INDEX('Monthly VOL'!$N$2:$CG$65,MATCH($D63,'Monthly VOL'!$D$2:$D$65,0),MATCH(AB$1,'Monthly VOL'!$N$1:$CG$1,0))/INDEX('Monthly CUST'!$N$2:$CG$65,MATCH($D63,'Monthly CUST'!$D$2:$D$65,0),MATCH(AB$1,'Monthly CUST'!$N$1:$CG$1,0)),0)</f>
        <v>389974.1275</v>
      </c>
      <c r="AC63" s="56">
        <f>IFERROR(INDEX('Monthly VOL'!$N$2:$CG$65,MATCH($D63,'Monthly VOL'!$D$2:$D$65,0),MATCH(AC$1,'Monthly VOL'!$N$1:$CG$1,0))/INDEX('Monthly CUST'!$N$2:$CG$65,MATCH($D63,'Monthly CUST'!$D$2:$D$65,0),MATCH(AC$1,'Monthly CUST'!$N$1:$CG$1,0)),0)</f>
        <v>374742.1225</v>
      </c>
      <c r="AD63" s="56">
        <f>IFERROR(INDEX('Monthly VOL'!$N$2:$CG$65,MATCH($D63,'Monthly VOL'!$D$2:$D$65,0),MATCH(AD$1,'Monthly VOL'!$N$1:$CG$1,0))/INDEX('Monthly CUST'!$N$2:$CG$65,MATCH($D63,'Monthly CUST'!$D$2:$D$65,0),MATCH(AD$1,'Monthly CUST'!$N$1:$CG$1,0)),0)</f>
        <v>332370.81800000003</v>
      </c>
      <c r="AE63" s="56">
        <f>IFERROR(INDEX('Monthly VOL'!$N$2:$CG$65,MATCH($D63,'Monthly VOL'!$D$2:$D$65,0),MATCH(AE$1,'Monthly VOL'!$N$1:$CG$1,0))/INDEX('Monthly CUST'!$N$2:$CG$65,MATCH($D63,'Monthly CUST'!$D$2:$D$65,0),MATCH(AE$1,'Monthly CUST'!$N$1:$CG$1,0)),0)</f>
        <v>311822.61800000002</v>
      </c>
      <c r="AF63" s="56">
        <f>IFERROR(INDEX('Monthly VOL'!$N$2:$CG$65,MATCH($D63,'Monthly VOL'!$D$2:$D$65,0),MATCH(AF$1,'Monthly VOL'!$N$1:$CG$1,0))/INDEX('Monthly CUST'!$N$2:$CG$65,MATCH($D63,'Monthly CUST'!$D$2:$D$65,0),MATCH(AF$1,'Monthly CUST'!$N$1:$CG$1,0)),0)</f>
        <v>324495.886</v>
      </c>
      <c r="AG63" s="56">
        <f>IFERROR(INDEX('Monthly VOL'!$N$2:$CG$65,MATCH($D63,'Monthly VOL'!$D$2:$D$65,0),MATCH(AG$1,'Monthly VOL'!$N$1:$CG$1,0))/INDEX('Monthly CUST'!$N$2:$CG$65,MATCH($D63,'Monthly CUST'!$D$2:$D$65,0),MATCH(AG$1,'Monthly CUST'!$N$1:$CG$1,0)),0)</f>
        <v>297002.31</v>
      </c>
      <c r="AH63" s="56">
        <f>IFERROR(INDEX('Monthly VOL'!$N$2:$CG$65,MATCH($D63,'Monthly VOL'!$D$2:$D$65,0),MATCH(AH$1,'Monthly VOL'!$N$1:$CG$1,0))/INDEX('Monthly CUST'!$N$2:$CG$65,MATCH($D63,'Monthly CUST'!$D$2:$D$65,0),MATCH(AH$1,'Monthly CUST'!$N$1:$CG$1,0)),0)</f>
        <v>228303.53399999999</v>
      </c>
      <c r="AI63" s="56">
        <f>IFERROR(INDEX('Monthly VOL'!$N$2:$CG$65,MATCH($D63,'Monthly VOL'!$D$2:$D$65,0),MATCH(AI$1,'Monthly VOL'!$N$1:$CG$1,0))/INDEX('Monthly CUST'!$N$2:$CG$65,MATCH($D63,'Monthly CUST'!$D$2:$D$65,0),MATCH(AI$1,'Monthly CUST'!$N$1:$CG$1,0)),0)</f>
        <v>265273.63399999996</v>
      </c>
      <c r="AJ63" s="56">
        <f>IFERROR(INDEX('Monthly VOL'!$N$2:$CG$65,MATCH($D63,'Monthly VOL'!$D$2:$D$65,0),MATCH(AJ$1,'Monthly VOL'!$N$1:$CG$1,0))/INDEX('Monthly CUST'!$N$2:$CG$65,MATCH($D63,'Monthly CUST'!$D$2:$D$65,0),MATCH(AJ$1,'Monthly CUST'!$N$1:$CG$1,0)),0)</f>
        <v>286801.076</v>
      </c>
      <c r="AK63" s="56">
        <f>IFERROR(INDEX('Monthly VOL'!$N$2:$CG$65,MATCH($D63,'Monthly VOL'!$D$2:$D$65,0),MATCH(AK$1,'Monthly VOL'!$N$1:$CG$1,0))/INDEX('Monthly CUST'!$N$2:$CG$65,MATCH($D63,'Monthly CUST'!$D$2:$D$65,0),MATCH(AK$1,'Monthly CUST'!$N$1:$CG$1,0)),0)</f>
        <v>269521.77599999995</v>
      </c>
      <c r="AL63" s="56">
        <f>IFERROR(INDEX('Monthly VOL'!$N$2:$CG$65,MATCH($D63,'Monthly VOL'!$D$2:$D$65,0),MATCH(AL$1,'Monthly VOL'!$N$1:$CG$1,0))/INDEX('Monthly CUST'!$N$2:$CG$65,MATCH($D63,'Monthly CUST'!$D$2:$D$65,0),MATCH(AL$1,'Monthly CUST'!$N$1:$CG$1,0)),0)</f>
        <v>226326.55800000002</v>
      </c>
      <c r="AM63" s="56">
        <f>IFERROR(INDEX('Monthly VOL'!$N$2:$CG$65,MATCH($D63,'Monthly VOL'!$D$2:$D$65,0),MATCH(AM$1,'Monthly VOL'!$N$1:$CG$1,0))/INDEX('Monthly CUST'!$N$2:$CG$65,MATCH($D63,'Monthly CUST'!$D$2:$D$65,0),MATCH(AM$1,'Monthly CUST'!$N$1:$CG$1,0)),0)</f>
        <v>268502.93799999997</v>
      </c>
      <c r="AN63" s="56">
        <f>IFERROR(INDEX('Monthly VOL'!$N$2:$CG$65,MATCH($D63,'Monthly VOL'!$D$2:$D$65,0),MATCH(AN$1,'Monthly VOL'!$N$1:$CG$1,0))/INDEX('Monthly CUST'!$N$2:$CG$65,MATCH($D63,'Monthly CUST'!$D$2:$D$65,0),MATCH(AN$1,'Monthly CUST'!$N$1:$CG$1,0)),0)</f>
        <v>285207.96000000002</v>
      </c>
      <c r="AO63" s="56">
        <f>IFERROR(INDEX('Monthly VOL'!$N$2:$CG$65,MATCH($D63,'Monthly VOL'!$D$2:$D$65,0),MATCH(AO$1,'Monthly VOL'!$N$1:$CG$1,0))/INDEX('Monthly CUST'!$N$2:$CG$65,MATCH($D63,'Monthly CUST'!$D$2:$D$65,0),MATCH(AO$1,'Monthly CUST'!$N$1:$CG$1,0)),0)</f>
        <v>252772.508</v>
      </c>
      <c r="AP63" s="56">
        <f>IFERROR(INDEX('Monthly VOL'!$N$2:$CG$65,MATCH($D63,'Monthly VOL'!$D$2:$D$65,0),MATCH(AP$1,'Monthly VOL'!$N$1:$CG$1,0))/INDEX('Monthly CUST'!$N$2:$CG$65,MATCH($D63,'Monthly CUST'!$D$2:$D$65,0),MATCH(AP$1,'Monthly CUST'!$N$1:$CG$1,0)),0)</f>
        <v>276162.484</v>
      </c>
      <c r="AQ63" s="56">
        <f>IFERROR(INDEX('Monthly VOL'!$N$2:$CG$65,MATCH($D63,'Monthly VOL'!$D$2:$D$65,0),MATCH(AQ$1,'Monthly VOL'!$N$1:$CG$1,0))/INDEX('Monthly CUST'!$N$2:$CG$65,MATCH($D63,'Monthly CUST'!$D$2:$D$65,0),MATCH(AQ$1,'Monthly CUST'!$N$1:$CG$1,0)),0)</f>
        <v>235453.2</v>
      </c>
      <c r="AR63" s="56">
        <f>IFERROR(INDEX('Monthly VOL'!$N$2:$CG$65,MATCH($D63,'Monthly VOL'!$D$2:$D$65,0),MATCH(AR$1,'Monthly VOL'!$N$1:$CG$1,0))/INDEX('Monthly CUST'!$N$2:$CG$65,MATCH($D63,'Monthly CUST'!$D$2:$D$65,0),MATCH(AR$1,'Monthly CUST'!$N$1:$CG$1,0)),0)</f>
        <v>207299.27799999999</v>
      </c>
      <c r="AS63" s="56">
        <f>IFERROR(INDEX('Monthly VOL'!$N$2:$CG$65,MATCH($D63,'Monthly VOL'!$D$2:$D$65,0),MATCH(AS$1,'Monthly VOL'!$N$1:$CG$1,0))/INDEX('Monthly CUST'!$N$2:$CG$65,MATCH($D63,'Monthly CUST'!$D$2:$D$65,0),MATCH(AS$1,'Monthly CUST'!$N$1:$CG$1,0)),0)</f>
        <v>298020.05</v>
      </c>
      <c r="AT63" s="56">
        <f>IFERROR(INDEX('Monthly VOL'!$N$2:$CG$65,MATCH($D63,'Monthly VOL'!$D$2:$D$65,0),MATCH(AT$1,'Monthly VOL'!$N$1:$CG$1,0))/INDEX('Monthly CUST'!$N$2:$CG$65,MATCH($D63,'Monthly CUST'!$D$2:$D$65,0),MATCH(AT$1,'Monthly CUST'!$N$1:$CG$1,0)),0)</f>
        <v>272520.74</v>
      </c>
      <c r="AU63" s="56">
        <f>IFERROR(INDEX('Monthly VOL'!$N$2:$CG$65,MATCH($D63,'Monthly VOL'!$D$2:$D$65,0),MATCH(AU$1,'Monthly VOL'!$N$1:$CG$1,0))/INDEX('Monthly CUST'!$N$2:$CG$65,MATCH($D63,'Monthly CUST'!$D$2:$D$65,0),MATCH(AU$1,'Monthly CUST'!$N$1:$CG$1,0)),0)</f>
        <v>301620.43400000001</v>
      </c>
      <c r="AV63" s="56">
        <f>IFERROR(INDEX('Monthly VOL'!$N$2:$CG$65,MATCH($D63,'Monthly VOL'!$D$2:$D$65,0),MATCH(AV$1,'Monthly VOL'!$N$1:$CG$1,0))/INDEX('Monthly CUST'!$N$2:$CG$65,MATCH($D63,'Monthly CUST'!$D$2:$D$65,0),MATCH(AV$1,'Monthly CUST'!$N$1:$CG$1,0)),0)</f>
        <v>239675.56400000001</v>
      </c>
      <c r="AW63" s="56">
        <f>IFERROR(INDEX('Monthly VOL'!$N$2:$CG$65,MATCH($D63,'Monthly VOL'!$D$2:$D$65,0),MATCH(AW$1,'Monthly VOL'!$N$1:$CG$1,0))/INDEX('Monthly CUST'!$N$2:$CG$65,MATCH($D63,'Monthly CUST'!$D$2:$D$65,0),MATCH(AW$1,'Monthly CUST'!$N$1:$CG$1,0)),0)</f>
        <v>316446.21400000004</v>
      </c>
      <c r="AX63" s="56">
        <f>IFERROR(INDEX('Monthly VOL'!$N$2:$CG$65,MATCH($D63,'Monthly VOL'!$D$2:$D$65,0),MATCH(AX$1,'Monthly VOL'!$N$1:$CG$1,0))/INDEX('Monthly CUST'!$N$2:$CG$65,MATCH($D63,'Monthly CUST'!$D$2:$D$65,0),MATCH(AX$1,'Monthly CUST'!$N$1:$CG$1,0)),0)</f>
        <v>300696.50800000003</v>
      </c>
      <c r="AY63" s="56">
        <f>IFERROR(INDEX('Monthly VOL'!$N$2:$CG$65,MATCH($D63,'Monthly VOL'!$D$2:$D$65,0),MATCH(AY$1,'Monthly VOL'!$N$1:$CG$1,0))/INDEX('Monthly CUST'!$N$2:$CG$65,MATCH($D63,'Monthly CUST'!$D$2:$D$65,0),MATCH(AY$1,'Monthly CUST'!$N$1:$CG$1,0)),0)</f>
        <v>283287.59999999998</v>
      </c>
      <c r="AZ63" s="56">
        <f>IFERROR(INDEX('Monthly VOL'!$N$2:$CG$65,MATCH($D63,'Monthly VOL'!$D$2:$D$65,0),MATCH(AZ$1,'Monthly VOL'!$N$1:$CG$1,0))/INDEX('Monthly CUST'!$N$2:$CG$65,MATCH($D63,'Monthly CUST'!$D$2:$D$65,0),MATCH(AZ$1,'Monthly CUST'!$N$1:$CG$1,0)),0)</f>
        <v>335242.68799999997</v>
      </c>
      <c r="BA63" s="56">
        <f>IFERROR(INDEX('Monthly VOL'!$N$2:$CG$65,MATCH($D63,'Monthly VOL'!$D$2:$D$65,0),MATCH(BA$1,'Monthly VOL'!$N$1:$CG$1,0))/INDEX('Monthly CUST'!$N$2:$CG$65,MATCH($D63,'Monthly CUST'!$D$2:$D$65,0),MATCH(BA$1,'Monthly CUST'!$N$1:$CG$1,0)),0)</f>
        <v>292658.29200000002</v>
      </c>
      <c r="BB63" s="56">
        <f>IFERROR(INDEX('Monthly VOL'!$N$2:$CG$65,MATCH($D63,'Monthly VOL'!$D$2:$D$65,0),MATCH(BB$1,'Monthly VOL'!$N$1:$CG$1,0))/INDEX('Monthly CUST'!$N$2:$CG$65,MATCH($D63,'Monthly CUST'!$D$2:$D$65,0),MATCH(BB$1,'Monthly CUST'!$N$1:$CG$1,0)),0)</f>
        <v>303617.68799999997</v>
      </c>
      <c r="BC63" s="56">
        <f>IFERROR(INDEX('Monthly VOL'!$N$2:$CG$65,MATCH($D63,'Monthly VOL'!$D$2:$D$65,0),MATCH(BC$1,'Monthly VOL'!$N$1:$CG$1,0))/INDEX('Monthly CUST'!$N$2:$CG$65,MATCH($D63,'Monthly CUST'!$D$2:$D$65,0),MATCH(BC$1,'Monthly CUST'!$N$1:$CG$1,0)),0)</f>
        <v>207485.66999999998</v>
      </c>
      <c r="BD63" s="56">
        <f>IFERROR(INDEX('Monthly VOL'!$N$2:$CG$65,MATCH($D63,'Monthly VOL'!$D$2:$D$65,0),MATCH(BD$1,'Monthly VOL'!$N$1:$CG$1,0))/INDEX('Monthly CUST'!$N$2:$CG$65,MATCH($D63,'Monthly CUST'!$D$2:$D$65,0),MATCH(BD$1,'Monthly CUST'!$N$1:$CG$1,0)),0)</f>
        <v>267294.97200000001</v>
      </c>
      <c r="BE63" s="56">
        <f>IFERROR(INDEX('Monthly VOL'!$N$2:$CG$65,MATCH($D63,'Monthly VOL'!$D$2:$D$65,0),MATCH(BE$1,'Monthly VOL'!$N$1:$CG$1,0))/INDEX('Monthly CUST'!$N$2:$CG$65,MATCH($D63,'Monthly CUST'!$D$2:$D$65,0),MATCH(BE$1,'Monthly CUST'!$N$1:$CG$1,0)),0)</f>
        <v>297143.69199999998</v>
      </c>
      <c r="BF63" s="56">
        <f>IFERROR(INDEX('Monthly VOL'!$N$2:$CG$65,MATCH($D63,'Monthly VOL'!$D$2:$D$65,0),MATCH(BF$1,'Monthly VOL'!$N$1:$CG$1,0))/INDEX('Monthly CUST'!$N$2:$CG$65,MATCH($D63,'Monthly CUST'!$D$2:$D$65,0),MATCH(BF$1,'Monthly CUST'!$N$1:$CG$1,0)),0)</f>
        <v>244980.77799999999</v>
      </c>
      <c r="BG63" s="56">
        <f>IFERROR(INDEX('Monthly VOL'!$N$2:$CG$65,MATCH($D63,'Monthly VOL'!$D$2:$D$65,0),MATCH(BG$1,'Monthly VOL'!$N$1:$CG$1,0))/INDEX('Monthly CUST'!$N$2:$CG$65,MATCH($D63,'Monthly CUST'!$D$2:$D$65,0),MATCH(BG$1,'Monthly CUST'!$N$1:$CG$1,0)),0)</f>
        <v>287933.80599999998</v>
      </c>
      <c r="BH63" s="56">
        <f>IFERROR(INDEX('Monthly VOL'!$N$2:$CG$65,MATCH($D63,'Monthly VOL'!$D$2:$D$65,0),MATCH(BH$1,'Monthly VOL'!$N$1:$CG$1,0))/INDEX('Monthly CUST'!$N$2:$CG$65,MATCH($D63,'Monthly CUST'!$D$2:$D$65,0),MATCH(BH$1,'Monthly CUST'!$N$1:$CG$1,0)),0)</f>
        <v>287163.16200000001</v>
      </c>
      <c r="BI63" s="56">
        <f>IFERROR(INDEX('Monthly VOL'!$N$2:$CG$65,MATCH($D63,'Monthly VOL'!$D$2:$D$65,0),MATCH(BI$1,'Monthly VOL'!$N$1:$CG$1,0))/INDEX('Monthly CUST'!$N$2:$CG$65,MATCH($D63,'Monthly CUST'!$D$2:$D$65,0),MATCH(BI$1,'Monthly CUST'!$N$1:$CG$1,0)),0)</f>
        <v>297901.85600000003</v>
      </c>
      <c r="BJ63" s="56">
        <f>IFERROR(INDEX('Monthly VOL'!$N$2:$CG$65,MATCH($D63,'Monthly VOL'!$D$2:$D$65,0),MATCH(BJ$1,'Monthly VOL'!$N$1:$CG$1,0))/INDEX('Monthly CUST'!$N$2:$CG$65,MATCH($D63,'Monthly CUST'!$D$2:$D$65,0),MATCH(BJ$1,'Monthly CUST'!$N$1:$CG$1,0)),0)</f>
        <v>300696.50800000003</v>
      </c>
      <c r="BK63" s="56">
        <f>IFERROR(INDEX('Monthly VOL'!$N$2:$CG$65,MATCH($D63,'Monthly VOL'!$D$2:$D$65,0),MATCH(BK$1,'Monthly VOL'!$N$1:$CG$1,0))/INDEX('Monthly CUST'!$N$2:$CG$65,MATCH($D63,'Monthly CUST'!$D$2:$D$65,0),MATCH(BK$1,'Monthly CUST'!$N$1:$CG$1,0)),0)</f>
        <v>283287.59999999998</v>
      </c>
      <c r="BL63" s="56">
        <f>IFERROR(INDEX('Monthly VOL'!$N$2:$CG$65,MATCH($D63,'Monthly VOL'!$D$2:$D$65,0),MATCH(BL$1,'Monthly VOL'!$N$1:$CG$1,0))/INDEX('Monthly CUST'!$N$2:$CG$65,MATCH($D63,'Monthly CUST'!$D$2:$D$65,0),MATCH(BL$1,'Monthly CUST'!$N$1:$CG$1,0)),0)</f>
        <v>335242.68799999997</v>
      </c>
      <c r="BM63" s="56">
        <f>IFERROR(INDEX('Monthly VOL'!$N$2:$CG$65,MATCH($D63,'Monthly VOL'!$D$2:$D$65,0),MATCH(BM$1,'Monthly VOL'!$N$1:$CG$1,0))/INDEX('Monthly CUST'!$N$2:$CG$65,MATCH($D63,'Monthly CUST'!$D$2:$D$65,0),MATCH(BM$1,'Monthly CUST'!$N$1:$CG$1,0)),0)</f>
        <v>292658.29200000002</v>
      </c>
      <c r="BN63" s="56">
        <f>IFERROR(INDEX('Monthly VOL'!$N$2:$CG$65,MATCH($D63,'Monthly VOL'!$D$2:$D$65,0),MATCH(BN$1,'Monthly VOL'!$N$1:$CG$1,0))/INDEX('Monthly CUST'!$N$2:$CG$65,MATCH($D63,'Monthly CUST'!$D$2:$D$65,0),MATCH(BN$1,'Monthly CUST'!$N$1:$CG$1,0)),0)</f>
        <v>303617.68799999997</v>
      </c>
      <c r="BO63" s="56">
        <f>IFERROR(INDEX('Monthly VOL'!$N$2:$CG$65,MATCH($D63,'Monthly VOL'!$D$2:$D$65,0),MATCH(BO$1,'Monthly VOL'!$N$1:$CG$1,0))/INDEX('Monthly CUST'!$N$2:$CG$65,MATCH($D63,'Monthly CUST'!$D$2:$D$65,0),MATCH(BO$1,'Monthly CUST'!$N$1:$CG$1,0)),0)</f>
        <v>207485.66999999998</v>
      </c>
      <c r="BP63" s="56">
        <f>IFERROR(INDEX('Monthly VOL'!$N$2:$CG$65,MATCH($D63,'Monthly VOL'!$D$2:$D$65,0),MATCH(BP$1,'Monthly VOL'!$N$1:$CG$1,0))/INDEX('Monthly CUST'!$N$2:$CG$65,MATCH($D63,'Monthly CUST'!$D$2:$D$65,0),MATCH(BP$1,'Monthly CUST'!$N$1:$CG$1,0)),0)</f>
        <v>267294.97200000001</v>
      </c>
      <c r="BQ63" s="56">
        <f>IFERROR(INDEX('Monthly VOL'!$N$2:$CG$65,MATCH($D63,'Monthly VOL'!$D$2:$D$65,0),MATCH(BQ$1,'Monthly VOL'!$N$1:$CG$1,0))/INDEX('Monthly CUST'!$N$2:$CG$65,MATCH($D63,'Monthly CUST'!$D$2:$D$65,0),MATCH(BQ$1,'Monthly CUST'!$N$1:$CG$1,0)),0)</f>
        <v>297143.69199999998</v>
      </c>
      <c r="BR63" s="56">
        <f>IFERROR(INDEX('Monthly VOL'!$N$2:$CG$65,MATCH($D63,'Monthly VOL'!$D$2:$D$65,0),MATCH(BR$1,'Monthly VOL'!$N$1:$CG$1,0))/INDEX('Monthly CUST'!$N$2:$CG$65,MATCH($D63,'Monthly CUST'!$D$2:$D$65,0),MATCH(BR$1,'Monthly CUST'!$N$1:$CG$1,0)),0)</f>
        <v>244980.77799999999</v>
      </c>
      <c r="BS63" s="56">
        <f>IFERROR(INDEX('Monthly VOL'!$N$2:$CG$65,MATCH($D63,'Monthly VOL'!$D$2:$D$65,0),MATCH(BS$1,'Monthly VOL'!$N$1:$CG$1,0))/INDEX('Monthly CUST'!$N$2:$CG$65,MATCH($D63,'Monthly CUST'!$D$2:$D$65,0),MATCH(BS$1,'Monthly CUST'!$N$1:$CG$1,0)),0)</f>
        <v>287933.80599999998</v>
      </c>
      <c r="BT63" s="56">
        <f>IFERROR(INDEX('Monthly VOL'!$N$2:$CG$65,MATCH($D63,'Monthly VOL'!$D$2:$D$65,0),MATCH(BT$1,'Monthly VOL'!$N$1:$CG$1,0))/INDEX('Monthly CUST'!$N$2:$CG$65,MATCH($D63,'Monthly CUST'!$D$2:$D$65,0),MATCH(BT$1,'Monthly CUST'!$N$1:$CG$1,0)),0)</f>
        <v>287163.16200000001</v>
      </c>
      <c r="BU63" s="56">
        <f>IFERROR(INDEX('Monthly VOL'!$N$2:$CG$65,MATCH($D63,'Monthly VOL'!$D$2:$D$65,0),MATCH(BU$1,'Monthly VOL'!$N$1:$CG$1,0))/INDEX('Monthly CUST'!$N$2:$CG$65,MATCH($D63,'Monthly CUST'!$D$2:$D$65,0),MATCH(BU$1,'Monthly CUST'!$N$1:$CG$1,0)),0)</f>
        <v>297901.85600000003</v>
      </c>
      <c r="BV63" s="56">
        <f>IFERROR(INDEX('Monthly VOL'!$N$2:$CG$65,MATCH($D63,'Monthly VOL'!$D$2:$D$65,0),MATCH(BV$1,'Monthly VOL'!$N$1:$CG$1,0))/INDEX('Monthly CUST'!$N$2:$CG$65,MATCH($D63,'Monthly CUST'!$D$2:$D$65,0),MATCH(BV$1,'Monthly CUST'!$N$1:$CG$1,0)),0)</f>
        <v>300696.50800000003</v>
      </c>
      <c r="BW63" s="56">
        <f>IFERROR(INDEX('Monthly VOL'!$N$2:$CG$65,MATCH($D63,'Monthly VOL'!$D$2:$D$65,0),MATCH(BW$1,'Monthly VOL'!$N$1:$CG$1,0))/INDEX('Monthly CUST'!$N$2:$CG$65,MATCH($D63,'Monthly CUST'!$D$2:$D$65,0),MATCH(BW$1,'Monthly CUST'!$N$1:$CG$1,0)),0)</f>
        <v>283287.59999999998</v>
      </c>
      <c r="BX63" s="56">
        <f>IFERROR(INDEX('Monthly VOL'!$N$2:$CG$65,MATCH($D63,'Monthly VOL'!$D$2:$D$65,0),MATCH(BX$1,'Monthly VOL'!$N$1:$CG$1,0))/INDEX('Monthly CUST'!$N$2:$CG$65,MATCH($D63,'Monthly CUST'!$D$2:$D$65,0),MATCH(BX$1,'Monthly CUST'!$N$1:$CG$1,0)),0)</f>
        <v>335242.68799999997</v>
      </c>
      <c r="BY63" s="56">
        <f>IFERROR(INDEX('Monthly VOL'!$N$2:$CG$65,MATCH($D63,'Monthly VOL'!$D$2:$D$65,0),MATCH(BY$1,'Monthly VOL'!$N$1:$CG$1,0))/INDEX('Monthly CUST'!$N$2:$CG$65,MATCH($D63,'Monthly CUST'!$D$2:$D$65,0),MATCH(BY$1,'Monthly CUST'!$N$1:$CG$1,0)),0)</f>
        <v>292658.29200000002</v>
      </c>
      <c r="BZ63" s="56">
        <f>IFERROR(INDEX('Monthly VOL'!$N$2:$CG$65,MATCH($D63,'Monthly VOL'!$D$2:$D$65,0),MATCH(BZ$1,'Monthly VOL'!$N$1:$CG$1,0))/INDEX('Monthly CUST'!$N$2:$CG$65,MATCH($D63,'Monthly CUST'!$D$2:$D$65,0),MATCH(BZ$1,'Monthly CUST'!$N$1:$CG$1,0)),0)</f>
        <v>303617.68799999997</v>
      </c>
      <c r="CA63" s="56">
        <f>IFERROR(INDEX('Monthly VOL'!$N$2:$CG$65,MATCH($D63,'Monthly VOL'!$D$2:$D$65,0),MATCH(CA$1,'Monthly VOL'!$N$1:$CG$1,0))/INDEX('Monthly CUST'!$N$2:$CG$65,MATCH($D63,'Monthly CUST'!$D$2:$D$65,0),MATCH(CA$1,'Monthly CUST'!$N$1:$CG$1,0)),0)</f>
        <v>207485.66999999998</v>
      </c>
      <c r="CB63" s="56">
        <f>IFERROR(INDEX('Monthly VOL'!$N$2:$CG$65,MATCH($D63,'Monthly VOL'!$D$2:$D$65,0),MATCH(CB$1,'Monthly VOL'!$N$1:$CG$1,0))/INDEX('Monthly CUST'!$N$2:$CG$65,MATCH($D63,'Monthly CUST'!$D$2:$D$65,0),MATCH(CB$1,'Monthly CUST'!$N$1:$CG$1,0)),0)</f>
        <v>267294.97200000001</v>
      </c>
      <c r="CC63" s="56">
        <f>IFERROR(INDEX('Monthly VOL'!$N$2:$CG$65,MATCH($D63,'Monthly VOL'!$D$2:$D$65,0),MATCH(CC$1,'Monthly VOL'!$N$1:$CG$1,0))/INDEX('Monthly CUST'!$N$2:$CG$65,MATCH($D63,'Monthly CUST'!$D$2:$D$65,0),MATCH(CC$1,'Monthly CUST'!$N$1:$CG$1,0)),0)</f>
        <v>297143.69199999998</v>
      </c>
      <c r="CD63" s="56">
        <f>IFERROR(INDEX('Monthly VOL'!$N$2:$CG$65,MATCH($D63,'Monthly VOL'!$D$2:$D$65,0),MATCH(CD$1,'Monthly VOL'!$N$1:$CG$1,0))/INDEX('Monthly CUST'!$N$2:$CG$65,MATCH($D63,'Monthly CUST'!$D$2:$D$65,0),MATCH(CD$1,'Monthly CUST'!$N$1:$CG$1,0)),0)</f>
        <v>244980.77799999999</v>
      </c>
      <c r="CE63" s="56">
        <f>IFERROR(INDEX('Monthly VOL'!$N$2:$CG$65,MATCH($D63,'Monthly VOL'!$D$2:$D$65,0),MATCH(CE$1,'Monthly VOL'!$N$1:$CG$1,0))/INDEX('Monthly CUST'!$N$2:$CG$65,MATCH($D63,'Monthly CUST'!$D$2:$D$65,0),MATCH(CE$1,'Monthly CUST'!$N$1:$CG$1,0)),0)</f>
        <v>287933.80599999998</v>
      </c>
      <c r="CF63" s="56">
        <f>IFERROR(INDEX('Monthly VOL'!$N$2:$CG$65,MATCH($D63,'Monthly VOL'!$D$2:$D$65,0),MATCH(CF$1,'Monthly VOL'!$N$1:$CG$1,0))/INDEX('Monthly CUST'!$N$2:$CG$65,MATCH($D63,'Monthly CUST'!$D$2:$D$65,0),MATCH(CF$1,'Monthly CUST'!$N$1:$CG$1,0)),0)</f>
        <v>287163.16200000001</v>
      </c>
      <c r="CG63" s="56">
        <f>IFERROR(INDEX('Monthly VOL'!$N$2:$CG$65,MATCH($D63,'Monthly VOL'!$D$2:$D$65,0),MATCH(CG$1,'Monthly VOL'!$N$1:$CG$1,0))/INDEX('Monthly CUST'!$N$2:$CG$65,MATCH($D63,'Monthly CUST'!$D$2:$D$65,0),MATCH(CG$1,'Monthly CUST'!$N$1:$CG$1,0)),0)</f>
        <v>297901.85600000003</v>
      </c>
      <c r="CH63" s="264"/>
      <c r="CI63" s="264"/>
      <c r="CJ63" s="264"/>
      <c r="CM63" s="569">
        <f t="shared" si="24"/>
        <v>299402.33033333335</v>
      </c>
      <c r="CN63" s="569">
        <f t="shared" si="25"/>
        <v>295194.74849999999</v>
      </c>
      <c r="CO63" s="569">
        <f t="shared" si="26"/>
        <v>336808.2585</v>
      </c>
      <c r="CP63" s="569">
        <f t="shared" si="27"/>
        <v>306724.3075</v>
      </c>
      <c r="CQ63" s="569">
        <f t="shared" si="28"/>
        <v>304050.33</v>
      </c>
      <c r="CR63" s="569">
        <f t="shared" si="29"/>
        <v>251587.16266666664</v>
      </c>
      <c r="CS63" s="569">
        <f t="shared" si="30"/>
        <v>266363.37866666663</v>
      </c>
      <c r="CT63" s="569">
        <f t="shared" si="31"/>
        <v>297388.68399999995</v>
      </c>
      <c r="CU63" s="569">
        <f t="shared" si="32"/>
        <v>248601.68399999998</v>
      </c>
      <c r="CV63" s="569">
        <f t="shared" si="33"/>
        <v>284942.62466666667</v>
      </c>
      <c r="CW63" s="569">
        <f t="shared" si="34"/>
        <v>271213.26733333332</v>
      </c>
      <c r="CX63" s="569">
        <f t="shared" si="35"/>
        <v>294623.28200000001</v>
      </c>
      <c r="CY63" s="569">
        <f t="shared" si="36"/>
        <v>299402.33033333335</v>
      </c>
      <c r="CZ63" s="569">
        <f t="shared" si="37"/>
        <v>295194.74849999999</v>
      </c>
      <c r="DA63" s="569">
        <f t="shared" si="38"/>
        <v>336808.2585</v>
      </c>
      <c r="DB63" s="569">
        <f t="shared" si="39"/>
        <v>306724.3075</v>
      </c>
      <c r="DC63" s="569">
        <f t="shared" si="40"/>
        <v>304050.33</v>
      </c>
      <c r="DD63" s="569">
        <f t="shared" si="41"/>
        <v>251587.16266666664</v>
      </c>
      <c r="DE63" s="569">
        <f t="shared" si="42"/>
        <v>266363.37866666663</v>
      </c>
      <c r="DF63" s="569">
        <f t="shared" si="43"/>
        <v>297388.68399999995</v>
      </c>
      <c r="DG63" s="569">
        <f t="shared" si="44"/>
        <v>248601.68399999998</v>
      </c>
      <c r="DH63" s="569">
        <f t="shared" si="45"/>
        <v>284942.62466666667</v>
      </c>
      <c r="DI63" s="569">
        <f t="shared" si="46"/>
        <v>271213.26733333332</v>
      </c>
      <c r="DJ63" s="569">
        <f t="shared" si="47"/>
        <v>294623.28200000001</v>
      </c>
    </row>
    <row r="64" spans="1:114" s="261" customFormat="1">
      <c r="A64" s="55" t="s">
        <v>17</v>
      </c>
      <c r="B64" s="55" t="s">
        <v>993</v>
      </c>
      <c r="C64" s="55" t="s">
        <v>1245</v>
      </c>
      <c r="D64" s="55" t="s">
        <v>122</v>
      </c>
      <c r="E64" s="55" t="str">
        <f>VLOOKUP(D64,'Input 14_Ref Table'!C:D,2,FALSE)</f>
        <v>CICID</v>
      </c>
      <c r="F64" s="172" t="s">
        <v>1286</v>
      </c>
      <c r="G64" s="55" t="str">
        <f>VLOOKUP(D64,'Input 14_Ref Table'!C:I,7,FALSE)</f>
        <v>CFG - FTS-13</v>
      </c>
      <c r="H64" s="55" t="str">
        <f>VLOOKUP(D64,'Input 14_Ref Table'!C:K,8,FALSE)</f>
        <v>Base Period</v>
      </c>
      <c r="I64" s="55" t="e">
        <f>INDEX(#REF!,MATCH(D64,#REF!,0))</f>
        <v>#REF!</v>
      </c>
      <c r="J64" s="261" t="str">
        <f>INDEX('Master '!$AD$2:AD$65,MATCH(D64,'Master '!$D$2:$D$65,0))</f>
        <v>Base Period</v>
      </c>
      <c r="K64" s="567">
        <f>INDEX('Master '!$N$2:N$65,MATCH(D64,'Master '!$D$2:$D$65,0))</f>
        <v>0</v>
      </c>
      <c r="L64" s="290">
        <f>INDEX('Master '!$S$2:S$65,MATCH(D64,'Master '!$D$2:$D$65,0))</f>
        <v>0</v>
      </c>
      <c r="M64" s="1">
        <f>INDEX('Master '!$W$2:W$65,MATCH(D64,'Master '!$D$2:$D$65,0))</f>
        <v>0</v>
      </c>
      <c r="N64" s="56">
        <f>IFERROR(INDEX('Monthly VOL'!$N$2:$CG$65,MATCH($D64,'Monthly VOL'!$D$2:$D$65,0),MATCH(N$1,'Monthly VOL'!$N$1:$CG$1,0))/INDEX('Monthly CUST'!$N$2:$CG$65,MATCH($D64,'Monthly CUST'!$D$2:$D$65,0),MATCH(N$1,'Monthly CUST'!$N$1:$CG$1,0)),0)</f>
        <v>0</v>
      </c>
      <c r="O64" s="56">
        <f>IFERROR(INDEX('Monthly VOL'!$N$2:$CG$65,MATCH($D64,'Monthly VOL'!$D$2:$D$65,0),MATCH(O$1,'Monthly VOL'!$N$1:$CG$1,0))/INDEX('Monthly CUST'!$N$2:$CG$65,MATCH($D64,'Monthly CUST'!$D$2:$D$65,0),MATCH(O$1,'Monthly CUST'!$N$1:$CG$1,0)),0)</f>
        <v>0</v>
      </c>
      <c r="P64" s="56">
        <f>IFERROR(INDEX('Monthly VOL'!$N$2:$CG$65,MATCH($D64,'Monthly VOL'!$D$2:$D$65,0),MATCH(P$1,'Monthly VOL'!$N$1:$CG$1,0))/INDEX('Monthly CUST'!$N$2:$CG$65,MATCH($D64,'Monthly CUST'!$D$2:$D$65,0),MATCH(P$1,'Monthly CUST'!$N$1:$CG$1,0)),0)</f>
        <v>0</v>
      </c>
      <c r="Q64" s="56">
        <f>IFERROR(INDEX('Monthly VOL'!$N$2:$CG$65,MATCH($D64,'Monthly VOL'!$D$2:$D$65,0),MATCH(Q$1,'Monthly VOL'!$N$1:$CG$1,0))/INDEX('Monthly CUST'!$N$2:$CG$65,MATCH($D64,'Monthly CUST'!$D$2:$D$65,0),MATCH(Q$1,'Monthly CUST'!$N$1:$CG$1,0)),0)</f>
        <v>0</v>
      </c>
      <c r="R64" s="56">
        <f>IFERROR(INDEX('Monthly VOL'!$N$2:$CG$65,MATCH($D64,'Monthly VOL'!$D$2:$D$65,0),MATCH(R$1,'Monthly VOL'!$N$1:$CG$1,0))/INDEX('Monthly CUST'!$N$2:$CG$65,MATCH($D64,'Monthly CUST'!$D$2:$D$65,0),MATCH(R$1,'Monthly CUST'!$N$1:$CG$1,0)),0)</f>
        <v>0</v>
      </c>
      <c r="S64" s="56">
        <f>IFERROR(INDEX('Monthly VOL'!$N$2:$CG$65,MATCH($D64,'Monthly VOL'!$D$2:$D$65,0),MATCH(S$1,'Monthly VOL'!$N$1:$CG$1,0))/INDEX('Monthly CUST'!$N$2:$CG$65,MATCH($D64,'Monthly CUST'!$D$2:$D$65,0),MATCH(S$1,'Monthly CUST'!$N$1:$CG$1,0)),0)</f>
        <v>0</v>
      </c>
      <c r="T64" s="56">
        <f>IFERROR(INDEX('Monthly VOL'!$N$2:$CG$65,MATCH($D64,'Monthly VOL'!$D$2:$D$65,0),MATCH(T$1,'Monthly VOL'!$N$1:$CG$1,0))/INDEX('Monthly CUST'!$N$2:$CG$65,MATCH($D64,'Monthly CUST'!$D$2:$D$65,0),MATCH(T$1,'Monthly CUST'!$N$1:$CG$1,0)),0)</f>
        <v>0</v>
      </c>
      <c r="U64" s="56">
        <f>IFERROR(INDEX('Monthly VOL'!$N$2:$CG$65,MATCH($D64,'Monthly VOL'!$D$2:$D$65,0),MATCH(U$1,'Monthly VOL'!$N$1:$CG$1,0))/INDEX('Monthly CUST'!$N$2:$CG$65,MATCH($D64,'Monthly CUST'!$D$2:$D$65,0),MATCH(U$1,'Monthly CUST'!$N$1:$CG$1,0)),0)</f>
        <v>0</v>
      </c>
      <c r="V64" s="56">
        <f>IFERROR(INDEX('Monthly VOL'!$N$2:$CG$65,MATCH($D64,'Monthly VOL'!$D$2:$D$65,0),MATCH(V$1,'Monthly VOL'!$N$1:$CG$1,0))/INDEX('Monthly CUST'!$N$2:$CG$65,MATCH($D64,'Monthly CUST'!$D$2:$D$65,0),MATCH(V$1,'Monthly CUST'!$N$1:$CG$1,0)),0)</f>
        <v>0</v>
      </c>
      <c r="W64" s="56">
        <f>IFERROR(INDEX('Monthly VOL'!$N$2:$CG$65,MATCH($D64,'Monthly VOL'!$D$2:$D$65,0),MATCH(W$1,'Monthly VOL'!$N$1:$CG$1,0))/INDEX('Monthly CUST'!$N$2:$CG$65,MATCH($D64,'Monthly CUST'!$D$2:$D$65,0),MATCH(W$1,'Monthly CUST'!$N$1:$CG$1,0)),0)</f>
        <v>0</v>
      </c>
      <c r="X64" s="56">
        <f>IFERROR(INDEX('Monthly VOL'!$N$2:$CG$65,MATCH($D64,'Monthly VOL'!$D$2:$D$65,0),MATCH(X$1,'Monthly VOL'!$N$1:$CG$1,0))/INDEX('Monthly CUST'!$N$2:$CG$65,MATCH($D64,'Monthly CUST'!$D$2:$D$65,0),MATCH(X$1,'Monthly CUST'!$N$1:$CG$1,0)),0)</f>
        <v>0</v>
      </c>
      <c r="Y64" s="56">
        <f>IFERROR(INDEX('Monthly VOL'!$N$2:$CG$65,MATCH($D64,'Monthly VOL'!$D$2:$D$65,0),MATCH(Y$1,'Monthly VOL'!$N$1:$CG$1,0))/INDEX('Monthly CUST'!$N$2:$CG$65,MATCH($D64,'Monthly CUST'!$D$2:$D$65,0),MATCH(Y$1,'Monthly CUST'!$N$1:$CG$1,0)),0)</f>
        <v>0</v>
      </c>
      <c r="Z64" s="56">
        <f>IFERROR(INDEX('Monthly VOL'!$N$2:$CG$65,MATCH($D64,'Monthly VOL'!$D$2:$D$65,0),MATCH(Z$1,'Monthly VOL'!$N$1:$CG$1,0))/INDEX('Monthly CUST'!$N$2:$CG$65,MATCH($D64,'Monthly CUST'!$D$2:$D$65,0),MATCH(Z$1,'Monthly CUST'!$N$1:$CG$1,0)),0)</f>
        <v>0</v>
      </c>
      <c r="AA64" s="56">
        <f>IFERROR(INDEX('Monthly VOL'!$N$2:$CG$65,MATCH($D64,'Monthly VOL'!$D$2:$D$65,0),MATCH(AA$1,'Monthly VOL'!$N$1:$CG$1,0))/INDEX('Monthly CUST'!$N$2:$CG$65,MATCH($D64,'Monthly CUST'!$D$2:$D$65,0),MATCH(AA$1,'Monthly CUST'!$N$1:$CG$1,0)),0)</f>
        <v>0</v>
      </c>
      <c r="AB64" s="56">
        <f>IFERROR(INDEX('Monthly VOL'!$N$2:$CG$65,MATCH($D64,'Monthly VOL'!$D$2:$D$65,0),MATCH(AB$1,'Monthly VOL'!$N$1:$CG$1,0))/INDEX('Monthly CUST'!$N$2:$CG$65,MATCH($D64,'Monthly CUST'!$D$2:$D$65,0),MATCH(AB$1,'Monthly CUST'!$N$1:$CG$1,0)),0)</f>
        <v>0</v>
      </c>
      <c r="AC64" s="56">
        <f>IFERROR(INDEX('Monthly VOL'!$N$2:$CG$65,MATCH($D64,'Monthly VOL'!$D$2:$D$65,0),MATCH(AC$1,'Monthly VOL'!$N$1:$CG$1,0))/INDEX('Monthly CUST'!$N$2:$CG$65,MATCH($D64,'Monthly CUST'!$D$2:$D$65,0),MATCH(AC$1,'Monthly CUST'!$N$1:$CG$1,0)),0)</f>
        <v>0</v>
      </c>
      <c r="AD64" s="56">
        <f>IFERROR(INDEX('Monthly VOL'!$N$2:$CG$65,MATCH($D64,'Monthly VOL'!$D$2:$D$65,0),MATCH(AD$1,'Monthly VOL'!$N$1:$CG$1,0))/INDEX('Monthly CUST'!$N$2:$CG$65,MATCH($D64,'Monthly CUST'!$D$2:$D$65,0),MATCH(AD$1,'Monthly CUST'!$N$1:$CG$1,0)),0)</f>
        <v>0</v>
      </c>
      <c r="AE64" s="56">
        <f>IFERROR(INDEX('Monthly VOL'!$N$2:$CG$65,MATCH($D64,'Monthly VOL'!$D$2:$D$65,0),MATCH(AE$1,'Monthly VOL'!$N$1:$CG$1,0))/INDEX('Monthly CUST'!$N$2:$CG$65,MATCH($D64,'Monthly CUST'!$D$2:$D$65,0),MATCH(AE$1,'Monthly CUST'!$N$1:$CG$1,0)),0)</f>
        <v>0</v>
      </c>
      <c r="AF64" s="56">
        <f>IFERROR(INDEX('Monthly VOL'!$N$2:$CG$65,MATCH($D64,'Monthly VOL'!$D$2:$D$65,0),MATCH(AF$1,'Monthly VOL'!$N$1:$CG$1,0))/INDEX('Monthly CUST'!$N$2:$CG$65,MATCH($D64,'Monthly CUST'!$D$2:$D$65,0),MATCH(AF$1,'Monthly CUST'!$N$1:$CG$1,0)),0)</f>
        <v>0</v>
      </c>
      <c r="AG64" s="56">
        <f>IFERROR(INDEX('Monthly VOL'!$N$2:$CG$65,MATCH($D64,'Monthly VOL'!$D$2:$D$65,0),MATCH(AG$1,'Monthly VOL'!$N$1:$CG$1,0))/INDEX('Monthly CUST'!$N$2:$CG$65,MATCH($D64,'Monthly CUST'!$D$2:$D$65,0),MATCH(AG$1,'Monthly CUST'!$N$1:$CG$1,0)),0)</f>
        <v>0</v>
      </c>
      <c r="AH64" s="56">
        <f>IFERROR(INDEX('Monthly VOL'!$N$2:$CG$65,MATCH($D64,'Monthly VOL'!$D$2:$D$65,0),MATCH(AH$1,'Monthly VOL'!$N$1:$CG$1,0))/INDEX('Monthly CUST'!$N$2:$CG$65,MATCH($D64,'Monthly CUST'!$D$2:$D$65,0),MATCH(AH$1,'Monthly CUST'!$N$1:$CG$1,0)),0)</f>
        <v>0</v>
      </c>
      <c r="AI64" s="56">
        <f>IFERROR(INDEX('Monthly VOL'!$N$2:$CG$65,MATCH($D64,'Monthly VOL'!$D$2:$D$65,0),MATCH(AI$1,'Monthly VOL'!$N$1:$CG$1,0))/INDEX('Monthly CUST'!$N$2:$CG$65,MATCH($D64,'Monthly CUST'!$D$2:$D$65,0),MATCH(AI$1,'Monthly CUST'!$N$1:$CG$1,0)),0)</f>
        <v>0</v>
      </c>
      <c r="AJ64" s="56">
        <f>IFERROR(INDEX('Monthly VOL'!$N$2:$CG$65,MATCH($D64,'Monthly VOL'!$D$2:$D$65,0),MATCH(AJ$1,'Monthly VOL'!$N$1:$CG$1,0))/INDEX('Monthly CUST'!$N$2:$CG$65,MATCH($D64,'Monthly CUST'!$D$2:$D$65,0),MATCH(AJ$1,'Monthly CUST'!$N$1:$CG$1,0)),0)</f>
        <v>0</v>
      </c>
      <c r="AK64" s="56">
        <f>IFERROR(INDEX('Monthly VOL'!$N$2:$CG$65,MATCH($D64,'Monthly VOL'!$D$2:$D$65,0),MATCH(AK$1,'Monthly VOL'!$N$1:$CG$1,0))/INDEX('Monthly CUST'!$N$2:$CG$65,MATCH($D64,'Monthly CUST'!$D$2:$D$65,0),MATCH(AK$1,'Monthly CUST'!$N$1:$CG$1,0)),0)</f>
        <v>0</v>
      </c>
      <c r="AL64" s="56">
        <f>IFERROR(INDEX('Monthly VOL'!$N$2:$CG$65,MATCH($D64,'Monthly VOL'!$D$2:$D$65,0),MATCH(AL$1,'Monthly VOL'!$N$1:$CG$1,0))/INDEX('Monthly CUST'!$N$2:$CG$65,MATCH($D64,'Monthly CUST'!$D$2:$D$65,0),MATCH(AL$1,'Monthly CUST'!$N$1:$CG$1,0)),0)</f>
        <v>0</v>
      </c>
      <c r="AM64" s="56">
        <f>IFERROR(INDEX('Monthly VOL'!$N$2:$CG$65,MATCH($D64,'Monthly VOL'!$D$2:$D$65,0),MATCH(AM$1,'Monthly VOL'!$N$1:$CG$1,0))/INDEX('Monthly CUST'!$N$2:$CG$65,MATCH($D64,'Monthly CUST'!$D$2:$D$65,0),MATCH(AM$1,'Monthly CUST'!$N$1:$CG$1,0)),0)</f>
        <v>0</v>
      </c>
      <c r="AN64" s="56">
        <f>IFERROR(INDEX('Monthly VOL'!$N$2:$CG$65,MATCH($D64,'Monthly VOL'!$D$2:$D$65,0),MATCH(AN$1,'Monthly VOL'!$N$1:$CG$1,0))/INDEX('Monthly CUST'!$N$2:$CG$65,MATCH($D64,'Monthly CUST'!$D$2:$D$65,0),MATCH(AN$1,'Monthly CUST'!$N$1:$CG$1,0)),0)</f>
        <v>0</v>
      </c>
      <c r="AO64" s="56">
        <f>IFERROR(INDEX('Monthly VOL'!$N$2:$CG$65,MATCH($D64,'Monthly VOL'!$D$2:$D$65,0),MATCH(AO$1,'Monthly VOL'!$N$1:$CG$1,0))/INDEX('Monthly CUST'!$N$2:$CG$65,MATCH($D64,'Monthly CUST'!$D$2:$D$65,0),MATCH(AO$1,'Monthly CUST'!$N$1:$CG$1,0)),0)</f>
        <v>0</v>
      </c>
      <c r="AP64" s="56">
        <f>IFERROR(INDEX('Monthly VOL'!$N$2:$CG$65,MATCH($D64,'Monthly VOL'!$D$2:$D$65,0),MATCH(AP$1,'Monthly VOL'!$N$1:$CG$1,0))/INDEX('Monthly CUST'!$N$2:$CG$65,MATCH($D64,'Monthly CUST'!$D$2:$D$65,0),MATCH(AP$1,'Monthly CUST'!$N$1:$CG$1,0)),0)</f>
        <v>0</v>
      </c>
      <c r="AQ64" s="56">
        <f>IFERROR(INDEX('Monthly VOL'!$N$2:$CG$65,MATCH($D64,'Monthly VOL'!$D$2:$D$65,0),MATCH(AQ$1,'Monthly VOL'!$N$1:$CG$1,0))/INDEX('Monthly CUST'!$N$2:$CG$65,MATCH($D64,'Monthly CUST'!$D$2:$D$65,0),MATCH(AQ$1,'Monthly CUST'!$N$1:$CG$1,0)),0)</f>
        <v>0</v>
      </c>
      <c r="AR64" s="56">
        <f>IFERROR(INDEX('Monthly VOL'!$N$2:$CG$65,MATCH($D64,'Monthly VOL'!$D$2:$D$65,0),MATCH(AR$1,'Monthly VOL'!$N$1:$CG$1,0))/INDEX('Monthly CUST'!$N$2:$CG$65,MATCH($D64,'Monthly CUST'!$D$2:$D$65,0),MATCH(AR$1,'Monthly CUST'!$N$1:$CG$1,0)),0)</f>
        <v>0</v>
      </c>
      <c r="AS64" s="56">
        <f>IFERROR(INDEX('Monthly VOL'!$N$2:$CG$65,MATCH($D64,'Monthly VOL'!$D$2:$D$65,0),MATCH(AS$1,'Monthly VOL'!$N$1:$CG$1,0))/INDEX('Monthly CUST'!$N$2:$CG$65,MATCH($D64,'Monthly CUST'!$D$2:$D$65,0),MATCH(AS$1,'Monthly CUST'!$N$1:$CG$1,0)),0)</f>
        <v>0</v>
      </c>
      <c r="AT64" s="56">
        <f>IFERROR(INDEX('Monthly VOL'!$N$2:$CG$65,MATCH($D64,'Monthly VOL'!$D$2:$D$65,0),MATCH(AT$1,'Monthly VOL'!$N$1:$CG$1,0))/INDEX('Monthly CUST'!$N$2:$CG$65,MATCH($D64,'Monthly CUST'!$D$2:$D$65,0),MATCH(AT$1,'Monthly CUST'!$N$1:$CG$1,0)),0)</f>
        <v>0</v>
      </c>
      <c r="AU64" s="56">
        <f>IFERROR(INDEX('Monthly VOL'!$N$2:$CG$65,MATCH($D64,'Monthly VOL'!$D$2:$D$65,0),MATCH(AU$1,'Monthly VOL'!$N$1:$CG$1,0))/INDEX('Monthly CUST'!$N$2:$CG$65,MATCH($D64,'Monthly CUST'!$D$2:$D$65,0),MATCH(AU$1,'Monthly CUST'!$N$1:$CG$1,0)),0)</f>
        <v>0</v>
      </c>
      <c r="AV64" s="56">
        <f>IFERROR(INDEX('Monthly VOL'!$N$2:$CG$65,MATCH($D64,'Monthly VOL'!$D$2:$D$65,0),MATCH(AV$1,'Monthly VOL'!$N$1:$CG$1,0))/INDEX('Monthly CUST'!$N$2:$CG$65,MATCH($D64,'Monthly CUST'!$D$2:$D$65,0),MATCH(AV$1,'Monthly CUST'!$N$1:$CG$1,0)),0)</f>
        <v>0</v>
      </c>
      <c r="AW64" s="56">
        <f>IFERROR(INDEX('Monthly VOL'!$N$2:$CG$65,MATCH($D64,'Monthly VOL'!$D$2:$D$65,0),MATCH(AW$1,'Monthly VOL'!$N$1:$CG$1,0))/INDEX('Monthly CUST'!$N$2:$CG$65,MATCH($D64,'Monthly CUST'!$D$2:$D$65,0),MATCH(AW$1,'Monthly CUST'!$N$1:$CG$1,0)),0)</f>
        <v>0</v>
      </c>
      <c r="AX64" s="56">
        <f>IFERROR(INDEX('Monthly VOL'!$N$2:$CG$65,MATCH($D64,'Monthly VOL'!$D$2:$D$65,0),MATCH(AX$1,'Monthly VOL'!$N$1:$CG$1,0))/INDEX('Monthly CUST'!$N$2:$CG$65,MATCH($D64,'Monthly CUST'!$D$2:$D$65,0),MATCH(AX$1,'Monthly CUST'!$N$1:$CG$1,0)),0)</f>
        <v>0</v>
      </c>
      <c r="AY64" s="56">
        <f>IFERROR(INDEX('Monthly VOL'!$N$2:$CG$65,MATCH($D64,'Monthly VOL'!$D$2:$D$65,0),MATCH(AY$1,'Monthly VOL'!$N$1:$CG$1,0))/INDEX('Monthly CUST'!$N$2:$CG$65,MATCH($D64,'Monthly CUST'!$D$2:$D$65,0),MATCH(AY$1,'Monthly CUST'!$N$1:$CG$1,0)),0)</f>
        <v>0</v>
      </c>
      <c r="AZ64" s="56">
        <f>IFERROR(INDEX('Monthly VOL'!$N$2:$CG$65,MATCH($D64,'Monthly VOL'!$D$2:$D$65,0),MATCH(AZ$1,'Monthly VOL'!$N$1:$CG$1,0))/INDEX('Monthly CUST'!$N$2:$CG$65,MATCH($D64,'Monthly CUST'!$D$2:$D$65,0),MATCH(AZ$1,'Monthly CUST'!$N$1:$CG$1,0)),0)</f>
        <v>0</v>
      </c>
      <c r="BA64" s="56">
        <f>IFERROR(INDEX('Monthly VOL'!$N$2:$CG$65,MATCH($D64,'Monthly VOL'!$D$2:$D$65,0),MATCH(BA$1,'Monthly VOL'!$N$1:$CG$1,0))/INDEX('Monthly CUST'!$N$2:$CG$65,MATCH($D64,'Monthly CUST'!$D$2:$D$65,0),MATCH(BA$1,'Monthly CUST'!$N$1:$CG$1,0)),0)</f>
        <v>0</v>
      </c>
      <c r="BB64" s="56">
        <f>IFERROR(INDEX('Monthly VOL'!$N$2:$CG$65,MATCH($D64,'Monthly VOL'!$D$2:$D$65,0),MATCH(BB$1,'Monthly VOL'!$N$1:$CG$1,0))/INDEX('Monthly CUST'!$N$2:$CG$65,MATCH($D64,'Monthly CUST'!$D$2:$D$65,0),MATCH(BB$1,'Monthly CUST'!$N$1:$CG$1,0)),0)</f>
        <v>0</v>
      </c>
      <c r="BC64" s="56">
        <f>IFERROR(INDEX('Monthly VOL'!$N$2:$CG$65,MATCH($D64,'Monthly VOL'!$D$2:$D$65,0),MATCH(BC$1,'Monthly VOL'!$N$1:$CG$1,0))/INDEX('Monthly CUST'!$N$2:$CG$65,MATCH($D64,'Monthly CUST'!$D$2:$D$65,0),MATCH(BC$1,'Monthly CUST'!$N$1:$CG$1,0)),0)</f>
        <v>0</v>
      </c>
      <c r="BD64" s="56">
        <f>IFERROR(INDEX('Monthly VOL'!$N$2:$CG$65,MATCH($D64,'Monthly VOL'!$D$2:$D$65,0),MATCH(BD$1,'Monthly VOL'!$N$1:$CG$1,0))/INDEX('Monthly CUST'!$N$2:$CG$65,MATCH($D64,'Monthly CUST'!$D$2:$D$65,0),MATCH(BD$1,'Monthly CUST'!$N$1:$CG$1,0)),0)</f>
        <v>0</v>
      </c>
      <c r="BE64" s="56">
        <f>IFERROR(INDEX('Monthly VOL'!$N$2:$CG$65,MATCH($D64,'Monthly VOL'!$D$2:$D$65,0),MATCH(BE$1,'Monthly VOL'!$N$1:$CG$1,0))/INDEX('Monthly CUST'!$N$2:$CG$65,MATCH($D64,'Monthly CUST'!$D$2:$D$65,0),MATCH(BE$1,'Monthly CUST'!$N$1:$CG$1,0)),0)</f>
        <v>0</v>
      </c>
      <c r="BF64" s="56">
        <f>IFERROR(INDEX('Monthly VOL'!$N$2:$CG$65,MATCH($D64,'Monthly VOL'!$D$2:$D$65,0),MATCH(BF$1,'Monthly VOL'!$N$1:$CG$1,0))/INDEX('Monthly CUST'!$N$2:$CG$65,MATCH($D64,'Monthly CUST'!$D$2:$D$65,0),MATCH(BF$1,'Monthly CUST'!$N$1:$CG$1,0)),0)</f>
        <v>0</v>
      </c>
      <c r="BG64" s="56">
        <f>IFERROR(INDEX('Monthly VOL'!$N$2:$CG$65,MATCH($D64,'Monthly VOL'!$D$2:$D$65,0),MATCH(BG$1,'Monthly VOL'!$N$1:$CG$1,0))/INDEX('Monthly CUST'!$N$2:$CG$65,MATCH($D64,'Monthly CUST'!$D$2:$D$65,0),MATCH(BG$1,'Monthly CUST'!$N$1:$CG$1,0)),0)</f>
        <v>0</v>
      </c>
      <c r="BH64" s="56">
        <f>IFERROR(INDEX('Monthly VOL'!$N$2:$CG$65,MATCH($D64,'Monthly VOL'!$D$2:$D$65,0),MATCH(BH$1,'Monthly VOL'!$N$1:$CG$1,0))/INDEX('Monthly CUST'!$N$2:$CG$65,MATCH($D64,'Monthly CUST'!$D$2:$D$65,0),MATCH(BH$1,'Monthly CUST'!$N$1:$CG$1,0)),0)</f>
        <v>0</v>
      </c>
      <c r="BI64" s="56">
        <f>IFERROR(INDEX('Monthly VOL'!$N$2:$CG$65,MATCH($D64,'Monthly VOL'!$D$2:$D$65,0),MATCH(BI$1,'Monthly VOL'!$N$1:$CG$1,0))/INDEX('Monthly CUST'!$N$2:$CG$65,MATCH($D64,'Monthly CUST'!$D$2:$D$65,0),MATCH(BI$1,'Monthly CUST'!$N$1:$CG$1,0)),0)</f>
        <v>0</v>
      </c>
      <c r="BJ64" s="56">
        <f>IFERROR(INDEX('Monthly VOL'!$N$2:$CG$65,MATCH($D64,'Monthly VOL'!$D$2:$D$65,0),MATCH(BJ$1,'Monthly VOL'!$N$1:$CG$1,0))/INDEX('Monthly CUST'!$N$2:$CG$65,MATCH($D64,'Monthly CUST'!$D$2:$D$65,0),MATCH(BJ$1,'Monthly CUST'!$N$1:$CG$1,0)),0)</f>
        <v>0</v>
      </c>
      <c r="BK64" s="56">
        <f>IFERROR(INDEX('Monthly VOL'!$N$2:$CG$65,MATCH($D64,'Monthly VOL'!$D$2:$D$65,0),MATCH(BK$1,'Monthly VOL'!$N$1:$CG$1,0))/INDEX('Monthly CUST'!$N$2:$CG$65,MATCH($D64,'Monthly CUST'!$D$2:$D$65,0),MATCH(BK$1,'Monthly CUST'!$N$1:$CG$1,0)),0)</f>
        <v>0</v>
      </c>
      <c r="BL64" s="56">
        <f>IFERROR(INDEX('Monthly VOL'!$N$2:$CG$65,MATCH($D64,'Monthly VOL'!$D$2:$D$65,0),MATCH(BL$1,'Monthly VOL'!$N$1:$CG$1,0))/INDEX('Monthly CUST'!$N$2:$CG$65,MATCH($D64,'Monthly CUST'!$D$2:$D$65,0),MATCH(BL$1,'Monthly CUST'!$N$1:$CG$1,0)),0)</f>
        <v>0</v>
      </c>
      <c r="BM64" s="56">
        <f>IFERROR(INDEX('Monthly VOL'!$N$2:$CG$65,MATCH($D64,'Monthly VOL'!$D$2:$D$65,0),MATCH(BM$1,'Monthly VOL'!$N$1:$CG$1,0))/INDEX('Monthly CUST'!$N$2:$CG$65,MATCH($D64,'Monthly CUST'!$D$2:$D$65,0),MATCH(BM$1,'Monthly CUST'!$N$1:$CG$1,0)),0)</f>
        <v>0</v>
      </c>
      <c r="BN64" s="56">
        <f>IFERROR(INDEX('Monthly VOL'!$N$2:$CG$65,MATCH($D64,'Monthly VOL'!$D$2:$D$65,0),MATCH(BN$1,'Monthly VOL'!$N$1:$CG$1,0))/INDEX('Monthly CUST'!$N$2:$CG$65,MATCH($D64,'Monthly CUST'!$D$2:$D$65,0),MATCH(BN$1,'Monthly CUST'!$N$1:$CG$1,0)),0)</f>
        <v>0</v>
      </c>
      <c r="BO64" s="56">
        <f>IFERROR(INDEX('Monthly VOL'!$N$2:$CG$65,MATCH($D64,'Monthly VOL'!$D$2:$D$65,0),MATCH(BO$1,'Monthly VOL'!$N$1:$CG$1,0))/INDEX('Monthly CUST'!$N$2:$CG$65,MATCH($D64,'Monthly CUST'!$D$2:$D$65,0),MATCH(BO$1,'Monthly CUST'!$N$1:$CG$1,0)),0)</f>
        <v>0</v>
      </c>
      <c r="BP64" s="56">
        <f>IFERROR(INDEX('Monthly VOL'!$N$2:$CG$65,MATCH($D64,'Monthly VOL'!$D$2:$D$65,0),MATCH(BP$1,'Monthly VOL'!$N$1:$CG$1,0))/INDEX('Monthly CUST'!$N$2:$CG$65,MATCH($D64,'Monthly CUST'!$D$2:$D$65,0),MATCH(BP$1,'Monthly CUST'!$N$1:$CG$1,0)),0)</f>
        <v>0</v>
      </c>
      <c r="BQ64" s="56">
        <f>IFERROR(INDEX('Monthly VOL'!$N$2:$CG$65,MATCH($D64,'Monthly VOL'!$D$2:$D$65,0),MATCH(BQ$1,'Monthly VOL'!$N$1:$CG$1,0))/INDEX('Monthly CUST'!$N$2:$CG$65,MATCH($D64,'Monthly CUST'!$D$2:$D$65,0),MATCH(BQ$1,'Monthly CUST'!$N$1:$CG$1,0)),0)</f>
        <v>0</v>
      </c>
      <c r="BR64" s="56">
        <f>IFERROR(INDEX('Monthly VOL'!$N$2:$CG$65,MATCH($D64,'Monthly VOL'!$D$2:$D$65,0),MATCH(BR$1,'Monthly VOL'!$N$1:$CG$1,0))/INDEX('Monthly CUST'!$N$2:$CG$65,MATCH($D64,'Monthly CUST'!$D$2:$D$65,0),MATCH(BR$1,'Monthly CUST'!$N$1:$CG$1,0)),0)</f>
        <v>0</v>
      </c>
      <c r="BS64" s="56">
        <f>IFERROR(INDEX('Monthly VOL'!$N$2:$CG$65,MATCH($D64,'Monthly VOL'!$D$2:$D$65,0),MATCH(BS$1,'Monthly VOL'!$N$1:$CG$1,0))/INDEX('Monthly CUST'!$N$2:$CG$65,MATCH($D64,'Monthly CUST'!$D$2:$D$65,0),MATCH(BS$1,'Monthly CUST'!$N$1:$CG$1,0)),0)</f>
        <v>0</v>
      </c>
      <c r="BT64" s="56">
        <f>IFERROR(INDEX('Monthly VOL'!$N$2:$CG$65,MATCH($D64,'Monthly VOL'!$D$2:$D$65,0),MATCH(BT$1,'Monthly VOL'!$N$1:$CG$1,0))/INDEX('Monthly CUST'!$N$2:$CG$65,MATCH($D64,'Monthly CUST'!$D$2:$D$65,0),MATCH(BT$1,'Monthly CUST'!$N$1:$CG$1,0)),0)</f>
        <v>0</v>
      </c>
      <c r="BU64" s="56">
        <f>IFERROR(INDEX('Monthly VOL'!$N$2:$CG$65,MATCH($D64,'Monthly VOL'!$D$2:$D$65,0),MATCH(BU$1,'Monthly VOL'!$N$1:$CG$1,0))/INDEX('Monthly CUST'!$N$2:$CG$65,MATCH($D64,'Monthly CUST'!$D$2:$D$65,0),MATCH(BU$1,'Monthly CUST'!$N$1:$CG$1,0)),0)</f>
        <v>0</v>
      </c>
      <c r="BV64" s="56">
        <f>IFERROR(INDEX('Monthly VOL'!$N$2:$CG$65,MATCH($D64,'Monthly VOL'!$D$2:$D$65,0),MATCH(BV$1,'Monthly VOL'!$N$1:$CG$1,0))/INDEX('Monthly CUST'!$N$2:$CG$65,MATCH($D64,'Monthly CUST'!$D$2:$D$65,0),MATCH(BV$1,'Monthly CUST'!$N$1:$CG$1,0)),0)</f>
        <v>0</v>
      </c>
      <c r="BW64" s="56">
        <f>IFERROR(INDEX('Monthly VOL'!$N$2:$CG$65,MATCH($D64,'Monthly VOL'!$D$2:$D$65,0),MATCH(BW$1,'Monthly VOL'!$N$1:$CG$1,0))/INDEX('Monthly CUST'!$N$2:$CG$65,MATCH($D64,'Monthly CUST'!$D$2:$D$65,0),MATCH(BW$1,'Monthly CUST'!$N$1:$CG$1,0)),0)</f>
        <v>0</v>
      </c>
      <c r="BX64" s="56">
        <f>IFERROR(INDEX('Monthly VOL'!$N$2:$CG$65,MATCH($D64,'Monthly VOL'!$D$2:$D$65,0),MATCH(BX$1,'Monthly VOL'!$N$1:$CG$1,0))/INDEX('Monthly CUST'!$N$2:$CG$65,MATCH($D64,'Monthly CUST'!$D$2:$D$65,0),MATCH(BX$1,'Monthly CUST'!$N$1:$CG$1,0)),0)</f>
        <v>0</v>
      </c>
      <c r="BY64" s="56">
        <f>IFERROR(INDEX('Monthly VOL'!$N$2:$CG$65,MATCH($D64,'Monthly VOL'!$D$2:$D$65,0),MATCH(BY$1,'Monthly VOL'!$N$1:$CG$1,0))/INDEX('Monthly CUST'!$N$2:$CG$65,MATCH($D64,'Monthly CUST'!$D$2:$D$65,0),MATCH(BY$1,'Monthly CUST'!$N$1:$CG$1,0)),0)</f>
        <v>0</v>
      </c>
      <c r="BZ64" s="56">
        <f>IFERROR(INDEX('Monthly VOL'!$N$2:$CG$65,MATCH($D64,'Monthly VOL'!$D$2:$D$65,0),MATCH(BZ$1,'Monthly VOL'!$N$1:$CG$1,0))/INDEX('Monthly CUST'!$N$2:$CG$65,MATCH($D64,'Monthly CUST'!$D$2:$D$65,0),MATCH(BZ$1,'Monthly CUST'!$N$1:$CG$1,0)),0)</f>
        <v>0</v>
      </c>
      <c r="CA64" s="56">
        <f>IFERROR(INDEX('Monthly VOL'!$N$2:$CG$65,MATCH($D64,'Monthly VOL'!$D$2:$D$65,0),MATCH(CA$1,'Monthly VOL'!$N$1:$CG$1,0))/INDEX('Monthly CUST'!$N$2:$CG$65,MATCH($D64,'Monthly CUST'!$D$2:$D$65,0),MATCH(CA$1,'Monthly CUST'!$N$1:$CG$1,0)),0)</f>
        <v>0</v>
      </c>
      <c r="CB64" s="56">
        <f>IFERROR(INDEX('Monthly VOL'!$N$2:$CG$65,MATCH($D64,'Monthly VOL'!$D$2:$D$65,0),MATCH(CB$1,'Monthly VOL'!$N$1:$CG$1,0))/INDEX('Monthly CUST'!$N$2:$CG$65,MATCH($D64,'Monthly CUST'!$D$2:$D$65,0),MATCH(CB$1,'Monthly CUST'!$N$1:$CG$1,0)),0)</f>
        <v>0</v>
      </c>
      <c r="CC64" s="56">
        <f>IFERROR(INDEX('Monthly VOL'!$N$2:$CG$65,MATCH($D64,'Monthly VOL'!$D$2:$D$65,0),MATCH(CC$1,'Monthly VOL'!$N$1:$CG$1,0))/INDEX('Monthly CUST'!$N$2:$CG$65,MATCH($D64,'Monthly CUST'!$D$2:$D$65,0),MATCH(CC$1,'Monthly CUST'!$N$1:$CG$1,0)),0)</f>
        <v>0</v>
      </c>
      <c r="CD64" s="56">
        <f>IFERROR(INDEX('Monthly VOL'!$N$2:$CG$65,MATCH($D64,'Monthly VOL'!$D$2:$D$65,0),MATCH(CD$1,'Monthly VOL'!$N$1:$CG$1,0))/INDEX('Monthly CUST'!$N$2:$CG$65,MATCH($D64,'Monthly CUST'!$D$2:$D$65,0),MATCH(CD$1,'Monthly CUST'!$N$1:$CG$1,0)),0)</f>
        <v>0</v>
      </c>
      <c r="CE64" s="56">
        <f>IFERROR(INDEX('Monthly VOL'!$N$2:$CG$65,MATCH($D64,'Monthly VOL'!$D$2:$D$65,0),MATCH(CE$1,'Monthly VOL'!$N$1:$CG$1,0))/INDEX('Monthly CUST'!$N$2:$CG$65,MATCH($D64,'Monthly CUST'!$D$2:$D$65,0),MATCH(CE$1,'Monthly CUST'!$N$1:$CG$1,0)),0)</f>
        <v>0</v>
      </c>
      <c r="CF64" s="56">
        <f>IFERROR(INDEX('Monthly VOL'!$N$2:$CG$65,MATCH($D64,'Monthly VOL'!$D$2:$D$65,0),MATCH(CF$1,'Monthly VOL'!$N$1:$CG$1,0))/INDEX('Monthly CUST'!$N$2:$CG$65,MATCH($D64,'Monthly CUST'!$D$2:$D$65,0),MATCH(CF$1,'Monthly CUST'!$N$1:$CG$1,0)),0)</f>
        <v>0</v>
      </c>
      <c r="CG64" s="56">
        <f>IFERROR(INDEX('Monthly VOL'!$N$2:$CG$65,MATCH($D64,'Monthly VOL'!$D$2:$D$65,0),MATCH(CG$1,'Monthly VOL'!$N$1:$CG$1,0))/INDEX('Monthly CUST'!$N$2:$CG$65,MATCH($D64,'Monthly CUST'!$D$2:$D$65,0),MATCH(CG$1,'Monthly CUST'!$N$1:$CG$1,0)),0)</f>
        <v>0</v>
      </c>
      <c r="CH64" s="264"/>
      <c r="CI64" s="264"/>
      <c r="CJ64" s="264"/>
      <c r="CM64" s="569">
        <f t="shared" si="24"/>
        <v>0</v>
      </c>
      <c r="CN64" s="569">
        <f t="shared" si="25"/>
        <v>0</v>
      </c>
      <c r="CO64" s="569">
        <f t="shared" si="26"/>
        <v>0</v>
      </c>
      <c r="CP64" s="569">
        <f t="shared" si="27"/>
        <v>0</v>
      </c>
      <c r="CQ64" s="569">
        <f t="shared" si="28"/>
        <v>0</v>
      </c>
      <c r="CR64" s="569">
        <f t="shared" si="29"/>
        <v>0</v>
      </c>
      <c r="CS64" s="569">
        <f t="shared" si="30"/>
        <v>0</v>
      </c>
      <c r="CT64" s="569">
        <f t="shared" si="31"/>
        <v>0</v>
      </c>
      <c r="CU64" s="569">
        <f t="shared" si="32"/>
        <v>0</v>
      </c>
      <c r="CV64" s="569">
        <f t="shared" si="33"/>
        <v>0</v>
      </c>
      <c r="CW64" s="569">
        <f t="shared" si="34"/>
        <v>0</v>
      </c>
      <c r="CX64" s="569">
        <f t="shared" si="35"/>
        <v>0</v>
      </c>
      <c r="CY64" s="569">
        <f t="shared" si="36"/>
        <v>0</v>
      </c>
      <c r="CZ64" s="569">
        <f t="shared" si="37"/>
        <v>0</v>
      </c>
      <c r="DA64" s="569">
        <f t="shared" si="38"/>
        <v>0</v>
      </c>
      <c r="DB64" s="569">
        <f t="shared" si="39"/>
        <v>0</v>
      </c>
      <c r="DC64" s="569">
        <f t="shared" si="40"/>
        <v>0</v>
      </c>
      <c r="DD64" s="569">
        <f t="shared" si="41"/>
        <v>0</v>
      </c>
      <c r="DE64" s="569">
        <f t="shared" si="42"/>
        <v>0</v>
      </c>
      <c r="DF64" s="569">
        <f t="shared" si="43"/>
        <v>0</v>
      </c>
      <c r="DG64" s="569">
        <f t="shared" si="44"/>
        <v>0</v>
      </c>
      <c r="DH64" s="569">
        <f t="shared" si="45"/>
        <v>0</v>
      </c>
      <c r="DI64" s="569">
        <f t="shared" si="46"/>
        <v>0</v>
      </c>
      <c r="DJ64" s="569">
        <f t="shared" si="47"/>
        <v>0</v>
      </c>
    </row>
    <row r="65" spans="1:114" s="261" customFormat="1">
      <c r="A65" s="55" t="s">
        <v>17</v>
      </c>
      <c r="B65" s="55" t="s">
        <v>993</v>
      </c>
      <c r="C65" s="55" t="s">
        <v>1245</v>
      </c>
      <c r="D65" s="55" t="s">
        <v>83</v>
      </c>
      <c r="E65" s="55" t="str">
        <f>VLOOKUP(D65,'Input 14_Ref Table'!C:D,2,FALSE)</f>
        <v>CCNGV</v>
      </c>
      <c r="F65" s="172" t="s">
        <v>1286</v>
      </c>
      <c r="G65" s="55" t="str">
        <f>VLOOKUP(D65,'Input 14_Ref Table'!C:I,7,FALSE)</f>
        <v>CFG - FTS-NGV</v>
      </c>
      <c r="H65" s="55" t="str">
        <f>VLOOKUP(D65,'Input 14_Ref Table'!C:K,8,FALSE)</f>
        <v>Base Period</v>
      </c>
      <c r="I65" s="55" t="e">
        <f>INDEX(#REF!,MATCH(D65,#REF!,0))</f>
        <v>#REF!</v>
      </c>
      <c r="J65" s="261" t="str">
        <f>INDEX('Master '!$AD$2:AD$65,MATCH(D65,'Master '!$D$2:$D$65,0))</f>
        <v>Adjusted</v>
      </c>
      <c r="K65" s="567">
        <f>INDEX('Master '!$N$2:N$65,MATCH(D65,'Master '!$D$2:$D$65,0))</f>
        <v>0</v>
      </c>
      <c r="L65" s="290">
        <f>INDEX('Master '!$S$2:S$65,MATCH(D65,'Master '!$D$2:$D$65,0))</f>
        <v>0</v>
      </c>
      <c r="M65" s="1">
        <f>INDEX('Master '!$W$2:W$65,MATCH(D65,'Master '!$D$2:$D$65,0))</f>
        <v>887806.67999999982</v>
      </c>
      <c r="N65" s="56">
        <f>IFERROR(INDEX('Monthly VOL'!$N$2:$CG$65,MATCH($D65,'Monthly VOL'!$D$2:$D$65,0),MATCH(N$1,'Monthly VOL'!$N$1:$CG$1,0))/INDEX('Monthly CUST'!$N$2:$CG$65,MATCH($D65,'Monthly CUST'!$D$2:$D$65,0),MATCH(N$1,'Monthly CUST'!$N$1:$CG$1,0)),0)</f>
        <v>0</v>
      </c>
      <c r="O65" s="56">
        <f>IFERROR(INDEX('Monthly VOL'!$N$2:$CG$65,MATCH($D65,'Monthly VOL'!$D$2:$D$65,0),MATCH(O$1,'Monthly VOL'!$N$1:$CG$1,0))/INDEX('Monthly CUST'!$N$2:$CG$65,MATCH($D65,'Monthly CUST'!$D$2:$D$65,0),MATCH(O$1,'Monthly CUST'!$N$1:$CG$1,0)),0)</f>
        <v>0</v>
      </c>
      <c r="P65" s="56">
        <f>IFERROR(INDEX('Monthly VOL'!$N$2:$CG$65,MATCH($D65,'Monthly VOL'!$D$2:$D$65,0),MATCH(P$1,'Monthly VOL'!$N$1:$CG$1,0))/INDEX('Monthly CUST'!$N$2:$CG$65,MATCH($D65,'Monthly CUST'!$D$2:$D$65,0),MATCH(P$1,'Monthly CUST'!$N$1:$CG$1,0)),0)</f>
        <v>0</v>
      </c>
      <c r="Q65" s="56">
        <f>IFERROR(INDEX('Monthly VOL'!$N$2:$CG$65,MATCH($D65,'Monthly VOL'!$D$2:$D$65,0),MATCH(Q$1,'Monthly VOL'!$N$1:$CG$1,0))/INDEX('Monthly CUST'!$N$2:$CG$65,MATCH($D65,'Monthly CUST'!$D$2:$D$65,0),MATCH(Q$1,'Monthly CUST'!$N$1:$CG$1,0)),0)</f>
        <v>0</v>
      </c>
      <c r="R65" s="56">
        <f>IFERROR(INDEX('Monthly VOL'!$N$2:$CG$65,MATCH($D65,'Monthly VOL'!$D$2:$D$65,0),MATCH(R$1,'Monthly VOL'!$N$1:$CG$1,0))/INDEX('Monthly CUST'!$N$2:$CG$65,MATCH($D65,'Monthly CUST'!$D$2:$D$65,0),MATCH(R$1,'Monthly CUST'!$N$1:$CG$1,0)),0)</f>
        <v>0</v>
      </c>
      <c r="S65" s="56">
        <f>IFERROR(INDEX('Monthly VOL'!$N$2:$CG$65,MATCH($D65,'Monthly VOL'!$D$2:$D$65,0),MATCH(S$1,'Monthly VOL'!$N$1:$CG$1,0))/INDEX('Monthly CUST'!$N$2:$CG$65,MATCH($D65,'Monthly CUST'!$D$2:$D$65,0),MATCH(S$1,'Monthly CUST'!$N$1:$CG$1,0)),0)</f>
        <v>0</v>
      </c>
      <c r="T65" s="56">
        <f>IFERROR(INDEX('Monthly VOL'!$N$2:$CG$65,MATCH($D65,'Monthly VOL'!$D$2:$D$65,0),MATCH(T$1,'Monthly VOL'!$N$1:$CG$1,0))/INDEX('Monthly CUST'!$N$2:$CG$65,MATCH($D65,'Monthly CUST'!$D$2:$D$65,0),MATCH(T$1,'Monthly CUST'!$N$1:$CG$1,0)),0)</f>
        <v>0</v>
      </c>
      <c r="U65" s="56">
        <f>IFERROR(INDEX('Monthly VOL'!$N$2:$CG$65,MATCH($D65,'Monthly VOL'!$D$2:$D$65,0),MATCH(U$1,'Monthly VOL'!$N$1:$CG$1,0))/INDEX('Monthly CUST'!$N$2:$CG$65,MATCH($D65,'Monthly CUST'!$D$2:$D$65,0),MATCH(U$1,'Monthly CUST'!$N$1:$CG$1,0)),0)</f>
        <v>0</v>
      </c>
      <c r="V65" s="56">
        <f>IFERROR(INDEX('Monthly VOL'!$N$2:$CG$65,MATCH($D65,'Monthly VOL'!$D$2:$D$65,0),MATCH(V$1,'Monthly VOL'!$N$1:$CG$1,0))/INDEX('Monthly CUST'!$N$2:$CG$65,MATCH($D65,'Monthly CUST'!$D$2:$D$65,0),MATCH(V$1,'Monthly CUST'!$N$1:$CG$1,0)),0)</f>
        <v>0</v>
      </c>
      <c r="W65" s="56">
        <f>IFERROR(INDEX('Monthly VOL'!$N$2:$CG$65,MATCH($D65,'Monthly VOL'!$D$2:$D$65,0),MATCH(W$1,'Monthly VOL'!$N$1:$CG$1,0))/INDEX('Monthly CUST'!$N$2:$CG$65,MATCH($D65,'Monthly CUST'!$D$2:$D$65,0),MATCH(W$1,'Monthly CUST'!$N$1:$CG$1,0)),0)</f>
        <v>0</v>
      </c>
      <c r="X65" s="56">
        <f>IFERROR(INDEX('Monthly VOL'!$N$2:$CG$65,MATCH($D65,'Monthly VOL'!$D$2:$D$65,0),MATCH(X$1,'Monthly VOL'!$N$1:$CG$1,0))/INDEX('Monthly CUST'!$N$2:$CG$65,MATCH($D65,'Monthly CUST'!$D$2:$D$65,0),MATCH(X$1,'Monthly CUST'!$N$1:$CG$1,0)),0)</f>
        <v>0</v>
      </c>
      <c r="Y65" s="56">
        <f>IFERROR(INDEX('Monthly VOL'!$N$2:$CG$65,MATCH($D65,'Monthly VOL'!$D$2:$D$65,0),MATCH(Y$1,'Monthly VOL'!$N$1:$CG$1,0))/INDEX('Monthly CUST'!$N$2:$CG$65,MATCH($D65,'Monthly CUST'!$D$2:$D$65,0),MATCH(Y$1,'Monthly CUST'!$N$1:$CG$1,0)),0)</f>
        <v>0</v>
      </c>
      <c r="Z65" s="56">
        <f>IFERROR(INDEX('Monthly VOL'!$N$2:$CG$65,MATCH($D65,'Monthly VOL'!$D$2:$D$65,0),MATCH(Z$1,'Monthly VOL'!$N$1:$CG$1,0))/INDEX('Monthly CUST'!$N$2:$CG$65,MATCH($D65,'Monthly CUST'!$D$2:$D$65,0),MATCH(Z$1,'Monthly CUST'!$N$1:$CG$1,0)),0)</f>
        <v>0</v>
      </c>
      <c r="AA65" s="56">
        <f>IFERROR(INDEX('Monthly VOL'!$N$2:$CG$65,MATCH($D65,'Monthly VOL'!$D$2:$D$65,0),MATCH(AA$1,'Monthly VOL'!$N$1:$CG$1,0))/INDEX('Monthly CUST'!$N$2:$CG$65,MATCH($D65,'Monthly CUST'!$D$2:$D$65,0),MATCH(AA$1,'Monthly CUST'!$N$1:$CG$1,0)),0)</f>
        <v>0</v>
      </c>
      <c r="AB65" s="56">
        <f>IFERROR(INDEX('Monthly VOL'!$N$2:$CG$65,MATCH($D65,'Monthly VOL'!$D$2:$D$65,0),MATCH(AB$1,'Monthly VOL'!$N$1:$CG$1,0))/INDEX('Monthly CUST'!$N$2:$CG$65,MATCH($D65,'Monthly CUST'!$D$2:$D$65,0),MATCH(AB$1,'Monthly CUST'!$N$1:$CG$1,0)),0)</f>
        <v>0</v>
      </c>
      <c r="AC65" s="56">
        <f>IFERROR(INDEX('Monthly VOL'!$N$2:$CG$65,MATCH($D65,'Monthly VOL'!$D$2:$D$65,0),MATCH(AC$1,'Monthly VOL'!$N$1:$CG$1,0))/INDEX('Monthly CUST'!$N$2:$CG$65,MATCH($D65,'Monthly CUST'!$D$2:$D$65,0),MATCH(AC$1,'Monthly CUST'!$N$1:$CG$1,0)),0)</f>
        <v>190819</v>
      </c>
      <c r="AD65" s="56">
        <f>IFERROR(INDEX('Monthly VOL'!$N$2:$CG$65,MATCH($D65,'Monthly VOL'!$D$2:$D$65,0),MATCH(AD$1,'Monthly VOL'!$N$1:$CG$1,0))/INDEX('Monthly CUST'!$N$2:$CG$65,MATCH($D65,'Monthly CUST'!$D$2:$D$65,0),MATCH(AD$1,'Monthly CUST'!$N$1:$CG$1,0)),0)</f>
        <v>202376</v>
      </c>
      <c r="AE65" s="56">
        <f>IFERROR(INDEX('Monthly VOL'!$N$2:$CG$65,MATCH($D65,'Monthly VOL'!$D$2:$D$65,0),MATCH(AE$1,'Monthly VOL'!$N$1:$CG$1,0))/INDEX('Monthly CUST'!$N$2:$CG$65,MATCH($D65,'Monthly CUST'!$D$2:$D$65,0),MATCH(AE$1,'Monthly CUST'!$N$1:$CG$1,0)),0)</f>
        <v>193570</v>
      </c>
      <c r="AF65" s="56">
        <f>IFERROR(INDEX('Monthly VOL'!$N$2:$CG$65,MATCH($D65,'Monthly VOL'!$D$2:$D$65,0),MATCH(AF$1,'Monthly VOL'!$N$1:$CG$1,0))/INDEX('Monthly CUST'!$N$2:$CG$65,MATCH($D65,'Monthly CUST'!$D$2:$D$65,0),MATCH(AF$1,'Monthly CUST'!$N$1:$CG$1,0)),0)</f>
        <v>203154</v>
      </c>
      <c r="AG65" s="56">
        <f>IFERROR(INDEX('Monthly VOL'!$N$2:$CG$65,MATCH($D65,'Monthly VOL'!$D$2:$D$65,0),MATCH(AG$1,'Monthly VOL'!$N$1:$CG$1,0))/INDEX('Monthly CUST'!$N$2:$CG$65,MATCH($D65,'Monthly CUST'!$D$2:$D$65,0),MATCH(AG$1,'Monthly CUST'!$N$1:$CG$1,0)),0)</f>
        <v>196843</v>
      </c>
      <c r="AH65" s="56">
        <f>IFERROR(INDEX('Monthly VOL'!$N$2:$CG$65,MATCH($D65,'Monthly VOL'!$D$2:$D$65,0),MATCH(AH$1,'Monthly VOL'!$N$1:$CG$1,0))/INDEX('Monthly CUST'!$N$2:$CG$65,MATCH($D65,'Monthly CUST'!$D$2:$D$65,0),MATCH(AH$1,'Monthly CUST'!$N$1:$CG$1,0)),0)</f>
        <v>192031</v>
      </c>
      <c r="AI65" s="56">
        <f>IFERROR(INDEX('Monthly VOL'!$N$2:$CG$65,MATCH($D65,'Monthly VOL'!$D$2:$D$65,0),MATCH(AI$1,'Monthly VOL'!$N$1:$CG$1,0))/INDEX('Monthly CUST'!$N$2:$CG$65,MATCH($D65,'Monthly CUST'!$D$2:$D$65,0),MATCH(AI$1,'Monthly CUST'!$N$1:$CG$1,0)),0)</f>
        <v>175928.4</v>
      </c>
      <c r="AJ65" s="56">
        <f>IFERROR(INDEX('Monthly VOL'!$N$2:$CG$65,MATCH($D65,'Monthly VOL'!$D$2:$D$65,0),MATCH(AJ$1,'Monthly VOL'!$N$1:$CG$1,0))/INDEX('Monthly CUST'!$N$2:$CG$65,MATCH($D65,'Monthly CUST'!$D$2:$D$65,0),MATCH(AJ$1,'Monthly CUST'!$N$1:$CG$1,0)),0)</f>
        <v>151375.10999999999</v>
      </c>
      <c r="AK65" s="56">
        <f>IFERROR(INDEX('Monthly VOL'!$N$2:$CG$65,MATCH($D65,'Monthly VOL'!$D$2:$D$65,0),MATCH(AK$1,'Monthly VOL'!$N$1:$CG$1,0))/INDEX('Monthly CUST'!$N$2:$CG$65,MATCH($D65,'Monthly CUST'!$D$2:$D$65,0),MATCH(AK$1,'Monthly CUST'!$N$1:$CG$1,0)),0)</f>
        <v>139744.84</v>
      </c>
      <c r="AL65" s="56">
        <f>IFERROR(INDEX('Monthly VOL'!$N$2:$CG$65,MATCH($D65,'Monthly VOL'!$D$2:$D$65,0),MATCH(AL$1,'Monthly VOL'!$N$1:$CG$1,0))/INDEX('Monthly CUST'!$N$2:$CG$65,MATCH($D65,'Monthly CUST'!$D$2:$D$65,0),MATCH(AL$1,'Monthly CUST'!$N$1:$CG$1,0)),0)</f>
        <v>153010.59</v>
      </c>
      <c r="AM65" s="56">
        <f>IFERROR(INDEX('Monthly VOL'!$N$2:$CG$65,MATCH($D65,'Monthly VOL'!$D$2:$D$65,0),MATCH(AM$1,'Monthly VOL'!$N$1:$CG$1,0))/INDEX('Monthly CUST'!$N$2:$CG$65,MATCH($D65,'Monthly CUST'!$D$2:$D$65,0),MATCH(AM$1,'Monthly CUST'!$N$1:$CG$1,0)),0)</f>
        <v>156994.46</v>
      </c>
      <c r="AN65" s="56">
        <f>IFERROR(INDEX('Monthly VOL'!$N$2:$CG$65,MATCH($D65,'Monthly VOL'!$D$2:$D$65,0),MATCH(AN$1,'Monthly VOL'!$N$1:$CG$1,0))/INDEX('Monthly CUST'!$N$2:$CG$65,MATCH($D65,'Monthly CUST'!$D$2:$D$65,0),MATCH(AN$1,'Monthly CUST'!$N$1:$CG$1,0)),0)</f>
        <v>174294.91</v>
      </c>
      <c r="AO65" s="56">
        <f>IFERROR(INDEX('Monthly VOL'!$N$2:$CG$65,MATCH($D65,'Monthly VOL'!$D$2:$D$65,0),MATCH(AO$1,'Monthly VOL'!$N$1:$CG$1,0))/INDEX('Monthly CUST'!$N$2:$CG$65,MATCH($D65,'Monthly CUST'!$D$2:$D$65,0),MATCH(AO$1,'Monthly CUST'!$N$1:$CG$1,0)),0)</f>
        <v>160792.45000000001</v>
      </c>
      <c r="AP65" s="56">
        <f>IFERROR(INDEX('Monthly VOL'!$N$2:$CG$65,MATCH($D65,'Monthly VOL'!$D$2:$D$65,0),MATCH(AP$1,'Monthly VOL'!$N$1:$CG$1,0))/INDEX('Monthly CUST'!$N$2:$CG$65,MATCH($D65,'Monthly CUST'!$D$2:$D$65,0),MATCH(AP$1,'Monthly CUST'!$N$1:$CG$1,0)),0)</f>
        <v>163273.72</v>
      </c>
      <c r="AQ65" s="56">
        <f>IFERROR(INDEX('Monthly VOL'!$N$2:$CG$65,MATCH($D65,'Monthly VOL'!$D$2:$D$65,0),MATCH(AQ$1,'Monthly VOL'!$N$1:$CG$1,0))/INDEX('Monthly CUST'!$N$2:$CG$65,MATCH($D65,'Monthly CUST'!$D$2:$D$65,0),MATCH(AQ$1,'Monthly CUST'!$N$1:$CG$1,0)),0)</f>
        <v>113851.97</v>
      </c>
      <c r="AR65" s="56">
        <f>IFERROR(INDEX('Monthly VOL'!$N$2:$CG$65,MATCH($D65,'Monthly VOL'!$D$2:$D$65,0),MATCH(AR$1,'Monthly VOL'!$N$1:$CG$1,0))/INDEX('Monthly CUST'!$N$2:$CG$65,MATCH($D65,'Monthly CUST'!$D$2:$D$65,0),MATCH(AR$1,'Monthly CUST'!$N$1:$CG$1,0)),0)</f>
        <v>130017.39</v>
      </c>
      <c r="AS65" s="56">
        <f>IFERROR(INDEX('Monthly VOL'!$N$2:$CG$65,MATCH($D65,'Monthly VOL'!$D$2:$D$65,0),MATCH(AS$1,'Monthly VOL'!$N$1:$CG$1,0))/INDEX('Monthly CUST'!$N$2:$CG$65,MATCH($D65,'Monthly CUST'!$D$2:$D$65,0),MATCH(AS$1,'Monthly CUST'!$N$1:$CG$1,0)),0)</f>
        <v>137359.85</v>
      </c>
      <c r="AT65" s="56">
        <f>IFERROR(INDEX('Monthly VOL'!$N$2:$CG$65,MATCH($D65,'Monthly VOL'!$D$2:$D$65,0),MATCH(AT$1,'Monthly VOL'!$N$1:$CG$1,0))/INDEX('Monthly CUST'!$N$2:$CG$65,MATCH($D65,'Monthly CUST'!$D$2:$D$65,0),MATCH(AT$1,'Monthly CUST'!$N$1:$CG$1,0)),0)</f>
        <v>113729.2</v>
      </c>
      <c r="AU65" s="56">
        <f>IFERROR(INDEX('Monthly VOL'!$N$2:$CG$65,MATCH($D65,'Monthly VOL'!$D$2:$D$65,0),MATCH(AU$1,'Monthly VOL'!$N$1:$CG$1,0))/INDEX('Monthly CUST'!$N$2:$CG$65,MATCH($D65,'Monthly CUST'!$D$2:$D$65,0),MATCH(AU$1,'Monthly CUST'!$N$1:$CG$1,0)),0)</f>
        <v>117563.31</v>
      </c>
      <c r="AV65" s="56">
        <f>IFERROR(INDEX('Monthly VOL'!$N$2:$CG$65,MATCH($D65,'Monthly VOL'!$D$2:$D$65,0),MATCH(AV$1,'Monthly VOL'!$N$1:$CG$1,0))/INDEX('Monthly CUST'!$N$2:$CG$65,MATCH($D65,'Monthly CUST'!$D$2:$D$65,0),MATCH(AV$1,'Monthly CUST'!$N$1:$CG$1,0)),0)</f>
        <v>101686.91</v>
      </c>
      <c r="AW65" s="56">
        <f>IFERROR(INDEX('Monthly VOL'!$N$2:$CG$65,MATCH($D65,'Monthly VOL'!$D$2:$D$65,0),MATCH(AW$1,'Monthly VOL'!$N$1:$CG$1,0))/INDEX('Monthly CUST'!$N$2:$CG$65,MATCH($D65,'Monthly CUST'!$D$2:$D$65,0),MATCH(AW$1,'Monthly CUST'!$N$1:$CG$1,0)),0)</f>
        <v>103266.51</v>
      </c>
      <c r="AX65" s="56">
        <f>IFERROR(INDEX('Monthly VOL'!$N$2:$CG$65,MATCH($D65,'Monthly VOL'!$D$2:$D$65,0),MATCH(AX$1,'Monthly VOL'!$N$1:$CG$1,0))/INDEX('Monthly CUST'!$N$2:$CG$65,MATCH($D65,'Monthly CUST'!$D$2:$D$65,0),MATCH(AX$1,'Monthly CUST'!$N$1:$CG$1,0)),0)</f>
        <v>109372.81</v>
      </c>
      <c r="AY65" s="56">
        <f>IFERROR(INDEX('Monthly VOL'!$N$2:$CG$65,MATCH($D65,'Monthly VOL'!$D$2:$D$65,0),MATCH(AY$1,'Monthly VOL'!$N$1:$CG$1,0))/INDEX('Monthly CUST'!$N$2:$CG$65,MATCH($D65,'Monthly CUST'!$D$2:$D$65,0),MATCH(AY$1,'Monthly CUST'!$N$1:$CG$1,0)),0)</f>
        <v>86166.25</v>
      </c>
      <c r="AZ65" s="56">
        <f>IFERROR(INDEX('Monthly VOL'!$N$2:$CG$65,MATCH($D65,'Monthly VOL'!$D$2:$D$65,0),MATCH(AZ$1,'Monthly VOL'!$N$1:$CG$1,0))/INDEX('Monthly CUST'!$N$2:$CG$65,MATCH($D65,'Monthly CUST'!$D$2:$D$65,0),MATCH(AZ$1,'Monthly CUST'!$N$1:$CG$1,0)),0)</f>
        <v>107271.21</v>
      </c>
      <c r="BA65" s="56">
        <f>IFERROR(INDEX('Monthly VOL'!$N$2:$CG$65,MATCH($D65,'Monthly VOL'!$D$2:$D$65,0),MATCH(BA$1,'Monthly VOL'!$N$1:$CG$1,0))/INDEX('Monthly CUST'!$N$2:$CG$65,MATCH($D65,'Monthly CUST'!$D$2:$D$65,0),MATCH(BA$1,'Monthly CUST'!$N$1:$CG$1,0)),0)</f>
        <v>106948.86</v>
      </c>
      <c r="BB65" s="56">
        <f>IFERROR(INDEX('Monthly VOL'!$N$2:$CG$65,MATCH($D65,'Monthly VOL'!$D$2:$D$65,0),MATCH(BB$1,'Monthly VOL'!$N$1:$CG$1,0))/INDEX('Monthly CUST'!$N$2:$CG$65,MATCH($D65,'Monthly CUST'!$D$2:$D$65,0),MATCH(BB$1,'Monthly CUST'!$N$1:$CG$1,0)),0)</f>
        <v>112719.72</v>
      </c>
      <c r="BC65" s="56">
        <f>IFERROR(INDEX('Monthly VOL'!$N$2:$CG$65,MATCH($D65,'Monthly VOL'!$D$2:$D$65,0),MATCH(BC$1,'Monthly VOL'!$N$1:$CG$1,0))/INDEX('Monthly CUST'!$N$2:$CG$65,MATCH($D65,'Monthly CUST'!$D$2:$D$65,0),MATCH(BC$1,'Monthly CUST'!$N$1:$CG$1,0)),0)</f>
        <v>107101.34</v>
      </c>
      <c r="BD65" s="56">
        <f>IFERROR(INDEX('Monthly VOL'!$N$2:$CG$65,MATCH($D65,'Monthly VOL'!$D$2:$D$65,0),MATCH(BD$1,'Monthly VOL'!$N$1:$CG$1,0))/INDEX('Monthly CUST'!$N$2:$CG$65,MATCH($D65,'Monthly CUST'!$D$2:$D$65,0),MATCH(BD$1,'Monthly CUST'!$N$1:$CG$1,0)),0)</f>
        <v>99590.88</v>
      </c>
      <c r="BE65" s="56">
        <f>IFERROR(INDEX('Monthly VOL'!$N$2:$CG$65,MATCH($D65,'Monthly VOL'!$D$2:$D$65,0),MATCH(BE$1,'Monthly VOL'!$N$1:$CG$1,0))/INDEX('Monthly CUST'!$N$2:$CG$65,MATCH($D65,'Monthly CUST'!$D$2:$D$65,0),MATCH(BE$1,'Monthly CUST'!$N$1:$CG$1,0)),0)</f>
        <v>91881.31</v>
      </c>
      <c r="BF65" s="56">
        <f>IFERROR(INDEX('Monthly VOL'!$N$2:$CG$65,MATCH($D65,'Monthly VOL'!$D$2:$D$65,0),MATCH(BF$1,'Monthly VOL'!$N$1:$CG$1,0))/INDEX('Monthly CUST'!$N$2:$CG$65,MATCH($D65,'Monthly CUST'!$D$2:$D$65,0),MATCH(BF$1,'Monthly CUST'!$N$1:$CG$1,0)),0)</f>
        <v>11157.62</v>
      </c>
      <c r="BG65" s="56">
        <f>IFERROR(INDEX('Monthly VOL'!$N$2:$CG$65,MATCH($D65,'Monthly VOL'!$D$2:$D$65,0),MATCH(BG$1,'Monthly VOL'!$N$1:$CG$1,0))/INDEX('Monthly CUST'!$N$2:$CG$65,MATCH($D65,'Monthly CUST'!$D$2:$D$65,0),MATCH(BG$1,'Monthly CUST'!$N$1:$CG$1,0)),0)</f>
        <v>15188.44</v>
      </c>
      <c r="BH65" s="56">
        <f>IFERROR(INDEX('Monthly VOL'!$N$2:$CG$65,MATCH($D65,'Monthly VOL'!$D$2:$D$65,0),MATCH(BH$1,'Monthly VOL'!$N$1:$CG$1,0))/INDEX('Monthly CUST'!$N$2:$CG$65,MATCH($D65,'Monthly CUST'!$D$2:$D$65,0),MATCH(BH$1,'Monthly CUST'!$N$1:$CG$1,0)),0)</f>
        <v>17541.689999999999</v>
      </c>
      <c r="BI65" s="56">
        <f>IFERROR(INDEX('Monthly VOL'!$N$2:$CG$65,MATCH($D65,'Monthly VOL'!$D$2:$D$65,0),MATCH(BI$1,'Monthly VOL'!$N$1:$CG$1,0))/INDEX('Monthly CUST'!$N$2:$CG$65,MATCH($D65,'Monthly CUST'!$D$2:$D$65,0),MATCH(BI$1,'Monthly CUST'!$N$1:$CG$1,0)),0)</f>
        <v>22866.55</v>
      </c>
      <c r="BJ65" s="56">
        <f>IFERROR(INDEX('Monthly VOL'!$N$2:$CG$65,MATCH($D65,'Monthly VOL'!$D$2:$D$65,0),MATCH(BJ$1,'Monthly VOL'!$N$1:$CG$1,0))/INDEX('Monthly CUST'!$N$2:$CG$65,MATCH($D65,'Monthly CUST'!$D$2:$D$65,0),MATCH(BJ$1,'Monthly CUST'!$N$1:$CG$1,0)),0)</f>
        <v>8344.25</v>
      </c>
      <c r="BK65" s="56">
        <f>IFERROR(INDEX('Monthly VOL'!$N$2:$CG$65,MATCH($D65,'Monthly VOL'!$D$2:$D$65,0),MATCH(BK$1,'Monthly VOL'!$N$1:$CG$1,0))/INDEX('Monthly CUST'!$N$2:$CG$65,MATCH($D65,'Monthly CUST'!$D$2:$D$65,0),MATCH(BK$1,'Monthly CUST'!$N$1:$CG$1,0)),0)</f>
        <v>8344.25</v>
      </c>
      <c r="BL65" s="56">
        <f>IFERROR(INDEX('Monthly VOL'!$N$2:$CG$65,MATCH($D65,'Monthly VOL'!$D$2:$D$65,0),MATCH(BL$1,'Monthly VOL'!$N$1:$CG$1,0))/INDEX('Monthly CUST'!$N$2:$CG$65,MATCH($D65,'Monthly CUST'!$D$2:$D$65,0),MATCH(BL$1,'Monthly CUST'!$N$1:$CG$1,0)),0)</f>
        <v>8344.25</v>
      </c>
      <c r="BM65" s="56">
        <f>IFERROR(INDEX('Monthly VOL'!$N$2:$CG$65,MATCH($D65,'Monthly VOL'!$D$2:$D$65,0),MATCH(BM$1,'Monthly VOL'!$N$1:$CG$1,0))/INDEX('Monthly CUST'!$N$2:$CG$65,MATCH($D65,'Monthly CUST'!$D$2:$D$65,0),MATCH(BM$1,'Monthly CUST'!$N$1:$CG$1,0)),0)</f>
        <v>8344.25</v>
      </c>
      <c r="BN65" s="56">
        <f>IFERROR(INDEX('Monthly VOL'!$N$2:$CG$65,MATCH($D65,'Monthly VOL'!$D$2:$D$65,0),MATCH(BN$1,'Monthly VOL'!$N$1:$CG$1,0))/INDEX('Monthly CUST'!$N$2:$CG$65,MATCH($D65,'Monthly CUST'!$D$2:$D$65,0),MATCH(BN$1,'Monthly CUST'!$N$1:$CG$1,0)),0)</f>
        <v>8344.25</v>
      </c>
      <c r="BO65" s="56">
        <f>IFERROR(INDEX('Monthly VOL'!$N$2:$CG$65,MATCH($D65,'Monthly VOL'!$D$2:$D$65,0),MATCH(BO$1,'Monthly VOL'!$N$1:$CG$1,0))/INDEX('Monthly CUST'!$N$2:$CG$65,MATCH($D65,'Monthly CUST'!$D$2:$D$65,0),MATCH(BO$1,'Monthly CUST'!$N$1:$CG$1,0)),0)</f>
        <v>8344.25</v>
      </c>
      <c r="BP65" s="56">
        <f>IFERROR(INDEX('Monthly VOL'!$N$2:$CG$65,MATCH($D65,'Monthly VOL'!$D$2:$D$65,0),MATCH(BP$1,'Monthly VOL'!$N$1:$CG$1,0))/INDEX('Monthly CUST'!$N$2:$CG$65,MATCH($D65,'Monthly CUST'!$D$2:$D$65,0),MATCH(BP$1,'Monthly CUST'!$N$1:$CG$1,0)),0)</f>
        <v>8344.25</v>
      </c>
      <c r="BQ65" s="56">
        <f>IFERROR(INDEX('Monthly VOL'!$N$2:$CG$65,MATCH($D65,'Monthly VOL'!$D$2:$D$65,0),MATCH(BQ$1,'Monthly VOL'!$N$1:$CG$1,0))/INDEX('Monthly CUST'!$N$2:$CG$65,MATCH($D65,'Monthly CUST'!$D$2:$D$65,0),MATCH(BQ$1,'Monthly CUST'!$N$1:$CG$1,0)),0)</f>
        <v>8344.25</v>
      </c>
      <c r="BR65" s="56">
        <f>IFERROR(INDEX('Monthly VOL'!$N$2:$CG$65,MATCH($D65,'Monthly VOL'!$D$2:$D$65,0),MATCH(BR$1,'Monthly VOL'!$N$1:$CG$1,0))/INDEX('Monthly CUST'!$N$2:$CG$65,MATCH($D65,'Monthly CUST'!$D$2:$D$65,0),MATCH(BR$1,'Monthly CUST'!$N$1:$CG$1,0)),0)</f>
        <v>8344.25</v>
      </c>
      <c r="BS65" s="56">
        <f>IFERROR(INDEX('Monthly VOL'!$N$2:$CG$65,MATCH($D65,'Monthly VOL'!$D$2:$D$65,0),MATCH(BS$1,'Monthly VOL'!$N$1:$CG$1,0))/INDEX('Monthly CUST'!$N$2:$CG$65,MATCH($D65,'Monthly CUST'!$D$2:$D$65,0),MATCH(BS$1,'Monthly CUST'!$N$1:$CG$1,0)),0)</f>
        <v>8344.25</v>
      </c>
      <c r="BT65" s="56">
        <f>IFERROR(INDEX('Monthly VOL'!$N$2:$CG$65,MATCH($D65,'Monthly VOL'!$D$2:$D$65,0),MATCH(BT$1,'Monthly VOL'!$N$1:$CG$1,0))/INDEX('Monthly CUST'!$N$2:$CG$65,MATCH($D65,'Monthly CUST'!$D$2:$D$65,0),MATCH(BT$1,'Monthly CUST'!$N$1:$CG$1,0)),0)</f>
        <v>8344.25</v>
      </c>
      <c r="BU65" s="56">
        <f>IFERROR(INDEX('Monthly VOL'!$N$2:$CG$65,MATCH($D65,'Monthly VOL'!$D$2:$D$65,0),MATCH(BU$1,'Monthly VOL'!$N$1:$CG$1,0))/INDEX('Monthly CUST'!$N$2:$CG$65,MATCH($D65,'Monthly CUST'!$D$2:$D$65,0),MATCH(BU$1,'Monthly CUST'!$N$1:$CG$1,0)),0)</f>
        <v>8344.25</v>
      </c>
      <c r="BV65" s="56">
        <f>IFERROR(INDEX('Monthly VOL'!$N$2:$CG$65,MATCH($D65,'Monthly VOL'!$D$2:$D$65,0),MATCH(BV$1,'Monthly VOL'!$N$1:$CG$1,0))/INDEX('Monthly CUST'!$N$2:$CG$65,MATCH($D65,'Monthly CUST'!$D$2:$D$65,0),MATCH(BV$1,'Monthly CUST'!$N$1:$CG$1,0)),0)</f>
        <v>8344.25</v>
      </c>
      <c r="BW65" s="56">
        <f>IFERROR(INDEX('Monthly VOL'!$N$2:$CG$65,MATCH($D65,'Monthly VOL'!$D$2:$D$65,0),MATCH(BW$1,'Monthly VOL'!$N$1:$CG$1,0))/INDEX('Monthly CUST'!$N$2:$CG$65,MATCH($D65,'Monthly CUST'!$D$2:$D$65,0),MATCH(BW$1,'Monthly CUST'!$N$1:$CG$1,0)),0)</f>
        <v>8344.25</v>
      </c>
      <c r="BX65" s="56">
        <f>IFERROR(INDEX('Monthly VOL'!$N$2:$CG$65,MATCH($D65,'Monthly VOL'!$D$2:$D$65,0),MATCH(BX$1,'Monthly VOL'!$N$1:$CG$1,0))/INDEX('Monthly CUST'!$N$2:$CG$65,MATCH($D65,'Monthly CUST'!$D$2:$D$65,0),MATCH(BX$1,'Monthly CUST'!$N$1:$CG$1,0)),0)</f>
        <v>8344.25</v>
      </c>
      <c r="BY65" s="56">
        <f>IFERROR(INDEX('Monthly VOL'!$N$2:$CG$65,MATCH($D65,'Monthly VOL'!$D$2:$D$65,0),MATCH(BY$1,'Monthly VOL'!$N$1:$CG$1,0))/INDEX('Monthly CUST'!$N$2:$CG$65,MATCH($D65,'Monthly CUST'!$D$2:$D$65,0),MATCH(BY$1,'Monthly CUST'!$N$1:$CG$1,0)),0)</f>
        <v>8344.25</v>
      </c>
      <c r="BZ65" s="56">
        <f>IFERROR(INDEX('Monthly VOL'!$N$2:$CG$65,MATCH($D65,'Monthly VOL'!$D$2:$D$65,0),MATCH(BZ$1,'Monthly VOL'!$N$1:$CG$1,0))/INDEX('Monthly CUST'!$N$2:$CG$65,MATCH($D65,'Monthly CUST'!$D$2:$D$65,0),MATCH(BZ$1,'Monthly CUST'!$N$1:$CG$1,0)),0)</f>
        <v>8344.25</v>
      </c>
      <c r="CA65" s="56">
        <f>IFERROR(INDEX('Monthly VOL'!$N$2:$CG$65,MATCH($D65,'Monthly VOL'!$D$2:$D$65,0),MATCH(CA$1,'Monthly VOL'!$N$1:$CG$1,0))/INDEX('Monthly CUST'!$N$2:$CG$65,MATCH($D65,'Monthly CUST'!$D$2:$D$65,0),MATCH(CA$1,'Monthly CUST'!$N$1:$CG$1,0)),0)</f>
        <v>8344.25</v>
      </c>
      <c r="CB65" s="56">
        <f>IFERROR(INDEX('Monthly VOL'!$N$2:$CG$65,MATCH($D65,'Monthly VOL'!$D$2:$D$65,0),MATCH(CB$1,'Monthly VOL'!$N$1:$CG$1,0))/INDEX('Monthly CUST'!$N$2:$CG$65,MATCH($D65,'Monthly CUST'!$D$2:$D$65,0),MATCH(CB$1,'Monthly CUST'!$N$1:$CG$1,0)),0)</f>
        <v>8344.25</v>
      </c>
      <c r="CC65" s="56">
        <f>IFERROR(INDEX('Monthly VOL'!$N$2:$CG$65,MATCH($D65,'Monthly VOL'!$D$2:$D$65,0),MATCH(CC$1,'Monthly VOL'!$N$1:$CG$1,0))/INDEX('Monthly CUST'!$N$2:$CG$65,MATCH($D65,'Monthly CUST'!$D$2:$D$65,0),MATCH(CC$1,'Monthly CUST'!$N$1:$CG$1,0)),0)</f>
        <v>8344.25</v>
      </c>
      <c r="CD65" s="56">
        <f>IFERROR(INDEX('Monthly VOL'!$N$2:$CG$65,MATCH($D65,'Monthly VOL'!$D$2:$D$65,0),MATCH(CD$1,'Monthly VOL'!$N$1:$CG$1,0))/INDEX('Monthly CUST'!$N$2:$CG$65,MATCH($D65,'Monthly CUST'!$D$2:$D$65,0),MATCH(CD$1,'Monthly CUST'!$N$1:$CG$1,0)),0)</f>
        <v>8344.25</v>
      </c>
      <c r="CE65" s="56">
        <f>IFERROR(INDEX('Monthly VOL'!$N$2:$CG$65,MATCH($D65,'Monthly VOL'!$D$2:$D$65,0),MATCH(CE$1,'Monthly VOL'!$N$1:$CG$1,0))/INDEX('Monthly CUST'!$N$2:$CG$65,MATCH($D65,'Monthly CUST'!$D$2:$D$65,0),MATCH(CE$1,'Monthly CUST'!$N$1:$CG$1,0)),0)</f>
        <v>8344.25</v>
      </c>
      <c r="CF65" s="56">
        <f>IFERROR(INDEX('Monthly VOL'!$N$2:$CG$65,MATCH($D65,'Monthly VOL'!$D$2:$D$65,0),MATCH(CF$1,'Monthly VOL'!$N$1:$CG$1,0))/INDEX('Monthly CUST'!$N$2:$CG$65,MATCH($D65,'Monthly CUST'!$D$2:$D$65,0),MATCH(CF$1,'Monthly CUST'!$N$1:$CG$1,0)),0)</f>
        <v>8344.25</v>
      </c>
      <c r="CG65" s="56">
        <f>IFERROR(INDEX('Monthly VOL'!$N$2:$CG$65,MATCH($D65,'Monthly VOL'!$D$2:$D$65,0),MATCH(CG$1,'Monthly VOL'!$N$1:$CG$1,0))/INDEX('Monthly CUST'!$N$2:$CG$65,MATCH($D65,'Monthly CUST'!$D$2:$D$65,0),MATCH(CG$1,'Monthly CUST'!$N$1:$CG$1,0)),0)</f>
        <v>8344.25</v>
      </c>
      <c r="CH65" s="264"/>
      <c r="CI65" s="264"/>
      <c r="CJ65" s="264"/>
      <c r="CM65" s="569">
        <f t="shared" si="24"/>
        <v>87461.133333333346</v>
      </c>
      <c r="CN65" s="569">
        <f t="shared" si="25"/>
        <v>81053.569999999992</v>
      </c>
      <c r="CO65" s="569">
        <f t="shared" si="26"/>
        <v>93855.373333333337</v>
      </c>
      <c r="CP65" s="569">
        <f t="shared" si="27"/>
        <v>152853.43666666668</v>
      </c>
      <c r="CQ65" s="569">
        <f t="shared" si="28"/>
        <v>159456.47999999998</v>
      </c>
      <c r="CR65" s="569">
        <f t="shared" si="29"/>
        <v>138174.43666666665</v>
      </c>
      <c r="CS65" s="569">
        <f t="shared" si="30"/>
        <v>144254.09</v>
      </c>
      <c r="CT65" s="569">
        <f t="shared" si="31"/>
        <v>142028.05333333332</v>
      </c>
      <c r="CU65" s="569">
        <f t="shared" si="32"/>
        <v>105639.27333333333</v>
      </c>
      <c r="CV65" s="569">
        <f t="shared" si="33"/>
        <v>102893.38333333332</v>
      </c>
      <c r="CW65" s="569">
        <f t="shared" si="34"/>
        <v>90201.236666666649</v>
      </c>
      <c r="CX65" s="569">
        <f t="shared" si="35"/>
        <v>88625.96666666666</v>
      </c>
      <c r="CY65" s="569">
        <f t="shared" si="36"/>
        <v>87461.133333333346</v>
      </c>
      <c r="CZ65" s="569">
        <f t="shared" si="37"/>
        <v>81053.569999999992</v>
      </c>
      <c r="DA65" s="569">
        <f t="shared" si="38"/>
        <v>93855.373333333337</v>
      </c>
      <c r="DB65" s="569">
        <f t="shared" si="39"/>
        <v>152853.43666666668</v>
      </c>
      <c r="DC65" s="569">
        <f t="shared" si="40"/>
        <v>159456.47999999998</v>
      </c>
      <c r="DD65" s="569">
        <f t="shared" si="41"/>
        <v>138174.43666666665</v>
      </c>
      <c r="DE65" s="569">
        <f t="shared" si="42"/>
        <v>144254.09</v>
      </c>
      <c r="DF65" s="569">
        <f t="shared" si="43"/>
        <v>142028.05333333332</v>
      </c>
      <c r="DG65" s="569">
        <f t="shared" si="44"/>
        <v>105639.27333333333</v>
      </c>
      <c r="DH65" s="569">
        <f t="shared" si="45"/>
        <v>102893.38333333332</v>
      </c>
      <c r="DI65" s="569">
        <f t="shared" si="46"/>
        <v>90201.236666666649</v>
      </c>
      <c r="DJ65" s="569">
        <f t="shared" si="47"/>
        <v>88625.96666666666</v>
      </c>
    </row>
    <row r="66" spans="1:114" ht="13.5" thickBot="1">
      <c r="A66" s="288" t="s">
        <v>9</v>
      </c>
      <c r="B66" s="454" t="s">
        <v>1246</v>
      </c>
      <c r="C66" s="454" t="s">
        <v>1246</v>
      </c>
      <c r="D66" s="454" t="s">
        <v>1246</v>
      </c>
      <c r="E66" s="454" t="s">
        <v>1246</v>
      </c>
      <c r="F66" s="454" t="s">
        <v>1246</v>
      </c>
      <c r="G66" s="454" t="s">
        <v>1246</v>
      </c>
      <c r="H66" s="454" t="s">
        <v>1246</v>
      </c>
      <c r="I66" s="454" t="s">
        <v>1246</v>
      </c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</row>
    <row r="67" spans="1:114">
      <c r="A67" s="288"/>
    </row>
    <row r="70" spans="1:114">
      <c r="C70" s="53"/>
    </row>
    <row r="71" spans="1:114">
      <c r="C71" s="53"/>
    </row>
    <row r="73" spans="1:114">
      <c r="A73" s="48" t="s">
        <v>1107</v>
      </c>
    </row>
    <row r="74" spans="1:114">
      <c r="A74" s="26" t="s">
        <v>12</v>
      </c>
      <c r="B74" s="26"/>
      <c r="C74" s="26"/>
      <c r="D74" s="26"/>
      <c r="E74" s="26"/>
      <c r="F74" s="170"/>
      <c r="G74" s="26"/>
      <c r="H74" s="26"/>
      <c r="I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</row>
    <row r="75" spans="1:114">
      <c r="A75" s="26" t="s">
        <v>996</v>
      </c>
      <c r="B75" s="26"/>
      <c r="C75" s="26"/>
      <c r="D75" s="26"/>
      <c r="E75" s="26"/>
      <c r="F75" s="170"/>
      <c r="G75" s="26"/>
      <c r="H75" s="26"/>
      <c r="I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</row>
    <row r="76" spans="1:114">
      <c r="A76" s="26" t="s">
        <v>15</v>
      </c>
      <c r="B76" s="26"/>
      <c r="C76" s="26"/>
      <c r="D76" s="26"/>
      <c r="E76" s="26"/>
      <c r="F76" s="170"/>
      <c r="G76" s="26"/>
      <c r="H76" s="26"/>
      <c r="I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</row>
    <row r="77" spans="1:114">
      <c r="A77" s="26" t="s">
        <v>17</v>
      </c>
      <c r="B77" s="26"/>
      <c r="C77" s="26"/>
      <c r="D77" s="26"/>
      <c r="E77" s="26"/>
      <c r="F77" s="170"/>
      <c r="G77" s="26"/>
      <c r="H77" s="26"/>
      <c r="I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</row>
    <row r="78" spans="1:114">
      <c r="A78" s="26"/>
      <c r="B78" s="26"/>
      <c r="C78" s="26"/>
      <c r="D78" s="26"/>
      <c r="E78" s="26"/>
      <c r="F78" s="170"/>
      <c r="G78" s="26"/>
      <c r="H78" s="26"/>
      <c r="I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</row>
    <row r="80" spans="1:114">
      <c r="A80" s="45" t="s">
        <v>1108</v>
      </c>
      <c r="B80" s="45"/>
      <c r="C80" s="45"/>
      <c r="D80" s="45"/>
      <c r="E80" s="45"/>
      <c r="F80" s="171"/>
      <c r="G80" s="45"/>
      <c r="H80" s="45"/>
      <c r="I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</row>
    <row r="81" spans="1:25">
      <c r="A81" s="49" t="s">
        <v>12</v>
      </c>
      <c r="B81" s="45"/>
      <c r="C81" s="45"/>
      <c r="D81" s="45"/>
      <c r="E81" s="45"/>
      <c r="F81" s="171"/>
      <c r="G81" s="45"/>
      <c r="H81" s="45"/>
      <c r="I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</row>
    <row r="82" spans="1:25">
      <c r="A82" s="49" t="s">
        <v>996</v>
      </c>
      <c r="B82" s="45"/>
      <c r="C82" s="45"/>
      <c r="D82" s="45"/>
      <c r="E82" s="45"/>
      <c r="F82" s="171"/>
      <c r="G82" s="45"/>
      <c r="H82" s="45"/>
      <c r="I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</row>
    <row r="83" spans="1:25">
      <c r="A83" s="49" t="s">
        <v>15</v>
      </c>
      <c r="B83" s="45"/>
      <c r="C83" s="45"/>
      <c r="D83" s="45"/>
      <c r="E83" s="45"/>
      <c r="F83" s="171"/>
      <c r="G83" s="45"/>
      <c r="H83" s="45"/>
      <c r="I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</row>
    <row r="84" spans="1:25">
      <c r="A84" s="49" t="s">
        <v>17</v>
      </c>
      <c r="B84" s="45"/>
      <c r="C84" s="45"/>
      <c r="D84" s="45"/>
      <c r="E84" s="45"/>
      <c r="F84" s="171"/>
      <c r="G84" s="45"/>
      <c r="H84" s="45"/>
      <c r="I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</row>
    <row r="85" spans="1:25">
      <c r="A85" s="49"/>
      <c r="B85" s="45"/>
      <c r="C85" s="45"/>
      <c r="D85" s="45"/>
      <c r="E85" s="45"/>
      <c r="F85" s="171"/>
      <c r="G85" s="45"/>
      <c r="H85" s="45"/>
      <c r="I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</row>
    <row r="86" spans="1:25">
      <c r="A86" s="49" t="s">
        <v>973</v>
      </c>
      <c r="B86" s="45"/>
      <c r="C86" s="45"/>
      <c r="D86" s="45"/>
      <c r="E86" s="45"/>
      <c r="F86" s="171"/>
      <c r="G86" s="45"/>
      <c r="H86" s="45"/>
      <c r="I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</row>
    <row r="87" spans="1:25">
      <c r="A87" s="26" t="s">
        <v>12</v>
      </c>
    </row>
    <row r="88" spans="1:25">
      <c r="A88" s="26" t="s">
        <v>996</v>
      </c>
    </row>
    <row r="89" spans="1:25">
      <c r="A89" s="26" t="s">
        <v>15</v>
      </c>
    </row>
    <row r="90" spans="1:25">
      <c r="A90" s="26" t="s">
        <v>17</v>
      </c>
    </row>
    <row r="94" spans="1:25">
      <c r="A94" s="3" t="s">
        <v>1259</v>
      </c>
    </row>
    <row r="95" spans="1:25">
      <c r="A95" s="26" t="str">
        <f>A87</f>
        <v>Indiantown</v>
      </c>
      <c r="B95" s="26"/>
      <c r="C95" s="26"/>
      <c r="D95" s="26"/>
      <c r="E95" s="26"/>
      <c r="F95" s="170"/>
      <c r="G95" s="26"/>
      <c r="H95" s="26"/>
      <c r="I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</row>
    <row r="96" spans="1:25">
      <c r="A96" s="26" t="str">
        <f>A88</f>
        <v xml:space="preserve">Ft. Meade </v>
      </c>
      <c r="B96" s="26"/>
      <c r="C96" s="26"/>
      <c r="D96" s="26"/>
      <c r="E96" s="26"/>
      <c r="F96" s="170"/>
      <c r="G96" s="26"/>
      <c r="H96" s="26"/>
      <c r="I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</row>
    <row r="97" spans="1:25">
      <c r="A97" s="26" t="str">
        <f>A89</f>
        <v>FPUC</v>
      </c>
      <c r="B97" s="26"/>
      <c r="C97" s="26"/>
      <c r="D97" s="26"/>
      <c r="E97" s="26"/>
      <c r="F97" s="170"/>
      <c r="G97" s="26"/>
      <c r="H97" s="26"/>
      <c r="I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</row>
    <row r="98" spans="1:25">
      <c r="A98" s="26" t="str">
        <f>A90</f>
        <v>CFG</v>
      </c>
      <c r="B98" s="26"/>
      <c r="C98" s="26"/>
      <c r="D98" s="26"/>
      <c r="E98" s="26"/>
      <c r="F98" s="170"/>
      <c r="G98" s="26"/>
      <c r="H98" s="26"/>
      <c r="I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</row>
    <row r="99" spans="1:25">
      <c r="A99" s="455" t="s">
        <v>973</v>
      </c>
    </row>
    <row r="100" spans="1:25">
      <c r="A100" s="26" t="s">
        <v>12</v>
      </c>
    </row>
    <row r="101" spans="1:25">
      <c r="A101" s="26" t="s">
        <v>996</v>
      </c>
    </row>
    <row r="102" spans="1:25">
      <c r="A102" s="26" t="s">
        <v>15</v>
      </c>
    </row>
    <row r="103" spans="1:25">
      <c r="A103" s="26" t="s">
        <v>17</v>
      </c>
    </row>
  </sheetData>
  <hyperlinks>
    <hyperlink ref="A94" location="'Summary Report'!A1" display="#'Summary Report'!A1" xr:uid="{5E728D7B-EC1A-4B5F-BEAA-D8E769B0F54E}"/>
    <hyperlink ref="A84" location="'CFG Pro Forma Revenues 2020'!A1" display="CFG" xr:uid="{5B7E8BD2-A779-4FF5-A3DB-21B701E8E933}"/>
    <hyperlink ref="A83" location="'FPUC Pro Forma Revenues 2020'!A1" display="FPUC" xr:uid="{1BAC7D24-CDC9-479A-95D2-A603164EF361}"/>
    <hyperlink ref="A82" location="'Ft. Meade Pro Forma Revenues 20'!A1" display="Ft. Meade " xr:uid="{80AD09B1-0BCE-4905-B9EB-C32170D5EA4F}"/>
    <hyperlink ref="A81" location="'Indiantown Pro Forma Revenues20'!A1" display="Indiantown" xr:uid="{6AB74922-BD6B-472B-A70A-AF05377AAD18}"/>
  </hyperlink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A6C7C-52A4-46B0-AEF0-6F7472602711}">
  <sheetPr codeName="Sheet30">
    <tabColor theme="4" tint="0.39997558519241921"/>
  </sheetPr>
  <dimension ref="A1"/>
  <sheetViews>
    <sheetView workbookViewId="0"/>
  </sheetViews>
  <sheetFormatPr defaultColWidth="8.85546875" defaultRowHeight="12.75"/>
  <cols>
    <col min="1" max="16384" width="8.85546875" style="71"/>
  </cols>
  <sheetData/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9C65D-9889-45EC-9580-24048AF34CC5}">
  <sheetPr codeName="Sheet31">
    <tabColor theme="4" tint="0.39997558519241921"/>
  </sheetPr>
  <dimension ref="A1:AR34"/>
  <sheetViews>
    <sheetView workbookViewId="0"/>
  </sheetViews>
  <sheetFormatPr defaultColWidth="8.85546875" defaultRowHeight="12.75"/>
  <cols>
    <col min="1" max="2" width="16.85546875" style="12" customWidth="1"/>
    <col min="3" max="8" width="17" style="12" customWidth="1"/>
    <col min="9" max="12" width="11.85546875" style="12" customWidth="1"/>
    <col min="13" max="13" width="7.140625" style="12" customWidth="1"/>
    <col min="14" max="14" width="20" style="12" customWidth="1"/>
    <col min="15" max="15" width="15.42578125" style="12" bestFit="1" customWidth="1"/>
    <col min="16" max="24" width="12.28515625" style="14" customWidth="1"/>
    <col min="25" max="25" width="15.42578125" style="12" bestFit="1" customWidth="1"/>
    <col min="26" max="26" width="8.85546875" style="11"/>
    <col min="27" max="27" width="20" style="12" customWidth="1"/>
    <col min="28" max="28" width="15.42578125" style="12" bestFit="1" customWidth="1"/>
    <col min="29" max="36" width="11.42578125" style="12" customWidth="1"/>
    <col min="37" max="40" width="12.28515625" style="14" customWidth="1"/>
    <col min="41" max="41" width="15.42578125" style="12" bestFit="1" customWidth="1"/>
    <col min="42" max="16384" width="8.85546875" style="12"/>
  </cols>
  <sheetData>
    <row r="1" spans="1:44" s="7" customFormat="1">
      <c r="A1" s="7" t="s">
        <v>1264</v>
      </c>
      <c r="P1" s="138"/>
      <c r="Q1" s="138"/>
      <c r="R1" s="138"/>
      <c r="S1" s="138"/>
      <c r="T1" s="138"/>
      <c r="U1" s="138"/>
      <c r="V1" s="138"/>
      <c r="W1" s="138"/>
      <c r="X1" s="138"/>
      <c r="Z1" s="90"/>
      <c r="AK1" s="138"/>
      <c r="AL1" s="138"/>
      <c r="AM1" s="138"/>
      <c r="AN1" s="138"/>
    </row>
    <row r="2" spans="1:44" s="7" customFormat="1">
      <c r="A2" s="7" t="s">
        <v>1265</v>
      </c>
      <c r="P2" s="138"/>
      <c r="Q2" s="138"/>
      <c r="R2" s="138"/>
      <c r="S2" s="138"/>
      <c r="T2" s="138"/>
      <c r="U2" s="138"/>
      <c r="V2" s="138"/>
      <c r="W2" s="138"/>
      <c r="X2" s="138"/>
      <c r="Z2" s="90"/>
      <c r="AK2" s="138"/>
      <c r="AL2" s="138"/>
      <c r="AM2" s="138"/>
      <c r="AN2" s="138"/>
    </row>
    <row r="3" spans="1:44" s="7" customFormat="1">
      <c r="A3" s="7" t="s">
        <v>1271</v>
      </c>
      <c r="C3" s="198"/>
      <c r="P3" s="138"/>
      <c r="Q3" s="138"/>
      <c r="R3" s="138"/>
      <c r="S3" s="138"/>
      <c r="T3" s="138"/>
      <c r="U3" s="138"/>
      <c r="V3" s="138"/>
      <c r="W3" s="138"/>
      <c r="X3" s="138"/>
      <c r="Z3" s="90"/>
      <c r="AB3" s="281"/>
      <c r="AC3" s="281"/>
      <c r="AD3" s="281"/>
      <c r="AE3" s="281"/>
      <c r="AF3" s="281"/>
      <c r="AG3" s="281"/>
      <c r="AH3" s="281"/>
      <c r="AI3" s="281"/>
      <c r="AJ3" s="281"/>
      <c r="AK3" s="138"/>
      <c r="AL3" s="138"/>
      <c r="AM3" s="138"/>
      <c r="AN3" s="138"/>
    </row>
    <row r="4" spans="1:44"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AB4" s="135"/>
      <c r="AK4" s="135"/>
      <c r="AL4" s="135"/>
      <c r="AM4" s="135"/>
      <c r="AN4" s="135"/>
      <c r="AO4" s="135"/>
    </row>
    <row r="5" spans="1:44" s="11" customFormat="1">
      <c r="A5" s="675" t="s">
        <v>1263</v>
      </c>
      <c r="B5" s="675" t="s">
        <v>1101</v>
      </c>
      <c r="C5" s="685" t="s">
        <v>1260</v>
      </c>
      <c r="D5" s="686"/>
      <c r="E5" s="686"/>
      <c r="F5" s="686"/>
      <c r="G5" s="686"/>
      <c r="H5" s="687"/>
      <c r="I5" s="685" t="s">
        <v>1026</v>
      </c>
      <c r="J5" s="686"/>
      <c r="K5" s="686"/>
      <c r="L5" s="687"/>
      <c r="N5" s="675" t="s">
        <v>1263</v>
      </c>
      <c r="O5" s="675" t="s">
        <v>1101</v>
      </c>
      <c r="P5" s="678" t="s">
        <v>1109</v>
      </c>
      <c r="Q5" s="679"/>
      <c r="R5" s="679"/>
      <c r="S5" s="679"/>
      <c r="T5" s="679"/>
      <c r="U5" s="679"/>
      <c r="V5" s="678" t="s">
        <v>1110</v>
      </c>
      <c r="W5" s="679"/>
      <c r="X5" s="679"/>
      <c r="Y5" s="680"/>
      <c r="AA5" s="675" t="s">
        <v>1263</v>
      </c>
      <c r="AB5" s="675" t="s">
        <v>1101</v>
      </c>
      <c r="AC5" s="678" t="s">
        <v>1409</v>
      </c>
      <c r="AD5" s="679"/>
      <c r="AE5" s="679"/>
      <c r="AF5" s="679"/>
      <c r="AG5" s="679"/>
      <c r="AH5" s="679"/>
      <c r="AI5" s="680"/>
      <c r="AJ5" s="200"/>
      <c r="AK5" s="678" t="s">
        <v>1110</v>
      </c>
      <c r="AL5" s="679"/>
      <c r="AM5" s="679"/>
      <c r="AN5" s="679"/>
      <c r="AO5" s="680"/>
      <c r="AR5" s="13" t="s">
        <v>1002</v>
      </c>
    </row>
    <row r="6" spans="1:44" s="11" customFormat="1">
      <c r="A6" s="676"/>
      <c r="B6" s="676"/>
      <c r="C6" s="67">
        <v>2022</v>
      </c>
      <c r="D6" s="67">
        <v>2022</v>
      </c>
      <c r="E6" s="67">
        <v>2022</v>
      </c>
      <c r="F6" s="69">
        <v>2023</v>
      </c>
      <c r="G6" s="69">
        <v>2023</v>
      </c>
      <c r="H6" s="69">
        <v>2023</v>
      </c>
      <c r="I6" s="684" t="s">
        <v>1028</v>
      </c>
      <c r="J6" s="684"/>
      <c r="K6" s="684"/>
      <c r="L6" s="684"/>
      <c r="N6" s="676"/>
      <c r="O6" s="676"/>
      <c r="P6" s="67">
        <v>2022</v>
      </c>
      <c r="Q6" s="67">
        <v>2022</v>
      </c>
      <c r="R6" s="67">
        <v>2022</v>
      </c>
      <c r="S6" s="69">
        <v>2023</v>
      </c>
      <c r="T6" s="69">
        <v>2023</v>
      </c>
      <c r="U6" s="69">
        <v>2023</v>
      </c>
      <c r="V6" s="681" t="s">
        <v>991</v>
      </c>
      <c r="W6" s="682"/>
      <c r="X6" s="682"/>
      <c r="Y6" s="683"/>
      <c r="AA6" s="676"/>
      <c r="AB6" s="676"/>
      <c r="AC6" s="67">
        <v>2022</v>
      </c>
      <c r="AD6" s="67">
        <v>2022</v>
      </c>
      <c r="AE6" s="67">
        <v>2022</v>
      </c>
      <c r="AF6" s="67">
        <v>2022</v>
      </c>
      <c r="AG6" s="201">
        <v>2023</v>
      </c>
      <c r="AH6" s="201">
        <v>2023</v>
      </c>
      <c r="AI6" s="277">
        <v>2023</v>
      </c>
      <c r="AJ6" s="201">
        <v>2023</v>
      </c>
      <c r="AK6" s="681" t="s">
        <v>991</v>
      </c>
      <c r="AL6" s="682"/>
      <c r="AM6" s="682"/>
      <c r="AN6" s="682"/>
      <c r="AO6" s="683"/>
      <c r="AR6" s="11" t="s">
        <v>1415</v>
      </c>
    </row>
    <row r="7" spans="1:44" s="11" customFormat="1">
      <c r="A7" s="677"/>
      <c r="B7" s="677"/>
      <c r="C7" s="51" t="s">
        <v>1002</v>
      </c>
      <c r="D7" s="488" t="s">
        <v>1435</v>
      </c>
      <c r="E7" s="51" t="s">
        <v>1003</v>
      </c>
      <c r="F7" s="37" t="s">
        <v>1002</v>
      </c>
      <c r="G7" s="488" t="s">
        <v>1435</v>
      </c>
      <c r="H7" s="52" t="s">
        <v>1003</v>
      </c>
      <c r="I7" s="68" t="s">
        <v>1002</v>
      </c>
      <c r="J7" s="488" t="s">
        <v>1435</v>
      </c>
      <c r="K7" s="68" t="s">
        <v>1003</v>
      </c>
      <c r="L7" s="68" t="s">
        <v>1086</v>
      </c>
      <c r="N7" s="677"/>
      <c r="O7" s="677"/>
      <c r="P7" s="51" t="s">
        <v>1002</v>
      </c>
      <c r="Q7" s="488" t="s">
        <v>1435</v>
      </c>
      <c r="R7" s="51" t="s">
        <v>1003</v>
      </c>
      <c r="S7" s="37" t="s">
        <v>1002</v>
      </c>
      <c r="T7" s="488" t="s">
        <v>1435</v>
      </c>
      <c r="U7" s="52" t="s">
        <v>1003</v>
      </c>
      <c r="V7" s="37" t="s">
        <v>1002</v>
      </c>
      <c r="W7" s="488" t="s">
        <v>1435</v>
      </c>
      <c r="X7" s="37" t="s">
        <v>1003</v>
      </c>
      <c r="Y7" s="34" t="s">
        <v>1086</v>
      </c>
      <c r="AA7" s="677"/>
      <c r="AB7" s="677"/>
      <c r="AC7" s="51" t="s">
        <v>1002</v>
      </c>
      <c r="AD7" s="488" t="s">
        <v>1435</v>
      </c>
      <c r="AE7" s="51" t="s">
        <v>1003</v>
      </c>
      <c r="AF7" s="51" t="s">
        <v>1086</v>
      </c>
      <c r="AG7" s="37" t="s">
        <v>1002</v>
      </c>
      <c r="AH7" s="488" t="s">
        <v>1435</v>
      </c>
      <c r="AI7" s="37" t="s">
        <v>1003</v>
      </c>
      <c r="AJ7" s="51" t="s">
        <v>1086</v>
      </c>
      <c r="AK7" s="37" t="s">
        <v>1002</v>
      </c>
      <c r="AL7" s="488" t="s">
        <v>1435</v>
      </c>
      <c r="AM7" s="37" t="s">
        <v>1003</v>
      </c>
      <c r="AN7" s="37"/>
      <c r="AO7" s="34" t="s">
        <v>1086</v>
      </c>
      <c r="AR7" s="11" t="s">
        <v>1003</v>
      </c>
    </row>
    <row r="8" spans="1:44" s="11" customFormat="1">
      <c r="A8" s="32" t="s">
        <v>8</v>
      </c>
      <c r="B8" s="32" t="s">
        <v>1005</v>
      </c>
      <c r="C8" s="38" cm="1">
        <f t="array" ref="C8">INDEX('WP_Regression Summary'!$F$5:$H$66,MATCH(1,('WP_Regression Summary'!$C$5:$C$66=$B8)*('WP_Regression Summary'!$D$5:$D$66=C$7),0),MATCH(C$6,'WP_Regression Summary'!$F$5:$H$5))</f>
        <v>707922.36</v>
      </c>
      <c r="D8" s="38">
        <f>MEDIAN(C8,E8)</f>
        <v>704267.79499999993</v>
      </c>
      <c r="E8" s="38" cm="1">
        <f t="array" ref="E8">INDEX('WP_Regression Summary'!$F$5:$H$66,MATCH(1,('WP_Regression Summary'!$C$5:$C$66=$B8)*('WP_Regression Summary'!$D$5:$D$66=E$7),0),MATCH(E$6,'WP_Regression Summary'!$F$5:$H$5))</f>
        <v>700613.22999999986</v>
      </c>
      <c r="F8" s="38" cm="1">
        <f t="array" ref="F8">INDEX('WP_Regression Summary'!$F$5:$H$66,MATCH(1,('WP_Regression Summary'!$C$5:$C$66=$B8)*('WP_Regression Summary'!$D$5:$D$66=F$7),0),MATCH(F$6,'WP_Regression Summary'!$F$5:$H$5))</f>
        <v>731810.17999999993</v>
      </c>
      <c r="G8" s="38">
        <f>MEDIAN(F8,H8)</f>
        <v>724567.38500000001</v>
      </c>
      <c r="H8" s="38" cm="1">
        <f t="array" ref="H8">INDEX('WP_Regression Summary'!$F$5:$H$66,MATCH(1,('WP_Regression Summary'!$C$5:$C$66=$B8)*('WP_Regression Summary'!$D$5:$D$66=H$7),0),MATCH(H$6,'WP_Regression Summary'!$F$5:$H$5))</f>
        <v>717324.59</v>
      </c>
      <c r="I8" s="35">
        <f t="shared" ref="I8:K15" si="0">(F8-C8)/C8</f>
        <v>3.3743559110069571E-2</v>
      </c>
      <c r="J8" s="35">
        <f t="shared" si="0"/>
        <v>2.8823680628474693E-2</v>
      </c>
      <c r="K8" s="35">
        <f t="shared" si="0"/>
        <v>2.3852475637664031E-2</v>
      </c>
      <c r="L8" s="33" t="s">
        <v>1415</v>
      </c>
      <c r="N8" s="32" t="s">
        <v>8</v>
      </c>
      <c r="O8" s="32" t="s">
        <v>1005</v>
      </c>
      <c r="P8" s="38" cm="1">
        <f t="array" ref="P8">INDEX('WP_Regression Summary'!$P$5:$R$66,MATCH(1,('WP_Regression Summary'!$M$5:$M$66=$O8)*('WP_Regression Summary'!$N$5:$N$66=P$7),0),MATCH(P$6,'WP_Regression Summary'!$P$5:$R$5))</f>
        <v>268.76067998078992</v>
      </c>
      <c r="Q8" s="38">
        <f>MEDIAN(P8,R8)</f>
        <v>250.70017607354299</v>
      </c>
      <c r="R8" s="38" cm="1">
        <f t="array" ref="R8">INDEX('WP_Regression Summary'!$P$5:$R$66,MATCH(1,('WP_Regression Summary'!$M$5:$M$66=$O8)*('WP_Regression Summary'!$N$5:$N$66=R$7),0),MATCH(R$6,'WP_Regression Summary'!$P$5:$R$5))</f>
        <v>232.63967216629609</v>
      </c>
      <c r="S8" s="38" cm="1">
        <f t="array" ref="S8">INDEX('WP_Regression Summary'!$P$5:$R$66,MATCH(1,('WP_Regression Summary'!$M$5:$M$66=$O8)*('WP_Regression Summary'!$N$5:$N$66=S$7),0),MATCH(S$6,'WP_Regression Summary'!$P$5:$R$5))</f>
        <v>268.76067998078992</v>
      </c>
      <c r="T8" s="38">
        <f>MEDIAN(S8,U8)</f>
        <v>250.70017607354299</v>
      </c>
      <c r="U8" s="38" cm="1">
        <f t="array" ref="U8">INDEX('WP_Regression Summary'!$P$5:$R$66,MATCH(1,('WP_Regression Summary'!$M$5:$M$66=$O8)*('WP_Regression Summary'!$N$5:$N$66=U$7),0),MATCH(U$6,'WP_Regression Summary'!$P$5:$R$5))</f>
        <v>232.63967216629609</v>
      </c>
      <c r="V8" s="35">
        <f>(S8-P8)/P8</f>
        <v>0</v>
      </c>
      <c r="W8" s="35">
        <f t="shared" ref="W8:W15" si="1">(T8-Q8)/Q8</f>
        <v>0</v>
      </c>
      <c r="X8" s="35">
        <f t="shared" ref="X8:X15" si="2">(U8-R8)/R8</f>
        <v>0</v>
      </c>
      <c r="Y8" s="33" t="s">
        <v>1415</v>
      </c>
      <c r="Z8" s="10"/>
      <c r="AA8" s="32" t="s">
        <v>8</v>
      </c>
      <c r="AB8" s="32" t="s">
        <v>1005</v>
      </c>
      <c r="AC8" s="280" cm="1">
        <f t="array" ref="AC8">INDEX('WP_Regression Summary'!$X$5:$Y$66,MATCH(1,('WP_Regression Summary'!$V$5:$V$66=$AB8)*('WP_Regression Summary'!$W$5:$W$66=AC$7),0),MATCH(AC$6,'WP_Regression Summary'!$X$5:$Y$5))</f>
        <v>38.199522317166398</v>
      </c>
      <c r="AD8" s="280">
        <f>MEDIAN(AC8,AE8)</f>
        <v>35.246283560903599</v>
      </c>
      <c r="AE8" s="280" cm="1">
        <f t="array" ref="AE8">INDEX('WP_Regression Summary'!$X$5:$Y$66,MATCH(1,('WP_Regression Summary'!$V$5:$V$66=$AB8)*('WP_Regression Summary'!$W$5:$W$66=AE$7),0),MATCH(AE$6,'WP_Regression Summary'!$X$5:$Y$5))</f>
        <v>32.2930448046408</v>
      </c>
      <c r="AF8" s="280">
        <f>AE8</f>
        <v>32.2930448046408</v>
      </c>
      <c r="AG8" s="280" cm="1">
        <f t="array" ref="AG8">INDEX('WP_Regression Summary'!$X$5:$Y$66,MATCH(1,('WP_Regression Summary'!$V$5:$V$66=$AB8)*('WP_Regression Summary'!$W$5:$W$66=AG$7),0),MATCH(AG$6,'WP_Regression Summary'!$X$5:$Y$5))</f>
        <v>38.199522317166398</v>
      </c>
      <c r="AH8" s="280">
        <f t="shared" ref="AH8:AH15" si="3">MEDIAN(AG8,AI8)</f>
        <v>35.246283560903599</v>
      </c>
      <c r="AI8" s="280" cm="1">
        <f t="array" ref="AI8">INDEX('WP_Regression Summary'!$X$5:$Y$66,MATCH(1,('WP_Regression Summary'!$V$5:$V$66=$AB8)*('WP_Regression Summary'!$W$5:$W$66=AI$7),0),MATCH(AI$6,'WP_Regression Summary'!$X$5:$Y$5))</f>
        <v>32.2930448046408</v>
      </c>
      <c r="AJ8" s="280">
        <f>AI8</f>
        <v>32.2930448046408</v>
      </c>
      <c r="AK8" s="35">
        <f>(AG8-AC8)/AC8</f>
        <v>0</v>
      </c>
      <c r="AL8" s="35">
        <f>(AH8-AD8)/AD8</f>
        <v>0</v>
      </c>
      <c r="AM8" s="35">
        <f t="shared" ref="AM8:AM15" si="4">(AI8-AE8)/AE8</f>
        <v>0</v>
      </c>
      <c r="AN8" s="35">
        <f>AM8</f>
        <v>0</v>
      </c>
      <c r="AO8" s="33" t="s">
        <v>1415</v>
      </c>
    </row>
    <row r="9" spans="1:44" s="11" customFormat="1">
      <c r="A9" s="32" t="s">
        <v>8</v>
      </c>
      <c r="B9" s="32" t="s">
        <v>1007</v>
      </c>
      <c r="C9" s="38" cm="1">
        <f t="array" ref="C9">INDEX('WP_Regression Summary'!$F$5:$H$66,MATCH(1,('WP_Regression Summary'!$C$5:$C$66=$B9)*('WP_Regression Summary'!$D$5:$D$66=C$7),0),MATCH(C$6,'WP_Regression Summary'!$F$5:$H$5))</f>
        <v>164309.07999999999</v>
      </c>
      <c r="D9" s="38">
        <f t="shared" ref="D9:D28" si="5">MEDIAN(C9,E9)</f>
        <v>162898.14000000001</v>
      </c>
      <c r="E9" s="38" cm="1">
        <f t="array" ref="E9">INDEX('WP_Regression Summary'!$F$5:$H$66,MATCH(1,('WP_Regression Summary'!$C$5:$C$66=$B9)*('WP_Regression Summary'!$D$5:$D$66=E$7),0),MATCH(E$6,'WP_Regression Summary'!$F$5:$H$5))</f>
        <v>161487.20000000001</v>
      </c>
      <c r="F9" s="38" cm="1">
        <f t="array" ref="F9">INDEX('WP_Regression Summary'!$F$5:$H$66,MATCH(1,('WP_Regression Summary'!$C$5:$C$66=$B9)*('WP_Regression Summary'!$D$5:$D$66=F$7),0),MATCH(F$6,'WP_Regression Summary'!$F$5:$H$5))</f>
        <v>171122.94</v>
      </c>
      <c r="G9" s="38">
        <f t="shared" ref="G9:G15" si="6">MEDIAN(F9,H9)</f>
        <v>168414.03499999997</v>
      </c>
      <c r="H9" s="38" cm="1">
        <f t="array" ref="H9">INDEX('WP_Regression Summary'!$F$5:$H$66,MATCH(1,('WP_Regression Summary'!$C$5:$C$66=$B9)*('WP_Regression Summary'!$D$5:$D$66=H$7),0),MATCH(H$6,'WP_Regression Summary'!$F$5:$H$5))</f>
        <v>165705.12999999998</v>
      </c>
      <c r="I9" s="35">
        <f t="shared" si="0"/>
        <v>4.1469771481892632E-2</v>
      </c>
      <c r="J9" s="35">
        <f t="shared" si="0"/>
        <v>3.3861006638872364E-2</v>
      </c>
      <c r="K9" s="35">
        <f t="shared" si="0"/>
        <v>2.6119283757474052E-2</v>
      </c>
      <c r="L9" s="33" t="s">
        <v>1415</v>
      </c>
      <c r="N9" s="32" t="s">
        <v>8</v>
      </c>
      <c r="O9" s="32" t="s">
        <v>1007</v>
      </c>
      <c r="P9" s="38" cm="1">
        <f t="array" ref="P9">INDEX('WP_Regression Summary'!$P$5:$R$66,MATCH(1,('WP_Regression Summary'!$M$5:$M$66=$O9)*('WP_Regression Summary'!$N$5:$N$66=P$7),0),MATCH(P$6,'WP_Regression Summary'!$P$5:$R$5))</f>
        <v>189.36514745983629</v>
      </c>
      <c r="Q9" s="38">
        <f t="shared" ref="Q9:Q15" si="7">MEDIAN(P9,R9)</f>
        <v>172.96753251423365</v>
      </c>
      <c r="R9" s="38" cm="1">
        <f t="array" ref="R9">INDEX('WP_Regression Summary'!$P$5:$R$66,MATCH(1,('WP_Regression Summary'!$M$5:$M$66=$O9)*('WP_Regression Summary'!$N$5:$N$66=R$7),0),MATCH(R$6,'WP_Regression Summary'!$P$5:$R$5))</f>
        <v>156.56991756863101</v>
      </c>
      <c r="S9" s="38" cm="1">
        <f t="array" ref="S9">INDEX('WP_Regression Summary'!$P$5:$R$66,MATCH(1,('WP_Regression Summary'!$M$5:$M$66=$O9)*('WP_Regression Summary'!$N$5:$N$66=S$7),0),MATCH(S$6,'WP_Regression Summary'!$P$5:$R$5))</f>
        <v>189.36514745983629</v>
      </c>
      <c r="T9" s="38">
        <f t="shared" ref="T9:T15" si="8">MEDIAN(S9,U9)</f>
        <v>172.96753251423365</v>
      </c>
      <c r="U9" s="38" cm="1">
        <f t="array" ref="U9">INDEX('WP_Regression Summary'!$P$5:$R$66,MATCH(1,('WP_Regression Summary'!$M$5:$M$66=$O9)*('WP_Regression Summary'!$N$5:$N$66=U$7),0),MATCH(U$6,'WP_Regression Summary'!$P$5:$R$5))</f>
        <v>156.56991756863101</v>
      </c>
      <c r="V9" s="35">
        <f t="shared" ref="V9:V15" si="9">(S9-P9)/P9</f>
        <v>0</v>
      </c>
      <c r="W9" s="35">
        <f t="shared" si="1"/>
        <v>0</v>
      </c>
      <c r="X9" s="35">
        <f t="shared" si="2"/>
        <v>0</v>
      </c>
      <c r="Y9" s="33" t="s">
        <v>1415</v>
      </c>
      <c r="Z9" s="10"/>
      <c r="AA9" s="32" t="s">
        <v>8</v>
      </c>
      <c r="AB9" s="32" t="s">
        <v>1007</v>
      </c>
      <c r="AC9" s="280" cm="1">
        <f t="array" ref="AC9">INDEX('WP_Regression Summary'!$X$5:$Y$66,MATCH(1,('WP_Regression Summary'!$V$5:$V$66=$AB9)*('WP_Regression Summary'!$W$5:$W$66=AC$7),0),MATCH(AC$6,'WP_Regression Summary'!$X$5:$Y$5))</f>
        <v>24.3760953524949</v>
      </c>
      <c r="AD9" s="280">
        <f t="shared" ref="AD9:AD28" si="10">MEDIAN(AC9,AE9)</f>
        <v>21.580449450807897</v>
      </c>
      <c r="AE9" s="280" cm="1">
        <f t="array" ref="AE9">INDEX('WP_Regression Summary'!$X$5:$Y$66,MATCH(1,('WP_Regression Summary'!$V$5:$V$66=$AB9)*('WP_Regression Summary'!$W$5:$W$66=AE$7),0),MATCH(AE$6,'WP_Regression Summary'!$X$5:$Y$5))</f>
        <v>18.784803549120898</v>
      </c>
      <c r="AF9" s="280">
        <f t="shared" ref="AF9:AF28" si="11">AE9</f>
        <v>18.784803549120898</v>
      </c>
      <c r="AG9" s="280" cm="1">
        <f t="array" ref="AG9">INDEX('WP_Regression Summary'!$X$5:$Y$66,MATCH(1,('WP_Regression Summary'!$V$5:$V$66=$AB9)*('WP_Regression Summary'!$W$5:$W$66=AG$7),0),MATCH(AG$6,'WP_Regression Summary'!$X$5:$Y$5))</f>
        <v>24.3760953524949</v>
      </c>
      <c r="AH9" s="280">
        <f t="shared" si="3"/>
        <v>21.580449450807897</v>
      </c>
      <c r="AI9" s="280" cm="1">
        <f t="array" ref="AI9">INDEX('WP_Regression Summary'!$X$5:$Y$66,MATCH(1,('WP_Regression Summary'!$V$5:$V$66=$AB9)*('WP_Regression Summary'!$W$5:$W$66=AI$7),0),MATCH(AI$6,'WP_Regression Summary'!$X$5:$Y$5))</f>
        <v>18.784803549120898</v>
      </c>
      <c r="AJ9" s="280">
        <f t="shared" ref="AJ9:AJ28" si="12">AI9</f>
        <v>18.784803549120898</v>
      </c>
      <c r="AK9" s="35">
        <f t="shared" ref="AK9:AK15" si="13">(AG9-AC9)/AC9</f>
        <v>0</v>
      </c>
      <c r="AL9" s="35">
        <f t="shared" ref="AL9:AL15" si="14">(AH9-AD9)/AD9</f>
        <v>0</v>
      </c>
      <c r="AM9" s="35">
        <f t="shared" si="4"/>
        <v>0</v>
      </c>
      <c r="AN9" s="35">
        <f t="shared" ref="AN9:AN28" si="15">AM9</f>
        <v>0</v>
      </c>
      <c r="AO9" s="33" t="s">
        <v>1415</v>
      </c>
    </row>
    <row r="10" spans="1:44" s="11" customFormat="1">
      <c r="A10" s="32" t="s">
        <v>8</v>
      </c>
      <c r="B10" s="32" t="s">
        <v>1010</v>
      </c>
      <c r="C10" s="38" cm="1">
        <f t="array" ref="C10">INDEX('WP_Regression Summary'!$F$5:$H$66,MATCH(1,('WP_Regression Summary'!$C$5:$C$66=$B10)*('WP_Regression Summary'!$D$5:$D$66=C$7),0),MATCH(C$6,'WP_Regression Summary'!$F$5:$H$5))</f>
        <v>8747.570099999999</v>
      </c>
      <c r="D10" s="38">
        <f t="shared" si="5"/>
        <v>8608.1238499999999</v>
      </c>
      <c r="E10" s="38" cm="1">
        <f t="array" ref="E10">INDEX('WP_Regression Summary'!$F$5:$H$66,MATCH(1,('WP_Regression Summary'!$C$5:$C$66=$B10)*('WP_Regression Summary'!$D$5:$D$66=E$7),0),MATCH(E$6,'WP_Regression Summary'!$F$5:$H$5))</f>
        <v>8468.6776000000009</v>
      </c>
      <c r="F10" s="38" cm="1">
        <f t="array" ref="F10">INDEX('WP_Regression Summary'!$F$5:$H$66,MATCH(1,('WP_Regression Summary'!$C$5:$C$66=$B10)*('WP_Regression Summary'!$D$5:$D$66=F$7),0),MATCH(F$6,'WP_Regression Summary'!$F$5:$H$5))</f>
        <v>8866.7702999999983</v>
      </c>
      <c r="G10" s="38">
        <f t="shared" si="6"/>
        <v>8660.9324499999984</v>
      </c>
      <c r="H10" s="38" cm="1">
        <f t="array" ref="H10">INDEX('WP_Regression Summary'!$F$5:$H$66,MATCH(1,('WP_Regression Summary'!$C$5:$C$66=$B10)*('WP_Regression Summary'!$D$5:$D$66=H$7),0),MATCH(H$6,'WP_Regression Summary'!$F$5:$H$5))</f>
        <v>8455.0945999999985</v>
      </c>
      <c r="I10" s="35">
        <f t="shared" si="0"/>
        <v>1.3626664163571472E-2</v>
      </c>
      <c r="J10" s="35">
        <f t="shared" si="0"/>
        <v>6.1347398016349964E-3</v>
      </c>
      <c r="K10" s="35">
        <f t="shared" si="0"/>
        <v>-1.603910390921288E-3</v>
      </c>
      <c r="L10" s="33" t="s">
        <v>1415</v>
      </c>
      <c r="N10" s="32" t="s">
        <v>8</v>
      </c>
      <c r="O10" s="32" t="s">
        <v>1010</v>
      </c>
      <c r="P10" s="38" cm="1">
        <f t="array" ref="P10">INDEX('WP_Regression Summary'!$P$5:$R$66,MATCH(1,('WP_Regression Summary'!$M$5:$M$66=$O10)*('WP_Regression Summary'!$N$5:$N$66=P$7),0),MATCH(P$6,'WP_Regression Summary'!$P$5:$R$5))</f>
        <v>691.72379019989842</v>
      </c>
      <c r="Q10" s="38">
        <f t="shared" si="7"/>
        <v>597.30342792519559</v>
      </c>
      <c r="R10" s="38" cm="1">
        <f t="array" ref="R10">INDEX('WP_Regression Summary'!$P$5:$R$66,MATCH(1,('WP_Regression Summary'!$M$5:$M$66=$O10)*('WP_Regression Summary'!$N$5:$N$66=R$7),0),MATCH(R$6,'WP_Regression Summary'!$P$5:$R$5))</f>
        <v>502.88306565049282</v>
      </c>
      <c r="S10" s="38" cm="1">
        <f t="array" ref="S10">INDEX('WP_Regression Summary'!$P$5:$R$66,MATCH(1,('WP_Regression Summary'!$M$5:$M$66=$O10)*('WP_Regression Summary'!$N$5:$N$66=S$7),0),MATCH(S$6,'WP_Regression Summary'!$P$5:$R$5))</f>
        <v>691.72379019989842</v>
      </c>
      <c r="T10" s="38">
        <f t="shared" si="8"/>
        <v>597.30342792519559</v>
      </c>
      <c r="U10" s="38" cm="1">
        <f t="array" ref="U10">INDEX('WP_Regression Summary'!$P$5:$R$66,MATCH(1,('WP_Regression Summary'!$M$5:$M$66=$O10)*('WP_Regression Summary'!$N$5:$N$66=U$7),0),MATCH(U$6,'WP_Regression Summary'!$P$5:$R$5))</f>
        <v>502.88306565049282</v>
      </c>
      <c r="V10" s="35">
        <f t="shared" si="9"/>
        <v>0</v>
      </c>
      <c r="W10" s="35">
        <f t="shared" si="1"/>
        <v>0</v>
      </c>
      <c r="X10" s="35">
        <f t="shared" si="2"/>
        <v>0</v>
      </c>
      <c r="Y10" s="33" t="s">
        <v>1415</v>
      </c>
      <c r="Z10" s="10"/>
      <c r="AA10" s="32" t="s">
        <v>8</v>
      </c>
      <c r="AB10" s="32" t="s">
        <v>1010</v>
      </c>
      <c r="AC10" s="280" cm="1">
        <f t="array" ref="AC10">INDEX('WP_Regression Summary'!$X$5:$Y$66,MATCH(1,('WP_Regression Summary'!$V$5:$V$66=$AB10)*('WP_Regression Summary'!$W$5:$W$66=AC$7),0),MATCH(AC$6,'WP_Regression Summary'!$X$5:$Y$5))</f>
        <v>106.996797968698</v>
      </c>
      <c r="AD10" s="280">
        <f t="shared" si="10"/>
        <v>91.589938998615196</v>
      </c>
      <c r="AE10" s="280" cm="1">
        <f t="array" ref="AE10">INDEX('WP_Regression Summary'!$X$5:$Y$66,MATCH(1,('WP_Regression Summary'!$V$5:$V$66=$AB10)*('WP_Regression Summary'!$W$5:$W$66=AE$7),0),MATCH(AE$6,'WP_Regression Summary'!$X$5:$Y$5))</f>
        <v>76.183080028532402</v>
      </c>
      <c r="AF10" s="280">
        <f t="shared" si="11"/>
        <v>76.183080028532402</v>
      </c>
      <c r="AG10" s="280" cm="1">
        <f t="array" ref="AG10">INDEX('WP_Regression Summary'!$X$5:$Y$66,MATCH(1,('WP_Regression Summary'!$V$5:$V$66=$AB10)*('WP_Regression Summary'!$W$5:$W$66=AG$7),0),MATCH(AG$6,'WP_Regression Summary'!$X$5:$Y$5))</f>
        <v>106.996797968698</v>
      </c>
      <c r="AH10" s="280">
        <f t="shared" si="3"/>
        <v>91.589938998615196</v>
      </c>
      <c r="AI10" s="280" cm="1">
        <f t="array" ref="AI10">INDEX('WP_Regression Summary'!$X$5:$Y$66,MATCH(1,('WP_Regression Summary'!$V$5:$V$66=$AB10)*('WP_Regression Summary'!$W$5:$W$66=AI$7),0),MATCH(AI$6,'WP_Regression Summary'!$X$5:$Y$5))</f>
        <v>76.183080028532402</v>
      </c>
      <c r="AJ10" s="280">
        <f t="shared" si="12"/>
        <v>76.183080028532402</v>
      </c>
      <c r="AK10" s="35">
        <f t="shared" si="13"/>
        <v>0</v>
      </c>
      <c r="AL10" s="35">
        <f t="shared" si="14"/>
        <v>0</v>
      </c>
      <c r="AM10" s="35">
        <f t="shared" si="4"/>
        <v>0</v>
      </c>
      <c r="AN10" s="35">
        <f t="shared" si="15"/>
        <v>0</v>
      </c>
      <c r="AO10" s="33" t="s">
        <v>1415</v>
      </c>
    </row>
    <row r="11" spans="1:44" s="11" customFormat="1">
      <c r="A11" s="32" t="s">
        <v>8</v>
      </c>
      <c r="B11" s="32" t="s">
        <v>1012</v>
      </c>
      <c r="C11" s="38" cm="1">
        <f t="array" ref="C11">INDEX('WP_Regression Summary'!$F$5:$H$66,MATCH(1,('WP_Regression Summary'!$C$5:$C$66=$B11)*('WP_Regression Summary'!$D$5:$D$66=C$7),0),MATCH(C$6,'WP_Regression Summary'!$F$5:$H$5))</f>
        <v>5845.9627</v>
      </c>
      <c r="D11" s="38">
        <f t="shared" si="5"/>
        <v>5634.4523500000005</v>
      </c>
      <c r="E11" s="38" cm="1">
        <f t="array" ref="E11">INDEX('WP_Regression Summary'!$F$5:$H$66,MATCH(1,('WP_Regression Summary'!$C$5:$C$66=$B11)*('WP_Regression Summary'!$D$5:$D$66=E$7),0),MATCH(E$6,'WP_Regression Summary'!$F$5:$H$5))</f>
        <v>5422.9420000000009</v>
      </c>
      <c r="F11" s="38" cm="1">
        <f t="array" ref="F11">INDEX('WP_Regression Summary'!$F$5:$H$66,MATCH(1,('WP_Regression Summary'!$C$5:$C$66=$B11)*('WP_Regression Summary'!$D$5:$D$66=F$7),0),MATCH(F$6,'WP_Regression Summary'!$F$5:$H$5))</f>
        <v>5764.2089999999998</v>
      </c>
      <c r="G11" s="38">
        <f t="shared" si="6"/>
        <v>5339.8732500000006</v>
      </c>
      <c r="H11" s="38" cm="1">
        <f t="array" ref="H11">INDEX('WP_Regression Summary'!$F$5:$H$66,MATCH(1,('WP_Regression Summary'!$C$5:$C$66=$B11)*('WP_Regression Summary'!$D$5:$D$66=H$7),0),MATCH(H$6,'WP_Regression Summary'!$F$5:$H$5))</f>
        <v>4915.5375000000013</v>
      </c>
      <c r="I11" s="35">
        <f t="shared" si="0"/>
        <v>-1.3984642768931832E-2</v>
      </c>
      <c r="J11" s="35">
        <f t="shared" si="0"/>
        <v>-5.2281762574494024E-2</v>
      </c>
      <c r="K11" s="35">
        <f t="shared" si="0"/>
        <v>-9.3566278230524977E-2</v>
      </c>
      <c r="L11" s="33" t="s">
        <v>1415</v>
      </c>
      <c r="N11" s="32" t="s">
        <v>8</v>
      </c>
      <c r="O11" s="32" t="s">
        <v>1012</v>
      </c>
      <c r="P11" s="38" cm="1">
        <f t="array" ref="P11">INDEX('WP_Regression Summary'!$P$5:$R$66,MATCH(1,('WP_Regression Summary'!$M$5:$M$66=$O11)*('WP_Regression Summary'!$N$5:$N$66=P$7),0),MATCH(P$6,'WP_Regression Summary'!$P$5:$R$5))</f>
        <v>140.59</v>
      </c>
      <c r="Q11" s="38">
        <f t="shared" si="7"/>
        <v>116.03</v>
      </c>
      <c r="R11" s="38" cm="1">
        <f t="array" ref="R11">INDEX('WP_Regression Summary'!$P$5:$R$66,MATCH(1,('WP_Regression Summary'!$M$5:$M$66=$O11)*('WP_Regression Summary'!$N$5:$N$66=R$7),0),MATCH(R$6,'WP_Regression Summary'!$P$5:$R$5))</f>
        <v>91.47</v>
      </c>
      <c r="S11" s="38" cm="1">
        <f t="array" ref="S11">INDEX('WP_Regression Summary'!$P$5:$R$66,MATCH(1,('WP_Regression Summary'!$M$5:$M$66=$O11)*('WP_Regression Summary'!$N$5:$N$66=S$7),0),MATCH(S$6,'WP_Regression Summary'!$P$5:$R$5))</f>
        <v>140.91</v>
      </c>
      <c r="T11" s="38">
        <f t="shared" si="8"/>
        <v>114.75</v>
      </c>
      <c r="U11" s="38" cm="1">
        <f t="array" ref="U11">INDEX('WP_Regression Summary'!$P$5:$R$66,MATCH(1,('WP_Regression Summary'!$M$5:$M$66=$O11)*('WP_Regression Summary'!$N$5:$N$66=U$7),0),MATCH(U$6,'WP_Regression Summary'!$P$5:$R$5))</f>
        <v>88.59</v>
      </c>
      <c r="V11" s="35">
        <f t="shared" si="9"/>
        <v>2.2761220570452607E-3</v>
      </c>
      <c r="W11" s="35">
        <f t="shared" si="1"/>
        <v>-1.1031629750926494E-2</v>
      </c>
      <c r="X11" s="35">
        <f t="shared" si="2"/>
        <v>-3.148573302722199E-2</v>
      </c>
      <c r="Y11" s="33" t="s">
        <v>1415</v>
      </c>
      <c r="Z11" s="10"/>
      <c r="AA11" s="32" t="s">
        <v>8</v>
      </c>
      <c r="AB11" s="32" t="s">
        <v>1012</v>
      </c>
      <c r="AC11" s="280" cm="1">
        <f t="array" ref="AC11">INDEX('WP_Regression Summary'!$X$5:$Y$66,MATCH(1,('WP_Regression Summary'!$V$5:$V$66=$AB11)*('WP_Regression Summary'!$W$5:$W$66=AC$7),0),MATCH(AC$6,'WP_Regression Summary'!$X$5:$Y$5))</f>
        <v>16.25</v>
      </c>
      <c r="AD11" s="280">
        <f t="shared" si="10"/>
        <v>14.195</v>
      </c>
      <c r="AE11" s="280" cm="1">
        <f t="array" ref="AE11">INDEX('WP_Regression Summary'!$X$5:$Y$66,MATCH(1,('WP_Regression Summary'!$V$5:$V$66=$AB11)*('WP_Regression Summary'!$W$5:$W$66=AE$7),0),MATCH(AE$6,'WP_Regression Summary'!$X$5:$Y$5))</f>
        <v>12.14</v>
      </c>
      <c r="AF11" s="280">
        <f t="shared" si="11"/>
        <v>12.14</v>
      </c>
      <c r="AG11" s="280" cm="1">
        <f t="array" ref="AG11">INDEX('WP_Regression Summary'!$X$5:$Y$66,MATCH(1,('WP_Regression Summary'!$V$5:$V$66=$AB11)*('WP_Regression Summary'!$W$5:$W$66=AG$7),0),MATCH(AG$6,'WP_Regression Summary'!$X$5:$Y$5))</f>
        <v>16.25</v>
      </c>
      <c r="AH11" s="280">
        <f t="shared" si="3"/>
        <v>14.07</v>
      </c>
      <c r="AI11" s="280" cm="1">
        <f t="array" ref="AI11">INDEX('WP_Regression Summary'!$X$5:$Y$66,MATCH(1,('WP_Regression Summary'!$V$5:$V$66=$AB11)*('WP_Regression Summary'!$W$5:$W$66=AI$7),0),MATCH(AI$6,'WP_Regression Summary'!$X$5:$Y$5))</f>
        <v>11.89</v>
      </c>
      <c r="AJ11" s="280">
        <f t="shared" si="12"/>
        <v>11.89</v>
      </c>
      <c r="AK11" s="35">
        <f t="shared" si="13"/>
        <v>0</v>
      </c>
      <c r="AL11" s="35">
        <f t="shared" si="14"/>
        <v>-8.8059175766114824E-3</v>
      </c>
      <c r="AM11" s="35">
        <f t="shared" si="4"/>
        <v>-2.059308072487644E-2</v>
      </c>
      <c r="AN11" s="35">
        <f t="shared" si="15"/>
        <v>-2.059308072487644E-2</v>
      </c>
      <c r="AO11" s="33" t="s">
        <v>1415</v>
      </c>
    </row>
    <row r="12" spans="1:44" s="11" customFormat="1">
      <c r="A12" s="32" t="s">
        <v>8</v>
      </c>
      <c r="B12" s="32" t="s">
        <v>1014</v>
      </c>
      <c r="C12" s="38" cm="1">
        <f t="array" ref="C12">INDEX('WP_Regression Summary'!$F$5:$H$66,MATCH(1,('WP_Regression Summary'!$C$5:$C$66=$B12)*('WP_Regression Summary'!$D$5:$D$66=C$7),0),MATCH(C$6,'WP_Regression Summary'!$F$5:$H$5))</f>
        <v>7866.4007000000001</v>
      </c>
      <c r="D12" s="38">
        <f t="shared" si="5"/>
        <v>7804.6589999999997</v>
      </c>
      <c r="E12" s="38" cm="1">
        <f t="array" ref="E12">INDEX('WP_Regression Summary'!$F$5:$H$66,MATCH(1,('WP_Regression Summary'!$C$5:$C$66=$B12)*('WP_Regression Summary'!$D$5:$D$66=E$7),0),MATCH(E$6,'WP_Regression Summary'!$F$5:$H$5))</f>
        <v>7742.9173000000001</v>
      </c>
      <c r="F12" s="38" cm="1">
        <f t="array" ref="F12">INDEX('WP_Regression Summary'!$F$5:$H$66,MATCH(1,('WP_Regression Summary'!$C$5:$C$66=$B12)*('WP_Regression Summary'!$D$5:$D$66=F$7),0),MATCH(F$6,'WP_Regression Summary'!$F$5:$H$5))</f>
        <v>7888.4994999999999</v>
      </c>
      <c r="G12" s="38">
        <f t="shared" si="6"/>
        <v>7824.2110000000002</v>
      </c>
      <c r="H12" s="38" cm="1">
        <f t="array" ref="H12">INDEX('WP_Regression Summary'!$F$5:$H$66,MATCH(1,('WP_Regression Summary'!$C$5:$C$66=$B12)*('WP_Regression Summary'!$D$5:$D$66=H$7),0),MATCH(H$6,'WP_Regression Summary'!$F$5:$H$5))</f>
        <v>7759.9225000000006</v>
      </c>
      <c r="I12" s="35">
        <f t="shared" si="0"/>
        <v>2.8092644708525663E-3</v>
      </c>
      <c r="J12" s="35">
        <f t="shared" si="0"/>
        <v>2.5051703091705339E-3</v>
      </c>
      <c r="K12" s="35">
        <f t="shared" si="0"/>
        <v>2.1962264791334546E-3</v>
      </c>
      <c r="L12" s="33" t="s">
        <v>1415</v>
      </c>
      <c r="N12" s="32" t="s">
        <v>8</v>
      </c>
      <c r="O12" s="32" t="s">
        <v>1014</v>
      </c>
      <c r="P12" s="38" cm="1">
        <f t="array" ref="P12">INDEX('WP_Regression Summary'!$P$5:$R$66,MATCH(1,('WP_Regression Summary'!$M$5:$M$66=$O12)*('WP_Regression Summary'!$N$5:$N$66=P$7),0),MATCH(P$6,'WP_Regression Summary'!$P$5:$R$5))</f>
        <v>167.63707877370169</v>
      </c>
      <c r="Q12" s="38">
        <f t="shared" si="7"/>
        <v>154.60566801564704</v>
      </c>
      <c r="R12" s="38" cm="1">
        <f t="array" ref="R12">INDEX('WP_Regression Summary'!$P$5:$R$66,MATCH(1,('WP_Regression Summary'!$M$5:$M$66=$O12)*('WP_Regression Summary'!$N$5:$N$66=R$7),0),MATCH(R$6,'WP_Regression Summary'!$P$5:$R$5))</f>
        <v>141.57425725759239</v>
      </c>
      <c r="S12" s="38" cm="1">
        <f t="array" ref="S12">INDEX('WP_Regression Summary'!$P$5:$R$66,MATCH(1,('WP_Regression Summary'!$M$5:$M$66=$O12)*('WP_Regression Summary'!$N$5:$N$66=S$7),0),MATCH(S$6,'WP_Regression Summary'!$P$5:$R$5))</f>
        <v>162.75195983909569</v>
      </c>
      <c r="T12" s="38">
        <f t="shared" si="8"/>
        <v>147.81172002816606</v>
      </c>
      <c r="U12" s="38" cm="1">
        <f t="array" ref="U12">INDEX('WP_Regression Summary'!$P$5:$R$66,MATCH(1,('WP_Regression Summary'!$M$5:$M$66=$O12)*('WP_Regression Summary'!$N$5:$N$66=U$7),0),MATCH(U$6,'WP_Regression Summary'!$P$5:$R$5))</f>
        <v>132.87148021723644</v>
      </c>
      <c r="V12" s="35">
        <f t="shared" si="9"/>
        <v>-2.9141040695421366E-2</v>
      </c>
      <c r="W12" s="35">
        <f t="shared" si="1"/>
        <v>-4.3943718717954036E-2</v>
      </c>
      <c r="X12" s="35">
        <f t="shared" si="2"/>
        <v>-6.1471465285679532E-2</v>
      </c>
      <c r="Y12" s="33" t="s">
        <v>1415</v>
      </c>
      <c r="Z12" s="10"/>
      <c r="AA12" s="32" t="s">
        <v>8</v>
      </c>
      <c r="AB12" s="32" t="s">
        <v>1014</v>
      </c>
      <c r="AC12" s="280" cm="1">
        <f t="array" ref="AC12">INDEX('WP_Regression Summary'!$X$5:$Y$66,MATCH(1,('WP_Regression Summary'!$V$5:$V$66=$AB12)*('WP_Regression Summary'!$W$5:$W$66=AC$7),0),MATCH(AC$6,'WP_Regression Summary'!$X$5:$Y$5))</f>
        <v>17.683340884379099</v>
      </c>
      <c r="AD12" s="280">
        <f t="shared" si="10"/>
        <v>16.134182543659499</v>
      </c>
      <c r="AE12" s="280" cm="1">
        <f t="array" ref="AE12">INDEX('WP_Regression Summary'!$X$5:$Y$66,MATCH(1,('WP_Regression Summary'!$V$5:$V$66=$AB12)*('WP_Regression Summary'!$W$5:$W$66=AE$7),0),MATCH(AE$6,'WP_Regression Summary'!$X$5:$Y$5))</f>
        <v>14.5850242029399</v>
      </c>
      <c r="AF12" s="280">
        <f t="shared" si="11"/>
        <v>14.5850242029399</v>
      </c>
      <c r="AG12" s="280" cm="1">
        <f t="array" ref="AG12">INDEX('WP_Regression Summary'!$X$5:$Y$66,MATCH(1,('WP_Regression Summary'!$V$5:$V$66=$AB12)*('WP_Regression Summary'!$W$5:$W$66=AG$7),0),MATCH(AG$6,'WP_Regression Summary'!$X$5:$Y$5))</f>
        <v>16.737800821783299</v>
      </c>
      <c r="AH12" s="280">
        <f t="shared" si="3"/>
        <v>15.031509198564599</v>
      </c>
      <c r="AI12" s="280" cm="1">
        <f t="array" ref="AI12">INDEX('WP_Regression Summary'!$X$5:$Y$66,MATCH(1,('WP_Regression Summary'!$V$5:$V$66=$AB12)*('WP_Regression Summary'!$W$5:$W$66=AI$7),0),MATCH(AI$6,'WP_Regression Summary'!$X$5:$Y$5))</f>
        <v>13.325217575345899</v>
      </c>
      <c r="AJ12" s="280">
        <f t="shared" si="12"/>
        <v>13.325217575345899</v>
      </c>
      <c r="AK12" s="35">
        <f t="shared" si="13"/>
        <v>-5.3470668737210167E-2</v>
      </c>
      <c r="AL12" s="35">
        <f t="shared" si="14"/>
        <v>-6.8343923970801621E-2</v>
      </c>
      <c r="AM12" s="35">
        <f t="shared" si="4"/>
        <v>-8.6376725198718696E-2</v>
      </c>
      <c r="AN12" s="35">
        <f t="shared" si="15"/>
        <v>-8.6376725198718696E-2</v>
      </c>
      <c r="AO12" s="33" t="s">
        <v>1415</v>
      </c>
    </row>
    <row r="13" spans="1:44" s="11" customFormat="1">
      <c r="A13" s="32" t="s">
        <v>8</v>
      </c>
      <c r="B13" s="32" t="s">
        <v>1016</v>
      </c>
      <c r="C13" s="38" cm="1">
        <f t="array" ref="C13">INDEX('WP_Regression Summary'!$F$5:$H$66,MATCH(1,('WP_Regression Summary'!$C$5:$C$66=$B13)*('WP_Regression Summary'!$D$5:$D$66=C$7),0),MATCH(C$6,'WP_Regression Summary'!$F$5:$H$5))</f>
        <v>5522.8490000000002</v>
      </c>
      <c r="D13" s="38">
        <f t="shared" si="5"/>
        <v>5228.6718500000006</v>
      </c>
      <c r="E13" s="38" cm="1">
        <f t="array" ref="E13">INDEX('WP_Regression Summary'!$F$5:$H$66,MATCH(1,('WP_Regression Summary'!$C$5:$C$66=$B13)*('WP_Regression Summary'!$D$5:$D$66=E$7),0),MATCH(E$6,'WP_Regression Summary'!$F$5:$H$5))</f>
        <v>4934.4947000000002</v>
      </c>
      <c r="F13" s="38" cm="1">
        <f t="array" ref="F13">INDEX('WP_Regression Summary'!$F$5:$H$66,MATCH(1,('WP_Regression Summary'!$C$5:$C$66=$B13)*('WP_Regression Summary'!$D$5:$D$66=F$7),0),MATCH(F$6,'WP_Regression Summary'!$F$5:$H$5))</f>
        <v>5600.0792999999994</v>
      </c>
      <c r="G13" s="38">
        <f t="shared" si="6"/>
        <v>5122.0021999999999</v>
      </c>
      <c r="H13" s="38" cm="1">
        <f t="array" ref="H13">INDEX('WP_Regression Summary'!$F$5:$H$66,MATCH(1,('WP_Regression Summary'!$C$5:$C$66=$B13)*('WP_Regression Summary'!$D$5:$D$66=H$7),0),MATCH(H$6,'WP_Regression Summary'!$F$5:$H$5))</f>
        <v>4643.9251000000004</v>
      </c>
      <c r="I13" s="35">
        <f t="shared" si="0"/>
        <v>1.3983779024195529E-2</v>
      </c>
      <c r="J13" s="35">
        <f t="shared" si="0"/>
        <v>-2.0400907354704373E-2</v>
      </c>
      <c r="K13" s="35">
        <f t="shared" si="0"/>
        <v>-5.8885380908403812E-2</v>
      </c>
      <c r="L13" s="33" t="s">
        <v>1415</v>
      </c>
      <c r="N13" s="32" t="s">
        <v>8</v>
      </c>
      <c r="O13" s="32" t="s">
        <v>1016</v>
      </c>
      <c r="P13" s="38" cm="1">
        <f t="array" ref="P13">INDEX('WP_Regression Summary'!$P$5:$R$66,MATCH(1,('WP_Regression Summary'!$M$5:$M$66=$O13)*('WP_Regression Summary'!$N$5:$N$66=P$7),0),MATCH(P$6,'WP_Regression Summary'!$P$5:$R$5))</f>
        <v>1099.4769818116235</v>
      </c>
      <c r="Q13" s="38">
        <f t="shared" si="7"/>
        <v>910.44707147729594</v>
      </c>
      <c r="R13" s="38" cm="1">
        <f t="array" ref="R13">INDEX('WP_Regression Summary'!$P$5:$R$66,MATCH(1,('WP_Regression Summary'!$M$5:$M$66=$O13)*('WP_Regression Summary'!$N$5:$N$66=R$7),0),MATCH(R$6,'WP_Regression Summary'!$P$5:$R$5))</f>
        <v>721.41716114296833</v>
      </c>
      <c r="S13" s="38" cm="1">
        <f t="array" ref="S13">INDEX('WP_Regression Summary'!$P$5:$R$66,MATCH(1,('WP_Regression Summary'!$M$5:$M$66=$O13)*('WP_Regression Summary'!$N$5:$N$66=S$7),0),MATCH(S$6,'WP_Regression Summary'!$P$5:$R$5))</f>
        <v>1090.2226156645322</v>
      </c>
      <c r="T13" s="38">
        <f t="shared" si="8"/>
        <v>871.59467421763247</v>
      </c>
      <c r="U13" s="38" cm="1">
        <f t="array" ref="U13">INDEX('WP_Regression Summary'!$P$5:$R$66,MATCH(1,('WP_Regression Summary'!$M$5:$M$66=$O13)*('WP_Regression Summary'!$N$5:$N$66=U$7),0),MATCH(U$6,'WP_Regression Summary'!$P$5:$R$5))</f>
        <v>652.96673277073285</v>
      </c>
      <c r="V13" s="35">
        <f t="shared" si="9"/>
        <v>-8.4170622033785409E-3</v>
      </c>
      <c r="W13" s="35">
        <f t="shared" si="1"/>
        <v>-4.2673976859106559E-2</v>
      </c>
      <c r="X13" s="35">
        <f t="shared" si="2"/>
        <v>-9.4883282598638069E-2</v>
      </c>
      <c r="Y13" s="33" t="s">
        <v>1415</v>
      </c>
      <c r="Z13" s="10"/>
      <c r="AA13" s="32" t="s">
        <v>8</v>
      </c>
      <c r="AB13" s="32" t="s">
        <v>1016</v>
      </c>
      <c r="AC13" s="280" cm="1">
        <f t="array" ref="AC13">INDEX('WP_Regression Summary'!$X$5:$Y$66,MATCH(1,('WP_Regression Summary'!$V$5:$V$66=$AB13)*('WP_Regression Summary'!$W$5:$W$66=AC$7),0),MATCH(AC$6,'WP_Regression Summary'!$X$5:$Y$5))</f>
        <v>186.05292102106901</v>
      </c>
      <c r="AD13" s="280">
        <f t="shared" si="10"/>
        <v>161.81089627884802</v>
      </c>
      <c r="AE13" s="280" cm="1">
        <f t="array" ref="AE13">INDEX('WP_Regression Summary'!$X$5:$Y$66,MATCH(1,('WP_Regression Summary'!$V$5:$V$66=$AB13)*('WP_Regression Summary'!$W$5:$W$66=AE$7),0),MATCH(AE$6,'WP_Regression Summary'!$X$5:$Y$5))</f>
        <v>137.568871536627</v>
      </c>
      <c r="AF13" s="280">
        <f t="shared" si="11"/>
        <v>137.568871536627</v>
      </c>
      <c r="AG13" s="280" cm="1">
        <f t="array" ref="AG13">INDEX('WP_Regression Summary'!$X$5:$Y$66,MATCH(1,('WP_Regression Summary'!$V$5:$V$66=$AB13)*('WP_Regression Summary'!$W$5:$W$66=AG$7),0),MATCH(AG$6,'WP_Regression Summary'!$X$5:$Y$5))</f>
        <v>184.34487244345999</v>
      </c>
      <c r="AH13" s="280">
        <f t="shared" si="3"/>
        <v>155.0460214861065</v>
      </c>
      <c r="AI13" s="280" cm="1">
        <f t="array" ref="AI13">INDEX('WP_Regression Summary'!$X$5:$Y$66,MATCH(1,('WP_Regression Summary'!$V$5:$V$66=$AB13)*('WP_Regression Summary'!$W$5:$W$66=AI$7),0),MATCH(AI$6,'WP_Regression Summary'!$X$5:$Y$5))</f>
        <v>125.747170528753</v>
      </c>
      <c r="AJ13" s="280">
        <f t="shared" si="12"/>
        <v>125.747170528753</v>
      </c>
      <c r="AK13" s="35">
        <f t="shared" si="13"/>
        <v>-9.180444833841641E-3</v>
      </c>
      <c r="AL13" s="35">
        <f t="shared" si="14"/>
        <v>-4.1807288311929522E-2</v>
      </c>
      <c r="AM13" s="35">
        <f t="shared" si="4"/>
        <v>-8.5932964891163852E-2</v>
      </c>
      <c r="AN13" s="35">
        <f t="shared" si="15"/>
        <v>-8.5932964891163852E-2</v>
      </c>
      <c r="AO13" s="33" t="s">
        <v>1415</v>
      </c>
    </row>
    <row r="14" spans="1:44" s="11" customFormat="1">
      <c r="A14" s="32" t="s">
        <v>8</v>
      </c>
      <c r="B14" s="32" t="s">
        <v>1018</v>
      </c>
      <c r="C14" s="38" cm="1">
        <f t="array" ref="C14">INDEX('WP_Regression Summary'!$F$5:$H$66,MATCH(1,('WP_Regression Summary'!$C$5:$C$66=$B14)*('WP_Regression Summary'!$D$5:$D$66=C$7),0),MATCH(C$6,'WP_Regression Summary'!$F$5:$H$5))</f>
        <v>10969</v>
      </c>
      <c r="D14" s="38">
        <f t="shared" si="5"/>
        <v>10723.692500000001</v>
      </c>
      <c r="E14" s="38" cm="1">
        <f t="array" ref="E14">INDEX('WP_Regression Summary'!$F$5:$H$66,MATCH(1,('WP_Regression Summary'!$C$5:$C$66=$B14)*('WP_Regression Summary'!$D$5:$D$66=E$7),0),MATCH(E$6,'WP_Regression Summary'!$F$5:$H$5))</f>
        <v>10478.385</v>
      </c>
      <c r="F14" s="38" cm="1">
        <f t="array" ref="F14">INDEX('WP_Regression Summary'!$F$5:$H$66,MATCH(1,('WP_Regression Summary'!$C$5:$C$66=$B14)*('WP_Regression Summary'!$D$5:$D$66=F$7),0),MATCH(F$6,'WP_Regression Summary'!$F$5:$H$5))</f>
        <v>12493</v>
      </c>
      <c r="G14" s="38">
        <f t="shared" si="6"/>
        <v>11883.7289</v>
      </c>
      <c r="H14" s="38" cm="1">
        <f t="array" ref="H14">INDEX('WP_Regression Summary'!$F$5:$H$66,MATCH(1,('WP_Regression Summary'!$C$5:$C$66=$B14)*('WP_Regression Summary'!$D$5:$D$66=H$7),0),MATCH(H$6,'WP_Regression Summary'!$F$5:$H$5))</f>
        <v>11274.4578</v>
      </c>
      <c r="I14" s="35">
        <f t="shared" si="0"/>
        <v>0.13893700428480263</v>
      </c>
      <c r="J14" s="35">
        <f t="shared" si="0"/>
        <v>0.10817508987692429</v>
      </c>
      <c r="K14" s="35">
        <f t="shared" si="0"/>
        <v>7.5972852686745126E-2</v>
      </c>
      <c r="L14" s="33" t="s">
        <v>1415</v>
      </c>
      <c r="N14" s="32" t="s">
        <v>8</v>
      </c>
      <c r="O14" s="32" t="s">
        <v>1018</v>
      </c>
      <c r="P14" s="38" cm="1">
        <f t="array" ref="P14">INDEX('WP_Regression Summary'!$P$5:$R$66,MATCH(1,('WP_Regression Summary'!$M$5:$M$66=$O14)*('WP_Regression Summary'!$N$5:$N$66=P$7),0),MATCH(P$6,'WP_Regression Summary'!$P$5:$R$5))</f>
        <v>102.3512499185934</v>
      </c>
      <c r="Q14" s="38">
        <f t="shared" si="7"/>
        <v>81.48613092682065</v>
      </c>
      <c r="R14" s="38" cm="1">
        <f t="array" ref="R14">INDEX('WP_Regression Summary'!$P$5:$R$66,MATCH(1,('WP_Regression Summary'!$M$5:$M$66=$O14)*('WP_Regression Summary'!$N$5:$N$66=R$7),0),MATCH(R$6,'WP_Regression Summary'!$P$5:$R$5))</f>
        <v>60.62101193504791</v>
      </c>
      <c r="S14" s="38" cm="1">
        <f t="array" ref="S14">INDEX('WP_Regression Summary'!$P$5:$R$66,MATCH(1,('WP_Regression Summary'!$M$5:$M$66=$O14)*('WP_Regression Summary'!$N$5:$N$66=S$7),0),MATCH(S$6,'WP_Regression Summary'!$P$5:$R$5))</f>
        <v>103.55965676925655</v>
      </c>
      <c r="T14" s="38">
        <f t="shared" si="8"/>
        <v>80.956336657055985</v>
      </c>
      <c r="U14" s="38" cm="1">
        <f t="array" ref="U14">INDEX('WP_Regression Summary'!$P$5:$R$66,MATCH(1,('WP_Regression Summary'!$M$5:$M$66=$O14)*('WP_Regression Summary'!$N$5:$N$66=U$7),0),MATCH(U$6,'WP_Regression Summary'!$P$5:$R$5))</f>
        <v>58.353016544855414</v>
      </c>
      <c r="V14" s="35">
        <f t="shared" si="9"/>
        <v>1.1806468915858643E-2</v>
      </c>
      <c r="W14" s="35">
        <f t="shared" si="1"/>
        <v>-6.5016495904125227E-3</v>
      </c>
      <c r="X14" s="35">
        <f t="shared" si="2"/>
        <v>-3.741269434140309E-2</v>
      </c>
      <c r="Y14" s="33" t="s">
        <v>1415</v>
      </c>
      <c r="Z14" s="93"/>
      <c r="AA14" s="32" t="s">
        <v>8</v>
      </c>
      <c r="AB14" s="32" t="s">
        <v>1018</v>
      </c>
      <c r="AC14" s="280" cm="1">
        <f t="array" ref="AC14">INDEX('WP_Regression Summary'!$X$5:$Y$66,MATCH(1,('WP_Regression Summary'!$V$5:$V$66=$AB14)*('WP_Regression Summary'!$W$5:$W$66=AC$7),0),MATCH(AC$6,'WP_Regression Summary'!$X$5:$Y$5))</f>
        <v>14.123130600517401</v>
      </c>
      <c r="AD14" s="280">
        <f t="shared" si="10"/>
        <v>10.63787174674923</v>
      </c>
      <c r="AE14" s="280" cm="1">
        <f t="array" ref="AE14">INDEX('WP_Regression Summary'!$X$5:$Y$66,MATCH(1,('WP_Regression Summary'!$V$5:$V$66=$AB14)*('WP_Regression Summary'!$W$5:$W$66=AE$7),0),MATCH(AE$6,'WP_Regression Summary'!$X$5:$Y$5))</f>
        <v>7.1526128929810602</v>
      </c>
      <c r="AF14" s="280">
        <f t="shared" si="11"/>
        <v>7.1526128929810602</v>
      </c>
      <c r="AG14" s="280" cm="1">
        <f t="array" ref="AG14">INDEX('WP_Regression Summary'!$X$5:$Y$66,MATCH(1,('WP_Regression Summary'!$V$5:$V$66=$AB14)*('WP_Regression Summary'!$W$5:$W$66=AG$7),0),MATCH(AG$6,'WP_Regression Summary'!$X$5:$Y$5))</f>
        <v>14.7947734745481</v>
      </c>
      <c r="AH14" s="280">
        <f t="shared" si="3"/>
        <v>10.82784364648726</v>
      </c>
      <c r="AI14" s="280" cm="1">
        <f t="array" ref="AI14">INDEX('WP_Regression Summary'!$X$5:$Y$66,MATCH(1,('WP_Regression Summary'!$V$5:$V$66=$AB14)*('WP_Regression Summary'!$W$5:$W$66=AI$7),0),MATCH(AI$6,'WP_Regression Summary'!$X$5:$Y$5))</f>
        <v>6.86091381842642</v>
      </c>
      <c r="AJ14" s="280">
        <f t="shared" si="12"/>
        <v>6.86091381842642</v>
      </c>
      <c r="AK14" s="35">
        <f t="shared" si="13"/>
        <v>4.7556231902726523E-2</v>
      </c>
      <c r="AL14" s="35">
        <f t="shared" si="14"/>
        <v>1.7858073894910627E-2</v>
      </c>
      <c r="AM14" s="35">
        <f t="shared" si="4"/>
        <v>-4.0782169945319947E-2</v>
      </c>
      <c r="AN14" s="35">
        <f t="shared" si="15"/>
        <v>-4.0782169945319947E-2</v>
      </c>
      <c r="AO14" s="33" t="s">
        <v>1415</v>
      </c>
    </row>
    <row r="15" spans="1:44" s="11" customFormat="1">
      <c r="A15" s="33" t="s">
        <v>8</v>
      </c>
      <c r="B15" s="33" t="s">
        <v>1020</v>
      </c>
      <c r="C15" s="38" cm="1">
        <f t="array" ref="C15">INDEX('WP_Regression Summary'!$F$5:$H$66,MATCH(1,('WP_Regression Summary'!$C$5:$C$66=$B15)*('WP_Regression Summary'!$D$5:$D$66=C$7),0),MATCH(C$6,'WP_Regression Summary'!$F$5:$H$5))</f>
        <v>39225.557000000001</v>
      </c>
      <c r="D15" s="38">
        <f t="shared" si="5"/>
        <v>38999.044500000004</v>
      </c>
      <c r="E15" s="38" cm="1">
        <f t="array" ref="E15">INDEX('WP_Regression Summary'!$F$5:$H$66,MATCH(1,('WP_Regression Summary'!$C$5:$C$66=$B15)*('WP_Regression Summary'!$D$5:$D$66=E$7),0),MATCH(E$6,'WP_Regression Summary'!$F$5:$H$5))</f>
        <v>38772.532000000007</v>
      </c>
      <c r="F15" s="38" cm="1">
        <f t="array" ref="F15">INDEX('WP_Regression Summary'!$F$5:$H$66,MATCH(1,('WP_Regression Summary'!$C$5:$C$66=$B15)*('WP_Regression Summary'!$D$5:$D$66=F$7),0),MATCH(F$6,'WP_Regression Summary'!$F$5:$H$5))</f>
        <v>38956.623</v>
      </c>
      <c r="G15" s="38">
        <f t="shared" si="6"/>
        <v>38705.317500000005</v>
      </c>
      <c r="H15" s="38" cm="1">
        <f t="array" ref="H15">INDEX('WP_Regression Summary'!$F$5:$H$66,MATCH(1,('WP_Regression Summary'!$C$5:$C$66=$B15)*('WP_Regression Summary'!$D$5:$D$66=H$7),0),MATCH(H$6,'WP_Regression Summary'!$F$5:$H$5))</f>
        <v>38454.012000000002</v>
      </c>
      <c r="I15" s="35">
        <f t="shared" si="0"/>
        <v>-6.8560912978240466E-3</v>
      </c>
      <c r="J15" s="35">
        <f t="shared" si="0"/>
        <v>-7.5316460637900734E-3</v>
      </c>
      <c r="K15" s="35">
        <f t="shared" si="0"/>
        <v>-8.2150941290087542E-3</v>
      </c>
      <c r="L15" s="33" t="s">
        <v>1415</v>
      </c>
      <c r="N15" s="33" t="s">
        <v>8</v>
      </c>
      <c r="O15" s="32" t="s">
        <v>1020</v>
      </c>
      <c r="P15" s="38" cm="1">
        <f t="array" ref="P15">INDEX('WP_Regression Summary'!$P$5:$R$66,MATCH(1,('WP_Regression Summary'!$M$5:$M$66=$O15)*('WP_Regression Summary'!$N$5:$N$66=P$7),0),MATCH(P$6,'WP_Regression Summary'!$P$5:$R$5))</f>
        <v>111.26955512600672</v>
      </c>
      <c r="Q15" s="38">
        <f t="shared" si="7"/>
        <v>103.66332451256534</v>
      </c>
      <c r="R15" s="38" cm="1">
        <f t="array" ref="R15">INDEX('WP_Regression Summary'!$P$5:$R$66,MATCH(1,('WP_Regression Summary'!$M$5:$M$66=$O15)*('WP_Regression Summary'!$N$5:$N$66=R$7),0),MATCH(R$6,'WP_Regression Summary'!$P$5:$R$5))</f>
        <v>96.05709389912397</v>
      </c>
      <c r="S15" s="38" cm="1">
        <f t="array" ref="S15">INDEX('WP_Regression Summary'!$P$5:$R$66,MATCH(1,('WP_Regression Summary'!$M$5:$M$66=$O15)*('WP_Regression Summary'!$N$5:$N$66=S$7),0),MATCH(S$6,'WP_Regression Summary'!$P$5:$R$5))</f>
        <v>111.26955512600672</v>
      </c>
      <c r="T15" s="38">
        <f t="shared" si="8"/>
        <v>103.66332451256534</v>
      </c>
      <c r="U15" s="38" cm="1">
        <f t="array" ref="U15">INDEX('WP_Regression Summary'!$P$5:$R$66,MATCH(1,('WP_Regression Summary'!$M$5:$M$66=$O15)*('WP_Regression Summary'!$N$5:$N$66=U$7),0),MATCH(U$6,'WP_Regression Summary'!$P$5:$R$5))</f>
        <v>96.05709389912397</v>
      </c>
      <c r="V15" s="35">
        <f t="shared" si="9"/>
        <v>0</v>
      </c>
      <c r="W15" s="35">
        <f t="shared" si="1"/>
        <v>0</v>
      </c>
      <c r="X15" s="35">
        <f t="shared" si="2"/>
        <v>0</v>
      </c>
      <c r="Y15" s="33" t="s">
        <v>1415</v>
      </c>
      <c r="Z15" s="10"/>
      <c r="AA15" s="33" t="s">
        <v>8</v>
      </c>
      <c r="AB15" s="32" t="s">
        <v>1020</v>
      </c>
      <c r="AC15" s="280" cm="1">
        <f t="array" ref="AC15">INDEX('WP_Regression Summary'!$X$5:$Y$66,MATCH(1,('WP_Regression Summary'!$V$5:$V$66=$AB15)*('WP_Regression Summary'!$W$5:$W$66=AC$7),0),MATCH(AC$6,'WP_Regression Summary'!$X$5:$Y$5))</f>
        <v>12.657643028241401</v>
      </c>
      <c r="AD15" s="280">
        <f t="shared" si="10"/>
        <v>11.64267450457665</v>
      </c>
      <c r="AE15" s="280" cm="1">
        <f t="array" ref="AE15">INDEX('WP_Regression Summary'!$X$5:$Y$66,MATCH(1,('WP_Regression Summary'!$V$5:$V$66=$AB15)*('WP_Regression Summary'!$W$5:$W$66=AE$7),0),MATCH(AE$6,'WP_Regression Summary'!$X$5:$Y$5))</f>
        <v>10.6277059809119</v>
      </c>
      <c r="AF15" s="280">
        <f t="shared" si="11"/>
        <v>10.6277059809119</v>
      </c>
      <c r="AG15" s="280" cm="1">
        <f t="array" ref="AG15">INDEX('WP_Regression Summary'!$X$5:$Y$66,MATCH(1,('WP_Regression Summary'!$V$5:$V$66=$AB15)*('WP_Regression Summary'!$W$5:$W$66=AG$7),0),MATCH(AG$6,'WP_Regression Summary'!$X$5:$Y$5))</f>
        <v>12.657643028241401</v>
      </c>
      <c r="AH15" s="280">
        <f t="shared" si="3"/>
        <v>11.64267450457665</v>
      </c>
      <c r="AI15" s="280" cm="1">
        <f t="array" ref="AI15">INDEX('WP_Regression Summary'!$X$5:$Y$66,MATCH(1,('WP_Regression Summary'!$V$5:$V$66=$AB15)*('WP_Regression Summary'!$W$5:$W$66=AI$7),0),MATCH(AI$6,'WP_Regression Summary'!$X$5:$Y$5))</f>
        <v>10.6277059809119</v>
      </c>
      <c r="AJ15" s="280">
        <f t="shared" si="12"/>
        <v>10.6277059809119</v>
      </c>
      <c r="AK15" s="35">
        <f t="shared" si="13"/>
        <v>0</v>
      </c>
      <c r="AL15" s="35">
        <f t="shared" si="14"/>
        <v>0</v>
      </c>
      <c r="AM15" s="35">
        <f t="shared" si="4"/>
        <v>0</v>
      </c>
      <c r="AN15" s="35">
        <f t="shared" si="15"/>
        <v>0</v>
      </c>
      <c r="AO15" s="33" t="s">
        <v>1415</v>
      </c>
    </row>
    <row r="16" spans="1:44" s="11" customFormat="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N16" s="10"/>
      <c r="O16" s="33"/>
      <c r="P16" s="38"/>
      <c r="Q16" s="38">
        <v>0</v>
      </c>
      <c r="R16" s="38"/>
      <c r="S16" s="38"/>
      <c r="T16" s="38">
        <v>0</v>
      </c>
      <c r="U16" s="38"/>
      <c r="V16" s="10"/>
      <c r="W16" s="10"/>
      <c r="X16" s="10"/>
      <c r="Y16" s="33"/>
      <c r="Z16" s="10"/>
      <c r="AA16" s="10"/>
      <c r="AB16" s="33"/>
      <c r="AF16" s="280">
        <f t="shared" si="11"/>
        <v>0</v>
      </c>
      <c r="AJ16" s="280">
        <f t="shared" si="12"/>
        <v>0</v>
      </c>
      <c r="AK16" s="10"/>
      <c r="AL16" s="10"/>
      <c r="AM16" s="10"/>
      <c r="AN16" s="35"/>
      <c r="AO16" s="33"/>
    </row>
    <row r="17" spans="1:41" s="11" customFormat="1">
      <c r="A17" s="32" t="s">
        <v>1245</v>
      </c>
      <c r="B17" s="32" t="s">
        <v>1044</v>
      </c>
      <c r="C17" s="38" cm="1">
        <f t="array" ref="C17">INDEX('WP_Regression Summary'!$F$5:$H$66,MATCH(1,('WP_Regression Summary'!$C$5:$C$66=$B17)*('WP_Regression Summary'!$D$5:$D$66=C$7),0),MATCH(C$6,'WP_Regression Summary'!$F$5:$H$5))</f>
        <v>36652.339991968511</v>
      </c>
      <c r="D17" s="38">
        <f t="shared" si="5"/>
        <v>36144.279968399627</v>
      </c>
      <c r="E17" s="38" cm="1">
        <f t="array" ref="E17">INDEX('WP_Regression Summary'!$F$5:$H$66,MATCH(1,('WP_Regression Summary'!$C$5:$C$66=$B17)*('WP_Regression Summary'!$D$5:$D$66=E$7),0),MATCH(E$6,'WP_Regression Summary'!$F$5:$H$5))</f>
        <v>35636.219944830744</v>
      </c>
      <c r="F17" s="38" cm="1">
        <f t="array" ref="F17">INDEX('WP_Regression Summary'!$F$5:$H$66,MATCH(1,('WP_Regression Summary'!$C$5:$C$66=$B17)*('WP_Regression Summary'!$D$5:$D$66=F$7),0),MATCH(F$6,'WP_Regression Summary'!$F$5:$H$5))</f>
        <v>37699.888681285622</v>
      </c>
      <c r="G17" s="38">
        <f t="shared" ref="G17:G28" si="16">MEDIAN(F17,H17)</f>
        <v>36816.117401390351</v>
      </c>
      <c r="H17" s="38" cm="1">
        <f t="array" ref="H17">INDEX('WP_Regression Summary'!$F$5:$H$66,MATCH(1,('WP_Regression Summary'!$C$5:$C$66=$B17)*('WP_Regression Summary'!$D$5:$D$66=H$7),0),MATCH(H$6,'WP_Regression Summary'!$F$5:$H$5))</f>
        <v>35932.346121495073</v>
      </c>
      <c r="I17" s="35">
        <f t="shared" ref="I17:I28" si="17">(F17-C17)/C17</f>
        <v>2.8580676964871994E-2</v>
      </c>
      <c r="J17" s="35">
        <f t="shared" ref="J17:J28" si="18">(G17-D17)/D17</f>
        <v>1.8587655739112818E-2</v>
      </c>
      <c r="K17" s="35">
        <f t="shared" ref="K17:K28" si="19">(H17-E17)/E17</f>
        <v>8.309696626712066E-3</v>
      </c>
      <c r="L17" s="33" t="s">
        <v>1415</v>
      </c>
      <c r="N17" s="32" t="s">
        <v>1245</v>
      </c>
      <c r="O17" s="32" t="s">
        <v>1044</v>
      </c>
      <c r="P17" s="38" cm="1">
        <f t="array" ref="P17">INDEX('WP_Regression Summary'!$P$5:$R$66,MATCH(1,('WP_Regression Summary'!$M$5:$M$66=$O17)*('WP_Regression Summary'!$N$5:$N$66=P$7),0),MATCH(P$6,'WP_Regression Summary'!$P$5:$R$5))</f>
        <v>4035.1</v>
      </c>
      <c r="Q17" s="38">
        <f t="shared" ref="Q17:Q28" si="20">MEDIAN(P17,R17)</f>
        <v>3720.15</v>
      </c>
      <c r="R17" s="38" cm="1">
        <f t="array" ref="R17">INDEX('WP_Regression Summary'!$P$5:$R$66,MATCH(1,('WP_Regression Summary'!$M$5:$M$66=$O17)*('WP_Regression Summary'!$N$5:$N$66=R$7),0),MATCH(R$6,'WP_Regression Summary'!$P$5:$R$5))</f>
        <v>3405.2000000000003</v>
      </c>
      <c r="S17" s="38" cm="1">
        <f t="array" ref="S17">INDEX('WP_Regression Summary'!$P$5:$R$66,MATCH(1,('WP_Regression Summary'!$M$5:$M$66=$O17)*('WP_Regression Summary'!$N$5:$N$66=S$7),0),MATCH(S$6,'WP_Regression Summary'!$P$5:$R$5))</f>
        <v>4001.7999999999997</v>
      </c>
      <c r="T17" s="38">
        <f t="shared" ref="T17:T28" si="21">MEDIAN(S17,U17)</f>
        <v>3652.1</v>
      </c>
      <c r="U17" s="38" cm="1">
        <f t="array" ref="U17">INDEX('WP_Regression Summary'!$P$5:$R$66,MATCH(1,('WP_Regression Summary'!$M$5:$M$66=$O17)*('WP_Regression Summary'!$N$5:$N$66=U$7),0),MATCH(U$6,'WP_Regression Summary'!$P$5:$R$5))</f>
        <v>3302.4</v>
      </c>
      <c r="V17" s="35">
        <f t="shared" ref="V17:V28" si="22">(S17-P17)/P17</f>
        <v>-8.2525835790934997E-3</v>
      </c>
      <c r="W17" s="35">
        <f t="shared" ref="W17:W28" si="23">(T17-Q17)/Q17</f>
        <v>-1.8292273161028501E-2</v>
      </c>
      <c r="X17" s="35">
        <f t="shared" ref="X17:X28" si="24">(U17-R17)/R17</f>
        <v>-3.0189122518501168E-2</v>
      </c>
      <c r="Y17" s="33" t="s">
        <v>1415</v>
      </c>
      <c r="Z17" s="10"/>
      <c r="AA17" s="32" t="s">
        <v>1245</v>
      </c>
      <c r="AB17" s="32" t="s">
        <v>1044</v>
      </c>
      <c r="AC17" s="280" cm="1">
        <f t="array" ref="AC17">INDEX('WP_Regression Summary'!$X$5:$Y$66,MATCH(1,('WP_Regression Summary'!$V$5:$V$66=$AB17)*('WP_Regression Summary'!$W$5:$W$66=AC$7),0),MATCH(AC$6,'WP_Regression Summary'!$X$5:$Y$5))</f>
        <v>440.2</v>
      </c>
      <c r="AD17" s="280">
        <f t="shared" si="10"/>
        <v>420.95</v>
      </c>
      <c r="AE17" s="280" cm="1">
        <f t="array" ref="AE17">INDEX('WP_Regression Summary'!$X$5:$Y$66,MATCH(1,('WP_Regression Summary'!$V$5:$V$66=$AB17)*('WP_Regression Summary'!$W$5:$W$66=AE$7),0),MATCH(AE$6,'WP_Regression Summary'!$X$5:$Y$5))</f>
        <v>401.7</v>
      </c>
      <c r="AF17" s="280">
        <f t="shared" si="11"/>
        <v>401.7</v>
      </c>
      <c r="AG17" s="280" cm="1">
        <f t="array" ref="AG17">INDEX('WP_Regression Summary'!$X$5:$Y$66,MATCH(1,('WP_Regression Summary'!$V$5:$V$66=$AB17)*('WP_Regression Summary'!$W$5:$W$66=AG$7),0),MATCH(AG$6,'WP_Regression Summary'!$X$5:$Y$5))</f>
        <v>440.9</v>
      </c>
      <c r="AH17" s="280">
        <f t="shared" ref="AH17:AH28" si="25">MEDIAN(AG17,AI17)</f>
        <v>416.54999999999995</v>
      </c>
      <c r="AI17" s="280" cm="1">
        <f t="array" ref="AI17">INDEX('WP_Regression Summary'!$X$5:$Y$66,MATCH(1,('WP_Regression Summary'!$V$5:$V$66=$AB17)*('WP_Regression Summary'!$W$5:$W$66=AI$7),0),MATCH(AI$6,'WP_Regression Summary'!$X$5:$Y$5))</f>
        <v>392.2</v>
      </c>
      <c r="AJ17" s="280">
        <f t="shared" si="12"/>
        <v>392.2</v>
      </c>
      <c r="AK17" s="35">
        <f t="shared" ref="AK17:AK28" si="26">(AG17-AC17)/AC17</f>
        <v>1.5901862789640814E-3</v>
      </c>
      <c r="AL17" s="35">
        <f t="shared" ref="AL17:AL28" si="27">(AH17-AD17)/AD17</f>
        <v>-1.045254780852841E-2</v>
      </c>
      <c r="AM17" s="35">
        <f t="shared" ref="AM17:AM28" si="28">(AI17-AE17)/AE17</f>
        <v>-2.3649489668907144E-2</v>
      </c>
      <c r="AN17" s="35">
        <f t="shared" si="15"/>
        <v>-2.3649489668907144E-2</v>
      </c>
      <c r="AO17" s="33" t="s">
        <v>1415</v>
      </c>
    </row>
    <row r="18" spans="1:41" s="11" customFormat="1">
      <c r="A18" s="32" t="s">
        <v>1245</v>
      </c>
      <c r="B18" s="32" t="s">
        <v>101</v>
      </c>
      <c r="C18" s="38" cm="1">
        <f t="array" ref="C18">INDEX('WP_Regression Summary'!$F$5:$H$66,MATCH(1,('WP_Regression Summary'!$C$5:$C$66=$B18)*('WP_Regression Summary'!$D$5:$D$66=C$7),0),MATCH(C$6,'WP_Regression Summary'!$F$5:$H$5))</f>
        <v>22370.815694678182</v>
      </c>
      <c r="D18" s="38">
        <f t="shared" si="5"/>
        <v>22222.493638421238</v>
      </c>
      <c r="E18" s="38" cm="1">
        <f t="array" ref="E18">INDEX('WP_Regression Summary'!$F$5:$H$66,MATCH(1,('WP_Regression Summary'!$C$5:$C$66=$B18)*('WP_Regression Summary'!$D$5:$D$66=E$7),0),MATCH(E$6,'WP_Regression Summary'!$F$5:$H$5))</f>
        <v>22074.171582164294</v>
      </c>
      <c r="F18" s="38" cm="1">
        <f t="array" ref="F18">INDEX('WP_Regression Summary'!$F$5:$H$66,MATCH(1,('WP_Regression Summary'!$C$5:$C$66=$B18)*('WP_Regression Summary'!$D$5:$D$66=F$7),0),MATCH(F$6,'WP_Regression Summary'!$F$5:$H$5))</f>
        <v>22638.003834991079</v>
      </c>
      <c r="G18" s="38">
        <f t="shared" si="16"/>
        <v>22469.898729032964</v>
      </c>
      <c r="H18" s="38" cm="1">
        <f t="array" ref="H18">INDEX('WP_Regression Summary'!$F$5:$H$66,MATCH(1,('WP_Regression Summary'!$C$5:$C$66=$B18)*('WP_Regression Summary'!$D$5:$D$66=H$7),0),MATCH(H$6,'WP_Regression Summary'!$F$5:$H$5))</f>
        <v>22301.793623074849</v>
      </c>
      <c r="I18" s="35">
        <f t="shared" si="17"/>
        <v>1.1943602949465048E-2</v>
      </c>
      <c r="J18" s="35">
        <f t="shared" si="18"/>
        <v>1.1133093100946111E-2</v>
      </c>
      <c r="K18" s="35">
        <f t="shared" si="19"/>
        <v>1.0311691202693724E-2</v>
      </c>
      <c r="L18" s="33" t="s">
        <v>1415</v>
      </c>
      <c r="N18" s="32" t="s">
        <v>1245</v>
      </c>
      <c r="O18" s="32" t="s">
        <v>101</v>
      </c>
      <c r="P18" s="38" cm="1">
        <f t="array" ref="P18">INDEX('WP_Regression Summary'!$P$5:$R$66,MATCH(1,('WP_Regression Summary'!$M$5:$M$66=$O18)*('WP_Regression Summary'!$N$5:$N$66=P$7),0),MATCH(P$6,'WP_Regression Summary'!$P$5:$R$5))</f>
        <v>21447.399999999998</v>
      </c>
      <c r="Q18" s="38">
        <f t="shared" si="20"/>
        <v>19846.650000000001</v>
      </c>
      <c r="R18" s="38" cm="1">
        <f t="array" ref="R18">INDEX('WP_Regression Summary'!$P$5:$R$66,MATCH(1,('WP_Regression Summary'!$M$5:$M$66=$O18)*('WP_Regression Summary'!$N$5:$N$66=R$7),0),MATCH(R$6,'WP_Regression Summary'!$P$5:$R$5))</f>
        <v>18245.900000000001</v>
      </c>
      <c r="S18" s="38" cm="1">
        <f t="array" ref="S18">INDEX('WP_Regression Summary'!$P$5:$R$66,MATCH(1,('WP_Regression Summary'!$M$5:$M$66=$O18)*('WP_Regression Summary'!$N$5:$N$66=S$7),0),MATCH(S$6,'WP_Regression Summary'!$P$5:$R$5))</f>
        <v>21325.699999999997</v>
      </c>
      <c r="T18" s="38">
        <f t="shared" si="21"/>
        <v>19502.099999999999</v>
      </c>
      <c r="U18" s="38" cm="1">
        <f t="array" ref="U18">INDEX('WP_Regression Summary'!$P$5:$R$66,MATCH(1,('WP_Regression Summary'!$M$5:$M$66=$O18)*('WP_Regression Summary'!$N$5:$N$66=U$7),0),MATCH(U$6,'WP_Regression Summary'!$P$5:$R$5))</f>
        <v>17678.5</v>
      </c>
      <c r="V18" s="35">
        <f t="shared" si="22"/>
        <v>-5.6743474733534482E-3</v>
      </c>
      <c r="W18" s="35">
        <f t="shared" si="23"/>
        <v>-1.7360612496315646E-2</v>
      </c>
      <c r="X18" s="35">
        <f t="shared" si="24"/>
        <v>-3.1097397223485902E-2</v>
      </c>
      <c r="Y18" s="33" t="s">
        <v>1415</v>
      </c>
      <c r="Z18" s="10"/>
      <c r="AA18" s="32" t="s">
        <v>1245</v>
      </c>
      <c r="AB18" s="32" t="s">
        <v>101</v>
      </c>
      <c r="AC18" s="280" cm="1">
        <f t="array" ref="AC18">INDEX('WP_Regression Summary'!$X$5:$Y$66,MATCH(1,('WP_Regression Summary'!$V$5:$V$66=$AB18)*('WP_Regression Summary'!$W$5:$W$66=AC$7),0),MATCH(AC$6,'WP_Regression Summary'!$X$5:$Y$5))</f>
        <v>2130.9</v>
      </c>
      <c r="AD18" s="280">
        <f t="shared" si="10"/>
        <v>2036.4</v>
      </c>
      <c r="AE18" s="280" cm="1">
        <f t="array" ref="AE18">INDEX('WP_Regression Summary'!$X$5:$Y$66,MATCH(1,('WP_Regression Summary'!$V$5:$V$66=$AB18)*('WP_Regression Summary'!$W$5:$W$66=AE$7),0),MATCH(AE$6,'WP_Regression Summary'!$X$5:$Y$5))</f>
        <v>1941.9</v>
      </c>
      <c r="AF18" s="280">
        <f t="shared" si="11"/>
        <v>1941.9</v>
      </c>
      <c r="AG18" s="280" cm="1">
        <f t="array" ref="AG18">INDEX('WP_Regression Summary'!$X$5:$Y$66,MATCH(1,('WP_Regression Summary'!$V$5:$V$66=$AB18)*('WP_Regression Summary'!$W$5:$W$66=AG$7),0),MATCH(AG$6,'WP_Regression Summary'!$X$5:$Y$5))</f>
        <v>2139.1999999999998</v>
      </c>
      <c r="AH18" s="280">
        <f t="shared" si="25"/>
        <v>2004.9499999999998</v>
      </c>
      <c r="AI18" s="280" cm="1">
        <f t="array" ref="AI18">INDEX('WP_Regression Summary'!$X$5:$Y$66,MATCH(1,('WP_Regression Summary'!$V$5:$V$66=$AB18)*('WP_Regression Summary'!$W$5:$W$66=AI$7),0),MATCH(AI$6,'WP_Regression Summary'!$X$5:$Y$5))</f>
        <v>1870.7</v>
      </c>
      <c r="AJ18" s="280">
        <f t="shared" si="12"/>
        <v>1870.7</v>
      </c>
      <c r="AK18" s="35">
        <f t="shared" si="26"/>
        <v>3.8950678117226183E-3</v>
      </c>
      <c r="AL18" s="35">
        <f t="shared" si="27"/>
        <v>-1.5443920644274342E-2</v>
      </c>
      <c r="AM18" s="35">
        <f t="shared" si="28"/>
        <v>-3.6665121787939667E-2</v>
      </c>
      <c r="AN18" s="35">
        <f t="shared" si="15"/>
        <v>-3.6665121787939667E-2</v>
      </c>
      <c r="AO18" s="33" t="s">
        <v>1415</v>
      </c>
    </row>
    <row r="19" spans="1:41" s="11" customFormat="1">
      <c r="A19" s="32" t="s">
        <v>1245</v>
      </c>
      <c r="B19" s="32" t="s">
        <v>1047</v>
      </c>
      <c r="C19" s="38" cm="1">
        <f t="array" ref="C19">INDEX('WP_Regression Summary'!$F$5:$H$66,MATCH(1,('WP_Regression Summary'!$C$5:$C$66=$B19)*('WP_Regression Summary'!$D$5:$D$66=C$7),0),MATCH(C$6,'WP_Regression Summary'!$F$5:$H$5))</f>
        <v>10041.095904024827</v>
      </c>
      <c r="D19" s="38">
        <f t="shared" si="5"/>
        <v>9820.2895655367865</v>
      </c>
      <c r="E19" s="38" cm="1">
        <f t="array" ref="E19">INDEX('WP_Regression Summary'!$F$5:$H$66,MATCH(1,('WP_Regression Summary'!$C$5:$C$66=$B19)*('WP_Regression Summary'!$D$5:$D$66=E$7),0),MATCH(E$6,'WP_Regression Summary'!$F$5:$H$5))</f>
        <v>9599.4832270487459</v>
      </c>
      <c r="F19" s="38" cm="1">
        <f t="array" ref="F19">INDEX('WP_Regression Summary'!$F$5:$H$66,MATCH(1,('WP_Regression Summary'!$C$5:$C$66=$B19)*('WP_Regression Summary'!$D$5:$D$66=F$7),0),MATCH(F$6,'WP_Regression Summary'!$F$5:$H$5))</f>
        <v>9840.2386966449449</v>
      </c>
      <c r="G19" s="38">
        <f t="shared" si="16"/>
        <v>9492.915972092931</v>
      </c>
      <c r="H19" s="38" cm="1">
        <f t="array" ref="H19">INDEX('WP_Regression Summary'!$F$5:$H$66,MATCH(1,('WP_Regression Summary'!$C$5:$C$66=$B19)*('WP_Regression Summary'!$D$5:$D$66=H$7),0),MATCH(H$6,'WP_Regression Summary'!$F$5:$H$5))</f>
        <v>9145.5932475409154</v>
      </c>
      <c r="I19" s="35">
        <f t="shared" si="17"/>
        <v>-2.0003514486837203E-2</v>
      </c>
      <c r="J19" s="35">
        <f t="shared" si="18"/>
        <v>-3.3336450138164629E-2</v>
      </c>
      <c r="K19" s="35">
        <f t="shared" si="19"/>
        <v>-4.7282751453629437E-2</v>
      </c>
      <c r="L19" s="33" t="s">
        <v>1415</v>
      </c>
      <c r="N19" s="32" t="s">
        <v>1245</v>
      </c>
      <c r="O19" s="32" t="s">
        <v>1047</v>
      </c>
      <c r="P19" s="38" cm="1">
        <f t="array" ref="P19">INDEX('WP_Regression Summary'!$P$5:$R$66,MATCH(1,('WP_Regression Summary'!$M$5:$M$66=$O19)*('WP_Regression Summary'!$N$5:$N$66=P$7),0),MATCH(P$6,'WP_Regression Summary'!$P$5:$R$5))</f>
        <v>3529.4000000000005</v>
      </c>
      <c r="Q19" s="38">
        <f t="shared" si="20"/>
        <v>3349.1500000000005</v>
      </c>
      <c r="R19" s="38" cm="1">
        <f t="array" ref="R19">INDEX('WP_Regression Summary'!$P$5:$R$66,MATCH(1,('WP_Regression Summary'!$M$5:$M$66=$O19)*('WP_Regression Summary'!$N$5:$N$66=R$7),0),MATCH(R$6,'WP_Regression Summary'!$P$5:$R$5))</f>
        <v>3168.9</v>
      </c>
      <c r="S19" s="38" cm="1">
        <f t="array" ref="S19">INDEX('WP_Regression Summary'!$P$5:$R$66,MATCH(1,('WP_Regression Summary'!$M$5:$M$66=$O19)*('WP_Regression Summary'!$N$5:$N$66=S$7),0),MATCH(S$6,'WP_Regression Summary'!$P$5:$R$5))</f>
        <v>3746.3</v>
      </c>
      <c r="T19" s="38">
        <f t="shared" si="21"/>
        <v>3482.75</v>
      </c>
      <c r="U19" s="38" cm="1">
        <f t="array" ref="U19">INDEX('WP_Regression Summary'!$P$5:$R$66,MATCH(1,('WP_Regression Summary'!$M$5:$M$66=$O19)*('WP_Regression Summary'!$N$5:$N$66=U$7),0),MATCH(U$6,'WP_Regression Summary'!$P$5:$R$5))</f>
        <v>3219.2000000000003</v>
      </c>
      <c r="V19" s="35">
        <f t="shared" si="22"/>
        <v>6.1455204850682725E-2</v>
      </c>
      <c r="W19" s="35">
        <f t="shared" si="23"/>
        <v>3.989071854052504E-2</v>
      </c>
      <c r="X19" s="35">
        <f t="shared" si="24"/>
        <v>1.5873015873015931E-2</v>
      </c>
      <c r="Y19" s="33" t="s">
        <v>1415</v>
      </c>
      <c r="Z19" s="10"/>
      <c r="AA19" s="32" t="s">
        <v>1245</v>
      </c>
      <c r="AB19" s="32" t="s">
        <v>1047</v>
      </c>
      <c r="AC19" s="280" cm="1">
        <f t="array" ref="AC19">INDEX('WP_Regression Summary'!$X$5:$Y$66,MATCH(1,('WP_Regression Summary'!$V$5:$V$66=$AB19)*('WP_Regression Summary'!$W$5:$W$66=AC$7),0),MATCH(AC$6,'WP_Regression Summary'!$X$5:$Y$5))</f>
        <v>335.6</v>
      </c>
      <c r="AD19" s="280">
        <f t="shared" si="10"/>
        <v>324.8</v>
      </c>
      <c r="AE19" s="280" cm="1">
        <f t="array" ref="AE19">INDEX('WP_Regression Summary'!$X$5:$Y$66,MATCH(1,('WP_Regression Summary'!$V$5:$V$66=$AB19)*('WP_Regression Summary'!$W$5:$W$66=AE$7),0),MATCH(AE$6,'WP_Regression Summary'!$X$5:$Y$5))</f>
        <v>314</v>
      </c>
      <c r="AF19" s="280">
        <f t="shared" si="11"/>
        <v>314</v>
      </c>
      <c r="AG19" s="280" cm="1">
        <f t="array" ref="AG19">INDEX('WP_Regression Summary'!$X$5:$Y$66,MATCH(1,('WP_Regression Summary'!$V$5:$V$66=$AB19)*('WP_Regression Summary'!$W$5:$W$66=AG$7),0),MATCH(AG$6,'WP_Regression Summary'!$X$5:$Y$5))</f>
        <v>351.5</v>
      </c>
      <c r="AH19" s="280">
        <f t="shared" si="25"/>
        <v>333.4</v>
      </c>
      <c r="AI19" s="280" cm="1">
        <f t="array" ref="AI19">INDEX('WP_Regression Summary'!$X$5:$Y$66,MATCH(1,('WP_Regression Summary'!$V$5:$V$66=$AB19)*('WP_Regression Summary'!$W$5:$W$66=AI$7),0),MATCH(AI$6,'WP_Regression Summary'!$X$5:$Y$5))</f>
        <v>315.3</v>
      </c>
      <c r="AJ19" s="280">
        <f t="shared" si="12"/>
        <v>315.3</v>
      </c>
      <c r="AK19" s="35">
        <f t="shared" si="26"/>
        <v>4.737783075089385E-2</v>
      </c>
      <c r="AL19" s="35">
        <f t="shared" si="27"/>
        <v>2.6477832512315166E-2</v>
      </c>
      <c r="AM19" s="35">
        <f t="shared" si="28"/>
        <v>4.1401273885350682E-3</v>
      </c>
      <c r="AN19" s="35">
        <f t="shared" si="15"/>
        <v>4.1401273885350682E-3</v>
      </c>
      <c r="AO19" s="33" t="s">
        <v>1415</v>
      </c>
    </row>
    <row r="20" spans="1:41" s="11" customFormat="1">
      <c r="A20" s="32" t="s">
        <v>1245</v>
      </c>
      <c r="B20" s="32" t="s">
        <v>1049</v>
      </c>
      <c r="C20" s="38" cm="1">
        <f t="array" ref="C20">INDEX('WP_Regression Summary'!$F$5:$H$66,MATCH(1,('WP_Regression Summary'!$C$5:$C$66=$B20)*('WP_Regression Summary'!$D$5:$D$66=C$7),0),MATCH(C$6,'WP_Regression Summary'!$F$5:$H$5))</f>
        <v>277.75148785908851</v>
      </c>
      <c r="D20" s="38">
        <f t="shared" si="5"/>
        <v>254.27695461863971</v>
      </c>
      <c r="E20" s="38" cm="1">
        <f t="array" ref="E20">INDEX('WP_Regression Summary'!$F$5:$H$66,MATCH(1,('WP_Regression Summary'!$C$5:$C$66=$B20)*('WP_Regression Summary'!$D$5:$D$66=E$7),0),MATCH(E$6,'WP_Regression Summary'!$F$5:$H$5))</f>
        <v>230.80242137819093</v>
      </c>
      <c r="F20" s="38" cm="1">
        <f t="array" ref="F20">INDEX('WP_Regression Summary'!$F$5:$H$66,MATCH(1,('WP_Regression Summary'!$C$5:$C$66=$B20)*('WP_Regression Summary'!$D$5:$D$66=F$7),0),MATCH(F$6,'WP_Regression Summary'!$F$5:$H$5))</f>
        <v>277.7120464699571</v>
      </c>
      <c r="G20" s="38">
        <f t="shared" si="16"/>
        <v>247.25309806478418</v>
      </c>
      <c r="H20" s="38" cm="1">
        <f t="array" ref="H20">INDEX('WP_Regression Summary'!$F$5:$H$66,MATCH(1,('WP_Regression Summary'!$C$5:$C$66=$B20)*('WP_Regression Summary'!$D$5:$D$66=H$7),0),MATCH(H$6,'WP_Regression Summary'!$F$5:$H$5))</f>
        <v>216.79414965961129</v>
      </c>
      <c r="I20" s="35">
        <f t="shared" si="17"/>
        <v>-1.4200244051049466E-4</v>
      </c>
      <c r="J20" s="35">
        <f t="shared" si="18"/>
        <v>-2.7622859351881829E-2</v>
      </c>
      <c r="K20" s="35">
        <f t="shared" si="19"/>
        <v>-6.0693781438392269E-2</v>
      </c>
      <c r="L20" s="33" t="s">
        <v>1415</v>
      </c>
      <c r="N20" s="32" t="s">
        <v>1245</v>
      </c>
      <c r="O20" s="32" t="s">
        <v>1049</v>
      </c>
      <c r="P20" s="38" cm="1">
        <f t="array" ref="P20">INDEX('WP_Regression Summary'!$P$5:$R$66,MATCH(1,('WP_Regression Summary'!$M$5:$M$66=$O20)*('WP_Regression Summary'!$N$5:$N$66=P$7),0),MATCH(P$6,'WP_Regression Summary'!$P$5:$R$5))</f>
        <v>3263.6000000000004</v>
      </c>
      <c r="Q20" s="38">
        <f t="shared" si="20"/>
        <v>2821</v>
      </c>
      <c r="R20" s="38" cm="1">
        <f t="array" ref="R20">INDEX('WP_Regression Summary'!$P$5:$R$66,MATCH(1,('WP_Regression Summary'!$M$5:$M$66=$O20)*('WP_Regression Summary'!$N$5:$N$66=R$7),0),MATCH(R$6,'WP_Regression Summary'!$P$5:$R$5))</f>
        <v>2378.3999999999996</v>
      </c>
      <c r="S20" s="38" cm="1">
        <f t="array" ref="S20">INDEX('WP_Regression Summary'!$P$5:$R$66,MATCH(1,('WP_Regression Summary'!$M$5:$M$66=$O20)*('WP_Regression Summary'!$N$5:$N$66=S$7),0),MATCH(S$6,'WP_Regression Summary'!$P$5:$R$5))</f>
        <v>3265.2000000000003</v>
      </c>
      <c r="T20" s="38">
        <f t="shared" si="21"/>
        <v>2803.05</v>
      </c>
      <c r="U20" s="38" cm="1">
        <f t="array" ref="U20">INDEX('WP_Regression Summary'!$P$5:$R$66,MATCH(1,('WP_Regression Summary'!$M$5:$M$66=$O20)*('WP_Regression Summary'!$N$5:$N$66=U$7),0),MATCH(U$6,'WP_Regression Summary'!$P$5:$R$5))</f>
        <v>2340.9</v>
      </c>
      <c r="V20" s="35">
        <f t="shared" si="22"/>
        <v>4.9025615884296754E-4</v>
      </c>
      <c r="W20" s="35">
        <f t="shared" si="23"/>
        <v>-6.3629918468627502E-3</v>
      </c>
      <c r="X20" s="35">
        <f>V20</f>
        <v>4.9025615884296754E-4</v>
      </c>
      <c r="Y20" s="33" t="s">
        <v>1415</v>
      </c>
      <c r="Z20" s="10"/>
      <c r="AA20" s="32" t="s">
        <v>1245</v>
      </c>
      <c r="AB20" s="32" t="s">
        <v>1049</v>
      </c>
      <c r="AC20" s="280" cm="1">
        <f t="array" ref="AC20">INDEX('WP_Regression Summary'!$X$5:$Y$66,MATCH(1,('WP_Regression Summary'!$V$5:$V$66=$AB20)*('WP_Regression Summary'!$W$5:$W$66=AC$7),0),MATCH(AC$6,'WP_Regression Summary'!$X$5:$Y$5))</f>
        <v>423.7</v>
      </c>
      <c r="AD20" s="280">
        <f t="shared" si="10"/>
        <v>367.6</v>
      </c>
      <c r="AE20" s="280" cm="1">
        <f t="array" ref="AE20">INDEX('WP_Regression Summary'!$X$5:$Y$66,MATCH(1,('WP_Regression Summary'!$V$5:$V$66=$AB20)*('WP_Regression Summary'!$W$5:$W$66=AE$7),0),MATCH(AE$6,'WP_Regression Summary'!$X$5:$Y$5))</f>
        <v>311.5</v>
      </c>
      <c r="AF20" s="280">
        <f t="shared" si="11"/>
        <v>311.5</v>
      </c>
      <c r="AG20" s="280" cm="1">
        <f t="array" ref="AG20">INDEX('WP_Regression Summary'!$X$5:$Y$66,MATCH(1,('WP_Regression Summary'!$V$5:$V$66=$AB20)*('WP_Regression Summary'!$W$5:$W$66=AG$7),0),MATCH(AG$6,'WP_Regression Summary'!$X$5:$Y$5))</f>
        <v>425.3</v>
      </c>
      <c r="AH20" s="280">
        <f t="shared" si="25"/>
        <v>364.9</v>
      </c>
      <c r="AI20" s="280" cm="1">
        <f t="array" ref="AI20">INDEX('WP_Regression Summary'!$X$5:$Y$66,MATCH(1,('WP_Regression Summary'!$V$5:$V$66=$AB20)*('WP_Regression Summary'!$W$5:$W$66=AI$7),0),MATCH(AI$6,'WP_Regression Summary'!$X$5:$Y$5))</f>
        <v>304.5</v>
      </c>
      <c r="AJ20" s="280">
        <f t="shared" si="12"/>
        <v>304.5</v>
      </c>
      <c r="AK20" s="35">
        <f t="shared" si="26"/>
        <v>3.7762567854614649E-3</v>
      </c>
      <c r="AL20" s="35">
        <f t="shared" si="27"/>
        <v>-7.344940152339623E-3</v>
      </c>
      <c r="AM20" s="35">
        <f t="shared" si="28"/>
        <v>-2.247191011235955E-2</v>
      </c>
      <c r="AN20" s="35">
        <f t="shared" si="15"/>
        <v>-2.247191011235955E-2</v>
      </c>
      <c r="AO20" s="33" t="s">
        <v>1415</v>
      </c>
    </row>
    <row r="21" spans="1:41" s="11" customFormat="1">
      <c r="A21" s="32" t="s">
        <v>1245</v>
      </c>
      <c r="B21" s="32" t="s">
        <v>1051</v>
      </c>
      <c r="C21" s="38" cm="1">
        <f t="array" ref="C21">INDEX('WP_Regression Summary'!$F$5:$H$66,MATCH(1,('WP_Regression Summary'!$C$5:$C$66=$B21)*('WP_Regression Summary'!$D$5:$D$66=C$7),0),MATCH(C$6,'WP_Regression Summary'!$F$5:$H$5))</f>
        <v>2226.2370760902772</v>
      </c>
      <c r="D21" s="38">
        <f t="shared" si="5"/>
        <v>2128.8852692129421</v>
      </c>
      <c r="E21" s="38" cm="1">
        <f t="array" ref="E21">INDEX('WP_Regression Summary'!$F$5:$H$66,MATCH(1,('WP_Regression Summary'!$C$5:$C$66=$B21)*('WP_Regression Summary'!$D$5:$D$66=E$7),0),MATCH(E$6,'WP_Regression Summary'!$F$5:$H$5))</f>
        <v>2031.5334623356071</v>
      </c>
      <c r="F21" s="38" cm="1">
        <f t="array" ref="F21">INDEX('WP_Regression Summary'!$F$5:$H$66,MATCH(1,('WP_Regression Summary'!$C$5:$C$66=$B21)*('WP_Regression Summary'!$D$5:$D$66=F$7),0),MATCH(F$6,'WP_Regression Summary'!$F$5:$H$5))</f>
        <v>2171.730434495621</v>
      </c>
      <c r="G21" s="38">
        <f t="shared" si="16"/>
        <v>2023.2806406840054</v>
      </c>
      <c r="H21" s="38" cm="1">
        <f t="array" ref="H21">INDEX('WP_Regression Summary'!$F$5:$H$66,MATCH(1,('WP_Regression Summary'!$C$5:$C$66=$B21)*('WP_Regression Summary'!$D$5:$D$66=H$7),0),MATCH(H$6,'WP_Regression Summary'!$F$5:$H$5))</f>
        <v>1874.8308468723901</v>
      </c>
      <c r="I21" s="35">
        <f t="shared" si="17"/>
        <v>-2.4483754304541958E-2</v>
      </c>
      <c r="J21" s="35">
        <f t="shared" si="18"/>
        <v>-4.9605598787378136E-2</v>
      </c>
      <c r="K21" s="35">
        <f t="shared" si="19"/>
        <v>-7.7135138735573455E-2</v>
      </c>
      <c r="L21" s="33" t="s">
        <v>1415</v>
      </c>
      <c r="N21" s="32" t="s">
        <v>1245</v>
      </c>
      <c r="O21" s="32" t="s">
        <v>1051</v>
      </c>
      <c r="P21" s="38" cm="1">
        <f t="array" ref="P21">INDEX('WP_Regression Summary'!$P$5:$R$66,MATCH(1,('WP_Regression Summary'!$M$5:$M$66=$O21)*('WP_Regression Summary'!$N$5:$N$66=P$7),0),MATCH(P$6,'WP_Regression Summary'!$P$5:$R$5))</f>
        <v>376</v>
      </c>
      <c r="Q21" s="38">
        <f t="shared" si="20"/>
        <v>277.7</v>
      </c>
      <c r="R21" s="38" cm="1">
        <f t="array" ref="R21">INDEX('WP_Regression Summary'!$P$5:$R$66,MATCH(1,('WP_Regression Summary'!$M$5:$M$66=$O21)*('WP_Regression Summary'!$N$5:$N$66=R$7),0),MATCH(R$6,'WP_Regression Summary'!$P$5:$R$5))</f>
        <v>179.39999999999998</v>
      </c>
      <c r="S21" s="38" cm="1">
        <f t="array" ref="S21">INDEX('WP_Regression Summary'!$P$5:$R$66,MATCH(1,('WP_Regression Summary'!$M$5:$M$66=$O21)*('WP_Regression Summary'!$N$5:$N$66=S$7),0),MATCH(S$6,'WP_Regression Summary'!$P$5:$R$5))</f>
        <v>385.1</v>
      </c>
      <c r="T21" s="38">
        <f t="shared" si="21"/>
        <v>254.90000000000003</v>
      </c>
      <c r="U21" s="38" cm="1">
        <f t="array" ref="U21">INDEX('WP_Regression Summary'!$P$5:$R$66,MATCH(1,('WP_Regression Summary'!$M$5:$M$66=$O21)*('WP_Regression Summary'!$N$5:$N$66=U$7),0),MATCH(U$6,'WP_Regression Summary'!$P$5:$R$5))</f>
        <v>124.7</v>
      </c>
      <c r="V21" s="35">
        <f t="shared" si="22"/>
        <v>2.4202127659574527E-2</v>
      </c>
      <c r="W21" s="35">
        <f t="shared" si="23"/>
        <v>-8.2102988836874169E-2</v>
      </c>
      <c r="X21" s="35">
        <f t="shared" si="24"/>
        <v>-0.30490523968784827</v>
      </c>
      <c r="Y21" s="33" t="s">
        <v>1415</v>
      </c>
      <c r="Z21" s="10"/>
      <c r="AA21" s="32" t="s">
        <v>1245</v>
      </c>
      <c r="AB21" s="32" t="s">
        <v>1051</v>
      </c>
      <c r="AC21" s="280" cm="1">
        <f t="array" ref="AC21">INDEX('WP_Regression Summary'!$X$5:$Y$66,MATCH(1,('WP_Regression Summary'!$V$5:$V$66=$AB21)*('WP_Regression Summary'!$W$5:$W$66=AC$7),0),MATCH(AC$6,'WP_Regression Summary'!$X$5:$Y$5))</f>
        <v>34.700000000000003</v>
      </c>
      <c r="AD21" s="280">
        <f t="shared" si="10"/>
        <v>26.950000000000003</v>
      </c>
      <c r="AE21" s="280" cm="1">
        <f t="array" ref="AE21">INDEX('WP_Regression Summary'!$X$5:$Y$66,MATCH(1,('WP_Regression Summary'!$V$5:$V$66=$AB21)*('WP_Regression Summary'!$W$5:$W$66=AE$7),0),MATCH(AE$6,'WP_Regression Summary'!$X$5:$Y$5))</f>
        <v>19.2</v>
      </c>
      <c r="AF21" s="280">
        <f t="shared" si="11"/>
        <v>19.2</v>
      </c>
      <c r="AG21" s="280" cm="1">
        <f t="array" ref="AG21">INDEX('WP_Regression Summary'!$X$5:$Y$66,MATCH(1,('WP_Regression Summary'!$V$5:$V$66=$AB21)*('WP_Regression Summary'!$W$5:$W$66=AG$7),0),MATCH(AG$6,'WP_Regression Summary'!$X$5:$Y$5))</f>
        <v>33</v>
      </c>
      <c r="AH21" s="280">
        <f t="shared" si="25"/>
        <v>22.75</v>
      </c>
      <c r="AI21" s="280" cm="1">
        <f t="array" ref="AI21">INDEX('WP_Regression Summary'!$X$5:$Y$66,MATCH(1,('WP_Regression Summary'!$V$5:$V$66=$AB21)*('WP_Regression Summary'!$W$5:$W$66=AI$7),0),MATCH(AI$6,'WP_Regression Summary'!$X$5:$Y$5))</f>
        <v>12.5</v>
      </c>
      <c r="AJ21" s="280">
        <f t="shared" si="12"/>
        <v>12.5</v>
      </c>
      <c r="AK21" s="35">
        <f t="shared" si="26"/>
        <v>-4.8991354466858865E-2</v>
      </c>
      <c r="AL21" s="35">
        <f t="shared" si="27"/>
        <v>-0.15584415584415592</v>
      </c>
      <c r="AM21" s="35">
        <f t="shared" si="28"/>
        <v>-0.34895833333333331</v>
      </c>
      <c r="AN21" s="35">
        <f t="shared" si="15"/>
        <v>-0.34895833333333331</v>
      </c>
      <c r="AO21" s="33" t="s">
        <v>1415</v>
      </c>
    </row>
    <row r="22" spans="1:41" s="11" customFormat="1">
      <c r="A22" s="32" t="s">
        <v>1245</v>
      </c>
      <c r="B22" s="32" t="s">
        <v>1053</v>
      </c>
      <c r="C22" s="38" cm="1">
        <f t="array" ref="C22">INDEX('WP_Regression Summary'!$F$5:$H$66,MATCH(1,('WP_Regression Summary'!$C$5:$C$66=$B22)*('WP_Regression Summary'!$D$5:$D$66=C$7),0),MATCH(C$6,'WP_Regression Summary'!$F$5:$H$5))</f>
        <v>1214.090832967318</v>
      </c>
      <c r="D22" s="38">
        <f t="shared" si="5"/>
        <v>1170.1701193267786</v>
      </c>
      <c r="E22" s="38" cm="1">
        <f t="array" ref="E22">INDEX('WP_Regression Summary'!$F$5:$H$66,MATCH(1,('WP_Regression Summary'!$C$5:$C$66=$B22)*('WP_Regression Summary'!$D$5:$D$66=E$7),0),MATCH(E$6,'WP_Regression Summary'!$F$5:$H$5))</f>
        <v>1126.2494056862395</v>
      </c>
      <c r="F22" s="38" cm="1">
        <f t="array" ref="F22">INDEX('WP_Regression Summary'!$F$5:$H$66,MATCH(1,('WP_Regression Summary'!$C$5:$C$66=$B22)*('WP_Regression Summary'!$D$5:$D$66=F$7),0),MATCH(F$6,'WP_Regression Summary'!$F$5:$H$5))</f>
        <v>1288.2135235636858</v>
      </c>
      <c r="G22" s="38">
        <f t="shared" si="16"/>
        <v>1237.3700760640113</v>
      </c>
      <c r="H22" s="38" cm="1">
        <f t="array" ref="H22">INDEX('WP_Regression Summary'!$F$5:$H$66,MATCH(1,('WP_Regression Summary'!$C$5:$C$66=$B22)*('WP_Regression Summary'!$D$5:$D$66=H$7),0),MATCH(H$6,'WP_Regression Summary'!$F$5:$H$5))</f>
        <v>1186.5266285643368</v>
      </c>
      <c r="I22" s="35">
        <f t="shared" si="17"/>
        <v>6.1052014053353108E-2</v>
      </c>
      <c r="J22" s="35">
        <f t="shared" si="18"/>
        <v>5.7427510434033407E-2</v>
      </c>
      <c r="K22" s="35">
        <f t="shared" si="19"/>
        <v>5.352031492648783E-2</v>
      </c>
      <c r="L22" s="33" t="s">
        <v>1415</v>
      </c>
      <c r="N22" s="32" t="s">
        <v>1245</v>
      </c>
      <c r="O22" s="32" t="s">
        <v>1053</v>
      </c>
      <c r="P22" s="38" cm="1">
        <f t="array" ref="P22">INDEX('WP_Regression Summary'!$P$5:$R$66,MATCH(1,('WP_Regression Summary'!$M$5:$M$66=$O22)*('WP_Regression Summary'!$N$5:$N$66=P$7),0),MATCH(P$6,'WP_Regression Summary'!$P$5:$R$5))</f>
        <v>721.40000000000009</v>
      </c>
      <c r="Q22" s="38">
        <f t="shared" si="20"/>
        <v>649.60000000000014</v>
      </c>
      <c r="R22" s="38" cm="1">
        <f t="array" ref="R22">INDEX('WP_Regression Summary'!$P$5:$R$66,MATCH(1,('WP_Regression Summary'!$M$5:$M$66=$O22)*('WP_Regression Summary'!$N$5:$N$66=R$7),0),MATCH(R$6,'WP_Regression Summary'!$P$5:$R$5))</f>
        <v>577.80000000000007</v>
      </c>
      <c r="S22" s="38" cm="1">
        <f t="array" ref="S22">INDEX('WP_Regression Summary'!$P$5:$R$66,MATCH(1,('WP_Regression Summary'!$M$5:$M$66=$O22)*('WP_Regression Summary'!$N$5:$N$66=S$7),0),MATCH(S$6,'WP_Regression Summary'!$P$5:$R$5))</f>
        <v>710.3</v>
      </c>
      <c r="T22" s="38">
        <f t="shared" si="21"/>
        <v>636.79999999999995</v>
      </c>
      <c r="U22" s="38" cm="1">
        <f t="array" ref="U22">INDEX('WP_Regression Summary'!$P$5:$R$66,MATCH(1,('WP_Regression Summary'!$M$5:$M$66=$O22)*('WP_Regression Summary'!$N$5:$N$66=U$7),0),MATCH(U$6,'WP_Regression Summary'!$P$5:$R$5))</f>
        <v>563.30000000000007</v>
      </c>
      <c r="V22" s="35">
        <f t="shared" si="22"/>
        <v>-1.5386747990019593E-2</v>
      </c>
      <c r="W22" s="35">
        <f t="shared" si="23"/>
        <v>-1.970443349753722E-2</v>
      </c>
      <c r="X22" s="35">
        <f t="shared" si="24"/>
        <v>-2.5095188646590511E-2</v>
      </c>
      <c r="Y22" s="33" t="s">
        <v>1415</v>
      </c>
      <c r="Z22" s="10"/>
      <c r="AA22" s="32" t="s">
        <v>1245</v>
      </c>
      <c r="AB22" s="32" t="s">
        <v>1053</v>
      </c>
      <c r="AC22" s="280" cm="1">
        <f t="array" ref="AC22">INDEX('WP_Regression Summary'!$X$5:$Y$66,MATCH(1,('WP_Regression Summary'!$V$5:$V$66=$AB22)*('WP_Regression Summary'!$W$5:$W$66=AC$7),0),MATCH(AC$6,'WP_Regression Summary'!$X$5:$Y$5))</f>
        <v>78.3</v>
      </c>
      <c r="AD22" s="280">
        <f t="shared" si="10"/>
        <v>69.7</v>
      </c>
      <c r="AE22" s="280" cm="1">
        <f t="array" ref="AE22">INDEX('WP_Regression Summary'!$X$5:$Y$66,MATCH(1,('WP_Regression Summary'!$V$5:$V$66=$AB22)*('WP_Regression Summary'!$W$5:$W$66=AE$7),0),MATCH(AE$6,'WP_Regression Summary'!$X$5:$Y$5))</f>
        <v>61.1</v>
      </c>
      <c r="AF22" s="280">
        <f t="shared" si="11"/>
        <v>61.1</v>
      </c>
      <c r="AG22" s="280" cm="1">
        <f t="array" ref="AG22">INDEX('WP_Regression Summary'!$X$5:$Y$66,MATCH(1,('WP_Regression Summary'!$V$5:$V$66=$AB22)*('WP_Regression Summary'!$W$5:$W$66=AG$7),0),MATCH(AG$6,'WP_Regression Summary'!$X$5:$Y$5))</f>
        <v>77.900000000000006</v>
      </c>
      <c r="AH22" s="280">
        <f t="shared" si="25"/>
        <v>68.300000000000011</v>
      </c>
      <c r="AI22" s="280" cm="1">
        <f t="array" ref="AI22">INDEX('WP_Regression Summary'!$X$5:$Y$66,MATCH(1,('WP_Regression Summary'!$V$5:$V$66=$AB22)*('WP_Regression Summary'!$W$5:$W$66=AI$7),0),MATCH(AI$6,'WP_Regression Summary'!$X$5:$Y$5))</f>
        <v>58.7</v>
      </c>
      <c r="AJ22" s="280">
        <f t="shared" si="12"/>
        <v>58.7</v>
      </c>
      <c r="AK22" s="35">
        <f t="shared" si="26"/>
        <v>-5.1085568326946548E-3</v>
      </c>
      <c r="AL22" s="35">
        <f t="shared" si="27"/>
        <v>-2.0086083213773191E-2</v>
      </c>
      <c r="AM22" s="35">
        <f t="shared" si="28"/>
        <v>-3.9279869067103082E-2</v>
      </c>
      <c r="AN22" s="35">
        <f t="shared" si="15"/>
        <v>-3.9279869067103082E-2</v>
      </c>
      <c r="AO22" s="33" t="s">
        <v>1415</v>
      </c>
    </row>
    <row r="23" spans="1:41" s="11" customFormat="1">
      <c r="A23" s="32" t="s">
        <v>1245</v>
      </c>
      <c r="B23" s="32" t="s">
        <v>1055</v>
      </c>
      <c r="C23" s="38" cm="1">
        <f t="array" ref="C23">INDEX('WP_Regression Summary'!$F$5:$H$66,MATCH(1,('WP_Regression Summary'!$C$5:$C$66=$B23)*('WP_Regression Summary'!$D$5:$D$66=C$7),0),MATCH(C$6,'WP_Regression Summary'!$F$5:$H$5))</f>
        <v>2691.9395780834589</v>
      </c>
      <c r="D23" s="38">
        <f t="shared" si="5"/>
        <v>2638.7397988443795</v>
      </c>
      <c r="E23" s="38" cm="1">
        <f t="array" ref="E23">INDEX('WP_Regression Summary'!$F$5:$H$66,MATCH(1,('WP_Regression Summary'!$C$5:$C$66=$B23)*('WP_Regression Summary'!$D$5:$D$66=E$7),0),MATCH(E$6,'WP_Regression Summary'!$F$5:$H$5))</f>
        <v>2585.5400196053001</v>
      </c>
      <c r="F23" s="38" cm="1">
        <f t="array" ref="F23">INDEX('WP_Regression Summary'!$F$5:$H$66,MATCH(1,('WP_Regression Summary'!$C$5:$C$66=$B23)*('WP_Regression Summary'!$D$5:$D$66=F$7),0),MATCH(F$6,'WP_Regression Summary'!$F$5:$H$5))</f>
        <v>2770.9212989007897</v>
      </c>
      <c r="G23" s="38">
        <f t="shared" si="16"/>
        <v>2711.276290060614</v>
      </c>
      <c r="H23" s="38" cm="1">
        <f t="array" ref="H23">INDEX('WP_Regression Summary'!$F$5:$H$66,MATCH(1,('WP_Regression Summary'!$C$5:$C$66=$B23)*('WP_Regression Summary'!$D$5:$D$66=H$7),0),MATCH(H$6,'WP_Regression Summary'!$F$5:$H$5))</f>
        <v>2651.6312812204387</v>
      </c>
      <c r="I23" s="35">
        <f t="shared" si="17"/>
        <v>2.9340079346640572E-2</v>
      </c>
      <c r="J23" s="35">
        <f t="shared" si="18"/>
        <v>2.748906551832106E-2</v>
      </c>
      <c r="K23" s="35">
        <f t="shared" si="19"/>
        <v>2.5561879187322677E-2</v>
      </c>
      <c r="L23" s="33" t="s">
        <v>1415</v>
      </c>
      <c r="N23" s="32" t="s">
        <v>1245</v>
      </c>
      <c r="O23" s="32" t="s">
        <v>1055</v>
      </c>
      <c r="P23" s="38" cm="1">
        <f t="array" ref="P23">INDEX('WP_Regression Summary'!$P$5:$R$66,MATCH(1,('WP_Regression Summary'!$M$5:$M$66=$O23)*('WP_Regression Summary'!$N$5:$N$66=P$7),0),MATCH(P$6,'WP_Regression Summary'!$P$5:$R$5))</f>
        <v>1876.0000000000002</v>
      </c>
      <c r="Q23" s="38">
        <f t="shared" si="20"/>
        <v>1702.75</v>
      </c>
      <c r="R23" s="38" cm="1">
        <f t="array" ref="R23">INDEX('WP_Regression Summary'!$P$5:$R$66,MATCH(1,('WP_Regression Summary'!$M$5:$M$66=$O23)*('WP_Regression Summary'!$N$5:$N$66=R$7),0),MATCH(R$6,'WP_Regression Summary'!$P$5:$R$5))</f>
        <v>1529.5</v>
      </c>
      <c r="S23" s="38" cm="1">
        <f t="array" ref="S23">INDEX('WP_Regression Summary'!$P$5:$R$66,MATCH(1,('WP_Regression Summary'!$M$5:$M$66=$O23)*('WP_Regression Summary'!$N$5:$N$66=S$7),0),MATCH(S$6,'WP_Regression Summary'!$P$5:$R$5))</f>
        <v>1845.1999999999998</v>
      </c>
      <c r="T23" s="38">
        <f t="shared" si="21"/>
        <v>1672</v>
      </c>
      <c r="U23" s="38" cm="1">
        <f t="array" ref="U23">INDEX('WP_Regression Summary'!$P$5:$R$66,MATCH(1,('WP_Regression Summary'!$M$5:$M$66=$O23)*('WP_Regression Summary'!$N$5:$N$66=U$7),0),MATCH(U$6,'WP_Regression Summary'!$P$5:$R$5))</f>
        <v>1498.8</v>
      </c>
      <c r="V23" s="35">
        <f t="shared" si="22"/>
        <v>-1.6417910447761409E-2</v>
      </c>
      <c r="W23" s="35">
        <f t="shared" si="23"/>
        <v>-1.8059022170019087E-2</v>
      </c>
      <c r="X23" s="35">
        <f t="shared" si="24"/>
        <v>-2.0071918927754197E-2</v>
      </c>
      <c r="Y23" s="33" t="s">
        <v>1415</v>
      </c>
      <c r="Z23" s="10"/>
      <c r="AA23" s="32" t="s">
        <v>1245</v>
      </c>
      <c r="AB23" s="32" t="s">
        <v>1055</v>
      </c>
      <c r="AC23" s="280" cm="1">
        <f t="array" ref="AC23">INDEX('WP_Regression Summary'!$X$5:$Y$66,MATCH(1,('WP_Regression Summary'!$V$5:$V$66=$AB23)*('WP_Regression Summary'!$W$5:$W$66=AC$7),0),MATCH(AC$6,'WP_Regression Summary'!$X$5:$Y$5))</f>
        <v>186.6</v>
      </c>
      <c r="AD23" s="280">
        <f t="shared" si="10"/>
        <v>172.14999999999998</v>
      </c>
      <c r="AE23" s="280" cm="1">
        <f t="array" ref="AE23">INDEX('WP_Regression Summary'!$X$5:$Y$66,MATCH(1,('WP_Regression Summary'!$V$5:$V$66=$AB23)*('WP_Regression Summary'!$W$5:$W$66=AE$7),0),MATCH(AE$6,'WP_Regression Summary'!$X$5:$Y$5))</f>
        <v>157.69999999999999</v>
      </c>
      <c r="AF23" s="280">
        <f t="shared" si="11"/>
        <v>157.69999999999999</v>
      </c>
      <c r="AG23" s="280" cm="1">
        <f t="array" ref="AG23">INDEX('WP_Regression Summary'!$X$5:$Y$66,MATCH(1,('WP_Regression Summary'!$V$5:$V$66=$AB23)*('WP_Regression Summary'!$W$5:$W$66=AG$7),0),MATCH(AG$6,'WP_Regression Summary'!$X$5:$Y$5))</f>
        <v>187.1</v>
      </c>
      <c r="AH23" s="280">
        <f t="shared" si="25"/>
        <v>172.64999999999998</v>
      </c>
      <c r="AI23" s="280" cm="1">
        <f t="array" ref="AI23">INDEX('WP_Regression Summary'!$X$5:$Y$66,MATCH(1,('WP_Regression Summary'!$V$5:$V$66=$AB23)*('WP_Regression Summary'!$W$5:$W$66=AI$7),0),MATCH(AI$6,'WP_Regression Summary'!$X$5:$Y$5))</f>
        <v>158.19999999999999</v>
      </c>
      <c r="AJ23" s="280">
        <f t="shared" si="12"/>
        <v>158.19999999999999</v>
      </c>
      <c r="AK23" s="35">
        <f t="shared" si="26"/>
        <v>2.6795284030010718E-3</v>
      </c>
      <c r="AL23" s="35">
        <f t="shared" si="27"/>
        <v>2.9044437990124895E-3</v>
      </c>
      <c r="AM23" s="35">
        <f t="shared" si="28"/>
        <v>3.1705770450221942E-3</v>
      </c>
      <c r="AN23" s="35">
        <f t="shared" si="15"/>
        <v>3.1705770450221942E-3</v>
      </c>
      <c r="AO23" s="33" t="s">
        <v>1415</v>
      </c>
    </row>
    <row r="24" spans="1:41" s="11" customFormat="1">
      <c r="A24" s="32" t="s">
        <v>1245</v>
      </c>
      <c r="B24" s="32" t="s">
        <v>1057</v>
      </c>
      <c r="C24" s="38" cm="1">
        <f t="array" ref="C24">INDEX('WP_Regression Summary'!$F$5:$H$66,MATCH(1,('WP_Regression Summary'!$C$5:$C$66=$B24)*('WP_Regression Summary'!$D$5:$D$66=C$7),0),MATCH(C$6,'WP_Regression Summary'!$F$5:$H$5))</f>
        <v>3645.2164656877349</v>
      </c>
      <c r="D24" s="38">
        <f t="shared" si="5"/>
        <v>3594.7022895904279</v>
      </c>
      <c r="E24" s="38" cm="1">
        <f t="array" ref="E24">INDEX('WP_Regression Summary'!$F$5:$H$66,MATCH(1,('WP_Regression Summary'!$C$5:$C$66=$B24)*('WP_Regression Summary'!$D$5:$D$66=E$7),0),MATCH(E$6,'WP_Regression Summary'!$F$5:$H$5))</f>
        <v>3544.1881134931209</v>
      </c>
      <c r="F24" s="38" cm="1">
        <f t="array" ref="F24">INDEX('WP_Regression Summary'!$F$5:$H$66,MATCH(1,('WP_Regression Summary'!$C$5:$C$66=$B24)*('WP_Regression Summary'!$D$5:$D$66=F$7),0),MATCH(F$6,'WP_Regression Summary'!$F$5:$H$5))</f>
        <v>3758.2922618465104</v>
      </c>
      <c r="G24" s="38">
        <f t="shared" si="16"/>
        <v>3690.9838159960236</v>
      </c>
      <c r="H24" s="38" cm="1">
        <f t="array" ref="H24">INDEX('WP_Regression Summary'!$F$5:$H$66,MATCH(1,('WP_Regression Summary'!$C$5:$C$66=$B24)*('WP_Regression Summary'!$D$5:$D$66=H$7),0),MATCH(H$6,'WP_Regression Summary'!$F$5:$H$5))</f>
        <v>3623.6753701455368</v>
      </c>
      <c r="I24" s="35">
        <f t="shared" si="17"/>
        <v>3.1020324094097884E-2</v>
      </c>
      <c r="J24" s="35">
        <f t="shared" si="18"/>
        <v>2.6784283829125063E-2</v>
      </c>
      <c r="K24" s="35">
        <f t="shared" si="19"/>
        <v>2.2427493718462355E-2</v>
      </c>
      <c r="L24" s="33" t="s">
        <v>1415</v>
      </c>
      <c r="N24" s="32" t="s">
        <v>1245</v>
      </c>
      <c r="O24" s="32" t="s">
        <v>1057</v>
      </c>
      <c r="P24" s="38" cm="1">
        <f t="array" ref="P24">INDEX('WP_Regression Summary'!$P$5:$R$66,MATCH(1,('WP_Regression Summary'!$M$5:$M$66=$O24)*('WP_Regression Summary'!$N$5:$N$66=P$7),0),MATCH(P$6,'WP_Regression Summary'!$P$5:$R$5))</f>
        <v>3839.1000000000004</v>
      </c>
      <c r="Q24" s="38">
        <f t="shared" si="20"/>
        <v>3586.8</v>
      </c>
      <c r="R24" s="38" cm="1">
        <f t="array" ref="R24">INDEX('WP_Regression Summary'!$P$5:$R$66,MATCH(1,('WP_Regression Summary'!$M$5:$M$66=$O24)*('WP_Regression Summary'!$N$5:$N$66=R$7),0),MATCH(R$6,'WP_Regression Summary'!$P$5:$R$5))</f>
        <v>3334.5</v>
      </c>
      <c r="S24" s="38" cm="1">
        <f t="array" ref="S24">INDEX('WP_Regression Summary'!$P$5:$R$66,MATCH(1,('WP_Regression Summary'!$M$5:$M$66=$O24)*('WP_Regression Summary'!$N$5:$N$66=S$7),0),MATCH(S$6,'WP_Regression Summary'!$P$5:$R$5))</f>
        <v>3845.9999999999995</v>
      </c>
      <c r="T24" s="38">
        <f t="shared" si="21"/>
        <v>3591.2</v>
      </c>
      <c r="U24" s="38" cm="1">
        <f t="array" ref="U24">INDEX('WP_Regression Summary'!$P$5:$R$66,MATCH(1,('WP_Regression Summary'!$M$5:$M$66=$O24)*('WP_Regression Summary'!$N$5:$N$66=U$7),0),MATCH(U$6,'WP_Regression Summary'!$P$5:$R$5))</f>
        <v>3336.4000000000005</v>
      </c>
      <c r="V24" s="35">
        <f t="shared" si="22"/>
        <v>1.7972962413063428E-3</v>
      </c>
      <c r="W24" s="35">
        <f t="shared" si="23"/>
        <v>1.22672019627513E-3</v>
      </c>
      <c r="X24" s="35">
        <f t="shared" si="24"/>
        <v>5.6980056980073348E-4</v>
      </c>
      <c r="Y24" s="33" t="s">
        <v>1415</v>
      </c>
      <c r="Z24" s="10"/>
      <c r="AA24" s="32" t="s">
        <v>1245</v>
      </c>
      <c r="AB24" s="32" t="s">
        <v>1057</v>
      </c>
      <c r="AC24" s="280" cm="1">
        <f t="array" ref="AC24">INDEX('WP_Regression Summary'!$X$5:$Y$66,MATCH(1,('WP_Regression Summary'!$V$5:$V$66=$AB24)*('WP_Regression Summary'!$W$5:$W$66=AC$7),0),MATCH(AC$6,'WP_Regression Summary'!$X$5:$Y$5))</f>
        <v>358.4</v>
      </c>
      <c r="AD24" s="280">
        <f t="shared" si="10"/>
        <v>335.2</v>
      </c>
      <c r="AE24" s="280" cm="1">
        <f t="array" ref="AE24">INDEX('WP_Regression Summary'!$X$5:$Y$66,MATCH(1,('WP_Regression Summary'!$V$5:$V$66=$AB24)*('WP_Regression Summary'!$W$5:$W$66=AE$7),0),MATCH(AE$6,'WP_Regression Summary'!$X$5:$Y$5))</f>
        <v>312</v>
      </c>
      <c r="AF24" s="280">
        <f t="shared" si="11"/>
        <v>312</v>
      </c>
      <c r="AG24" s="280" cm="1">
        <f t="array" ref="AG24">INDEX('WP_Regression Summary'!$X$5:$Y$66,MATCH(1,('WP_Regression Summary'!$V$5:$V$66=$AB24)*('WP_Regression Summary'!$W$5:$W$66=AG$7),0),MATCH(AG$6,'WP_Regression Summary'!$X$5:$Y$5))</f>
        <v>367.2</v>
      </c>
      <c r="AH24" s="280">
        <f t="shared" si="25"/>
        <v>343.35</v>
      </c>
      <c r="AI24" s="280" cm="1">
        <f t="array" ref="AI24">INDEX('WP_Regression Summary'!$X$5:$Y$66,MATCH(1,('WP_Regression Summary'!$V$5:$V$66=$AB24)*('WP_Regression Summary'!$W$5:$W$66=AI$7),0),MATCH(AI$6,'WP_Regression Summary'!$X$5:$Y$5))</f>
        <v>319.5</v>
      </c>
      <c r="AJ24" s="280">
        <f t="shared" si="12"/>
        <v>319.5</v>
      </c>
      <c r="AK24" s="35">
        <f t="shared" si="26"/>
        <v>2.4553571428571463E-2</v>
      </c>
      <c r="AL24" s="35">
        <f t="shared" si="27"/>
        <v>2.4313842482100341E-2</v>
      </c>
      <c r="AM24" s="35">
        <f t="shared" si="28"/>
        <v>2.403846153846154E-2</v>
      </c>
      <c r="AN24" s="35">
        <f t="shared" si="15"/>
        <v>2.403846153846154E-2</v>
      </c>
      <c r="AO24" s="33" t="s">
        <v>1415</v>
      </c>
    </row>
    <row r="25" spans="1:41" s="11" customFormat="1">
      <c r="A25" s="32" t="s">
        <v>1245</v>
      </c>
      <c r="B25" s="32" t="s">
        <v>1059</v>
      </c>
      <c r="C25" s="38" cm="1">
        <f t="array" ref="C25">INDEX('WP_Regression Summary'!$F$5:$H$66,MATCH(1,('WP_Regression Summary'!$C$5:$C$66=$B25)*('WP_Regression Summary'!$D$5:$D$66=C$7),0),MATCH(C$6,'WP_Regression Summary'!$F$5:$H$5))</f>
        <v>3946.9038319089968</v>
      </c>
      <c r="D25" s="38">
        <f t="shared" si="5"/>
        <v>3883.8632875867747</v>
      </c>
      <c r="E25" s="38" cm="1">
        <f t="array" ref="E25">INDEX('WP_Regression Summary'!$F$5:$H$66,MATCH(1,('WP_Regression Summary'!$C$5:$C$66=$B25)*('WP_Regression Summary'!$D$5:$D$66=E$7),0),MATCH(E$6,'WP_Regression Summary'!$F$5:$H$5))</f>
        <v>3820.8227432645526</v>
      </c>
      <c r="F25" s="38" cm="1">
        <f t="array" ref="F25">INDEX('WP_Regression Summary'!$F$5:$H$66,MATCH(1,('WP_Regression Summary'!$C$5:$C$66=$B25)*('WP_Regression Summary'!$D$5:$D$66=F$7),0),MATCH(F$6,'WP_Regression Summary'!$F$5:$H$5))</f>
        <v>3948.3167690041196</v>
      </c>
      <c r="G25" s="38">
        <f t="shared" si="16"/>
        <v>3842.9568319193222</v>
      </c>
      <c r="H25" s="38" cm="1">
        <f t="array" ref="H25">INDEX('WP_Regression Summary'!$F$5:$H$66,MATCH(1,('WP_Regression Summary'!$C$5:$C$66=$B25)*('WP_Regression Summary'!$D$5:$D$66=H$7),0),MATCH(H$6,'WP_Regression Summary'!$F$5:$H$5))</f>
        <v>3737.5968948345248</v>
      </c>
      <c r="I25" s="35">
        <f t="shared" si="17"/>
        <v>3.5798619761134349E-4</v>
      </c>
      <c r="J25" s="35">
        <f t="shared" si="18"/>
        <v>-1.0532413897830479E-2</v>
      </c>
      <c r="K25" s="35">
        <f t="shared" si="19"/>
        <v>-2.1782179918380277E-2</v>
      </c>
      <c r="L25" s="33" t="s">
        <v>1415</v>
      </c>
      <c r="N25" s="32" t="s">
        <v>1245</v>
      </c>
      <c r="O25" s="32" t="s">
        <v>1059</v>
      </c>
      <c r="P25" s="38" cm="1">
        <f t="array" ref="P25">INDEX('WP_Regression Summary'!$P$5:$R$66,MATCH(1,('WP_Regression Summary'!$M$5:$M$66=$O25)*('WP_Regression Summary'!$N$5:$N$66=P$7),0),MATCH(P$6,'WP_Regression Summary'!$P$5:$R$5))</f>
        <v>7285.9999999999991</v>
      </c>
      <c r="Q25" s="38">
        <f t="shared" si="20"/>
        <v>6688</v>
      </c>
      <c r="R25" s="38" cm="1">
        <f t="array" ref="R25">INDEX('WP_Regression Summary'!$P$5:$R$66,MATCH(1,('WP_Regression Summary'!$M$5:$M$66=$O25)*('WP_Regression Summary'!$N$5:$N$66=R$7),0),MATCH(R$6,'WP_Regression Summary'!$P$5:$R$5))</f>
        <v>6090</v>
      </c>
      <c r="S25" s="38" cm="1">
        <f t="array" ref="S25">INDEX('WP_Regression Summary'!$P$5:$R$66,MATCH(1,('WP_Regression Summary'!$M$5:$M$66=$O25)*('WP_Regression Summary'!$N$5:$N$66=S$7),0),MATCH(S$6,'WP_Regression Summary'!$P$5:$R$5))</f>
        <v>7254.9</v>
      </c>
      <c r="T25" s="38">
        <f t="shared" si="21"/>
        <v>6652.05</v>
      </c>
      <c r="U25" s="38" cm="1">
        <f t="array" ref="U25">INDEX('WP_Regression Summary'!$P$5:$R$66,MATCH(1,('WP_Regression Summary'!$M$5:$M$66=$O25)*('WP_Regression Summary'!$N$5:$N$66=U$7),0),MATCH(U$6,'WP_Regression Summary'!$P$5:$R$5))</f>
        <v>6049.2000000000007</v>
      </c>
      <c r="V25" s="35">
        <f t="shared" si="22"/>
        <v>-4.268460060389714E-3</v>
      </c>
      <c r="W25" s="35">
        <f t="shared" si="23"/>
        <v>-5.3752990430621737E-3</v>
      </c>
      <c r="X25" s="35">
        <f t="shared" si="24"/>
        <v>-6.6995073891624422E-3</v>
      </c>
      <c r="Y25" s="33" t="s">
        <v>1415</v>
      </c>
      <c r="Z25" s="10"/>
      <c r="AA25" s="32" t="s">
        <v>1245</v>
      </c>
      <c r="AB25" s="32" t="s">
        <v>1059</v>
      </c>
      <c r="AC25" s="280" cm="1">
        <f t="array" ref="AC25">INDEX('WP_Regression Summary'!$X$5:$Y$66,MATCH(1,('WP_Regression Summary'!$V$5:$V$66=$AB25)*('WP_Regression Summary'!$W$5:$W$66=AC$7),0),MATCH(AC$6,'WP_Regression Summary'!$X$5:$Y$5))</f>
        <v>728.4</v>
      </c>
      <c r="AD25" s="280">
        <f t="shared" si="10"/>
        <v>689.15</v>
      </c>
      <c r="AE25" s="280" cm="1">
        <f t="array" ref="AE25">INDEX('WP_Regression Summary'!$X$5:$Y$66,MATCH(1,('WP_Regression Summary'!$V$5:$V$66=$AB25)*('WP_Regression Summary'!$W$5:$W$66=AE$7),0),MATCH(AE$6,'WP_Regression Summary'!$X$5:$Y$5))</f>
        <v>649.9</v>
      </c>
      <c r="AF25" s="280">
        <f t="shared" si="11"/>
        <v>649.9</v>
      </c>
      <c r="AG25" s="280" cm="1">
        <f t="array" ref="AG25">INDEX('WP_Regression Summary'!$X$5:$Y$66,MATCH(1,('WP_Regression Summary'!$V$5:$V$66=$AB25)*('WP_Regression Summary'!$W$5:$W$66=AG$7),0),MATCH(AG$6,'WP_Regression Summary'!$X$5:$Y$5))</f>
        <v>717.4</v>
      </c>
      <c r="AH25" s="280">
        <f t="shared" si="25"/>
        <v>676.75</v>
      </c>
      <c r="AI25" s="280" cm="1">
        <f t="array" ref="AI25">INDEX('WP_Regression Summary'!$X$5:$Y$66,MATCH(1,('WP_Regression Summary'!$V$5:$V$66=$AB25)*('WP_Regression Summary'!$W$5:$W$66=AI$7),0),MATCH(AI$6,'WP_Regression Summary'!$X$5:$Y$5))</f>
        <v>636.1</v>
      </c>
      <c r="AJ25" s="280">
        <f t="shared" si="12"/>
        <v>636.1</v>
      </c>
      <c r="AK25" s="35">
        <f t="shared" si="26"/>
        <v>-1.5101592531576058E-2</v>
      </c>
      <c r="AL25" s="35">
        <f t="shared" si="27"/>
        <v>-1.7993180004353158E-2</v>
      </c>
      <c r="AM25" s="35">
        <f t="shared" si="28"/>
        <v>-2.1234036005539244E-2</v>
      </c>
      <c r="AN25" s="35">
        <f t="shared" si="15"/>
        <v>-2.1234036005539244E-2</v>
      </c>
      <c r="AO25" s="33" t="s">
        <v>1415</v>
      </c>
    </row>
    <row r="26" spans="1:41" s="11" customFormat="1">
      <c r="A26" s="32" t="s">
        <v>1245</v>
      </c>
      <c r="B26" s="32" t="s">
        <v>1061</v>
      </c>
      <c r="C26" s="38" cm="1">
        <f t="array" ref="C26">INDEX('WP_Regression Summary'!$F$5:$H$66,MATCH(1,('WP_Regression Summary'!$C$5:$C$66=$B26)*('WP_Regression Summary'!$D$5:$D$66=C$7),0),MATCH(C$6,'WP_Regression Summary'!$F$5:$H$5))</f>
        <v>2454.4109020284836</v>
      </c>
      <c r="D26" s="38">
        <f t="shared" si="5"/>
        <v>2411.6148677724473</v>
      </c>
      <c r="E26" s="38" cm="1">
        <f t="array" ref="E26">INDEX('WP_Regression Summary'!$F$5:$H$66,MATCH(1,('WP_Regression Summary'!$C$5:$C$66=$B26)*('WP_Regression Summary'!$D$5:$D$66=E$7),0),MATCH(E$6,'WP_Regression Summary'!$F$5:$H$5))</f>
        <v>2368.8188335164109</v>
      </c>
      <c r="F26" s="38" cm="1">
        <f t="array" ref="F26">INDEX('WP_Regression Summary'!$F$5:$H$66,MATCH(1,('WP_Regression Summary'!$C$5:$C$66=$B26)*('WP_Regression Summary'!$D$5:$D$66=F$7),0),MATCH(F$6,'WP_Regression Summary'!$F$5:$H$5))</f>
        <v>2515.855720118203</v>
      </c>
      <c r="G26" s="38">
        <f t="shared" si="16"/>
        <v>2457.3737975741387</v>
      </c>
      <c r="H26" s="38" cm="1">
        <f t="array" ref="H26">INDEX('WP_Regression Summary'!$F$5:$H$66,MATCH(1,('WP_Regression Summary'!$C$5:$C$66=$B26)*('WP_Regression Summary'!$D$5:$D$66=H$7),0),MATCH(H$6,'WP_Regression Summary'!$F$5:$H$5))</f>
        <v>2398.8918750300741</v>
      </c>
      <c r="I26" s="35">
        <f t="shared" si="17"/>
        <v>2.5034446367125145E-2</v>
      </c>
      <c r="J26" s="35">
        <f t="shared" si="18"/>
        <v>1.8974393636890258E-2</v>
      </c>
      <c r="K26" s="35">
        <f t="shared" si="19"/>
        <v>1.2695374204291092E-2</v>
      </c>
      <c r="L26" s="33" t="s">
        <v>1415</v>
      </c>
      <c r="N26" s="32" t="s">
        <v>1245</v>
      </c>
      <c r="O26" s="32" t="s">
        <v>1061</v>
      </c>
      <c r="P26" s="38" cm="1">
        <f t="array" ref="P26">INDEX('WP_Regression Summary'!$P$5:$R$66,MATCH(1,('WP_Regression Summary'!$M$5:$M$66=$O26)*('WP_Regression Summary'!$N$5:$N$66=P$7),0),MATCH(P$6,'WP_Regression Summary'!$P$5:$R$5))</f>
        <v>14794.699999999997</v>
      </c>
      <c r="Q26" s="38">
        <f t="shared" si="20"/>
        <v>13092.599999999999</v>
      </c>
      <c r="R26" s="38" cm="1">
        <f t="array" ref="R26">INDEX('WP_Regression Summary'!$P$5:$R$66,MATCH(1,('WP_Regression Summary'!$M$5:$M$66=$O26)*('WP_Regression Summary'!$N$5:$N$66=R$7),0),MATCH(R$6,'WP_Regression Summary'!$P$5:$R$5))</f>
        <v>11390.499999999998</v>
      </c>
      <c r="S26" s="38" cm="1">
        <f t="array" ref="S26">INDEX('WP_Regression Summary'!$P$5:$R$66,MATCH(1,('WP_Regression Summary'!$M$5:$M$66=$O26)*('WP_Regression Summary'!$N$5:$N$66=S$7),0),MATCH(S$6,'WP_Regression Summary'!$P$5:$R$5))</f>
        <v>14879.499999999998</v>
      </c>
      <c r="T26" s="38">
        <f t="shared" si="21"/>
        <v>13092.349999999999</v>
      </c>
      <c r="U26" s="38" cm="1">
        <f t="array" ref="U26">INDEX('WP_Regression Summary'!$P$5:$R$66,MATCH(1,('WP_Regression Summary'!$M$5:$M$66=$O26)*('WP_Regression Summary'!$N$5:$N$66=U$7),0),MATCH(U$6,'WP_Regression Summary'!$P$5:$R$5))</f>
        <v>11305.199999999999</v>
      </c>
      <c r="V26" s="35">
        <f t="shared" si="22"/>
        <v>5.7317823274551771E-3</v>
      </c>
      <c r="W26" s="35">
        <f t="shared" si="23"/>
        <v>-1.9094755816262625E-5</v>
      </c>
      <c r="X26" s="35">
        <f t="shared" si="24"/>
        <v>-7.4886967209516079E-3</v>
      </c>
      <c r="Y26" s="33" t="s">
        <v>1415</v>
      </c>
      <c r="Z26" s="10"/>
      <c r="AA26" s="32" t="s">
        <v>1245</v>
      </c>
      <c r="AB26" s="32" t="s">
        <v>1061</v>
      </c>
      <c r="AC26" s="280" cm="1">
        <f t="array" ref="AC26">INDEX('WP_Regression Summary'!$X$5:$Y$66,MATCH(1,('WP_Regression Summary'!$V$5:$V$66=$AB26)*('WP_Regression Summary'!$W$5:$W$66=AC$7),0),MATCH(AC$6,'WP_Regression Summary'!$X$5:$Y$5))</f>
        <v>1581.3</v>
      </c>
      <c r="AD26" s="280">
        <f t="shared" si="10"/>
        <v>1480.1</v>
      </c>
      <c r="AE26" s="280" cm="1">
        <f t="array" ref="AE26">INDEX('WP_Regression Summary'!$X$5:$Y$66,MATCH(1,('WP_Regression Summary'!$V$5:$V$66=$AB26)*('WP_Regression Summary'!$W$5:$W$66=AE$7),0),MATCH(AE$6,'WP_Regression Summary'!$X$5:$Y$5))</f>
        <v>1378.9</v>
      </c>
      <c r="AF26" s="280">
        <f t="shared" si="11"/>
        <v>1378.9</v>
      </c>
      <c r="AG26" s="280" cm="1">
        <f t="array" ref="AG26">INDEX('WP_Regression Summary'!$X$5:$Y$66,MATCH(1,('WP_Regression Summary'!$V$5:$V$66=$AB26)*('WP_Regression Summary'!$W$5:$W$66=AG$7),0),MATCH(AG$6,'WP_Regression Summary'!$X$5:$Y$5))</f>
        <v>1576.3</v>
      </c>
      <c r="AH26" s="280">
        <f t="shared" si="25"/>
        <v>1469.05</v>
      </c>
      <c r="AI26" s="280" cm="1">
        <f t="array" ref="AI26">INDEX('WP_Regression Summary'!$X$5:$Y$66,MATCH(1,('WP_Regression Summary'!$V$5:$V$66=$AB26)*('WP_Regression Summary'!$W$5:$W$66=AI$7),0),MATCH(AI$6,'WP_Regression Summary'!$X$5:$Y$5))</f>
        <v>1361.8</v>
      </c>
      <c r="AJ26" s="280">
        <f t="shared" si="12"/>
        <v>1361.8</v>
      </c>
      <c r="AK26" s="35">
        <f t="shared" si="26"/>
        <v>-3.1619553531904128E-3</v>
      </c>
      <c r="AL26" s="35">
        <f t="shared" si="27"/>
        <v>-7.4657117762313057E-3</v>
      </c>
      <c r="AM26" s="35">
        <f t="shared" si="28"/>
        <v>-1.2401189353832864E-2</v>
      </c>
      <c r="AN26" s="35">
        <f t="shared" si="15"/>
        <v>-1.2401189353832864E-2</v>
      </c>
      <c r="AO26" s="33" t="s">
        <v>1415</v>
      </c>
    </row>
    <row r="27" spans="1:41" s="11" customFormat="1">
      <c r="A27" s="32" t="s">
        <v>1245</v>
      </c>
      <c r="B27" s="32" t="s">
        <v>1063</v>
      </c>
      <c r="C27" s="38" cm="1">
        <f t="array" ref="C27">INDEX('WP_Regression Summary'!$F$5:$H$66,MATCH(1,('WP_Regression Summary'!$C$5:$C$66=$B27)*('WP_Regression Summary'!$D$5:$D$66=C$7),0),MATCH(C$6,'WP_Regression Summary'!$F$5:$H$5))</f>
        <v>3636.2590892834869</v>
      </c>
      <c r="D27" s="38">
        <f t="shared" si="5"/>
        <v>3608.7204548429622</v>
      </c>
      <c r="E27" s="38" cm="1">
        <f t="array" ref="E27">INDEX('WP_Regression Summary'!$F$5:$H$66,MATCH(1,('WP_Regression Summary'!$C$5:$C$66=$B27)*('WP_Regression Summary'!$D$5:$D$66=E$7),0),MATCH(E$6,'WP_Regression Summary'!$F$5:$H$5))</f>
        <v>3581.1818204024376</v>
      </c>
      <c r="F27" s="38" cm="1">
        <f t="array" ref="F27">INDEX('WP_Regression Summary'!$F$5:$H$66,MATCH(1,('WP_Regression Summary'!$C$5:$C$66=$B27)*('WP_Regression Summary'!$D$5:$D$66=F$7),0),MATCH(F$6,'WP_Regression Summary'!$F$5:$H$5))</f>
        <v>3885.1423913124108</v>
      </c>
      <c r="G27" s="38">
        <f t="shared" si="16"/>
        <v>3827.3228924644982</v>
      </c>
      <c r="H27" s="38" cm="1">
        <f t="array" ref="H27">INDEX('WP_Regression Summary'!$F$5:$H$66,MATCH(1,('WP_Regression Summary'!$C$5:$C$66=$B27)*('WP_Regression Summary'!$D$5:$D$66=H$7),0),MATCH(H$6,'WP_Regression Summary'!$F$5:$H$5))</f>
        <v>3769.503393616586</v>
      </c>
      <c r="I27" s="35">
        <f t="shared" si="17"/>
        <v>6.8444875878733269E-2</v>
      </c>
      <c r="J27" s="35">
        <f t="shared" si="18"/>
        <v>6.0576162758234124E-2</v>
      </c>
      <c r="K27" s="35">
        <f t="shared" si="19"/>
        <v>5.2586431702868877E-2</v>
      </c>
      <c r="L27" s="33" t="s">
        <v>1415</v>
      </c>
      <c r="N27" s="32" t="s">
        <v>1245</v>
      </c>
      <c r="O27" s="32" t="s">
        <v>1063</v>
      </c>
      <c r="P27" s="38" cm="1">
        <f t="array" ref="P27">INDEX('WP_Regression Summary'!$P$5:$R$66,MATCH(1,('WP_Regression Summary'!$M$5:$M$66=$O27)*('WP_Regression Summary'!$N$5:$N$66=P$7),0),MATCH(P$6,'WP_Regression Summary'!$P$5:$R$5))</f>
        <v>146.84340636218781</v>
      </c>
      <c r="Q27" s="38">
        <f t="shared" si="20"/>
        <v>117.07943965757477</v>
      </c>
      <c r="R27" s="38" cm="1">
        <f t="array" ref="R27">INDEX('WP_Regression Summary'!$P$5:$R$66,MATCH(1,('WP_Regression Summary'!$M$5:$M$66=$O27)*('WP_Regression Summary'!$N$5:$N$66=R$7),0),MATCH(R$6,'WP_Regression Summary'!$P$5:$R$5))</f>
        <v>87.315472952961741</v>
      </c>
      <c r="S27" s="38" cm="1">
        <f t="array" ref="S27">INDEX('WP_Regression Summary'!$P$5:$R$66,MATCH(1,('WP_Regression Summary'!$M$5:$M$66=$O27)*('WP_Regression Summary'!$N$5:$N$66=S$7),0),MATCH(S$6,'WP_Regression Summary'!$P$5:$R$5))</f>
        <v>144.7879104434009</v>
      </c>
      <c r="T27" s="38">
        <f t="shared" si="21"/>
        <v>113.23523775289279</v>
      </c>
      <c r="U27" s="38" cm="1">
        <f t="array" ref="U27">INDEX('WP_Regression Summary'!$P$5:$R$66,MATCH(1,('WP_Regression Summary'!$M$5:$M$66=$O27)*('WP_Regression Summary'!$N$5:$N$66=U$7),0),MATCH(U$6,'WP_Regression Summary'!$P$5:$R$5))</f>
        <v>81.682565062384668</v>
      </c>
      <c r="V27" s="35">
        <f t="shared" si="22"/>
        <v>-1.3997876852005481E-2</v>
      </c>
      <c r="W27" s="35">
        <f t="shared" si="23"/>
        <v>-3.2834133097367192E-2</v>
      </c>
      <c r="X27" s="35">
        <f t="shared" si="24"/>
        <v>-6.4512138571494793E-2</v>
      </c>
      <c r="Y27" s="33" t="s">
        <v>1415</v>
      </c>
      <c r="Z27" s="93"/>
      <c r="AA27" s="32" t="s">
        <v>1245</v>
      </c>
      <c r="AB27" s="32" t="s">
        <v>1063</v>
      </c>
      <c r="AC27" s="280" cm="1">
        <f t="array" ref="AC27">INDEX('WP_Regression Summary'!$X$5:$Y$66,MATCH(1,('WP_Regression Summary'!$V$5:$V$66=$AB27)*('WP_Regression Summary'!$W$5:$W$66=AC$7),0),MATCH(AC$6,'WP_Regression Summary'!$X$5:$Y$5))</f>
        <v>13.612088122059401</v>
      </c>
      <c r="AD27" s="280">
        <f t="shared" si="10"/>
        <v>11.043034609049997</v>
      </c>
      <c r="AE27" s="280" cm="1">
        <f t="array" ref="AE27">INDEX('WP_Regression Summary'!$X$5:$Y$66,MATCH(1,('WP_Regression Summary'!$V$5:$V$66=$AB27)*('WP_Regression Summary'!$W$5:$W$66=AE$7),0),MATCH(AE$6,'WP_Regression Summary'!$X$5:$Y$5))</f>
        <v>8.4739810960405908</v>
      </c>
      <c r="AF27" s="280">
        <f t="shared" si="11"/>
        <v>8.4739810960405908</v>
      </c>
      <c r="AG27" s="280" cm="1">
        <f t="array" ref="AG27">INDEX('WP_Regression Summary'!$X$5:$Y$66,MATCH(1,('WP_Regression Summary'!$V$5:$V$66=$AB27)*('WP_Regression Summary'!$W$5:$W$66=AG$7),0),MATCH(AG$6,'WP_Regression Summary'!$X$5:$Y$5))</f>
        <v>12.276501681782801</v>
      </c>
      <c r="AH27" s="280">
        <f t="shared" si="25"/>
        <v>9.6454153067751243</v>
      </c>
      <c r="AI27" s="280" cm="1">
        <f t="array" ref="AI27">INDEX('WP_Regression Summary'!$X$5:$Y$66,MATCH(1,('WP_Regression Summary'!$V$5:$V$66=$AB27)*('WP_Regression Summary'!$W$5:$W$66=AI$7),0),MATCH(AI$6,'WP_Regression Summary'!$X$5:$Y$5))</f>
        <v>7.0143289317674498</v>
      </c>
      <c r="AJ27" s="280">
        <f t="shared" si="12"/>
        <v>7.0143289317674498</v>
      </c>
      <c r="AK27" s="35">
        <f t="shared" si="26"/>
        <v>-9.811767513554244E-2</v>
      </c>
      <c r="AL27" s="35">
        <f t="shared" si="27"/>
        <v>-0.12656116291888592</v>
      </c>
      <c r="AM27" s="35">
        <f t="shared" si="28"/>
        <v>-0.17225105269058877</v>
      </c>
      <c r="AN27" s="35">
        <f t="shared" si="15"/>
        <v>-0.17225105269058877</v>
      </c>
      <c r="AO27" s="33" t="s">
        <v>1415</v>
      </c>
    </row>
    <row r="28" spans="1:41" s="11" customFormat="1">
      <c r="A28" s="32" t="s">
        <v>1245</v>
      </c>
      <c r="B28" s="32" t="s">
        <v>1278</v>
      </c>
      <c r="C28" s="38" cm="1">
        <f t="array" ref="C28">INDEX('WP_Regression Summary'!$F$5:$H$66,MATCH(1,('WP_Regression Summary'!$C$5:$C$66=$B28)*('WP_Regression Summary'!$D$5:$D$66=C$7),0),MATCH(C$6,'WP_Regression Summary'!$F$5:$H$5))</f>
        <v>133.49305139693891</v>
      </c>
      <c r="D28" s="38">
        <f t="shared" si="5"/>
        <v>115.56192150241469</v>
      </c>
      <c r="E28" s="38" cm="1">
        <f t="array" ref="E28">INDEX('WP_Regression Summary'!$F$5:$H$66,MATCH(1,('WP_Regression Summary'!$C$5:$C$66=$B28)*('WP_Regression Summary'!$D$5:$D$66=E$7),0),MATCH(E$6,'WP_Regression Summary'!$F$5:$H$5))</f>
        <v>97.630791607890473</v>
      </c>
      <c r="F28" s="38" cm="1">
        <f t="array" ref="F28">INDEX('WP_Regression Summary'!$F$5:$H$66,MATCH(1,('WP_Regression Summary'!$C$5:$C$66=$B28)*('WP_Regression Summary'!$D$5:$D$66=F$7),0),MATCH(F$6,'WP_Regression Summary'!$F$5:$H$5))</f>
        <v>130.29983102787841</v>
      </c>
      <c r="G28" s="38">
        <f t="shared" si="16"/>
        <v>105.23306415420905</v>
      </c>
      <c r="H28" s="38" cm="1">
        <f t="array" ref="H28">INDEX('WP_Regression Summary'!$F$5:$H$66,MATCH(1,('WP_Regression Summary'!$C$5:$C$66=$B28)*('WP_Regression Summary'!$D$5:$D$66=H$7),0),MATCH(H$6,'WP_Regression Summary'!$F$5:$H$5))</f>
        <v>80.166297280539666</v>
      </c>
      <c r="I28" s="35">
        <f t="shared" si="17"/>
        <v>-2.3920498749897635E-2</v>
      </c>
      <c r="J28" s="35">
        <f t="shared" si="18"/>
        <v>-8.9379418530954602E-2</v>
      </c>
      <c r="K28" s="35">
        <f t="shared" si="19"/>
        <v>-0.17888305563978787</v>
      </c>
      <c r="L28" s="33" t="s">
        <v>1415</v>
      </c>
      <c r="N28" s="32" t="s">
        <v>1245</v>
      </c>
      <c r="O28" s="32" t="s">
        <v>1278</v>
      </c>
      <c r="P28" s="38" cm="1">
        <f t="array" ref="P28">INDEX('WP_Regression Summary'!$P$5:$R$66,MATCH(1,('WP_Regression Summary'!$M$5:$M$66=$O28)*('WP_Regression Summary'!$N$5:$N$66=P$7),0),MATCH(P$6,'WP_Regression Summary'!$P$5:$R$5))</f>
        <v>87.000000000000014</v>
      </c>
      <c r="Q28" s="38">
        <f t="shared" si="20"/>
        <v>73.150000000000006</v>
      </c>
      <c r="R28" s="38" cm="1">
        <f t="array" ref="R28">INDEX('WP_Regression Summary'!$P$5:$R$66,MATCH(1,('WP_Regression Summary'!$M$5:$M$66=$O28)*('WP_Regression Summary'!$N$5:$N$66=R$7),0),MATCH(R$6,'WP_Regression Summary'!$P$5:$R$5))</f>
        <v>59.300000000000004</v>
      </c>
      <c r="S28" s="38" cm="1">
        <f t="array" ref="S28">INDEX('WP_Regression Summary'!$P$5:$R$66,MATCH(1,('WP_Regression Summary'!$M$5:$M$66=$O28)*('WP_Regression Summary'!$N$5:$N$66=S$7),0),MATCH(S$6,'WP_Regression Summary'!$P$5:$R$5))</f>
        <v>85.399999999999991</v>
      </c>
      <c r="T28" s="38">
        <f t="shared" si="21"/>
        <v>70.75</v>
      </c>
      <c r="U28" s="38" cm="1">
        <f t="array" ref="U28">INDEX('WP_Regression Summary'!$P$5:$R$66,MATCH(1,('WP_Regression Summary'!$M$5:$M$66=$O28)*('WP_Regression Summary'!$N$5:$N$66=U$7),0),MATCH(U$6,'WP_Regression Summary'!$P$5:$R$5))</f>
        <v>56.1</v>
      </c>
      <c r="V28" s="35">
        <f t="shared" si="22"/>
        <v>-1.8390804597701409E-2</v>
      </c>
      <c r="W28" s="35">
        <f t="shared" si="23"/>
        <v>-3.2809295967190781E-2</v>
      </c>
      <c r="X28" s="35">
        <f t="shared" si="24"/>
        <v>-5.3962900505902238E-2</v>
      </c>
      <c r="Y28" s="33" t="s">
        <v>1415</v>
      </c>
      <c r="Z28" s="10"/>
      <c r="AA28" s="32" t="s">
        <v>1245</v>
      </c>
      <c r="AB28" s="32" t="s">
        <v>1278</v>
      </c>
      <c r="AC28" s="280" cm="1">
        <f t="array" ref="AC28">INDEX('WP_Regression Summary'!$X$5:$Y$66,MATCH(1,('WP_Regression Summary'!$V$5:$V$66=$AB28)*('WP_Regression Summary'!$W$5:$W$66=AC$7),0),MATCH(AC$6,'WP_Regression Summary'!$X$5:$Y$5))</f>
        <v>8.4</v>
      </c>
      <c r="AD28" s="280">
        <f t="shared" si="10"/>
        <v>7</v>
      </c>
      <c r="AE28" s="280" cm="1">
        <f t="array" ref="AE28">INDEX('WP_Regression Summary'!$X$5:$Y$66,MATCH(1,('WP_Regression Summary'!$V$5:$V$66=$AB28)*('WP_Regression Summary'!$W$5:$W$66=AE$7),0),MATCH(AE$6,'WP_Regression Summary'!$X$5:$Y$5))</f>
        <v>5.6</v>
      </c>
      <c r="AF28" s="280">
        <f t="shared" si="11"/>
        <v>5.6</v>
      </c>
      <c r="AG28" s="280" cm="1">
        <f t="array" ref="AG28">INDEX('WP_Regression Summary'!$X$5:$Y$66,MATCH(1,('WP_Regression Summary'!$V$5:$V$66=$AB28)*('WP_Regression Summary'!$W$5:$W$66=AG$7),0),MATCH(AG$6,'WP_Regression Summary'!$X$5:$Y$5))</f>
        <v>8.1</v>
      </c>
      <c r="AH28" s="280">
        <f t="shared" si="25"/>
        <v>6.65</v>
      </c>
      <c r="AI28" s="280" cm="1">
        <f t="array" ref="AI28">INDEX('WP_Regression Summary'!$X$5:$Y$66,MATCH(1,('WP_Regression Summary'!$V$5:$V$66=$AB28)*('WP_Regression Summary'!$W$5:$W$66=AI$7),0),MATCH(AI$6,'WP_Regression Summary'!$X$5:$Y$5))</f>
        <v>5.2</v>
      </c>
      <c r="AJ28" s="280">
        <f t="shared" si="12"/>
        <v>5.2</v>
      </c>
      <c r="AK28" s="35">
        <f t="shared" si="26"/>
        <v>-3.5714285714285796E-2</v>
      </c>
      <c r="AL28" s="35">
        <f t="shared" si="27"/>
        <v>-4.9999999999999947E-2</v>
      </c>
      <c r="AM28" s="35">
        <f t="shared" si="28"/>
        <v>-7.1428571428571341E-2</v>
      </c>
      <c r="AN28" s="35">
        <f t="shared" si="15"/>
        <v>-7.1428571428571341E-2</v>
      </c>
      <c r="AO28" s="33" t="s">
        <v>1415</v>
      </c>
    </row>
    <row r="29" spans="1:41">
      <c r="D29" s="71"/>
      <c r="G29" s="71"/>
      <c r="O29" s="39"/>
      <c r="P29" s="40"/>
      <c r="Q29" s="38">
        <v>0</v>
      </c>
      <c r="R29" s="38"/>
      <c r="S29" s="40"/>
      <c r="T29" s="38">
        <v>0</v>
      </c>
      <c r="U29" s="40"/>
      <c r="V29" s="40"/>
      <c r="W29" s="40"/>
      <c r="X29" s="40"/>
      <c r="Y29" s="33"/>
      <c r="AB29" s="39"/>
      <c r="AK29" s="40"/>
      <c r="AL29" s="40"/>
      <c r="AM29" s="40"/>
      <c r="AN29" s="40"/>
      <c r="AO29" s="33"/>
    </row>
    <row r="30" spans="1:41">
      <c r="A30" s="33"/>
      <c r="B30" s="33" t="s">
        <v>998</v>
      </c>
      <c r="C30" s="33"/>
      <c r="D30" s="33"/>
      <c r="E30" s="33"/>
      <c r="F30" s="33"/>
      <c r="G30" s="33"/>
      <c r="H30" s="33"/>
      <c r="I30" s="33">
        <v>0</v>
      </c>
      <c r="J30" s="33"/>
      <c r="K30" s="33">
        <v>0</v>
      </c>
      <c r="L30" s="33" t="str">
        <f>B30</f>
        <v>N/A</v>
      </c>
      <c r="M30" s="11"/>
      <c r="N30" s="33"/>
      <c r="O30" s="33" t="s">
        <v>998</v>
      </c>
      <c r="P30" s="38">
        <v>0</v>
      </c>
      <c r="Q30" s="38"/>
      <c r="R30" s="38">
        <v>0</v>
      </c>
      <c r="S30" s="38">
        <v>0</v>
      </c>
      <c r="T30" s="38">
        <v>0</v>
      </c>
      <c r="U30" s="38">
        <v>0</v>
      </c>
      <c r="V30" s="38"/>
      <c r="W30" s="38"/>
      <c r="X30" s="38"/>
      <c r="Y30" s="33" t="s">
        <v>998</v>
      </c>
      <c r="AA30" s="33"/>
      <c r="AB30" s="33" t="s">
        <v>998</v>
      </c>
      <c r="AK30" s="38"/>
      <c r="AL30" s="38"/>
      <c r="AM30" s="38"/>
      <c r="AN30" s="38"/>
      <c r="AO30" s="33" t="s">
        <v>998</v>
      </c>
    </row>
    <row r="31" spans="1:41">
      <c r="A31" s="33"/>
      <c r="B31" s="33" t="s">
        <v>1102</v>
      </c>
      <c r="C31" s="33"/>
      <c r="D31" s="33"/>
      <c r="E31" s="33"/>
      <c r="F31" s="33"/>
      <c r="G31" s="33"/>
      <c r="H31" s="33"/>
      <c r="I31" s="33">
        <v>0</v>
      </c>
      <c r="J31" s="33"/>
      <c r="K31" s="33">
        <v>0</v>
      </c>
      <c r="L31" s="33" t="s">
        <v>1102</v>
      </c>
      <c r="M31" s="11"/>
      <c r="N31" s="33"/>
      <c r="O31" s="33" t="s">
        <v>1102</v>
      </c>
      <c r="P31" s="38">
        <v>0</v>
      </c>
      <c r="Q31" s="38"/>
      <c r="R31" s="38">
        <v>0</v>
      </c>
      <c r="S31" s="38">
        <v>0</v>
      </c>
      <c r="T31" s="38">
        <v>0</v>
      </c>
      <c r="U31" s="38">
        <v>0</v>
      </c>
      <c r="V31" s="38"/>
      <c r="W31" s="38"/>
      <c r="X31" s="38"/>
      <c r="Y31" s="33" t="s">
        <v>1102</v>
      </c>
      <c r="AA31" s="33"/>
      <c r="AB31" s="33" t="s">
        <v>1102</v>
      </c>
      <c r="AK31" s="38"/>
      <c r="AL31" s="38"/>
      <c r="AM31" s="38"/>
      <c r="AN31" s="38"/>
      <c r="AO31" s="33" t="s">
        <v>1102</v>
      </c>
    </row>
    <row r="32" spans="1:41">
      <c r="A32" s="75"/>
      <c r="B32" s="75"/>
      <c r="C32" s="75"/>
      <c r="D32" s="39"/>
      <c r="E32" s="75"/>
      <c r="F32" s="75"/>
      <c r="G32" s="39"/>
      <c r="H32" s="75"/>
      <c r="I32" s="36"/>
      <c r="J32" s="36"/>
      <c r="K32" s="36"/>
      <c r="L32" s="33"/>
      <c r="M32" s="11"/>
      <c r="N32" s="75"/>
      <c r="O32" s="75"/>
      <c r="P32" s="38"/>
      <c r="Q32" s="38"/>
      <c r="R32" s="38"/>
      <c r="S32" s="38"/>
      <c r="T32" s="38"/>
      <c r="U32" s="38"/>
      <c r="V32" s="38"/>
      <c r="W32" s="38"/>
      <c r="X32" s="38"/>
      <c r="Y32" s="33"/>
      <c r="AA32" s="75"/>
      <c r="AB32" s="75"/>
      <c r="AK32" s="38"/>
      <c r="AL32" s="38"/>
      <c r="AM32" s="38"/>
      <c r="AN32" s="38"/>
      <c r="AO32" s="33"/>
    </row>
    <row r="33" spans="1:4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6"/>
      <c r="Q33" s="6"/>
      <c r="R33" s="6"/>
      <c r="S33" s="6"/>
      <c r="T33" s="6"/>
      <c r="U33" s="6"/>
      <c r="V33" s="6"/>
      <c r="W33" s="6"/>
      <c r="X33" s="6"/>
      <c r="Y33" s="11"/>
      <c r="AA33" s="11"/>
      <c r="AB33" s="11"/>
      <c r="AK33" s="6"/>
      <c r="AL33" s="6"/>
      <c r="AM33" s="6"/>
      <c r="AN33" s="6"/>
      <c r="AO33" s="11"/>
    </row>
    <row r="34" spans="1:4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6"/>
      <c r="Q34" s="6"/>
      <c r="R34" s="6"/>
      <c r="S34" s="6"/>
      <c r="T34" s="6"/>
      <c r="U34" s="6"/>
      <c r="V34" s="6"/>
      <c r="W34" s="6"/>
      <c r="X34" s="6"/>
      <c r="Y34" s="11"/>
      <c r="AA34" s="11"/>
      <c r="AB34" s="11"/>
      <c r="AK34" s="6"/>
      <c r="AL34" s="6"/>
      <c r="AM34" s="6"/>
      <c r="AN34" s="6"/>
      <c r="AO34" s="11"/>
    </row>
  </sheetData>
  <mergeCells count="15">
    <mergeCell ref="A5:A7"/>
    <mergeCell ref="B5:B7"/>
    <mergeCell ref="N5:N7"/>
    <mergeCell ref="O5:O7"/>
    <mergeCell ref="C5:H5"/>
    <mergeCell ref="V5:Y5"/>
    <mergeCell ref="V6:Y6"/>
    <mergeCell ref="I6:L6"/>
    <mergeCell ref="P5:U5"/>
    <mergeCell ref="I5:L5"/>
    <mergeCell ref="AA5:AA7"/>
    <mergeCell ref="AB5:AB7"/>
    <mergeCell ref="AC5:AI5"/>
    <mergeCell ref="AK5:AO5"/>
    <mergeCell ref="AK6:AO6"/>
  </mergeCells>
  <phoneticPr fontId="57" type="noConversion"/>
  <dataValidations count="1">
    <dataValidation type="list" allowBlank="1" showInputMessage="1" showErrorMessage="1" sqref="AO8:AO15 L8:L15 L17:L28 Y8:Y15 Y17:Y28 AO17:AO28" xr:uid="{8B485058-2C3E-4B48-8D40-A67057E6B547}">
      <formula1>$AR$5:$AR$7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73436-3406-456B-854A-A1E435481B3C}">
  <sheetPr codeName="Sheet32">
    <tabColor theme="4" tint="0.39997558519241921"/>
  </sheetPr>
  <dimension ref="A1:AC67"/>
  <sheetViews>
    <sheetView workbookViewId="0"/>
  </sheetViews>
  <sheetFormatPr defaultColWidth="9.140625" defaultRowHeight="12.75"/>
  <cols>
    <col min="1" max="1" width="19.5703125" style="82" customWidth="1"/>
    <col min="2" max="2" width="11.85546875" style="82" customWidth="1"/>
    <col min="3" max="3" width="15" style="82" bestFit="1" customWidth="1"/>
    <col min="4" max="4" width="12.85546875" style="82" bestFit="1" customWidth="1"/>
    <col min="5" max="5" width="32" style="82" bestFit="1" customWidth="1"/>
    <col min="6" max="7" width="9.28515625" style="82" bestFit="1" customWidth="1"/>
    <col min="8" max="8" width="9.28515625" style="571" bestFit="1" customWidth="1"/>
    <col min="9" max="10" width="9.140625" style="82"/>
    <col min="11" max="11" width="18" style="82" bestFit="1" customWidth="1"/>
    <col min="12" max="12" width="8.28515625" style="82" bestFit="1" customWidth="1"/>
    <col min="13" max="13" width="15.85546875" style="82" bestFit="1" customWidth="1"/>
    <col min="14" max="14" width="12.85546875" style="82" bestFit="1" customWidth="1"/>
    <col min="15" max="15" width="34.28515625" style="82" bestFit="1" customWidth="1"/>
    <col min="16" max="17" width="7.85546875" style="82" bestFit="1" customWidth="1"/>
    <col min="18" max="18" width="7.85546875" style="571" bestFit="1" customWidth="1"/>
    <col min="19" max="19" width="12.140625" style="82" customWidth="1"/>
    <col min="20" max="20" width="34.42578125" style="82" customWidth="1"/>
    <col min="21" max="21" width="14.5703125" style="82" bestFit="1" customWidth="1"/>
    <col min="22" max="22" width="12.85546875" style="82" customWidth="1"/>
    <col min="23" max="23" width="12.85546875" style="82" bestFit="1" customWidth="1"/>
    <col min="24" max="29" width="12.140625" style="82" customWidth="1"/>
    <col min="30" max="16384" width="9.140625" style="82"/>
  </cols>
  <sheetData>
    <row r="1" spans="1:25">
      <c r="A1" s="7" t="s">
        <v>1264</v>
      </c>
    </row>
    <row r="2" spans="1:25">
      <c r="A2" s="7" t="s">
        <v>1265</v>
      </c>
    </row>
    <row r="3" spans="1:25">
      <c r="A3" s="7" t="s">
        <v>1271</v>
      </c>
      <c r="X3" s="275" t="s">
        <v>1403</v>
      </c>
      <c r="Y3" s="275"/>
    </row>
    <row r="4" spans="1:25">
      <c r="X4" s="275" t="s">
        <v>1406</v>
      </c>
      <c r="Y4" s="275" t="s">
        <v>1406</v>
      </c>
    </row>
    <row r="5" spans="1:25">
      <c r="A5" s="88" t="s">
        <v>1263</v>
      </c>
      <c r="B5" s="88" t="s">
        <v>1262</v>
      </c>
      <c r="C5" s="87" t="s">
        <v>1101</v>
      </c>
      <c r="D5" s="88" t="s">
        <v>1261</v>
      </c>
      <c r="E5" s="88" t="s">
        <v>1408</v>
      </c>
      <c r="F5" s="88">
        <v>2022</v>
      </c>
      <c r="G5" s="570">
        <v>2023</v>
      </c>
      <c r="H5" s="572"/>
      <c r="K5" s="88" t="s">
        <v>1263</v>
      </c>
      <c r="L5" s="88" t="s">
        <v>1262</v>
      </c>
      <c r="M5" s="87" t="s">
        <v>1101</v>
      </c>
      <c r="N5" s="88" t="s">
        <v>1261</v>
      </c>
      <c r="O5" s="88" t="s">
        <v>1408</v>
      </c>
      <c r="P5" s="88">
        <v>2022</v>
      </c>
      <c r="Q5" s="570">
        <v>2023</v>
      </c>
      <c r="R5" s="572"/>
      <c r="T5" s="88" t="s">
        <v>1408</v>
      </c>
      <c r="U5" s="88" t="s">
        <v>1262</v>
      </c>
      <c r="V5" s="87" t="s">
        <v>1101</v>
      </c>
      <c r="W5" s="88" t="s">
        <v>1261</v>
      </c>
      <c r="X5" s="275">
        <v>2022</v>
      </c>
      <c r="Y5" s="275">
        <v>2023</v>
      </c>
    </row>
    <row r="6" spans="1:25">
      <c r="F6" s="83"/>
    </row>
    <row r="7" spans="1:25">
      <c r="A7" s="82" t="s">
        <v>8</v>
      </c>
      <c r="B7" s="82" t="s">
        <v>972</v>
      </c>
      <c r="C7" s="82" t="str">
        <f t="shared" ref="C7:C38" si="0">LEFT(E7,FIND("_Forecast",E7)-1)</f>
        <v>FPU_RS</v>
      </c>
      <c r="D7" s="82" t="s">
        <v>1002</v>
      </c>
      <c r="E7" s="84" t="s">
        <v>1004</v>
      </c>
      <c r="F7" s="80">
        <f>SUMIFS(INDEX('WP_Regression_RES Cust Count'!$A$1:$AC$61,0,MATCH($E7,'WP_Regression_RES Cust Count'!$A$1:$AC$1,0)),'WP_Regression_RES Cust Count'!$B$1:$B$61,F$5)</f>
        <v>707922.36</v>
      </c>
      <c r="G7" s="80">
        <f>SUMIFS(INDEX('WP_Regression_RES Cust Count'!$A$1:$AC$61,0,MATCH($E7,'WP_Regression_RES Cust Count'!$A$1:$AC$1,0)),'WP_Regression_RES Cust Count'!$B$1:$B$61,G$5)</f>
        <v>731810.17999999993</v>
      </c>
      <c r="H7" s="573"/>
      <c r="I7" s="81"/>
      <c r="K7" s="82" t="s">
        <v>8</v>
      </c>
      <c r="L7" s="82" t="s">
        <v>106</v>
      </c>
      <c r="M7" s="82" t="str">
        <f t="shared" ref="M7:M38" si="1">LEFT(O7,FIND("_Forecast",O7)-1)</f>
        <v>FPU_RS</v>
      </c>
      <c r="N7" s="82" t="s">
        <v>1002</v>
      </c>
      <c r="O7" s="84" t="s">
        <v>1004</v>
      </c>
      <c r="P7" s="80">
        <f>SUMIFS(INDEX('WP_Regression_RES UPC'!$A$1:$AC$61,0,MATCH($O7,'WP_Regression_RES UPC'!$A$1:$AC$1,0)),'WP_Regression_RES UPC'!$B$1:$B$61,F$5)</f>
        <v>268.76067998078992</v>
      </c>
      <c r="Q7" s="80">
        <f>SUMIFS(INDEX('WP_Regression_RES UPC'!$A$1:$AC$61,0,MATCH($O7,'WP_Regression_RES UPC'!$A$1:$AC$1,0)),'WP_Regression_RES UPC'!$B$1:$B$61,G$5)</f>
        <v>268.76067998078992</v>
      </c>
      <c r="R7" s="573"/>
      <c r="T7" s="82" t="str">
        <f>CONCATENATE(E7,"_",$X$3)</f>
        <v>FPU_RS_Forecast_Average_Max</v>
      </c>
      <c r="U7" s="82" t="s">
        <v>1407</v>
      </c>
      <c r="V7" s="82" t="str">
        <f t="shared" ref="V7:V38" si="2">M7</f>
        <v>FPU_RS</v>
      </c>
      <c r="W7" s="82" t="s">
        <v>1002</v>
      </c>
      <c r="X7" s="276">
        <f>INDEX('WP_Regression_RES UPC'!$C$63:$AC$63,MATCH(T7,'WP_Regression_RES UPC'!$C$62:$AC$62,0))</f>
        <v>38.199522317166398</v>
      </c>
      <c r="Y7" s="276">
        <f>INDEX('WP_Regression_RES UPC'!$C$64:$AC$64,MATCH(T7,'WP_Regression_RES UPC'!$C$62:$AC$62,0))</f>
        <v>38.199522317166398</v>
      </c>
    </row>
    <row r="8" spans="1:25">
      <c r="A8" s="82" t="s">
        <v>8</v>
      </c>
      <c r="B8" s="82" t="s">
        <v>972</v>
      </c>
      <c r="C8" s="82" t="str">
        <f t="shared" si="0"/>
        <v>FPU_RS</v>
      </c>
      <c r="D8" s="82" t="s">
        <v>1003</v>
      </c>
      <c r="E8" s="85" t="s">
        <v>1006</v>
      </c>
      <c r="F8" s="80">
        <f>SUMIFS(INDEX('WP_Regression_RES Cust Count'!$A$1:$AC$61,0,MATCH($E8,'WP_Regression_RES Cust Count'!$A$1:$AC$1,0)),'WP_Regression_RES Cust Count'!$B$1:$B$61,F$5)</f>
        <v>700613.22999999986</v>
      </c>
      <c r="G8" s="80">
        <f>SUMIFS(INDEX('WP_Regression_RES Cust Count'!$A$1:$AC$61,0,MATCH($E8,'WP_Regression_RES Cust Count'!$A$1:$AC$1,0)),'WP_Regression_RES Cust Count'!$B$1:$B$61,G$5)</f>
        <v>717324.59</v>
      </c>
      <c r="H8" s="573"/>
      <c r="K8" s="82" t="s">
        <v>8</v>
      </c>
      <c r="L8" s="82" t="s">
        <v>106</v>
      </c>
      <c r="M8" s="82" t="str">
        <f t="shared" si="1"/>
        <v>FPU_RS</v>
      </c>
      <c r="N8" s="82" t="s">
        <v>1003</v>
      </c>
      <c r="O8" s="85" t="s">
        <v>1006</v>
      </c>
      <c r="P8" s="80">
        <f>SUMIFS(INDEX('WP_Regression_RES UPC'!$A$1:$AC$61,0,MATCH($O8,'WP_Regression_RES UPC'!$A$1:$AC$1,0)),'WP_Regression_RES UPC'!$B$1:$B$61,F$5)</f>
        <v>232.63967216629609</v>
      </c>
      <c r="Q8" s="80">
        <f>SUMIFS(INDEX('WP_Regression_RES UPC'!$A$1:$AC$61,0,MATCH($O8,'WP_Regression_RES UPC'!$A$1:$AC$1,0)),'WP_Regression_RES UPC'!$B$1:$B$61,G$5)</f>
        <v>232.63967216629609</v>
      </c>
      <c r="R8" s="573"/>
      <c r="T8" s="82" t="str">
        <f t="shared" ref="T8:T66" si="3">CONCATENATE(E8,"_",$X$3)</f>
        <v>FPU_RS_Forecast_Low95_Max</v>
      </c>
      <c r="U8" s="82" t="s">
        <v>1407</v>
      </c>
      <c r="V8" s="82" t="str">
        <f t="shared" si="2"/>
        <v>FPU_RS</v>
      </c>
      <c r="W8" s="82" t="s">
        <v>1003</v>
      </c>
      <c r="X8" s="276">
        <f>INDEX('WP_Regression_RES UPC'!$C$63:$AC$63,MATCH(T8,'WP_Regression_RES UPC'!$C$62:$AC$62,0))</f>
        <v>32.2930448046408</v>
      </c>
      <c r="Y8" s="276">
        <f>INDEX('WP_Regression_RES UPC'!$C$64:$AC$64,MATCH(T8,'WP_Regression_RES UPC'!$C$62:$AC$62,0))</f>
        <v>32.2930448046408</v>
      </c>
    </row>
    <row r="9" spans="1:25">
      <c r="A9" s="82" t="s">
        <v>8</v>
      </c>
      <c r="B9" s="82" t="s">
        <v>972</v>
      </c>
      <c r="C9" s="82" t="str">
        <f t="shared" si="0"/>
        <v>FPU_RS</v>
      </c>
      <c r="D9" s="82" t="s">
        <v>1009</v>
      </c>
      <c r="E9" s="86" t="s">
        <v>1008</v>
      </c>
      <c r="F9" s="80">
        <f>SUMIFS(INDEX('WP_Regression_RES Cust Count'!$A$1:$AC$61,0,MATCH($E9,'WP_Regression_RES Cust Count'!$A$1:$AC$1,0)),'WP_Regression_RES Cust Count'!$B$1:$B$61,F$5)</f>
        <v>715231.48</v>
      </c>
      <c r="G9" s="80">
        <f>SUMIFS(INDEX('WP_Regression_RES Cust Count'!$A$1:$AC$61,0,MATCH($E9,'WP_Regression_RES Cust Count'!$A$1:$AC$1,0)),'WP_Regression_RES Cust Count'!$B$1:$B$61,G$5)</f>
        <v>746295.75</v>
      </c>
      <c r="H9" s="573"/>
      <c r="K9" s="82" t="s">
        <v>8</v>
      </c>
      <c r="L9" s="82" t="s">
        <v>106</v>
      </c>
      <c r="M9" s="82" t="str">
        <f t="shared" si="1"/>
        <v>FPU_RS</v>
      </c>
      <c r="N9" s="82" t="s">
        <v>1009</v>
      </c>
      <c r="O9" s="86" t="s">
        <v>1008</v>
      </c>
      <c r="P9" s="80">
        <f>SUMIFS(INDEX('WP_Regression_RES UPC'!$A$1:$AC$61,0,MATCH($O9,'WP_Regression_RES UPC'!$A$1:$AC$1,0)),'WP_Regression_RES UPC'!$B$1:$B$61,F$5)</f>
        <v>312.95068753913853</v>
      </c>
      <c r="Q9" s="80">
        <f>SUMIFS(INDEX('WP_Regression_RES UPC'!$A$1:$AC$61,0,MATCH($O9,'WP_Regression_RES UPC'!$A$1:$AC$1,0)),'WP_Regression_RES UPC'!$B$1:$B$61,G$5)</f>
        <v>312.95068753913853</v>
      </c>
      <c r="R9" s="573"/>
      <c r="T9" s="82" t="str">
        <f t="shared" si="3"/>
        <v>FPU_RS_Forecast_High95_Max</v>
      </c>
      <c r="U9" s="82" t="s">
        <v>1407</v>
      </c>
      <c r="V9" s="82" t="str">
        <f t="shared" si="2"/>
        <v>FPU_RS</v>
      </c>
      <c r="W9" s="82" t="s">
        <v>1009</v>
      </c>
      <c r="X9" s="276">
        <f>INDEX('WP_Regression_RES UPC'!$C$63:$AC$63,MATCH(T9,'WP_Regression_RES UPC'!$C$62:$AC$62,0))</f>
        <v>45.648518461393401</v>
      </c>
      <c r="Y9" s="276">
        <f>INDEX('WP_Regression_RES UPC'!$C$64:$AC$64,MATCH(T9,'WP_Regression_RES UPC'!$C$62:$AC$62,0))</f>
        <v>45.648518461393401</v>
      </c>
    </row>
    <row r="10" spans="1:25">
      <c r="A10" s="82" t="s">
        <v>8</v>
      </c>
      <c r="B10" s="82" t="s">
        <v>972</v>
      </c>
      <c r="C10" s="82" t="str">
        <f t="shared" si="0"/>
        <v>FTS_1</v>
      </c>
      <c r="D10" s="82" t="s">
        <v>1002</v>
      </c>
      <c r="E10" s="84" t="s">
        <v>1011</v>
      </c>
      <c r="F10" s="80">
        <f>SUMIFS(INDEX('WP_Regression_RES Cust Count'!$A$1:$AC$61,0,MATCH($E10,'WP_Regression_RES Cust Count'!$A$1:$AC$1,0)),'WP_Regression_RES Cust Count'!$B$1:$B$61,F$5)</f>
        <v>164309.07999999999</v>
      </c>
      <c r="G10" s="80">
        <f>SUMIFS(INDEX('WP_Regression_RES Cust Count'!$A$1:$AC$61,0,MATCH($E10,'WP_Regression_RES Cust Count'!$A$1:$AC$1,0)),'WP_Regression_RES Cust Count'!$B$1:$B$61,G$5)</f>
        <v>171122.94</v>
      </c>
      <c r="H10" s="573"/>
      <c r="K10" s="82" t="s">
        <v>8</v>
      </c>
      <c r="L10" s="82" t="s">
        <v>106</v>
      </c>
      <c r="M10" s="82" t="str">
        <f t="shared" si="1"/>
        <v>FTS_1</v>
      </c>
      <c r="N10" s="82" t="s">
        <v>1002</v>
      </c>
      <c r="O10" s="84" t="s">
        <v>1011</v>
      </c>
      <c r="P10" s="80">
        <f>SUMIFS(INDEX('WP_Regression_RES UPC'!$A$1:$AC$61,0,MATCH($O10,'WP_Regression_RES UPC'!$A$1:$AC$1,0)),'WP_Regression_RES UPC'!$B$1:$B$61,F$5)</f>
        <v>189.36514745983629</v>
      </c>
      <c r="Q10" s="80">
        <f>SUMIFS(INDEX('WP_Regression_RES UPC'!$A$1:$AC$61,0,MATCH($O10,'WP_Regression_RES UPC'!$A$1:$AC$1,0)),'WP_Regression_RES UPC'!$B$1:$B$61,G$5)</f>
        <v>189.36514745983629</v>
      </c>
      <c r="R10" s="573"/>
      <c r="T10" s="82" t="str">
        <f t="shared" si="3"/>
        <v>FTS_1_Forecast_Average_Max</v>
      </c>
      <c r="U10" s="82" t="s">
        <v>1407</v>
      </c>
      <c r="V10" s="82" t="str">
        <f t="shared" si="2"/>
        <v>FTS_1</v>
      </c>
      <c r="W10" s="82" t="s">
        <v>1002</v>
      </c>
      <c r="X10" s="276">
        <f>INDEX('WP_Regression_RES UPC'!$C$63:$AC$63,MATCH(T10,'WP_Regression_RES UPC'!$C$62:$AC$62,0))</f>
        <v>24.3760953524949</v>
      </c>
      <c r="Y10" s="276">
        <f>INDEX('WP_Regression_RES UPC'!$C$64:$AC$64,MATCH(T10,'WP_Regression_RES UPC'!$C$62:$AC$62,0))</f>
        <v>24.3760953524949</v>
      </c>
    </row>
    <row r="11" spans="1:25">
      <c r="A11" s="82" t="s">
        <v>8</v>
      </c>
      <c r="B11" s="82" t="s">
        <v>972</v>
      </c>
      <c r="C11" s="82" t="str">
        <f t="shared" si="0"/>
        <v>FTS_1</v>
      </c>
      <c r="D11" s="82" t="s">
        <v>1003</v>
      </c>
      <c r="E11" s="85" t="s">
        <v>1013</v>
      </c>
      <c r="F11" s="80">
        <f>SUMIFS(INDEX('WP_Regression_RES Cust Count'!$A$1:$AC$61,0,MATCH($E11,'WP_Regression_RES Cust Count'!$A$1:$AC$1,0)),'WP_Regression_RES Cust Count'!$B$1:$B$61,F$5)</f>
        <v>161487.20000000001</v>
      </c>
      <c r="G11" s="80">
        <f>SUMIFS(INDEX('WP_Regression_RES Cust Count'!$A$1:$AC$61,0,MATCH($E11,'WP_Regression_RES Cust Count'!$A$1:$AC$1,0)),'WP_Regression_RES Cust Count'!$B$1:$B$61,G$5)</f>
        <v>165705.12999999998</v>
      </c>
      <c r="H11" s="573"/>
      <c r="K11" s="82" t="s">
        <v>8</v>
      </c>
      <c r="L11" s="82" t="s">
        <v>106</v>
      </c>
      <c r="M11" s="82" t="str">
        <f t="shared" si="1"/>
        <v>FTS_1</v>
      </c>
      <c r="N11" s="82" t="s">
        <v>1003</v>
      </c>
      <c r="O11" s="85" t="s">
        <v>1013</v>
      </c>
      <c r="P11" s="80">
        <f>SUMIFS(INDEX('WP_Regression_RES UPC'!$A$1:$AC$61,0,MATCH($O11,'WP_Regression_RES UPC'!$A$1:$AC$1,0)),'WP_Regression_RES UPC'!$B$1:$B$61,F$5)</f>
        <v>156.56991756863101</v>
      </c>
      <c r="Q11" s="80">
        <f>SUMIFS(INDEX('WP_Regression_RES UPC'!$A$1:$AC$61,0,MATCH($O11,'WP_Regression_RES UPC'!$A$1:$AC$1,0)),'WP_Regression_RES UPC'!$B$1:$B$61,G$5)</f>
        <v>156.56991756863101</v>
      </c>
      <c r="R11" s="573"/>
      <c r="T11" s="82" t="str">
        <f t="shared" si="3"/>
        <v>FTS_1_Forecast_Low95_Max</v>
      </c>
      <c r="U11" s="82" t="s">
        <v>1407</v>
      </c>
      <c r="V11" s="82" t="str">
        <f t="shared" si="2"/>
        <v>FTS_1</v>
      </c>
      <c r="W11" s="82" t="s">
        <v>1003</v>
      </c>
      <c r="X11" s="276">
        <f>INDEX('WP_Regression_RES UPC'!$C$63:$AC$63,MATCH(T11,'WP_Regression_RES UPC'!$C$62:$AC$62,0))</f>
        <v>18.784803549120898</v>
      </c>
      <c r="Y11" s="276">
        <f>INDEX('WP_Regression_RES UPC'!$C$64:$AC$64,MATCH(T11,'WP_Regression_RES UPC'!$C$62:$AC$62,0))</f>
        <v>18.784803549120898</v>
      </c>
    </row>
    <row r="12" spans="1:25">
      <c r="A12" s="82" t="s">
        <v>8</v>
      </c>
      <c r="B12" s="82" t="s">
        <v>972</v>
      </c>
      <c r="C12" s="82" t="str">
        <f t="shared" si="0"/>
        <v>FTS_1</v>
      </c>
      <c r="D12" s="82" t="s">
        <v>1009</v>
      </c>
      <c r="E12" s="86" t="s">
        <v>1015</v>
      </c>
      <c r="F12" s="80">
        <f>SUMIFS(INDEX('WP_Regression_RES Cust Count'!$A$1:$AC$61,0,MATCH($E12,'WP_Regression_RES Cust Count'!$A$1:$AC$1,0)),'WP_Regression_RES Cust Count'!$B$1:$B$61,F$5)</f>
        <v>167130.99000000002</v>
      </c>
      <c r="G12" s="80">
        <f>SUMIFS(INDEX('WP_Regression_RES Cust Count'!$A$1:$AC$61,0,MATCH($E12,'WP_Regression_RES Cust Count'!$A$1:$AC$1,0)),'WP_Regression_RES Cust Count'!$B$1:$B$61,G$5)</f>
        <v>176540.72999999998</v>
      </c>
      <c r="H12" s="573"/>
      <c r="K12" s="82" t="s">
        <v>8</v>
      </c>
      <c r="L12" s="82" t="s">
        <v>106</v>
      </c>
      <c r="M12" s="82" t="str">
        <f t="shared" si="1"/>
        <v>FTS_1</v>
      </c>
      <c r="N12" s="82" t="s">
        <v>1009</v>
      </c>
      <c r="O12" s="86" t="s">
        <v>1015</v>
      </c>
      <c r="P12" s="80">
        <f>SUMIFS(INDEX('WP_Regression_RES UPC'!$A$1:$AC$61,0,MATCH($O12,'WP_Regression_RES UPC'!$A$1:$AC$1,0)),'WP_Regression_RES UPC'!$B$1:$B$61,F$5)</f>
        <v>240.85300145436622</v>
      </c>
      <c r="Q12" s="80">
        <f>SUMIFS(INDEX('WP_Regression_RES UPC'!$A$1:$AC$61,0,MATCH($O12,'WP_Regression_RES UPC'!$A$1:$AC$1,0)),'WP_Regression_RES UPC'!$B$1:$B$61,G$5)</f>
        <v>240.85300145436622</v>
      </c>
      <c r="R12" s="573"/>
      <c r="T12" s="82" t="str">
        <f t="shared" si="3"/>
        <v>FTS_1_Forecast_High95_Max</v>
      </c>
      <c r="U12" s="82" t="s">
        <v>1407</v>
      </c>
      <c r="V12" s="82" t="str">
        <f t="shared" si="2"/>
        <v>FTS_1</v>
      </c>
      <c r="W12" s="82" t="s">
        <v>1009</v>
      </c>
      <c r="X12" s="276">
        <f>INDEX('WP_Regression_RES UPC'!$C$63:$AC$63,MATCH(T12,'WP_Regression_RES UPC'!$C$62:$AC$62,0))</f>
        <v>34.489188514612202</v>
      </c>
      <c r="Y12" s="276">
        <f>INDEX('WP_Regression_RES UPC'!$C$64:$AC$64,MATCH(T12,'WP_Regression_RES UPC'!$C$62:$AC$62,0))</f>
        <v>34.489188514612202</v>
      </c>
    </row>
    <row r="13" spans="1:25">
      <c r="A13" s="82" t="s">
        <v>8</v>
      </c>
      <c r="B13" s="82" t="s">
        <v>972</v>
      </c>
      <c r="C13" s="82" t="str">
        <f t="shared" si="0"/>
        <v>FTS_2</v>
      </c>
      <c r="D13" s="82" t="s">
        <v>1002</v>
      </c>
      <c r="E13" s="84" t="s">
        <v>1017</v>
      </c>
      <c r="F13" s="80">
        <f>SUMIFS(INDEX('WP_Regression_RES Cust Count'!$A$1:$AC$61,0,MATCH($E13,'WP_Regression_RES Cust Count'!$A$1:$AC$1,0)),'WP_Regression_RES Cust Count'!$B$1:$B$61,F$5)</f>
        <v>8747.570099999999</v>
      </c>
      <c r="G13" s="80">
        <f>SUMIFS(INDEX('WP_Regression_RES Cust Count'!$A$1:$AC$61,0,MATCH($E13,'WP_Regression_RES Cust Count'!$A$1:$AC$1,0)),'WP_Regression_RES Cust Count'!$B$1:$B$61,G$5)</f>
        <v>8866.7702999999983</v>
      </c>
      <c r="H13" s="573"/>
      <c r="K13" s="82" t="s">
        <v>8</v>
      </c>
      <c r="L13" s="82" t="s">
        <v>106</v>
      </c>
      <c r="M13" s="82" t="str">
        <f t="shared" si="1"/>
        <v>FTS_2</v>
      </c>
      <c r="N13" s="82" t="s">
        <v>1002</v>
      </c>
      <c r="O13" s="84" t="s">
        <v>1017</v>
      </c>
      <c r="P13" s="80">
        <f>SUMIFS(INDEX('WP_Regression_RES UPC'!$A$1:$AC$61,0,MATCH($O13,'WP_Regression_RES UPC'!$A$1:$AC$1,0)),'WP_Regression_RES UPC'!$B$1:$B$61,F$5)</f>
        <v>691.72379019989842</v>
      </c>
      <c r="Q13" s="80">
        <f>SUMIFS(INDEX('WP_Regression_RES UPC'!$A$1:$AC$61,0,MATCH($O13,'WP_Regression_RES UPC'!$A$1:$AC$1,0)),'WP_Regression_RES UPC'!$B$1:$B$61,G$5)</f>
        <v>691.72379019989842</v>
      </c>
      <c r="R13" s="573"/>
      <c r="T13" s="82" t="str">
        <f t="shared" si="3"/>
        <v>FTS_2_Forecast_Average_Max</v>
      </c>
      <c r="U13" s="82" t="s">
        <v>1407</v>
      </c>
      <c r="V13" s="82" t="str">
        <f t="shared" si="2"/>
        <v>FTS_2</v>
      </c>
      <c r="W13" s="82" t="s">
        <v>1002</v>
      </c>
      <c r="X13" s="276">
        <f>INDEX('WP_Regression_RES UPC'!$C$63:$AC$63,MATCH(T13,'WP_Regression_RES UPC'!$C$62:$AC$62,0))</f>
        <v>106.996797968698</v>
      </c>
      <c r="Y13" s="276">
        <f>INDEX('WP_Regression_RES UPC'!$C$64:$AC$64,MATCH(T13,'WP_Regression_RES UPC'!$C$62:$AC$62,0))</f>
        <v>106.996797968698</v>
      </c>
    </row>
    <row r="14" spans="1:25">
      <c r="A14" s="82" t="s">
        <v>8</v>
      </c>
      <c r="B14" s="82" t="s">
        <v>972</v>
      </c>
      <c r="C14" s="82" t="str">
        <f t="shared" si="0"/>
        <v>FTS_2</v>
      </c>
      <c r="D14" s="82" t="s">
        <v>1003</v>
      </c>
      <c r="E14" s="85" t="s">
        <v>1019</v>
      </c>
      <c r="F14" s="80">
        <f>SUMIFS(INDEX('WP_Regression_RES Cust Count'!$A$1:$AC$61,0,MATCH($E14,'WP_Regression_RES Cust Count'!$A$1:$AC$1,0)),'WP_Regression_RES Cust Count'!$B$1:$B$61,F$5)</f>
        <v>8468.6776000000009</v>
      </c>
      <c r="G14" s="80">
        <f>SUMIFS(INDEX('WP_Regression_RES Cust Count'!$A$1:$AC$61,0,MATCH($E14,'WP_Regression_RES Cust Count'!$A$1:$AC$1,0)),'WP_Regression_RES Cust Count'!$B$1:$B$61,G$5)</f>
        <v>8455.0945999999985</v>
      </c>
      <c r="H14" s="573"/>
      <c r="K14" s="82" t="s">
        <v>8</v>
      </c>
      <c r="L14" s="82" t="s">
        <v>106</v>
      </c>
      <c r="M14" s="82" t="str">
        <f t="shared" si="1"/>
        <v>FTS_2</v>
      </c>
      <c r="N14" s="82" t="s">
        <v>1003</v>
      </c>
      <c r="O14" s="85" t="s">
        <v>1019</v>
      </c>
      <c r="P14" s="80">
        <f>SUMIFS(INDEX('WP_Regression_RES UPC'!$A$1:$AC$61,0,MATCH($O14,'WP_Regression_RES UPC'!$A$1:$AC$1,0)),'WP_Regression_RES UPC'!$B$1:$B$61,F$5)</f>
        <v>502.88306565049282</v>
      </c>
      <c r="Q14" s="80">
        <f>SUMIFS(INDEX('WP_Regression_RES UPC'!$A$1:$AC$61,0,MATCH($O14,'WP_Regression_RES UPC'!$A$1:$AC$1,0)),'WP_Regression_RES UPC'!$B$1:$B$61,G$5)</f>
        <v>502.88306565049282</v>
      </c>
      <c r="R14" s="573"/>
      <c r="T14" s="82" t="str">
        <f t="shared" si="3"/>
        <v>FTS_2_Forecast_Low95_Max</v>
      </c>
      <c r="U14" s="82" t="s">
        <v>1407</v>
      </c>
      <c r="V14" s="82" t="str">
        <f t="shared" si="2"/>
        <v>FTS_2</v>
      </c>
      <c r="W14" s="82" t="s">
        <v>1003</v>
      </c>
      <c r="X14" s="276">
        <f>INDEX('WP_Regression_RES UPC'!$C$63:$AC$63,MATCH(T14,'WP_Regression_RES UPC'!$C$62:$AC$62,0))</f>
        <v>76.183080028532402</v>
      </c>
      <c r="Y14" s="276">
        <f>INDEX('WP_Regression_RES UPC'!$C$64:$AC$64,MATCH(T14,'WP_Regression_RES UPC'!$C$62:$AC$62,0))</f>
        <v>76.183080028532402</v>
      </c>
    </row>
    <row r="15" spans="1:25">
      <c r="A15" s="82" t="s">
        <v>8</v>
      </c>
      <c r="B15" s="82" t="s">
        <v>972</v>
      </c>
      <c r="C15" s="82" t="str">
        <f t="shared" si="0"/>
        <v>FTS_2</v>
      </c>
      <c r="D15" s="82" t="s">
        <v>1009</v>
      </c>
      <c r="E15" s="86" t="s">
        <v>1021</v>
      </c>
      <c r="F15" s="80">
        <f>SUMIFS(INDEX('WP_Regression_RES Cust Count'!$A$1:$AC$61,0,MATCH($E15,'WP_Regression_RES Cust Count'!$A$1:$AC$1,0)),'WP_Regression_RES Cust Count'!$B$1:$B$61,F$5)</f>
        <v>9026.4624999999978</v>
      </c>
      <c r="G15" s="80">
        <f>SUMIFS(INDEX('WP_Regression_RES Cust Count'!$A$1:$AC$61,0,MATCH($E15,'WP_Regression_RES Cust Count'!$A$1:$AC$1,0)),'WP_Regression_RES Cust Count'!$B$1:$B$61,G$5)</f>
        <v>9278.4458999999988</v>
      </c>
      <c r="H15" s="573"/>
      <c r="K15" s="82" t="s">
        <v>8</v>
      </c>
      <c r="L15" s="82" t="s">
        <v>106</v>
      </c>
      <c r="M15" s="82" t="str">
        <f t="shared" si="1"/>
        <v>FTS_2</v>
      </c>
      <c r="N15" s="82" t="s">
        <v>1009</v>
      </c>
      <c r="O15" s="86" t="s">
        <v>1021</v>
      </c>
      <c r="P15" s="80">
        <f>SUMIFS(INDEX('WP_Regression_RES UPC'!$A$1:$AC$61,0,MATCH($O15,'WP_Regression_RES UPC'!$A$1:$AC$1,0)),'WP_Regression_RES UPC'!$B$1:$B$61,F$5)</f>
        <v>966.39879368712559</v>
      </c>
      <c r="Q15" s="80">
        <f>SUMIFS(INDEX('WP_Regression_RES UPC'!$A$1:$AC$61,0,MATCH($O15,'WP_Regression_RES UPC'!$A$1:$AC$1,0)),'WP_Regression_RES UPC'!$B$1:$B$61,G$5)</f>
        <v>966.39879368712559</v>
      </c>
      <c r="R15" s="573"/>
      <c r="T15" s="82" t="str">
        <f t="shared" si="3"/>
        <v>FTS_2_Forecast_High95_Max</v>
      </c>
      <c r="U15" s="82" t="s">
        <v>1407</v>
      </c>
      <c r="V15" s="82" t="str">
        <f t="shared" si="2"/>
        <v>FTS_2</v>
      </c>
      <c r="W15" s="82" t="s">
        <v>1009</v>
      </c>
      <c r="X15" s="276">
        <f>INDEX('WP_Regression_RES UPC'!$C$63:$AC$63,MATCH(T15,'WP_Regression_RES UPC'!$C$62:$AC$62,0))</f>
        <v>152.84432857829799</v>
      </c>
      <c r="Y15" s="276">
        <f>INDEX('WP_Regression_RES UPC'!$C$64:$AC$64,MATCH(T15,'WP_Regression_RES UPC'!$C$62:$AC$62,0))</f>
        <v>152.84432857829799</v>
      </c>
    </row>
    <row r="16" spans="1:25">
      <c r="A16" s="82" t="s">
        <v>8</v>
      </c>
      <c r="B16" s="82" t="s">
        <v>972</v>
      </c>
      <c r="C16" s="82" t="str">
        <f t="shared" si="0"/>
        <v>FortMeade_RS</v>
      </c>
      <c r="D16" s="82" t="s">
        <v>1002</v>
      </c>
      <c r="E16" s="84" t="s">
        <v>1022</v>
      </c>
      <c r="F16" s="80">
        <f>SUMIFS(INDEX('WP_Regression_RES Cust Count'!$A$1:$AC$61,0,MATCH($E16,'WP_Regression_RES Cust Count'!$A$1:$AC$1,0)),'WP_Regression_RES Cust Count'!$B$1:$B$61,F$5)</f>
        <v>5845.9627</v>
      </c>
      <c r="G16" s="80">
        <f>SUMIFS(INDEX('WP_Regression_RES Cust Count'!$A$1:$AC$61,0,MATCH($E16,'WP_Regression_RES Cust Count'!$A$1:$AC$1,0)),'WP_Regression_RES Cust Count'!$B$1:$B$61,G$5)</f>
        <v>5764.2089999999998</v>
      </c>
      <c r="H16" s="573"/>
      <c r="K16" s="82" t="s">
        <v>8</v>
      </c>
      <c r="L16" s="82" t="s">
        <v>106</v>
      </c>
      <c r="M16" s="82" t="str">
        <f t="shared" si="1"/>
        <v>FortMeade_RS</v>
      </c>
      <c r="N16" s="82" t="s">
        <v>1002</v>
      </c>
      <c r="O16" s="84" t="s">
        <v>1022</v>
      </c>
      <c r="P16" s="80">
        <f>SUMIFS(INDEX('WP_Regression_RES UPC'!$A$1:$AC$61,0,MATCH($O16,'WP_Regression_RES UPC'!$A$1:$AC$1,0)),'WP_Regression_RES UPC'!$B$1:$B$61,F$5)</f>
        <v>140.59</v>
      </c>
      <c r="Q16" s="80">
        <f>SUMIFS(INDEX('WP_Regression_RES UPC'!$A$1:$AC$61,0,MATCH($O16,'WP_Regression_RES UPC'!$A$1:$AC$1,0)),'WP_Regression_RES UPC'!$B$1:$B$61,G$5)</f>
        <v>140.91</v>
      </c>
      <c r="R16" s="573"/>
      <c r="T16" s="82" t="str">
        <f t="shared" si="3"/>
        <v>FortMeade_RS_Forecast_Average_Max</v>
      </c>
      <c r="U16" s="82" t="s">
        <v>1407</v>
      </c>
      <c r="V16" s="82" t="str">
        <f t="shared" si="2"/>
        <v>FortMeade_RS</v>
      </c>
      <c r="W16" s="82" t="s">
        <v>1002</v>
      </c>
      <c r="X16" s="276">
        <f>INDEX('WP_Regression_RES UPC'!$C$63:$AC$63,MATCH(T16,'WP_Regression_RES UPC'!$C$62:$AC$62,0))</f>
        <v>16.25</v>
      </c>
      <c r="Y16" s="276">
        <f>INDEX('WP_Regression_RES UPC'!$C$64:$AC$64,MATCH(T16,'WP_Regression_RES UPC'!$C$62:$AC$62,0))</f>
        <v>16.25</v>
      </c>
    </row>
    <row r="17" spans="1:29">
      <c r="A17" s="82" t="s">
        <v>8</v>
      </c>
      <c r="B17" s="82" t="s">
        <v>972</v>
      </c>
      <c r="C17" s="82" t="str">
        <f t="shared" si="0"/>
        <v>FortMeade_RS</v>
      </c>
      <c r="D17" s="82" t="s">
        <v>1003</v>
      </c>
      <c r="E17" s="85" t="s">
        <v>1023</v>
      </c>
      <c r="F17" s="80">
        <f>SUMIFS(INDEX('WP_Regression_RES Cust Count'!$A$1:$AC$61,0,MATCH($E17,'WP_Regression_RES Cust Count'!$A$1:$AC$1,0)),'WP_Regression_RES Cust Count'!$B$1:$B$61,F$5)</f>
        <v>5422.9420000000009</v>
      </c>
      <c r="G17" s="80">
        <f>SUMIFS(INDEX('WP_Regression_RES Cust Count'!$A$1:$AC$61,0,MATCH($E17,'WP_Regression_RES Cust Count'!$A$1:$AC$1,0)),'WP_Regression_RES Cust Count'!$B$1:$B$61,G$5)</f>
        <v>4915.5375000000013</v>
      </c>
      <c r="H17" s="573"/>
      <c r="K17" s="82" t="s">
        <v>8</v>
      </c>
      <c r="L17" s="82" t="s">
        <v>106</v>
      </c>
      <c r="M17" s="82" t="str">
        <f t="shared" si="1"/>
        <v>FortMeade_RS</v>
      </c>
      <c r="N17" s="82" t="s">
        <v>1003</v>
      </c>
      <c r="O17" s="85" t="s">
        <v>1023</v>
      </c>
      <c r="P17" s="80">
        <f>SUMIFS(INDEX('WP_Regression_RES UPC'!$A$1:$AC$61,0,MATCH($O17,'WP_Regression_RES UPC'!$A$1:$AC$1,0)),'WP_Regression_RES UPC'!$B$1:$B$61,F$5)</f>
        <v>91.47</v>
      </c>
      <c r="Q17" s="80">
        <f>SUMIFS(INDEX('WP_Regression_RES UPC'!$A$1:$AC$61,0,MATCH($O17,'WP_Regression_RES UPC'!$A$1:$AC$1,0)),'WP_Regression_RES UPC'!$B$1:$B$61,G$5)</f>
        <v>88.59</v>
      </c>
      <c r="R17" s="573"/>
      <c r="T17" s="82" t="str">
        <f t="shared" si="3"/>
        <v>FortMeade_RS_Forecast_Low95_Max</v>
      </c>
      <c r="U17" s="82" t="s">
        <v>1407</v>
      </c>
      <c r="V17" s="82" t="str">
        <f t="shared" si="2"/>
        <v>FortMeade_RS</v>
      </c>
      <c r="W17" s="82" t="s">
        <v>1003</v>
      </c>
      <c r="X17" s="276">
        <f>INDEX('WP_Regression_RES UPC'!$C$63:$AC$63,MATCH(T17,'WP_Regression_RES UPC'!$C$62:$AC$62,0))</f>
        <v>12.14</v>
      </c>
      <c r="Y17" s="276">
        <f>INDEX('WP_Regression_RES UPC'!$C$64:$AC$64,MATCH(T17,'WP_Regression_RES UPC'!$C$62:$AC$62,0))</f>
        <v>11.89</v>
      </c>
    </row>
    <row r="18" spans="1:29">
      <c r="A18" s="82" t="s">
        <v>8</v>
      </c>
      <c r="B18" s="82" t="s">
        <v>972</v>
      </c>
      <c r="C18" s="82" t="str">
        <f t="shared" si="0"/>
        <v>FortMeade_RS</v>
      </c>
      <c r="D18" s="82" t="s">
        <v>1009</v>
      </c>
      <c r="E18" s="86" t="s">
        <v>1024</v>
      </c>
      <c r="F18" s="80">
        <f>SUMIFS(INDEX('WP_Regression_RES Cust Count'!$A$1:$AC$61,0,MATCH($E18,'WP_Regression_RES Cust Count'!$A$1:$AC$1,0)),'WP_Regression_RES Cust Count'!$B$1:$B$61,F$5)</f>
        <v>6268.9834999999994</v>
      </c>
      <c r="G18" s="80">
        <f>SUMIFS(INDEX('WP_Regression_RES Cust Count'!$A$1:$AC$61,0,MATCH($E18,'WP_Regression_RES Cust Count'!$A$1:$AC$1,0)),'WP_Regression_RES Cust Count'!$B$1:$B$61,G$5)</f>
        <v>6612.8807000000015</v>
      </c>
      <c r="H18" s="573"/>
      <c r="K18" s="82" t="s">
        <v>8</v>
      </c>
      <c r="L18" s="82" t="s">
        <v>106</v>
      </c>
      <c r="M18" s="82" t="str">
        <f t="shared" si="1"/>
        <v>FortMeade_RS</v>
      </c>
      <c r="N18" s="82" t="s">
        <v>1009</v>
      </c>
      <c r="O18" s="86" t="s">
        <v>1024</v>
      </c>
      <c r="P18" s="80">
        <f>SUMIFS(INDEX('WP_Regression_RES UPC'!$A$1:$AC$61,0,MATCH($O18,'WP_Regression_RES UPC'!$A$1:$AC$1,0)),'WP_Regression_RES UPC'!$B$1:$B$61,F$5)</f>
        <v>189.73000000000002</v>
      </c>
      <c r="Q18" s="80">
        <f>SUMIFS(INDEX('WP_Regression_RES UPC'!$A$1:$AC$61,0,MATCH($O18,'WP_Regression_RES UPC'!$A$1:$AC$1,0)),'WP_Regression_RES UPC'!$B$1:$B$61,G$5)</f>
        <v>193.29000000000002</v>
      </c>
      <c r="R18" s="573"/>
      <c r="T18" s="82" t="str">
        <f t="shared" si="3"/>
        <v>FortMeade_RS_Forecast_High95_Max</v>
      </c>
      <c r="U18" s="82" t="s">
        <v>1407</v>
      </c>
      <c r="V18" s="82" t="str">
        <f t="shared" si="2"/>
        <v>FortMeade_RS</v>
      </c>
      <c r="W18" s="82" t="s">
        <v>1009</v>
      </c>
      <c r="X18" s="276">
        <f>INDEX('WP_Regression_RES UPC'!$C$63:$AC$63,MATCH(T18,'WP_Regression_RES UPC'!$C$62:$AC$62,0))</f>
        <v>20.37</v>
      </c>
      <c r="Y18" s="276">
        <f>INDEX('WP_Regression_RES UPC'!$C$64:$AC$64,MATCH(T18,'WP_Regression_RES UPC'!$C$62:$AC$62,0))</f>
        <v>20.62</v>
      </c>
    </row>
    <row r="19" spans="1:29">
      <c r="A19" s="82" t="s">
        <v>8</v>
      </c>
      <c r="B19" s="82" t="s">
        <v>972</v>
      </c>
      <c r="C19" s="82" t="str">
        <f t="shared" si="0"/>
        <v>TS_1</v>
      </c>
      <c r="D19" s="82" t="s">
        <v>1002</v>
      </c>
      <c r="E19" s="84" t="s">
        <v>1025</v>
      </c>
      <c r="F19" s="80">
        <f>SUMIFS(INDEX('WP_Regression_RES Cust Count'!$A$1:$AC$61,0,MATCH($E19,'WP_Regression_RES Cust Count'!$A$1:$AC$1,0)),'WP_Regression_RES Cust Count'!$B$1:$B$61,F$5)</f>
        <v>7866.4007000000001</v>
      </c>
      <c r="G19" s="80">
        <f>SUMIFS(INDEX('WP_Regression_RES Cust Count'!$A$1:$AC$61,0,MATCH($E19,'WP_Regression_RES Cust Count'!$A$1:$AC$1,0)),'WP_Regression_RES Cust Count'!$B$1:$B$61,G$5)</f>
        <v>7888.4994999999999</v>
      </c>
      <c r="H19" s="573"/>
      <c r="K19" s="82" t="s">
        <v>8</v>
      </c>
      <c r="L19" s="82" t="s">
        <v>106</v>
      </c>
      <c r="M19" s="82" t="str">
        <f t="shared" si="1"/>
        <v>TS_1</v>
      </c>
      <c r="N19" s="82" t="s">
        <v>1002</v>
      </c>
      <c r="O19" s="84" t="s">
        <v>1025</v>
      </c>
      <c r="P19" s="80">
        <f>SUMIFS(INDEX('WP_Regression_RES UPC'!$A$1:$AC$61,0,MATCH($O19,'WP_Regression_RES UPC'!$A$1:$AC$1,0)),'WP_Regression_RES UPC'!$B$1:$B$61,F$5)</f>
        <v>167.63707877370169</v>
      </c>
      <c r="Q19" s="80">
        <f>SUMIFS(INDEX('WP_Regression_RES UPC'!$A$1:$AC$61,0,MATCH($O19,'WP_Regression_RES UPC'!$A$1:$AC$1,0)),'WP_Regression_RES UPC'!$B$1:$B$61,G$5)</f>
        <v>162.75195983909569</v>
      </c>
      <c r="R19" s="573"/>
      <c r="T19" s="82" t="str">
        <f t="shared" si="3"/>
        <v>TS_1_Forecast_Average_Max</v>
      </c>
      <c r="U19" s="82" t="s">
        <v>1407</v>
      </c>
      <c r="V19" s="82" t="str">
        <f t="shared" si="2"/>
        <v>TS_1</v>
      </c>
      <c r="W19" s="82" t="s">
        <v>1002</v>
      </c>
      <c r="X19" s="276">
        <f>INDEX('WP_Regression_RES UPC'!$C$63:$AC$63,MATCH(T19,'WP_Regression_RES UPC'!$C$62:$AC$62,0))</f>
        <v>17.683340884379099</v>
      </c>
      <c r="Y19" s="276">
        <f>INDEX('WP_Regression_RES UPC'!$C$64:$AC$64,MATCH(T19,'WP_Regression_RES UPC'!$C$62:$AC$62,0))</f>
        <v>16.737800821783299</v>
      </c>
    </row>
    <row r="20" spans="1:29">
      <c r="A20" s="82" t="s">
        <v>8</v>
      </c>
      <c r="B20" s="82" t="s">
        <v>972</v>
      </c>
      <c r="C20" s="82" t="str">
        <f t="shared" si="0"/>
        <v>TS_1</v>
      </c>
      <c r="D20" s="82" t="s">
        <v>1003</v>
      </c>
      <c r="E20" s="85" t="s">
        <v>1027</v>
      </c>
      <c r="F20" s="80">
        <f>SUMIFS(INDEX('WP_Regression_RES Cust Count'!$A$1:$AC$61,0,MATCH($E20,'WP_Regression_RES Cust Count'!$A$1:$AC$1,0)),'WP_Regression_RES Cust Count'!$B$1:$B$61,F$5)</f>
        <v>7742.9173000000001</v>
      </c>
      <c r="G20" s="80">
        <f>SUMIFS(INDEX('WP_Regression_RES Cust Count'!$A$1:$AC$61,0,MATCH($E20,'WP_Regression_RES Cust Count'!$A$1:$AC$1,0)),'WP_Regression_RES Cust Count'!$B$1:$B$61,G$5)</f>
        <v>7759.9225000000006</v>
      </c>
      <c r="H20" s="573"/>
      <c r="K20" s="82" t="s">
        <v>8</v>
      </c>
      <c r="L20" s="82" t="s">
        <v>106</v>
      </c>
      <c r="M20" s="82" t="str">
        <f t="shared" si="1"/>
        <v>TS_1</v>
      </c>
      <c r="N20" s="82" t="s">
        <v>1003</v>
      </c>
      <c r="O20" s="85" t="s">
        <v>1027</v>
      </c>
      <c r="P20" s="80">
        <f>SUMIFS(INDEX('WP_Regression_RES UPC'!$A$1:$AC$61,0,MATCH($O20,'WP_Regression_RES UPC'!$A$1:$AC$1,0)),'WP_Regression_RES UPC'!$B$1:$B$61,F$5)</f>
        <v>141.57425725759239</v>
      </c>
      <c r="Q20" s="80">
        <f>SUMIFS(INDEX('WP_Regression_RES UPC'!$A$1:$AC$61,0,MATCH($O20,'WP_Regression_RES UPC'!$A$1:$AC$1,0)),'WP_Regression_RES UPC'!$B$1:$B$61,G$5)</f>
        <v>132.87148021723644</v>
      </c>
      <c r="R20" s="573"/>
      <c r="T20" s="82" t="str">
        <f t="shared" si="3"/>
        <v>TS_1_Forecast_Low95_Max</v>
      </c>
      <c r="U20" s="82" t="s">
        <v>1407</v>
      </c>
      <c r="V20" s="82" t="str">
        <f t="shared" si="2"/>
        <v>TS_1</v>
      </c>
      <c r="W20" s="82" t="s">
        <v>1003</v>
      </c>
      <c r="X20" s="276">
        <f>INDEX('WP_Regression_RES UPC'!$C$63:$AC$63,MATCH(T20,'WP_Regression_RES UPC'!$C$62:$AC$62,0))</f>
        <v>14.5850242029399</v>
      </c>
      <c r="Y20" s="276">
        <f>INDEX('WP_Regression_RES UPC'!$C$64:$AC$64,MATCH(T20,'WP_Regression_RES UPC'!$C$62:$AC$62,0))</f>
        <v>13.325217575345899</v>
      </c>
    </row>
    <row r="21" spans="1:29">
      <c r="A21" s="82" t="s">
        <v>8</v>
      </c>
      <c r="B21" s="82" t="s">
        <v>972</v>
      </c>
      <c r="C21" s="82" t="str">
        <f t="shared" si="0"/>
        <v>TS_1</v>
      </c>
      <c r="D21" s="82" t="s">
        <v>1009</v>
      </c>
      <c r="E21" s="86" t="s">
        <v>1029</v>
      </c>
      <c r="F21" s="80">
        <f>SUMIFS(INDEX('WP_Regression_RES Cust Count'!$A$1:$AC$61,0,MATCH($E21,'WP_Regression_RES Cust Count'!$A$1:$AC$1,0)),'WP_Regression_RES Cust Count'!$B$1:$B$61,F$5)</f>
        <v>7993.7023999999992</v>
      </c>
      <c r="G21" s="80">
        <f>SUMIFS(INDEX('WP_Regression_RES Cust Count'!$A$1:$AC$61,0,MATCH($E21,'WP_Regression_RES Cust Count'!$A$1:$AC$1,0)),'WP_Regression_RES Cust Count'!$B$1:$B$61,G$5)</f>
        <v>8021.1854999999996</v>
      </c>
      <c r="H21" s="573"/>
      <c r="K21" s="82" t="s">
        <v>8</v>
      </c>
      <c r="L21" s="82" t="s">
        <v>106</v>
      </c>
      <c r="M21" s="82" t="str">
        <f t="shared" si="1"/>
        <v>TS_1</v>
      </c>
      <c r="N21" s="82" t="s">
        <v>1009</v>
      </c>
      <c r="O21" s="86" t="s">
        <v>1029</v>
      </c>
      <c r="P21" s="80">
        <f>SUMIFS(INDEX('WP_Regression_RES UPC'!$A$1:$AC$61,0,MATCH($O21,'WP_Regression_RES UPC'!$A$1:$AC$1,0)),'WP_Regression_RES UPC'!$B$1:$B$61,F$5)</f>
        <v>204.80140772994051</v>
      </c>
      <c r="Q21" s="80">
        <f>SUMIFS(INDEX('WP_Regression_RES UPC'!$A$1:$AC$61,0,MATCH($O21,'WP_Regression_RES UPC'!$A$1:$AC$1,0)),'WP_Regression_RES UPC'!$B$1:$B$61,G$5)</f>
        <v>208.87771397424308</v>
      </c>
      <c r="R21" s="573"/>
      <c r="T21" s="82" t="str">
        <f t="shared" si="3"/>
        <v>TS_1_Forecast_High95_Max</v>
      </c>
      <c r="U21" s="82" t="s">
        <v>1407</v>
      </c>
      <c r="V21" s="82" t="str">
        <f t="shared" si="2"/>
        <v>TS_1</v>
      </c>
      <c r="W21" s="82" t="s">
        <v>1009</v>
      </c>
      <c r="X21" s="276">
        <f>INDEX('WP_Regression_RES UPC'!$C$63:$AC$63,MATCH(T21,'WP_Regression_RES UPC'!$C$62:$AC$62,0))</f>
        <v>22.326934355111899</v>
      </c>
      <c r="Y21" s="276">
        <f>INDEX('WP_Regression_RES UPC'!$C$64:$AC$64,MATCH(T21,'WP_Regression_RES UPC'!$C$62:$AC$62,0))</f>
        <v>22.3064207840814</v>
      </c>
    </row>
    <row r="22" spans="1:29">
      <c r="A22" s="82" t="s">
        <v>8</v>
      </c>
      <c r="B22" s="82" t="s">
        <v>972</v>
      </c>
      <c r="C22" s="82" t="str">
        <f t="shared" si="0"/>
        <v>FTS_2.1</v>
      </c>
      <c r="D22" s="82" t="s">
        <v>1002</v>
      </c>
      <c r="E22" s="84" t="s">
        <v>1030</v>
      </c>
      <c r="F22" s="80">
        <f>SUMIFS(INDEX('WP_Regression_RES Cust Count'!$A$1:$AC$61,0,MATCH($E22,'WP_Regression_RES Cust Count'!$A$1:$AC$1,0)),'WP_Regression_RES Cust Count'!$B$1:$B$61,F$5)</f>
        <v>5522.8490000000002</v>
      </c>
      <c r="G22" s="80">
        <f>SUMIFS(INDEX('WP_Regression_RES Cust Count'!$A$1:$AC$61,0,MATCH($E22,'WP_Regression_RES Cust Count'!$A$1:$AC$1,0)),'WP_Regression_RES Cust Count'!$B$1:$B$61,G$5)</f>
        <v>5600.0792999999994</v>
      </c>
      <c r="H22" s="573"/>
      <c r="K22" s="82" t="s">
        <v>8</v>
      </c>
      <c r="L22" s="82" t="s">
        <v>106</v>
      </c>
      <c r="M22" s="82" t="str">
        <f t="shared" si="1"/>
        <v>FTS_2.1</v>
      </c>
      <c r="N22" s="82" t="s">
        <v>1002</v>
      </c>
      <c r="O22" s="84" t="s">
        <v>1030</v>
      </c>
      <c r="P22" s="80">
        <f>SUMIFS(INDEX('WP_Regression_RES UPC'!$A$1:$AC$61,0,MATCH($O22,'WP_Regression_RES UPC'!$A$1:$AC$1,0)),'WP_Regression_RES UPC'!$B$1:$B$61,F$5)</f>
        <v>1099.4769818116235</v>
      </c>
      <c r="Q22" s="80">
        <f>SUMIFS(INDEX('WP_Regression_RES UPC'!$A$1:$AC$61,0,MATCH($O22,'WP_Regression_RES UPC'!$A$1:$AC$1,0)),'WP_Regression_RES UPC'!$B$1:$B$61,G$5)</f>
        <v>1090.2226156645322</v>
      </c>
      <c r="R22" s="573"/>
      <c r="S22" s="74"/>
      <c r="T22" s="82" t="str">
        <f t="shared" si="3"/>
        <v>FTS_2.1_Forecast_Average_Max</v>
      </c>
      <c r="U22" s="82" t="s">
        <v>1407</v>
      </c>
      <c r="V22" s="82" t="str">
        <f t="shared" si="2"/>
        <v>FTS_2.1</v>
      </c>
      <c r="W22" s="82" t="s">
        <v>1002</v>
      </c>
      <c r="X22" s="276">
        <f>INDEX('WP_Regression_RES UPC'!$C$63:$AC$63,MATCH(T22,'WP_Regression_RES UPC'!$C$62:$AC$62,0))</f>
        <v>186.05292102106901</v>
      </c>
      <c r="Y22" s="276">
        <f>INDEX('WP_Regression_RES UPC'!$C$64:$AC$64,MATCH(T22,'WP_Regression_RES UPC'!$C$62:$AC$62,0))</f>
        <v>184.34487244345999</v>
      </c>
      <c r="Z22" s="74"/>
      <c r="AA22" s="74"/>
      <c r="AB22" s="74"/>
      <c r="AC22" s="74"/>
    </row>
    <row r="23" spans="1:29">
      <c r="A23" s="82" t="s">
        <v>8</v>
      </c>
      <c r="B23" s="82" t="s">
        <v>972</v>
      </c>
      <c r="C23" s="82" t="str">
        <f t="shared" si="0"/>
        <v>FTS_2.1</v>
      </c>
      <c r="D23" s="82" t="s">
        <v>1003</v>
      </c>
      <c r="E23" s="85" t="s">
        <v>1031</v>
      </c>
      <c r="F23" s="80">
        <f>SUMIFS(INDEX('WP_Regression_RES Cust Count'!$A$1:$AC$61,0,MATCH($E23,'WP_Regression_RES Cust Count'!$A$1:$AC$1,0)),'WP_Regression_RES Cust Count'!$B$1:$B$61,F$5)</f>
        <v>4934.4947000000002</v>
      </c>
      <c r="G23" s="80">
        <f>SUMIFS(INDEX('WP_Regression_RES Cust Count'!$A$1:$AC$61,0,MATCH($E23,'WP_Regression_RES Cust Count'!$A$1:$AC$1,0)),'WP_Regression_RES Cust Count'!$B$1:$B$61,G$5)</f>
        <v>4643.9251000000004</v>
      </c>
      <c r="H23" s="573"/>
      <c r="K23" s="82" t="s">
        <v>8</v>
      </c>
      <c r="L23" s="82" t="s">
        <v>106</v>
      </c>
      <c r="M23" s="82" t="str">
        <f t="shared" si="1"/>
        <v>FTS_2.1</v>
      </c>
      <c r="N23" s="82" t="s">
        <v>1003</v>
      </c>
      <c r="O23" s="85" t="s">
        <v>1031</v>
      </c>
      <c r="P23" s="80">
        <f>SUMIFS(INDEX('WP_Regression_RES UPC'!$A$1:$AC$61,0,MATCH($O23,'WP_Regression_RES UPC'!$A$1:$AC$1,0)),'WP_Regression_RES UPC'!$B$1:$B$61,F$5)</f>
        <v>721.41716114296833</v>
      </c>
      <c r="Q23" s="80">
        <f>SUMIFS(INDEX('WP_Regression_RES UPC'!$A$1:$AC$61,0,MATCH($O23,'WP_Regression_RES UPC'!$A$1:$AC$1,0)),'WP_Regression_RES UPC'!$B$1:$B$61,G$5)</f>
        <v>652.96673277073285</v>
      </c>
      <c r="R23" s="573"/>
      <c r="T23" s="82" t="str">
        <f t="shared" si="3"/>
        <v>FTS_2.1_Forecast_Low95_Max</v>
      </c>
      <c r="U23" s="82" t="s">
        <v>1407</v>
      </c>
      <c r="V23" s="82" t="str">
        <f t="shared" si="2"/>
        <v>FTS_2.1</v>
      </c>
      <c r="W23" s="82" t="s">
        <v>1003</v>
      </c>
      <c r="X23" s="276">
        <f>INDEX('WP_Regression_RES UPC'!$C$63:$AC$63,MATCH(T23,'WP_Regression_RES UPC'!$C$62:$AC$62,0))</f>
        <v>137.568871536627</v>
      </c>
      <c r="Y23" s="276">
        <f>INDEX('WP_Regression_RES UPC'!$C$64:$AC$64,MATCH(T23,'WP_Regression_RES UPC'!$C$62:$AC$62,0))</f>
        <v>125.747170528753</v>
      </c>
    </row>
    <row r="24" spans="1:29">
      <c r="A24" s="82" t="s">
        <v>8</v>
      </c>
      <c r="B24" s="82" t="s">
        <v>972</v>
      </c>
      <c r="C24" s="82" t="str">
        <f t="shared" si="0"/>
        <v>FTS_2.1</v>
      </c>
      <c r="D24" s="82" t="s">
        <v>1009</v>
      </c>
      <c r="E24" s="86" t="s">
        <v>1032</v>
      </c>
      <c r="F24" s="80">
        <f>SUMIFS(INDEX('WP_Regression_RES Cust Count'!$A$1:$AC$61,0,MATCH($E24,'WP_Regression_RES Cust Count'!$A$1:$AC$1,0)),'WP_Regression_RES Cust Count'!$B$1:$B$61,F$5)</f>
        <v>6271.9696999999996</v>
      </c>
      <c r="G24" s="80">
        <f>SUMIFS(INDEX('WP_Regression_RES Cust Count'!$A$1:$AC$61,0,MATCH($E24,'WP_Regression_RES Cust Count'!$A$1:$AC$1,0)),'WP_Regression_RES Cust Count'!$B$1:$B$61,G$5)</f>
        <v>7021.5193000000008</v>
      </c>
      <c r="H24" s="573"/>
      <c r="K24" s="82" t="s">
        <v>8</v>
      </c>
      <c r="L24" s="82" t="s">
        <v>106</v>
      </c>
      <c r="M24" s="82" t="str">
        <f t="shared" si="1"/>
        <v>FTS_2.1</v>
      </c>
      <c r="N24" s="82" t="s">
        <v>1009</v>
      </c>
      <c r="O24" s="86" t="s">
        <v>1032</v>
      </c>
      <c r="P24" s="80">
        <f>SUMIFS(INDEX('WP_Regression_RES UPC'!$A$1:$AC$61,0,MATCH($O24,'WP_Regression_RES UPC'!$A$1:$AC$1,0)),'WP_Regression_RES UPC'!$B$1:$B$61,F$5)</f>
        <v>1583.4402293000485</v>
      </c>
      <c r="Q24" s="80">
        <f>SUMIFS(INDEX('WP_Regression_RES UPC'!$A$1:$AC$61,0,MATCH($O24,'WP_Regression_RES UPC'!$A$1:$AC$1,0)),'WP_Regression_RES UPC'!$B$1:$B$61,G$5)</f>
        <v>1676.2406863669164</v>
      </c>
      <c r="R24" s="573"/>
      <c r="T24" s="82" t="str">
        <f t="shared" si="3"/>
        <v>FTS_2.1_Forecast_High95_Max</v>
      </c>
      <c r="U24" s="82" t="s">
        <v>1407</v>
      </c>
      <c r="V24" s="82" t="str">
        <f t="shared" si="2"/>
        <v>FTS_2.1</v>
      </c>
      <c r="W24" s="82" t="s">
        <v>1009</v>
      </c>
      <c r="X24" s="276">
        <f>INDEX('WP_Regression_RES UPC'!$C$63:$AC$63,MATCH(T24,'WP_Regression_RES UPC'!$C$62:$AC$62,0))</f>
        <v>243.18077689739101</v>
      </c>
      <c r="Y24" s="276">
        <f>INDEX('WP_Regression_RES UPC'!$C$64:$AC$64,MATCH(T24,'WP_Regression_RES UPC'!$C$62:$AC$62,0))</f>
        <v>256.24155625106602</v>
      </c>
    </row>
    <row r="25" spans="1:29">
      <c r="A25" s="82" t="s">
        <v>8</v>
      </c>
      <c r="B25" s="82" t="s">
        <v>972</v>
      </c>
      <c r="C25" s="82" t="str">
        <f t="shared" si="0"/>
        <v>RS_GS</v>
      </c>
      <c r="D25" s="82" t="s">
        <v>1002</v>
      </c>
      <c r="E25" s="84" t="s">
        <v>1033</v>
      </c>
      <c r="F25" s="80">
        <f>SUMIFS(INDEX('WP_Regression_RES Cust Count'!$A$1:$AC$61,0,MATCH($E25,'WP_Regression_RES Cust Count'!$A$1:$AC$1,0)),'WP_Regression_RES Cust Count'!$B$1:$B$61,F$5)</f>
        <v>10969</v>
      </c>
      <c r="G25" s="80">
        <f>SUMIFS(INDEX('WP_Regression_RES Cust Count'!$A$1:$AC$61,0,MATCH($E25,'WP_Regression_RES Cust Count'!$A$1:$AC$1,0)),'WP_Regression_RES Cust Count'!$B$1:$B$61,G$5)</f>
        <v>12493</v>
      </c>
      <c r="H25" s="573"/>
      <c r="K25" s="82" t="s">
        <v>8</v>
      </c>
      <c r="L25" s="82" t="s">
        <v>106</v>
      </c>
      <c r="M25" s="82" t="str">
        <f t="shared" si="1"/>
        <v>RS_GS</v>
      </c>
      <c r="N25" s="82" t="s">
        <v>1002</v>
      </c>
      <c r="O25" s="84" t="s">
        <v>1033</v>
      </c>
      <c r="P25" s="80">
        <f>SUMIFS(INDEX('WP_Regression_RES UPC'!$A$1:$AC$61,0,MATCH($O25,'WP_Regression_RES UPC'!$A$1:$AC$1,0)),'WP_Regression_RES UPC'!$B$1:$B$61,F$5)</f>
        <v>102.3512499185934</v>
      </c>
      <c r="Q25" s="80">
        <f>SUMIFS(INDEX('WP_Regression_RES UPC'!$A$1:$AC$61,0,MATCH($O25,'WP_Regression_RES UPC'!$A$1:$AC$1,0)),'WP_Regression_RES UPC'!$B$1:$B$61,G$5)</f>
        <v>103.55965676925655</v>
      </c>
      <c r="R25" s="573"/>
      <c r="T25" s="82" t="str">
        <f t="shared" si="3"/>
        <v>RS_GS_Forecast_Average_Max</v>
      </c>
      <c r="U25" s="82" t="s">
        <v>1407</v>
      </c>
      <c r="V25" s="82" t="str">
        <f t="shared" si="2"/>
        <v>RS_GS</v>
      </c>
      <c r="W25" s="82" t="s">
        <v>1002</v>
      </c>
      <c r="X25" s="276">
        <f>INDEX('WP_Regression_RES UPC'!$C$63:$AC$63,MATCH(T25,'WP_Regression_RES UPC'!$C$62:$AC$62,0))</f>
        <v>14.123130600517401</v>
      </c>
      <c r="Y25" s="276">
        <f>INDEX('WP_Regression_RES UPC'!$C$64:$AC$64,MATCH(T25,'WP_Regression_RES UPC'!$C$62:$AC$62,0))</f>
        <v>14.7947734745481</v>
      </c>
    </row>
    <row r="26" spans="1:29">
      <c r="A26" s="82" t="s">
        <v>8</v>
      </c>
      <c r="B26" s="82" t="s">
        <v>972</v>
      </c>
      <c r="C26" s="82" t="str">
        <f t="shared" si="0"/>
        <v>RS_GS</v>
      </c>
      <c r="D26" s="82" t="s">
        <v>1003</v>
      </c>
      <c r="E26" s="85" t="s">
        <v>1034</v>
      </c>
      <c r="F26" s="80">
        <f>SUMIFS(INDEX('WP_Regression_RES Cust Count'!$A$1:$AC$61,0,MATCH($E26,'WP_Regression_RES Cust Count'!$A$1:$AC$1,0)),'WP_Regression_RES Cust Count'!$B$1:$B$61,F$5)</f>
        <v>10478.385</v>
      </c>
      <c r="G26" s="80">
        <f>SUMIFS(INDEX('WP_Regression_RES Cust Count'!$A$1:$AC$61,0,MATCH($E26,'WP_Regression_RES Cust Count'!$A$1:$AC$1,0)),'WP_Regression_RES Cust Count'!$B$1:$B$61,G$5)</f>
        <v>11274.4578</v>
      </c>
      <c r="H26" s="573"/>
      <c r="K26" s="82" t="s">
        <v>8</v>
      </c>
      <c r="L26" s="82" t="s">
        <v>106</v>
      </c>
      <c r="M26" s="82" t="str">
        <f t="shared" si="1"/>
        <v>RS_GS</v>
      </c>
      <c r="N26" s="82" t="s">
        <v>1003</v>
      </c>
      <c r="O26" s="85" t="s">
        <v>1034</v>
      </c>
      <c r="P26" s="80">
        <f>SUMIFS(INDEX('WP_Regression_RES UPC'!$A$1:$AC$61,0,MATCH($O26,'WP_Regression_RES UPC'!$A$1:$AC$1,0)),'WP_Regression_RES UPC'!$B$1:$B$61,F$5)</f>
        <v>60.62101193504791</v>
      </c>
      <c r="Q26" s="80">
        <f>SUMIFS(INDEX('WP_Regression_RES UPC'!$A$1:$AC$61,0,MATCH($O26,'WP_Regression_RES UPC'!$A$1:$AC$1,0)),'WP_Regression_RES UPC'!$B$1:$B$61,G$5)</f>
        <v>58.353016544855414</v>
      </c>
      <c r="R26" s="573"/>
      <c r="T26" s="82" t="str">
        <f t="shared" si="3"/>
        <v>RS_GS_Forecast_Low95_Max</v>
      </c>
      <c r="U26" s="82" t="s">
        <v>1407</v>
      </c>
      <c r="V26" s="82" t="str">
        <f t="shared" si="2"/>
        <v>RS_GS</v>
      </c>
      <c r="W26" s="82" t="s">
        <v>1003</v>
      </c>
      <c r="X26" s="276">
        <f>INDEX('WP_Regression_RES UPC'!$C$63:$AC$63,MATCH(T26,'WP_Regression_RES UPC'!$C$62:$AC$62,0))</f>
        <v>7.1526128929810602</v>
      </c>
      <c r="Y26" s="276">
        <f>INDEX('WP_Regression_RES UPC'!$C$64:$AC$64,MATCH(T26,'WP_Regression_RES UPC'!$C$62:$AC$62,0))</f>
        <v>6.86091381842642</v>
      </c>
    </row>
    <row r="27" spans="1:29">
      <c r="A27" s="82" t="s">
        <v>8</v>
      </c>
      <c r="B27" s="82" t="s">
        <v>972</v>
      </c>
      <c r="C27" s="82" t="str">
        <f t="shared" si="0"/>
        <v>RS_GS</v>
      </c>
      <c r="D27" s="82" t="s">
        <v>1009</v>
      </c>
      <c r="E27" s="86" t="s">
        <v>1035</v>
      </c>
      <c r="F27" s="80">
        <f>SUMIFS(INDEX('WP_Regression_RES Cust Count'!$A$1:$AC$61,0,MATCH($E27,'WP_Regression_RES Cust Count'!$A$1:$AC$1,0)),'WP_Regression_RES Cust Count'!$B$1:$B$61,F$5)</f>
        <v>11459.615</v>
      </c>
      <c r="G27" s="80">
        <f>SUMIFS(INDEX('WP_Regression_RES Cust Count'!$A$1:$AC$61,0,MATCH($E27,'WP_Regression_RES Cust Count'!$A$1:$AC$1,0)),'WP_Regression_RES Cust Count'!$B$1:$B$61,G$5)</f>
        <v>13711.540999999999</v>
      </c>
      <c r="H27" s="573"/>
      <c r="K27" s="82" t="s">
        <v>8</v>
      </c>
      <c r="L27" s="82" t="s">
        <v>106</v>
      </c>
      <c r="M27" s="82" t="str">
        <f t="shared" si="1"/>
        <v>RS_GS</v>
      </c>
      <c r="N27" s="82" t="s">
        <v>1009</v>
      </c>
      <c r="O27" s="86" t="s">
        <v>1035</v>
      </c>
      <c r="P27" s="80">
        <f>SUMIFS(INDEX('WP_Regression_RES UPC'!$A$1:$AC$61,0,MATCH($O27,'WP_Regression_RES UPC'!$A$1:$AC$1,0)),'WP_Regression_RES UPC'!$B$1:$B$61,F$5)</f>
        <v>422.25019491136203</v>
      </c>
      <c r="Q27" s="80">
        <f>SUMIFS(INDEX('WP_Regression_RES UPC'!$A$1:$AC$61,0,MATCH($O27,'WP_Regression_RES UPC'!$A$1:$AC$1,0)),'WP_Regression_RES UPC'!$B$1:$B$61,G$5)</f>
        <v>9129.5387900718815</v>
      </c>
      <c r="R27" s="573"/>
      <c r="T27" s="82" t="str">
        <f t="shared" si="3"/>
        <v>RS_GS_Forecast_High95_Max</v>
      </c>
      <c r="U27" s="82" t="s">
        <v>1407</v>
      </c>
      <c r="V27" s="82" t="str">
        <f t="shared" si="2"/>
        <v>RS_GS</v>
      </c>
      <c r="W27" s="82" t="s">
        <v>1009</v>
      </c>
      <c r="X27" s="276">
        <f>INDEX('WP_Regression_RES UPC'!$C$63:$AC$63,MATCH(T27,'WP_Regression_RES UPC'!$C$62:$AC$62,0))</f>
        <v>111.772840736955</v>
      </c>
      <c r="Y27" s="276">
        <f>INDEX('WP_Regression_RES UPC'!$C$64:$AC$64,MATCH(T27,'WP_Regression_RES UPC'!$C$62:$AC$62,0))</f>
        <v>8684.3734228540907</v>
      </c>
    </row>
    <row r="28" spans="1:29" s="153" customFormat="1">
      <c r="A28" s="153" t="s">
        <v>8</v>
      </c>
      <c r="B28" s="153" t="s">
        <v>972</v>
      </c>
      <c r="C28" s="153" t="str">
        <f t="shared" si="0"/>
        <v>FTS_AB</v>
      </c>
      <c r="D28" s="153" t="s">
        <v>1002</v>
      </c>
      <c r="E28" s="84" t="s">
        <v>1036</v>
      </c>
      <c r="F28" s="154">
        <f>SUMIFS(INDEX('WP_Regression_RES Cust Count'!$A$1:$AC$61,0,MATCH($E28,'WP_Regression_RES Cust Count'!$A$1:$AC$1,0)),'WP_Regression_RES Cust Count'!$B$1:$B$61,F$5)</f>
        <v>39225.557000000001</v>
      </c>
      <c r="G28" s="154">
        <f>SUMIFS(INDEX('WP_Regression_RES Cust Count'!$A$1:$AC$61,0,MATCH($E28,'WP_Regression_RES Cust Count'!$A$1:$AC$1,0)),'WP_Regression_RES Cust Count'!$B$1:$B$61,G$5)</f>
        <v>38956.623</v>
      </c>
      <c r="H28" s="573"/>
      <c r="K28" s="153" t="s">
        <v>8</v>
      </c>
      <c r="L28" s="153" t="s">
        <v>106</v>
      </c>
      <c r="M28" s="153" t="str">
        <f t="shared" si="1"/>
        <v>FTS_AB</v>
      </c>
      <c r="N28" s="153" t="s">
        <v>1002</v>
      </c>
      <c r="O28" s="84" t="s">
        <v>1036</v>
      </c>
      <c r="P28" s="154">
        <f>SUMIFS(INDEX('WP_Regression_RES UPC'!$A$1:$AC$61,0,MATCH($O28,'WP_Regression_RES UPC'!$A$1:$AC$1,0)),'WP_Regression_RES UPC'!$B$1:$B$61,F$5)</f>
        <v>111.26955512600672</v>
      </c>
      <c r="Q28" s="154">
        <f>SUMIFS(INDEX('WP_Regression_RES UPC'!$A$1:$AC$61,0,MATCH($O28,'WP_Regression_RES UPC'!$A$1:$AC$1,0)),'WP_Regression_RES UPC'!$B$1:$B$61,G$5)</f>
        <v>111.26955512600672</v>
      </c>
      <c r="R28" s="573"/>
      <c r="T28" s="82" t="str">
        <f t="shared" si="3"/>
        <v>FTS_AB_Forecast_Average_Max</v>
      </c>
      <c r="U28" s="82" t="s">
        <v>1407</v>
      </c>
      <c r="V28" s="82" t="str">
        <f t="shared" si="2"/>
        <v>FTS_AB</v>
      </c>
      <c r="W28" s="153" t="s">
        <v>1002</v>
      </c>
      <c r="X28" s="276">
        <f>INDEX('WP_Regression_RES UPC'!$C$63:$AC$63,MATCH(T28,'WP_Regression_RES UPC'!$C$62:$AC$62,0))</f>
        <v>12.657643028241401</v>
      </c>
      <c r="Y28" s="276">
        <f>INDEX('WP_Regression_RES UPC'!$C$64:$AC$64,MATCH(T28,'WP_Regression_RES UPC'!$C$62:$AC$62,0))</f>
        <v>12.657643028241401</v>
      </c>
    </row>
    <row r="29" spans="1:29" s="153" customFormat="1">
      <c r="A29" s="153" t="s">
        <v>8</v>
      </c>
      <c r="B29" s="153" t="s">
        <v>972</v>
      </c>
      <c r="C29" s="153" t="str">
        <f t="shared" si="0"/>
        <v>FTS_AB</v>
      </c>
      <c r="D29" s="153" t="s">
        <v>1003</v>
      </c>
      <c r="E29" s="85" t="s">
        <v>1037</v>
      </c>
      <c r="F29" s="154">
        <f>SUMIFS(INDEX('WP_Regression_RES Cust Count'!$A$1:$AC$61,0,MATCH($E29,'WP_Regression_RES Cust Count'!$A$1:$AC$1,0)),'WP_Regression_RES Cust Count'!$B$1:$B$61,F$5)</f>
        <v>38772.532000000007</v>
      </c>
      <c r="G29" s="154">
        <f>SUMIFS(INDEX('WP_Regression_RES Cust Count'!$A$1:$AC$61,0,MATCH($E29,'WP_Regression_RES Cust Count'!$A$1:$AC$1,0)),'WP_Regression_RES Cust Count'!$B$1:$B$61,G$5)</f>
        <v>38454.012000000002</v>
      </c>
      <c r="H29" s="573"/>
      <c r="K29" s="153" t="s">
        <v>8</v>
      </c>
      <c r="L29" s="153" t="s">
        <v>106</v>
      </c>
      <c r="M29" s="153" t="str">
        <f t="shared" si="1"/>
        <v>FTS_AB</v>
      </c>
      <c r="N29" s="153" t="s">
        <v>1003</v>
      </c>
      <c r="O29" s="85" t="s">
        <v>1037</v>
      </c>
      <c r="P29" s="154">
        <f>SUMIFS(INDEX('WP_Regression_RES UPC'!$A$1:$AC$61,0,MATCH($O29,'WP_Regression_RES UPC'!$A$1:$AC$1,0)),'WP_Regression_RES UPC'!$B$1:$B$61,F$5)</f>
        <v>96.05709389912397</v>
      </c>
      <c r="Q29" s="154">
        <f>SUMIFS(INDEX('WP_Regression_RES UPC'!$A$1:$AC$61,0,MATCH($O29,'WP_Regression_RES UPC'!$A$1:$AC$1,0)),'WP_Regression_RES UPC'!$B$1:$B$61,G$5)</f>
        <v>96.05709389912397</v>
      </c>
      <c r="R29" s="573"/>
      <c r="T29" s="82" t="str">
        <f t="shared" si="3"/>
        <v>FTS_AB_Forecast_Low95_Max</v>
      </c>
      <c r="U29" s="82" t="s">
        <v>1407</v>
      </c>
      <c r="V29" s="82" t="str">
        <f t="shared" si="2"/>
        <v>FTS_AB</v>
      </c>
      <c r="W29" s="153" t="s">
        <v>1003</v>
      </c>
      <c r="X29" s="276">
        <f>INDEX('WP_Regression_RES UPC'!$C$63:$AC$63,MATCH(T29,'WP_Regression_RES UPC'!$C$62:$AC$62,0))</f>
        <v>10.6277059809119</v>
      </c>
      <c r="Y29" s="276">
        <f>INDEX('WP_Regression_RES UPC'!$C$64:$AC$64,MATCH(T29,'WP_Regression_RES UPC'!$C$62:$AC$62,0))</f>
        <v>10.6277059809119</v>
      </c>
    </row>
    <row r="30" spans="1:29" s="153" customFormat="1" ht="13.5" thickBot="1">
      <c r="A30" s="155" t="s">
        <v>8</v>
      </c>
      <c r="B30" s="155" t="s">
        <v>972</v>
      </c>
      <c r="C30" s="155" t="str">
        <f t="shared" si="0"/>
        <v>FTS_AB</v>
      </c>
      <c r="D30" s="155" t="s">
        <v>1009</v>
      </c>
      <c r="E30" s="89" t="s">
        <v>1038</v>
      </c>
      <c r="F30" s="156">
        <f>SUMIFS(INDEX('WP_Regression_RES Cust Count'!$A$1:$AC$61,0,MATCH($E30,'WP_Regression_RES Cust Count'!$A$1:$AC$1,0)),'WP_Regression_RES Cust Count'!$B$1:$B$61,F$5)</f>
        <v>39678.580999999998</v>
      </c>
      <c r="G30" s="156">
        <f>SUMIFS(INDEX('WP_Regression_RES Cust Count'!$A$1:$AC$61,0,MATCH($E30,'WP_Regression_RES Cust Count'!$A$1:$AC$1,0)),'WP_Regression_RES Cust Count'!$B$1:$B$61,G$5)</f>
        <v>39459.235000000001</v>
      </c>
      <c r="H30" s="573"/>
      <c r="K30" s="155" t="s">
        <v>8</v>
      </c>
      <c r="L30" s="155" t="s">
        <v>106</v>
      </c>
      <c r="M30" s="155" t="str">
        <f t="shared" si="1"/>
        <v>FTS_AB</v>
      </c>
      <c r="N30" s="155" t="s">
        <v>1009</v>
      </c>
      <c r="O30" s="89" t="s">
        <v>1038</v>
      </c>
      <c r="P30" s="156">
        <f>SUMIFS(INDEX('WP_Regression_RES UPC'!$A$1:$AC$61,0,MATCH($O30,'WP_Regression_RES UPC'!$A$1:$AC$1,0)),'WP_Regression_RES UPC'!$B$1:$B$61,F$5)</f>
        <v>130.92630028951973</v>
      </c>
      <c r="Q30" s="156">
        <f>SUMIFS(INDEX('WP_Regression_RES UPC'!$A$1:$AC$61,0,MATCH($O30,'WP_Regression_RES UPC'!$A$1:$AC$1,0)),'WP_Regression_RES UPC'!$B$1:$B$61,G$5)</f>
        <v>130.92630028951973</v>
      </c>
      <c r="R30" s="573"/>
      <c r="T30" s="278" t="str">
        <f t="shared" si="3"/>
        <v>FTS_AB_Forecast_High95_Max</v>
      </c>
      <c r="U30" s="278" t="s">
        <v>1407</v>
      </c>
      <c r="V30" s="278" t="str">
        <f t="shared" si="2"/>
        <v>FTS_AB</v>
      </c>
      <c r="W30" s="155" t="s">
        <v>1009</v>
      </c>
      <c r="X30" s="279">
        <f>INDEX('WP_Regression_RES UPC'!$C$63:$AC$63,MATCH(T30,'WP_Regression_RES UPC'!$C$62:$AC$62,0))</f>
        <v>15.4053792289276</v>
      </c>
      <c r="Y30" s="279">
        <f>INDEX('WP_Regression_RES UPC'!$C$64:$AC$64,MATCH(T30,'WP_Regression_RES UPC'!$C$62:$AC$62,0))</f>
        <v>15.4053792289276</v>
      </c>
    </row>
    <row r="31" spans="1:29">
      <c r="A31" s="82" t="s">
        <v>1245</v>
      </c>
      <c r="B31" s="82" t="s">
        <v>972</v>
      </c>
      <c r="C31" s="82" t="str">
        <f t="shared" si="0"/>
        <v>GS2</v>
      </c>
      <c r="D31" s="82" t="s">
        <v>1002</v>
      </c>
      <c r="E31" s="84" t="s">
        <v>1043</v>
      </c>
      <c r="F31" s="80">
        <f>SUMIFS(INDEX('WP_Regreession_COM Cust Count'!$A$1:$AP$61,0,MATCH($E31,'WP_Regreession_COM Cust Count'!$A$1:$AP$1,0)),'WP_Regreession_COM Cust Count'!$B$1:$B$61,F$5)</f>
        <v>36652.339991968511</v>
      </c>
      <c r="G31" s="80">
        <f>SUMIFS(INDEX('WP_Regreession_COM Cust Count'!$A$1:$AP$61,0,MATCH($E31,'WP_Regreession_COM Cust Count'!$A$1:$AP$1,0)),'WP_Regreession_COM Cust Count'!$B$1:$B$61,G$5)</f>
        <v>37699.888681285622</v>
      </c>
      <c r="H31" s="573"/>
      <c r="K31" s="82" t="s">
        <v>1245</v>
      </c>
      <c r="L31" s="82" t="s">
        <v>106</v>
      </c>
      <c r="M31" s="82" t="str">
        <f t="shared" si="1"/>
        <v>GS2</v>
      </c>
      <c r="N31" s="82" t="s">
        <v>1002</v>
      </c>
      <c r="O31" s="84" t="s">
        <v>1043</v>
      </c>
      <c r="P31" s="80">
        <f>SUMIFS(INDEX('WP_Regression_COM UPC'!$A$1:$AP$61,0,MATCH($O31,'WP_Regression_COM UPC'!$A$1:$AP$1,0)),'WP_Regression_COM UPC'!$B$1:$B$61,F$5)</f>
        <v>4035.1</v>
      </c>
      <c r="Q31" s="80">
        <f>SUMIFS(INDEX('WP_Regression_COM UPC'!$A$1:$AP$61,0,MATCH($O31,'WP_Regression_COM UPC'!$A$1:$AP$1,0)),'WP_Regression_COM UPC'!$B$1:$B$61,G$5)</f>
        <v>4001.7999999999997</v>
      </c>
      <c r="R31" s="573"/>
      <c r="T31" s="82" t="str">
        <f t="shared" si="3"/>
        <v>GS2_Forecast_Average_Max</v>
      </c>
      <c r="U31" s="82" t="s">
        <v>1407</v>
      </c>
      <c r="V31" s="82" t="str">
        <f t="shared" si="2"/>
        <v>GS2</v>
      </c>
      <c r="W31" s="82" t="s">
        <v>1002</v>
      </c>
      <c r="X31" s="276">
        <f>INDEX('WP_Regression_COM UPC'!$C$63:$AO$63,MATCH(T31,'WP_Regression_COM UPC'!$C$62:$AO$62,0))</f>
        <v>440.2</v>
      </c>
      <c r="Y31" s="276">
        <f>INDEX('WP_Regression_COM UPC'!$C$64:$AO$64,MATCH(T31,'WP_Regression_COM UPC'!$C$62:$AO$62,0))</f>
        <v>440.9</v>
      </c>
    </row>
    <row r="32" spans="1:29">
      <c r="A32" s="82" t="s">
        <v>1245</v>
      </c>
      <c r="B32" s="82" t="s">
        <v>972</v>
      </c>
      <c r="C32" s="82" t="str">
        <f t="shared" si="0"/>
        <v>GS2</v>
      </c>
      <c r="D32" s="82" t="s">
        <v>1003</v>
      </c>
      <c r="E32" s="85" t="s">
        <v>1045</v>
      </c>
      <c r="F32" s="80">
        <f>SUMIFS(INDEX('WP_Regreession_COM Cust Count'!$A$1:$AP$61,0,MATCH($E32,'WP_Regreession_COM Cust Count'!$A$1:$AP$1,0)),'WP_Regreession_COM Cust Count'!$B$1:$B$61,F$5)</f>
        <v>35636.219944830744</v>
      </c>
      <c r="G32" s="80">
        <f>SUMIFS(INDEX('WP_Regreession_COM Cust Count'!$A$1:$AP$61,0,MATCH($E32,'WP_Regreession_COM Cust Count'!$A$1:$AP$1,0)),'WP_Regreession_COM Cust Count'!$B$1:$B$61,G$5)</f>
        <v>35932.346121495073</v>
      </c>
      <c r="H32" s="573"/>
      <c r="K32" s="82" t="s">
        <v>1245</v>
      </c>
      <c r="L32" s="82" t="s">
        <v>106</v>
      </c>
      <c r="M32" s="82" t="str">
        <f t="shared" si="1"/>
        <v>GS2</v>
      </c>
      <c r="N32" s="82" t="s">
        <v>1003</v>
      </c>
      <c r="O32" s="85" t="s">
        <v>1045</v>
      </c>
      <c r="P32" s="80">
        <f>SUMIFS(INDEX('WP_Regression_COM UPC'!$A$1:$AP$61,0,MATCH($O32,'WP_Regression_COM UPC'!$A$1:$AP$1,0)),'WP_Regression_COM UPC'!$B$1:$B$61,F$5)</f>
        <v>3405.2000000000003</v>
      </c>
      <c r="Q32" s="80">
        <f>SUMIFS(INDEX('WP_Regression_COM UPC'!$A$1:$AP$61,0,MATCH($O32,'WP_Regression_COM UPC'!$A$1:$AP$1,0)),'WP_Regression_COM UPC'!$B$1:$B$61,G$5)</f>
        <v>3302.4</v>
      </c>
      <c r="R32" s="573"/>
      <c r="T32" s="82" t="str">
        <f t="shared" si="3"/>
        <v>GS2_Forecast_Low95_Max</v>
      </c>
      <c r="U32" s="82" t="s">
        <v>1407</v>
      </c>
      <c r="V32" s="82" t="str">
        <f t="shared" si="2"/>
        <v>GS2</v>
      </c>
      <c r="W32" s="82" t="s">
        <v>1003</v>
      </c>
      <c r="X32" s="276">
        <f>INDEX('WP_Regression_COM UPC'!$C$63:$AO$63,MATCH(T32,'WP_Regression_COM UPC'!$C$62:$AO$62,0))</f>
        <v>401.7</v>
      </c>
      <c r="Y32" s="276">
        <f>INDEX('WP_Regression_COM UPC'!$C$64:$AO$64,MATCH(T32,'WP_Regression_COM UPC'!$C$62:$AO$62,0))</f>
        <v>392.2</v>
      </c>
    </row>
    <row r="33" spans="1:25">
      <c r="A33" s="82" t="s">
        <v>1245</v>
      </c>
      <c r="B33" s="82" t="s">
        <v>972</v>
      </c>
      <c r="C33" s="82" t="str">
        <f t="shared" si="0"/>
        <v>GS2</v>
      </c>
      <c r="D33" s="82" t="s">
        <v>1009</v>
      </c>
      <c r="E33" s="86" t="s">
        <v>1046</v>
      </c>
      <c r="F33" s="80">
        <f>SUMIFS(INDEX('WP_Regreession_COM Cust Count'!$A$1:$AP$61,0,MATCH($E33,'WP_Regreession_COM Cust Count'!$A$1:$AP$1,0)),'WP_Regreession_COM Cust Count'!$B$1:$B$61,F$5)</f>
        <v>37689.615222452696</v>
      </c>
      <c r="G33" s="80">
        <f>SUMIFS(INDEX('WP_Regreession_COM Cust Count'!$A$1:$AP$61,0,MATCH($E33,'WP_Regreession_COM Cust Count'!$A$1:$AP$1,0)),'WP_Regreession_COM Cust Count'!$B$1:$B$61,G$5)</f>
        <v>39527.694050504157</v>
      </c>
      <c r="H33" s="573"/>
      <c r="K33" s="82" t="s">
        <v>1245</v>
      </c>
      <c r="L33" s="82" t="s">
        <v>106</v>
      </c>
      <c r="M33" s="82" t="str">
        <f t="shared" si="1"/>
        <v>GS2</v>
      </c>
      <c r="N33" s="82" t="s">
        <v>1009</v>
      </c>
      <c r="O33" s="86" t="s">
        <v>1046</v>
      </c>
      <c r="P33" s="80">
        <f>SUMIFS(INDEX('WP_Regression_COM UPC'!$A$1:$AP$61,0,MATCH($O33,'WP_Regression_COM UPC'!$A$1:$AP$1,0)),'WP_Regression_COM UPC'!$B$1:$B$61,F$5)</f>
        <v>4618.4999999999991</v>
      </c>
      <c r="Q33" s="80">
        <f>SUMIFS(INDEX('WP_Regression_COM UPC'!$A$1:$AP$61,0,MATCH($O33,'WP_Regression_COM UPC'!$A$1:$AP$1,0)),'WP_Regression_COM UPC'!$B$1:$B$61,G$5)</f>
        <v>4644.2999999999993</v>
      </c>
      <c r="R33" s="573"/>
      <c r="T33" s="82" t="str">
        <f t="shared" si="3"/>
        <v>GS2_Forecast_High95_Max</v>
      </c>
      <c r="U33" s="82" t="s">
        <v>1407</v>
      </c>
      <c r="V33" s="82" t="str">
        <f t="shared" si="2"/>
        <v>GS2</v>
      </c>
      <c r="W33" s="82" t="s">
        <v>1009</v>
      </c>
      <c r="X33" s="276">
        <f>INDEX('WP_Regression_COM UPC'!$C$63:$AO$63,MATCH(T33,'WP_Regression_COM UPC'!$C$62:$AO$62,0))</f>
        <v>477.2</v>
      </c>
      <c r="Y33" s="276">
        <f>INDEX('WP_Regression_COM UPC'!$C$64:$AO$64,MATCH(T33,'WP_Regression_COM UPC'!$C$62:$AO$62,0))</f>
        <v>487.1</v>
      </c>
    </row>
    <row r="34" spans="1:25">
      <c r="A34" s="82" t="s">
        <v>1245</v>
      </c>
      <c r="B34" s="82" t="s">
        <v>972</v>
      </c>
      <c r="C34" s="82" t="str">
        <f t="shared" si="0"/>
        <v>LVS</v>
      </c>
      <c r="D34" s="82" t="s">
        <v>1002</v>
      </c>
      <c r="E34" s="84" t="s">
        <v>1048</v>
      </c>
      <c r="F34" s="80">
        <f>SUMIFS(INDEX('WP_Regreession_COM Cust Count'!$A$1:$AP$61,0,MATCH($E34,'WP_Regreession_COM Cust Count'!$A$1:$AP$1,0)),'WP_Regreession_COM Cust Count'!$B$1:$B$61,F$5)</f>
        <v>22370.815694678182</v>
      </c>
      <c r="G34" s="80">
        <f>SUMIFS(INDEX('WP_Regreession_COM Cust Count'!$A$1:$AP$61,0,MATCH($E34,'WP_Regreession_COM Cust Count'!$A$1:$AP$1,0)),'WP_Regreession_COM Cust Count'!$B$1:$B$61,G$5)</f>
        <v>22638.003834991079</v>
      </c>
      <c r="H34" s="573"/>
      <c r="K34" s="82" t="s">
        <v>1245</v>
      </c>
      <c r="L34" s="82" t="s">
        <v>106</v>
      </c>
      <c r="M34" s="82" t="str">
        <f t="shared" si="1"/>
        <v>LVS</v>
      </c>
      <c r="N34" s="82" t="s">
        <v>1002</v>
      </c>
      <c r="O34" s="84" t="s">
        <v>1048</v>
      </c>
      <c r="P34" s="80">
        <f>SUMIFS(INDEX('WP_Regression_COM UPC'!$A$1:$AP$61,0,MATCH($O34,'WP_Regression_COM UPC'!$A$1:$AP$1,0)),'WP_Regression_COM UPC'!$B$1:$B$61,F$5)</f>
        <v>21447.399999999998</v>
      </c>
      <c r="Q34" s="80">
        <f>SUMIFS(INDEX('WP_Regression_COM UPC'!$A$1:$AP$61,0,MATCH($O34,'WP_Regression_COM UPC'!$A$1:$AP$1,0)),'WP_Regression_COM UPC'!$B$1:$B$61,G$5)</f>
        <v>21325.699999999997</v>
      </c>
      <c r="R34" s="573"/>
      <c r="T34" s="82" t="str">
        <f t="shared" si="3"/>
        <v>LVS_Forecast_Average_Max</v>
      </c>
      <c r="U34" s="82" t="s">
        <v>1407</v>
      </c>
      <c r="V34" s="82" t="str">
        <f t="shared" si="2"/>
        <v>LVS</v>
      </c>
      <c r="W34" s="82" t="s">
        <v>1002</v>
      </c>
      <c r="X34" s="276">
        <f>INDEX('WP_Regression_COM UPC'!$C$63:$AO$63,MATCH(T34,'WP_Regression_COM UPC'!$C$62:$AO$62,0))</f>
        <v>2130.9</v>
      </c>
      <c r="Y34" s="276">
        <f>INDEX('WP_Regression_COM UPC'!$C$64:$AO$64,MATCH(T34,'WP_Regression_COM UPC'!$C$62:$AO$62,0))</f>
        <v>2139.1999999999998</v>
      </c>
    </row>
    <row r="35" spans="1:25">
      <c r="A35" s="82" t="s">
        <v>1245</v>
      </c>
      <c r="B35" s="82" t="s">
        <v>972</v>
      </c>
      <c r="C35" s="82" t="str">
        <f t="shared" si="0"/>
        <v>LVS</v>
      </c>
      <c r="D35" s="82" t="s">
        <v>1003</v>
      </c>
      <c r="E35" s="85" t="s">
        <v>1050</v>
      </c>
      <c r="F35" s="80">
        <f>SUMIFS(INDEX('WP_Regreession_COM Cust Count'!$A$1:$AP$61,0,MATCH($E35,'WP_Regreession_COM Cust Count'!$A$1:$AP$1,0)),'WP_Regreession_COM Cust Count'!$B$1:$B$61,F$5)</f>
        <v>22074.171582164294</v>
      </c>
      <c r="G35" s="80">
        <f>SUMIFS(INDEX('WP_Regreession_COM Cust Count'!$A$1:$AP$61,0,MATCH($E35,'WP_Regreession_COM Cust Count'!$A$1:$AP$1,0)),'WP_Regreession_COM Cust Count'!$B$1:$B$61,G$5)</f>
        <v>22301.793623074849</v>
      </c>
      <c r="H35" s="573"/>
      <c r="K35" s="82" t="s">
        <v>1245</v>
      </c>
      <c r="L35" s="82" t="s">
        <v>106</v>
      </c>
      <c r="M35" s="82" t="str">
        <f t="shared" si="1"/>
        <v>LVS</v>
      </c>
      <c r="N35" s="82" t="s">
        <v>1003</v>
      </c>
      <c r="O35" s="85" t="s">
        <v>1050</v>
      </c>
      <c r="P35" s="80">
        <f>SUMIFS(INDEX('WP_Regression_COM UPC'!$A$1:$AP$61,0,MATCH($O35,'WP_Regression_COM UPC'!$A$1:$AP$1,0)),'WP_Regression_COM UPC'!$B$1:$B$61,F$5)</f>
        <v>18245.900000000001</v>
      </c>
      <c r="Q35" s="80">
        <f>SUMIFS(INDEX('WP_Regression_COM UPC'!$A$1:$AP$61,0,MATCH($O35,'WP_Regression_COM UPC'!$A$1:$AP$1,0)),'WP_Regression_COM UPC'!$B$1:$B$61,G$5)</f>
        <v>17678.5</v>
      </c>
      <c r="R35" s="573"/>
      <c r="T35" s="82" t="str">
        <f t="shared" si="3"/>
        <v>LVS_Forecast_Low95_Max</v>
      </c>
      <c r="U35" s="82" t="s">
        <v>1407</v>
      </c>
      <c r="V35" s="82" t="str">
        <f t="shared" si="2"/>
        <v>LVS</v>
      </c>
      <c r="W35" s="82" t="s">
        <v>1003</v>
      </c>
      <c r="X35" s="276">
        <f>INDEX('WP_Regression_COM UPC'!$C$63:$AO$63,MATCH(T35,'WP_Regression_COM UPC'!$C$62:$AO$62,0))</f>
        <v>1941.9</v>
      </c>
      <c r="Y35" s="276">
        <f>INDEX('WP_Regression_COM UPC'!$C$64:$AO$64,MATCH(T35,'WP_Regression_COM UPC'!$C$62:$AO$62,0))</f>
        <v>1870.7</v>
      </c>
    </row>
    <row r="36" spans="1:25">
      <c r="A36" s="82" t="s">
        <v>1245</v>
      </c>
      <c r="B36" s="82" t="s">
        <v>972</v>
      </c>
      <c r="C36" s="82" t="str">
        <f t="shared" si="0"/>
        <v>LVS</v>
      </c>
      <c r="D36" s="82" t="s">
        <v>1009</v>
      </c>
      <c r="E36" s="86" t="s">
        <v>1052</v>
      </c>
      <c r="F36" s="80">
        <f>SUMIFS(INDEX('WP_Regreession_COM Cust Count'!$A$1:$AP$61,0,MATCH($E36,'WP_Regreession_COM Cust Count'!$A$1:$AP$1,0)),'WP_Regreession_COM Cust Count'!$B$1:$B$61,F$5)</f>
        <v>22667.459807192052</v>
      </c>
      <c r="G36" s="80">
        <f>SUMIFS(INDEX('WP_Regreession_COM Cust Count'!$A$1:$AP$61,0,MATCH($E36,'WP_Regreession_COM Cust Count'!$A$1:$AP$1,0)),'WP_Regreession_COM Cust Count'!$B$1:$B$61,G$5)</f>
        <v>22974.214046907306</v>
      </c>
      <c r="H36" s="573"/>
      <c r="K36" s="82" t="s">
        <v>1245</v>
      </c>
      <c r="L36" s="82" t="s">
        <v>106</v>
      </c>
      <c r="M36" s="82" t="str">
        <f t="shared" si="1"/>
        <v>LVS</v>
      </c>
      <c r="N36" s="82" t="s">
        <v>1009</v>
      </c>
      <c r="O36" s="86" t="s">
        <v>1052</v>
      </c>
      <c r="P36" s="80">
        <f>SUMIFS(INDEX('WP_Regression_COM UPC'!$A$1:$AP$61,0,MATCH($O36,'WP_Regression_COM UPC'!$A$1:$AP$1,0)),'WP_Regression_COM UPC'!$B$1:$B$61,F$5)</f>
        <v>24455.8</v>
      </c>
      <c r="Q36" s="80">
        <f>SUMIFS(INDEX('WP_Regression_COM UPC'!$A$1:$AP$61,0,MATCH($O36,'WP_Regression_COM UPC'!$A$1:$AP$1,0)),'WP_Regression_COM UPC'!$B$1:$B$61,G$5)</f>
        <v>24725.800000000003</v>
      </c>
      <c r="R36" s="573"/>
      <c r="T36" s="82" t="str">
        <f t="shared" si="3"/>
        <v>LVS_Forecast_High95_Max</v>
      </c>
      <c r="U36" s="82" t="s">
        <v>1407</v>
      </c>
      <c r="V36" s="82" t="str">
        <f t="shared" si="2"/>
        <v>LVS</v>
      </c>
      <c r="W36" s="82" t="s">
        <v>1009</v>
      </c>
      <c r="X36" s="276">
        <f>INDEX('WP_Regression_COM UPC'!$C$63:$AO$63,MATCH(T36,'WP_Regression_COM UPC'!$C$62:$AO$62,0))</f>
        <v>2313.1999999999998</v>
      </c>
      <c r="Y36" s="276">
        <f>INDEX('WP_Regression_COM UPC'!$C$64:$AO$64,MATCH(T36,'WP_Regression_COM UPC'!$C$62:$AO$62,0))</f>
        <v>2394.4</v>
      </c>
    </row>
    <row r="37" spans="1:25">
      <c r="A37" s="82" t="s">
        <v>1245</v>
      </c>
      <c r="B37" s="82" t="s">
        <v>972</v>
      </c>
      <c r="C37" s="82" t="str">
        <f t="shared" si="0"/>
        <v>GS1</v>
      </c>
      <c r="D37" s="82" t="s">
        <v>1002</v>
      </c>
      <c r="E37" s="84" t="s">
        <v>1054</v>
      </c>
      <c r="F37" s="80">
        <f>SUMIFS(INDEX('WP_Regreession_COM Cust Count'!$A$1:$AP$61,0,MATCH($E37,'WP_Regreession_COM Cust Count'!$A$1:$AP$1,0)),'WP_Regreession_COM Cust Count'!$B$1:$B$61,F$5)</f>
        <v>10041.095904024827</v>
      </c>
      <c r="G37" s="80">
        <f>SUMIFS(INDEX('WP_Regreession_COM Cust Count'!$A$1:$AP$61,0,MATCH($E37,'WP_Regreession_COM Cust Count'!$A$1:$AP$1,0)),'WP_Regreession_COM Cust Count'!$B$1:$B$61,G$5)</f>
        <v>9840.2386966449449</v>
      </c>
      <c r="H37" s="573"/>
      <c r="K37" s="82" t="s">
        <v>1245</v>
      </c>
      <c r="L37" s="82" t="s">
        <v>106</v>
      </c>
      <c r="M37" s="82" t="str">
        <f t="shared" si="1"/>
        <v>GS1</v>
      </c>
      <c r="N37" s="82" t="s">
        <v>1002</v>
      </c>
      <c r="O37" s="84" t="s">
        <v>1054</v>
      </c>
      <c r="P37" s="80">
        <f>SUMIFS(INDEX('WP_Regression_COM UPC'!$A$1:$AP$61,0,MATCH($O37,'WP_Regression_COM UPC'!$A$1:$AP$1,0)),'WP_Regression_COM UPC'!$B$1:$B$61,F$5)</f>
        <v>3529.4000000000005</v>
      </c>
      <c r="Q37" s="80">
        <f>SUMIFS(INDEX('WP_Regression_COM UPC'!$A$1:$AP$61,0,MATCH($O37,'WP_Regression_COM UPC'!$A$1:$AP$1,0)),'WP_Regression_COM UPC'!$B$1:$B$61,G$5)</f>
        <v>3746.3</v>
      </c>
      <c r="R37" s="573"/>
      <c r="T37" s="82" t="str">
        <f t="shared" si="3"/>
        <v>GS1_Forecast_Average_Max</v>
      </c>
      <c r="U37" s="82" t="s">
        <v>1407</v>
      </c>
      <c r="V37" s="82" t="str">
        <f t="shared" si="2"/>
        <v>GS1</v>
      </c>
      <c r="W37" s="82" t="s">
        <v>1002</v>
      </c>
      <c r="X37" s="276">
        <f>INDEX('WP_Regression_COM UPC'!$C$63:$AO$63,MATCH(T37,'WP_Regression_COM UPC'!$C$62:$AO$62,0))</f>
        <v>335.6</v>
      </c>
      <c r="Y37" s="276">
        <f>INDEX('WP_Regression_COM UPC'!$C$64:$AO$64,MATCH(T37,'WP_Regression_COM UPC'!$C$62:$AO$62,0))</f>
        <v>351.5</v>
      </c>
    </row>
    <row r="38" spans="1:25">
      <c r="A38" s="82" t="s">
        <v>1245</v>
      </c>
      <c r="B38" s="82" t="s">
        <v>972</v>
      </c>
      <c r="C38" s="82" t="str">
        <f t="shared" si="0"/>
        <v>GS1</v>
      </c>
      <c r="D38" s="82" t="s">
        <v>1003</v>
      </c>
      <c r="E38" s="85" t="s">
        <v>1056</v>
      </c>
      <c r="F38" s="80">
        <f>SUMIFS(INDEX('WP_Regreession_COM Cust Count'!$A$1:$AP$61,0,MATCH($E38,'WP_Regreession_COM Cust Count'!$A$1:$AP$1,0)),'WP_Regreession_COM Cust Count'!$B$1:$B$61,F$5)</f>
        <v>9599.4832270487459</v>
      </c>
      <c r="G38" s="80">
        <f>SUMIFS(INDEX('WP_Regreession_COM Cust Count'!$A$1:$AP$61,0,MATCH($E38,'WP_Regreession_COM Cust Count'!$A$1:$AP$1,0)),'WP_Regreession_COM Cust Count'!$B$1:$B$61,G$5)</f>
        <v>9145.5932475409154</v>
      </c>
      <c r="H38" s="573"/>
      <c r="K38" s="82" t="s">
        <v>1245</v>
      </c>
      <c r="L38" s="82" t="s">
        <v>106</v>
      </c>
      <c r="M38" s="82" t="str">
        <f t="shared" si="1"/>
        <v>GS1</v>
      </c>
      <c r="N38" s="82" t="s">
        <v>1003</v>
      </c>
      <c r="O38" s="85" t="s">
        <v>1056</v>
      </c>
      <c r="P38" s="80">
        <f>SUMIFS(INDEX('WP_Regression_COM UPC'!$A$1:$AP$61,0,MATCH($O38,'WP_Regression_COM UPC'!$A$1:$AP$1,0)),'WP_Regression_COM UPC'!$B$1:$B$61,F$5)</f>
        <v>3168.9</v>
      </c>
      <c r="Q38" s="80">
        <f>SUMIFS(INDEX('WP_Regression_COM UPC'!$A$1:$AP$61,0,MATCH($O38,'WP_Regression_COM UPC'!$A$1:$AP$1,0)),'WP_Regression_COM UPC'!$B$1:$B$61,G$5)</f>
        <v>3219.2000000000003</v>
      </c>
      <c r="R38" s="573"/>
      <c r="T38" s="82" t="str">
        <f t="shared" si="3"/>
        <v>GS1_Forecast_Low95_Max</v>
      </c>
      <c r="U38" s="82" t="s">
        <v>1407</v>
      </c>
      <c r="V38" s="82" t="str">
        <f t="shared" si="2"/>
        <v>GS1</v>
      </c>
      <c r="W38" s="82" t="s">
        <v>1003</v>
      </c>
      <c r="X38" s="276">
        <f>INDEX('WP_Regression_COM UPC'!$C$63:$AO$63,MATCH(T38,'WP_Regression_COM UPC'!$C$62:$AO$62,0))</f>
        <v>314</v>
      </c>
      <c r="Y38" s="276">
        <f>INDEX('WP_Regression_COM UPC'!$C$64:$AO$64,MATCH(T38,'WP_Regression_COM UPC'!$C$62:$AO$62,0))</f>
        <v>315.3</v>
      </c>
    </row>
    <row r="39" spans="1:25">
      <c r="A39" s="82" t="s">
        <v>1245</v>
      </c>
      <c r="B39" s="82" t="s">
        <v>972</v>
      </c>
      <c r="C39" s="82" t="str">
        <f t="shared" ref="C39:C66" si="4">LEFT(E39,FIND("_Forecast",E39)-1)</f>
        <v>GS1</v>
      </c>
      <c r="D39" s="82" t="s">
        <v>1009</v>
      </c>
      <c r="E39" s="86" t="s">
        <v>1058</v>
      </c>
      <c r="F39" s="80">
        <f>SUMIFS(INDEX('WP_Regreession_COM Cust Count'!$A$1:$AP$61,0,MATCH($E39,'WP_Regreession_COM Cust Count'!$A$1:$AP$1,0)),'WP_Regreession_COM Cust Count'!$B$1:$B$61,F$5)</f>
        <v>10463.166377416797</v>
      </c>
      <c r="G39" s="80">
        <f>SUMIFS(INDEX('WP_Regreession_COM Cust Count'!$A$1:$AP$61,0,MATCH($E39,'WP_Regreession_COM Cust Count'!$A$1:$AP$1,0)),'WP_Regreession_COM Cust Count'!$B$1:$B$61,G$5)</f>
        <v>10488.238659913897</v>
      </c>
      <c r="H39" s="573"/>
      <c r="K39" s="82" t="s">
        <v>1245</v>
      </c>
      <c r="L39" s="82" t="s">
        <v>106</v>
      </c>
      <c r="M39" s="82" t="str">
        <f t="shared" ref="M39:M66" si="5">LEFT(O39,FIND("_Forecast",O39)-1)</f>
        <v>GS1</v>
      </c>
      <c r="N39" s="82" t="s">
        <v>1009</v>
      </c>
      <c r="O39" s="86" t="s">
        <v>1058</v>
      </c>
      <c r="P39" s="80">
        <f>SUMIFS(INDEX('WP_Regression_COM UPC'!$A$1:$AP$61,0,MATCH($O39,'WP_Regression_COM UPC'!$A$1:$AP$1,0)),'WP_Regression_COM UPC'!$B$1:$B$61,F$5)</f>
        <v>3880.2</v>
      </c>
      <c r="Q39" s="80">
        <f>SUMIFS(INDEX('WP_Regression_COM UPC'!$A$1:$AP$61,0,MATCH($O39,'WP_Regression_COM UPC'!$A$1:$AP$1,0)),'WP_Regression_COM UPC'!$B$1:$B$61,G$5)</f>
        <v>4255.5</v>
      </c>
      <c r="R39" s="573"/>
      <c r="T39" s="82" t="str">
        <f t="shared" si="3"/>
        <v>GS1_Forecast_High95_Max</v>
      </c>
      <c r="U39" s="82" t="s">
        <v>1407</v>
      </c>
      <c r="V39" s="82" t="str">
        <f t="shared" ref="V39:V66" si="6">M39</f>
        <v>GS1</v>
      </c>
      <c r="W39" s="82" t="s">
        <v>1009</v>
      </c>
      <c r="X39" s="276">
        <f>INDEX('WP_Regression_COM UPC'!$C$63:$AO$63,MATCH(T39,'WP_Regression_COM UPC'!$C$62:$AO$62,0))</f>
        <v>361.2</v>
      </c>
      <c r="Y39" s="276">
        <f>INDEX('WP_Regression_COM UPC'!$C$64:$AO$64,MATCH(T39,'WP_Regression_COM UPC'!$C$62:$AO$62,0))</f>
        <v>391.9</v>
      </c>
    </row>
    <row r="40" spans="1:25">
      <c r="A40" s="82" t="s">
        <v>1245</v>
      </c>
      <c r="B40" s="82" t="s">
        <v>972</v>
      </c>
      <c r="C40" s="82" t="str">
        <f t="shared" si="4"/>
        <v>GS1_FortMeade</v>
      </c>
      <c r="D40" s="82" t="s">
        <v>1002</v>
      </c>
      <c r="E40" s="84" t="s">
        <v>1060</v>
      </c>
      <c r="F40" s="80">
        <f>SUMIFS(INDEX('WP_Regreession_COM Cust Count'!$A$1:$AP$61,0,MATCH($E40,'WP_Regreession_COM Cust Count'!$A$1:$AP$1,0)),'WP_Regreession_COM Cust Count'!$B$1:$B$61,F$5)</f>
        <v>277.75148785908851</v>
      </c>
      <c r="G40" s="80">
        <f>SUMIFS(INDEX('WP_Regreession_COM Cust Count'!$A$1:$AP$61,0,MATCH($E40,'WP_Regreession_COM Cust Count'!$A$1:$AP$1,0)),'WP_Regreession_COM Cust Count'!$B$1:$B$61,G$5)</f>
        <v>277.7120464699571</v>
      </c>
      <c r="H40" s="573"/>
      <c r="K40" s="82" t="s">
        <v>1245</v>
      </c>
      <c r="L40" s="82" t="s">
        <v>106</v>
      </c>
      <c r="M40" s="82" t="str">
        <f t="shared" si="5"/>
        <v>GS1_FortMeade</v>
      </c>
      <c r="N40" s="82" t="s">
        <v>1002</v>
      </c>
      <c r="O40" s="84" t="s">
        <v>1060</v>
      </c>
      <c r="P40" s="80">
        <f>SUMIFS(INDEX('WP_Regression_COM UPC'!$A$1:$AP$61,0,MATCH($O40,'WP_Regression_COM UPC'!$A$1:$AP$1,0)),'WP_Regression_COM UPC'!$B$1:$B$61,F$5)</f>
        <v>3263.6000000000004</v>
      </c>
      <c r="Q40" s="80">
        <f>SUMIFS(INDEX('WP_Regression_COM UPC'!$A$1:$AP$61,0,MATCH($O40,'WP_Regression_COM UPC'!$A$1:$AP$1,0)),'WP_Regression_COM UPC'!$B$1:$B$61,G$5)</f>
        <v>3265.2000000000003</v>
      </c>
      <c r="R40" s="573"/>
      <c r="T40" s="82" t="str">
        <f t="shared" si="3"/>
        <v>GS1_FortMeade_Forecast_Average_Max</v>
      </c>
      <c r="U40" s="82" t="s">
        <v>1407</v>
      </c>
      <c r="V40" s="82" t="str">
        <f t="shared" si="6"/>
        <v>GS1_FortMeade</v>
      </c>
      <c r="W40" s="82" t="s">
        <v>1002</v>
      </c>
      <c r="X40" s="276">
        <f>INDEX('WP_Regression_COM UPC'!$C$63:$AO$63,MATCH(T40,'WP_Regression_COM UPC'!$C$62:$AO$62,0))</f>
        <v>423.7</v>
      </c>
      <c r="Y40" s="276">
        <f>INDEX('WP_Regression_COM UPC'!$C$64:$AO$64,MATCH(T40,'WP_Regression_COM UPC'!$C$62:$AO$62,0))</f>
        <v>425.3</v>
      </c>
    </row>
    <row r="41" spans="1:25">
      <c r="A41" s="82" t="s">
        <v>1245</v>
      </c>
      <c r="B41" s="82" t="s">
        <v>972</v>
      </c>
      <c r="C41" s="82" t="str">
        <f t="shared" si="4"/>
        <v>GS1_FortMeade</v>
      </c>
      <c r="D41" s="82" t="s">
        <v>1003</v>
      </c>
      <c r="E41" s="85" t="s">
        <v>1062</v>
      </c>
      <c r="F41" s="80">
        <f>SUMIFS(INDEX('WP_Regreession_COM Cust Count'!$A$1:$AP$61,0,MATCH($E41,'WP_Regreession_COM Cust Count'!$A$1:$AP$1,0)),'WP_Regreession_COM Cust Count'!$B$1:$B$61,F$5)</f>
        <v>230.80242137819093</v>
      </c>
      <c r="G41" s="80">
        <f>SUMIFS(INDEX('WP_Regreession_COM Cust Count'!$A$1:$AP$61,0,MATCH($E41,'WP_Regreession_COM Cust Count'!$A$1:$AP$1,0)),'WP_Regreession_COM Cust Count'!$B$1:$B$61,G$5)</f>
        <v>216.79414965961129</v>
      </c>
      <c r="H41" s="573"/>
      <c r="K41" s="82" t="s">
        <v>1245</v>
      </c>
      <c r="L41" s="82" t="s">
        <v>106</v>
      </c>
      <c r="M41" s="82" t="str">
        <f t="shared" si="5"/>
        <v>GS1_FortMeade</v>
      </c>
      <c r="N41" s="82" t="s">
        <v>1003</v>
      </c>
      <c r="O41" s="85" t="s">
        <v>1062</v>
      </c>
      <c r="P41" s="80">
        <f>SUMIFS(INDEX('WP_Regression_COM UPC'!$A$1:$AP$61,0,MATCH($O41,'WP_Regression_COM UPC'!$A$1:$AP$1,0)),'WP_Regression_COM UPC'!$B$1:$B$61,F$5)</f>
        <v>2378.3999999999996</v>
      </c>
      <c r="Q41" s="80">
        <f>SUMIFS(INDEX('WP_Regression_COM UPC'!$A$1:$AP$61,0,MATCH($O41,'WP_Regression_COM UPC'!$A$1:$AP$1,0)),'WP_Regression_COM UPC'!$B$1:$B$61,G$5)</f>
        <v>2340.9</v>
      </c>
      <c r="R41" s="573"/>
      <c r="T41" s="82" t="str">
        <f t="shared" si="3"/>
        <v>GS1_FortMeade_Forecast_Low95_Max</v>
      </c>
      <c r="U41" s="82" t="s">
        <v>1407</v>
      </c>
      <c r="V41" s="82" t="str">
        <f t="shared" si="6"/>
        <v>GS1_FortMeade</v>
      </c>
      <c r="W41" s="82" t="s">
        <v>1003</v>
      </c>
      <c r="X41" s="276">
        <f>INDEX('WP_Regression_COM UPC'!$C$63:$AO$63,MATCH(T41,'WP_Regression_COM UPC'!$C$62:$AO$62,0))</f>
        <v>311.5</v>
      </c>
      <c r="Y41" s="276">
        <f>INDEX('WP_Regression_COM UPC'!$C$64:$AO$64,MATCH(T41,'WP_Regression_COM UPC'!$C$62:$AO$62,0))</f>
        <v>304.5</v>
      </c>
    </row>
    <row r="42" spans="1:25">
      <c r="A42" s="82" t="s">
        <v>1245</v>
      </c>
      <c r="B42" s="82" t="s">
        <v>972</v>
      </c>
      <c r="C42" s="82" t="str">
        <f t="shared" si="4"/>
        <v>GS1_FortMeade</v>
      </c>
      <c r="D42" s="82" t="s">
        <v>1009</v>
      </c>
      <c r="E42" s="86" t="s">
        <v>1064</v>
      </c>
      <c r="F42" s="80">
        <f>SUMIFS(INDEX('WP_Regreession_COM Cust Count'!$A$1:$AP$61,0,MATCH($E42,'WP_Regreession_COM Cust Count'!$A$1:$AP$1,0)),'WP_Regreession_COM Cust Count'!$B$1:$B$61,F$5)</f>
        <v>324.7005543399863</v>
      </c>
      <c r="G42" s="80">
        <f>SUMIFS(INDEX('WP_Regreession_COM Cust Count'!$A$1:$AP$61,0,MATCH($E42,'WP_Regreession_COM Cust Count'!$A$1:$AP$1,0)),'WP_Regreession_COM Cust Count'!$B$1:$B$61,G$5)</f>
        <v>338.62994328030277</v>
      </c>
      <c r="H42" s="573"/>
      <c r="K42" s="82" t="s">
        <v>1245</v>
      </c>
      <c r="L42" s="82" t="s">
        <v>106</v>
      </c>
      <c r="M42" s="82" t="str">
        <f t="shared" si="5"/>
        <v>GS1_FortMeade</v>
      </c>
      <c r="N42" s="82" t="s">
        <v>1009</v>
      </c>
      <c r="O42" s="86" t="s">
        <v>1064</v>
      </c>
      <c r="P42" s="80">
        <f>SUMIFS(INDEX('WP_Regression_COM UPC'!$A$1:$AP$61,0,MATCH($O42,'WP_Regression_COM UPC'!$A$1:$AP$1,0)),'WP_Regression_COM UPC'!$B$1:$B$61,F$5)</f>
        <v>4486.5</v>
      </c>
      <c r="Q42" s="80">
        <f>SUMIFS(INDEX('WP_Regression_COM UPC'!$A$1:$AP$61,0,MATCH($O42,'WP_Regression_COM UPC'!$A$1:$AP$1,0)),'WP_Regression_COM UPC'!$B$1:$B$61,G$5)</f>
        <v>4563.7</v>
      </c>
      <c r="R42" s="573"/>
      <c r="T42" s="82" t="str">
        <f t="shared" si="3"/>
        <v>GS1_FortMeade_Forecast_High95_Max</v>
      </c>
      <c r="U42" s="82" t="s">
        <v>1407</v>
      </c>
      <c r="V42" s="82" t="str">
        <f t="shared" si="6"/>
        <v>GS1_FortMeade</v>
      </c>
      <c r="W42" s="82" t="s">
        <v>1009</v>
      </c>
      <c r="X42" s="276">
        <f>INDEX('WP_Regression_COM UPC'!$C$63:$AO$63,MATCH(T42,'WP_Regression_COM UPC'!$C$62:$AO$62,0))</f>
        <v>577.20000000000005</v>
      </c>
      <c r="Y42" s="276">
        <f>INDEX('WP_Regression_COM UPC'!$C$64:$AO$64,MATCH(T42,'WP_Regression_COM UPC'!$C$62:$AO$62,0))</f>
        <v>595.20000000000005</v>
      </c>
    </row>
    <row r="43" spans="1:25">
      <c r="A43" s="82" t="s">
        <v>1245</v>
      </c>
      <c r="B43" s="82" t="s">
        <v>972</v>
      </c>
      <c r="C43" s="82" t="str">
        <f t="shared" si="4"/>
        <v>FTS1</v>
      </c>
      <c r="D43" s="82" t="s">
        <v>1002</v>
      </c>
      <c r="E43" s="84" t="s">
        <v>1065</v>
      </c>
      <c r="F43" s="80">
        <f>SUMIFS(INDEX('WP_Regreession_COM Cust Count'!$A$1:$AP$61,0,MATCH($E43,'WP_Regreession_COM Cust Count'!$A$1:$AP$1,0)),'WP_Regreession_COM Cust Count'!$B$1:$B$61,F$5)</f>
        <v>2226.2370760902772</v>
      </c>
      <c r="G43" s="80">
        <f>SUMIFS(INDEX('WP_Regreession_COM Cust Count'!$A$1:$AP$61,0,MATCH($E43,'WP_Regreession_COM Cust Count'!$A$1:$AP$1,0)),'WP_Regreession_COM Cust Count'!$B$1:$B$61,G$5)</f>
        <v>2171.730434495621</v>
      </c>
      <c r="H43" s="573"/>
      <c r="K43" s="82" t="s">
        <v>1245</v>
      </c>
      <c r="L43" s="82" t="s">
        <v>106</v>
      </c>
      <c r="M43" s="82" t="str">
        <f t="shared" si="5"/>
        <v>FTS1</v>
      </c>
      <c r="N43" s="82" t="s">
        <v>1002</v>
      </c>
      <c r="O43" s="84" t="s">
        <v>1065</v>
      </c>
      <c r="P43" s="80">
        <f>SUMIFS(INDEX('WP_Regression_COM UPC'!$A$1:$AP$61,0,MATCH($O43,'WP_Regression_COM UPC'!$A$1:$AP$1,0)),'WP_Regression_COM UPC'!$B$1:$B$61,F$5)</f>
        <v>376</v>
      </c>
      <c r="Q43" s="80">
        <f>SUMIFS(INDEX('WP_Regression_COM UPC'!$A$1:$AP$61,0,MATCH($O43,'WP_Regression_COM UPC'!$A$1:$AP$1,0)),'WP_Regression_COM UPC'!$B$1:$B$61,G$5)</f>
        <v>385.1</v>
      </c>
      <c r="R43" s="573"/>
      <c r="T43" s="82" t="str">
        <f t="shared" si="3"/>
        <v>FTS1_Forecast_Average_Max</v>
      </c>
      <c r="U43" s="82" t="s">
        <v>1407</v>
      </c>
      <c r="V43" s="82" t="str">
        <f t="shared" si="6"/>
        <v>FTS1</v>
      </c>
      <c r="W43" s="82" t="s">
        <v>1002</v>
      </c>
      <c r="X43" s="276">
        <f>INDEX('WP_Regression_COM UPC'!$C$63:$AO$63,MATCH(T43,'WP_Regression_COM UPC'!$C$62:$AO$62,0))</f>
        <v>34.700000000000003</v>
      </c>
      <c r="Y43" s="276">
        <f>INDEX('WP_Regression_COM UPC'!$C$64:$AO$64,MATCH(T43,'WP_Regression_COM UPC'!$C$62:$AO$62,0))</f>
        <v>33</v>
      </c>
    </row>
    <row r="44" spans="1:25">
      <c r="A44" s="82" t="s">
        <v>1245</v>
      </c>
      <c r="B44" s="82" t="s">
        <v>972</v>
      </c>
      <c r="C44" s="82" t="str">
        <f t="shared" si="4"/>
        <v>FTS1</v>
      </c>
      <c r="D44" s="82" t="s">
        <v>1003</v>
      </c>
      <c r="E44" s="85" t="s">
        <v>1066</v>
      </c>
      <c r="F44" s="80">
        <f>SUMIFS(INDEX('WP_Regreession_COM Cust Count'!$A$1:$AP$61,0,MATCH($E44,'WP_Regreession_COM Cust Count'!$A$1:$AP$1,0)),'WP_Regreession_COM Cust Count'!$B$1:$B$61,F$5)</f>
        <v>2031.5334623356071</v>
      </c>
      <c r="G44" s="80">
        <f>SUMIFS(INDEX('WP_Regreession_COM Cust Count'!$A$1:$AP$61,0,MATCH($E44,'WP_Regreession_COM Cust Count'!$A$1:$AP$1,0)),'WP_Regreession_COM Cust Count'!$B$1:$B$61,G$5)</f>
        <v>1874.8308468723901</v>
      </c>
      <c r="H44" s="573"/>
      <c r="K44" s="82" t="s">
        <v>1245</v>
      </c>
      <c r="L44" s="82" t="s">
        <v>106</v>
      </c>
      <c r="M44" s="82" t="str">
        <f t="shared" si="5"/>
        <v>FTS1</v>
      </c>
      <c r="N44" s="82" t="s">
        <v>1003</v>
      </c>
      <c r="O44" s="85" t="s">
        <v>1066</v>
      </c>
      <c r="P44" s="80">
        <f>SUMIFS(INDEX('WP_Regression_COM UPC'!$A$1:$AP$61,0,MATCH($O44,'WP_Regression_COM UPC'!$A$1:$AP$1,0)),'WP_Regression_COM UPC'!$B$1:$B$61,F$5)</f>
        <v>179.39999999999998</v>
      </c>
      <c r="Q44" s="80">
        <f>SUMIFS(INDEX('WP_Regression_COM UPC'!$A$1:$AP$61,0,MATCH($O44,'WP_Regression_COM UPC'!$A$1:$AP$1,0)),'WP_Regression_COM UPC'!$B$1:$B$61,G$5)</f>
        <v>124.7</v>
      </c>
      <c r="R44" s="573"/>
      <c r="T44" s="82" t="str">
        <f t="shared" si="3"/>
        <v>FTS1_Forecast_Low95_Max</v>
      </c>
      <c r="U44" s="82" t="s">
        <v>1407</v>
      </c>
      <c r="V44" s="82" t="str">
        <f t="shared" si="6"/>
        <v>FTS1</v>
      </c>
      <c r="W44" s="82" t="s">
        <v>1003</v>
      </c>
      <c r="X44" s="276">
        <f>INDEX('WP_Regression_COM UPC'!$C$63:$AO$63,MATCH(T44,'WP_Regression_COM UPC'!$C$62:$AO$62,0))</f>
        <v>19.2</v>
      </c>
      <c r="Y44" s="276">
        <f>INDEX('WP_Regression_COM UPC'!$C$64:$AO$64,MATCH(T44,'WP_Regression_COM UPC'!$C$62:$AO$62,0))</f>
        <v>12.5</v>
      </c>
    </row>
    <row r="45" spans="1:25">
      <c r="A45" s="82" t="s">
        <v>1245</v>
      </c>
      <c r="B45" s="82" t="s">
        <v>972</v>
      </c>
      <c r="C45" s="82" t="str">
        <f t="shared" si="4"/>
        <v>FTS1</v>
      </c>
      <c r="D45" s="82" t="s">
        <v>1009</v>
      </c>
      <c r="E45" s="86" t="s">
        <v>1067</v>
      </c>
      <c r="F45" s="80">
        <f>SUMIFS(INDEX('WP_Regreession_COM Cust Count'!$A$1:$AP$61,0,MATCH($E45,'WP_Regreession_COM Cust Count'!$A$1:$AP$1,0)),'WP_Regreession_COM Cust Count'!$B$1:$B$61,F$5)</f>
        <v>2404.8251510996552</v>
      </c>
      <c r="G45" s="80">
        <f>SUMIFS(INDEX('WP_Regreession_COM Cust Count'!$A$1:$AP$61,0,MATCH($E45,'WP_Regreession_COM Cust Count'!$A$1:$AP$1,0)),'WP_Regreession_COM Cust Count'!$B$1:$B$61,G$5)</f>
        <v>2431.9757734705831</v>
      </c>
      <c r="H45" s="573"/>
      <c r="K45" s="82" t="s">
        <v>1245</v>
      </c>
      <c r="L45" s="82" t="s">
        <v>106</v>
      </c>
      <c r="M45" s="82" t="str">
        <f t="shared" si="5"/>
        <v>FTS1</v>
      </c>
      <c r="N45" s="82" t="s">
        <v>1009</v>
      </c>
      <c r="O45" s="86" t="s">
        <v>1067</v>
      </c>
      <c r="P45" s="80">
        <f>SUMIFS(INDEX('WP_Regression_COM UPC'!$A$1:$AP$61,0,MATCH($O45,'WP_Regression_COM UPC'!$A$1:$AP$1,0)),'WP_Regression_COM UPC'!$B$1:$B$61,F$5)</f>
        <v>824.3</v>
      </c>
      <c r="Q45" s="80">
        <f>SUMIFS(INDEX('WP_Regression_COM UPC'!$A$1:$AP$61,0,MATCH($O45,'WP_Regression_COM UPC'!$A$1:$AP$1,0)),'WP_Regression_COM UPC'!$B$1:$B$61,G$5)</f>
        <v>1303.2</v>
      </c>
      <c r="R45" s="573"/>
      <c r="T45" s="82" t="str">
        <f t="shared" si="3"/>
        <v>FTS1_Forecast_High95_Max</v>
      </c>
      <c r="U45" s="82" t="s">
        <v>1407</v>
      </c>
      <c r="V45" s="82" t="str">
        <f t="shared" si="6"/>
        <v>FTS1</v>
      </c>
      <c r="W45" s="82" t="s">
        <v>1009</v>
      </c>
      <c r="X45" s="276">
        <f>INDEX('WP_Regression_COM UPC'!$C$63:$AO$63,MATCH(T45,'WP_Regression_COM UPC'!$C$62:$AO$62,0))</f>
        <v>89.6</v>
      </c>
      <c r="Y45" s="276">
        <f>INDEX('WP_Regression_COM UPC'!$C$64:$AO$64,MATCH(T45,'WP_Regression_COM UPC'!$C$62:$AO$62,0))</f>
        <v>132.80000000000001</v>
      </c>
    </row>
    <row r="46" spans="1:25">
      <c r="A46" s="82" t="s">
        <v>1245</v>
      </c>
      <c r="B46" s="82" t="s">
        <v>972</v>
      </c>
      <c r="C46" s="82" t="str">
        <f t="shared" si="4"/>
        <v>FTS2</v>
      </c>
      <c r="D46" s="82" t="s">
        <v>1002</v>
      </c>
      <c r="E46" s="84" t="s">
        <v>1068</v>
      </c>
      <c r="F46" s="80">
        <f>SUMIFS(INDEX('WP_Regreession_COM Cust Count'!$A$1:$AP$61,0,MATCH($E46,'WP_Regreession_COM Cust Count'!$A$1:$AP$1,0)),'WP_Regreession_COM Cust Count'!$B$1:$B$61,F$5)</f>
        <v>1214.090832967318</v>
      </c>
      <c r="G46" s="80">
        <f>SUMIFS(INDEX('WP_Regreession_COM Cust Count'!$A$1:$AP$61,0,MATCH($E46,'WP_Regreession_COM Cust Count'!$A$1:$AP$1,0)),'WP_Regreession_COM Cust Count'!$B$1:$B$61,G$5)</f>
        <v>1288.2135235636858</v>
      </c>
      <c r="H46" s="573"/>
      <c r="K46" s="82" t="s">
        <v>1245</v>
      </c>
      <c r="L46" s="82" t="s">
        <v>106</v>
      </c>
      <c r="M46" s="82" t="str">
        <f t="shared" si="5"/>
        <v>FTS2</v>
      </c>
      <c r="N46" s="82" t="s">
        <v>1002</v>
      </c>
      <c r="O46" s="84" t="s">
        <v>1068</v>
      </c>
      <c r="P46" s="80">
        <f>SUMIFS(INDEX('WP_Regression_COM UPC'!$A$1:$AP$61,0,MATCH($O46,'WP_Regression_COM UPC'!$A$1:$AP$1,0)),'WP_Regression_COM UPC'!$B$1:$B$61,F$5)</f>
        <v>721.40000000000009</v>
      </c>
      <c r="Q46" s="80">
        <f>SUMIFS(INDEX('WP_Regression_COM UPC'!$A$1:$AP$61,0,MATCH($O46,'WP_Regression_COM UPC'!$A$1:$AP$1,0)),'WP_Regression_COM UPC'!$B$1:$B$61,G$5)</f>
        <v>710.3</v>
      </c>
      <c r="R46" s="573"/>
      <c r="T46" s="82" t="str">
        <f t="shared" si="3"/>
        <v>FTS2_Forecast_Average_Max</v>
      </c>
      <c r="U46" s="82" t="s">
        <v>1407</v>
      </c>
      <c r="V46" s="82" t="str">
        <f t="shared" si="6"/>
        <v>FTS2</v>
      </c>
      <c r="W46" s="82" t="s">
        <v>1002</v>
      </c>
      <c r="X46" s="276">
        <f>INDEX('WP_Regression_COM UPC'!$C$63:$AO$63,MATCH(T46,'WP_Regression_COM UPC'!$C$62:$AO$62,0))</f>
        <v>78.3</v>
      </c>
      <c r="Y46" s="276">
        <f>INDEX('WP_Regression_COM UPC'!$C$64:$AO$64,MATCH(T46,'WP_Regression_COM UPC'!$C$62:$AO$62,0))</f>
        <v>77.900000000000006</v>
      </c>
    </row>
    <row r="47" spans="1:25">
      <c r="A47" s="82" t="s">
        <v>1245</v>
      </c>
      <c r="B47" s="82" t="s">
        <v>972</v>
      </c>
      <c r="C47" s="82" t="str">
        <f t="shared" si="4"/>
        <v>FTS2</v>
      </c>
      <c r="D47" s="82" t="s">
        <v>1003</v>
      </c>
      <c r="E47" s="85" t="s">
        <v>1069</v>
      </c>
      <c r="F47" s="80">
        <f>SUMIFS(INDEX('WP_Regreession_COM Cust Count'!$A$1:$AP$61,0,MATCH($E47,'WP_Regreession_COM Cust Count'!$A$1:$AP$1,0)),'WP_Regreession_COM Cust Count'!$B$1:$B$61,F$5)</f>
        <v>1126.2494056862395</v>
      </c>
      <c r="G47" s="80">
        <f>SUMIFS(INDEX('WP_Regreession_COM Cust Count'!$A$1:$AP$61,0,MATCH($E47,'WP_Regreession_COM Cust Count'!$A$1:$AP$1,0)),'WP_Regreession_COM Cust Count'!$B$1:$B$61,G$5)</f>
        <v>1186.5266285643368</v>
      </c>
      <c r="H47" s="573"/>
      <c r="K47" s="82" t="s">
        <v>1245</v>
      </c>
      <c r="L47" s="82" t="s">
        <v>106</v>
      </c>
      <c r="M47" s="82" t="str">
        <f t="shared" si="5"/>
        <v>FTS2</v>
      </c>
      <c r="N47" s="82" t="s">
        <v>1003</v>
      </c>
      <c r="O47" s="85" t="s">
        <v>1069</v>
      </c>
      <c r="P47" s="80">
        <f>SUMIFS(INDEX('WP_Regression_COM UPC'!$A$1:$AP$61,0,MATCH($O47,'WP_Regression_COM UPC'!$A$1:$AP$1,0)),'WP_Regression_COM UPC'!$B$1:$B$61,F$5)</f>
        <v>577.80000000000007</v>
      </c>
      <c r="Q47" s="80">
        <f>SUMIFS(INDEX('WP_Regression_COM UPC'!$A$1:$AP$61,0,MATCH($O47,'WP_Regression_COM UPC'!$A$1:$AP$1,0)),'WP_Regression_COM UPC'!$B$1:$B$61,G$5)</f>
        <v>563.30000000000007</v>
      </c>
      <c r="R47" s="573"/>
      <c r="T47" s="82" t="str">
        <f t="shared" si="3"/>
        <v>FTS2_Forecast_Low95_Max</v>
      </c>
      <c r="U47" s="82" t="s">
        <v>1407</v>
      </c>
      <c r="V47" s="82" t="str">
        <f t="shared" si="6"/>
        <v>FTS2</v>
      </c>
      <c r="W47" s="82" t="s">
        <v>1003</v>
      </c>
      <c r="X47" s="276">
        <f>INDEX('WP_Regression_COM UPC'!$C$63:$AO$63,MATCH(T47,'WP_Regression_COM UPC'!$C$62:$AO$62,0))</f>
        <v>61.1</v>
      </c>
      <c r="Y47" s="276">
        <f>INDEX('WP_Regression_COM UPC'!$C$64:$AO$64,MATCH(T47,'WP_Regression_COM UPC'!$C$62:$AO$62,0))</f>
        <v>58.7</v>
      </c>
    </row>
    <row r="48" spans="1:25">
      <c r="A48" s="82" t="s">
        <v>1245</v>
      </c>
      <c r="B48" s="82" t="s">
        <v>972</v>
      </c>
      <c r="C48" s="82" t="str">
        <f t="shared" si="4"/>
        <v>FTS2</v>
      </c>
      <c r="D48" s="82" t="s">
        <v>1009</v>
      </c>
      <c r="E48" s="86" t="s">
        <v>1070</v>
      </c>
      <c r="F48" s="80">
        <f>SUMIFS(INDEX('WP_Regreession_COM Cust Count'!$A$1:$AP$61,0,MATCH($E48,'WP_Regreession_COM Cust Count'!$A$1:$AP$1,0)),'WP_Regreession_COM Cust Count'!$B$1:$B$61,F$5)</f>
        <v>1312.6515803708642</v>
      </c>
      <c r="G48" s="80">
        <f>SUMIFS(INDEX('WP_Regreession_COM Cust Count'!$A$1:$AP$61,0,MATCH($E48,'WP_Regreession_COM Cust Count'!$A$1:$AP$1,0)),'WP_Regreession_COM Cust Count'!$B$1:$B$61,G$5)</f>
        <v>1403.4548642333953</v>
      </c>
      <c r="H48" s="573"/>
      <c r="K48" s="82" t="s">
        <v>1245</v>
      </c>
      <c r="L48" s="82" t="s">
        <v>106</v>
      </c>
      <c r="M48" s="82" t="str">
        <f t="shared" si="5"/>
        <v>FTS2</v>
      </c>
      <c r="N48" s="82" t="s">
        <v>1009</v>
      </c>
      <c r="O48" s="86" t="s">
        <v>1070</v>
      </c>
      <c r="P48" s="80">
        <f>SUMIFS(INDEX('WP_Regression_COM UPC'!$A$1:$AP$61,0,MATCH($O48,'WP_Regression_COM UPC'!$A$1:$AP$1,0)),'WP_Regression_COM UPC'!$B$1:$B$61,F$5)</f>
        <v>954.80000000000007</v>
      </c>
      <c r="Q48" s="80">
        <f>SUMIFS(INDEX('WP_Regression_COM UPC'!$A$1:$AP$61,0,MATCH($O48,'WP_Regression_COM UPC'!$A$1:$AP$1,0)),'WP_Regression_COM UPC'!$B$1:$B$61,G$5)</f>
        <v>955.7</v>
      </c>
      <c r="R48" s="573"/>
      <c r="T48" s="82" t="str">
        <f t="shared" si="3"/>
        <v>FTS2_Forecast_High95_Max</v>
      </c>
      <c r="U48" s="82" t="s">
        <v>1407</v>
      </c>
      <c r="V48" s="82" t="str">
        <f t="shared" si="6"/>
        <v>FTS2</v>
      </c>
      <c r="W48" s="82" t="s">
        <v>1009</v>
      </c>
      <c r="X48" s="276">
        <f>INDEX('WP_Regression_COM UPC'!$C$63:$AO$63,MATCH(T48,'WP_Regression_COM UPC'!$C$62:$AO$62,0))</f>
        <v>108.1</v>
      </c>
      <c r="Y48" s="276">
        <f>INDEX('WP_Regression_COM UPC'!$C$64:$AO$64,MATCH(T48,'WP_Regression_COM UPC'!$C$62:$AO$62,0))</f>
        <v>113.8</v>
      </c>
    </row>
    <row r="49" spans="1:25">
      <c r="A49" s="82" t="s">
        <v>1245</v>
      </c>
      <c r="B49" s="82" t="s">
        <v>972</v>
      </c>
      <c r="C49" s="82" t="str">
        <f t="shared" si="4"/>
        <v>FTS2.1</v>
      </c>
      <c r="D49" s="82" t="s">
        <v>1002</v>
      </c>
      <c r="E49" s="84" t="s">
        <v>1071</v>
      </c>
      <c r="F49" s="80">
        <f>SUMIFS(INDEX('WP_Regreession_COM Cust Count'!$A$1:$AP$61,0,MATCH($E49,'WP_Regreession_COM Cust Count'!$A$1:$AP$1,0)),'WP_Regreession_COM Cust Count'!$B$1:$B$61,F$5)</f>
        <v>2691.9395780834589</v>
      </c>
      <c r="G49" s="80">
        <f>SUMIFS(INDEX('WP_Regreession_COM Cust Count'!$A$1:$AP$61,0,MATCH($E49,'WP_Regreession_COM Cust Count'!$A$1:$AP$1,0)),'WP_Regreession_COM Cust Count'!$B$1:$B$61,G$5)</f>
        <v>2770.9212989007897</v>
      </c>
      <c r="H49" s="573"/>
      <c r="K49" s="82" t="s">
        <v>1245</v>
      </c>
      <c r="L49" s="82" t="s">
        <v>106</v>
      </c>
      <c r="M49" s="82" t="str">
        <f t="shared" si="5"/>
        <v>FTS2.1</v>
      </c>
      <c r="N49" s="82" t="s">
        <v>1002</v>
      </c>
      <c r="O49" s="84" t="s">
        <v>1071</v>
      </c>
      <c r="P49" s="80">
        <f>SUMIFS(INDEX('WP_Regression_COM UPC'!$A$1:$AP$61,0,MATCH($O49,'WP_Regression_COM UPC'!$A$1:$AP$1,0)),'WP_Regression_COM UPC'!$B$1:$B$61,F$5)</f>
        <v>1876.0000000000002</v>
      </c>
      <c r="Q49" s="80">
        <f>SUMIFS(INDEX('WP_Regression_COM UPC'!$A$1:$AP$61,0,MATCH($O49,'WP_Regression_COM UPC'!$A$1:$AP$1,0)),'WP_Regression_COM UPC'!$B$1:$B$61,G$5)</f>
        <v>1845.1999999999998</v>
      </c>
      <c r="R49" s="573"/>
      <c r="T49" s="82" t="str">
        <f t="shared" si="3"/>
        <v>FTS2.1_Forecast_Average_Max</v>
      </c>
      <c r="U49" s="82" t="s">
        <v>1407</v>
      </c>
      <c r="V49" s="82" t="str">
        <f t="shared" si="6"/>
        <v>FTS2.1</v>
      </c>
      <c r="W49" s="82" t="s">
        <v>1002</v>
      </c>
      <c r="X49" s="276">
        <f>INDEX('WP_Regression_COM UPC'!$C$63:$AO$63,MATCH(T49,'WP_Regression_COM UPC'!$C$62:$AO$62,0))</f>
        <v>186.6</v>
      </c>
      <c r="Y49" s="276">
        <f>INDEX('WP_Regression_COM UPC'!$C$64:$AO$64,MATCH(T49,'WP_Regression_COM UPC'!$C$62:$AO$62,0))</f>
        <v>187.1</v>
      </c>
    </row>
    <row r="50" spans="1:25">
      <c r="A50" s="82" t="s">
        <v>1245</v>
      </c>
      <c r="B50" s="82" t="s">
        <v>972</v>
      </c>
      <c r="C50" s="82" t="str">
        <f t="shared" si="4"/>
        <v>FTS2.1</v>
      </c>
      <c r="D50" s="82" t="s">
        <v>1003</v>
      </c>
      <c r="E50" s="85" t="s">
        <v>1072</v>
      </c>
      <c r="F50" s="80">
        <f>SUMIFS(INDEX('WP_Regreession_COM Cust Count'!$A$1:$AP$61,0,MATCH($E50,'WP_Regreession_COM Cust Count'!$A$1:$AP$1,0)),'WP_Regreession_COM Cust Count'!$B$1:$B$61,F$5)</f>
        <v>2585.5400196053001</v>
      </c>
      <c r="G50" s="80">
        <f>SUMIFS(INDEX('WP_Regreession_COM Cust Count'!$A$1:$AP$61,0,MATCH($E50,'WP_Regreession_COM Cust Count'!$A$1:$AP$1,0)),'WP_Regreession_COM Cust Count'!$B$1:$B$61,G$5)</f>
        <v>2651.6312812204387</v>
      </c>
      <c r="H50" s="573"/>
      <c r="K50" s="82" t="s">
        <v>1245</v>
      </c>
      <c r="L50" s="82" t="s">
        <v>106</v>
      </c>
      <c r="M50" s="82" t="str">
        <f t="shared" si="5"/>
        <v>FTS2.1</v>
      </c>
      <c r="N50" s="82" t="s">
        <v>1003</v>
      </c>
      <c r="O50" s="85" t="s">
        <v>1072</v>
      </c>
      <c r="P50" s="80">
        <f>SUMIFS(INDEX('WP_Regression_COM UPC'!$A$1:$AP$61,0,MATCH($O50,'WP_Regression_COM UPC'!$A$1:$AP$1,0)),'WP_Regression_COM UPC'!$B$1:$B$61,F$5)</f>
        <v>1529.5</v>
      </c>
      <c r="Q50" s="80">
        <f>SUMIFS(INDEX('WP_Regression_COM UPC'!$A$1:$AP$61,0,MATCH($O50,'WP_Regression_COM UPC'!$A$1:$AP$1,0)),'WP_Regression_COM UPC'!$B$1:$B$61,G$5)</f>
        <v>1498.8</v>
      </c>
      <c r="R50" s="573"/>
      <c r="T50" s="82" t="str">
        <f t="shared" si="3"/>
        <v>FTS2.1_Forecast_Low95_Max</v>
      </c>
      <c r="U50" s="82" t="s">
        <v>1407</v>
      </c>
      <c r="V50" s="82" t="str">
        <f t="shared" si="6"/>
        <v>FTS2.1</v>
      </c>
      <c r="W50" s="82" t="s">
        <v>1003</v>
      </c>
      <c r="X50" s="276">
        <f>INDEX('WP_Regression_COM UPC'!$C$63:$AO$63,MATCH(T50,'WP_Regression_COM UPC'!$C$62:$AO$62,0))</f>
        <v>157.69999999999999</v>
      </c>
      <c r="Y50" s="276">
        <f>INDEX('WP_Regression_COM UPC'!$C$64:$AO$64,MATCH(T50,'WP_Regression_COM UPC'!$C$62:$AO$62,0))</f>
        <v>158.19999999999999</v>
      </c>
    </row>
    <row r="51" spans="1:25">
      <c r="A51" s="82" t="s">
        <v>1245</v>
      </c>
      <c r="B51" s="82" t="s">
        <v>972</v>
      </c>
      <c r="C51" s="82" t="str">
        <f t="shared" si="4"/>
        <v>FTS2.1</v>
      </c>
      <c r="D51" s="82" t="s">
        <v>1009</v>
      </c>
      <c r="E51" s="86" t="s">
        <v>1073</v>
      </c>
      <c r="F51" s="80">
        <f>SUMIFS(INDEX('WP_Regreession_COM Cust Count'!$A$1:$AP$61,0,MATCH($E51,'WP_Regreession_COM Cust Count'!$A$1:$AP$1,0)),'WP_Regreession_COM Cust Count'!$B$1:$B$61,F$5)</f>
        <v>2800.6924400596708</v>
      </c>
      <c r="G51" s="80">
        <f>SUMIFS(INDEX('WP_Regreession_COM Cust Count'!$A$1:$AP$61,0,MATCH($E51,'WP_Regreession_COM Cust Count'!$A$1:$AP$1,0)),'WP_Regreession_COM Cust Count'!$B$1:$B$61,G$5)</f>
        <v>2893.0703960093811</v>
      </c>
      <c r="H51" s="573"/>
      <c r="K51" s="82" t="s">
        <v>1245</v>
      </c>
      <c r="L51" s="82" t="s">
        <v>106</v>
      </c>
      <c r="M51" s="82" t="str">
        <f t="shared" si="5"/>
        <v>FTS2.1</v>
      </c>
      <c r="N51" s="82" t="s">
        <v>1009</v>
      </c>
      <c r="O51" s="86" t="s">
        <v>1073</v>
      </c>
      <c r="P51" s="80">
        <f>SUMIFS(INDEX('WP_Regression_COM UPC'!$A$1:$AP$61,0,MATCH($O51,'WP_Regression_COM UPC'!$A$1:$AP$1,0)),'WP_Regression_COM UPC'!$B$1:$B$61,F$5)</f>
        <v>2222.3000000000002</v>
      </c>
      <c r="Q51" s="80">
        <f>SUMIFS(INDEX('WP_Regression_COM UPC'!$A$1:$AP$61,0,MATCH($O51,'WP_Regression_COM UPC'!$A$1:$AP$1,0)),'WP_Regression_COM UPC'!$B$1:$B$61,G$5)</f>
        <v>2191.6999999999998</v>
      </c>
      <c r="R51" s="573"/>
      <c r="T51" s="82" t="str">
        <f t="shared" si="3"/>
        <v>FTS2.1_Forecast_High95_Max</v>
      </c>
      <c r="U51" s="82" t="s">
        <v>1407</v>
      </c>
      <c r="V51" s="82" t="str">
        <f t="shared" si="6"/>
        <v>FTS2.1</v>
      </c>
      <c r="W51" s="82" t="s">
        <v>1009</v>
      </c>
      <c r="X51" s="276">
        <f>INDEX('WP_Regression_COM UPC'!$C$63:$AO$63,MATCH(T51,'WP_Regression_COM UPC'!$C$62:$AO$62,0))</f>
        <v>215.4</v>
      </c>
      <c r="Y51" s="276">
        <f>INDEX('WP_Regression_COM UPC'!$C$64:$AO$64,MATCH(T51,'WP_Regression_COM UPC'!$C$62:$AO$62,0))</f>
        <v>216</v>
      </c>
    </row>
    <row r="52" spans="1:25">
      <c r="A52" s="82" t="s">
        <v>1245</v>
      </c>
      <c r="B52" s="82" t="s">
        <v>972</v>
      </c>
      <c r="C52" s="82" t="str">
        <f t="shared" si="4"/>
        <v>FTS3</v>
      </c>
      <c r="D52" s="82" t="s">
        <v>1002</v>
      </c>
      <c r="E52" s="84" t="s">
        <v>1074</v>
      </c>
      <c r="F52" s="80">
        <f>SUMIFS(INDEX('WP_Regreession_COM Cust Count'!$A$1:$AP$61,0,MATCH($E52,'WP_Regreession_COM Cust Count'!$A$1:$AP$1,0)),'WP_Regreession_COM Cust Count'!$B$1:$B$61,F$5)</f>
        <v>3645.2164656877349</v>
      </c>
      <c r="G52" s="80">
        <f>SUMIFS(INDEX('WP_Regreession_COM Cust Count'!$A$1:$AP$61,0,MATCH($E52,'WP_Regreession_COM Cust Count'!$A$1:$AP$1,0)),'WP_Regreession_COM Cust Count'!$B$1:$B$61,G$5)</f>
        <v>3758.2922618465104</v>
      </c>
      <c r="H52" s="573"/>
      <c r="K52" s="82" t="s">
        <v>1245</v>
      </c>
      <c r="L52" s="82" t="s">
        <v>106</v>
      </c>
      <c r="M52" s="82" t="str">
        <f t="shared" si="5"/>
        <v>FTS3</v>
      </c>
      <c r="N52" s="82" t="s">
        <v>1002</v>
      </c>
      <c r="O52" s="84" t="s">
        <v>1074</v>
      </c>
      <c r="P52" s="80">
        <f>SUMIFS(INDEX('WP_Regression_COM UPC'!$A$1:$AP$61,0,MATCH($O52,'WP_Regression_COM UPC'!$A$1:$AP$1,0)),'WP_Regression_COM UPC'!$B$1:$B$61,F$5)</f>
        <v>3839.1000000000004</v>
      </c>
      <c r="Q52" s="80">
        <f>SUMIFS(INDEX('WP_Regression_COM UPC'!$A$1:$AP$61,0,MATCH($O52,'WP_Regression_COM UPC'!$A$1:$AP$1,0)),'WP_Regression_COM UPC'!$B$1:$B$61,G$5)</f>
        <v>3845.9999999999995</v>
      </c>
      <c r="R52" s="573"/>
      <c r="T52" s="82" t="str">
        <f t="shared" si="3"/>
        <v>FTS3_Forecast_Average_Max</v>
      </c>
      <c r="U52" s="82" t="s">
        <v>1407</v>
      </c>
      <c r="V52" s="82" t="str">
        <f t="shared" si="6"/>
        <v>FTS3</v>
      </c>
      <c r="W52" s="82" t="s">
        <v>1002</v>
      </c>
      <c r="X52" s="276">
        <f>INDEX('WP_Regression_COM UPC'!$C$63:$AO$63,MATCH(T52,'WP_Regression_COM UPC'!$C$62:$AO$62,0))</f>
        <v>358.4</v>
      </c>
      <c r="Y52" s="276">
        <f>INDEX('WP_Regression_COM UPC'!$C$64:$AO$64,MATCH(T52,'WP_Regression_COM UPC'!$C$62:$AO$62,0))</f>
        <v>367.2</v>
      </c>
    </row>
    <row r="53" spans="1:25">
      <c r="A53" s="82" t="s">
        <v>1245</v>
      </c>
      <c r="B53" s="82" t="s">
        <v>972</v>
      </c>
      <c r="C53" s="82" t="str">
        <f t="shared" si="4"/>
        <v>FTS3</v>
      </c>
      <c r="D53" s="82" t="s">
        <v>1003</v>
      </c>
      <c r="E53" s="85" t="s">
        <v>1075</v>
      </c>
      <c r="F53" s="80">
        <f>SUMIFS(INDEX('WP_Regreession_COM Cust Count'!$A$1:$AP$61,0,MATCH($E53,'WP_Regreession_COM Cust Count'!$A$1:$AP$1,0)),'WP_Regreession_COM Cust Count'!$B$1:$B$61,F$5)</f>
        <v>3544.1881134931209</v>
      </c>
      <c r="G53" s="80">
        <f>SUMIFS(INDEX('WP_Regreession_COM Cust Count'!$A$1:$AP$61,0,MATCH($E53,'WP_Regreession_COM Cust Count'!$A$1:$AP$1,0)),'WP_Regreession_COM Cust Count'!$B$1:$B$61,G$5)</f>
        <v>3623.6753701455368</v>
      </c>
      <c r="H53" s="573"/>
      <c r="K53" s="82" t="s">
        <v>1245</v>
      </c>
      <c r="L53" s="82" t="s">
        <v>106</v>
      </c>
      <c r="M53" s="82" t="str">
        <f t="shared" si="5"/>
        <v>FTS3</v>
      </c>
      <c r="N53" s="82" t="s">
        <v>1003</v>
      </c>
      <c r="O53" s="85" t="s">
        <v>1075</v>
      </c>
      <c r="P53" s="80">
        <f>SUMIFS(INDEX('WP_Regression_COM UPC'!$A$1:$AP$61,0,MATCH($O53,'WP_Regression_COM UPC'!$A$1:$AP$1,0)),'WP_Regression_COM UPC'!$B$1:$B$61,F$5)</f>
        <v>3334.5</v>
      </c>
      <c r="Q53" s="80">
        <f>SUMIFS(INDEX('WP_Regression_COM UPC'!$A$1:$AP$61,0,MATCH($O53,'WP_Regression_COM UPC'!$A$1:$AP$1,0)),'WP_Regression_COM UPC'!$B$1:$B$61,G$5)</f>
        <v>3336.4000000000005</v>
      </c>
      <c r="R53" s="573"/>
      <c r="T53" s="82" t="str">
        <f t="shared" si="3"/>
        <v>FTS3_Forecast_Low95_Max</v>
      </c>
      <c r="U53" s="82" t="s">
        <v>1407</v>
      </c>
      <c r="V53" s="82" t="str">
        <f t="shared" si="6"/>
        <v>FTS3</v>
      </c>
      <c r="W53" s="82" t="s">
        <v>1003</v>
      </c>
      <c r="X53" s="276">
        <f>INDEX('WP_Regression_COM UPC'!$C$63:$AO$63,MATCH(T53,'WP_Regression_COM UPC'!$C$62:$AO$62,0))</f>
        <v>312</v>
      </c>
      <c r="Y53" s="276">
        <f>INDEX('WP_Regression_COM UPC'!$C$64:$AO$64,MATCH(T53,'WP_Regression_COM UPC'!$C$62:$AO$62,0))</f>
        <v>319.5</v>
      </c>
    </row>
    <row r="54" spans="1:25">
      <c r="A54" s="82" t="s">
        <v>1245</v>
      </c>
      <c r="B54" s="82" t="s">
        <v>972</v>
      </c>
      <c r="C54" s="82" t="str">
        <f t="shared" si="4"/>
        <v>FTS3</v>
      </c>
      <c r="D54" s="82" t="s">
        <v>1009</v>
      </c>
      <c r="E54" s="86" t="s">
        <v>1076</v>
      </c>
      <c r="F54" s="80">
        <f>SUMIFS(INDEX('WP_Regreession_COM Cust Count'!$A$1:$AP$61,0,MATCH($E54,'WP_Regreession_COM Cust Count'!$A$1:$AP$1,0)),'WP_Regreession_COM Cust Count'!$B$1:$B$61,F$5)</f>
        <v>3746.1950656214863</v>
      </c>
      <c r="G54" s="80">
        <f>SUMIFS(INDEX('WP_Regreession_COM Cust Count'!$A$1:$AP$61,0,MATCH($E54,'WP_Regreession_COM Cust Count'!$A$1:$AP$1,0)),'WP_Regreession_COM Cust Count'!$B$1:$B$61,G$5)</f>
        <v>3892.8246733024416</v>
      </c>
      <c r="H54" s="573"/>
      <c r="K54" s="82" t="s">
        <v>1245</v>
      </c>
      <c r="L54" s="82" t="s">
        <v>106</v>
      </c>
      <c r="M54" s="82" t="str">
        <f t="shared" si="5"/>
        <v>FTS3</v>
      </c>
      <c r="N54" s="82" t="s">
        <v>1009</v>
      </c>
      <c r="O54" s="86" t="s">
        <v>1076</v>
      </c>
      <c r="P54" s="80">
        <f>SUMIFS(INDEX('WP_Regression_COM UPC'!$A$1:$AP$61,0,MATCH($O54,'WP_Regression_COM UPC'!$A$1:$AP$1,0)),'WP_Regression_COM UPC'!$B$1:$B$61,F$5)</f>
        <v>4406.3</v>
      </c>
      <c r="Q54" s="80">
        <f>SUMIFS(INDEX('WP_Regression_COM UPC'!$A$1:$AP$61,0,MATCH($O54,'WP_Regression_COM UPC'!$A$1:$AP$1,0)),'WP_Regression_COM UPC'!$B$1:$B$61,G$5)</f>
        <v>4419.7</v>
      </c>
      <c r="R54" s="573"/>
      <c r="T54" s="82" t="str">
        <f t="shared" si="3"/>
        <v>FTS3_Forecast_High95_Max</v>
      </c>
      <c r="U54" s="82" t="s">
        <v>1407</v>
      </c>
      <c r="V54" s="82" t="str">
        <f t="shared" si="6"/>
        <v>FTS3</v>
      </c>
      <c r="W54" s="82" t="s">
        <v>1009</v>
      </c>
      <c r="X54" s="276">
        <f>INDEX('WP_Regression_COM UPC'!$C$63:$AO$63,MATCH(T54,'WP_Regression_COM UPC'!$C$62:$AO$62,0))</f>
        <v>410.3</v>
      </c>
      <c r="Y54" s="276">
        <f>INDEX('WP_Regression_COM UPC'!$C$64:$AO$64,MATCH(T54,'WP_Regression_COM UPC'!$C$62:$AO$62,0))</f>
        <v>420.8</v>
      </c>
    </row>
    <row r="55" spans="1:25">
      <c r="A55" s="82" t="s">
        <v>1245</v>
      </c>
      <c r="B55" s="82" t="s">
        <v>972</v>
      </c>
      <c r="C55" s="82" t="str">
        <f t="shared" si="4"/>
        <v>FTS3.1</v>
      </c>
      <c r="D55" s="82" t="s">
        <v>1002</v>
      </c>
      <c r="E55" s="84" t="s">
        <v>1077</v>
      </c>
      <c r="F55" s="80">
        <f>SUMIFS(INDEX('WP_Regreession_COM Cust Count'!$A$1:$AP$61,0,MATCH($E55,'WP_Regreession_COM Cust Count'!$A$1:$AP$1,0)),'WP_Regreession_COM Cust Count'!$B$1:$B$61,F$5)</f>
        <v>3946.9038319089968</v>
      </c>
      <c r="G55" s="80">
        <f>SUMIFS(INDEX('WP_Regreession_COM Cust Count'!$A$1:$AP$61,0,MATCH($E55,'WP_Regreession_COM Cust Count'!$A$1:$AP$1,0)),'WP_Regreession_COM Cust Count'!$B$1:$B$61,G$5)</f>
        <v>3948.3167690041196</v>
      </c>
      <c r="H55" s="573"/>
      <c r="K55" s="82" t="s">
        <v>1245</v>
      </c>
      <c r="L55" s="82" t="s">
        <v>106</v>
      </c>
      <c r="M55" s="82" t="str">
        <f t="shared" si="5"/>
        <v>FTS3.1</v>
      </c>
      <c r="N55" s="82" t="s">
        <v>1002</v>
      </c>
      <c r="O55" s="84" t="s">
        <v>1077</v>
      </c>
      <c r="P55" s="80">
        <f>SUMIFS(INDEX('WP_Regression_COM UPC'!$A$1:$AP$61,0,MATCH($O55,'WP_Regression_COM UPC'!$A$1:$AP$1,0)),'WP_Regression_COM UPC'!$B$1:$B$61,F$5)</f>
        <v>7285.9999999999991</v>
      </c>
      <c r="Q55" s="80">
        <f>SUMIFS(INDEX('WP_Regression_COM UPC'!$A$1:$AP$61,0,MATCH($O55,'WP_Regression_COM UPC'!$A$1:$AP$1,0)),'WP_Regression_COM UPC'!$B$1:$B$61,G$5)</f>
        <v>7254.9</v>
      </c>
      <c r="R55" s="573"/>
      <c r="T55" s="82" t="str">
        <f t="shared" si="3"/>
        <v>FTS3.1_Forecast_Average_Max</v>
      </c>
      <c r="U55" s="82" t="s">
        <v>1407</v>
      </c>
      <c r="V55" s="82" t="str">
        <f t="shared" si="6"/>
        <v>FTS3.1</v>
      </c>
      <c r="W55" s="82" t="s">
        <v>1002</v>
      </c>
      <c r="X55" s="276">
        <f>INDEX('WP_Regression_COM UPC'!$C$63:$AO$63,MATCH(T55,'WP_Regression_COM UPC'!$C$62:$AO$62,0))</f>
        <v>728.4</v>
      </c>
      <c r="Y55" s="276">
        <f>INDEX('WP_Regression_COM UPC'!$C$64:$AO$64,MATCH(T55,'WP_Regression_COM UPC'!$C$62:$AO$62,0))</f>
        <v>717.4</v>
      </c>
    </row>
    <row r="56" spans="1:25">
      <c r="A56" s="82" t="s">
        <v>1245</v>
      </c>
      <c r="B56" s="82" t="s">
        <v>972</v>
      </c>
      <c r="C56" s="82" t="str">
        <f t="shared" si="4"/>
        <v>FTS3.1</v>
      </c>
      <c r="D56" s="82" t="s">
        <v>1003</v>
      </c>
      <c r="E56" s="85" t="s">
        <v>1078</v>
      </c>
      <c r="F56" s="80">
        <f>SUMIFS(INDEX('WP_Regreession_COM Cust Count'!$A$1:$AP$61,0,MATCH($E56,'WP_Regreession_COM Cust Count'!$A$1:$AP$1,0)),'WP_Regreession_COM Cust Count'!$B$1:$B$61,F$5)</f>
        <v>3820.8227432645526</v>
      </c>
      <c r="G56" s="80">
        <f>SUMIFS(INDEX('WP_Regreession_COM Cust Count'!$A$1:$AP$61,0,MATCH($E56,'WP_Regreession_COM Cust Count'!$A$1:$AP$1,0)),'WP_Regreession_COM Cust Count'!$B$1:$B$61,G$5)</f>
        <v>3737.5968948345248</v>
      </c>
      <c r="H56" s="573"/>
      <c r="K56" s="82" t="s">
        <v>1245</v>
      </c>
      <c r="L56" s="82" t="s">
        <v>106</v>
      </c>
      <c r="M56" s="82" t="str">
        <f t="shared" si="5"/>
        <v>FTS3.1</v>
      </c>
      <c r="N56" s="82" t="s">
        <v>1003</v>
      </c>
      <c r="O56" s="85" t="s">
        <v>1078</v>
      </c>
      <c r="P56" s="80">
        <f>SUMIFS(INDEX('WP_Regression_COM UPC'!$A$1:$AP$61,0,MATCH($O56,'WP_Regression_COM UPC'!$A$1:$AP$1,0)),'WP_Regression_COM UPC'!$B$1:$B$61,F$5)</f>
        <v>6090</v>
      </c>
      <c r="Q56" s="80">
        <f>SUMIFS(INDEX('WP_Regression_COM UPC'!$A$1:$AP$61,0,MATCH($O56,'WP_Regression_COM UPC'!$A$1:$AP$1,0)),'WP_Regression_COM UPC'!$B$1:$B$61,G$5)</f>
        <v>6049.2000000000007</v>
      </c>
      <c r="R56" s="573"/>
      <c r="T56" s="82" t="str">
        <f t="shared" si="3"/>
        <v>FTS3.1_Forecast_Low95_Max</v>
      </c>
      <c r="U56" s="82" t="s">
        <v>1407</v>
      </c>
      <c r="V56" s="82" t="str">
        <f t="shared" si="6"/>
        <v>FTS3.1</v>
      </c>
      <c r="W56" s="82" t="s">
        <v>1003</v>
      </c>
      <c r="X56" s="276">
        <f>INDEX('WP_Regression_COM UPC'!$C$63:$AO$63,MATCH(T56,'WP_Regression_COM UPC'!$C$62:$AO$62,0))</f>
        <v>649.9</v>
      </c>
      <c r="Y56" s="276">
        <f>INDEX('WP_Regression_COM UPC'!$C$64:$AO$64,MATCH(T56,'WP_Regression_COM UPC'!$C$62:$AO$62,0))</f>
        <v>636.1</v>
      </c>
    </row>
    <row r="57" spans="1:25">
      <c r="A57" s="82" t="s">
        <v>1245</v>
      </c>
      <c r="B57" s="82" t="s">
        <v>972</v>
      </c>
      <c r="C57" s="82" t="str">
        <f t="shared" si="4"/>
        <v>FTS3.1</v>
      </c>
      <c r="D57" s="82" t="s">
        <v>1009</v>
      </c>
      <c r="E57" s="86" t="s">
        <v>1079</v>
      </c>
      <c r="F57" s="80">
        <f>SUMIFS(INDEX('WP_Regreession_COM Cust Count'!$A$1:$AP$61,0,MATCH($E57,'WP_Regreession_COM Cust Count'!$A$1:$AP$1,0)),'WP_Regreession_COM Cust Count'!$B$1:$B$61,F$5)</f>
        <v>4072.9849205534401</v>
      </c>
      <c r="G57" s="80">
        <f>SUMIFS(INDEX('WP_Regreession_COM Cust Count'!$A$1:$AP$61,0,MATCH($E57,'WP_Regreession_COM Cust Count'!$A$1:$AP$1,0)),'WP_Regreession_COM Cust Count'!$B$1:$B$61,G$5)</f>
        <v>4159.0366431737166</v>
      </c>
      <c r="H57" s="573"/>
      <c r="K57" s="82" t="s">
        <v>1245</v>
      </c>
      <c r="L57" s="82" t="s">
        <v>106</v>
      </c>
      <c r="M57" s="82" t="str">
        <f t="shared" si="5"/>
        <v>FTS3.1</v>
      </c>
      <c r="N57" s="82" t="s">
        <v>1009</v>
      </c>
      <c r="O57" s="86" t="s">
        <v>1079</v>
      </c>
      <c r="P57" s="80">
        <f>SUMIFS(INDEX('WP_Regression_COM UPC'!$A$1:$AP$61,0,MATCH($O57,'WP_Regression_COM UPC'!$A$1:$AP$1,0)),'WP_Regression_COM UPC'!$B$1:$B$61,F$5)</f>
        <v>8305.7999999999993</v>
      </c>
      <c r="Q57" s="80">
        <f>SUMIFS(INDEX('WP_Regression_COM UPC'!$A$1:$AP$61,0,MATCH($O57,'WP_Regression_COM UPC'!$A$1:$AP$1,0)),'WP_Regression_COM UPC'!$B$1:$B$61,G$5)</f>
        <v>8281.7999999999993</v>
      </c>
      <c r="R57" s="573"/>
      <c r="T57" s="82" t="str">
        <f t="shared" si="3"/>
        <v>FTS3.1_Forecast_High95_Max</v>
      </c>
      <c r="U57" s="82" t="s">
        <v>1407</v>
      </c>
      <c r="V57" s="82" t="str">
        <f t="shared" si="6"/>
        <v>FTS3.1</v>
      </c>
      <c r="W57" s="82" t="s">
        <v>1009</v>
      </c>
      <c r="X57" s="276">
        <f>INDEX('WP_Regression_COM UPC'!$C$63:$AO$63,MATCH(T57,'WP_Regression_COM UPC'!$C$62:$AO$62,0))</f>
        <v>799.2</v>
      </c>
      <c r="Y57" s="276">
        <f>INDEX('WP_Regression_COM UPC'!$C$64:$AO$64,MATCH(T57,'WP_Regression_COM UPC'!$C$62:$AO$62,0))</f>
        <v>790.4</v>
      </c>
    </row>
    <row r="58" spans="1:25">
      <c r="A58" s="82" t="s">
        <v>1245</v>
      </c>
      <c r="B58" s="82" t="s">
        <v>972</v>
      </c>
      <c r="C58" s="82" t="str">
        <f t="shared" si="4"/>
        <v>FTS4</v>
      </c>
      <c r="D58" s="82" t="s">
        <v>1002</v>
      </c>
      <c r="E58" s="84" t="s">
        <v>1080</v>
      </c>
      <c r="F58" s="80">
        <f>SUMIFS(INDEX('WP_Regreession_COM Cust Count'!$A$1:$AP$61,0,MATCH($E58,'WP_Regreession_COM Cust Count'!$A$1:$AP$1,0)),'WP_Regreession_COM Cust Count'!$B$1:$B$61,F$5)</f>
        <v>2454.4109020284836</v>
      </c>
      <c r="G58" s="80">
        <f>SUMIFS(INDEX('WP_Regreession_COM Cust Count'!$A$1:$AP$61,0,MATCH($E58,'WP_Regreession_COM Cust Count'!$A$1:$AP$1,0)),'WP_Regreession_COM Cust Count'!$B$1:$B$61,G$5)</f>
        <v>2515.855720118203</v>
      </c>
      <c r="H58" s="573"/>
      <c r="K58" s="82" t="s">
        <v>1245</v>
      </c>
      <c r="L58" s="82" t="s">
        <v>106</v>
      </c>
      <c r="M58" s="82" t="str">
        <f t="shared" si="5"/>
        <v>FTS4</v>
      </c>
      <c r="N58" s="82" t="s">
        <v>1002</v>
      </c>
      <c r="O58" s="84" t="s">
        <v>1080</v>
      </c>
      <c r="P58" s="80">
        <f>SUMIFS(INDEX('WP_Regression_COM UPC'!$A$1:$AP$61,0,MATCH($O58,'WP_Regression_COM UPC'!$A$1:$AP$1,0)),'WP_Regression_COM UPC'!$B$1:$B$61,F$5)</f>
        <v>14794.699999999997</v>
      </c>
      <c r="Q58" s="80">
        <f>SUMIFS(INDEX('WP_Regression_COM UPC'!$A$1:$AP$61,0,MATCH($O58,'WP_Regression_COM UPC'!$A$1:$AP$1,0)),'WP_Regression_COM UPC'!$B$1:$B$61,G$5)</f>
        <v>14879.499999999998</v>
      </c>
      <c r="R58" s="573"/>
      <c r="T58" s="82" t="str">
        <f t="shared" si="3"/>
        <v>FTS4_Forecast_Average_Max</v>
      </c>
      <c r="U58" s="82" t="s">
        <v>1407</v>
      </c>
      <c r="V58" s="82" t="str">
        <f t="shared" si="6"/>
        <v>FTS4</v>
      </c>
      <c r="W58" s="82" t="s">
        <v>1002</v>
      </c>
      <c r="X58" s="276">
        <f>INDEX('WP_Regression_COM UPC'!$C$63:$AO$63,MATCH(T58,'WP_Regression_COM UPC'!$C$62:$AO$62,0))</f>
        <v>1581.3</v>
      </c>
      <c r="Y58" s="276">
        <f>INDEX('WP_Regression_COM UPC'!$C$64:$AO$64,MATCH(T58,'WP_Regression_COM UPC'!$C$62:$AO$62,0))</f>
        <v>1576.3</v>
      </c>
    </row>
    <row r="59" spans="1:25">
      <c r="A59" s="82" t="s">
        <v>1245</v>
      </c>
      <c r="B59" s="82" t="s">
        <v>972</v>
      </c>
      <c r="C59" s="82" t="str">
        <f t="shared" si="4"/>
        <v>FTS4</v>
      </c>
      <c r="D59" s="82" t="s">
        <v>1003</v>
      </c>
      <c r="E59" s="85" t="s">
        <v>1081</v>
      </c>
      <c r="F59" s="80">
        <f>SUMIFS(INDEX('WP_Regreession_COM Cust Count'!$A$1:$AP$61,0,MATCH($E59,'WP_Regreession_COM Cust Count'!$A$1:$AP$1,0)),'WP_Regreession_COM Cust Count'!$B$1:$B$61,F$5)</f>
        <v>2368.8188335164109</v>
      </c>
      <c r="G59" s="80">
        <f>SUMIFS(INDEX('WP_Regreession_COM Cust Count'!$A$1:$AP$61,0,MATCH($E59,'WP_Regreession_COM Cust Count'!$A$1:$AP$1,0)),'WP_Regreession_COM Cust Count'!$B$1:$B$61,G$5)</f>
        <v>2398.8918750300741</v>
      </c>
      <c r="H59" s="573"/>
      <c r="K59" s="82" t="s">
        <v>1245</v>
      </c>
      <c r="L59" s="82" t="s">
        <v>106</v>
      </c>
      <c r="M59" s="82" t="str">
        <f t="shared" si="5"/>
        <v>FTS4</v>
      </c>
      <c r="N59" s="82" t="s">
        <v>1003</v>
      </c>
      <c r="O59" s="85" t="s">
        <v>1081</v>
      </c>
      <c r="P59" s="80">
        <f>SUMIFS(INDEX('WP_Regression_COM UPC'!$A$1:$AP$61,0,MATCH($O59,'WP_Regression_COM UPC'!$A$1:$AP$1,0)),'WP_Regression_COM UPC'!$B$1:$B$61,F$5)</f>
        <v>11390.499999999998</v>
      </c>
      <c r="Q59" s="80">
        <f>SUMIFS(INDEX('WP_Regression_COM UPC'!$A$1:$AP$61,0,MATCH($O59,'WP_Regression_COM UPC'!$A$1:$AP$1,0)),'WP_Regression_COM UPC'!$B$1:$B$61,G$5)</f>
        <v>11305.199999999999</v>
      </c>
      <c r="R59" s="573"/>
      <c r="T59" s="82" t="str">
        <f t="shared" si="3"/>
        <v>FTS4_Forecast_Low95_Max</v>
      </c>
      <c r="U59" s="82" t="s">
        <v>1407</v>
      </c>
      <c r="V59" s="82" t="str">
        <f t="shared" si="6"/>
        <v>FTS4</v>
      </c>
      <c r="W59" s="82" t="s">
        <v>1003</v>
      </c>
      <c r="X59" s="276">
        <f>INDEX('WP_Regression_COM UPC'!$C$63:$AO$63,MATCH(T59,'WP_Regression_COM UPC'!$C$62:$AO$62,0))</f>
        <v>1378.9</v>
      </c>
      <c r="Y59" s="276">
        <f>INDEX('WP_Regression_COM UPC'!$C$64:$AO$64,MATCH(T59,'WP_Regression_COM UPC'!$C$62:$AO$62,0))</f>
        <v>1361.8</v>
      </c>
    </row>
    <row r="60" spans="1:25">
      <c r="A60" s="82" t="s">
        <v>1245</v>
      </c>
      <c r="B60" s="82" t="s">
        <v>972</v>
      </c>
      <c r="C60" s="82" t="str">
        <f t="shared" si="4"/>
        <v>FTS4</v>
      </c>
      <c r="D60" s="82" t="s">
        <v>1009</v>
      </c>
      <c r="E60" s="86" t="s">
        <v>1082</v>
      </c>
      <c r="F60" s="80">
        <f>SUMIFS(INDEX('WP_Regreession_COM Cust Count'!$A$1:$AP$61,0,MATCH($E60,'WP_Regreession_COM Cust Count'!$A$1:$AP$1,0)),'WP_Regreession_COM Cust Count'!$B$1:$B$61,F$5)</f>
        <v>2540.0029705405582</v>
      </c>
      <c r="G60" s="80">
        <f>SUMIFS(INDEX('WP_Regreession_COM Cust Count'!$A$1:$AP$61,0,MATCH($E60,'WP_Regreession_COM Cust Count'!$A$1:$AP$1,0)),'WP_Regreession_COM Cust Count'!$B$1:$B$61,G$5)</f>
        <v>2632.8195652063341</v>
      </c>
      <c r="H60" s="573"/>
      <c r="K60" s="82" t="s">
        <v>1245</v>
      </c>
      <c r="L60" s="82" t="s">
        <v>106</v>
      </c>
      <c r="M60" s="82" t="str">
        <f t="shared" si="5"/>
        <v>FTS4</v>
      </c>
      <c r="N60" s="82" t="s">
        <v>1009</v>
      </c>
      <c r="O60" s="86" t="s">
        <v>1082</v>
      </c>
      <c r="P60" s="80">
        <f>SUMIFS(INDEX('WP_Regression_COM UPC'!$A$1:$AP$61,0,MATCH($O60,'WP_Regression_COM UPC'!$A$1:$AP$1,0)),'WP_Regression_COM UPC'!$B$1:$B$61,F$5)</f>
        <v>17505.3</v>
      </c>
      <c r="Q60" s="80">
        <f>SUMIFS(INDEX('WP_Regression_COM UPC'!$A$1:$AP$61,0,MATCH($O60,'WP_Regression_COM UPC'!$A$1:$AP$1,0)),'WP_Regression_COM UPC'!$B$1:$B$61,G$5)</f>
        <v>17702.3</v>
      </c>
      <c r="R60" s="573"/>
      <c r="T60" s="82" t="str">
        <f t="shared" si="3"/>
        <v>FTS4_Forecast_High95_Max</v>
      </c>
      <c r="U60" s="82" t="s">
        <v>1407</v>
      </c>
      <c r="V60" s="82" t="str">
        <f t="shared" si="6"/>
        <v>FTS4</v>
      </c>
      <c r="W60" s="82" t="s">
        <v>1009</v>
      </c>
      <c r="X60" s="276">
        <f>INDEX('WP_Regression_COM UPC'!$C$63:$AO$63,MATCH(T60,'WP_Regression_COM UPC'!$C$62:$AO$62,0))</f>
        <v>1760.5</v>
      </c>
      <c r="Y60" s="276">
        <f>INDEX('WP_Regression_COM UPC'!$C$64:$AO$64,MATCH(T60,'WP_Regression_COM UPC'!$C$62:$AO$62,0))</f>
        <v>1764.9</v>
      </c>
    </row>
    <row r="61" spans="1:25">
      <c r="A61" s="82" t="s">
        <v>1245</v>
      </c>
      <c r="B61" s="82" t="s">
        <v>972</v>
      </c>
      <c r="C61" s="82" t="str">
        <f t="shared" si="4"/>
        <v>CSGS</v>
      </c>
      <c r="D61" s="82" t="s">
        <v>1002</v>
      </c>
      <c r="E61" s="84" t="s">
        <v>1083</v>
      </c>
      <c r="F61" s="80">
        <f>SUMIFS(INDEX('WP_Regreession_COM Cust Count'!$A$1:$AP$61,0,MATCH($E61,'WP_Regreession_COM Cust Count'!$A$1:$AP$1,0)),'WP_Regreession_COM Cust Count'!$B$1:$B$61,F$5)</f>
        <v>3636.2590892834869</v>
      </c>
      <c r="G61" s="80">
        <f>SUMIFS(INDEX('WP_Regreession_COM Cust Count'!$A$1:$AP$61,0,MATCH($E61,'WP_Regreession_COM Cust Count'!$A$1:$AP$1,0)),'WP_Regreession_COM Cust Count'!$B$1:$B$61,G$5)</f>
        <v>3885.1423913124108</v>
      </c>
      <c r="H61" s="573"/>
      <c r="K61" s="82" t="s">
        <v>1245</v>
      </c>
      <c r="L61" s="82" t="s">
        <v>106</v>
      </c>
      <c r="M61" s="82" t="str">
        <f t="shared" si="5"/>
        <v>CSGS</v>
      </c>
      <c r="N61" s="82" t="s">
        <v>1002</v>
      </c>
      <c r="O61" s="84" t="s">
        <v>1083</v>
      </c>
      <c r="P61" s="80">
        <f>SUMIFS(INDEX('WP_Regression_COM UPC'!$A$1:$AP$61,0,MATCH($O61,'WP_Regression_COM UPC'!$A$1:$AP$1,0)),'WP_Regression_COM UPC'!$B$1:$B$61,F$5)</f>
        <v>146.84340636218781</v>
      </c>
      <c r="Q61" s="80">
        <f>SUMIFS(INDEX('WP_Regression_COM UPC'!$A$1:$AP$61,0,MATCH($O61,'WP_Regression_COM UPC'!$A$1:$AP$1,0)),'WP_Regression_COM UPC'!$B$1:$B$61,G$5)</f>
        <v>144.7879104434009</v>
      </c>
      <c r="R61" s="573"/>
      <c r="T61" s="82" t="str">
        <f t="shared" si="3"/>
        <v>CSGS_Forecast_Average_Max</v>
      </c>
      <c r="U61" s="82" t="s">
        <v>1407</v>
      </c>
      <c r="V61" s="82" t="str">
        <f t="shared" si="6"/>
        <v>CSGS</v>
      </c>
      <c r="W61" s="82" t="s">
        <v>1002</v>
      </c>
      <c r="X61" s="276">
        <f>INDEX('WP_Regression_COM UPC'!$C$63:$AO$63,MATCH(T61,'WP_Regression_COM UPC'!$C$62:$AO$62,0))</f>
        <v>13.612088122059401</v>
      </c>
      <c r="Y61" s="276">
        <f>INDEX('WP_Regression_COM UPC'!$C$64:$AO$64,MATCH(T61,'WP_Regression_COM UPC'!$C$62:$AO$62,0))</f>
        <v>12.276501681782801</v>
      </c>
    </row>
    <row r="62" spans="1:25">
      <c r="A62" s="82" t="s">
        <v>1245</v>
      </c>
      <c r="B62" s="82" t="s">
        <v>972</v>
      </c>
      <c r="C62" s="82" t="str">
        <f t="shared" si="4"/>
        <v>CSGS</v>
      </c>
      <c r="D62" s="82" t="s">
        <v>1003</v>
      </c>
      <c r="E62" s="85" t="s">
        <v>1084</v>
      </c>
      <c r="F62" s="80">
        <f>SUMIFS(INDEX('WP_Regreession_COM Cust Count'!$A$1:$AP$61,0,MATCH($E62,'WP_Regreession_COM Cust Count'!$A$1:$AP$1,0)),'WP_Regreession_COM Cust Count'!$B$1:$B$61,F$5)</f>
        <v>3581.1818204024376</v>
      </c>
      <c r="G62" s="80">
        <f>SUMIFS(INDEX('WP_Regreession_COM Cust Count'!$A$1:$AP$61,0,MATCH($E62,'WP_Regreession_COM Cust Count'!$A$1:$AP$1,0)),'WP_Regreession_COM Cust Count'!$B$1:$B$61,G$5)</f>
        <v>3769.503393616586</v>
      </c>
      <c r="H62" s="573"/>
      <c r="K62" s="82" t="s">
        <v>1245</v>
      </c>
      <c r="L62" s="82" t="s">
        <v>106</v>
      </c>
      <c r="M62" s="82" t="str">
        <f t="shared" si="5"/>
        <v>CSGS</v>
      </c>
      <c r="N62" s="82" t="s">
        <v>1003</v>
      </c>
      <c r="O62" s="85" t="s">
        <v>1084</v>
      </c>
      <c r="P62" s="80">
        <f>SUMIFS(INDEX('WP_Regression_COM UPC'!$A$1:$AP$61,0,MATCH($O62,'WP_Regression_COM UPC'!$A$1:$AP$1,0)),'WP_Regression_COM UPC'!$B$1:$B$61,F$5)</f>
        <v>87.315472952961741</v>
      </c>
      <c r="Q62" s="80">
        <f>SUMIFS(INDEX('WP_Regression_COM UPC'!$A$1:$AP$61,0,MATCH($O62,'WP_Regression_COM UPC'!$A$1:$AP$1,0)),'WP_Regression_COM UPC'!$B$1:$B$61,G$5)</f>
        <v>81.682565062384668</v>
      </c>
      <c r="R62" s="573"/>
      <c r="T62" s="82" t="str">
        <f t="shared" si="3"/>
        <v>CSGS_Forecast_Low95_Max</v>
      </c>
      <c r="U62" s="82" t="s">
        <v>1407</v>
      </c>
      <c r="V62" s="82" t="str">
        <f t="shared" si="6"/>
        <v>CSGS</v>
      </c>
      <c r="W62" s="82" t="s">
        <v>1003</v>
      </c>
      <c r="X62" s="276">
        <f>INDEX('WP_Regression_COM UPC'!$C$63:$AO$63,MATCH(T62,'WP_Regression_COM UPC'!$C$62:$AO$62,0))</f>
        <v>8.4739810960405908</v>
      </c>
      <c r="Y62" s="276">
        <f>INDEX('WP_Regression_COM UPC'!$C$64:$AO$64,MATCH(T62,'WP_Regression_COM UPC'!$C$62:$AO$62,0))</f>
        <v>7.0143289317674498</v>
      </c>
    </row>
    <row r="63" spans="1:25">
      <c r="A63" s="82" t="s">
        <v>1245</v>
      </c>
      <c r="B63" s="82" t="s">
        <v>972</v>
      </c>
      <c r="C63" s="82" t="str">
        <f t="shared" si="4"/>
        <v>CSGS</v>
      </c>
      <c r="D63" s="82" t="s">
        <v>1009</v>
      </c>
      <c r="E63" s="86" t="s">
        <v>1085</v>
      </c>
      <c r="F63" s="80">
        <f>SUMIFS(INDEX('WP_Regreession_COM Cust Count'!$A$1:$AP$61,0,MATCH($E63,'WP_Regreession_COM Cust Count'!$A$1:$AP$1,0)),'WP_Regreession_COM Cust Count'!$B$1:$B$61,F$5)</f>
        <v>3691.3363581645385</v>
      </c>
      <c r="G63" s="80">
        <f>SUMIFS(INDEX('WP_Regreession_COM Cust Count'!$A$1:$AP$61,0,MATCH($E63,'WP_Regreession_COM Cust Count'!$A$1:$AP$1,0)),'WP_Regreession_COM Cust Count'!$B$1:$B$61,G$5)</f>
        <v>4000.7813890082384</v>
      </c>
      <c r="H63" s="573"/>
      <c r="K63" s="82" t="s">
        <v>1245</v>
      </c>
      <c r="L63" s="82" t="s">
        <v>106</v>
      </c>
      <c r="M63" s="82" t="str">
        <f t="shared" si="5"/>
        <v>CSGS</v>
      </c>
      <c r="N63" s="82" t="s">
        <v>1009</v>
      </c>
      <c r="O63" s="86" t="s">
        <v>1085</v>
      </c>
      <c r="P63" s="80">
        <f>SUMIFS(INDEX('WP_Regression_COM UPC'!$A$1:$AP$61,0,MATCH($O63,'WP_Regression_COM UPC'!$A$1:$AP$1,0)),'WP_Regression_COM UPC'!$B$1:$B$61,F$5)</f>
        <v>409.34976570202849</v>
      </c>
      <c r="Q63" s="80">
        <f>SUMIFS(INDEX('WP_Regression_COM UPC'!$A$1:$AP$61,0,MATCH($O63,'WP_Regression_COM UPC'!$A$1:$AP$1,0)),'WP_Regression_COM UPC'!$B$1:$B$61,G$5)</f>
        <v>504.37346023248563</v>
      </c>
      <c r="R63" s="573"/>
      <c r="T63" s="82" t="str">
        <f t="shared" si="3"/>
        <v>CSGS_Forecast_High95_Max</v>
      </c>
      <c r="U63" s="82" t="s">
        <v>1407</v>
      </c>
      <c r="V63" s="82" t="str">
        <f t="shared" si="6"/>
        <v>CSGS</v>
      </c>
      <c r="W63" s="82" t="s">
        <v>1009</v>
      </c>
      <c r="X63" s="276">
        <f>INDEX('WP_Regression_COM UPC'!$C$63:$AO$63,MATCH(T63,'WP_Regression_COM UPC'!$C$62:$AO$62,0))</f>
        <v>46.748738562899902</v>
      </c>
      <c r="Y63" s="276">
        <f>INDEX('WP_Regression_COM UPC'!$C$64:$AO$64,MATCH(T63,'WP_Regression_COM UPC'!$C$62:$AO$62,0))</f>
        <v>45.868508448289298</v>
      </c>
    </row>
    <row r="64" spans="1:25">
      <c r="A64" s="82" t="s">
        <v>1245</v>
      </c>
      <c r="B64" s="82" t="s">
        <v>972</v>
      </c>
      <c r="C64" s="82" t="str">
        <f t="shared" si="4"/>
        <v>FTS_AB_C</v>
      </c>
      <c r="D64" s="82" t="s">
        <v>1002</v>
      </c>
      <c r="E64" s="84" t="s">
        <v>1279</v>
      </c>
      <c r="F64" s="80">
        <f>SUMIFS(INDEX('WP_Regreession_COM Cust Count'!$A$1:$AP$61,0,MATCH($E64,'WP_Regreession_COM Cust Count'!$A$1:$AP$1,0)),'WP_Regreession_COM Cust Count'!$B$1:$B$61,F$5)</f>
        <v>133.49305139693891</v>
      </c>
      <c r="G64" s="80">
        <f>SUMIFS(INDEX('WP_Regreession_COM Cust Count'!$A$1:$AP$61,0,MATCH($E64,'WP_Regreession_COM Cust Count'!$A$1:$AP$1,0)),'WP_Regreession_COM Cust Count'!$B$1:$B$61,G$5)</f>
        <v>130.29983102787841</v>
      </c>
      <c r="H64" s="573"/>
      <c r="K64" s="82" t="s">
        <v>1245</v>
      </c>
      <c r="L64" s="82" t="s">
        <v>106</v>
      </c>
      <c r="M64" s="82" t="str">
        <f t="shared" si="5"/>
        <v>FTS_AB_C</v>
      </c>
      <c r="N64" s="82" t="s">
        <v>1002</v>
      </c>
      <c r="O64" s="84" t="s">
        <v>1279</v>
      </c>
      <c r="P64" s="80">
        <f>SUMIFS(INDEX('WP_Regression_COM UPC'!$A$1:$AP$61,0,MATCH($O64,'WP_Regression_COM UPC'!$A$1:$AP$1,0)),'WP_Regression_COM UPC'!$B$1:$B$61,F$5)</f>
        <v>87.000000000000014</v>
      </c>
      <c r="Q64" s="80">
        <f>SUMIFS(INDEX('WP_Regression_COM UPC'!$A$1:$AP$61,0,MATCH($O64,'WP_Regression_COM UPC'!$A$1:$AP$1,0)),'WP_Regression_COM UPC'!$B$1:$B$61,G$5)</f>
        <v>85.399999999999991</v>
      </c>
      <c r="R64" s="573"/>
      <c r="T64" s="82" t="str">
        <f t="shared" si="3"/>
        <v>FTS_AB_C_Forecast_Average_Max</v>
      </c>
      <c r="U64" s="82" t="s">
        <v>1407</v>
      </c>
      <c r="V64" s="82" t="str">
        <f t="shared" si="6"/>
        <v>FTS_AB_C</v>
      </c>
      <c r="W64" s="82" t="s">
        <v>1002</v>
      </c>
      <c r="X64" s="276">
        <f>INDEX('WP_Regression_COM UPC'!$C$63:$AO$63,MATCH(T64,'WP_Regression_COM UPC'!$C$62:$AO$62,0))</f>
        <v>8.4</v>
      </c>
      <c r="Y64" s="276">
        <f>INDEX('WP_Regression_COM UPC'!$C$64:$AO$64,MATCH(T64,'WP_Regression_COM UPC'!$C$62:$AO$62,0))</f>
        <v>8.1</v>
      </c>
    </row>
    <row r="65" spans="1:25">
      <c r="A65" s="82" t="s">
        <v>1245</v>
      </c>
      <c r="B65" s="82" t="s">
        <v>972</v>
      </c>
      <c r="C65" s="82" t="str">
        <f t="shared" si="4"/>
        <v>FTS_AB_C</v>
      </c>
      <c r="D65" s="82" t="s">
        <v>1003</v>
      </c>
      <c r="E65" s="85" t="s">
        <v>1280</v>
      </c>
      <c r="F65" s="80">
        <f>SUMIFS(INDEX('WP_Regreession_COM Cust Count'!$A$1:$AP$61,0,MATCH($E65,'WP_Regreession_COM Cust Count'!$A$1:$AP$1,0)),'WP_Regreession_COM Cust Count'!$B$1:$B$61,F$5)</f>
        <v>97.630791607890473</v>
      </c>
      <c r="G65" s="80">
        <f>SUMIFS(INDEX('WP_Regreession_COM Cust Count'!$A$1:$AP$61,0,MATCH($E65,'WP_Regreession_COM Cust Count'!$A$1:$AP$1,0)),'WP_Regreession_COM Cust Count'!$B$1:$B$61,G$5)</f>
        <v>80.166297280539666</v>
      </c>
      <c r="H65" s="573"/>
      <c r="K65" s="82" t="s">
        <v>1245</v>
      </c>
      <c r="L65" s="82" t="s">
        <v>106</v>
      </c>
      <c r="M65" s="82" t="str">
        <f t="shared" si="5"/>
        <v>FTS_AB_C</v>
      </c>
      <c r="N65" s="82" t="s">
        <v>1003</v>
      </c>
      <c r="O65" s="85" t="s">
        <v>1280</v>
      </c>
      <c r="P65" s="80">
        <f>SUMIFS(INDEX('WP_Regression_COM UPC'!$A$1:$AP$61,0,MATCH($O65,'WP_Regression_COM UPC'!$A$1:$AP$1,0)),'WP_Regression_COM UPC'!$B$1:$B$61,F$5)</f>
        <v>59.300000000000004</v>
      </c>
      <c r="Q65" s="80">
        <f>SUMIFS(INDEX('WP_Regression_COM UPC'!$A$1:$AP$61,0,MATCH($O65,'WP_Regression_COM UPC'!$A$1:$AP$1,0)),'WP_Regression_COM UPC'!$B$1:$B$61,G$5)</f>
        <v>56.1</v>
      </c>
      <c r="R65" s="573"/>
      <c r="T65" s="82" t="str">
        <f t="shared" si="3"/>
        <v>FTS_AB_C_Forecast_Low95_Max</v>
      </c>
      <c r="U65" s="82" t="s">
        <v>1407</v>
      </c>
      <c r="V65" s="82" t="str">
        <f t="shared" si="6"/>
        <v>FTS_AB_C</v>
      </c>
      <c r="W65" s="82" t="s">
        <v>1003</v>
      </c>
      <c r="X65" s="276">
        <f>INDEX('WP_Regression_COM UPC'!$C$63:$AO$63,MATCH(T65,'WP_Regression_COM UPC'!$C$62:$AO$62,0))</f>
        <v>5.6</v>
      </c>
      <c r="Y65" s="276">
        <f>INDEX('WP_Regression_COM UPC'!$C$64:$AO$64,MATCH(T65,'WP_Regression_COM UPC'!$C$62:$AO$62,0))</f>
        <v>5.2</v>
      </c>
    </row>
    <row r="66" spans="1:25">
      <c r="A66" s="82" t="s">
        <v>1245</v>
      </c>
      <c r="B66" s="82" t="s">
        <v>972</v>
      </c>
      <c r="C66" s="82" t="str">
        <f t="shared" si="4"/>
        <v>FTS_AB_C</v>
      </c>
      <c r="D66" s="82" t="s">
        <v>1009</v>
      </c>
      <c r="E66" s="86" t="s">
        <v>1281</v>
      </c>
      <c r="F66" s="80">
        <f>SUMIFS(INDEX('WP_Regreession_COM Cust Count'!$A$1:$AP$61,0,MATCH($E66,'WP_Regreession_COM Cust Count'!$A$1:$AP$1,0)),'WP_Regreession_COM Cust Count'!$B$1:$B$61,F$5)</f>
        <v>171.17739008806529</v>
      </c>
      <c r="G66" s="80">
        <f>SUMIFS(INDEX('WP_Regreession_COM Cust Count'!$A$1:$AP$61,0,MATCH($E66,'WP_Regreession_COM Cust Count'!$A$1:$AP$1,0)),'WP_Regreession_COM Cust Count'!$B$1:$B$61,G$5)</f>
        <v>184.1997376615866</v>
      </c>
      <c r="H66" s="573"/>
      <c r="K66" s="82" t="s">
        <v>1245</v>
      </c>
      <c r="L66" s="82" t="s">
        <v>106</v>
      </c>
      <c r="M66" s="82" t="str">
        <f t="shared" si="5"/>
        <v>FTS_AB_C</v>
      </c>
      <c r="N66" s="82" t="s">
        <v>1009</v>
      </c>
      <c r="O66" s="86" t="s">
        <v>1281</v>
      </c>
      <c r="P66" s="80">
        <f>SUMIFS(INDEX('WP_Regression_COM UPC'!$A$1:$AP$61,0,MATCH($O66,'WP_Regression_COM UPC'!$A$1:$AP$1,0)),'WP_Regression_COM UPC'!$B$1:$B$61,F$5)</f>
        <v>157.19999999999999</v>
      </c>
      <c r="Q66" s="80">
        <f>SUMIFS(INDEX('WP_Regression_COM UPC'!$A$1:$AP$61,0,MATCH($O66,'WP_Regression_COM UPC'!$A$1:$AP$1,0)),'WP_Regression_COM UPC'!$B$1:$B$61,G$5)</f>
        <v>167.79999999999998</v>
      </c>
      <c r="R66" s="573"/>
      <c r="T66" s="82" t="str">
        <f t="shared" si="3"/>
        <v>FTS_AB_C_Forecast_High95_Max</v>
      </c>
      <c r="U66" s="82" t="s">
        <v>1407</v>
      </c>
      <c r="V66" s="82" t="str">
        <f t="shared" si="6"/>
        <v>FTS_AB_C</v>
      </c>
      <c r="W66" s="82" t="s">
        <v>1009</v>
      </c>
      <c r="X66" s="276">
        <f>INDEX('WP_Regression_COM UPC'!$C$63:$AO$63,MATCH(T66,'WP_Regression_COM UPC'!$C$62:$AO$62,0))</f>
        <v>15.6</v>
      </c>
      <c r="Y66" s="276">
        <f>INDEX('WP_Regression_COM UPC'!$C$64:$AO$64,MATCH(T66,'WP_Regression_COM UPC'!$C$62:$AO$62,0))</f>
        <v>17.3</v>
      </c>
    </row>
    <row r="67" spans="1:25">
      <c r="I67" s="81"/>
    </row>
  </sheetData>
  <pageMargins left="0.7" right="0.7" top="0.75" bottom="0.75" header="0.3" footer="0.3"/>
  <pageSetup orientation="portrait" horizontalDpi="1200" verticalDpi="1200" r:id="rId1"/>
</worksheet>
</file>

<file path=customXML/item5.xml>��< ? x m l   v e r s i o n = " 1 . 0 "   e n c o d i n g = " u t f - 1 6 " ? >  
 < p r o p e r t i e s   x m l n s = " h t t p : / / w w w . i m a n a g e . c o m / w o r k / x m l s c h e m a " >  
     < d o c u m e n t i d > A C T I V E ! 1 5 6 7 5 7 7 6 . 1 < / d o c u m e n t i d >  
     < s e n d e r i d > K E A B E T < / s e n d e r i d >  
     < s e n d e r e m a i l > B K E A T I N G @ G U N S T E R . C O M < / s e n d e r e m a i l >  
     < l a s t m o d i f i e d > 2 0 2 2 - 0 7 - 0 4 T 1 8 : 0 9 : 5 8 . 0 0 0 0 0 0 0 - 0 4 : 0 0 < / l a s t m o d i f i e d >  
     < d a t a b a s e > A C T I V E < / d a t a b a s e >  
 < / p r o p e r t i e s > 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2F28747DC65444BAA5984907B42FC5" ma:contentTypeVersion="4" ma:contentTypeDescription="Create a new document." ma:contentTypeScope="" ma:versionID="f6e5326aa2448e41161bd848bda14262">
  <xsd:schema xmlns:xsd="http://www.w3.org/2001/XMLSchema" xmlns:xs="http://www.w3.org/2001/XMLSchema" xmlns:p="http://schemas.microsoft.com/office/2006/metadata/properties" xmlns:ns2="88ec399f-bc40-423e-a932-6923d6eb88dd" targetNamespace="http://schemas.microsoft.com/office/2006/metadata/properties" ma:root="true" ma:fieldsID="5f16f0f2b539ed0b4c42a57f5709b08d" ns2:_="">
    <xsd:import namespace="88ec399f-bc40-423e-a932-6923d6eb88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ec399f-bc40-423e-a932-6923d6eb88d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2.xml><?xml version="1.0" encoding="utf-8"?>
<ds:datastoreItem xmlns:ds="http://schemas.openxmlformats.org/officeDocument/2006/customXml" ds:itemID="{9A4B2119-2392-4388-B602-2A06677A0A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8ec399f-bc40-423e-a932-6923d6eb88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3230D8A-D03E-482D-BC2C-0CB640ADC18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6729C6F0-94F4-4EEF-9FB6-E4DB89AFB7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</vt:i4>
      </vt:variant>
    </vt:vector>
  </HeadingPairs>
  <TitlesOfParts>
    <vt:vector size="31" baseType="lpstr">
      <vt:lpstr>TOC</vt:lpstr>
      <vt:lpstr>Master </vt:lpstr>
      <vt:lpstr>Pivot for E-1</vt:lpstr>
      <vt:lpstr>Monthly CUST</vt:lpstr>
      <vt:lpstr>Monthly VOL</vt:lpstr>
      <vt:lpstr>Monthly UPC</vt:lpstr>
      <vt:lpstr>Regression Forecast --&gt;</vt:lpstr>
      <vt:lpstr>Report_Regression</vt:lpstr>
      <vt:lpstr>WP_Regression Summary</vt:lpstr>
      <vt:lpstr>WP_Regression_RES Cust Count</vt:lpstr>
      <vt:lpstr>WP_Regression_RES UPC</vt:lpstr>
      <vt:lpstr>WP_Regreession_COM Cust Count</vt:lpstr>
      <vt:lpstr>WP_Regression_COM UPC</vt:lpstr>
      <vt:lpstr>Input Sheets -&gt;</vt:lpstr>
      <vt:lpstr>Input 1_GRIP Factors</vt:lpstr>
      <vt:lpstr>Input 16_2018CUST-YTD</vt:lpstr>
      <vt:lpstr>Input 16.1_2018VOL-YTD</vt:lpstr>
      <vt:lpstr>Input 3_2019CUST-YTD</vt:lpstr>
      <vt:lpstr>Input 3.1_2019VOL-YTD</vt:lpstr>
      <vt:lpstr>Input 4_2020CUST-YTD</vt:lpstr>
      <vt:lpstr>Input 4.1_2020VOL-YTD</vt:lpstr>
      <vt:lpstr>Input 5_2021CUST-YTD</vt:lpstr>
      <vt:lpstr>Input 5.1_2021VOL-YTD</vt:lpstr>
      <vt:lpstr>Input 6_2021MARG-YTD</vt:lpstr>
      <vt:lpstr>WP-Peak Month UPC</vt:lpstr>
      <vt:lpstr>Input 7_NG Rates</vt:lpstr>
      <vt:lpstr>Input 13.3_2021 Min Charges</vt:lpstr>
      <vt:lpstr>Input 14_Ref Table</vt:lpstr>
      <vt:lpstr>Input 15_Fcst Inputs</vt:lpstr>
      <vt:lpstr>'Input 16.1_2018VOL-YTD'!Print_Area</vt:lpstr>
      <vt:lpstr>'Input 16_2018CUST-YTD'!Print_Area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2022-06-07T20:58:02Z</dcterms:created>
  <dcterms:modified xsi:type="dcterms:W3CDTF">2022-07-04T22:09:58Z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0x010100DD2F28747DC65444BAA5984907B42FC5</vt:lpwstr>
  </property>
</Properties>
</file>